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metadata.xml" ContentType="application/vnd.openxmlformats-officedocument.spreadsheetml.sheetMetadata+xml"/>
  <Override PartName="/xl/customProperty1.bin" ContentType="application/vnd.openxmlformats-officedocument.spreadsheetml.customProperty"/>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calcChain.xml" ContentType="application/vnd.openxmlformats-officedocument.spreadsheetml.calcChain+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mc:AlternateContent xmlns:mc="http://schemas.openxmlformats.org/markup-compatibility/2006">
    <mc:Choice Requires="x15">
      <x15ac:absPath xmlns:x15ac="http://schemas.microsoft.com/office/spreadsheetml/2010/11/ac" url="C:\Users\U80855558\AppData\Local\rubicon\Acta Nova Client\Data\328362370\"/>
    </mc:Choice>
  </mc:AlternateContent>
  <xr:revisionPtr revIDLastSave="0" documentId="13_ncr:1_{008DE3A2-F990-41BC-AA5E-C0EB8B71891B}" xr6:coauthVersionLast="47" xr6:coauthVersionMax="47" xr10:uidLastSave="{00000000-0000-0000-0000-000000000000}"/>
  <workbookProtection workbookAlgorithmName="SHA-512" workbookHashValue="H2+njUR3YfzeQ3k/L7gwCMDndrBHhryZZp/gMVT1Cp/+7RlCfFJRLo0+40BAKvwkpzQa5j/RZmyHfLkqJORAgg==" workbookSaltValue="FY7oTqqoNcd6tQDCVSHY9g==" workbookSpinCount="100000" lockStructure="1"/>
  <bookViews>
    <workbookView xWindow="-120" yWindow="-120" windowWidth="29040" windowHeight="15720" xr2:uid="{00000000-000D-0000-FFFF-FFFF00000000}"/>
  </bookViews>
  <sheets>
    <sheet name="Version" sheetId="5" r:id="rId1"/>
    <sheet name="A" sheetId="6" r:id="rId2"/>
    <sheet name="B" sheetId="13" r:id="rId3"/>
    <sheet name="Y" sheetId="4" state="hidden" r:id="rId4"/>
    <sheet name="Z" sheetId="3" state="hidden" r:id="rId5"/>
  </sheets>
  <definedNames>
    <definedName name="Categories">Y!$C$61:$E$71</definedName>
    <definedName name="Clean">Y!$C$53:$E$54</definedName>
    <definedName name="E_alt">Y!$F$88:$H$90</definedName>
    <definedName name="E_neu">Y!$I$88:$K$90</definedName>
    <definedName name="Kat">Y!$C$60:$P$66</definedName>
    <definedName name="Lang">Version!$R$6</definedName>
    <definedName name="Lang_measure">Version!$R$12</definedName>
    <definedName name="Loc">Y!$C$56:$E$58</definedName>
    <definedName name="measure_id">Version!$R$8</definedName>
    <definedName name="measure_version">Version!$R$10</definedName>
    <definedName name="Medium">Y!$C$51:$E$52</definedName>
    <definedName name="Month">Y!$C$96:$E$100</definedName>
    <definedName name="PLZ">Z!$A$2:$A$4127</definedName>
    <definedName name="Region">Y!$C$88:$E$90</definedName>
    <definedName name="Systems">Y!$C$76:$E$80</definedName>
    <definedName name="Trad">Y!$C$2:$H$401</definedName>
    <definedName name="Units">Y!$C$51:$E$56</definedName>
    <definedName name="Use">Y!$C$75:$G$76</definedName>
    <definedName name="_xlnm.Print_Area" localSheetId="1">A!$A:$M</definedName>
    <definedName name="_xlnm.Print_Area" localSheetId="0">Version!$A:$M</definedName>
  </definedNames>
  <calcPr calcId="191029" concurrentManualCount="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H81" i="6" l="1"/>
  <c r="H80" i="6"/>
  <c r="A122" i="13"/>
  <c r="F122" i="13"/>
  <c r="N122" i="13" a="1"/>
  <c r="N122" i="13" s="1"/>
  <c r="S122" i="13" a="1"/>
  <c r="S122" i="13" s="1"/>
  <c r="AD122" i="13"/>
  <c r="AH122" i="13"/>
  <c r="BI122" i="13" s="1" a="1"/>
  <c r="BI122" i="13" s="1"/>
  <c r="AI122" i="13"/>
  <c r="AJ122" i="13"/>
  <c r="BK122" i="13" s="1"/>
  <c r="AM122" i="13"/>
  <c r="AN122" i="13" a="1"/>
  <c r="AN122" i="13" s="1"/>
  <c r="AP122" i="13" a="1"/>
  <c r="AP122" i="13" s="1"/>
  <c r="AQ122" i="13"/>
  <c r="AR122" i="13" a="1"/>
  <c r="AR122" i="13" s="1"/>
  <c r="AS122" i="13" a="1"/>
  <c r="AS122" i="13"/>
  <c r="BM122" i="13" a="1"/>
  <c r="BM122" i="13" s="1"/>
  <c r="BS122" i="13"/>
  <c r="BW122" i="13"/>
  <c r="CA122" i="13"/>
  <c r="CH122" i="13"/>
  <c r="CM122" i="13"/>
  <c r="CQ122" i="13"/>
  <c r="CU122" i="13"/>
  <c r="F123" i="13"/>
  <c r="N123" i="13" a="1"/>
  <c r="N123" i="13" s="1"/>
  <c r="S123" i="13" a="1"/>
  <c r="S123" i="13" s="1"/>
  <c r="AD123" i="13"/>
  <c r="AH123" i="13"/>
  <c r="AI123" i="13"/>
  <c r="AJ123" i="13"/>
  <c r="BL123" i="13" s="1"/>
  <c r="AN123" i="13" a="1"/>
  <c r="AN123" i="13" s="1"/>
  <c r="AP123" i="13" a="1"/>
  <c r="AP123" i="13" s="1"/>
  <c r="AQ123" i="13"/>
  <c r="AR123" i="13" a="1"/>
  <c r="AR123" i="13"/>
  <c r="AS123" i="13" a="1"/>
  <c r="AS123" i="13" s="1"/>
  <c r="BM123" i="13" a="1"/>
  <c r="BM123" i="13" s="1"/>
  <c r="CM123" i="13"/>
  <c r="CU123" i="13"/>
  <c r="F124" i="13"/>
  <c r="N124" i="13" a="1"/>
  <c r="N124" i="13" s="1"/>
  <c r="S124" i="13" a="1"/>
  <c r="S124" i="13" s="1"/>
  <c r="AD124" i="13"/>
  <c r="AH124" i="13"/>
  <c r="A124" i="13" s="1"/>
  <c r="AI124" i="13"/>
  <c r="AJ124" i="13"/>
  <c r="BK124" i="13" s="1"/>
  <c r="AN124" i="13" a="1"/>
  <c r="AN124" i="13" s="1"/>
  <c r="AP124" i="13" a="1"/>
  <c r="AP124" i="13" s="1"/>
  <c r="AQ124" i="13"/>
  <c r="AR124" i="13" a="1"/>
  <c r="AR124" i="13" s="1"/>
  <c r="AS124" i="13" a="1"/>
  <c r="AS124" i="13"/>
  <c r="BI124" i="13" a="1"/>
  <c r="BI124" i="13"/>
  <c r="BM124" i="13" a="1"/>
  <c r="BM124" i="13"/>
  <c r="BN124" i="13"/>
  <c r="BS124" i="13"/>
  <c r="BW124" i="13"/>
  <c r="CA124" i="13"/>
  <c r="CH124" i="13"/>
  <c r="CM124" i="13"/>
  <c r="CQ124" i="13"/>
  <c r="CU124" i="13"/>
  <c r="F125" i="13"/>
  <c r="N125" i="13" a="1"/>
  <c r="N125" i="13" s="1"/>
  <c r="S125" i="13" a="1"/>
  <c r="S125" i="13" s="1"/>
  <c r="AD125" i="13"/>
  <c r="AH125" i="13"/>
  <c r="AI125" i="13"/>
  <c r="AJ125" i="13"/>
  <c r="BL125" i="13" s="1"/>
  <c r="AN125" i="13" a="1"/>
  <c r="AN125" i="13" s="1"/>
  <c r="AP125" i="13" a="1"/>
  <c r="AP125" i="13" s="1"/>
  <c r="AQ125" i="13"/>
  <c r="AR125" i="13" a="1"/>
  <c r="AR125" i="13" s="1"/>
  <c r="AS125" i="13" a="1"/>
  <c r="AS125" i="13" s="1"/>
  <c r="BM125" i="13" a="1"/>
  <c r="BM125" i="13" s="1"/>
  <c r="A126" i="13"/>
  <c r="F126" i="13"/>
  <c r="N126" i="13" a="1"/>
  <c r="N126" i="13" s="1"/>
  <c r="S126" i="13" a="1"/>
  <c r="S126" i="13" s="1"/>
  <c r="AD126" i="13"/>
  <c r="AH126" i="13"/>
  <c r="AI126" i="13"/>
  <c r="AJ126" i="13"/>
  <c r="BK126" i="13" s="1"/>
  <c r="AM126" i="13"/>
  <c r="AN126" i="13" a="1"/>
  <c r="AN126" i="13" s="1"/>
  <c r="AP126" i="13" a="1"/>
  <c r="AP126" i="13" s="1"/>
  <c r="AQ126" i="13"/>
  <c r="AR126" i="13" a="1"/>
  <c r="AR126" i="13" s="1"/>
  <c r="AS126" i="13" a="1"/>
  <c r="AS126" i="13"/>
  <c r="BI126" i="13" a="1"/>
  <c r="BI126" i="13" s="1"/>
  <c r="BM126" i="13" a="1"/>
  <c r="BM126" i="13"/>
  <c r="BN126" i="13"/>
  <c r="BS126" i="13"/>
  <c r="BW126" i="13"/>
  <c r="CA126" i="13"/>
  <c r="CH126" i="13"/>
  <c r="CM126" i="13"/>
  <c r="CQ126" i="13"/>
  <c r="CU126" i="13"/>
  <c r="F127" i="13"/>
  <c r="N127" i="13" a="1"/>
  <c r="N127" i="13" s="1"/>
  <c r="S127" i="13" a="1"/>
  <c r="S127" i="13" s="1"/>
  <c r="AD127" i="13"/>
  <c r="AH127" i="13"/>
  <c r="AI127" i="13"/>
  <c r="AJ127" i="13"/>
  <c r="AN127" i="13" a="1"/>
  <c r="AN127" i="13" s="1"/>
  <c r="AP127" i="13" a="1"/>
  <c r="AP127" i="13" s="1"/>
  <c r="AQ127" i="13"/>
  <c r="AR127" i="13" a="1"/>
  <c r="AR127" i="13" s="1"/>
  <c r="AS127" i="13" a="1"/>
  <c r="AS127" i="13" s="1"/>
  <c r="BM127" i="13" a="1"/>
  <c r="BM127" i="13" s="1"/>
  <c r="F128" i="13"/>
  <c r="N128" i="13" a="1"/>
  <c r="N128" i="13" s="1"/>
  <c r="S128" i="13" a="1"/>
  <c r="S128" i="13" s="1"/>
  <c r="AD128" i="13"/>
  <c r="AH128" i="13"/>
  <c r="AI128" i="13"/>
  <c r="AJ128" i="13"/>
  <c r="AN128" i="13" a="1"/>
  <c r="AN128" i="13" s="1"/>
  <c r="AP128" i="13" a="1"/>
  <c r="AP128" i="13" s="1"/>
  <c r="AQ128" i="13"/>
  <c r="AR128" i="13" a="1"/>
  <c r="AR128" i="13" s="1"/>
  <c r="AS128" i="13" a="1"/>
  <c r="AS128" i="13"/>
  <c r="BM128" i="13" a="1"/>
  <c r="BM128" i="13"/>
  <c r="BN128" i="13"/>
  <c r="CA128" i="13"/>
  <c r="F129" i="13"/>
  <c r="N129" i="13" a="1"/>
  <c r="N129" i="13" s="1"/>
  <c r="S129" i="13" a="1"/>
  <c r="S129" i="13" s="1"/>
  <c r="AD129" i="13"/>
  <c r="AH129" i="13"/>
  <c r="AI129" i="13"/>
  <c r="AJ129" i="13"/>
  <c r="AN129" i="13" a="1"/>
  <c r="AN129" i="13" s="1"/>
  <c r="AP129" i="13" a="1"/>
  <c r="AP129" i="13"/>
  <c r="AQ129" i="13"/>
  <c r="AR129" i="13" a="1"/>
  <c r="AR129" i="13" s="1"/>
  <c r="AS129" i="13" a="1"/>
  <c r="AS129" i="13" s="1"/>
  <c r="BM129" i="13" a="1"/>
  <c r="BM129" i="13" s="1"/>
  <c r="F130" i="13"/>
  <c r="N130" i="13" a="1"/>
  <c r="N130" i="13" s="1"/>
  <c r="S130" i="13" a="1"/>
  <c r="S130" i="13" s="1"/>
  <c r="AD130" i="13"/>
  <c r="AH130" i="13"/>
  <c r="A130" i="13" s="1"/>
  <c r="AI130" i="13"/>
  <c r="AJ130" i="13"/>
  <c r="BK130" i="13" s="1"/>
  <c r="AN130" i="13" a="1"/>
  <c r="AN130" i="13" s="1"/>
  <c r="AP130" i="13" a="1"/>
  <c r="AP130" i="13" s="1"/>
  <c r="AQ130" i="13"/>
  <c r="AR130" i="13" a="1"/>
  <c r="AR130" i="13" s="1"/>
  <c r="AS130" i="13" a="1"/>
  <c r="AS130" i="13" s="1"/>
  <c r="BI130" i="13" a="1"/>
  <c r="BI130" i="13" s="1"/>
  <c r="BM130" i="13" a="1"/>
  <c r="BM130" i="13" s="1"/>
  <c r="BS130" i="13"/>
  <c r="BW130" i="13"/>
  <c r="CA130" i="13"/>
  <c r="CH130" i="13"/>
  <c r="CQ130" i="13"/>
  <c r="CU130" i="13"/>
  <c r="F131" i="13"/>
  <c r="N131" i="13" a="1"/>
  <c r="N131" i="13" s="1"/>
  <c r="S131" i="13" a="1"/>
  <c r="S131" i="13" s="1"/>
  <c r="AD131" i="13"/>
  <c r="AH131" i="13"/>
  <c r="CU131" i="13" s="1"/>
  <c r="AI131" i="13"/>
  <c r="AJ131" i="13"/>
  <c r="AN131" i="13" a="1"/>
  <c r="AN131" i="13" s="1"/>
  <c r="AP131" i="13" a="1"/>
  <c r="AP131" i="13"/>
  <c r="AQ131" i="13"/>
  <c r="AR131" i="13" a="1"/>
  <c r="AR131" i="13" s="1"/>
  <c r="AS131" i="13" a="1"/>
  <c r="AS131" i="13" s="1"/>
  <c r="BM131" i="13" a="1"/>
  <c r="BM131" i="13" s="1"/>
  <c r="CM131" i="13"/>
  <c r="F132" i="13"/>
  <c r="N132" i="13" a="1"/>
  <c r="N132" i="13" s="1"/>
  <c r="S132" i="13" a="1"/>
  <c r="S132" i="13" s="1"/>
  <c r="AD132" i="13"/>
  <c r="AH132" i="13"/>
  <c r="A132" i="13" s="1"/>
  <c r="AI132" i="13"/>
  <c r="AJ132" i="13"/>
  <c r="BK132" i="13" s="1"/>
  <c r="AN132" i="13" a="1"/>
  <c r="AN132" i="13" s="1"/>
  <c r="AP132" i="13" a="1"/>
  <c r="AP132" i="13" s="1"/>
  <c r="AQ132" i="13"/>
  <c r="AR132" i="13" a="1"/>
  <c r="AR132" i="13"/>
  <c r="AS132" i="13" a="1"/>
  <c r="AS132" i="13"/>
  <c r="BM132" i="13" a="1"/>
  <c r="BM132" i="13" s="1"/>
  <c r="CQ132" i="13"/>
  <c r="F133" i="13"/>
  <c r="N133" i="13" a="1"/>
  <c r="N133" i="13" s="1"/>
  <c r="S133" i="13" a="1"/>
  <c r="S133" i="13" s="1"/>
  <c r="AD133" i="13"/>
  <c r="AH133" i="13"/>
  <c r="AI133" i="13"/>
  <c r="AJ133" i="13"/>
  <c r="BK133" i="13" s="1"/>
  <c r="AN133" i="13" a="1"/>
  <c r="AN133" i="13" s="1"/>
  <c r="AP133" i="13" a="1"/>
  <c r="AP133" i="13" s="1"/>
  <c r="AQ133" i="13"/>
  <c r="AR133" i="13" a="1"/>
  <c r="AR133" i="13" s="1"/>
  <c r="AS133" i="13" a="1"/>
  <c r="AS133" i="13"/>
  <c r="BM133" i="13" a="1"/>
  <c r="BM133" i="13" s="1"/>
  <c r="CM133" i="13"/>
  <c r="F134" i="13"/>
  <c r="N134" i="13" a="1"/>
  <c r="N134" i="13" s="1"/>
  <c r="S134" i="13" a="1"/>
  <c r="S134" i="13" s="1"/>
  <c r="AD134" i="13"/>
  <c r="AH134" i="13"/>
  <c r="AI134" i="13"/>
  <c r="AJ134" i="13"/>
  <c r="BK134" i="13" s="1"/>
  <c r="AN134" i="13" a="1"/>
  <c r="AN134" i="13" s="1"/>
  <c r="AP134" i="13" a="1"/>
  <c r="AP134" i="13" s="1"/>
  <c r="AQ134" i="13"/>
  <c r="AR134" i="13" a="1"/>
  <c r="AR134" i="13" s="1"/>
  <c r="AS134" i="13" a="1"/>
  <c r="AS134" i="13" s="1"/>
  <c r="BI134" i="13" a="1"/>
  <c r="BI134" i="13" s="1"/>
  <c r="BM134" i="13" a="1"/>
  <c r="BM134" i="13" s="1"/>
  <c r="BS134" i="13"/>
  <c r="CM134" i="13"/>
  <c r="F135" i="13"/>
  <c r="N135" i="13" a="1"/>
  <c r="N135" i="13" s="1"/>
  <c r="S135" i="13" a="1"/>
  <c r="S135" i="13" s="1"/>
  <c r="AD135" i="13"/>
  <c r="AH135" i="13"/>
  <c r="AI135" i="13"/>
  <c r="AJ135" i="13"/>
  <c r="BL135" i="13" s="1"/>
  <c r="AN135" i="13" a="1"/>
  <c r="AN135" i="13" s="1"/>
  <c r="AP135" i="13" a="1"/>
  <c r="AP135" i="13" s="1"/>
  <c r="AQ135" i="13"/>
  <c r="AR135" i="13" a="1"/>
  <c r="AR135" i="13" s="1"/>
  <c r="AS135" i="13" a="1"/>
  <c r="AS135" i="13"/>
  <c r="BI135" i="13" a="1"/>
  <c r="BI135" i="13" s="1"/>
  <c r="BK135" i="13"/>
  <c r="BM135" i="13" a="1"/>
  <c r="BM135" i="13" s="1"/>
  <c r="BW135" i="13"/>
  <c r="CM135" i="13"/>
  <c r="CQ135" i="13"/>
  <c r="F136" i="13"/>
  <c r="N136" i="13" a="1"/>
  <c r="N136" i="13" s="1"/>
  <c r="S136" i="13" a="1"/>
  <c r="S136" i="13" s="1"/>
  <c r="AD136" i="13"/>
  <c r="AH136" i="13"/>
  <c r="BI136" i="13" s="1" a="1"/>
  <c r="BI136" i="13" s="1"/>
  <c r="AI136" i="13"/>
  <c r="AJ136" i="13"/>
  <c r="BL136" i="13" s="1"/>
  <c r="AN136" i="13" a="1"/>
  <c r="AN136" i="13"/>
  <c r="AP136" i="13" a="1"/>
  <c r="AP136" i="13" s="1"/>
  <c r="AQ136" i="13"/>
  <c r="AR136" i="13" a="1"/>
  <c r="AR136" i="13" s="1"/>
  <c r="AS136" i="13" a="1"/>
  <c r="AS136" i="13"/>
  <c r="BK136" i="13"/>
  <c r="BM136" i="13" a="1"/>
  <c r="BM136" i="13" s="1"/>
  <c r="BN136" i="13"/>
  <c r="BS136" i="13"/>
  <c r="CQ136" i="13"/>
  <c r="CU136" i="13"/>
  <c r="F137" i="13"/>
  <c r="N137" i="13" a="1"/>
  <c r="N137" i="13" s="1"/>
  <c r="S137" i="13" a="1"/>
  <c r="S137" i="13" s="1"/>
  <c r="AD137" i="13"/>
  <c r="AH137" i="13"/>
  <c r="AI137" i="13"/>
  <c r="AJ137" i="13"/>
  <c r="BL137" i="13" s="1"/>
  <c r="AN137" i="13" a="1"/>
  <c r="AN137" i="13" s="1"/>
  <c r="AP137" i="13" a="1"/>
  <c r="AP137" i="13" s="1"/>
  <c r="AQ137" i="13"/>
  <c r="AR137" i="13" a="1"/>
  <c r="AR137" i="13" s="1"/>
  <c r="AS137" i="13" a="1"/>
  <c r="AS137" i="13"/>
  <c r="BM137" i="13" a="1"/>
  <c r="BM137" i="13" s="1"/>
  <c r="F138" i="13"/>
  <c r="N138" i="13" a="1"/>
  <c r="N138" i="13" s="1"/>
  <c r="S138" i="13" a="1"/>
  <c r="S138" i="13" s="1"/>
  <c r="AD138" i="13"/>
  <c r="AH138" i="13"/>
  <c r="BW138" i="13" s="1"/>
  <c r="AI138" i="13"/>
  <c r="AJ138" i="13"/>
  <c r="BL138" i="13" s="1"/>
  <c r="AN138" i="13" a="1"/>
  <c r="AN138" i="13"/>
  <c r="AP138" i="13" a="1"/>
  <c r="AP138" i="13" s="1"/>
  <c r="AQ138" i="13"/>
  <c r="AR138" i="13" a="1"/>
  <c r="AR138" i="13"/>
  <c r="AS138" i="13" a="1"/>
  <c r="AS138" i="13"/>
  <c r="BM138" i="13" a="1"/>
  <c r="BM138" i="13" s="1"/>
  <c r="BS138" i="13"/>
  <c r="F139" i="13"/>
  <c r="N139" i="13" a="1"/>
  <c r="N139" i="13" s="1"/>
  <c r="S139" i="13" a="1"/>
  <c r="S139" i="13" s="1"/>
  <c r="AD139" i="13"/>
  <c r="AH139" i="13"/>
  <c r="AI139" i="13"/>
  <c r="AJ139" i="13"/>
  <c r="BL139" i="13" s="1"/>
  <c r="AN139" i="13" a="1"/>
  <c r="AN139" i="13"/>
  <c r="AP139" i="13" a="1"/>
  <c r="AP139" i="13" s="1"/>
  <c r="AQ139" i="13"/>
  <c r="AR139" i="13" a="1"/>
  <c r="AR139" i="13"/>
  <c r="AS139" i="13" a="1"/>
  <c r="AS139" i="13"/>
  <c r="BM139" i="13" a="1"/>
  <c r="BM139" i="13" s="1"/>
  <c r="F140" i="13"/>
  <c r="N140" i="13" a="1"/>
  <c r="N140" i="13" s="1"/>
  <c r="S140" i="13" a="1"/>
  <c r="S140" i="13" s="1"/>
  <c r="AD140" i="13"/>
  <c r="AH140" i="13"/>
  <c r="BN140" i="13" s="1"/>
  <c r="AI140" i="13"/>
  <c r="AJ140" i="13"/>
  <c r="AN140" i="13" a="1"/>
  <c r="AN140" i="13" s="1"/>
  <c r="AP140" i="13" a="1"/>
  <c r="AP140" i="13" s="1"/>
  <c r="AQ140" i="13"/>
  <c r="AR140" i="13" a="1"/>
  <c r="AR140" i="13"/>
  <c r="AS140" i="13" a="1"/>
  <c r="AS140" i="13"/>
  <c r="BM140" i="13" a="1"/>
  <c r="BM140" i="13" s="1"/>
  <c r="BS140" i="13"/>
  <c r="CQ140" i="13"/>
  <c r="CU140" i="13"/>
  <c r="F141" i="13"/>
  <c r="N141" i="13" a="1"/>
  <c r="N141" i="13" s="1"/>
  <c r="S141" i="13" a="1"/>
  <c r="S141" i="13" s="1"/>
  <c r="AD141" i="13"/>
  <c r="AH141" i="13"/>
  <c r="BS141" i="13" s="1"/>
  <c r="AI141" i="13"/>
  <c r="AJ141" i="13"/>
  <c r="BL141" i="13" s="1"/>
  <c r="AN141" i="13" a="1"/>
  <c r="AN141" i="13" s="1"/>
  <c r="AP141" i="13" a="1"/>
  <c r="AP141" i="13" s="1"/>
  <c r="AQ141" i="13"/>
  <c r="AR141" i="13" a="1"/>
  <c r="AR141" i="13" s="1"/>
  <c r="AS141" i="13" a="1"/>
  <c r="AS141" i="13" s="1"/>
  <c r="BK141" i="13"/>
  <c r="BM141" i="13" a="1"/>
  <c r="BM141" i="13"/>
  <c r="BW141" i="13"/>
  <c r="CH141" i="13"/>
  <c r="CQ141" i="13"/>
  <c r="F142" i="13"/>
  <c r="N142" i="13" a="1"/>
  <c r="N142" i="13" s="1"/>
  <c r="S142" i="13" a="1"/>
  <c r="S142" i="13" s="1"/>
  <c r="AD142" i="13"/>
  <c r="AH142" i="13"/>
  <c r="AI142" i="13"/>
  <c r="AJ142" i="13"/>
  <c r="AN142" i="13" a="1"/>
  <c r="AN142" i="13" s="1"/>
  <c r="AP142" i="13" a="1"/>
  <c r="AP142" i="13" s="1"/>
  <c r="AQ142" i="13"/>
  <c r="AR142" i="13" a="1"/>
  <c r="AR142" i="13" s="1"/>
  <c r="AS142" i="13" a="1"/>
  <c r="AS142" i="13" s="1"/>
  <c r="BI142" i="13" a="1"/>
  <c r="BI142" i="13" s="1"/>
  <c r="BM142" i="13" a="1"/>
  <c r="BM142" i="13" s="1"/>
  <c r="BS142" i="13"/>
  <c r="BW142" i="13"/>
  <c r="CA142" i="13"/>
  <c r="CM142" i="13"/>
  <c r="F143" i="13"/>
  <c r="N143" i="13" a="1"/>
  <c r="N143" i="13" s="1"/>
  <c r="S143" i="13" a="1"/>
  <c r="S143" i="13" s="1"/>
  <c r="AD143" i="13"/>
  <c r="AH143" i="13"/>
  <c r="BS143" i="13" s="1"/>
  <c r="AI143" i="13"/>
  <c r="AJ143" i="13"/>
  <c r="AN143" i="13" a="1"/>
  <c r="AN143" i="13"/>
  <c r="AP143" i="13" a="1"/>
  <c r="AP143" i="13" s="1"/>
  <c r="AQ143" i="13"/>
  <c r="AR143" i="13" a="1"/>
  <c r="AR143" i="13" s="1"/>
  <c r="AS143" i="13" a="1"/>
  <c r="AS143" i="13" s="1"/>
  <c r="BL143" i="13"/>
  <c r="BM143" i="13" a="1"/>
  <c r="BM143" i="13"/>
  <c r="BW143" i="13"/>
  <c r="F144" i="13"/>
  <c r="N144" i="13" a="1"/>
  <c r="N144" i="13" s="1"/>
  <c r="S144" i="13" a="1"/>
  <c r="S144" i="13" s="1"/>
  <c r="AD144" i="13"/>
  <c r="AH144" i="13"/>
  <c r="CQ144" i="13" s="1"/>
  <c r="AI144" i="13"/>
  <c r="AJ144" i="13"/>
  <c r="AN144" i="13" a="1"/>
  <c r="AN144" i="13" s="1"/>
  <c r="AP144" i="13" a="1"/>
  <c r="AP144" i="13" s="1"/>
  <c r="AQ144" i="13"/>
  <c r="AR144" i="13" a="1"/>
  <c r="AR144" i="13"/>
  <c r="AS144" i="13" a="1"/>
  <c r="AS144" i="13"/>
  <c r="BM144" i="13" a="1"/>
  <c r="BM144" i="13" s="1"/>
  <c r="CM144" i="13"/>
  <c r="F145" i="13"/>
  <c r="N145" i="13" a="1"/>
  <c r="N145" i="13" s="1"/>
  <c r="S145" i="13" a="1"/>
  <c r="S145" i="13" s="1"/>
  <c r="AD145" i="13"/>
  <c r="AH145" i="13"/>
  <c r="BN145" i="13" s="1"/>
  <c r="AI145" i="13"/>
  <c r="AJ145" i="13"/>
  <c r="BK145" i="13" s="1"/>
  <c r="AM145" i="13"/>
  <c r="AN145" i="13" a="1"/>
  <c r="AN145" i="13"/>
  <c r="AP145" i="13" a="1"/>
  <c r="AP145" i="13" s="1"/>
  <c r="AQ145" i="13"/>
  <c r="AR145" i="13" a="1"/>
  <c r="AR145" i="13"/>
  <c r="AS145" i="13" a="1"/>
  <c r="AS145" i="13" s="1"/>
  <c r="BI145" i="13" a="1"/>
  <c r="BI145" i="13" s="1"/>
  <c r="BM145" i="13" a="1"/>
  <c r="BM145" i="13" s="1"/>
  <c r="CH145" i="13"/>
  <c r="CM145" i="13"/>
  <c r="CQ145" i="13"/>
  <c r="CU145" i="13"/>
  <c r="A146" i="13"/>
  <c r="F146" i="13"/>
  <c r="N146" i="13" a="1"/>
  <c r="N146" i="13" s="1"/>
  <c r="S146" i="13" a="1"/>
  <c r="S146" i="13" s="1"/>
  <c r="AD146" i="13"/>
  <c r="AH146" i="13"/>
  <c r="BN146" i="13" s="1"/>
  <c r="AI146" i="13"/>
  <c r="AJ146" i="13"/>
  <c r="BK146" i="13" s="1"/>
  <c r="AM146" i="13"/>
  <c r="AN146" i="13" a="1"/>
  <c r="AN146" i="13" s="1"/>
  <c r="AP146" i="13" a="1"/>
  <c r="AP146" i="13" s="1"/>
  <c r="AQ146" i="13"/>
  <c r="AR146" i="13" a="1"/>
  <c r="AR146" i="13" s="1"/>
  <c r="AS146" i="13" a="1"/>
  <c r="AS146" i="13" s="1"/>
  <c r="BI146" i="13" a="1"/>
  <c r="BI146" i="13" s="1"/>
  <c r="BJ146" i="13" s="1"/>
  <c r="BM146" i="13" a="1"/>
  <c r="BM146" i="13"/>
  <c r="BS146" i="13"/>
  <c r="BW146" i="13"/>
  <c r="CA146" i="13"/>
  <c r="CH146" i="13"/>
  <c r="CM146" i="13"/>
  <c r="CU146" i="13"/>
  <c r="F147" i="13"/>
  <c r="N147" i="13" a="1"/>
  <c r="N147" i="13" s="1"/>
  <c r="S147" i="13" a="1"/>
  <c r="S147" i="13" s="1"/>
  <c r="AD147" i="13"/>
  <c r="AH147" i="13"/>
  <c r="CU147" i="13" s="1"/>
  <c r="AI147" i="13"/>
  <c r="AJ147" i="13"/>
  <c r="AN147" i="13" a="1"/>
  <c r="AN147" i="13" s="1"/>
  <c r="AP147" i="13" a="1"/>
  <c r="AP147" i="13" s="1"/>
  <c r="AQ147" i="13"/>
  <c r="AR147" i="13" a="1"/>
  <c r="AR147" i="13"/>
  <c r="AS147" i="13" a="1"/>
  <c r="AS147" i="13" s="1"/>
  <c r="BI147" i="13" a="1"/>
  <c r="BI147" i="13" s="1"/>
  <c r="BJ147" i="13" s="1"/>
  <c r="BM147" i="13" a="1"/>
  <c r="BM147" i="13" s="1"/>
  <c r="BS147" i="13"/>
  <c r="CM147" i="13"/>
  <c r="CQ147" i="13"/>
  <c r="F148" i="13"/>
  <c r="N148" i="13" a="1"/>
  <c r="N148" i="13" s="1"/>
  <c r="S148" i="13" a="1"/>
  <c r="S148" i="13" s="1"/>
  <c r="AD148" i="13"/>
  <c r="AH148" i="13"/>
  <c r="BN148" i="13" s="1"/>
  <c r="AI148" i="13"/>
  <c r="AJ148" i="13"/>
  <c r="BK148" i="13" s="1"/>
  <c r="AM148" i="13"/>
  <c r="AN148" i="13" a="1"/>
  <c r="AN148" i="13" s="1"/>
  <c r="AP148" i="13" a="1"/>
  <c r="AP148" i="13" s="1"/>
  <c r="AQ148" i="13"/>
  <c r="AR148" i="13" a="1"/>
  <c r="AR148" i="13" s="1"/>
  <c r="AS148" i="13" a="1"/>
  <c r="AS148" i="13" s="1"/>
  <c r="BI148" i="13" a="1"/>
  <c r="BI148" i="13" s="1"/>
  <c r="BM148" i="13" a="1"/>
  <c r="BM148" i="13" s="1"/>
  <c r="BW148" i="13"/>
  <c r="CM148" i="13"/>
  <c r="CU148" i="13"/>
  <c r="A149" i="13"/>
  <c r="F149" i="13"/>
  <c r="N149" i="13" a="1"/>
  <c r="N149" i="13" s="1"/>
  <c r="S149" i="13" a="1"/>
  <c r="S149" i="13" s="1"/>
  <c r="AD149" i="13"/>
  <c r="AH149" i="13"/>
  <c r="AI149" i="13"/>
  <c r="AJ149" i="13"/>
  <c r="BK149" i="13" s="1"/>
  <c r="AM149" i="13"/>
  <c r="AN149" i="13" a="1"/>
  <c r="AN149" i="13" s="1"/>
  <c r="AP149" i="13" a="1"/>
  <c r="AP149" i="13" s="1"/>
  <c r="AQ149" i="13"/>
  <c r="AR149" i="13" a="1"/>
  <c r="AR149" i="13" s="1"/>
  <c r="AS149" i="13" a="1"/>
  <c r="AS149" i="13"/>
  <c r="BI149" i="13" a="1"/>
  <c r="BI149" i="13"/>
  <c r="BJ149" i="13" s="1"/>
  <c r="BL149" i="13"/>
  <c r="BM149" i="13" a="1"/>
  <c r="BM149" i="13" s="1"/>
  <c r="BN149" i="13"/>
  <c r="BS149" i="13"/>
  <c r="BW149" i="13"/>
  <c r="CA149" i="13"/>
  <c r="CH149" i="13"/>
  <c r="CM149" i="13"/>
  <c r="CQ149" i="13"/>
  <c r="CU149" i="13"/>
  <c r="F150" i="13"/>
  <c r="N150" i="13" a="1"/>
  <c r="N150" i="13" s="1"/>
  <c r="S150" i="13" a="1"/>
  <c r="S150" i="13" s="1"/>
  <c r="AD150" i="13"/>
  <c r="AH150" i="13"/>
  <c r="BS150" i="13" s="1"/>
  <c r="AI150" i="13"/>
  <c r="AJ150" i="13"/>
  <c r="AM150" i="13"/>
  <c r="AN150" i="13" a="1"/>
  <c r="AN150" i="13"/>
  <c r="AP150" i="13" a="1"/>
  <c r="AP150" i="13" s="1"/>
  <c r="AQ150" i="13"/>
  <c r="AR150" i="13" a="1"/>
  <c r="AR150" i="13" s="1"/>
  <c r="AS150" i="13" a="1"/>
  <c r="AS150" i="13" s="1"/>
  <c r="BK150" i="13"/>
  <c r="BL150" i="13"/>
  <c r="BM150" i="13" a="1"/>
  <c r="BM150" i="13"/>
  <c r="CA150" i="13"/>
  <c r="F151" i="13"/>
  <c r="N151" i="13" a="1"/>
  <c r="N151" i="13" s="1"/>
  <c r="S151" i="13" a="1"/>
  <c r="S151" i="13" s="1"/>
  <c r="AD151" i="13"/>
  <c r="AH151" i="13"/>
  <c r="CQ151" i="13" s="1"/>
  <c r="AI151" i="13"/>
  <c r="AJ151" i="13"/>
  <c r="AN151" i="13" a="1"/>
  <c r="AN151" i="13"/>
  <c r="AP151" i="13" a="1"/>
  <c r="AP151" i="13"/>
  <c r="AQ151" i="13"/>
  <c r="AR151" i="13" a="1"/>
  <c r="AR151" i="13"/>
  <c r="AS151" i="13" a="1"/>
  <c r="AS151" i="13"/>
  <c r="BM151" i="13" a="1"/>
  <c r="BM151" i="13" s="1"/>
  <c r="BN151" i="13"/>
  <c r="CM151" i="13"/>
  <c r="CU151" i="13"/>
  <c r="F152" i="13"/>
  <c r="N152" i="13" a="1"/>
  <c r="N152" i="13" s="1"/>
  <c r="S152" i="13" a="1"/>
  <c r="S152" i="13" s="1"/>
  <c r="AD152" i="13"/>
  <c r="AH152" i="13"/>
  <c r="A152" i="13" s="1"/>
  <c r="AI152" i="13"/>
  <c r="AJ152" i="13"/>
  <c r="AM152" i="13"/>
  <c r="AN152" i="13" a="1"/>
  <c r="AN152" i="13"/>
  <c r="AP152" i="13" a="1"/>
  <c r="AP152" i="13" s="1"/>
  <c r="AQ152" i="13"/>
  <c r="AR152" i="13" a="1"/>
  <c r="AR152" i="13" s="1"/>
  <c r="AS152" i="13" a="1"/>
  <c r="AS152" i="13" s="1"/>
  <c r="BK152" i="13"/>
  <c r="BL152" i="13"/>
  <c r="BM152" i="13" a="1"/>
  <c r="BM152" i="13"/>
  <c r="BW152" i="13"/>
  <c r="CA152" i="13"/>
  <c r="CM152" i="13"/>
  <c r="A153" i="13"/>
  <c r="F153" i="13"/>
  <c r="N153" i="13" a="1"/>
  <c r="N153" i="13" s="1"/>
  <c r="S153" i="13" a="1"/>
  <c r="S153" i="13" s="1"/>
  <c r="AD153" i="13"/>
  <c r="AH153" i="13"/>
  <c r="BS153" i="13" s="1"/>
  <c r="AI153" i="13"/>
  <c r="AJ153" i="13"/>
  <c r="AM153" i="13"/>
  <c r="AN153" i="13" a="1"/>
  <c r="AN153" i="13" s="1"/>
  <c r="AP153" i="13" a="1"/>
  <c r="AP153" i="13" s="1"/>
  <c r="AQ153" i="13"/>
  <c r="AR153" i="13" a="1"/>
  <c r="AR153" i="13"/>
  <c r="AS153" i="13" a="1"/>
  <c r="AS153" i="13"/>
  <c r="BI153" i="13" a="1"/>
  <c r="BI153" i="13" s="1"/>
  <c r="BJ153" i="13" s="1"/>
  <c r="BM153" i="13" a="1"/>
  <c r="BM153" i="13" s="1"/>
  <c r="BN153" i="13"/>
  <c r="BW153" i="13"/>
  <c r="CA153" i="13"/>
  <c r="CH153" i="13"/>
  <c r="CM153" i="13"/>
  <c r="CQ153" i="13"/>
  <c r="CU153" i="13"/>
  <c r="A154" i="13"/>
  <c r="F154" i="13"/>
  <c r="N154" i="13" a="1"/>
  <c r="N154" i="13" s="1"/>
  <c r="S154" i="13" a="1"/>
  <c r="S154" i="13" s="1"/>
  <c r="AD154" i="13"/>
  <c r="AH154" i="13"/>
  <c r="BW154" i="13" s="1"/>
  <c r="AI154" i="13"/>
  <c r="AJ154" i="13"/>
  <c r="AN154" i="13" a="1"/>
  <c r="AN154" i="13" s="1"/>
  <c r="AP154" i="13" a="1"/>
  <c r="AP154" i="13" s="1"/>
  <c r="AQ154" i="13"/>
  <c r="AR154" i="13" a="1"/>
  <c r="AR154" i="13"/>
  <c r="AS154" i="13" a="1"/>
  <c r="AS154" i="13" s="1"/>
  <c r="BL154" i="13"/>
  <c r="BM154" i="13" a="1"/>
  <c r="BM154" i="13"/>
  <c r="A155" i="13"/>
  <c r="F155" i="13"/>
  <c r="N155" i="13" a="1"/>
  <c r="N155" i="13" s="1"/>
  <c r="S155" i="13" a="1"/>
  <c r="S155" i="13" s="1"/>
  <c r="AD155" i="13"/>
  <c r="AH155" i="13"/>
  <c r="AI155" i="13"/>
  <c r="AJ155" i="13"/>
  <c r="AM155" i="13"/>
  <c r="AN155" i="13" a="1"/>
  <c r="AN155" i="13" s="1"/>
  <c r="AP155" i="13" a="1"/>
  <c r="AP155" i="13"/>
  <c r="AQ155" i="13"/>
  <c r="AR155" i="13" a="1"/>
  <c r="AR155" i="13"/>
  <c r="AS155" i="13" a="1"/>
  <c r="AS155" i="13" s="1"/>
  <c r="BI155" i="13" a="1"/>
  <c r="BI155" i="13" s="1"/>
  <c r="BM155" i="13" a="1"/>
  <c r="BM155" i="13" s="1"/>
  <c r="BN155" i="13"/>
  <c r="BS155" i="13"/>
  <c r="BW155" i="13"/>
  <c r="CA155" i="13"/>
  <c r="CH155" i="13"/>
  <c r="CM155" i="13"/>
  <c r="CQ155" i="13"/>
  <c r="CU155" i="13"/>
  <c r="A156" i="13"/>
  <c r="F156" i="13"/>
  <c r="N156" i="13" a="1"/>
  <c r="N156" i="13" s="1"/>
  <c r="S156" i="13" a="1"/>
  <c r="S156" i="13" s="1"/>
  <c r="AD156" i="13"/>
  <c r="AH156" i="13"/>
  <c r="BI156" i="13" s="1" a="1"/>
  <c r="BI156" i="13" s="1"/>
  <c r="BJ156" i="13" s="1"/>
  <c r="AI156" i="13"/>
  <c r="AJ156" i="13"/>
  <c r="AM156" i="13"/>
  <c r="AN156" i="13" a="1"/>
  <c r="AN156" i="13" s="1"/>
  <c r="AP156" i="13" a="1"/>
  <c r="AP156" i="13" s="1"/>
  <c r="AQ156" i="13"/>
  <c r="AR156" i="13" a="1"/>
  <c r="AR156" i="13" s="1"/>
  <c r="AS156" i="13" a="1"/>
  <c r="AS156" i="13" s="1"/>
  <c r="BM156" i="13" a="1"/>
  <c r="BM156" i="13"/>
  <c r="BW156" i="13"/>
  <c r="CA156" i="13"/>
  <c r="CH156" i="13"/>
  <c r="A157" i="13"/>
  <c r="F157" i="13"/>
  <c r="N157" i="13" a="1"/>
  <c r="N157" i="13" s="1"/>
  <c r="S157" i="13" a="1"/>
  <c r="S157" i="13" s="1"/>
  <c r="AD157" i="13"/>
  <c r="AH157" i="13"/>
  <c r="AI157" i="13"/>
  <c r="AJ157" i="13"/>
  <c r="BK157" i="13" s="1"/>
  <c r="AN157" i="13" a="1"/>
  <c r="AN157" i="13"/>
  <c r="AP157" i="13" a="1"/>
  <c r="AP157" i="13" s="1"/>
  <c r="AQ157" i="13"/>
  <c r="AR157" i="13" a="1"/>
  <c r="AR157" i="13" s="1"/>
  <c r="AS157" i="13" a="1"/>
  <c r="AS157" i="13" s="1"/>
  <c r="BL157" i="13"/>
  <c r="BM157" i="13" a="1"/>
  <c r="BM157" i="13" s="1"/>
  <c r="BS157" i="13"/>
  <c r="BW157" i="13"/>
  <c r="CM157" i="13"/>
  <c r="A158" i="13"/>
  <c r="F158" i="13"/>
  <c r="N158" i="13" a="1"/>
  <c r="N158" i="13" s="1"/>
  <c r="S158" i="13" a="1"/>
  <c r="S158" i="13" s="1"/>
  <c r="AD158" i="13"/>
  <c r="AH158" i="13"/>
  <c r="AI158" i="13"/>
  <c r="AJ158" i="13"/>
  <c r="AM158" i="13"/>
  <c r="AN158" i="13" a="1"/>
  <c r="AN158" i="13" s="1"/>
  <c r="AP158" i="13" a="1"/>
  <c r="AP158" i="13" s="1"/>
  <c r="AQ158" i="13"/>
  <c r="AR158" i="13" a="1"/>
  <c r="AR158" i="13" s="1"/>
  <c r="AS158" i="13" a="1"/>
  <c r="AS158" i="13" s="1"/>
  <c r="BI158" i="13" a="1"/>
  <c r="BI158" i="13" s="1"/>
  <c r="BM158" i="13" a="1"/>
  <c r="BM158" i="13" s="1"/>
  <c r="BW158" i="13"/>
  <c r="CA158" i="13"/>
  <c r="CH158" i="13"/>
  <c r="CM158" i="13"/>
  <c r="CQ158" i="13"/>
  <c r="F159" i="13"/>
  <c r="N159" i="13" a="1"/>
  <c r="N159" i="13" s="1"/>
  <c r="S159" i="13" a="1"/>
  <c r="S159" i="13" s="1"/>
  <c r="AD159" i="13"/>
  <c r="AH159" i="13"/>
  <c r="AI159" i="13"/>
  <c r="AJ159" i="13"/>
  <c r="AN159" i="13" a="1"/>
  <c r="AN159" i="13"/>
  <c r="AP159" i="13" a="1"/>
  <c r="AP159" i="13" s="1"/>
  <c r="AQ159" i="13"/>
  <c r="AR159" i="13" a="1"/>
  <c r="AR159" i="13" s="1"/>
  <c r="AS159" i="13" a="1"/>
  <c r="AS159" i="13" s="1"/>
  <c r="BL159" i="13"/>
  <c r="BM159" i="13" a="1"/>
  <c r="BM159" i="13" s="1"/>
  <c r="F160" i="13"/>
  <c r="N160" i="13" a="1"/>
  <c r="N160" i="13" s="1"/>
  <c r="S160" i="13" a="1"/>
  <c r="S160" i="13" s="1"/>
  <c r="AD160" i="13"/>
  <c r="AH160" i="13"/>
  <c r="AI160" i="13"/>
  <c r="AJ160" i="13"/>
  <c r="AN160" i="13" a="1"/>
  <c r="AN160" i="13"/>
  <c r="AP160" i="13" a="1"/>
  <c r="AP160" i="13" s="1"/>
  <c r="AQ160" i="13"/>
  <c r="AR160" i="13" a="1"/>
  <c r="AR160" i="13"/>
  <c r="AS160" i="13" a="1"/>
  <c r="AS160" i="13" s="1"/>
  <c r="BM160" i="13" a="1"/>
  <c r="BM160" i="13"/>
  <c r="F161" i="13"/>
  <c r="N161" i="13" a="1"/>
  <c r="N161" i="13" s="1"/>
  <c r="S161" i="13" a="1"/>
  <c r="S161" i="13" s="1"/>
  <c r="AD161" i="13"/>
  <c r="AH161" i="13"/>
  <c r="AI161" i="13"/>
  <c r="AJ161" i="13"/>
  <c r="AN161" i="13" a="1"/>
  <c r="AN161" i="13" s="1"/>
  <c r="AP161" i="13" a="1"/>
  <c r="AP161" i="13" s="1"/>
  <c r="AQ161" i="13"/>
  <c r="AR161" i="13" a="1"/>
  <c r="AR161" i="13"/>
  <c r="AS161" i="13" a="1"/>
  <c r="AS161" i="13" s="1"/>
  <c r="BM161" i="13" a="1"/>
  <c r="BM161" i="13" s="1"/>
  <c r="BS161" i="13"/>
  <c r="BW161" i="13"/>
  <c r="CM161" i="13"/>
  <c r="CU161" i="13"/>
  <c r="F162" i="13"/>
  <c r="N162" i="13" a="1"/>
  <c r="N162" i="13" s="1"/>
  <c r="S162" i="13" a="1"/>
  <c r="S162" i="13" s="1"/>
  <c r="AD162" i="13"/>
  <c r="AH162" i="13"/>
  <c r="BS162" i="13" s="1"/>
  <c r="AI162" i="13"/>
  <c r="AJ162" i="13"/>
  <c r="AN162" i="13" a="1"/>
  <c r="AN162" i="13"/>
  <c r="AP162" i="13" a="1"/>
  <c r="AP162" i="13" s="1"/>
  <c r="AQ162" i="13"/>
  <c r="AR162" i="13" a="1"/>
  <c r="AR162" i="13" s="1"/>
  <c r="AS162" i="13" a="1"/>
  <c r="AS162" i="13" s="1"/>
  <c r="BI162" i="13" a="1"/>
  <c r="BI162" i="13" s="1"/>
  <c r="BM162" i="13" a="1"/>
  <c r="BM162" i="13" s="1"/>
  <c r="BN162" i="13"/>
  <c r="BW162" i="13"/>
  <c r="CH162" i="13"/>
  <c r="CU162" i="13"/>
  <c r="F163" i="13"/>
  <c r="N163" i="13" a="1"/>
  <c r="N163" i="13" s="1"/>
  <c r="S163" i="13" a="1"/>
  <c r="S163" i="13" s="1"/>
  <c r="AD163" i="13"/>
  <c r="AH163" i="13"/>
  <c r="AI163" i="13"/>
  <c r="AJ163" i="13"/>
  <c r="AN163" i="13" a="1"/>
  <c r="AN163" i="13"/>
  <c r="AP163" i="13" a="1"/>
  <c r="AP163" i="13" s="1"/>
  <c r="AQ163" i="13"/>
  <c r="AR163" i="13" a="1"/>
  <c r="AR163" i="13" s="1"/>
  <c r="AS163" i="13" a="1"/>
  <c r="AS163" i="13" s="1"/>
  <c r="BL163" i="13"/>
  <c r="BM163" i="13" a="1"/>
  <c r="BM163" i="13" s="1"/>
  <c r="F164" i="13"/>
  <c r="N164" i="13" a="1"/>
  <c r="N164" i="13" s="1"/>
  <c r="S164" i="13" a="1"/>
  <c r="S164" i="13" s="1"/>
  <c r="AD164" i="13"/>
  <c r="AH164" i="13"/>
  <c r="AI164" i="13"/>
  <c r="AJ164" i="13"/>
  <c r="AN164" i="13" a="1"/>
  <c r="AN164" i="13" s="1"/>
  <c r="AP164" i="13" a="1"/>
  <c r="AP164" i="13"/>
  <c r="AQ164" i="13"/>
  <c r="AR164" i="13" a="1"/>
  <c r="AR164" i="13" s="1"/>
  <c r="AS164" i="13" a="1"/>
  <c r="AS164" i="13" s="1"/>
  <c r="BM164" i="13" a="1"/>
  <c r="BM164" i="13" s="1"/>
  <c r="BS164" i="13"/>
  <c r="A165" i="13"/>
  <c r="F165" i="13"/>
  <c r="N165" i="13" a="1"/>
  <c r="N165" i="13" s="1"/>
  <c r="S165" i="13" a="1"/>
  <c r="S165" i="13" s="1"/>
  <c r="AD165" i="13"/>
  <c r="AH165" i="13"/>
  <c r="BN165" i="13" s="1"/>
  <c r="AI165" i="13"/>
  <c r="AJ165" i="13"/>
  <c r="BL165" i="13" s="1"/>
  <c r="AM165" i="13"/>
  <c r="AN165" i="13" a="1"/>
  <c r="AN165" i="13"/>
  <c r="AP165" i="13" a="1"/>
  <c r="AP165" i="13" s="1"/>
  <c r="AQ165" i="13"/>
  <c r="AR165" i="13" a="1"/>
  <c r="AR165" i="13" s="1"/>
  <c r="AS165" i="13" a="1"/>
  <c r="AS165" i="13" s="1"/>
  <c r="BI165" i="13" a="1"/>
  <c r="BI165" i="13" s="1"/>
  <c r="BJ165" i="13" s="1"/>
  <c r="BM165" i="13" a="1"/>
  <c r="BM165" i="13" s="1"/>
  <c r="BS165" i="13"/>
  <c r="BW165" i="13"/>
  <c r="CH165" i="13"/>
  <c r="CM165" i="13"/>
  <c r="CQ165" i="13"/>
  <c r="CU165" i="13"/>
  <c r="F166" i="13"/>
  <c r="N166" i="13" a="1"/>
  <c r="N166" i="13" s="1"/>
  <c r="S166" i="13" a="1"/>
  <c r="S166" i="13" s="1"/>
  <c r="AD166" i="13"/>
  <c r="AH166" i="13"/>
  <c r="BN166" i="13" s="1"/>
  <c r="AI166" i="13"/>
  <c r="AJ166" i="13"/>
  <c r="BL166" i="13" s="1"/>
  <c r="AN166" i="13" a="1"/>
  <c r="AN166" i="13" s="1"/>
  <c r="AP166" i="13" a="1"/>
  <c r="AP166" i="13"/>
  <c r="AQ166" i="13"/>
  <c r="AR166" i="13" a="1"/>
  <c r="AR166" i="13"/>
  <c r="AS166" i="13" a="1"/>
  <c r="AS166" i="13" s="1"/>
  <c r="BM166" i="13" a="1"/>
  <c r="BM166" i="13" s="1"/>
  <c r="F167" i="13"/>
  <c r="N167" i="13" a="1"/>
  <c r="N167" i="13" s="1"/>
  <c r="S167" i="13" a="1"/>
  <c r="S167" i="13" s="1"/>
  <c r="AD167" i="13"/>
  <c r="AH167" i="13"/>
  <c r="A167" i="13" s="1"/>
  <c r="AI167" i="13"/>
  <c r="AJ167" i="13"/>
  <c r="BL167" i="13" s="1"/>
  <c r="AN167" i="13" a="1"/>
  <c r="AN167" i="13" s="1"/>
  <c r="AP167" i="13" a="1"/>
  <c r="AP167" i="13" s="1"/>
  <c r="AQ167" i="13"/>
  <c r="AR167" i="13" a="1"/>
  <c r="AR167" i="13" s="1"/>
  <c r="AS167" i="13" a="1"/>
  <c r="AS167" i="13" s="1"/>
  <c r="BK167" i="13"/>
  <c r="BM167" i="13" a="1"/>
  <c r="BM167" i="13" s="1"/>
  <c r="BS167" i="13"/>
  <c r="CM167" i="13"/>
  <c r="F168" i="13"/>
  <c r="N168" i="13" a="1"/>
  <c r="N168" i="13" s="1"/>
  <c r="S168" i="13" a="1"/>
  <c r="S168" i="13" s="1"/>
  <c r="AD168" i="13"/>
  <c r="AH168" i="13"/>
  <c r="AI168" i="13"/>
  <c r="AJ168" i="13"/>
  <c r="BL168" i="13" s="1"/>
  <c r="AN168" i="13" a="1"/>
  <c r="AN168" i="13" s="1"/>
  <c r="AP168" i="13" a="1"/>
  <c r="AP168" i="13"/>
  <c r="AQ168" i="13"/>
  <c r="AR168" i="13" a="1"/>
  <c r="AR168" i="13" s="1"/>
  <c r="AS168" i="13" a="1"/>
  <c r="AS168" i="13"/>
  <c r="BM168" i="13" a="1"/>
  <c r="BM168" i="13" s="1"/>
  <c r="BN168" i="13"/>
  <c r="CU168" i="13"/>
  <c r="A169" i="13"/>
  <c r="F169" i="13"/>
  <c r="N169" i="13" a="1"/>
  <c r="N169" i="13" s="1"/>
  <c r="S169" i="13" a="1"/>
  <c r="S169" i="13" s="1"/>
  <c r="AD169" i="13"/>
  <c r="AH169" i="13"/>
  <c r="BW169" i="13" s="1"/>
  <c r="AI169" i="13"/>
  <c r="AJ169" i="13"/>
  <c r="AM169" i="13"/>
  <c r="AN169" i="13" a="1"/>
  <c r="AN169" i="13" s="1"/>
  <c r="AP169" i="13" a="1"/>
  <c r="AP169" i="13" s="1"/>
  <c r="AQ169" i="13"/>
  <c r="AR169" i="13" a="1"/>
  <c r="AR169" i="13" s="1"/>
  <c r="AS169" i="13" a="1"/>
  <c r="AS169" i="13"/>
  <c r="BL169" i="13"/>
  <c r="BM169" i="13" a="1"/>
  <c r="BM169" i="13" s="1"/>
  <c r="BN169" i="13"/>
  <c r="CA169" i="13"/>
  <c r="CM169" i="13"/>
  <c r="F170" i="13"/>
  <c r="N170" i="13" a="1"/>
  <c r="N170" i="13" s="1"/>
  <c r="S170" i="13" a="1"/>
  <c r="S170" i="13" s="1"/>
  <c r="AD170" i="13"/>
  <c r="AH170" i="13"/>
  <c r="CM170" i="13" s="1"/>
  <c r="AI170" i="13"/>
  <c r="AJ170" i="13"/>
  <c r="BL170" i="13" s="1"/>
  <c r="AN170" i="13" a="1"/>
  <c r="AN170" i="13" s="1"/>
  <c r="AP170" i="13" a="1"/>
  <c r="AP170" i="13" s="1"/>
  <c r="AQ170" i="13"/>
  <c r="AR170" i="13" a="1"/>
  <c r="AR170" i="13"/>
  <c r="AS170" i="13" a="1"/>
  <c r="AS170" i="13"/>
  <c r="BM170" i="13" a="1"/>
  <c r="BM170" i="13" s="1"/>
  <c r="A171" i="13"/>
  <c r="F171" i="13"/>
  <c r="N171" i="13" a="1"/>
  <c r="N171" i="13" s="1"/>
  <c r="S171" i="13" a="1"/>
  <c r="S171" i="13" s="1"/>
  <c r="AD171" i="13"/>
  <c r="AH171" i="13"/>
  <c r="BW171" i="13" s="1"/>
  <c r="AI171" i="13"/>
  <c r="AJ171" i="13"/>
  <c r="AM171" i="13"/>
  <c r="AN171" i="13" a="1"/>
  <c r="AN171" i="13" s="1"/>
  <c r="AP171" i="13" a="1"/>
  <c r="AP171" i="13" s="1"/>
  <c r="AQ171" i="13"/>
  <c r="AR171" i="13" a="1"/>
  <c r="AR171" i="13" s="1"/>
  <c r="AS171" i="13" a="1"/>
  <c r="AS171" i="13"/>
  <c r="BL171" i="13"/>
  <c r="BM171" i="13" a="1"/>
  <c r="BM171" i="13"/>
  <c r="BS171" i="13"/>
  <c r="CA171" i="13"/>
  <c r="CM171" i="13"/>
  <c r="F172" i="13"/>
  <c r="N172" i="13" a="1"/>
  <c r="N172" i="13" s="1"/>
  <c r="S172" i="13" a="1"/>
  <c r="S172" i="13" s="1"/>
  <c r="AD172" i="13"/>
  <c r="AH172" i="13"/>
  <c r="AI172" i="13"/>
  <c r="AJ172" i="13"/>
  <c r="AN172" i="13" a="1"/>
  <c r="AN172" i="13" s="1"/>
  <c r="AP172" i="13" a="1"/>
  <c r="AP172" i="13"/>
  <c r="AQ172" i="13"/>
  <c r="AR172" i="13" a="1"/>
  <c r="AR172" i="13" s="1"/>
  <c r="AS172" i="13" a="1"/>
  <c r="AS172" i="13" s="1"/>
  <c r="BM172" i="13" a="1"/>
  <c r="BM172" i="13" s="1"/>
  <c r="CM172" i="13"/>
  <c r="CU172" i="13"/>
  <c r="F173" i="13"/>
  <c r="N173" i="13" a="1"/>
  <c r="N173" i="13" s="1"/>
  <c r="S173" i="13" a="1"/>
  <c r="S173" i="13" s="1"/>
  <c r="AD173" i="13"/>
  <c r="AH173" i="13"/>
  <c r="BN173" i="13" s="1"/>
  <c r="AI173" i="13"/>
  <c r="AJ173" i="13"/>
  <c r="BL173" i="13" s="1"/>
  <c r="AN173" i="13" a="1"/>
  <c r="AN173" i="13" s="1"/>
  <c r="AP173" i="13" a="1"/>
  <c r="AP173" i="13" s="1"/>
  <c r="AQ173" i="13"/>
  <c r="AR173" i="13" a="1"/>
  <c r="AR173" i="13" s="1"/>
  <c r="AS173" i="13" a="1"/>
  <c r="AS173" i="13" s="1"/>
  <c r="BK173" i="13"/>
  <c r="BM173" i="13" a="1"/>
  <c r="BM173" i="13"/>
  <c r="CA173" i="13"/>
  <c r="F174" i="13"/>
  <c r="N174" i="13" a="1"/>
  <c r="N174" i="13" s="1"/>
  <c r="S174" i="13" a="1"/>
  <c r="S174" i="13" s="1"/>
  <c r="AD174" i="13"/>
  <c r="AH174" i="13"/>
  <c r="CU174" i="13" s="1"/>
  <c r="AI174" i="13"/>
  <c r="AJ174" i="13"/>
  <c r="AN174" i="13" a="1"/>
  <c r="AN174" i="13" s="1"/>
  <c r="AP174" i="13" a="1"/>
  <c r="AP174" i="13" s="1"/>
  <c r="AQ174" i="13"/>
  <c r="AR174" i="13" a="1"/>
  <c r="AR174" i="13"/>
  <c r="AS174" i="13" a="1"/>
  <c r="AS174" i="13"/>
  <c r="BM174" i="13" a="1"/>
  <c r="BM174" i="13" s="1"/>
  <c r="BN174" i="13"/>
  <c r="A175" i="13"/>
  <c r="F175" i="13"/>
  <c r="N175" i="13" a="1"/>
  <c r="N175" i="13" s="1"/>
  <c r="S175" i="13" a="1"/>
  <c r="S175" i="13" s="1"/>
  <c r="AD175" i="13"/>
  <c r="AH175" i="13"/>
  <c r="AI175" i="13"/>
  <c r="AJ175" i="13"/>
  <c r="AM175" i="13"/>
  <c r="AN175" i="13" a="1"/>
  <c r="AN175" i="13" s="1"/>
  <c r="AP175" i="13" a="1"/>
  <c r="AP175" i="13" s="1"/>
  <c r="AQ175" i="13"/>
  <c r="AR175" i="13" a="1"/>
  <c r="AR175" i="13" s="1"/>
  <c r="AS175" i="13" a="1"/>
  <c r="AS175" i="13"/>
  <c r="BL175" i="13"/>
  <c r="BM175" i="13" a="1"/>
  <c r="BM175" i="13" s="1"/>
  <c r="BN175" i="13"/>
  <c r="CA175" i="13"/>
  <c r="CM175" i="13"/>
  <c r="F176" i="13"/>
  <c r="N176" i="13" a="1"/>
  <c r="N176" i="13" s="1"/>
  <c r="S176" i="13" a="1"/>
  <c r="S176" i="13" s="1"/>
  <c r="AD176" i="13"/>
  <c r="AH176" i="13"/>
  <c r="CU176" i="13" s="1"/>
  <c r="AI176" i="13"/>
  <c r="AJ176" i="13"/>
  <c r="AN176" i="13" a="1"/>
  <c r="AN176" i="13" s="1"/>
  <c r="AP176" i="13" a="1"/>
  <c r="AP176" i="13" s="1"/>
  <c r="AQ176" i="13"/>
  <c r="AR176" i="13" a="1"/>
  <c r="AR176" i="13"/>
  <c r="AS176" i="13" a="1"/>
  <c r="AS176" i="13"/>
  <c r="BM176" i="13" a="1"/>
  <c r="BM176" i="13" s="1"/>
  <c r="BN176" i="13"/>
  <c r="F177" i="13"/>
  <c r="N177" i="13" a="1"/>
  <c r="N177" i="13" s="1"/>
  <c r="S177" i="13" a="1"/>
  <c r="S177" i="13" s="1"/>
  <c r="AD177" i="13"/>
  <c r="AH177" i="13"/>
  <c r="A177" i="13" s="1"/>
  <c r="AI177" i="13"/>
  <c r="AJ177" i="13"/>
  <c r="AN177" i="13" a="1"/>
  <c r="AN177" i="13" s="1"/>
  <c r="AP177" i="13" a="1"/>
  <c r="AP177" i="13" s="1"/>
  <c r="AQ177" i="13"/>
  <c r="AR177" i="13" a="1"/>
  <c r="AR177" i="13" s="1"/>
  <c r="AS177" i="13" a="1"/>
  <c r="AS177" i="13" s="1"/>
  <c r="BL177" i="13"/>
  <c r="BM177" i="13" a="1"/>
  <c r="BM177" i="13"/>
  <c r="F178" i="13"/>
  <c r="N178" i="13" a="1"/>
  <c r="N178" i="13" s="1"/>
  <c r="S178" i="13" a="1"/>
  <c r="S178" i="13" s="1"/>
  <c r="AD178" i="13"/>
  <c r="AH178" i="13"/>
  <c r="BK178" i="13" s="1"/>
  <c r="AI178" i="13"/>
  <c r="AJ178" i="13"/>
  <c r="BL178" i="13" s="1"/>
  <c r="AN178" i="13" a="1"/>
  <c r="AN178" i="13" s="1"/>
  <c r="AP178" i="13" a="1"/>
  <c r="AP178" i="13" s="1"/>
  <c r="AQ178" i="13"/>
  <c r="AR178" i="13" a="1"/>
  <c r="AR178" i="13" s="1"/>
  <c r="AS178" i="13" a="1"/>
  <c r="AS178" i="13" s="1"/>
  <c r="BM178" i="13" a="1"/>
  <c r="BM178" i="13" s="1"/>
  <c r="F179" i="13"/>
  <c r="N179" i="13" a="1"/>
  <c r="N179" i="13" s="1"/>
  <c r="S179" i="13" a="1"/>
  <c r="S179" i="13" s="1"/>
  <c r="AD179" i="13"/>
  <c r="AH179" i="13"/>
  <c r="AI179" i="13"/>
  <c r="AJ179" i="13"/>
  <c r="BL179" i="13" s="1"/>
  <c r="AN179" i="13" a="1"/>
  <c r="AN179" i="13" s="1"/>
  <c r="AP179" i="13" a="1"/>
  <c r="AP179" i="13" s="1"/>
  <c r="AQ179" i="13"/>
  <c r="AR179" i="13" a="1"/>
  <c r="AR179" i="13" s="1"/>
  <c r="AS179" i="13" a="1"/>
  <c r="AS179" i="13" s="1"/>
  <c r="BM179" i="13" a="1"/>
  <c r="BM179" i="13" s="1"/>
  <c r="BN179" i="13"/>
  <c r="BW179" i="13"/>
  <c r="CA179" i="13"/>
  <c r="F180" i="13"/>
  <c r="N180" i="13" a="1"/>
  <c r="N180" i="13" s="1"/>
  <c r="S180" i="13" a="1"/>
  <c r="S180" i="13" s="1"/>
  <c r="AD180" i="13"/>
  <c r="AH180" i="13"/>
  <c r="CM180" i="13" s="1"/>
  <c r="AI180" i="13"/>
  <c r="AJ180" i="13"/>
  <c r="AN180" i="13" a="1"/>
  <c r="AN180" i="13"/>
  <c r="AP180" i="13" a="1"/>
  <c r="AP180" i="13" s="1"/>
  <c r="AQ180" i="13"/>
  <c r="AR180" i="13" a="1"/>
  <c r="AR180" i="13"/>
  <c r="AS180" i="13" a="1"/>
  <c r="AS180" i="13" s="1"/>
  <c r="BM180" i="13" a="1"/>
  <c r="BM180" i="13"/>
  <c r="CA180" i="13"/>
  <c r="CQ180" i="13"/>
  <c r="CU180" i="13"/>
  <c r="A181" i="13"/>
  <c r="F181" i="13"/>
  <c r="N181" i="13" a="1"/>
  <c r="N181" i="13" s="1"/>
  <c r="S181" i="13" a="1"/>
  <c r="S181" i="13" s="1"/>
  <c r="AD181" i="13"/>
  <c r="AH181" i="13"/>
  <c r="AI181" i="13"/>
  <c r="AJ181" i="13"/>
  <c r="AM181" i="13"/>
  <c r="AN181" i="13" a="1"/>
  <c r="AN181" i="13" s="1"/>
  <c r="AP181" i="13" a="1"/>
  <c r="AP181" i="13" s="1"/>
  <c r="AQ181" i="13"/>
  <c r="AR181" i="13" a="1"/>
  <c r="AR181" i="13" s="1"/>
  <c r="AS181" i="13" a="1"/>
  <c r="AS181" i="13" s="1"/>
  <c r="BK181" i="13"/>
  <c r="BL181" i="13"/>
  <c r="BM181" i="13" a="1"/>
  <c r="BM181" i="13" s="1"/>
  <c r="BS181" i="13"/>
  <c r="BW181" i="13"/>
  <c r="CA181" i="13"/>
  <c r="CH181" i="13"/>
  <c r="CM181" i="13"/>
  <c r="F182" i="13"/>
  <c r="N182" i="13" a="1"/>
  <c r="N182" i="13" s="1"/>
  <c r="S182" i="13" a="1"/>
  <c r="S182" i="13" s="1"/>
  <c r="AD182" i="13"/>
  <c r="AH182" i="13"/>
  <c r="CQ182" i="13" s="1"/>
  <c r="AI182" i="13"/>
  <c r="AJ182" i="13"/>
  <c r="AM182" i="13"/>
  <c r="AN182" i="13" a="1"/>
  <c r="AN182" i="13"/>
  <c r="AP182" i="13" a="1"/>
  <c r="AP182" i="13"/>
  <c r="AQ182" i="13"/>
  <c r="AR182" i="13" a="1"/>
  <c r="AR182" i="13" s="1"/>
  <c r="AS182" i="13" a="1"/>
  <c r="AS182" i="13" s="1"/>
  <c r="BI182" i="13" a="1"/>
  <c r="BI182" i="13" s="1"/>
  <c r="BJ182" i="13"/>
  <c r="BM182" i="13" a="1"/>
  <c r="BM182" i="13" s="1"/>
  <c r="CA182" i="13"/>
  <c r="CH182" i="13"/>
  <c r="CM182" i="13"/>
  <c r="CU182" i="13"/>
  <c r="F183" i="13"/>
  <c r="N183" i="13" a="1"/>
  <c r="N183" i="13" s="1"/>
  <c r="S183" i="13" a="1"/>
  <c r="S183" i="13" s="1"/>
  <c r="AD183" i="13"/>
  <c r="AH183" i="13"/>
  <c r="CU183" i="13" s="1"/>
  <c r="AI183" i="13"/>
  <c r="AJ183" i="13"/>
  <c r="BL183" i="13" s="1"/>
  <c r="AN183" i="13" a="1"/>
  <c r="AN183" i="13" s="1"/>
  <c r="AP183" i="13" a="1"/>
  <c r="AP183" i="13" s="1"/>
  <c r="AQ183" i="13"/>
  <c r="AR183" i="13" a="1"/>
  <c r="AR183" i="13" s="1"/>
  <c r="AS183" i="13" a="1"/>
  <c r="AS183" i="13" s="1"/>
  <c r="BM183" i="13" a="1"/>
  <c r="BM183" i="13" s="1"/>
  <c r="BS183" i="13"/>
  <c r="CA183" i="13"/>
  <c r="CM183" i="13"/>
  <c r="F184" i="13"/>
  <c r="N184" i="13" a="1"/>
  <c r="N184" i="13" s="1"/>
  <c r="S184" i="13" a="1"/>
  <c r="S184" i="13" s="1"/>
  <c r="AD184" i="13"/>
  <c r="AH184" i="13"/>
  <c r="CH184" i="13" s="1"/>
  <c r="AI184" i="13"/>
  <c r="AJ184" i="13"/>
  <c r="AM184" i="13"/>
  <c r="AN184" i="13" a="1"/>
  <c r="AN184" i="13" s="1"/>
  <c r="AP184" i="13" a="1"/>
  <c r="AP184" i="13" s="1"/>
  <c r="AQ184" i="13"/>
  <c r="AR184" i="13" a="1"/>
  <c r="AR184" i="13"/>
  <c r="AS184" i="13" a="1"/>
  <c r="AS184" i="13" s="1"/>
  <c r="BI184" i="13" a="1"/>
  <c r="BI184" i="13" s="1"/>
  <c r="BM184" i="13" a="1"/>
  <c r="BM184" i="13" s="1"/>
  <c r="CA184" i="13"/>
  <c r="CM184" i="13"/>
  <c r="CU184" i="13"/>
  <c r="A185" i="13"/>
  <c r="F185" i="13"/>
  <c r="N185" i="13" a="1"/>
  <c r="N185" i="13" s="1"/>
  <c r="S185" i="13" a="1"/>
  <c r="S185" i="13" s="1"/>
  <c r="AD185" i="13"/>
  <c r="AH185" i="13"/>
  <c r="BI185" i="13" s="1" a="1"/>
  <c r="AI185" i="13"/>
  <c r="AJ185" i="13"/>
  <c r="BL185" i="13" s="1"/>
  <c r="AM185" i="13"/>
  <c r="AN185" i="13" a="1"/>
  <c r="AN185" i="13" s="1"/>
  <c r="AP185" i="13" a="1"/>
  <c r="AP185" i="13" s="1"/>
  <c r="AQ185" i="13"/>
  <c r="AR185" i="13" a="1"/>
  <c r="AR185" i="13" s="1"/>
  <c r="AS185" i="13" a="1"/>
  <c r="AS185" i="13"/>
  <c r="BI185" i="13"/>
  <c r="BJ185" i="13" s="1"/>
  <c r="BK185" i="13"/>
  <c r="BM185" i="13" a="1"/>
  <c r="BM185" i="13" s="1"/>
  <c r="BN185" i="13"/>
  <c r="BS185" i="13"/>
  <c r="BW185" i="13"/>
  <c r="CA185" i="13"/>
  <c r="CH185" i="13"/>
  <c r="CM185" i="13"/>
  <c r="CU185" i="13"/>
  <c r="F186" i="13"/>
  <c r="N186" i="13" a="1"/>
  <c r="N186" i="13" s="1"/>
  <c r="S186" i="13" a="1"/>
  <c r="S186" i="13" s="1"/>
  <c r="AD186" i="13"/>
  <c r="AH186" i="13"/>
  <c r="CH186" i="13" s="1"/>
  <c r="AI186" i="13"/>
  <c r="AJ186" i="13"/>
  <c r="BL186" i="13" s="1"/>
  <c r="AN186" i="13" a="1"/>
  <c r="AN186" i="13"/>
  <c r="AP186" i="13" a="1"/>
  <c r="AP186" i="13" s="1"/>
  <c r="AQ186" i="13"/>
  <c r="AR186" i="13" a="1"/>
  <c r="AR186" i="13"/>
  <c r="AS186" i="13" a="1"/>
  <c r="AS186" i="13" s="1"/>
  <c r="BM186" i="13" a="1"/>
  <c r="BM186" i="13"/>
  <c r="CA186" i="13"/>
  <c r="CM186" i="13"/>
  <c r="A187" i="13"/>
  <c r="F187" i="13"/>
  <c r="N187" i="13" a="1"/>
  <c r="N187" i="13" s="1"/>
  <c r="S187" i="13" a="1"/>
  <c r="S187" i="13" s="1"/>
  <c r="AD187" i="13"/>
  <c r="AH187" i="13"/>
  <c r="AI187" i="13"/>
  <c r="AJ187" i="13"/>
  <c r="BL187" i="13" s="1"/>
  <c r="AM187" i="13"/>
  <c r="AN187" i="13" a="1"/>
  <c r="AN187" i="13" s="1"/>
  <c r="AP187" i="13" a="1"/>
  <c r="AP187" i="13" s="1"/>
  <c r="AQ187" i="13"/>
  <c r="AR187" i="13" a="1"/>
  <c r="AR187" i="13" s="1"/>
  <c r="AS187" i="13" a="1"/>
  <c r="AS187" i="13"/>
  <c r="BK187" i="13"/>
  <c r="BM187" i="13" a="1"/>
  <c r="BM187" i="13"/>
  <c r="BN187" i="13"/>
  <c r="BS187" i="13"/>
  <c r="BW187" i="13"/>
  <c r="CA187" i="13"/>
  <c r="CH187" i="13"/>
  <c r="CM187" i="13"/>
  <c r="F188" i="13"/>
  <c r="N188" i="13" a="1"/>
  <c r="N188" i="13" s="1"/>
  <c r="S188" i="13" a="1"/>
  <c r="S188" i="13" s="1"/>
  <c r="AD188" i="13"/>
  <c r="AH188" i="13"/>
  <c r="AM188" i="13" s="1"/>
  <c r="AI188" i="13"/>
  <c r="AJ188" i="13"/>
  <c r="BL188" i="13" s="1"/>
  <c r="AN188" i="13" a="1"/>
  <c r="AN188" i="13"/>
  <c r="AP188" i="13" a="1"/>
  <c r="AP188" i="13"/>
  <c r="AQ188" i="13"/>
  <c r="AR188" i="13" a="1"/>
  <c r="AR188" i="13" s="1"/>
  <c r="AS188" i="13" a="1"/>
  <c r="AS188" i="13" s="1"/>
  <c r="BK188" i="13"/>
  <c r="BM188" i="13" a="1"/>
  <c r="BM188" i="13" s="1"/>
  <c r="CA188" i="13"/>
  <c r="CM188" i="13"/>
  <c r="F189" i="13"/>
  <c r="N189" i="13" a="1"/>
  <c r="N189" i="13" s="1"/>
  <c r="S189" i="13" a="1"/>
  <c r="S189" i="13" s="1"/>
  <c r="AD189" i="13"/>
  <c r="AH189" i="13"/>
  <c r="CM189" i="13" s="1"/>
  <c r="AI189" i="13"/>
  <c r="AJ189" i="13"/>
  <c r="BK189" i="13" s="1"/>
  <c r="AN189" i="13" a="1"/>
  <c r="AN189" i="13" s="1"/>
  <c r="AP189" i="13" a="1"/>
  <c r="AP189" i="13" s="1"/>
  <c r="AQ189" i="13"/>
  <c r="AR189" i="13" a="1"/>
  <c r="AR189" i="13" s="1"/>
  <c r="AS189" i="13" a="1"/>
  <c r="AS189" i="13" s="1"/>
  <c r="BL189" i="13"/>
  <c r="BM189" i="13" a="1"/>
  <c r="BM189" i="13"/>
  <c r="BS189" i="13"/>
  <c r="CA189" i="13"/>
  <c r="CU189" i="13"/>
  <c r="F190" i="13"/>
  <c r="N190" i="13" a="1"/>
  <c r="N190" i="13" s="1"/>
  <c r="S190" i="13" a="1"/>
  <c r="S190" i="13" s="1"/>
  <c r="AD190" i="13"/>
  <c r="AH190" i="13"/>
  <c r="BI190" i="13" s="1" a="1"/>
  <c r="BI190" i="13" s="1"/>
  <c r="AI190" i="13"/>
  <c r="AJ190" i="13"/>
  <c r="BL190" i="13" s="1"/>
  <c r="AM190" i="13"/>
  <c r="AN190" i="13" a="1"/>
  <c r="AN190" i="13"/>
  <c r="AP190" i="13" a="1"/>
  <c r="AP190" i="13"/>
  <c r="AQ190" i="13"/>
  <c r="AR190" i="13" a="1"/>
  <c r="AR190" i="13"/>
  <c r="AS190" i="13" a="1"/>
  <c r="AS190" i="13" s="1"/>
  <c r="BM190" i="13" a="1"/>
  <c r="BM190" i="13"/>
  <c r="CH190" i="13"/>
  <c r="CU190" i="13"/>
  <c r="F191" i="13"/>
  <c r="N191" i="13" a="1"/>
  <c r="N191" i="13" s="1"/>
  <c r="S191" i="13" a="1"/>
  <c r="S191" i="13" s="1"/>
  <c r="AD191" i="13"/>
  <c r="AH191" i="13"/>
  <c r="BS191" i="13" s="1"/>
  <c r="AI191" i="13"/>
  <c r="AJ191" i="13"/>
  <c r="AN191" i="13" a="1"/>
  <c r="AN191" i="13" s="1"/>
  <c r="AP191" i="13" a="1"/>
  <c r="AP191" i="13"/>
  <c r="AQ191" i="13"/>
  <c r="AR191" i="13" a="1"/>
  <c r="AR191" i="13" s="1"/>
  <c r="AS191" i="13" a="1"/>
  <c r="AS191" i="13" s="1"/>
  <c r="BM191" i="13" a="1"/>
  <c r="BM191" i="13" s="1"/>
  <c r="BN191" i="13"/>
  <c r="BW191" i="13"/>
  <c r="F192" i="13"/>
  <c r="N192" i="13" a="1"/>
  <c r="N192" i="13" s="1"/>
  <c r="S192" i="13" a="1"/>
  <c r="S192" i="13" s="1"/>
  <c r="AD192" i="13"/>
  <c r="AH192" i="13"/>
  <c r="CA192" i="13" s="1"/>
  <c r="AI192" i="13"/>
  <c r="AJ192" i="13"/>
  <c r="BL192" i="13" s="1"/>
  <c r="AN192" i="13" a="1"/>
  <c r="AN192" i="13" s="1"/>
  <c r="AP192" i="13" a="1"/>
  <c r="AP192" i="13" s="1"/>
  <c r="AQ192" i="13"/>
  <c r="AR192" i="13" a="1"/>
  <c r="AR192" i="13"/>
  <c r="AS192" i="13" a="1"/>
  <c r="AS192" i="13"/>
  <c r="BM192" i="13" a="1"/>
  <c r="BM192" i="13" s="1"/>
  <c r="BN192" i="13"/>
  <c r="F193" i="13"/>
  <c r="N193" i="13" a="1"/>
  <c r="N193" i="13" s="1"/>
  <c r="S193" i="13" a="1"/>
  <c r="S193" i="13" s="1"/>
  <c r="AD193" i="13"/>
  <c r="AH193" i="13"/>
  <c r="BS193" i="13" s="1"/>
  <c r="AI193" i="13"/>
  <c r="AJ193" i="13"/>
  <c r="BL193" i="13" s="1"/>
  <c r="AN193" i="13" a="1"/>
  <c r="AN193" i="13" s="1"/>
  <c r="AP193" i="13" a="1"/>
  <c r="AP193" i="13" s="1"/>
  <c r="AQ193" i="13"/>
  <c r="AR193" i="13" a="1"/>
  <c r="AR193" i="13"/>
  <c r="AS193" i="13" a="1"/>
  <c r="AS193" i="13" s="1"/>
  <c r="BI193" i="13" a="1"/>
  <c r="BI193" i="13" s="1"/>
  <c r="BJ193" i="13" s="1"/>
  <c r="BM193" i="13" a="1"/>
  <c r="BM193" i="13"/>
  <c r="F194" i="13"/>
  <c r="N194" i="13" a="1"/>
  <c r="N194" i="13" s="1"/>
  <c r="S194" i="13" a="1"/>
  <c r="S194" i="13" s="1"/>
  <c r="AD194" i="13"/>
  <c r="AH194" i="13"/>
  <c r="AI194" i="13"/>
  <c r="AJ194" i="13"/>
  <c r="AN194" i="13" a="1"/>
  <c r="AN194" i="13" s="1"/>
  <c r="AP194" i="13" a="1"/>
  <c r="AP194" i="13" s="1"/>
  <c r="AQ194" i="13"/>
  <c r="AR194" i="13" a="1"/>
  <c r="AR194" i="13" s="1"/>
  <c r="AS194" i="13" a="1"/>
  <c r="AS194" i="13" s="1"/>
  <c r="BL194" i="13"/>
  <c r="BM194" i="13" a="1"/>
  <c r="BM194" i="13" s="1"/>
  <c r="CA194" i="13"/>
  <c r="CH194" i="13"/>
  <c r="F195" i="13"/>
  <c r="N195" i="13" a="1"/>
  <c r="N195" i="13" s="1"/>
  <c r="S195" i="13" a="1"/>
  <c r="S195" i="13" s="1"/>
  <c r="AD195" i="13"/>
  <c r="AH195" i="13"/>
  <c r="BN195" i="13" s="1"/>
  <c r="AI195" i="13"/>
  <c r="AJ195" i="13"/>
  <c r="BK195" i="13" s="1"/>
  <c r="AN195" i="13" a="1"/>
  <c r="AN195" i="13" s="1"/>
  <c r="AP195" i="13" a="1"/>
  <c r="AP195" i="13" s="1"/>
  <c r="AQ195" i="13"/>
  <c r="AR195" i="13" a="1"/>
  <c r="AR195" i="13" s="1"/>
  <c r="AS195" i="13" a="1"/>
  <c r="AS195" i="13" s="1"/>
  <c r="BL195" i="13"/>
  <c r="BM195" i="13" a="1"/>
  <c r="BM195" i="13"/>
  <c r="BS195" i="13"/>
  <c r="CH195" i="13"/>
  <c r="F196" i="13"/>
  <c r="N196" i="13" a="1"/>
  <c r="N196" i="13" s="1"/>
  <c r="S196" i="13" a="1"/>
  <c r="S196" i="13" s="1"/>
  <c r="AD196" i="13"/>
  <c r="AH196" i="13"/>
  <c r="AI196" i="13"/>
  <c r="AJ196" i="13"/>
  <c r="AN196" i="13" a="1"/>
  <c r="AN196" i="13" s="1"/>
  <c r="AP196" i="13" a="1"/>
  <c r="AP196" i="13" s="1"/>
  <c r="AQ196" i="13"/>
  <c r="AR196" i="13" a="1"/>
  <c r="AR196" i="13" s="1"/>
  <c r="AS196" i="13" a="1"/>
  <c r="AS196" i="13" s="1"/>
  <c r="BL196" i="13"/>
  <c r="BM196" i="13" a="1"/>
  <c r="BM196" i="13" s="1"/>
  <c r="CH196" i="13"/>
  <c r="F197" i="13"/>
  <c r="N197" i="13" a="1"/>
  <c r="N197" i="13" s="1"/>
  <c r="S197" i="13" a="1"/>
  <c r="S197" i="13" s="1"/>
  <c r="AD197" i="13"/>
  <c r="AH197" i="13"/>
  <c r="CM197" i="13" s="1"/>
  <c r="AI197" i="13"/>
  <c r="AJ197" i="13"/>
  <c r="AM197" i="13"/>
  <c r="AN197" i="13" a="1"/>
  <c r="AN197" i="13" s="1"/>
  <c r="AP197" i="13" a="1"/>
  <c r="AP197" i="13" s="1"/>
  <c r="AQ197" i="13"/>
  <c r="AR197" i="13" a="1"/>
  <c r="AR197" i="13" s="1"/>
  <c r="AS197" i="13" a="1"/>
  <c r="AS197" i="13" s="1"/>
  <c r="BK197" i="13"/>
  <c r="BL197" i="13"/>
  <c r="BM197" i="13" a="1"/>
  <c r="BM197" i="13" s="1"/>
  <c r="BS197" i="13"/>
  <c r="CA197" i="13"/>
  <c r="CH197" i="13"/>
  <c r="F198" i="13"/>
  <c r="N198" i="13" a="1"/>
  <c r="N198" i="13" s="1"/>
  <c r="S198" i="13" a="1"/>
  <c r="S198" i="13" s="1"/>
  <c r="AD198" i="13"/>
  <c r="AH198" i="13"/>
  <c r="CM198" i="13" s="1"/>
  <c r="AI198" i="13"/>
  <c r="AJ198" i="13"/>
  <c r="AN198" i="13" a="1"/>
  <c r="AN198" i="13" s="1"/>
  <c r="AP198" i="13" a="1"/>
  <c r="AP198" i="13" s="1"/>
  <c r="AQ198" i="13"/>
  <c r="AR198" i="13" a="1"/>
  <c r="AR198" i="13" s="1"/>
  <c r="AS198" i="13" a="1"/>
  <c r="AS198" i="13" s="1"/>
  <c r="BL198" i="13"/>
  <c r="BM198" i="13" a="1"/>
  <c r="BM198" i="13" s="1"/>
  <c r="F199" i="13"/>
  <c r="N199" i="13" a="1"/>
  <c r="N199" i="13" s="1"/>
  <c r="S199" i="13" a="1"/>
  <c r="S199" i="13" s="1"/>
  <c r="AD199" i="13"/>
  <c r="AH199" i="13"/>
  <c r="CH199" i="13" s="1"/>
  <c r="AI199" i="13"/>
  <c r="AJ199" i="13"/>
  <c r="AN199" i="13" a="1"/>
  <c r="AN199" i="13" s="1"/>
  <c r="AP199" i="13" a="1"/>
  <c r="AP199" i="13"/>
  <c r="AQ199" i="13"/>
  <c r="AR199" i="13" a="1"/>
  <c r="AR199" i="13" s="1"/>
  <c r="AS199" i="13" a="1"/>
  <c r="AS199" i="13"/>
  <c r="BM199" i="13" a="1"/>
  <c r="BM199" i="13"/>
  <c r="CA199" i="13"/>
  <c r="CM199" i="13"/>
  <c r="F200" i="13"/>
  <c r="N200" i="13" a="1"/>
  <c r="N200" i="13" s="1"/>
  <c r="S200" i="13" a="1"/>
  <c r="S200" i="13" s="1"/>
  <c r="AD200" i="13"/>
  <c r="AH200" i="13"/>
  <c r="CM200" i="13" s="1"/>
  <c r="AI200" i="13"/>
  <c r="AJ200" i="13"/>
  <c r="AM200" i="13"/>
  <c r="AN200" i="13" a="1"/>
  <c r="AN200" i="13"/>
  <c r="AP200" i="13" a="1"/>
  <c r="AP200" i="13" s="1"/>
  <c r="AQ200" i="13"/>
  <c r="AR200" i="13" a="1"/>
  <c r="AR200" i="13" s="1"/>
  <c r="AS200" i="13" a="1"/>
  <c r="AS200" i="13" s="1"/>
  <c r="BK200" i="13"/>
  <c r="BL200" i="13"/>
  <c r="BM200" i="13" a="1"/>
  <c r="BM200" i="13" s="1"/>
  <c r="CQ200" i="13"/>
  <c r="F201" i="13"/>
  <c r="N201" i="13" a="1"/>
  <c r="N201" i="13" s="1"/>
  <c r="S201" i="13" a="1"/>
  <c r="S201" i="13" s="1"/>
  <c r="AD201" i="13"/>
  <c r="AH201" i="13"/>
  <c r="CU201" i="13" s="1"/>
  <c r="AI201" i="13"/>
  <c r="AJ201" i="13"/>
  <c r="AM201" i="13"/>
  <c r="AN201" i="13" a="1"/>
  <c r="AN201" i="13" s="1"/>
  <c r="AP201" i="13" a="1"/>
  <c r="AP201" i="13" s="1"/>
  <c r="AQ201" i="13"/>
  <c r="AR201" i="13" a="1"/>
  <c r="AR201" i="13" s="1"/>
  <c r="AS201" i="13" a="1"/>
  <c r="AS201" i="13" s="1"/>
  <c r="BK201" i="13"/>
  <c r="BL201" i="13"/>
  <c r="BM201" i="13" a="1"/>
  <c r="BM201" i="13" s="1"/>
  <c r="BN201" i="13"/>
  <c r="BS201" i="13"/>
  <c r="CA201" i="13"/>
  <c r="CM201" i="13"/>
  <c r="F202" i="13"/>
  <c r="N202" i="13" a="1"/>
  <c r="N202" i="13" s="1"/>
  <c r="S202" i="13" a="1"/>
  <c r="S202" i="13" s="1"/>
  <c r="AD202" i="13"/>
  <c r="AH202" i="13"/>
  <c r="CH202" i="13" s="1"/>
  <c r="AI202" i="13"/>
  <c r="AJ202" i="13"/>
  <c r="BL202" i="13" s="1"/>
  <c r="AN202" i="13" a="1"/>
  <c r="AN202" i="13" s="1"/>
  <c r="AP202" i="13" a="1"/>
  <c r="AP202" i="13" s="1"/>
  <c r="AQ202" i="13"/>
  <c r="AR202" i="13" a="1"/>
  <c r="AR202" i="13"/>
  <c r="AS202" i="13" a="1"/>
  <c r="AS202" i="13" s="1"/>
  <c r="BI202" i="13" a="1"/>
  <c r="BI202" i="13" s="1"/>
  <c r="BM202" i="13" a="1"/>
  <c r="BM202" i="13"/>
  <c r="F203" i="13"/>
  <c r="N203" i="13" a="1"/>
  <c r="N203" i="13" s="1"/>
  <c r="S203" i="13" a="1"/>
  <c r="S203" i="13" s="1"/>
  <c r="AD203" i="13"/>
  <c r="AH203" i="13"/>
  <c r="CA203" i="13" s="1"/>
  <c r="AI203" i="13"/>
  <c r="AJ203" i="13"/>
  <c r="BL203" i="13" s="1"/>
  <c r="AN203" i="13" a="1"/>
  <c r="AN203" i="13" s="1"/>
  <c r="AP203" i="13" a="1"/>
  <c r="AP203" i="13"/>
  <c r="AQ203" i="13"/>
  <c r="AR203" i="13" a="1"/>
  <c r="AR203" i="13" s="1"/>
  <c r="AS203" i="13" a="1"/>
  <c r="AS203" i="13" s="1"/>
  <c r="BK203" i="13"/>
  <c r="BM203" i="13" a="1"/>
  <c r="BM203" i="13" s="1"/>
  <c r="F204" i="13"/>
  <c r="N204" i="13" a="1"/>
  <c r="N204" i="13" s="1"/>
  <c r="S204" i="13" a="1"/>
  <c r="S204" i="13" s="1"/>
  <c r="AD204" i="13"/>
  <c r="AH204" i="13"/>
  <c r="AI204" i="13"/>
  <c r="AJ204" i="13"/>
  <c r="AN204" i="13" a="1"/>
  <c r="AN204" i="13"/>
  <c r="AP204" i="13" a="1"/>
  <c r="AP204" i="13"/>
  <c r="AQ204" i="13"/>
  <c r="AR204" i="13" a="1"/>
  <c r="AR204" i="13" s="1"/>
  <c r="AS204" i="13" a="1"/>
  <c r="AS204" i="13" s="1"/>
  <c r="BM204" i="13" a="1"/>
  <c r="BM204" i="13" s="1"/>
  <c r="F205" i="13"/>
  <c r="N205" i="13" a="1"/>
  <c r="N205" i="13" s="1"/>
  <c r="S205" i="13" a="1"/>
  <c r="S205" i="13" s="1"/>
  <c r="AD205" i="13"/>
  <c r="AH205" i="13"/>
  <c r="BI205" i="13" s="1" a="1"/>
  <c r="BI205" i="13" s="1"/>
  <c r="AI205" i="13"/>
  <c r="AJ205" i="13"/>
  <c r="BK205" i="13" s="1"/>
  <c r="AM205" i="13"/>
  <c r="AN205" i="13" a="1"/>
  <c r="AN205" i="13" s="1"/>
  <c r="AP205" i="13" a="1"/>
  <c r="AP205" i="13" s="1"/>
  <c r="AQ205" i="13"/>
  <c r="AR205" i="13" a="1"/>
  <c r="AR205" i="13" s="1"/>
  <c r="AS205" i="13" a="1"/>
  <c r="AS205" i="13" s="1"/>
  <c r="BJ205" i="13"/>
  <c r="BL205" i="13"/>
  <c r="BM205" i="13" a="1"/>
  <c r="BM205" i="13"/>
  <c r="BN205" i="13"/>
  <c r="BS205" i="13"/>
  <c r="BW205" i="13"/>
  <c r="CA205" i="13"/>
  <c r="CH205" i="13"/>
  <c r="CM205" i="13"/>
  <c r="CN205" i="13" s="1"/>
  <c r="CU205" i="13"/>
  <c r="F206" i="13"/>
  <c r="N206" i="13" a="1"/>
  <c r="N206" i="13" s="1"/>
  <c r="S206" i="13" a="1"/>
  <c r="S206" i="13" s="1"/>
  <c r="AD206" i="13"/>
  <c r="AH206" i="13"/>
  <c r="CQ206" i="13" s="1"/>
  <c r="AI206" i="13"/>
  <c r="AJ206" i="13"/>
  <c r="BL206" i="13" s="1"/>
  <c r="AN206" i="13" a="1"/>
  <c r="AN206" i="13" s="1"/>
  <c r="AP206" i="13" a="1"/>
  <c r="AP206" i="13" s="1"/>
  <c r="AQ206" i="13"/>
  <c r="AR206" i="13" a="1"/>
  <c r="AR206" i="13" s="1"/>
  <c r="AS206" i="13" a="1"/>
  <c r="AS206" i="13" s="1"/>
  <c r="BM206" i="13" a="1"/>
  <c r="BM206" i="13" s="1"/>
  <c r="F207" i="13"/>
  <c r="N207" i="13" a="1"/>
  <c r="N207" i="13" s="1"/>
  <c r="S207" i="13" a="1"/>
  <c r="S207" i="13" s="1"/>
  <c r="AD207" i="13"/>
  <c r="AH207" i="13"/>
  <c r="CU207" i="13" s="1"/>
  <c r="AI207" i="13"/>
  <c r="AJ207" i="13"/>
  <c r="BL207" i="13" s="1"/>
  <c r="AN207" i="13" a="1"/>
  <c r="AN207" i="13" s="1"/>
  <c r="AP207" i="13" a="1"/>
  <c r="AP207" i="13" s="1"/>
  <c r="AQ207" i="13"/>
  <c r="AR207" i="13" a="1"/>
  <c r="AR207" i="13" s="1"/>
  <c r="AS207" i="13" a="1"/>
  <c r="AS207" i="13" s="1"/>
  <c r="BM207" i="13" a="1"/>
  <c r="BM207" i="13" s="1"/>
  <c r="A208" i="13"/>
  <c r="F208" i="13"/>
  <c r="N208" i="13" a="1"/>
  <c r="N208" i="13" s="1"/>
  <c r="S208" i="13" a="1"/>
  <c r="S208" i="13" s="1"/>
  <c r="AD208" i="13"/>
  <c r="AH208" i="13"/>
  <c r="BN208" i="13" s="1"/>
  <c r="AI208" i="13"/>
  <c r="AJ208" i="13"/>
  <c r="BK208" i="13" s="1"/>
  <c r="AM208" i="13"/>
  <c r="AN208" i="13" a="1"/>
  <c r="AN208" i="13"/>
  <c r="AP208" i="13" a="1"/>
  <c r="AP208" i="13" s="1"/>
  <c r="AQ208" i="13"/>
  <c r="AR208" i="13" a="1"/>
  <c r="AR208" i="13" s="1"/>
  <c r="AS208" i="13" a="1"/>
  <c r="AS208" i="13" s="1"/>
  <c r="BI208" i="13" a="1"/>
  <c r="BI208" i="13" s="1"/>
  <c r="BM208" i="13" a="1"/>
  <c r="BM208" i="13" s="1"/>
  <c r="BS208" i="13"/>
  <c r="BW208" i="13"/>
  <c r="CA208" i="13"/>
  <c r="CH208" i="13"/>
  <c r="CM208" i="13"/>
  <c r="CQ208" i="13"/>
  <c r="CU208" i="13"/>
  <c r="F209" i="13"/>
  <c r="N209" i="13" a="1"/>
  <c r="N209" i="13" s="1"/>
  <c r="S209" i="13" a="1"/>
  <c r="S209" i="13" s="1"/>
  <c r="AD209" i="13"/>
  <c r="AH209" i="13"/>
  <c r="AI209" i="13"/>
  <c r="AJ209" i="13"/>
  <c r="AN209" i="13" a="1"/>
  <c r="AN209" i="13"/>
  <c r="AP209" i="13" a="1"/>
  <c r="AP209" i="13" s="1"/>
  <c r="AQ209" i="13"/>
  <c r="AR209" i="13" a="1"/>
  <c r="AR209" i="13" s="1"/>
  <c r="AS209" i="13" a="1"/>
  <c r="AS209" i="13" s="1"/>
  <c r="BM209" i="13" a="1"/>
  <c r="BM209" i="13" s="1"/>
  <c r="BS209" i="13"/>
  <c r="BW209" i="13"/>
  <c r="CQ209" i="13"/>
  <c r="A210" i="13"/>
  <c r="F210" i="13"/>
  <c r="N210" i="13" a="1"/>
  <c r="N210" i="13" s="1"/>
  <c r="S210" i="13" a="1"/>
  <c r="S210" i="13" s="1"/>
  <c r="AD210" i="13"/>
  <c r="AH210" i="13"/>
  <c r="AI210" i="13"/>
  <c r="AJ210" i="13"/>
  <c r="BK210" i="13" s="1"/>
  <c r="AM210" i="13"/>
  <c r="AN210" i="13" a="1"/>
  <c r="AN210" i="13"/>
  <c r="AP210" i="13" a="1"/>
  <c r="AP210" i="13" s="1"/>
  <c r="AQ210" i="13"/>
  <c r="AR210" i="13" a="1"/>
  <c r="AR210" i="13"/>
  <c r="AS210" i="13" a="1"/>
  <c r="AS210" i="13" s="1"/>
  <c r="BI210" i="13" a="1"/>
  <c r="BI210" i="13" s="1"/>
  <c r="BM210" i="13" a="1"/>
  <c r="BM210" i="13" s="1"/>
  <c r="BN210" i="13"/>
  <c r="BS210" i="13"/>
  <c r="BW210" i="13"/>
  <c r="CA210" i="13"/>
  <c r="CH210" i="13"/>
  <c r="CM210" i="13"/>
  <c r="CQ210" i="13"/>
  <c r="CU210" i="13"/>
  <c r="A211" i="13"/>
  <c r="F211" i="13"/>
  <c r="N211" i="13" a="1"/>
  <c r="N211" i="13" s="1"/>
  <c r="S211" i="13" a="1"/>
  <c r="S211" i="13" s="1"/>
  <c r="AD211" i="13"/>
  <c r="AH211" i="13"/>
  <c r="AM211" i="13" s="1"/>
  <c r="AI211" i="13"/>
  <c r="AJ211" i="13"/>
  <c r="AN211" i="13" a="1"/>
  <c r="AN211" i="13" s="1"/>
  <c r="AP211" i="13" a="1"/>
  <c r="AP211" i="13" s="1"/>
  <c r="AQ211" i="13"/>
  <c r="AR211" i="13" a="1"/>
  <c r="AR211" i="13" s="1"/>
  <c r="AS211" i="13" a="1"/>
  <c r="AS211" i="13" s="1"/>
  <c r="BM211" i="13" a="1"/>
  <c r="BM211" i="13" s="1"/>
  <c r="BS211" i="13"/>
  <c r="CM211" i="13"/>
  <c r="CQ211" i="13"/>
  <c r="CU211" i="13"/>
  <c r="F212" i="13"/>
  <c r="N212" i="13" a="1"/>
  <c r="N212" i="13" s="1"/>
  <c r="S212" i="13" a="1"/>
  <c r="S212" i="13" s="1"/>
  <c r="AD212" i="13"/>
  <c r="AH212" i="13"/>
  <c r="AI212" i="13"/>
  <c r="AJ212" i="13"/>
  <c r="BK212" i="13" s="1"/>
  <c r="AN212" i="13" a="1"/>
  <c r="AN212" i="13" s="1"/>
  <c r="AP212" i="13" a="1"/>
  <c r="AP212" i="13" s="1"/>
  <c r="AQ212" i="13"/>
  <c r="AR212" i="13" a="1"/>
  <c r="AR212" i="13" s="1"/>
  <c r="AS212" i="13" a="1"/>
  <c r="AS212" i="13" s="1"/>
  <c r="BI212" i="13" a="1"/>
  <c r="BI212" i="13" s="1"/>
  <c r="BL212" i="13"/>
  <c r="BM212" i="13" a="1"/>
  <c r="BM212" i="13" s="1"/>
  <c r="BN212" i="13"/>
  <c r="BW212" i="13"/>
  <c r="CA212" i="13"/>
  <c r="CH212" i="13"/>
  <c r="CQ212" i="13"/>
  <c r="CU212" i="13"/>
  <c r="A213" i="13"/>
  <c r="F213" i="13"/>
  <c r="N213" i="13" a="1"/>
  <c r="N213" i="13" s="1"/>
  <c r="S213" i="13" a="1"/>
  <c r="S213" i="13" s="1"/>
  <c r="AD213" i="13"/>
  <c r="AH213" i="13"/>
  <c r="AM213" i="13" s="1"/>
  <c r="AI213" i="13"/>
  <c r="AJ213" i="13"/>
  <c r="AN213" i="13" a="1"/>
  <c r="AN213" i="13" s="1"/>
  <c r="AP213" i="13" a="1"/>
  <c r="AP213" i="13" s="1"/>
  <c r="AQ213" i="13"/>
  <c r="AR213" i="13" a="1"/>
  <c r="AR213" i="13" s="1"/>
  <c r="AS213" i="13" a="1"/>
  <c r="AS213" i="13" s="1"/>
  <c r="BI213" i="13" a="1"/>
  <c r="BI213" i="13" s="1"/>
  <c r="BJ213" i="13" s="1"/>
  <c r="BM213" i="13" a="1"/>
  <c r="BM213" i="13" s="1"/>
  <c r="BS213" i="13"/>
  <c r="BW213" i="13"/>
  <c r="CM213" i="13"/>
  <c r="CQ213" i="13"/>
  <c r="CU213" i="13"/>
  <c r="A214" i="13"/>
  <c r="F214" i="13"/>
  <c r="N214" i="13" a="1"/>
  <c r="N214" i="13" s="1"/>
  <c r="S214" i="13" a="1"/>
  <c r="S214" i="13" s="1"/>
  <c r="AD214" i="13"/>
  <c r="AH214" i="13"/>
  <c r="CQ214" i="13" s="1"/>
  <c r="AI214" i="13"/>
  <c r="AJ214" i="13"/>
  <c r="BK214" i="13" s="1"/>
  <c r="AM214" i="13"/>
  <c r="AN214" i="13" a="1"/>
  <c r="AN214" i="13"/>
  <c r="AP214" i="13" a="1"/>
  <c r="AP214" i="13" s="1"/>
  <c r="AQ214" i="13"/>
  <c r="AR214" i="13" a="1"/>
  <c r="AR214" i="13"/>
  <c r="AS214" i="13" a="1"/>
  <c r="AS214" i="13" s="1"/>
  <c r="BI214" i="13" a="1"/>
  <c r="BI214" i="13" s="1"/>
  <c r="BM214" i="13" a="1"/>
  <c r="BM214" i="13"/>
  <c r="BN214" i="13"/>
  <c r="BS214" i="13"/>
  <c r="BW214" i="13"/>
  <c r="CA214" i="13"/>
  <c r="CH214" i="13"/>
  <c r="CM214" i="13"/>
  <c r="CU214" i="13"/>
  <c r="A215" i="13"/>
  <c r="F215" i="13"/>
  <c r="N215" i="13" a="1"/>
  <c r="N215" i="13" s="1"/>
  <c r="S215" i="13" a="1"/>
  <c r="S215" i="13" s="1"/>
  <c r="AD215" i="13"/>
  <c r="AH215" i="13"/>
  <c r="BS215" i="13" s="1"/>
  <c r="AI215" i="13"/>
  <c r="AJ215" i="13"/>
  <c r="AN215" i="13" a="1"/>
  <c r="AN215" i="13" s="1"/>
  <c r="AP215" i="13" a="1"/>
  <c r="AP215" i="13" s="1"/>
  <c r="AQ215" i="13"/>
  <c r="AR215" i="13" a="1"/>
  <c r="AR215" i="13" s="1"/>
  <c r="AS215" i="13" a="1"/>
  <c r="AS215" i="13" s="1"/>
  <c r="BM215" i="13" a="1"/>
  <c r="BM215" i="13" s="1"/>
  <c r="BW215" i="13"/>
  <c r="CQ215" i="13"/>
  <c r="CU215" i="13"/>
  <c r="A216" i="13"/>
  <c r="F216" i="13"/>
  <c r="N216" i="13" a="1"/>
  <c r="N216" i="13" s="1"/>
  <c r="S216" i="13" a="1"/>
  <c r="S216" i="13" s="1"/>
  <c r="AD216" i="13"/>
  <c r="AH216" i="13"/>
  <c r="CM216" i="13" s="1"/>
  <c r="AI216" i="13"/>
  <c r="AJ216" i="13"/>
  <c r="BK216" i="13" s="1"/>
  <c r="AM216" i="13"/>
  <c r="AN216" i="13" a="1"/>
  <c r="AN216" i="13"/>
  <c r="AP216" i="13" a="1"/>
  <c r="AP216" i="13" s="1"/>
  <c r="AQ216" i="13"/>
  <c r="AR216" i="13" a="1"/>
  <c r="AR216" i="13"/>
  <c r="AS216" i="13" a="1"/>
  <c r="AS216" i="13" s="1"/>
  <c r="BI216" i="13" a="1"/>
  <c r="BI216" i="13" s="1"/>
  <c r="BM216" i="13" a="1"/>
  <c r="BM216" i="13" s="1"/>
  <c r="BN216" i="13"/>
  <c r="BS216" i="13"/>
  <c r="BW216" i="13"/>
  <c r="CA216" i="13"/>
  <c r="CH216" i="13"/>
  <c r="CQ216" i="13"/>
  <c r="CU216" i="13"/>
  <c r="A217" i="13"/>
  <c r="F217" i="13"/>
  <c r="N217" i="13" a="1"/>
  <c r="N217" i="13" s="1"/>
  <c r="S217" i="13" a="1"/>
  <c r="S217" i="13" s="1"/>
  <c r="AD217" i="13"/>
  <c r="AH217" i="13"/>
  <c r="CQ217" i="13" s="1"/>
  <c r="AI217" i="13"/>
  <c r="AJ217" i="13"/>
  <c r="BL217" i="13" s="1"/>
  <c r="AN217" i="13" a="1"/>
  <c r="AN217" i="13" s="1"/>
  <c r="AP217" i="13" a="1"/>
  <c r="AP217" i="13"/>
  <c r="AQ217" i="13"/>
  <c r="AR217" i="13" a="1"/>
  <c r="AR217" i="13" s="1"/>
  <c r="AS217" i="13" a="1"/>
  <c r="AS217" i="13" s="1"/>
  <c r="BI217" i="13" a="1"/>
  <c r="BI217" i="13" s="1"/>
  <c r="BJ217" i="13" s="1"/>
  <c r="BK217" i="13"/>
  <c r="BM217" i="13" a="1"/>
  <c r="BM217" i="13" s="1"/>
  <c r="BS217" i="13"/>
  <c r="BW217" i="13"/>
  <c r="CM217" i="13"/>
  <c r="CU217" i="13"/>
  <c r="A218" i="13"/>
  <c r="F218" i="13"/>
  <c r="N218" i="13" a="1"/>
  <c r="N218" i="13" s="1"/>
  <c r="S218" i="13" a="1"/>
  <c r="S218" i="13" s="1"/>
  <c r="AD218" i="13"/>
  <c r="AH218" i="13"/>
  <c r="AI218" i="13"/>
  <c r="AJ218" i="13"/>
  <c r="AM218" i="13"/>
  <c r="AN218" i="13" a="1"/>
  <c r="AN218" i="13" s="1"/>
  <c r="AP218" i="13" a="1"/>
  <c r="AP218" i="13" s="1"/>
  <c r="AQ218" i="13"/>
  <c r="AR218" i="13" a="1"/>
  <c r="AR218" i="13" s="1"/>
  <c r="AS218" i="13" a="1"/>
  <c r="AS218" i="13" s="1"/>
  <c r="BI218" i="13" a="1"/>
  <c r="BI218" i="13" s="1"/>
  <c r="BM218" i="13" a="1"/>
  <c r="BM218" i="13"/>
  <c r="BN218" i="13"/>
  <c r="BW218" i="13"/>
  <c r="CH218" i="13"/>
  <c r="CQ218" i="13"/>
  <c r="CU218" i="13"/>
  <c r="F219" i="13"/>
  <c r="N219" i="13" a="1"/>
  <c r="N219" i="13" s="1"/>
  <c r="S219" i="13" a="1"/>
  <c r="S219" i="13" s="1"/>
  <c r="AD219" i="13"/>
  <c r="AH219" i="13"/>
  <c r="AI219" i="13"/>
  <c r="AJ219" i="13"/>
  <c r="BK219" i="13" s="1"/>
  <c r="AN219" i="13" a="1"/>
  <c r="AN219" i="13"/>
  <c r="AP219" i="13" a="1"/>
  <c r="AP219" i="13" s="1"/>
  <c r="AQ219" i="13"/>
  <c r="AR219" i="13" a="1"/>
  <c r="AR219" i="13" s="1"/>
  <c r="AS219" i="13" a="1"/>
  <c r="AS219" i="13" s="1"/>
  <c r="BI219" i="13" a="1"/>
  <c r="BI219" i="13" s="1"/>
  <c r="BM219" i="13" a="1"/>
  <c r="BM219" i="13" s="1"/>
  <c r="BW219" i="13"/>
  <c r="CM219" i="13"/>
  <c r="CQ219" i="13"/>
  <c r="F220" i="13"/>
  <c r="N220" i="13" a="1"/>
  <c r="N220" i="13" s="1"/>
  <c r="S220" i="13" a="1"/>
  <c r="S220" i="13" s="1"/>
  <c r="AD220" i="13"/>
  <c r="AH220" i="13"/>
  <c r="CU220" i="13" s="1"/>
  <c r="AI220" i="13"/>
  <c r="AJ220" i="13"/>
  <c r="AN220" i="13" a="1"/>
  <c r="AN220" i="13" s="1"/>
  <c r="AP220" i="13" a="1"/>
  <c r="AP220" i="13" s="1"/>
  <c r="AQ220" i="13"/>
  <c r="AR220" i="13" a="1"/>
  <c r="AR220" i="13" s="1"/>
  <c r="AS220" i="13" a="1"/>
  <c r="AS220" i="13" s="1"/>
  <c r="BL220" i="13"/>
  <c r="BM220" i="13" a="1"/>
  <c r="BM220" i="13" s="1"/>
  <c r="BW220" i="13"/>
  <c r="CQ220" i="13"/>
  <c r="A221" i="13"/>
  <c r="F221" i="13"/>
  <c r="N221" i="13" a="1"/>
  <c r="N221" i="13" s="1"/>
  <c r="S221" i="13" a="1"/>
  <c r="S221" i="13" s="1"/>
  <c r="AD221" i="13"/>
  <c r="AH221" i="13"/>
  <c r="BI221" i="13" s="1" a="1"/>
  <c r="BI221" i="13" s="1"/>
  <c r="AI221" i="13"/>
  <c r="AJ221" i="13"/>
  <c r="AN221" i="13" a="1"/>
  <c r="AN221" i="13" s="1"/>
  <c r="AP221" i="13" a="1"/>
  <c r="AP221" i="13"/>
  <c r="AQ221" i="13"/>
  <c r="AR221" i="13" a="1"/>
  <c r="AR221" i="13"/>
  <c r="AS221" i="13" a="1"/>
  <c r="AS221" i="13" s="1"/>
  <c r="BM221" i="13" a="1"/>
  <c r="BM221" i="13" s="1"/>
  <c r="CM221" i="13"/>
  <c r="F222" i="13"/>
  <c r="N222" i="13" a="1"/>
  <c r="N222" i="13" s="1"/>
  <c r="S222" i="13" a="1"/>
  <c r="S222" i="13" s="1"/>
  <c r="AD222" i="13"/>
  <c r="AH222" i="13"/>
  <c r="CU222" i="13" s="1"/>
  <c r="AI222" i="13"/>
  <c r="AJ222" i="13"/>
  <c r="AN222" i="13" a="1"/>
  <c r="AN222" i="13" s="1"/>
  <c r="AP222" i="13" a="1"/>
  <c r="AP222" i="13" s="1"/>
  <c r="AQ222" i="13"/>
  <c r="AR222" i="13" a="1"/>
  <c r="AR222" i="13"/>
  <c r="AS222" i="13" a="1"/>
  <c r="AS222" i="13" s="1"/>
  <c r="BM222" i="13" a="1"/>
  <c r="BM222" i="13" s="1"/>
  <c r="BW222" i="13"/>
  <c r="CQ222" i="13"/>
  <c r="F223" i="13"/>
  <c r="N223" i="13" a="1"/>
  <c r="N223" i="13" s="1"/>
  <c r="S223" i="13" a="1"/>
  <c r="S223" i="13" s="1"/>
  <c r="AD223" i="13"/>
  <c r="AH223" i="13"/>
  <c r="A223" i="13" s="1"/>
  <c r="AI223" i="13"/>
  <c r="AJ223" i="13"/>
  <c r="BL223" i="13" s="1"/>
  <c r="AN223" i="13" a="1"/>
  <c r="AN223" i="13" s="1"/>
  <c r="AP223" i="13" a="1"/>
  <c r="AP223" i="13" s="1"/>
  <c r="AQ223" i="13"/>
  <c r="AR223" i="13" a="1"/>
  <c r="AR223" i="13" s="1"/>
  <c r="AS223" i="13" a="1"/>
  <c r="AS223" i="13" s="1"/>
  <c r="BM223" i="13" a="1"/>
  <c r="BM223" i="13" s="1"/>
  <c r="BS223" i="13"/>
  <c r="CM223" i="13"/>
  <c r="F224" i="13"/>
  <c r="N224" i="13" a="1"/>
  <c r="N224" i="13" s="1"/>
  <c r="S224" i="13" a="1"/>
  <c r="S224" i="13" s="1"/>
  <c r="AD224" i="13"/>
  <c r="AH224" i="13"/>
  <c r="CQ224" i="13" s="1"/>
  <c r="AI224" i="13"/>
  <c r="AJ224" i="13"/>
  <c r="AN224" i="13" a="1"/>
  <c r="AN224" i="13" s="1"/>
  <c r="AP224" i="13" a="1"/>
  <c r="AP224" i="13" s="1"/>
  <c r="AQ224" i="13"/>
  <c r="AR224" i="13" a="1"/>
  <c r="AR224" i="13" s="1"/>
  <c r="AS224" i="13" a="1"/>
  <c r="AS224" i="13" s="1"/>
  <c r="BI224" i="13" a="1"/>
  <c r="BI224" i="13" s="1"/>
  <c r="BM224" i="13" a="1"/>
  <c r="BM224" i="13" s="1"/>
  <c r="CA224" i="13"/>
  <c r="CM224" i="13"/>
  <c r="CU224" i="13"/>
  <c r="F225" i="13"/>
  <c r="N225" i="13" a="1"/>
  <c r="N225" i="13" s="1"/>
  <c r="S225" i="13" a="1"/>
  <c r="S225" i="13" s="1"/>
  <c r="AD225" i="13"/>
  <c r="AH225" i="13"/>
  <c r="A225" i="13" s="1"/>
  <c r="AI225" i="13"/>
  <c r="AJ225" i="13"/>
  <c r="AN225" i="13" a="1"/>
  <c r="AN225" i="13"/>
  <c r="AP225" i="13" a="1"/>
  <c r="AP225" i="13" s="1"/>
  <c r="AQ225" i="13"/>
  <c r="AR225" i="13" a="1"/>
  <c r="AR225" i="13" s="1"/>
  <c r="AS225" i="13" a="1"/>
  <c r="AS225" i="13" s="1"/>
  <c r="BM225" i="13" a="1"/>
  <c r="BM225" i="13" s="1"/>
  <c r="A226" i="13"/>
  <c r="F226" i="13"/>
  <c r="N226" i="13" a="1"/>
  <c r="N226" i="13" s="1"/>
  <c r="S226" i="13" a="1"/>
  <c r="S226" i="13" s="1"/>
  <c r="AD226" i="13"/>
  <c r="AH226" i="13"/>
  <c r="CU226" i="13" s="1"/>
  <c r="AI226" i="13"/>
  <c r="AJ226" i="13"/>
  <c r="AM226" i="13"/>
  <c r="AN226" i="13" a="1"/>
  <c r="AN226" i="13" s="1"/>
  <c r="AP226" i="13" a="1"/>
  <c r="AP226" i="13" s="1"/>
  <c r="AQ226" i="13"/>
  <c r="AR226" i="13" a="1"/>
  <c r="AR226" i="13" s="1"/>
  <c r="AS226" i="13" a="1"/>
  <c r="AS226" i="13" s="1"/>
  <c r="BI226" i="13" a="1"/>
  <c r="BI226" i="13" s="1"/>
  <c r="BM226" i="13" a="1"/>
  <c r="BM226" i="13" s="1"/>
  <c r="BN226" i="13"/>
  <c r="BS226" i="13"/>
  <c r="BW226" i="13"/>
  <c r="CA226" i="13"/>
  <c r="CH226" i="13"/>
  <c r="CM226" i="13"/>
  <c r="CQ226" i="13"/>
  <c r="F227" i="13"/>
  <c r="N227" i="13" a="1"/>
  <c r="N227" i="13" s="1"/>
  <c r="S227" i="13" a="1"/>
  <c r="S227" i="13" s="1"/>
  <c r="AD227" i="13"/>
  <c r="AH227" i="13"/>
  <c r="AI227" i="13"/>
  <c r="AJ227" i="13"/>
  <c r="AN227" i="13" a="1"/>
  <c r="AN227" i="13"/>
  <c r="AP227" i="13" a="1"/>
  <c r="AP227" i="13"/>
  <c r="AQ227" i="13"/>
  <c r="AR227" i="13" a="1"/>
  <c r="AR227" i="13" s="1"/>
  <c r="AS227" i="13" a="1"/>
  <c r="AS227" i="13" s="1"/>
  <c r="BM227" i="13" a="1"/>
  <c r="BM227" i="13" s="1"/>
  <c r="BS227" i="13"/>
  <c r="CM227" i="13"/>
  <c r="F228" i="13"/>
  <c r="N228" i="13" a="1"/>
  <c r="N228" i="13" s="1"/>
  <c r="S228" i="13" a="1"/>
  <c r="S228" i="13" s="1"/>
  <c r="AD228" i="13"/>
  <c r="AH228" i="13"/>
  <c r="BS228" i="13" s="1"/>
  <c r="AI228" i="13"/>
  <c r="AJ228" i="13"/>
  <c r="AN228" i="13" a="1"/>
  <c r="AN228" i="13" s="1"/>
  <c r="AP228" i="13" a="1"/>
  <c r="AP228" i="13" s="1"/>
  <c r="AQ228" i="13"/>
  <c r="AR228" i="13" a="1"/>
  <c r="AR228" i="13" s="1"/>
  <c r="AS228" i="13" a="1"/>
  <c r="AS228" i="13"/>
  <c r="BM228" i="13" a="1"/>
  <c r="BM228" i="13" s="1"/>
  <c r="F229" i="13"/>
  <c r="N229" i="13" a="1"/>
  <c r="N229" i="13" s="1"/>
  <c r="S229" i="13" a="1"/>
  <c r="S229" i="13" s="1"/>
  <c r="AD229" i="13"/>
  <c r="AH229" i="13"/>
  <c r="A229" i="13" s="1"/>
  <c r="AI229" i="13"/>
  <c r="AJ229" i="13"/>
  <c r="AN229" i="13" a="1"/>
  <c r="AN229" i="13"/>
  <c r="AP229" i="13" a="1"/>
  <c r="AP229" i="13" s="1"/>
  <c r="AQ229" i="13"/>
  <c r="AR229" i="13" a="1"/>
  <c r="AR229" i="13" s="1"/>
  <c r="AS229" i="13" a="1"/>
  <c r="AS229" i="13" s="1"/>
  <c r="BM229" i="13" a="1"/>
  <c r="BM229" i="13" s="1"/>
  <c r="F230" i="13"/>
  <c r="N230" i="13" a="1"/>
  <c r="N230" i="13" s="1"/>
  <c r="S230" i="13" a="1"/>
  <c r="S230" i="13" s="1"/>
  <c r="AD230" i="13"/>
  <c r="AH230" i="13"/>
  <c r="BS230" i="13" s="1"/>
  <c r="AI230" i="13"/>
  <c r="AJ230" i="13"/>
  <c r="AN230" i="13" a="1"/>
  <c r="AN230" i="13" s="1"/>
  <c r="AP230" i="13" a="1"/>
  <c r="AP230" i="13" s="1"/>
  <c r="AQ230" i="13"/>
  <c r="AR230" i="13" a="1"/>
  <c r="AR230" i="13"/>
  <c r="AS230" i="13" a="1"/>
  <c r="AS230" i="13" s="1"/>
  <c r="BM230" i="13" a="1"/>
  <c r="BM230" i="13"/>
  <c r="BN230" i="13"/>
  <c r="CA230" i="13"/>
  <c r="F231" i="13"/>
  <c r="N231" i="13" a="1"/>
  <c r="N231" i="13" s="1"/>
  <c r="S231" i="13" a="1"/>
  <c r="S231" i="13" s="1"/>
  <c r="AD231" i="13"/>
  <c r="AH231" i="13"/>
  <c r="BW231" i="13" s="1"/>
  <c r="AI231" i="13"/>
  <c r="AJ231" i="13"/>
  <c r="BL231" i="13" s="1"/>
  <c r="AN231" i="13" a="1"/>
  <c r="AN231" i="13"/>
  <c r="AP231" i="13" a="1"/>
  <c r="AP231" i="13"/>
  <c r="AQ231" i="13"/>
  <c r="AR231" i="13" a="1"/>
  <c r="AR231" i="13" s="1"/>
  <c r="AS231" i="13" a="1"/>
  <c r="AS231" i="13" s="1"/>
  <c r="BM231" i="13" a="1"/>
  <c r="BM231" i="13" s="1"/>
  <c r="BS231" i="13"/>
  <c r="CM231" i="13"/>
  <c r="CU231" i="13"/>
  <c r="F232" i="13"/>
  <c r="N232" i="13" a="1"/>
  <c r="N232" i="13" s="1"/>
  <c r="S232" i="13" a="1"/>
  <c r="S232" i="13" s="1"/>
  <c r="AD232" i="13"/>
  <c r="AH232" i="13"/>
  <c r="A232" i="13" s="1"/>
  <c r="AI232" i="13"/>
  <c r="AJ232" i="13"/>
  <c r="AN232" i="13" a="1"/>
  <c r="AN232" i="13" s="1"/>
  <c r="AP232" i="13" a="1"/>
  <c r="AP232" i="13" s="1"/>
  <c r="AQ232" i="13"/>
  <c r="AR232" i="13" a="1"/>
  <c r="AR232" i="13"/>
  <c r="AS232" i="13" a="1"/>
  <c r="AS232" i="13" s="1"/>
  <c r="BM232" i="13" a="1"/>
  <c r="BM232" i="13" s="1"/>
  <c r="BN232" i="13"/>
  <c r="BS232" i="13"/>
  <c r="BW232" i="13"/>
  <c r="CA232" i="13"/>
  <c r="A233" i="13"/>
  <c r="F233" i="13"/>
  <c r="N233" i="13" a="1"/>
  <c r="N233" i="13" s="1"/>
  <c r="S233" i="13" a="1"/>
  <c r="S233" i="13" s="1"/>
  <c r="AD233" i="13"/>
  <c r="AH233" i="13"/>
  <c r="CU233" i="13" s="1"/>
  <c r="AI233" i="13"/>
  <c r="AJ233" i="13"/>
  <c r="AN233" i="13" a="1"/>
  <c r="AN233" i="13" s="1"/>
  <c r="AP233" i="13" a="1"/>
  <c r="AP233" i="13" s="1"/>
  <c r="AQ233" i="13"/>
  <c r="AR233" i="13" a="1"/>
  <c r="AR233" i="13" s="1"/>
  <c r="AS233" i="13" a="1"/>
  <c r="AS233" i="13" s="1"/>
  <c r="BM233" i="13" a="1"/>
  <c r="BM233" i="13" s="1"/>
  <c r="A234" i="13"/>
  <c r="F234" i="13"/>
  <c r="N234" i="13" a="1"/>
  <c r="N234" i="13" s="1"/>
  <c r="S234" i="13" a="1"/>
  <c r="S234" i="13" s="1"/>
  <c r="AD234" i="13"/>
  <c r="AH234" i="13"/>
  <c r="CH234" i="13" s="1"/>
  <c r="AI234" i="13"/>
  <c r="AJ234" i="13"/>
  <c r="AM234" i="13"/>
  <c r="AN234" i="13" a="1"/>
  <c r="AN234" i="13" s="1"/>
  <c r="AP234" i="13" a="1"/>
  <c r="AP234" i="13" s="1"/>
  <c r="AQ234" i="13"/>
  <c r="AR234" i="13" a="1"/>
  <c r="AR234" i="13" s="1"/>
  <c r="AS234" i="13" a="1"/>
  <c r="AS234" i="13" s="1"/>
  <c r="BM234" i="13" a="1"/>
  <c r="BM234" i="13" s="1"/>
  <c r="BN234" i="13"/>
  <c r="BS234" i="13"/>
  <c r="BW234" i="13"/>
  <c r="CA234" i="13"/>
  <c r="CQ234" i="13"/>
  <c r="CU234" i="13"/>
  <c r="F235" i="13"/>
  <c r="N235" i="13" a="1"/>
  <c r="N235" i="13" s="1"/>
  <c r="S235" i="13" a="1"/>
  <c r="S235" i="13" s="1"/>
  <c r="AD235" i="13"/>
  <c r="AH235" i="13"/>
  <c r="BS235" i="13" s="1"/>
  <c r="AI235" i="13"/>
  <c r="AJ235" i="13"/>
  <c r="BL235" i="13" s="1"/>
  <c r="AM235" i="13"/>
  <c r="AN235" i="13" a="1"/>
  <c r="AN235" i="13"/>
  <c r="AP235" i="13" a="1"/>
  <c r="AP235" i="13" s="1"/>
  <c r="AQ235" i="13"/>
  <c r="AR235" i="13" a="1"/>
  <c r="AR235" i="13" s="1"/>
  <c r="AS235" i="13" a="1"/>
  <c r="AS235" i="13" s="1"/>
  <c r="BK235" i="13"/>
  <c r="BM235" i="13" a="1"/>
  <c r="BM235" i="13"/>
  <c r="BW235" i="13"/>
  <c r="CH235" i="13"/>
  <c r="CM235" i="13"/>
  <c r="CQ235" i="13"/>
  <c r="CU235" i="13"/>
  <c r="A236" i="13"/>
  <c r="F236" i="13"/>
  <c r="N236" i="13" a="1"/>
  <c r="N236" i="13" s="1"/>
  <c r="S236" i="13" a="1"/>
  <c r="S236" i="13" s="1"/>
  <c r="AD236" i="13"/>
  <c r="AH236" i="13"/>
  <c r="AI236" i="13"/>
  <c r="AJ236" i="13"/>
  <c r="BK236" i="13" s="1"/>
  <c r="AM236" i="13"/>
  <c r="AN236" i="13" a="1"/>
  <c r="AN236" i="13"/>
  <c r="AP236" i="13" a="1"/>
  <c r="AP236" i="13" s="1"/>
  <c r="AQ236" i="13"/>
  <c r="AR236" i="13" a="1"/>
  <c r="AR236" i="13"/>
  <c r="AS236" i="13" a="1"/>
  <c r="AS236" i="13" s="1"/>
  <c r="BI236" i="13" a="1"/>
  <c r="BI236" i="13" s="1"/>
  <c r="BM236" i="13" a="1"/>
  <c r="BM236" i="13" s="1"/>
  <c r="BN236" i="13"/>
  <c r="BS236" i="13"/>
  <c r="BW236" i="13"/>
  <c r="CA236" i="13"/>
  <c r="CH236" i="13"/>
  <c r="CM236" i="13"/>
  <c r="CQ236" i="13"/>
  <c r="CU236" i="13"/>
  <c r="F237" i="13"/>
  <c r="N237" i="13" a="1"/>
  <c r="N237" i="13" s="1"/>
  <c r="S237" i="13" a="1"/>
  <c r="S237" i="13" s="1"/>
  <c r="AD237" i="13"/>
  <c r="AH237" i="13"/>
  <c r="CQ237" i="13" s="1"/>
  <c r="AI237" i="13"/>
  <c r="AJ237" i="13"/>
  <c r="AN237" i="13" a="1"/>
  <c r="AN237" i="13" s="1"/>
  <c r="AP237" i="13" a="1"/>
  <c r="AP237" i="13"/>
  <c r="AQ237" i="13"/>
  <c r="AR237" i="13" a="1"/>
  <c r="AR237" i="13" s="1"/>
  <c r="AS237" i="13" a="1"/>
  <c r="AS237" i="13" s="1"/>
  <c r="BL237" i="13"/>
  <c r="BM237" i="13" a="1"/>
  <c r="BM237" i="13" s="1"/>
  <c r="BN237" i="13"/>
  <c r="BS237" i="13"/>
  <c r="CM237" i="13"/>
  <c r="CU237" i="13"/>
  <c r="F238" i="13"/>
  <c r="N238" i="13" a="1"/>
  <c r="N238" i="13" s="1"/>
  <c r="S238" i="13" a="1"/>
  <c r="S238" i="13" s="1"/>
  <c r="AD238" i="13"/>
  <c r="AH238" i="13"/>
  <c r="A238" i="13" s="1"/>
  <c r="AI238" i="13"/>
  <c r="AJ238" i="13"/>
  <c r="BK238" i="13" s="1"/>
  <c r="AM238" i="13"/>
  <c r="AN238" i="13" a="1"/>
  <c r="AN238" i="13" s="1"/>
  <c r="AP238" i="13" a="1"/>
  <c r="AP238" i="13" s="1"/>
  <c r="AQ238" i="13"/>
  <c r="AR238" i="13" a="1"/>
  <c r="AR238" i="13"/>
  <c r="AS238" i="13" a="1"/>
  <c r="AS238" i="13" s="1"/>
  <c r="BI238" i="13" a="1"/>
  <c r="BI238" i="13" s="1"/>
  <c r="BM238" i="13" a="1"/>
  <c r="BM238" i="13" s="1"/>
  <c r="CA238" i="13"/>
  <c r="CM238" i="13"/>
  <c r="CQ238" i="13"/>
  <c r="CU238" i="13"/>
  <c r="A239" i="13"/>
  <c r="F239" i="13"/>
  <c r="N239" i="13" a="1"/>
  <c r="N239" i="13" s="1"/>
  <c r="S239" i="13" a="1"/>
  <c r="S239" i="13" s="1"/>
  <c r="AD239" i="13"/>
  <c r="AH239" i="13"/>
  <c r="CU239" i="13" s="1"/>
  <c r="AI239" i="13"/>
  <c r="AJ239" i="13"/>
  <c r="BK239" i="13" s="1"/>
  <c r="AM239" i="13"/>
  <c r="AN239" i="13" a="1"/>
  <c r="AN239" i="13" s="1"/>
  <c r="AP239" i="13" a="1"/>
  <c r="AP239" i="13" s="1"/>
  <c r="AQ239" i="13"/>
  <c r="AR239" i="13" a="1"/>
  <c r="AR239" i="13" s="1"/>
  <c r="AS239" i="13" a="1"/>
  <c r="AS239" i="13" s="1"/>
  <c r="BI239" i="13" a="1"/>
  <c r="BI239" i="13" s="1"/>
  <c r="BJ239" i="13" s="1"/>
  <c r="BM239" i="13" a="1"/>
  <c r="BM239" i="13" s="1"/>
  <c r="BN239" i="13"/>
  <c r="BS239" i="13"/>
  <c r="BW239" i="13"/>
  <c r="CA239" i="13"/>
  <c r="CH239" i="13"/>
  <c r="CM239" i="13"/>
  <c r="CQ239" i="13"/>
  <c r="F240" i="13"/>
  <c r="N240" i="13" a="1"/>
  <c r="N240" i="13" s="1"/>
  <c r="S240" i="13" a="1"/>
  <c r="S240" i="13" s="1"/>
  <c r="AD240" i="13"/>
  <c r="AH240" i="13"/>
  <c r="A240" i="13" s="1"/>
  <c r="AI240" i="13"/>
  <c r="AJ240" i="13"/>
  <c r="AN240" i="13" a="1"/>
  <c r="AN240" i="13"/>
  <c r="AP240" i="13" a="1"/>
  <c r="AP240" i="13" s="1"/>
  <c r="AQ240" i="13"/>
  <c r="AR240" i="13" a="1"/>
  <c r="AR240" i="13" s="1"/>
  <c r="AS240" i="13" a="1"/>
  <c r="AS240" i="13" s="1"/>
  <c r="BM240" i="13" a="1"/>
  <c r="BM240" i="13"/>
  <c r="CA240" i="13"/>
  <c r="CH240" i="13"/>
  <c r="CM240" i="13"/>
  <c r="F241" i="13"/>
  <c r="N241" i="13" a="1"/>
  <c r="N241" i="13" s="1"/>
  <c r="S241" i="13" a="1"/>
  <c r="S241" i="13" s="1"/>
  <c r="AD241" i="13"/>
  <c r="AH241" i="13"/>
  <c r="BN241" i="13" s="1"/>
  <c r="AI241" i="13"/>
  <c r="AJ241" i="13"/>
  <c r="AN241" i="13" a="1"/>
  <c r="AN241" i="13" s="1"/>
  <c r="AP241" i="13" a="1"/>
  <c r="AP241" i="13" s="1"/>
  <c r="AQ241" i="13"/>
  <c r="AR241" i="13" a="1"/>
  <c r="AR241" i="13" s="1"/>
  <c r="AS241" i="13" a="1"/>
  <c r="AS241" i="13" s="1"/>
  <c r="BL241" i="13"/>
  <c r="BM241" i="13" a="1"/>
  <c r="BM241" i="13" s="1"/>
  <c r="BS241" i="13"/>
  <c r="CM241" i="13"/>
  <c r="CQ241" i="13"/>
  <c r="F242" i="13"/>
  <c r="N242" i="13" a="1"/>
  <c r="N242" i="13" s="1"/>
  <c r="S242" i="13" a="1"/>
  <c r="S242" i="13" s="1"/>
  <c r="AD242" i="13"/>
  <c r="AH242" i="13"/>
  <c r="A242" i="13" s="1"/>
  <c r="AI242" i="13"/>
  <c r="AJ242" i="13"/>
  <c r="AM242" i="13"/>
  <c r="AN242" i="13" a="1"/>
  <c r="AN242" i="13" s="1"/>
  <c r="AP242" i="13" a="1"/>
  <c r="AP242" i="13" s="1"/>
  <c r="AQ242" i="13"/>
  <c r="AR242" i="13" a="1"/>
  <c r="AR242" i="13"/>
  <c r="AS242" i="13" a="1"/>
  <c r="AS242" i="13" s="1"/>
  <c r="BI242" i="13" a="1"/>
  <c r="BI242" i="13" s="1"/>
  <c r="BM242" i="13" a="1"/>
  <c r="BM242" i="13" s="1"/>
  <c r="CA242" i="13"/>
  <c r="CM242" i="13"/>
  <c r="CQ242" i="13"/>
  <c r="CU242" i="13"/>
  <c r="A243" i="13"/>
  <c r="F243" i="13"/>
  <c r="N243" i="13" a="1"/>
  <c r="N243" i="13" s="1"/>
  <c r="S243" i="13" a="1"/>
  <c r="S243" i="13" s="1"/>
  <c r="AD243" i="13"/>
  <c r="AH243" i="13"/>
  <c r="BI243" i="13" s="1" a="1"/>
  <c r="AI243" i="13"/>
  <c r="AJ243" i="13"/>
  <c r="BK243" i="13" s="1"/>
  <c r="AM243" i="13"/>
  <c r="AN243" i="13" a="1"/>
  <c r="AN243" i="13" s="1"/>
  <c r="AP243" i="13" a="1"/>
  <c r="AP243" i="13" s="1"/>
  <c r="AQ243" i="13"/>
  <c r="AR243" i="13" a="1"/>
  <c r="AR243" i="13" s="1"/>
  <c r="AS243" i="13" a="1"/>
  <c r="AS243" i="13" s="1"/>
  <c r="BI243" i="13"/>
  <c r="BM243" i="13" a="1"/>
  <c r="BM243" i="13" s="1"/>
  <c r="BN243" i="13"/>
  <c r="BW243" i="13"/>
  <c r="CA243" i="13"/>
  <c r="CH243" i="13"/>
  <c r="CM243" i="13"/>
  <c r="CQ243" i="13"/>
  <c r="CU243" i="13"/>
  <c r="F244" i="13"/>
  <c r="N244" i="13" a="1"/>
  <c r="N244" i="13" s="1"/>
  <c r="S244" i="13" a="1"/>
  <c r="S244" i="13" s="1"/>
  <c r="AD244" i="13"/>
  <c r="AH244" i="13"/>
  <c r="A244" i="13" s="1"/>
  <c r="AI244" i="13"/>
  <c r="AJ244" i="13"/>
  <c r="AN244" i="13" a="1"/>
  <c r="AN244" i="13" s="1"/>
  <c r="AP244" i="13" a="1"/>
  <c r="AP244" i="13" s="1"/>
  <c r="AQ244" i="13"/>
  <c r="AR244" i="13" a="1"/>
  <c r="AR244" i="13" s="1"/>
  <c r="AS244" i="13" a="1"/>
  <c r="AS244" i="13" s="1"/>
  <c r="BM244" i="13" a="1"/>
  <c r="BM244" i="13" s="1"/>
  <c r="CH244" i="13"/>
  <c r="CM244" i="13"/>
  <c r="F245" i="13"/>
  <c r="N245" i="13" a="1"/>
  <c r="N245" i="13" s="1"/>
  <c r="S245" i="13" a="1"/>
  <c r="S245" i="13" s="1"/>
  <c r="AD245" i="13"/>
  <c r="AH245" i="13"/>
  <c r="BW245" i="13" s="1"/>
  <c r="AI245" i="13"/>
  <c r="AJ245" i="13"/>
  <c r="BL245" i="13" s="1"/>
  <c r="AN245" i="13" a="1"/>
  <c r="AN245" i="13" s="1"/>
  <c r="AP245" i="13" a="1"/>
  <c r="AP245" i="13"/>
  <c r="AQ245" i="13"/>
  <c r="AR245" i="13" a="1"/>
  <c r="AR245" i="13" s="1"/>
  <c r="AS245" i="13" a="1"/>
  <c r="AS245" i="13"/>
  <c r="BM245" i="13" a="1"/>
  <c r="BM245" i="13" s="1"/>
  <c r="BN245" i="13"/>
  <c r="BS245" i="13"/>
  <c r="F246" i="13"/>
  <c r="N246" i="13" a="1"/>
  <c r="N246" i="13" s="1"/>
  <c r="S246" i="13" a="1"/>
  <c r="S246" i="13" s="1"/>
  <c r="AD246" i="13"/>
  <c r="AH246" i="13"/>
  <c r="A246" i="13" s="1"/>
  <c r="AI246" i="13"/>
  <c r="AJ246" i="13"/>
  <c r="AN246" i="13" a="1"/>
  <c r="AN246" i="13" s="1"/>
  <c r="AP246" i="13" a="1"/>
  <c r="AP246" i="13" s="1"/>
  <c r="AQ246" i="13"/>
  <c r="AR246" i="13" a="1"/>
  <c r="AR246" i="13" s="1"/>
  <c r="AS246" i="13" a="1"/>
  <c r="AS246" i="13" s="1"/>
  <c r="BM246" i="13" a="1"/>
  <c r="BM246" i="13" s="1"/>
  <c r="BW246" i="13"/>
  <c r="CA246" i="13"/>
  <c r="CH246" i="13"/>
  <c r="CM246" i="13"/>
  <c r="F247" i="13"/>
  <c r="N247" i="13" a="1"/>
  <c r="N247" i="13" s="1"/>
  <c r="S247" i="13" a="1"/>
  <c r="S247" i="13" s="1"/>
  <c r="AD247" i="13"/>
  <c r="AH247" i="13"/>
  <c r="BW247" i="13" s="1"/>
  <c r="AI247" i="13"/>
  <c r="AJ247" i="13"/>
  <c r="AN247" i="13" a="1"/>
  <c r="AN247" i="13" s="1"/>
  <c r="AP247" i="13" a="1"/>
  <c r="AP247" i="13" s="1"/>
  <c r="AQ247" i="13"/>
  <c r="AR247" i="13" a="1"/>
  <c r="AR247" i="13" s="1"/>
  <c r="AS247" i="13" a="1"/>
  <c r="AS247" i="13" s="1"/>
  <c r="BL247" i="13"/>
  <c r="BM247" i="13" a="1"/>
  <c r="BM247" i="13" s="1"/>
  <c r="BN247" i="13"/>
  <c r="BS247" i="13"/>
  <c r="CM247" i="13"/>
  <c r="CQ247" i="13"/>
  <c r="CU247" i="13"/>
  <c r="F248" i="13"/>
  <c r="N248" i="13" a="1"/>
  <c r="N248" i="13" s="1"/>
  <c r="S248" i="13" a="1"/>
  <c r="S248" i="13" s="1"/>
  <c r="AD248" i="13"/>
  <c r="AH248" i="13"/>
  <c r="CM248" i="13" s="1"/>
  <c r="AI248" i="13"/>
  <c r="AJ248" i="13"/>
  <c r="BL248" i="13" s="1"/>
  <c r="AN248" i="13" a="1"/>
  <c r="AN248" i="13" s="1"/>
  <c r="AP248" i="13" a="1"/>
  <c r="AP248" i="13" s="1"/>
  <c r="AQ248" i="13"/>
  <c r="AR248" i="13" a="1"/>
  <c r="AR248" i="13" s="1"/>
  <c r="AS248" i="13" a="1"/>
  <c r="AS248" i="13" s="1"/>
  <c r="BM248" i="13" a="1"/>
  <c r="BM248" i="13" s="1"/>
  <c r="A249" i="13"/>
  <c r="F249" i="13"/>
  <c r="N249" i="13" a="1"/>
  <c r="N249" i="13" s="1"/>
  <c r="S249" i="13" a="1"/>
  <c r="S249" i="13" s="1"/>
  <c r="AD249" i="13"/>
  <c r="AH249" i="13"/>
  <c r="BN249" i="13" s="1"/>
  <c r="AI249" i="13"/>
  <c r="AJ249" i="13"/>
  <c r="AM249" i="13"/>
  <c r="AN249" i="13" a="1"/>
  <c r="AN249" i="13" s="1"/>
  <c r="AP249" i="13" a="1"/>
  <c r="AP249" i="13" s="1"/>
  <c r="AQ249" i="13"/>
  <c r="AR249" i="13" a="1"/>
  <c r="AR249" i="13" s="1"/>
  <c r="AS249" i="13" a="1"/>
  <c r="AS249" i="13" s="1"/>
  <c r="BI249" i="13" a="1"/>
  <c r="BI249" i="13"/>
  <c r="BJ249" i="13" s="1"/>
  <c r="BM249" i="13" a="1"/>
  <c r="BM249" i="13" s="1"/>
  <c r="BS249" i="13"/>
  <c r="BW249" i="13"/>
  <c r="CA249" i="13"/>
  <c r="CH249" i="13"/>
  <c r="CM249" i="13"/>
  <c r="CQ249" i="13"/>
  <c r="CU249" i="13"/>
  <c r="F250" i="13"/>
  <c r="N250" i="13" a="1"/>
  <c r="N250" i="13" s="1"/>
  <c r="S250" i="13" a="1"/>
  <c r="S250" i="13" s="1"/>
  <c r="AD250" i="13"/>
  <c r="AH250" i="13"/>
  <c r="BW250" i="13" s="1"/>
  <c r="AI250" i="13"/>
  <c r="AJ250" i="13"/>
  <c r="BL250" i="13" s="1"/>
  <c r="AN250" i="13" a="1"/>
  <c r="AN250" i="13" s="1"/>
  <c r="AP250" i="13" a="1"/>
  <c r="AP250" i="13" s="1"/>
  <c r="AQ250" i="13"/>
  <c r="AR250" i="13" a="1"/>
  <c r="AR250" i="13" s="1"/>
  <c r="AS250" i="13" a="1"/>
  <c r="AS250" i="13" s="1"/>
  <c r="BM250" i="13" a="1"/>
  <c r="BM250" i="13" s="1"/>
  <c r="CQ250" i="13"/>
  <c r="A251" i="13"/>
  <c r="F251" i="13"/>
  <c r="N251" i="13" a="1"/>
  <c r="N251" i="13" s="1"/>
  <c r="S251" i="13" a="1"/>
  <c r="S251" i="13" s="1"/>
  <c r="AD251" i="13"/>
  <c r="AH251" i="13"/>
  <c r="CH251" i="13" s="1"/>
  <c r="AI251" i="13"/>
  <c r="AJ251" i="13"/>
  <c r="BK251" i="13" s="1"/>
  <c r="AM251" i="13"/>
  <c r="AN251" i="13" a="1"/>
  <c r="AN251" i="13" s="1"/>
  <c r="AP251" i="13" a="1"/>
  <c r="AP251" i="13" s="1"/>
  <c r="AQ251" i="13"/>
  <c r="AR251" i="13" a="1"/>
  <c r="AR251" i="13" s="1"/>
  <c r="AS251" i="13" a="1"/>
  <c r="AS251" i="13" s="1"/>
  <c r="BI251" i="13" a="1"/>
  <c r="BI251" i="13" s="1"/>
  <c r="BJ251" i="13" s="1"/>
  <c r="BM251" i="13" a="1"/>
  <c r="BM251" i="13" s="1"/>
  <c r="BN251" i="13"/>
  <c r="BS251" i="13"/>
  <c r="BW251" i="13"/>
  <c r="CA251" i="13"/>
  <c r="CM251" i="13"/>
  <c r="CQ251" i="13"/>
  <c r="CU251" i="13"/>
  <c r="F252" i="13"/>
  <c r="N252" i="13" a="1"/>
  <c r="N252" i="13" s="1"/>
  <c r="S252" i="13" a="1"/>
  <c r="S252" i="13" s="1"/>
  <c r="AD252" i="13"/>
  <c r="AH252" i="13"/>
  <c r="AM252" i="13" s="1"/>
  <c r="AI252" i="13"/>
  <c r="AJ252" i="13"/>
  <c r="AN252" i="13" a="1"/>
  <c r="AN252" i="13"/>
  <c r="AP252" i="13" a="1"/>
  <c r="AP252" i="13" s="1"/>
  <c r="AQ252" i="13"/>
  <c r="AR252" i="13" a="1"/>
  <c r="AR252" i="13"/>
  <c r="AS252" i="13" a="1"/>
  <c r="AS252" i="13" s="1"/>
  <c r="BI252" i="13" a="1"/>
  <c r="BI252" i="13"/>
  <c r="BJ252" i="13" s="1"/>
  <c r="BM252" i="13" a="1"/>
  <c r="BM252" i="13" s="1"/>
  <c r="BW252" i="13"/>
  <c r="CA252" i="13"/>
  <c r="CH252" i="13"/>
  <c r="CM252" i="13"/>
  <c r="CQ252" i="13"/>
  <c r="CU252" i="13"/>
  <c r="F253" i="13"/>
  <c r="N253" i="13" a="1"/>
  <c r="N253" i="13" s="1"/>
  <c r="S253" i="13" a="1"/>
  <c r="S253" i="13" s="1"/>
  <c r="AD253" i="13"/>
  <c r="AH253" i="13"/>
  <c r="BI253" i="13" s="1" a="1"/>
  <c r="BI253" i="13" s="1"/>
  <c r="AI253" i="13"/>
  <c r="AJ253" i="13"/>
  <c r="AN253" i="13" a="1"/>
  <c r="AN253" i="13" s="1"/>
  <c r="AP253" i="13" a="1"/>
  <c r="AP253" i="13" s="1"/>
  <c r="AQ253" i="13"/>
  <c r="AR253" i="13" a="1"/>
  <c r="AR253" i="13" s="1"/>
  <c r="AS253" i="13" a="1"/>
  <c r="AS253" i="13" s="1"/>
  <c r="BM253" i="13" a="1"/>
  <c r="BM253" i="13" s="1"/>
  <c r="CA253" i="13"/>
  <c r="CH253" i="13"/>
  <c r="F254" i="13"/>
  <c r="N254" i="13" a="1"/>
  <c r="N254" i="13" s="1"/>
  <c r="S254" i="13" a="1"/>
  <c r="S254" i="13" s="1"/>
  <c r="AD254" i="13"/>
  <c r="AH254" i="13"/>
  <c r="CA254" i="13" s="1"/>
  <c r="AI254" i="13"/>
  <c r="AJ254" i="13"/>
  <c r="BL254" i="13" s="1"/>
  <c r="AN254" i="13" a="1"/>
  <c r="AN254" i="13" s="1"/>
  <c r="AP254" i="13" a="1"/>
  <c r="AP254" i="13"/>
  <c r="AQ254" i="13"/>
  <c r="AR254" i="13" a="1"/>
  <c r="AR254" i="13"/>
  <c r="AS254" i="13" a="1"/>
  <c r="AS254" i="13" s="1"/>
  <c r="BM254" i="13" a="1"/>
  <c r="BM254" i="13"/>
  <c r="BW254" i="13"/>
  <c r="CH254" i="13"/>
  <c r="F255" i="13"/>
  <c r="N255" i="13" a="1"/>
  <c r="N255" i="13" s="1"/>
  <c r="S255" i="13" a="1"/>
  <c r="S255" i="13" s="1"/>
  <c r="AD255" i="13"/>
  <c r="AH255" i="13"/>
  <c r="BI255" i="13" s="1" a="1"/>
  <c r="BI255" i="13" s="1"/>
  <c r="BJ255" i="13" s="1"/>
  <c r="AI255" i="13"/>
  <c r="AJ255" i="13"/>
  <c r="AN255" i="13" a="1"/>
  <c r="AN255" i="13" s="1"/>
  <c r="AP255" i="13" a="1"/>
  <c r="AP255" i="13" s="1"/>
  <c r="AQ255" i="13"/>
  <c r="AR255" i="13" a="1"/>
  <c r="AR255" i="13" s="1"/>
  <c r="AS255" i="13" a="1"/>
  <c r="AS255" i="13" s="1"/>
  <c r="BM255" i="13" a="1"/>
  <c r="BM255" i="13" s="1"/>
  <c r="BN255" i="13"/>
  <c r="BS255" i="13"/>
  <c r="BW255" i="13"/>
  <c r="CA255" i="13"/>
  <c r="CU255" i="13"/>
  <c r="F256" i="13"/>
  <c r="N256" i="13" a="1"/>
  <c r="N256" i="13" s="1"/>
  <c r="S256" i="13" a="1"/>
  <c r="S256" i="13" s="1"/>
  <c r="AD256" i="13"/>
  <c r="AH256" i="13"/>
  <c r="BW256" i="13" s="1"/>
  <c r="AI256" i="13"/>
  <c r="AJ256" i="13"/>
  <c r="BL256" i="13" s="1"/>
  <c r="AN256" i="13" a="1"/>
  <c r="AN256" i="13" s="1"/>
  <c r="AP256" i="13" a="1"/>
  <c r="AP256" i="13"/>
  <c r="AQ256" i="13"/>
  <c r="AR256" i="13" a="1"/>
  <c r="AR256" i="13" s="1"/>
  <c r="AS256" i="13" a="1"/>
  <c r="AS256" i="13" s="1"/>
  <c r="BM256" i="13" a="1"/>
  <c r="BM256" i="13" s="1"/>
  <c r="CA256" i="13"/>
  <c r="CQ256" i="13"/>
  <c r="F257" i="13"/>
  <c r="N257" i="13" a="1"/>
  <c r="N257" i="13" s="1"/>
  <c r="S257" i="13" a="1"/>
  <c r="S257" i="13" s="1"/>
  <c r="AD257" i="13"/>
  <c r="AH257" i="13"/>
  <c r="AI257" i="13"/>
  <c r="AJ257" i="13"/>
  <c r="AN257" i="13" a="1"/>
  <c r="AN257" i="13" s="1"/>
  <c r="AP257" i="13" a="1"/>
  <c r="AP257" i="13" s="1"/>
  <c r="AQ257" i="13"/>
  <c r="AR257" i="13" a="1"/>
  <c r="AR257" i="13" s="1"/>
  <c r="AS257" i="13" a="1"/>
  <c r="AS257" i="13" s="1"/>
  <c r="BM257" i="13" a="1"/>
  <c r="BM257" i="13" s="1"/>
  <c r="CM257" i="13"/>
  <c r="F258" i="13"/>
  <c r="N258" i="13" a="1"/>
  <c r="N258" i="13" s="1"/>
  <c r="S258" i="13" a="1"/>
  <c r="S258" i="13" s="1"/>
  <c r="AD258" i="13"/>
  <c r="AH258" i="13"/>
  <c r="CA258" i="13" s="1"/>
  <c r="AI258" i="13"/>
  <c r="AJ258" i="13"/>
  <c r="BL258" i="13" s="1"/>
  <c r="AN258" i="13" a="1"/>
  <c r="AN258" i="13" s="1"/>
  <c r="AP258" i="13" a="1"/>
  <c r="AP258" i="13" s="1"/>
  <c r="AQ258" i="13"/>
  <c r="AR258" i="13" a="1"/>
  <c r="AR258" i="13" s="1"/>
  <c r="AS258" i="13" a="1"/>
  <c r="AS258" i="13"/>
  <c r="BM258" i="13" a="1"/>
  <c r="BM258" i="13" s="1"/>
  <c r="F259" i="13"/>
  <c r="N259" i="13" a="1"/>
  <c r="N259" i="13" s="1"/>
  <c r="S259" i="13" a="1"/>
  <c r="S259" i="13" s="1"/>
  <c r="AD259" i="13"/>
  <c r="AH259" i="13"/>
  <c r="BI259" i="13" s="1" a="1"/>
  <c r="BI259" i="13" s="1"/>
  <c r="AI259" i="13"/>
  <c r="AJ259" i="13"/>
  <c r="BL259" i="13" s="1"/>
  <c r="AN259" i="13" a="1"/>
  <c r="AN259" i="13" s="1"/>
  <c r="AP259" i="13" a="1"/>
  <c r="AP259" i="13" s="1"/>
  <c r="AQ259" i="13"/>
  <c r="AR259" i="13" a="1"/>
  <c r="AR259" i="13" s="1"/>
  <c r="AS259" i="13" a="1"/>
  <c r="AS259" i="13" s="1"/>
  <c r="BM259" i="13" a="1"/>
  <c r="BM259" i="13" s="1"/>
  <c r="CH259" i="13"/>
  <c r="CM259" i="13"/>
  <c r="A260" i="13"/>
  <c r="F260" i="13"/>
  <c r="N260" i="13" a="1"/>
  <c r="N260" i="13" s="1"/>
  <c r="S260" i="13" a="1"/>
  <c r="S260" i="13" s="1"/>
  <c r="AD260" i="13"/>
  <c r="AH260" i="13"/>
  <c r="BI260" i="13" s="1" a="1"/>
  <c r="BI260" i="13" s="1"/>
  <c r="BJ260" i="13" s="1"/>
  <c r="AI260" i="13"/>
  <c r="AJ260" i="13"/>
  <c r="BL260" i="13" s="1"/>
  <c r="AM260" i="13"/>
  <c r="AN260" i="13" a="1"/>
  <c r="AN260" i="13" s="1"/>
  <c r="AP260" i="13" a="1"/>
  <c r="AP260" i="13" s="1"/>
  <c r="AQ260" i="13"/>
  <c r="AR260" i="13" a="1"/>
  <c r="AR260" i="13"/>
  <c r="AS260" i="13" a="1"/>
  <c r="AS260" i="13" s="1"/>
  <c r="BM260" i="13" a="1"/>
  <c r="BM260" i="13" s="1"/>
  <c r="BN260" i="13"/>
  <c r="BS260" i="13"/>
  <c r="BW260" i="13"/>
  <c r="CA260" i="13"/>
  <c r="CH260" i="13"/>
  <c r="CM260" i="13"/>
  <c r="CQ260" i="13"/>
  <c r="CU260" i="13"/>
  <c r="F261" i="13"/>
  <c r="N261" i="13" a="1"/>
  <c r="N261" i="13" s="1"/>
  <c r="S261" i="13" a="1"/>
  <c r="S261" i="13" s="1"/>
  <c r="AD261" i="13"/>
  <c r="AH261" i="13"/>
  <c r="CM261" i="13" s="1"/>
  <c r="AI261" i="13"/>
  <c r="AJ261" i="13"/>
  <c r="BL261" i="13" s="1"/>
  <c r="AN261" i="13" a="1"/>
  <c r="AN261" i="13" s="1"/>
  <c r="AP261" i="13" a="1"/>
  <c r="AP261" i="13" s="1"/>
  <c r="AQ261" i="13"/>
  <c r="AR261" i="13" a="1"/>
  <c r="AR261" i="13"/>
  <c r="AS261" i="13" a="1"/>
  <c r="AS261" i="13" s="1"/>
  <c r="BM261" i="13" a="1"/>
  <c r="BM261" i="13"/>
  <c r="F262" i="13"/>
  <c r="N262" i="13" a="1"/>
  <c r="N262" i="13" s="1"/>
  <c r="S262" i="13" a="1"/>
  <c r="S262" i="13" s="1"/>
  <c r="AD262" i="13"/>
  <c r="AH262" i="13"/>
  <c r="BW262" i="13" s="1"/>
  <c r="AI262" i="13"/>
  <c r="AJ262" i="13"/>
  <c r="AN262" i="13" a="1"/>
  <c r="AN262" i="13" s="1"/>
  <c r="AP262" i="13" a="1"/>
  <c r="AP262" i="13"/>
  <c r="AQ262" i="13"/>
  <c r="AR262" i="13" a="1"/>
  <c r="AR262" i="13" s="1"/>
  <c r="AS262" i="13" a="1"/>
  <c r="AS262" i="13" s="1"/>
  <c r="BM262" i="13" a="1"/>
  <c r="BM262" i="13" s="1"/>
  <c r="BN262" i="13"/>
  <c r="BS262" i="13"/>
  <c r="CQ262" i="13"/>
  <c r="CU262" i="13"/>
  <c r="F263" i="13"/>
  <c r="N263" i="13" a="1"/>
  <c r="N263" i="13" s="1"/>
  <c r="S263" i="13" a="1"/>
  <c r="S263" i="13" s="1"/>
  <c r="AD263" i="13"/>
  <c r="AH263" i="13"/>
  <c r="A263" i="13" s="1"/>
  <c r="AI263" i="13"/>
  <c r="AJ263" i="13"/>
  <c r="BL263" i="13" s="1"/>
  <c r="AN263" i="13" a="1"/>
  <c r="AN263" i="13" s="1"/>
  <c r="AP263" i="13" a="1"/>
  <c r="AP263" i="13" s="1"/>
  <c r="AQ263" i="13"/>
  <c r="AR263" i="13" a="1"/>
  <c r="AR263" i="13" s="1"/>
  <c r="AS263" i="13" a="1"/>
  <c r="AS263" i="13" s="1"/>
  <c r="BK263" i="13"/>
  <c r="BM263" i="13" a="1"/>
  <c r="BM263" i="13" s="1"/>
  <c r="BW263" i="13"/>
  <c r="CA263" i="13"/>
  <c r="CM263" i="13"/>
  <c r="F264" i="13"/>
  <c r="N264" i="13" a="1"/>
  <c r="N264" i="13" s="1"/>
  <c r="S264" i="13" a="1"/>
  <c r="S264" i="13" s="1"/>
  <c r="AD264" i="13"/>
  <c r="AH264" i="13"/>
  <c r="BI264" i="13" s="1" a="1"/>
  <c r="BI264" i="13" s="1"/>
  <c r="AI264" i="13"/>
  <c r="AJ264" i="13"/>
  <c r="AN264" i="13" a="1"/>
  <c r="AN264" i="13" s="1"/>
  <c r="AP264" i="13" a="1"/>
  <c r="AP264" i="13" s="1"/>
  <c r="AQ264" i="13"/>
  <c r="AR264" i="13" a="1"/>
  <c r="AR264" i="13" s="1"/>
  <c r="AS264" i="13" a="1"/>
  <c r="AS264" i="13" s="1"/>
  <c r="BM264" i="13" a="1"/>
  <c r="BM264" i="13" s="1"/>
  <c r="BN264" i="13"/>
  <c r="BS264" i="13"/>
  <c r="CA264" i="13"/>
  <c r="A265" i="13"/>
  <c r="F265" i="13"/>
  <c r="N265" i="13" a="1"/>
  <c r="N265" i="13" s="1"/>
  <c r="S265" i="13" a="1"/>
  <c r="S265" i="13" s="1"/>
  <c r="AD265" i="13"/>
  <c r="AH265" i="13"/>
  <c r="CM265" i="13" s="1"/>
  <c r="AI265" i="13"/>
  <c r="AJ265" i="13"/>
  <c r="BL265" i="13" s="1"/>
  <c r="AM265" i="13"/>
  <c r="AN265" i="13" a="1"/>
  <c r="AN265" i="13" s="1"/>
  <c r="AP265" i="13" a="1"/>
  <c r="AP265" i="13" s="1"/>
  <c r="AQ265" i="13"/>
  <c r="AR265" i="13" a="1"/>
  <c r="AR265" i="13" s="1"/>
  <c r="AS265" i="13" a="1"/>
  <c r="AS265" i="13" s="1"/>
  <c r="BK265" i="13"/>
  <c r="BM265" i="13" a="1"/>
  <c r="BM265" i="13" s="1"/>
  <c r="BW265" i="13"/>
  <c r="CA265" i="13"/>
  <c r="CH265" i="13"/>
  <c r="F266" i="13"/>
  <c r="N266" i="13" a="1"/>
  <c r="N266" i="13" s="1"/>
  <c r="S266" i="13" a="1"/>
  <c r="S266" i="13" s="1"/>
  <c r="AD266" i="13"/>
  <c r="AH266" i="13"/>
  <c r="BS266" i="13" s="1"/>
  <c r="AI266" i="13"/>
  <c r="AJ266" i="13"/>
  <c r="AN266" i="13" a="1"/>
  <c r="AN266" i="13" s="1"/>
  <c r="AP266" i="13" a="1"/>
  <c r="AP266" i="13" s="1"/>
  <c r="AQ266" i="13"/>
  <c r="AR266" i="13" a="1"/>
  <c r="AR266" i="13" s="1"/>
  <c r="AS266" i="13" a="1"/>
  <c r="AS266" i="13" s="1"/>
  <c r="BI266" i="13" a="1"/>
  <c r="BI266" i="13" s="1"/>
  <c r="BJ266" i="13" s="1"/>
  <c r="BM266" i="13" a="1"/>
  <c r="BM266" i="13" s="1"/>
  <c r="BN266" i="13"/>
  <c r="CH266" i="13"/>
  <c r="CM266" i="13"/>
  <c r="CQ266" i="13"/>
  <c r="CU266" i="13"/>
  <c r="F267" i="13"/>
  <c r="N267" i="13" a="1"/>
  <c r="N267" i="13" s="1"/>
  <c r="S267" i="13" a="1"/>
  <c r="S267" i="13" s="1"/>
  <c r="AD267" i="13"/>
  <c r="AH267" i="13"/>
  <c r="AI267" i="13"/>
  <c r="AJ267" i="13"/>
  <c r="BL267" i="13" s="1"/>
  <c r="AN267" i="13" a="1"/>
  <c r="AN267" i="13" s="1"/>
  <c r="AP267" i="13" a="1"/>
  <c r="AP267" i="13" s="1"/>
  <c r="AQ267" i="13"/>
  <c r="AR267" i="13" a="1"/>
  <c r="AR267" i="13"/>
  <c r="AS267" i="13" a="1"/>
  <c r="AS267" i="13" s="1"/>
  <c r="BM267" i="13" a="1"/>
  <c r="BM267" i="13" s="1"/>
  <c r="F268" i="13"/>
  <c r="N268" i="13" a="1"/>
  <c r="N268" i="13" s="1"/>
  <c r="S268" i="13" a="1"/>
  <c r="S268" i="13" s="1"/>
  <c r="AD268" i="13"/>
  <c r="AH268" i="13"/>
  <c r="BI268" i="13" s="1" a="1"/>
  <c r="BI268" i="13" s="1"/>
  <c r="AI268" i="13"/>
  <c r="AJ268" i="13"/>
  <c r="AN268" i="13" a="1"/>
  <c r="AN268" i="13" s="1"/>
  <c r="AP268" i="13" a="1"/>
  <c r="AP268" i="13" s="1"/>
  <c r="AQ268" i="13"/>
  <c r="AR268" i="13" a="1"/>
  <c r="AR268" i="13" s="1"/>
  <c r="AS268" i="13" a="1"/>
  <c r="AS268" i="13" s="1"/>
  <c r="BM268" i="13" a="1"/>
  <c r="BM268" i="13" s="1"/>
  <c r="BN268" i="13"/>
  <c r="BS268" i="13"/>
  <c r="CA268" i="13"/>
  <c r="F269" i="13"/>
  <c r="N269" i="13" a="1"/>
  <c r="N269" i="13" s="1"/>
  <c r="S269" i="13" a="1"/>
  <c r="S269" i="13" s="1"/>
  <c r="AD269" i="13"/>
  <c r="AH269" i="13"/>
  <c r="AI269" i="13"/>
  <c r="AJ269" i="13"/>
  <c r="BL269" i="13" s="1"/>
  <c r="AN269" i="13" a="1"/>
  <c r="AN269" i="13"/>
  <c r="AP269" i="13" a="1"/>
  <c r="AP269" i="13" s="1"/>
  <c r="AQ269" i="13"/>
  <c r="AR269" i="13" a="1"/>
  <c r="AR269" i="13" s="1"/>
  <c r="AS269" i="13" a="1"/>
  <c r="AS269" i="13" s="1"/>
  <c r="BM269" i="13" a="1"/>
  <c r="BM269" i="13" s="1"/>
  <c r="F270" i="13"/>
  <c r="N270" i="13" a="1"/>
  <c r="N270" i="13" s="1"/>
  <c r="S270" i="13" a="1"/>
  <c r="S270" i="13" s="1"/>
  <c r="AD270" i="13"/>
  <c r="AH270" i="13"/>
  <c r="BI270" i="13" s="1" a="1"/>
  <c r="AI270" i="13"/>
  <c r="AJ270" i="13"/>
  <c r="AN270" i="13" a="1"/>
  <c r="AN270" i="13" s="1"/>
  <c r="AP270" i="13" a="1"/>
  <c r="AP270" i="13" s="1"/>
  <c r="AQ270" i="13"/>
  <c r="AR270" i="13" a="1"/>
  <c r="AR270" i="13" s="1"/>
  <c r="AS270" i="13" a="1"/>
  <c r="AS270" i="13" s="1"/>
  <c r="BI270" i="13"/>
  <c r="BJ270" i="13" s="1"/>
  <c r="BM270" i="13" a="1"/>
  <c r="BM270" i="13" s="1"/>
  <c r="BN270" i="13"/>
  <c r="BS270" i="13"/>
  <c r="BW270" i="13"/>
  <c r="CA270" i="13"/>
  <c r="CQ270" i="13"/>
  <c r="CU270" i="13"/>
  <c r="F271" i="13"/>
  <c r="N271" i="13" a="1"/>
  <c r="N271" i="13" s="1"/>
  <c r="S271" i="13" a="1"/>
  <c r="S271" i="13" s="1"/>
  <c r="AD271" i="13"/>
  <c r="AH271" i="13"/>
  <c r="A271" i="13" s="1"/>
  <c r="AI271" i="13"/>
  <c r="AJ271" i="13"/>
  <c r="AM271" i="13"/>
  <c r="AN271" i="13" a="1"/>
  <c r="AN271" i="13"/>
  <c r="AP271" i="13" a="1"/>
  <c r="AP271" i="13" s="1"/>
  <c r="AQ271" i="13"/>
  <c r="AR271" i="13" a="1"/>
  <c r="AR271" i="13" s="1"/>
  <c r="AS271" i="13" a="1"/>
  <c r="AS271" i="13" s="1"/>
  <c r="BI271" i="13" a="1"/>
  <c r="BI271" i="13" s="1"/>
  <c r="BM271" i="13" a="1"/>
  <c r="BM271" i="13" s="1"/>
  <c r="F272" i="13"/>
  <c r="N272" i="13" a="1"/>
  <c r="N272" i="13" s="1"/>
  <c r="S272" i="13" a="1"/>
  <c r="S272" i="13" s="1"/>
  <c r="AD272" i="13"/>
  <c r="AH272" i="13"/>
  <c r="BI272" i="13" s="1" a="1"/>
  <c r="BI272" i="13" s="1"/>
  <c r="AI272" i="13"/>
  <c r="AJ272" i="13"/>
  <c r="BL272" i="13" s="1"/>
  <c r="AN272" i="13" a="1"/>
  <c r="AN272" i="13" s="1"/>
  <c r="AP272" i="13" a="1"/>
  <c r="AP272" i="13"/>
  <c r="AQ272" i="13"/>
  <c r="AR272" i="13" a="1"/>
  <c r="AR272" i="13" s="1"/>
  <c r="AS272" i="13" a="1"/>
  <c r="AS272" i="13" s="1"/>
  <c r="BM272" i="13" a="1"/>
  <c r="BM272" i="13" s="1"/>
  <c r="BS272" i="13"/>
  <c r="BW272" i="13"/>
  <c r="CA272" i="13"/>
  <c r="CH272" i="13"/>
  <c r="F273" i="13"/>
  <c r="N273" i="13" a="1"/>
  <c r="N273" i="13" s="1"/>
  <c r="S273" i="13" a="1"/>
  <c r="S273" i="13" s="1"/>
  <c r="AD273" i="13"/>
  <c r="AH273" i="13"/>
  <c r="CH273" i="13" s="1"/>
  <c r="AI273" i="13"/>
  <c r="AJ273" i="13"/>
  <c r="BL273" i="13" s="1"/>
  <c r="AN273" i="13" a="1"/>
  <c r="AN273" i="13" s="1"/>
  <c r="AP273" i="13" a="1"/>
  <c r="AP273" i="13" s="1"/>
  <c r="AQ273" i="13"/>
  <c r="AR273" i="13" a="1"/>
  <c r="AR273" i="13"/>
  <c r="AS273" i="13" a="1"/>
  <c r="AS273" i="13" s="1"/>
  <c r="BM273" i="13" a="1"/>
  <c r="BM273" i="13" s="1"/>
  <c r="F274" i="13"/>
  <c r="N274" i="13" a="1"/>
  <c r="N274" i="13" s="1"/>
  <c r="S274" i="13" a="1"/>
  <c r="S274" i="13" s="1"/>
  <c r="AD274" i="13"/>
  <c r="AH274" i="13"/>
  <c r="BI274" i="13" s="1" a="1"/>
  <c r="BI274" i="13" s="1"/>
  <c r="AI274" i="13"/>
  <c r="AJ274" i="13"/>
  <c r="AN274" i="13" a="1"/>
  <c r="AN274" i="13" s="1"/>
  <c r="AP274" i="13" a="1"/>
  <c r="AP274" i="13" s="1"/>
  <c r="AQ274" i="13"/>
  <c r="AR274" i="13" a="1"/>
  <c r="AR274" i="13" s="1"/>
  <c r="AS274" i="13" a="1"/>
  <c r="AS274" i="13" s="1"/>
  <c r="BL274" i="13"/>
  <c r="BM274" i="13" a="1"/>
  <c r="BM274" i="13" s="1"/>
  <c r="BN274" i="13"/>
  <c r="BS274" i="13"/>
  <c r="BW274" i="13"/>
  <c r="CQ274" i="13"/>
  <c r="CU274" i="13"/>
  <c r="F275" i="13"/>
  <c r="N275" i="13" a="1"/>
  <c r="N275" i="13" s="1"/>
  <c r="S275" i="13" a="1"/>
  <c r="S275" i="13" s="1"/>
  <c r="AD275" i="13"/>
  <c r="AH275" i="13"/>
  <c r="A275" i="13" s="1"/>
  <c r="AI275" i="13"/>
  <c r="AJ275" i="13"/>
  <c r="BL275" i="13" s="1"/>
  <c r="AN275" i="13" a="1"/>
  <c r="AN275" i="13" s="1"/>
  <c r="AP275" i="13" a="1"/>
  <c r="AP275" i="13" s="1"/>
  <c r="AQ275" i="13"/>
  <c r="AR275" i="13" a="1"/>
  <c r="AR275" i="13" s="1"/>
  <c r="AS275" i="13" a="1"/>
  <c r="AS275" i="13" s="1"/>
  <c r="BM275" i="13" a="1"/>
  <c r="BM275" i="13" s="1"/>
  <c r="A276" i="13"/>
  <c r="F276" i="13"/>
  <c r="N276" i="13" a="1"/>
  <c r="N276" i="13" s="1"/>
  <c r="S276" i="13" a="1"/>
  <c r="S276" i="13" s="1"/>
  <c r="AD276" i="13"/>
  <c r="AH276" i="13"/>
  <c r="BI276" i="13" s="1" a="1"/>
  <c r="BI276" i="13" s="1"/>
  <c r="AI276" i="13"/>
  <c r="AJ276" i="13"/>
  <c r="AM276" i="13"/>
  <c r="AN276" i="13" a="1"/>
  <c r="AN276" i="13" s="1"/>
  <c r="AP276" i="13" a="1"/>
  <c r="AP276" i="13" s="1"/>
  <c r="AQ276" i="13"/>
  <c r="AR276" i="13" a="1"/>
  <c r="AR276" i="13" s="1"/>
  <c r="AS276" i="13" a="1"/>
  <c r="AS276" i="13" s="1"/>
  <c r="BM276" i="13" a="1"/>
  <c r="BM276" i="13" s="1"/>
  <c r="BN276" i="13"/>
  <c r="BS276" i="13"/>
  <c r="BW276" i="13"/>
  <c r="CH276" i="13"/>
  <c r="CM276" i="13"/>
  <c r="CQ276" i="13"/>
  <c r="CU276" i="13"/>
  <c r="F277" i="13"/>
  <c r="N277" i="13" a="1"/>
  <c r="N277" i="13" s="1"/>
  <c r="S277" i="13" a="1"/>
  <c r="S277" i="13" s="1"/>
  <c r="AD277" i="13"/>
  <c r="AH277" i="13"/>
  <c r="CU277" i="13" s="1"/>
  <c r="AI277" i="13"/>
  <c r="AJ277" i="13"/>
  <c r="BL277" i="13" s="1"/>
  <c r="AN277" i="13" a="1"/>
  <c r="AN277" i="13" s="1"/>
  <c r="AP277" i="13" a="1"/>
  <c r="AP277" i="13" s="1"/>
  <c r="AQ277" i="13"/>
  <c r="AR277" i="13" a="1"/>
  <c r="AR277" i="13"/>
  <c r="AS277" i="13" a="1"/>
  <c r="AS277" i="13" s="1"/>
  <c r="BM277" i="13" a="1"/>
  <c r="BM277" i="13" s="1"/>
  <c r="A278" i="13"/>
  <c r="F278" i="13"/>
  <c r="N278" i="13" a="1"/>
  <c r="N278" i="13" s="1"/>
  <c r="S278" i="13" a="1"/>
  <c r="S278" i="13" s="1"/>
  <c r="AD278" i="13"/>
  <c r="AH278" i="13"/>
  <c r="BS278" i="13" s="1"/>
  <c r="AI278" i="13"/>
  <c r="AJ278" i="13"/>
  <c r="AM278" i="13"/>
  <c r="AN278" i="13" a="1"/>
  <c r="AN278" i="13" s="1"/>
  <c r="AP278" i="13" a="1"/>
  <c r="AP278" i="13" s="1"/>
  <c r="AQ278" i="13"/>
  <c r="AR278" i="13" a="1"/>
  <c r="AR278" i="13" s="1"/>
  <c r="AS278" i="13" a="1"/>
  <c r="AS278" i="13"/>
  <c r="BI278" i="13" a="1"/>
  <c r="BI278" i="13" s="1"/>
  <c r="BJ278" i="13" s="1"/>
  <c r="BM278" i="13" a="1"/>
  <c r="BM278" i="13" s="1"/>
  <c r="BN278" i="13"/>
  <c r="BW278" i="13"/>
  <c r="CA278" i="13"/>
  <c r="CH278" i="13"/>
  <c r="CM278" i="13"/>
  <c r="CQ278" i="13"/>
  <c r="CU278" i="13"/>
  <c r="F279" i="13"/>
  <c r="N279" i="13" a="1"/>
  <c r="N279" i="13" s="1"/>
  <c r="S279" i="13" a="1"/>
  <c r="S279" i="13" s="1"/>
  <c r="AD279" i="13"/>
  <c r="AH279" i="13"/>
  <c r="CU279" i="13" s="1"/>
  <c r="AI279" i="13"/>
  <c r="AJ279" i="13"/>
  <c r="BL279" i="13" s="1"/>
  <c r="AN279" i="13" a="1"/>
  <c r="AN279" i="13" s="1"/>
  <c r="AP279" i="13" a="1"/>
  <c r="AP279" i="13" s="1"/>
  <c r="AQ279" i="13"/>
  <c r="AR279" i="13" a="1"/>
  <c r="AR279" i="13" s="1"/>
  <c r="AS279" i="13" a="1"/>
  <c r="AS279" i="13" s="1"/>
  <c r="BM279" i="13" a="1"/>
  <c r="BM279" i="13" s="1"/>
  <c r="CA279" i="13"/>
  <c r="CH279" i="13"/>
  <c r="CM279" i="13"/>
  <c r="CQ279" i="13"/>
  <c r="F280" i="13"/>
  <c r="N280" i="13" a="1"/>
  <c r="N280" i="13" s="1"/>
  <c r="S280" i="13" a="1"/>
  <c r="S280" i="13" s="1"/>
  <c r="AD280" i="13"/>
  <c r="AH280" i="13"/>
  <c r="BI280" i="13" s="1" a="1"/>
  <c r="BI280" i="13" s="1"/>
  <c r="AI280" i="13"/>
  <c r="AJ280" i="13"/>
  <c r="BL280" i="13" s="1"/>
  <c r="AN280" i="13" a="1"/>
  <c r="AN280" i="13" s="1"/>
  <c r="AP280" i="13" a="1"/>
  <c r="AP280" i="13"/>
  <c r="AQ280" i="13"/>
  <c r="AR280" i="13" a="1"/>
  <c r="AR280" i="13" s="1"/>
  <c r="AS280" i="13" a="1"/>
  <c r="AS280" i="13" s="1"/>
  <c r="BM280" i="13" a="1"/>
  <c r="BM280" i="13"/>
  <c r="BN280" i="13"/>
  <c r="BS280" i="13"/>
  <c r="BW280" i="13"/>
  <c r="CU280" i="13"/>
  <c r="F281" i="13"/>
  <c r="N281" i="13" a="1"/>
  <c r="N281" i="13" s="1"/>
  <c r="S281" i="13" a="1"/>
  <c r="S281" i="13" s="1"/>
  <c r="AD281" i="13"/>
  <c r="AH281" i="13"/>
  <c r="AI281" i="13"/>
  <c r="AJ281" i="13"/>
  <c r="BL281" i="13" s="1"/>
  <c r="AN281" i="13" a="1"/>
  <c r="AN281" i="13" s="1"/>
  <c r="AP281" i="13" a="1"/>
  <c r="AP281" i="13" s="1"/>
  <c r="AQ281" i="13"/>
  <c r="AR281" i="13" a="1"/>
  <c r="AR281" i="13" s="1"/>
  <c r="AS281" i="13" a="1"/>
  <c r="AS281" i="13" s="1"/>
  <c r="BI281" i="13" a="1"/>
  <c r="BI281" i="13" s="1"/>
  <c r="BK281" i="13"/>
  <c r="BM281" i="13" a="1"/>
  <c r="BM281" i="13" s="1"/>
  <c r="BW281" i="13"/>
  <c r="CM281" i="13"/>
  <c r="F282" i="13"/>
  <c r="N282" i="13" a="1"/>
  <c r="N282" i="13" s="1"/>
  <c r="S282" i="13" a="1"/>
  <c r="S282" i="13" s="1"/>
  <c r="AD282" i="13"/>
  <c r="AH282" i="13"/>
  <c r="BI282" i="13" s="1" a="1"/>
  <c r="BI282" i="13" s="1"/>
  <c r="AI282" i="13"/>
  <c r="AJ282" i="13"/>
  <c r="AN282" i="13" a="1"/>
  <c r="AN282" i="13" s="1"/>
  <c r="AP282" i="13" a="1"/>
  <c r="AP282" i="13"/>
  <c r="AQ282" i="13"/>
  <c r="AR282" i="13" a="1"/>
  <c r="AR282" i="13" s="1"/>
  <c r="AS282" i="13" a="1"/>
  <c r="AS282" i="13" s="1"/>
  <c r="BM282" i="13" a="1"/>
  <c r="BM282" i="13" s="1"/>
  <c r="BS282" i="13"/>
  <c r="BW282" i="13"/>
  <c r="CA282" i="13"/>
  <c r="CH282" i="13"/>
  <c r="F283" i="13"/>
  <c r="N283" i="13" a="1"/>
  <c r="N283" i="13" s="1"/>
  <c r="S283" i="13" a="1"/>
  <c r="S283" i="13" s="1"/>
  <c r="AD283" i="13"/>
  <c r="AH283" i="13"/>
  <c r="BI283" i="13" s="1" a="1"/>
  <c r="BI283" i="13" s="1"/>
  <c r="BJ283" i="13" s="1"/>
  <c r="AI283" i="13"/>
  <c r="AJ283" i="13"/>
  <c r="BL283" i="13" s="1"/>
  <c r="AN283" i="13" a="1"/>
  <c r="AN283" i="13"/>
  <c r="AP283" i="13" a="1"/>
  <c r="AP283" i="13" s="1"/>
  <c r="AQ283" i="13"/>
  <c r="AR283" i="13" a="1"/>
  <c r="AR283" i="13" s="1"/>
  <c r="AS283" i="13" a="1"/>
  <c r="AS283" i="13" s="1"/>
  <c r="BM283" i="13" a="1"/>
  <c r="BM283" i="13" s="1"/>
  <c r="BW283" i="13"/>
  <c r="CA283" i="13"/>
  <c r="A284" i="13"/>
  <c r="F284" i="13"/>
  <c r="N284" i="13" a="1"/>
  <c r="N284" i="13" s="1"/>
  <c r="S284" i="13" a="1"/>
  <c r="S284" i="13" s="1"/>
  <c r="AD284" i="13"/>
  <c r="AH284" i="13"/>
  <c r="BI284" i="13" s="1" a="1"/>
  <c r="BI284" i="13" s="1"/>
  <c r="AI284" i="13"/>
  <c r="AJ284" i="13"/>
  <c r="AM284" i="13"/>
  <c r="AN284" i="13" a="1"/>
  <c r="AN284" i="13" s="1"/>
  <c r="AP284" i="13" a="1"/>
  <c r="AP284" i="13" s="1"/>
  <c r="AQ284" i="13"/>
  <c r="AR284" i="13" a="1"/>
  <c r="AR284" i="13" s="1"/>
  <c r="AS284" i="13" a="1"/>
  <c r="AS284" i="13" s="1"/>
  <c r="BM284" i="13" a="1"/>
  <c r="BM284" i="13"/>
  <c r="BN284" i="13"/>
  <c r="BS284" i="13"/>
  <c r="BW284" i="13"/>
  <c r="CA284" i="13"/>
  <c r="CH284" i="13"/>
  <c r="CU284" i="13"/>
  <c r="F285" i="13"/>
  <c r="N285" i="13" a="1"/>
  <c r="N285" i="13" s="1"/>
  <c r="S285" i="13" a="1"/>
  <c r="S285" i="13" s="1"/>
  <c r="AD285" i="13"/>
  <c r="AH285" i="13"/>
  <c r="CM285" i="13" s="1"/>
  <c r="AI285" i="13"/>
  <c r="AJ285" i="13"/>
  <c r="BL285" i="13" s="1"/>
  <c r="AN285" i="13" a="1"/>
  <c r="AN285" i="13"/>
  <c r="AP285" i="13" a="1"/>
  <c r="AP285" i="13"/>
  <c r="AQ285" i="13"/>
  <c r="AR285" i="13" a="1"/>
  <c r="AR285" i="13" s="1"/>
  <c r="AS285" i="13" a="1"/>
  <c r="AS285" i="13" s="1"/>
  <c r="BI285" i="13" a="1"/>
  <c r="BI285" i="13" s="1"/>
  <c r="BK285" i="13"/>
  <c r="BM285" i="13" a="1"/>
  <c r="BM285" i="13" s="1"/>
  <c r="BW285" i="13"/>
  <c r="CA285" i="13"/>
  <c r="F286" i="13"/>
  <c r="N286" i="13" a="1"/>
  <c r="N286" i="13" s="1"/>
  <c r="S286" i="13" a="1"/>
  <c r="S286" i="13" s="1"/>
  <c r="AD286" i="13"/>
  <c r="AH286" i="13"/>
  <c r="BI286" i="13" s="1" a="1"/>
  <c r="BI286" i="13" s="1"/>
  <c r="AI286" i="13"/>
  <c r="AJ286" i="13"/>
  <c r="AN286" i="13" a="1"/>
  <c r="AN286" i="13" s="1"/>
  <c r="AP286" i="13" a="1"/>
  <c r="AP286" i="13" s="1"/>
  <c r="AQ286" i="13"/>
  <c r="AR286" i="13" a="1"/>
  <c r="AR286" i="13" s="1"/>
  <c r="AS286" i="13" a="1"/>
  <c r="AS286" i="13" s="1"/>
  <c r="BM286" i="13" a="1"/>
  <c r="BM286" i="13"/>
  <c r="BN286" i="13"/>
  <c r="BS286" i="13"/>
  <c r="BW286" i="13"/>
  <c r="CQ286" i="13"/>
  <c r="CU286" i="13"/>
  <c r="F287" i="13"/>
  <c r="N287" i="13" a="1"/>
  <c r="N287" i="13" s="1"/>
  <c r="S287" i="13" a="1"/>
  <c r="S287" i="13" s="1"/>
  <c r="AD287" i="13"/>
  <c r="AH287" i="13"/>
  <c r="AI287" i="13"/>
  <c r="AJ287" i="13"/>
  <c r="BL287" i="13" s="1"/>
  <c r="AM287" i="13"/>
  <c r="AN287" i="13" a="1"/>
  <c r="AN287" i="13" s="1"/>
  <c r="AP287" i="13" a="1"/>
  <c r="AP287" i="13" s="1"/>
  <c r="AQ287" i="13"/>
  <c r="AR287" i="13" a="1"/>
  <c r="AR287" i="13"/>
  <c r="AS287" i="13" a="1"/>
  <c r="AS287" i="13" s="1"/>
  <c r="BM287" i="13" a="1"/>
  <c r="BM287" i="13"/>
  <c r="BW287" i="13"/>
  <c r="CA287" i="13"/>
  <c r="CH287" i="13"/>
  <c r="CM287" i="13"/>
  <c r="CQ287" i="13"/>
  <c r="CU287" i="13"/>
  <c r="A288" i="13"/>
  <c r="F288" i="13"/>
  <c r="N288" i="13" a="1"/>
  <c r="N288" i="13" s="1"/>
  <c r="S288" i="13" a="1"/>
  <c r="S288" i="13" s="1"/>
  <c r="AD288" i="13"/>
  <c r="AH288" i="13"/>
  <c r="AI288" i="13"/>
  <c r="AJ288" i="13"/>
  <c r="AM288" i="13"/>
  <c r="AN288" i="13" a="1"/>
  <c r="AN288" i="13" s="1"/>
  <c r="AP288" i="13" a="1"/>
  <c r="AP288" i="13" s="1"/>
  <c r="AQ288" i="13"/>
  <c r="AR288" i="13" a="1"/>
  <c r="AR288" i="13" s="1"/>
  <c r="AS288" i="13" a="1"/>
  <c r="AS288" i="13" s="1"/>
  <c r="BI288" i="13" a="1"/>
  <c r="BI288" i="13"/>
  <c r="BJ288" i="13" s="1"/>
  <c r="BM288" i="13" a="1"/>
  <c r="BM288" i="13" s="1"/>
  <c r="BN288" i="13"/>
  <c r="BS288" i="13"/>
  <c r="BW288" i="13"/>
  <c r="CA288" i="13"/>
  <c r="CH288" i="13"/>
  <c r="CM288" i="13"/>
  <c r="CQ288" i="13"/>
  <c r="CU288" i="13"/>
  <c r="A289" i="13"/>
  <c r="F289" i="13"/>
  <c r="N289" i="13" a="1"/>
  <c r="N289" i="13" s="1"/>
  <c r="S289" i="13" a="1"/>
  <c r="S289" i="13" s="1"/>
  <c r="AD289" i="13"/>
  <c r="AH289" i="13"/>
  <c r="BW289" i="13" s="1"/>
  <c r="AI289" i="13"/>
  <c r="AJ289" i="13"/>
  <c r="AM289" i="13"/>
  <c r="AN289" i="13" a="1"/>
  <c r="AN289" i="13" s="1"/>
  <c r="AP289" i="13" a="1"/>
  <c r="AP289" i="13" s="1"/>
  <c r="AQ289" i="13"/>
  <c r="AR289" i="13" a="1"/>
  <c r="AR289" i="13"/>
  <c r="AS289" i="13" a="1"/>
  <c r="AS289" i="13" s="1"/>
  <c r="BI289" i="13" a="1"/>
  <c r="BI289" i="13" s="1"/>
  <c r="BM289" i="13" a="1"/>
  <c r="BM289" i="13" s="1"/>
  <c r="BN289" i="13"/>
  <c r="BS289" i="13"/>
  <c r="CH289" i="13"/>
  <c r="CM289" i="13"/>
  <c r="CQ289" i="13"/>
  <c r="CU289" i="13"/>
  <c r="F290" i="13"/>
  <c r="N290" i="13" a="1"/>
  <c r="N290" i="13" s="1"/>
  <c r="S290" i="13" a="1"/>
  <c r="S290" i="13" s="1"/>
  <c r="AD290" i="13"/>
  <c r="AH290" i="13"/>
  <c r="BS290" i="13" s="1"/>
  <c r="AI290" i="13"/>
  <c r="AJ290" i="13"/>
  <c r="AN290" i="13" a="1"/>
  <c r="AN290" i="13" s="1"/>
  <c r="AP290" i="13" a="1"/>
  <c r="AP290" i="13" s="1"/>
  <c r="AQ290" i="13"/>
  <c r="AR290" i="13" a="1"/>
  <c r="AR290" i="13" s="1"/>
  <c r="AS290" i="13" a="1"/>
  <c r="AS290" i="13" s="1"/>
  <c r="BI290" i="13" a="1"/>
  <c r="BI290" i="13" s="1"/>
  <c r="BJ290" i="13" s="1"/>
  <c r="BM290" i="13" a="1"/>
  <c r="BM290" i="13"/>
  <c r="BN290" i="13"/>
  <c r="A291" i="13"/>
  <c r="F291" i="13"/>
  <c r="N291" i="13" a="1"/>
  <c r="N291" i="13" s="1"/>
  <c r="S291" i="13" a="1"/>
  <c r="S291" i="13" s="1"/>
  <c r="AD291" i="13"/>
  <c r="AH291" i="13"/>
  <c r="BS291" i="13" s="1"/>
  <c r="AI291" i="13"/>
  <c r="AJ291" i="13"/>
  <c r="AM291" i="13"/>
  <c r="AN291" i="13" a="1"/>
  <c r="AN291" i="13" s="1"/>
  <c r="AP291" i="13" a="1"/>
  <c r="AP291" i="13" s="1"/>
  <c r="AQ291" i="13"/>
  <c r="AR291" i="13" a="1"/>
  <c r="AR291" i="13"/>
  <c r="AS291" i="13" a="1"/>
  <c r="AS291" i="13" s="1"/>
  <c r="BI291" i="13" a="1"/>
  <c r="BI291" i="13" s="1"/>
  <c r="BL291" i="13"/>
  <c r="BM291" i="13" a="1"/>
  <c r="BM291" i="13" s="1"/>
  <c r="BN291" i="13"/>
  <c r="CA291" i="13"/>
  <c r="CH291" i="13"/>
  <c r="CM291" i="13"/>
  <c r="CQ291" i="13"/>
  <c r="CU291" i="13"/>
  <c r="F292" i="13"/>
  <c r="N292" i="13" a="1"/>
  <c r="N292" i="13" s="1"/>
  <c r="S292" i="13" a="1"/>
  <c r="S292" i="13" s="1"/>
  <c r="AD292" i="13"/>
  <c r="AH292" i="13"/>
  <c r="AI292" i="13"/>
  <c r="AJ292" i="13"/>
  <c r="AN292" i="13" a="1"/>
  <c r="AN292" i="13"/>
  <c r="AP292" i="13" a="1"/>
  <c r="AP292" i="13" s="1"/>
  <c r="AQ292" i="13"/>
  <c r="AR292" i="13" a="1"/>
  <c r="AR292" i="13" s="1"/>
  <c r="AS292" i="13" a="1"/>
  <c r="AS292" i="13" s="1"/>
  <c r="BL292" i="13"/>
  <c r="BM292" i="13" a="1"/>
  <c r="BM292" i="13" s="1"/>
  <c r="BN292" i="13"/>
  <c r="BS292" i="13"/>
  <c r="CQ292" i="13"/>
  <c r="CU292" i="13"/>
  <c r="A293" i="13"/>
  <c r="F293" i="13"/>
  <c r="N293" i="13" a="1"/>
  <c r="N293" i="13" s="1"/>
  <c r="S293" i="13" a="1"/>
  <c r="S293" i="13" s="1"/>
  <c r="AD293" i="13"/>
  <c r="AH293" i="13"/>
  <c r="AM293" i="13" s="1"/>
  <c r="AI293" i="13"/>
  <c r="AJ293" i="13"/>
  <c r="BK293" i="13" s="1"/>
  <c r="AN293" i="13" a="1"/>
  <c r="AN293" i="13" s="1"/>
  <c r="AP293" i="13" a="1"/>
  <c r="AP293" i="13" s="1"/>
  <c r="AQ293" i="13"/>
  <c r="AR293" i="13" a="1"/>
  <c r="AR293" i="13" s="1"/>
  <c r="AS293" i="13" a="1"/>
  <c r="AS293" i="13"/>
  <c r="BL293" i="13"/>
  <c r="BM293" i="13" a="1"/>
  <c r="BM293" i="13" s="1"/>
  <c r="BN293" i="13"/>
  <c r="BS293" i="13"/>
  <c r="CM293" i="13"/>
  <c r="F294" i="13"/>
  <c r="N294" i="13" a="1"/>
  <c r="N294" i="13" s="1"/>
  <c r="S294" i="13" a="1"/>
  <c r="S294" i="13" s="1"/>
  <c r="AD294" i="13"/>
  <c r="AH294" i="13"/>
  <c r="BS294" i="13" s="1"/>
  <c r="AI294" i="13"/>
  <c r="AJ294" i="13"/>
  <c r="BL294" i="13" s="1"/>
  <c r="AN294" i="13" a="1"/>
  <c r="AN294" i="13"/>
  <c r="AP294" i="13" a="1"/>
  <c r="AP294" i="13"/>
  <c r="AQ294" i="13"/>
  <c r="AR294" i="13" a="1"/>
  <c r="AR294" i="13" s="1"/>
  <c r="AS294" i="13" a="1"/>
  <c r="AS294" i="13" s="1"/>
  <c r="BI294" i="13" a="1"/>
  <c r="BI294" i="13" s="1"/>
  <c r="BK294" i="13"/>
  <c r="BM294" i="13" a="1"/>
  <c r="BM294" i="13" s="1"/>
  <c r="CM294" i="13"/>
  <c r="CQ294" i="13"/>
  <c r="F295" i="13"/>
  <c r="N295" i="13" a="1"/>
  <c r="N295" i="13" s="1"/>
  <c r="S295" i="13" a="1"/>
  <c r="S295" i="13" s="1"/>
  <c r="AD295" i="13"/>
  <c r="AH295" i="13"/>
  <c r="BS295" i="13" s="1"/>
  <c r="AI295" i="13"/>
  <c r="AJ295" i="13"/>
  <c r="AN295" i="13" a="1"/>
  <c r="AN295" i="13" s="1"/>
  <c r="AP295" i="13" a="1"/>
  <c r="AP295" i="13" s="1"/>
  <c r="AQ295" i="13"/>
  <c r="AR295" i="13" a="1"/>
  <c r="AR295" i="13" s="1"/>
  <c r="AS295" i="13" a="1"/>
  <c r="AS295" i="13" s="1"/>
  <c r="BK295" i="13"/>
  <c r="BL295" i="13"/>
  <c r="BM295" i="13" a="1"/>
  <c r="BM295" i="13" s="1"/>
  <c r="F296" i="13"/>
  <c r="N296" i="13" a="1"/>
  <c r="N296" i="13" s="1"/>
  <c r="S296" i="13" a="1"/>
  <c r="S296" i="13" s="1"/>
  <c r="AD296" i="13"/>
  <c r="AH296" i="13"/>
  <c r="BS296" i="13" s="1"/>
  <c r="AI296" i="13"/>
  <c r="AJ296" i="13"/>
  <c r="BK296" i="13" s="1"/>
  <c r="AN296" i="13" a="1"/>
  <c r="AN296" i="13"/>
  <c r="AP296" i="13" a="1"/>
  <c r="AP296" i="13" s="1"/>
  <c r="AQ296" i="13"/>
  <c r="AR296" i="13" a="1"/>
  <c r="AR296" i="13"/>
  <c r="AS296" i="13" a="1"/>
  <c r="AS296" i="13" s="1"/>
  <c r="BI296" i="13" a="1"/>
  <c r="BI296" i="13" s="1"/>
  <c r="BM296" i="13" a="1"/>
  <c r="BM296" i="13" s="1"/>
  <c r="CM296" i="13"/>
  <c r="CQ296" i="13"/>
  <c r="CU296" i="13"/>
  <c r="A297" i="13"/>
  <c r="F297" i="13"/>
  <c r="N297" i="13" a="1"/>
  <c r="N297" i="13" s="1"/>
  <c r="S297" i="13" a="1"/>
  <c r="S297" i="13" s="1"/>
  <c r="AD297" i="13"/>
  <c r="AH297" i="13"/>
  <c r="AM297" i="13" s="1"/>
  <c r="AI297" i="13"/>
  <c r="AJ297" i="13"/>
  <c r="BK297" i="13" s="1"/>
  <c r="AN297" i="13" a="1"/>
  <c r="AN297" i="13" s="1"/>
  <c r="AP297" i="13" a="1"/>
  <c r="AP297" i="13" s="1"/>
  <c r="AQ297" i="13"/>
  <c r="AR297" i="13" a="1"/>
  <c r="AR297" i="13" s="1"/>
  <c r="AS297" i="13" a="1"/>
  <c r="AS297" i="13" s="1"/>
  <c r="BL297" i="13"/>
  <c r="BM297" i="13" a="1"/>
  <c r="BM297" i="13"/>
  <c r="BN297" i="13"/>
  <c r="BS297" i="13"/>
  <c r="BW297" i="13"/>
  <c r="CM297" i="13"/>
  <c r="F298" i="13"/>
  <c r="N298" i="13" a="1"/>
  <c r="N298" i="13" s="1"/>
  <c r="S298" i="13" a="1"/>
  <c r="S298" i="13" s="1"/>
  <c r="AD298" i="13"/>
  <c r="AH298" i="13"/>
  <c r="CM298" i="13" s="1"/>
  <c r="AI298" i="13"/>
  <c r="AJ298" i="13"/>
  <c r="AN298" i="13" a="1"/>
  <c r="AN298" i="13" s="1"/>
  <c r="AP298" i="13" a="1"/>
  <c r="AP298" i="13"/>
  <c r="AQ298" i="13"/>
  <c r="AR298" i="13" a="1"/>
  <c r="AR298" i="13"/>
  <c r="AS298" i="13" a="1"/>
  <c r="AS298" i="13" s="1"/>
  <c r="BM298" i="13" a="1"/>
  <c r="BM298" i="13" s="1"/>
  <c r="CQ298" i="13"/>
  <c r="A299" i="13"/>
  <c r="F299" i="13"/>
  <c r="N299" i="13" a="1"/>
  <c r="N299" i="13" s="1"/>
  <c r="S299" i="13" a="1"/>
  <c r="S299" i="13" s="1"/>
  <c r="AD299" i="13"/>
  <c r="AH299" i="13"/>
  <c r="AI299" i="13"/>
  <c r="AJ299" i="13"/>
  <c r="AN299" i="13" a="1"/>
  <c r="AN299" i="13" s="1"/>
  <c r="AP299" i="13" a="1"/>
  <c r="AP299" i="13" s="1"/>
  <c r="AQ299" i="13"/>
  <c r="AR299" i="13" a="1"/>
  <c r="AR299" i="13" s="1"/>
  <c r="AS299" i="13" a="1"/>
  <c r="AS299" i="13"/>
  <c r="BK299" i="13"/>
  <c r="BL299" i="13"/>
  <c r="BM299" i="13" a="1"/>
  <c r="BM299" i="13" s="1"/>
  <c r="BN299" i="13"/>
  <c r="CM299" i="13"/>
  <c r="F300" i="13"/>
  <c r="N300" i="13" a="1"/>
  <c r="N300" i="13" s="1"/>
  <c r="S300" i="13" a="1"/>
  <c r="S300" i="13" s="1"/>
  <c r="AD300" i="13"/>
  <c r="AH300" i="13"/>
  <c r="BS300" i="13" s="1"/>
  <c r="AI300" i="13"/>
  <c r="AJ300" i="13"/>
  <c r="AN300" i="13" a="1"/>
  <c r="AN300" i="13" s="1"/>
  <c r="AP300" i="13" a="1"/>
  <c r="AP300" i="13"/>
  <c r="AQ300" i="13"/>
  <c r="AR300" i="13" a="1"/>
  <c r="AR300" i="13" s="1"/>
  <c r="AS300" i="13" a="1"/>
  <c r="AS300" i="13"/>
  <c r="BM300" i="13" a="1"/>
  <c r="BM300" i="13" s="1"/>
  <c r="CQ300" i="13"/>
  <c r="F301" i="13"/>
  <c r="N301" i="13" a="1"/>
  <c r="N301" i="13" s="1"/>
  <c r="S301" i="13" a="1"/>
  <c r="S301" i="13" s="1"/>
  <c r="AD301" i="13"/>
  <c r="AH301" i="13"/>
  <c r="AI301" i="13"/>
  <c r="AJ301" i="13"/>
  <c r="AN301" i="13" a="1"/>
  <c r="AN301" i="13" s="1"/>
  <c r="AP301" i="13" a="1"/>
  <c r="AP301" i="13" s="1"/>
  <c r="AQ301" i="13"/>
  <c r="AR301" i="13" a="1"/>
  <c r="AR301" i="13" s="1"/>
  <c r="AS301" i="13" a="1"/>
  <c r="AS301" i="13" s="1"/>
  <c r="BM301" i="13" a="1"/>
  <c r="BM301" i="13"/>
  <c r="BN301" i="13"/>
  <c r="BS301" i="13"/>
  <c r="BW301" i="13"/>
  <c r="CM301" i="13"/>
  <c r="F302" i="13"/>
  <c r="N302" i="13" a="1"/>
  <c r="N302" i="13" s="1"/>
  <c r="S302" i="13" a="1"/>
  <c r="S302" i="13" s="1"/>
  <c r="AD302" i="13"/>
  <c r="AH302" i="13"/>
  <c r="BI302" i="13" s="1" a="1"/>
  <c r="BI302" i="13" s="1"/>
  <c r="AI302" i="13"/>
  <c r="AJ302" i="13"/>
  <c r="AN302" i="13" a="1"/>
  <c r="AN302" i="13" s="1"/>
  <c r="AP302" i="13" a="1"/>
  <c r="AP302" i="13" s="1"/>
  <c r="AQ302" i="13"/>
  <c r="AR302" i="13" a="1"/>
  <c r="AR302" i="13" s="1"/>
  <c r="AS302" i="13" a="1"/>
  <c r="AS302" i="13" s="1"/>
  <c r="BM302" i="13" a="1"/>
  <c r="BM302" i="13" s="1"/>
  <c r="CU302" i="13"/>
  <c r="A303" i="13"/>
  <c r="F303" i="13"/>
  <c r="N303" i="13" a="1"/>
  <c r="N303" i="13" s="1"/>
  <c r="S303" i="13" a="1"/>
  <c r="S303" i="13" s="1"/>
  <c r="AD303" i="13"/>
  <c r="AH303" i="13"/>
  <c r="AM303" i="13" s="1"/>
  <c r="AI303" i="13"/>
  <c r="AJ303" i="13"/>
  <c r="AN303" i="13" a="1"/>
  <c r="AN303" i="13" s="1"/>
  <c r="AP303" i="13" a="1"/>
  <c r="AP303" i="13" s="1"/>
  <c r="AQ303" i="13"/>
  <c r="AR303" i="13" a="1"/>
  <c r="AR303" i="13" s="1"/>
  <c r="AS303" i="13" a="1"/>
  <c r="AS303" i="13" s="1"/>
  <c r="BM303" i="13" a="1"/>
  <c r="BM303" i="13"/>
  <c r="BN303" i="13"/>
  <c r="BS303" i="13"/>
  <c r="BW303" i="13"/>
  <c r="CM303" i="13"/>
  <c r="F304" i="13"/>
  <c r="N304" i="13" a="1"/>
  <c r="N304" i="13" s="1"/>
  <c r="S304" i="13" a="1"/>
  <c r="S304" i="13" s="1"/>
  <c r="AD304" i="13"/>
  <c r="AH304" i="13"/>
  <c r="CQ304" i="13" s="1"/>
  <c r="AI304" i="13"/>
  <c r="AJ304" i="13"/>
  <c r="AN304" i="13" a="1"/>
  <c r="AN304" i="13" s="1"/>
  <c r="AP304" i="13" a="1"/>
  <c r="AP304" i="13" s="1"/>
  <c r="AQ304" i="13"/>
  <c r="AR304" i="13" a="1"/>
  <c r="AR304" i="13" s="1"/>
  <c r="AS304" i="13" a="1"/>
  <c r="AS304" i="13" s="1"/>
  <c r="BM304" i="13" a="1"/>
  <c r="BM304" i="13" s="1"/>
  <c r="CM304" i="13"/>
  <c r="F305" i="13"/>
  <c r="N305" i="13" a="1"/>
  <c r="N305" i="13" s="1"/>
  <c r="S305" i="13" a="1"/>
  <c r="S305" i="13" s="1"/>
  <c r="AD305" i="13"/>
  <c r="AH305" i="13"/>
  <c r="BK305" i="13" s="1"/>
  <c r="AI305" i="13"/>
  <c r="AJ305" i="13"/>
  <c r="AN305" i="13" a="1"/>
  <c r="AN305" i="13" s="1"/>
  <c r="AP305" i="13" a="1"/>
  <c r="AP305" i="13" s="1"/>
  <c r="AQ305" i="13"/>
  <c r="AR305" i="13" a="1"/>
  <c r="AR305" i="13" s="1"/>
  <c r="AS305" i="13" a="1"/>
  <c r="AS305" i="13"/>
  <c r="BL305" i="13"/>
  <c r="BM305" i="13" a="1"/>
  <c r="BM305" i="13"/>
  <c r="F306" i="13"/>
  <c r="N306" i="13" a="1"/>
  <c r="N306" i="13" s="1"/>
  <c r="S306" i="13" a="1"/>
  <c r="S306" i="13" s="1"/>
  <c r="AD306" i="13"/>
  <c r="AH306" i="13"/>
  <c r="BS306" i="13" s="1"/>
  <c r="AI306" i="13"/>
  <c r="AJ306" i="13"/>
  <c r="AN306" i="13" a="1"/>
  <c r="AN306" i="13"/>
  <c r="AP306" i="13" a="1"/>
  <c r="AP306" i="13" s="1"/>
  <c r="AQ306" i="13"/>
  <c r="AR306" i="13" a="1"/>
  <c r="AR306" i="13" s="1"/>
  <c r="AS306" i="13" a="1"/>
  <c r="AS306" i="13" s="1"/>
  <c r="BI306" i="13" a="1"/>
  <c r="BI306" i="13" s="1"/>
  <c r="BM306" i="13" a="1"/>
  <c r="BM306" i="13" s="1"/>
  <c r="CM306" i="13"/>
  <c r="CQ306" i="13"/>
  <c r="CU306" i="13"/>
  <c r="F307" i="13"/>
  <c r="N307" i="13" a="1"/>
  <c r="N307" i="13" s="1"/>
  <c r="S307" i="13" a="1"/>
  <c r="S307" i="13" s="1"/>
  <c r="AD307" i="13"/>
  <c r="AH307" i="13"/>
  <c r="AI307" i="13"/>
  <c r="AJ307" i="13"/>
  <c r="AN307" i="13" a="1"/>
  <c r="AN307" i="13" s="1"/>
  <c r="AP307" i="13" a="1"/>
  <c r="AP307" i="13" s="1"/>
  <c r="AQ307" i="13"/>
  <c r="AR307" i="13" a="1"/>
  <c r="AR307" i="13" s="1"/>
  <c r="AS307" i="13" a="1"/>
  <c r="AS307" i="13"/>
  <c r="BK307" i="13"/>
  <c r="BL307" i="13"/>
  <c r="BM307" i="13" a="1"/>
  <c r="BM307" i="13"/>
  <c r="BN307" i="13"/>
  <c r="BS307" i="13"/>
  <c r="CM307" i="13"/>
  <c r="F308" i="13"/>
  <c r="N308" i="13" a="1"/>
  <c r="N308" i="13" s="1"/>
  <c r="S308" i="13" a="1"/>
  <c r="S308" i="13" s="1"/>
  <c r="AD308" i="13"/>
  <c r="AH308" i="13"/>
  <c r="CM308" i="13" s="1"/>
  <c r="AI308" i="13"/>
  <c r="AJ308" i="13"/>
  <c r="BL308" i="13" s="1"/>
  <c r="AN308" i="13" a="1"/>
  <c r="AN308" i="13"/>
  <c r="AP308" i="13" a="1"/>
  <c r="AP308" i="13" s="1"/>
  <c r="AQ308" i="13"/>
  <c r="AR308" i="13" a="1"/>
  <c r="AR308" i="13"/>
  <c r="AS308" i="13" a="1"/>
  <c r="AS308" i="13"/>
  <c r="BM308" i="13" a="1"/>
  <c r="BM308" i="13" s="1"/>
  <c r="F309" i="13"/>
  <c r="N309" i="13" a="1"/>
  <c r="N309" i="13" s="1"/>
  <c r="S309" i="13" a="1"/>
  <c r="S309" i="13" s="1"/>
  <c r="AD309" i="13"/>
  <c r="AH309" i="13"/>
  <c r="AM309" i="13" s="1"/>
  <c r="AI309" i="13"/>
  <c r="AJ309" i="13"/>
  <c r="BK309" i="13" s="1"/>
  <c r="AN309" i="13" a="1"/>
  <c r="AN309" i="13" s="1"/>
  <c r="AP309" i="13" a="1"/>
  <c r="AP309" i="13" s="1"/>
  <c r="AQ309" i="13"/>
  <c r="AR309" i="13" a="1"/>
  <c r="AR309" i="13" s="1"/>
  <c r="AS309" i="13" a="1"/>
  <c r="AS309" i="13"/>
  <c r="BL309" i="13"/>
  <c r="BM309" i="13" a="1"/>
  <c r="BM309" i="13" s="1"/>
  <c r="BS309" i="13"/>
  <c r="CM309" i="13"/>
  <c r="F310" i="13"/>
  <c r="N310" i="13" a="1"/>
  <c r="N310" i="13" s="1"/>
  <c r="S310" i="13" a="1"/>
  <c r="S310" i="13" s="1"/>
  <c r="AD310" i="13"/>
  <c r="AH310" i="13"/>
  <c r="CQ310" i="13" s="1"/>
  <c r="AI310" i="13"/>
  <c r="AJ310" i="13"/>
  <c r="AN310" i="13" a="1"/>
  <c r="AN310" i="13" s="1"/>
  <c r="AP310" i="13" a="1"/>
  <c r="AP310" i="13" s="1"/>
  <c r="AQ310" i="13"/>
  <c r="AR310" i="13" a="1"/>
  <c r="AR310" i="13"/>
  <c r="AS310" i="13" a="1"/>
  <c r="AS310" i="13" s="1"/>
  <c r="BI310" i="13" a="1"/>
  <c r="BI310" i="13" s="1"/>
  <c r="BM310" i="13" a="1"/>
  <c r="BM310" i="13" s="1"/>
  <c r="CM310" i="13"/>
  <c r="CU310" i="13"/>
  <c r="F311" i="13"/>
  <c r="N311" i="13" a="1"/>
  <c r="N311" i="13" s="1"/>
  <c r="S311" i="13" a="1"/>
  <c r="S311" i="13" s="1"/>
  <c r="AD311" i="13"/>
  <c r="AH311" i="13"/>
  <c r="AM311" i="13" s="1"/>
  <c r="AI311" i="13"/>
  <c r="AJ311" i="13"/>
  <c r="AN311" i="13" a="1"/>
  <c r="AN311" i="13" s="1"/>
  <c r="AP311" i="13" a="1"/>
  <c r="AP311" i="13" s="1"/>
  <c r="AQ311" i="13"/>
  <c r="AR311" i="13" a="1"/>
  <c r="AR311" i="13" s="1"/>
  <c r="AS311" i="13" a="1"/>
  <c r="AS311" i="13"/>
  <c r="BL311" i="13"/>
  <c r="BM311" i="13" a="1"/>
  <c r="BM311" i="13"/>
  <c r="CM311" i="13"/>
  <c r="F312" i="13"/>
  <c r="N312" i="13" a="1"/>
  <c r="N312" i="13" s="1"/>
  <c r="S312" i="13" a="1"/>
  <c r="S312" i="13" s="1"/>
  <c r="AD312" i="13"/>
  <c r="AH312" i="13"/>
  <c r="CM312" i="13" s="1"/>
  <c r="AI312" i="13"/>
  <c r="AJ312" i="13"/>
  <c r="BL312" i="13" s="1"/>
  <c r="AN312" i="13" a="1"/>
  <c r="AN312" i="13" s="1"/>
  <c r="AP312" i="13" a="1"/>
  <c r="AP312" i="13" s="1"/>
  <c r="AQ312" i="13"/>
  <c r="AR312" i="13" a="1"/>
  <c r="AR312" i="13" s="1"/>
  <c r="AS312" i="13" a="1"/>
  <c r="AS312" i="13"/>
  <c r="BM312" i="13" a="1"/>
  <c r="BM312" i="13" s="1"/>
  <c r="A313" i="13"/>
  <c r="F313" i="13"/>
  <c r="N313" i="13" a="1"/>
  <c r="N313" i="13" s="1"/>
  <c r="S313" i="13" a="1"/>
  <c r="S313" i="13" s="1"/>
  <c r="AD313" i="13"/>
  <c r="AH313" i="13"/>
  <c r="AM313" i="13" s="1"/>
  <c r="AI313" i="13"/>
  <c r="AJ313" i="13"/>
  <c r="BK313" i="13" s="1"/>
  <c r="AN313" i="13" a="1"/>
  <c r="AN313" i="13" s="1"/>
  <c r="AP313" i="13" a="1"/>
  <c r="AP313" i="13" s="1"/>
  <c r="AQ313" i="13"/>
  <c r="AR313" i="13" a="1"/>
  <c r="AR313" i="13" s="1"/>
  <c r="AS313" i="13" a="1"/>
  <c r="AS313" i="13" s="1"/>
  <c r="BL313" i="13"/>
  <c r="BM313" i="13" a="1"/>
  <c r="BM313" i="13" s="1"/>
  <c r="BN313" i="13"/>
  <c r="BS313" i="13"/>
  <c r="BW313" i="13"/>
  <c r="CM313" i="13"/>
  <c r="F314" i="13"/>
  <c r="N314" i="13" a="1"/>
  <c r="N314" i="13" s="1"/>
  <c r="S314" i="13" a="1"/>
  <c r="S314" i="13" s="1"/>
  <c r="AD314" i="13"/>
  <c r="AH314" i="13"/>
  <c r="CU314" i="13" s="1"/>
  <c r="AI314" i="13"/>
  <c r="AJ314" i="13"/>
  <c r="BL314" i="13" s="1"/>
  <c r="AN314" i="13" a="1"/>
  <c r="AN314" i="13" s="1"/>
  <c r="AP314" i="13" a="1"/>
  <c r="AP314" i="13"/>
  <c r="AQ314" i="13"/>
  <c r="AR314" i="13" a="1"/>
  <c r="AR314" i="13" s="1"/>
  <c r="AS314" i="13" a="1"/>
  <c r="AS314" i="13" s="1"/>
  <c r="BM314" i="13" a="1"/>
  <c r="BM314" i="13" s="1"/>
  <c r="CM314" i="13"/>
  <c r="A315" i="13"/>
  <c r="F315" i="13"/>
  <c r="N315" i="13" a="1"/>
  <c r="N315" i="13" s="1"/>
  <c r="S315" i="13" a="1"/>
  <c r="S315" i="13" s="1"/>
  <c r="AD315" i="13"/>
  <c r="AH315" i="13"/>
  <c r="AM315" i="13" s="1"/>
  <c r="AI315" i="13"/>
  <c r="AJ315" i="13"/>
  <c r="AN315" i="13" a="1"/>
  <c r="AN315" i="13" s="1"/>
  <c r="AP315" i="13" a="1"/>
  <c r="AP315" i="13" s="1"/>
  <c r="AQ315" i="13"/>
  <c r="AR315" i="13" a="1"/>
  <c r="AR315" i="13" s="1"/>
  <c r="AS315" i="13" a="1"/>
  <c r="AS315" i="13"/>
  <c r="BK315" i="13"/>
  <c r="BL315" i="13"/>
  <c r="BM315" i="13" a="1"/>
  <c r="BM315" i="13" s="1"/>
  <c r="BN315" i="13"/>
  <c r="BS315" i="13"/>
  <c r="CM315" i="13"/>
  <c r="F316" i="13"/>
  <c r="N316" i="13" a="1"/>
  <c r="N316" i="13" s="1"/>
  <c r="S316" i="13" a="1"/>
  <c r="S316" i="13" s="1"/>
  <c r="AD316" i="13"/>
  <c r="AH316" i="13"/>
  <c r="BI316" i="13" s="1" a="1"/>
  <c r="BI316" i="13" s="1"/>
  <c r="AI316" i="13"/>
  <c r="AJ316" i="13"/>
  <c r="BL316" i="13" s="1"/>
  <c r="AN316" i="13" a="1"/>
  <c r="AN316" i="13" s="1"/>
  <c r="AP316" i="13" a="1"/>
  <c r="AP316" i="13" s="1"/>
  <c r="AQ316" i="13"/>
  <c r="AR316" i="13" a="1"/>
  <c r="AR316" i="13"/>
  <c r="AS316" i="13" a="1"/>
  <c r="AS316" i="13" s="1"/>
  <c r="BM316" i="13" a="1"/>
  <c r="BM316" i="13" s="1"/>
  <c r="CM316" i="13"/>
  <c r="F317" i="13"/>
  <c r="N317" i="13" a="1"/>
  <c r="N317" i="13" s="1"/>
  <c r="S317" i="13" a="1"/>
  <c r="S317" i="13" s="1"/>
  <c r="AD317" i="13"/>
  <c r="AH317" i="13"/>
  <c r="A317" i="13" s="1"/>
  <c r="AI317" i="13"/>
  <c r="AJ317" i="13"/>
  <c r="AN317" i="13" a="1"/>
  <c r="AN317" i="13" s="1"/>
  <c r="AP317" i="13" a="1"/>
  <c r="AP317" i="13" s="1"/>
  <c r="AQ317" i="13"/>
  <c r="AR317" i="13" a="1"/>
  <c r="AR317" i="13" s="1"/>
  <c r="AS317" i="13" a="1"/>
  <c r="AS317" i="13"/>
  <c r="BL317" i="13"/>
  <c r="BM317" i="13" a="1"/>
  <c r="BM317" i="13" s="1"/>
  <c r="BN317" i="13"/>
  <c r="BS317" i="13"/>
  <c r="F318" i="13"/>
  <c r="N318" i="13" a="1"/>
  <c r="N318" i="13" s="1"/>
  <c r="S318" i="13" a="1"/>
  <c r="S318" i="13" s="1"/>
  <c r="AD318" i="13"/>
  <c r="AH318" i="13"/>
  <c r="CU318" i="13" s="1"/>
  <c r="AI318" i="13"/>
  <c r="AJ318" i="13"/>
  <c r="BL318" i="13" s="1"/>
  <c r="AN318" i="13" a="1"/>
  <c r="AN318" i="13" s="1"/>
  <c r="AP318" i="13" a="1"/>
  <c r="AP318" i="13" s="1"/>
  <c r="AQ318" i="13"/>
  <c r="AR318" i="13" a="1"/>
  <c r="AR318" i="13" s="1"/>
  <c r="AS318" i="13" a="1"/>
  <c r="AS318" i="13" s="1"/>
  <c r="BM318" i="13" a="1"/>
  <c r="BM318" i="13" s="1"/>
  <c r="F319" i="13"/>
  <c r="N319" i="13" a="1"/>
  <c r="N319" i="13" s="1"/>
  <c r="S319" i="13" a="1"/>
  <c r="S319" i="13" s="1"/>
  <c r="AD319" i="13"/>
  <c r="AH319" i="13"/>
  <c r="BK319" i="13" s="1"/>
  <c r="AI319" i="13"/>
  <c r="AJ319" i="13"/>
  <c r="AN319" i="13" a="1"/>
  <c r="AN319" i="13" s="1"/>
  <c r="AP319" i="13" a="1"/>
  <c r="AP319" i="13" s="1"/>
  <c r="AQ319" i="13"/>
  <c r="AR319" i="13" a="1"/>
  <c r="AR319" i="13" s="1"/>
  <c r="AS319" i="13" a="1"/>
  <c r="AS319" i="13" s="1"/>
  <c r="BL319" i="13"/>
  <c r="BM319" i="13" a="1"/>
  <c r="BM319" i="13" s="1"/>
  <c r="BS319" i="13"/>
  <c r="BW319" i="13"/>
  <c r="CM319" i="13"/>
  <c r="F320" i="13"/>
  <c r="N320" i="13" a="1"/>
  <c r="N320" i="13" s="1"/>
  <c r="S320" i="13" a="1"/>
  <c r="S320" i="13" s="1"/>
  <c r="AD320" i="13"/>
  <c r="AH320" i="13"/>
  <c r="BN320" i="13" s="1"/>
  <c r="AI320" i="13"/>
  <c r="AJ320" i="13"/>
  <c r="BL320" i="13" s="1"/>
  <c r="AN320" i="13" a="1"/>
  <c r="AN320" i="13" s="1"/>
  <c r="AP320" i="13" a="1"/>
  <c r="AP320" i="13" s="1"/>
  <c r="AQ320" i="13"/>
  <c r="AR320" i="13" a="1"/>
  <c r="AR320" i="13"/>
  <c r="AS320" i="13" a="1"/>
  <c r="AS320" i="13" s="1"/>
  <c r="BI320" i="13" a="1"/>
  <c r="BI320" i="13" s="1"/>
  <c r="BJ320" i="13" s="1"/>
  <c r="BM320" i="13" a="1"/>
  <c r="BM320" i="13" s="1"/>
  <c r="CM320" i="13"/>
  <c r="CQ320" i="13"/>
  <c r="CU320" i="13"/>
  <c r="F321" i="13"/>
  <c r="N321" i="13" a="1"/>
  <c r="N321" i="13" s="1"/>
  <c r="S321" i="13" a="1"/>
  <c r="S321" i="13" s="1"/>
  <c r="AD321" i="13"/>
  <c r="AH321" i="13"/>
  <c r="A321" i="13" s="1"/>
  <c r="AI321" i="13"/>
  <c r="AJ321" i="13"/>
  <c r="BL321" i="13" s="1"/>
  <c r="AM321" i="13"/>
  <c r="AN321" i="13" a="1"/>
  <c r="AN321" i="13" s="1"/>
  <c r="AP321" i="13" a="1"/>
  <c r="AP321" i="13" s="1"/>
  <c r="AQ321" i="13"/>
  <c r="AR321" i="13" a="1"/>
  <c r="AR321" i="13" s="1"/>
  <c r="AS321" i="13" a="1"/>
  <c r="AS321" i="13"/>
  <c r="BM321" i="13" a="1"/>
  <c r="BM321" i="13" s="1"/>
  <c r="BN321" i="13"/>
  <c r="BS321" i="13"/>
  <c r="CA321" i="13"/>
  <c r="F322" i="13"/>
  <c r="N322" i="13" a="1"/>
  <c r="N322" i="13" s="1"/>
  <c r="S322" i="13" a="1"/>
  <c r="S322" i="13" s="1"/>
  <c r="AD322" i="13"/>
  <c r="AH322" i="13"/>
  <c r="AI322" i="13"/>
  <c r="AJ322" i="13"/>
  <c r="BL322" i="13" s="1"/>
  <c r="AN322" i="13" a="1"/>
  <c r="AN322" i="13" s="1"/>
  <c r="AP322" i="13" a="1"/>
  <c r="AP322" i="13" s="1"/>
  <c r="AQ322" i="13"/>
  <c r="AR322" i="13" a="1"/>
  <c r="AR322" i="13" s="1"/>
  <c r="AS322" i="13" a="1"/>
  <c r="AS322" i="13"/>
  <c r="BM322" i="13" a="1"/>
  <c r="BM322" i="13" s="1"/>
  <c r="F323" i="13"/>
  <c r="N323" i="13" a="1"/>
  <c r="N323" i="13" s="1"/>
  <c r="S323" i="13" a="1"/>
  <c r="S323" i="13" s="1"/>
  <c r="AD323" i="13"/>
  <c r="AH323" i="13"/>
  <c r="CU323" i="13" s="1"/>
  <c r="AI323" i="13"/>
  <c r="AJ323" i="13"/>
  <c r="BL323" i="13" s="1"/>
  <c r="AM323" i="13"/>
  <c r="AN323" i="13" a="1"/>
  <c r="AN323" i="13" s="1"/>
  <c r="AP323" i="13" a="1"/>
  <c r="AP323" i="13" s="1"/>
  <c r="AQ323" i="13"/>
  <c r="AR323" i="13" a="1"/>
  <c r="AR323" i="13" s="1"/>
  <c r="AS323" i="13" a="1"/>
  <c r="AS323" i="13" s="1"/>
  <c r="BM323" i="13" a="1"/>
  <c r="BM323" i="13" s="1"/>
  <c r="BN323" i="13"/>
  <c r="CH323" i="13"/>
  <c r="CM323" i="13"/>
  <c r="F324" i="13"/>
  <c r="N324" i="13" a="1"/>
  <c r="N324" i="13" s="1"/>
  <c r="S324" i="13" a="1"/>
  <c r="S324" i="13" s="1"/>
  <c r="AD324" i="13"/>
  <c r="AH324" i="13"/>
  <c r="BN324" i="13" s="1"/>
  <c r="AI324" i="13"/>
  <c r="AJ324" i="13"/>
  <c r="BL324" i="13" s="1"/>
  <c r="AN324" i="13" a="1"/>
  <c r="AN324" i="13" s="1"/>
  <c r="AP324" i="13" a="1"/>
  <c r="AP324" i="13"/>
  <c r="AQ324" i="13"/>
  <c r="AR324" i="13" a="1"/>
  <c r="AR324" i="13"/>
  <c r="AS324" i="13" a="1"/>
  <c r="AS324" i="13" s="1"/>
  <c r="BM324" i="13" a="1"/>
  <c r="BM324" i="13"/>
  <c r="F325" i="13"/>
  <c r="N325" i="13" a="1"/>
  <c r="N325" i="13" s="1"/>
  <c r="S325" i="13" a="1"/>
  <c r="S325" i="13" s="1"/>
  <c r="AD325" i="13"/>
  <c r="AH325" i="13"/>
  <c r="AI325" i="13"/>
  <c r="AJ325" i="13"/>
  <c r="BL325" i="13" s="1"/>
  <c r="AN325" i="13" a="1"/>
  <c r="AN325" i="13"/>
  <c r="AP325" i="13" a="1"/>
  <c r="AP325" i="13" s="1"/>
  <c r="AQ325" i="13"/>
  <c r="AR325" i="13" a="1"/>
  <c r="AR325" i="13" s="1"/>
  <c r="AS325" i="13" a="1"/>
  <c r="AS325" i="13"/>
  <c r="BM325" i="13" a="1"/>
  <c r="BM325" i="13" s="1"/>
  <c r="F326" i="13"/>
  <c r="N326" i="13" a="1"/>
  <c r="N326" i="13" s="1"/>
  <c r="S326" i="13" a="1"/>
  <c r="S326" i="13" s="1"/>
  <c r="AD326" i="13"/>
  <c r="AH326" i="13"/>
  <c r="AM326" i="13" s="1"/>
  <c r="AI326" i="13"/>
  <c r="AJ326" i="13"/>
  <c r="AN326" i="13" a="1"/>
  <c r="AN326" i="13" s="1"/>
  <c r="AP326" i="13" a="1"/>
  <c r="AP326" i="13" s="1"/>
  <c r="AQ326" i="13"/>
  <c r="AR326" i="13" a="1"/>
  <c r="AR326" i="13" s="1"/>
  <c r="AS326" i="13" a="1"/>
  <c r="AS326" i="13" s="1"/>
  <c r="BM326" i="13" a="1"/>
  <c r="BM326" i="13" s="1"/>
  <c r="BS326" i="13"/>
  <c r="CM326" i="13"/>
  <c r="F327" i="13"/>
  <c r="N327" i="13" a="1"/>
  <c r="N327" i="13" s="1"/>
  <c r="S327" i="13" a="1"/>
  <c r="S327" i="13" s="1"/>
  <c r="AD327" i="13"/>
  <c r="AH327" i="13"/>
  <c r="CM327" i="13" s="1"/>
  <c r="AI327" i="13"/>
  <c r="AJ327" i="13"/>
  <c r="BL327" i="13" s="1"/>
  <c r="AN327" i="13" a="1"/>
  <c r="AN327" i="13"/>
  <c r="AP327" i="13" a="1"/>
  <c r="AP327" i="13" s="1"/>
  <c r="AQ327" i="13"/>
  <c r="AR327" i="13" a="1"/>
  <c r="AR327" i="13" s="1"/>
  <c r="AS327" i="13" a="1"/>
  <c r="AS327" i="13" s="1"/>
  <c r="BM327" i="13" a="1"/>
  <c r="BM327" i="13" s="1"/>
  <c r="F328" i="13"/>
  <c r="N328" i="13" a="1"/>
  <c r="N328" i="13" s="1"/>
  <c r="S328" i="13" a="1"/>
  <c r="S328" i="13" s="1"/>
  <c r="AD328" i="13"/>
  <c r="AH328" i="13"/>
  <c r="AM328" i="13" s="1"/>
  <c r="AI328" i="13"/>
  <c r="AJ328" i="13"/>
  <c r="AN328" i="13" a="1"/>
  <c r="AN328" i="13" s="1"/>
  <c r="AP328" i="13" a="1"/>
  <c r="AP328" i="13" s="1"/>
  <c r="AQ328" i="13"/>
  <c r="AR328" i="13" a="1"/>
  <c r="AR328" i="13" s="1"/>
  <c r="AS328" i="13" a="1"/>
  <c r="AS328" i="13" s="1"/>
  <c r="BM328" i="13" a="1"/>
  <c r="BM328" i="13" s="1"/>
  <c r="BS328" i="13"/>
  <c r="CM328" i="13"/>
  <c r="F329" i="13"/>
  <c r="N329" i="13" a="1"/>
  <c r="N329" i="13" s="1"/>
  <c r="S329" i="13" a="1"/>
  <c r="S329" i="13" s="1"/>
  <c r="AD329" i="13"/>
  <c r="AH329" i="13"/>
  <c r="AI329" i="13"/>
  <c r="AJ329" i="13"/>
  <c r="BL329" i="13" s="1"/>
  <c r="AN329" i="13" a="1"/>
  <c r="AN329" i="13"/>
  <c r="AP329" i="13" a="1"/>
  <c r="AP329" i="13" s="1"/>
  <c r="AQ329" i="13"/>
  <c r="AR329" i="13" a="1"/>
  <c r="AR329" i="13" s="1"/>
  <c r="AS329" i="13" a="1"/>
  <c r="AS329" i="13" s="1"/>
  <c r="BM329" i="13" a="1"/>
  <c r="BM329" i="13" s="1"/>
  <c r="CM329" i="13"/>
  <c r="F330" i="13"/>
  <c r="N330" i="13" a="1"/>
  <c r="N330" i="13" s="1"/>
  <c r="S330" i="13" a="1"/>
  <c r="S330" i="13" s="1"/>
  <c r="AD330" i="13"/>
  <c r="AH330" i="13"/>
  <c r="AM330" i="13" s="1"/>
  <c r="AI330" i="13"/>
  <c r="AJ330" i="13"/>
  <c r="BK330" i="13" s="1"/>
  <c r="AN330" i="13" a="1"/>
  <c r="AN330" i="13" s="1"/>
  <c r="AP330" i="13" a="1"/>
  <c r="AP330" i="13" s="1"/>
  <c r="AQ330" i="13"/>
  <c r="AR330" i="13" a="1"/>
  <c r="AR330" i="13" s="1"/>
  <c r="AS330" i="13" a="1"/>
  <c r="AS330" i="13" s="1"/>
  <c r="BL330" i="13"/>
  <c r="BM330" i="13" a="1"/>
  <c r="BM330" i="13"/>
  <c r="BS330" i="13"/>
  <c r="CM330" i="13"/>
  <c r="F331" i="13"/>
  <c r="N331" i="13" a="1"/>
  <c r="N331" i="13" s="1"/>
  <c r="S331" i="13" a="1"/>
  <c r="S331" i="13" s="1"/>
  <c r="AD331" i="13"/>
  <c r="AH331" i="13"/>
  <c r="BS331" i="13" s="1"/>
  <c r="AI331" i="13"/>
  <c r="AJ331" i="13"/>
  <c r="AN331" i="13" a="1"/>
  <c r="AN331" i="13" s="1"/>
  <c r="AP331" i="13" a="1"/>
  <c r="AP331" i="13" s="1"/>
  <c r="AQ331" i="13"/>
  <c r="AR331" i="13" a="1"/>
  <c r="AR331" i="13" s="1"/>
  <c r="AS331" i="13" a="1"/>
  <c r="AS331" i="13" s="1"/>
  <c r="BI331" i="13" a="1"/>
  <c r="BI331" i="13" s="1"/>
  <c r="BM331" i="13" a="1"/>
  <c r="BM331" i="13" s="1"/>
  <c r="CQ331" i="13"/>
  <c r="CU331" i="13"/>
  <c r="F332" i="13"/>
  <c r="N332" i="13" a="1"/>
  <c r="N332" i="13" s="1"/>
  <c r="S332" i="13" a="1"/>
  <c r="S332" i="13" s="1"/>
  <c r="AD332" i="13"/>
  <c r="AH332" i="13"/>
  <c r="AI332" i="13"/>
  <c r="AJ332" i="13"/>
  <c r="AN332" i="13" a="1"/>
  <c r="AN332" i="13" s="1"/>
  <c r="AP332" i="13" a="1"/>
  <c r="AP332" i="13" s="1"/>
  <c r="AQ332" i="13"/>
  <c r="AR332" i="13" a="1"/>
  <c r="AR332" i="13" s="1"/>
  <c r="AS332" i="13" a="1"/>
  <c r="AS332" i="13" s="1"/>
  <c r="BM332" i="13" a="1"/>
  <c r="BM332" i="13" s="1"/>
  <c r="BS332" i="13"/>
  <c r="CM332" i="13"/>
  <c r="F333" i="13"/>
  <c r="N333" i="13" a="1"/>
  <c r="N333" i="13" s="1"/>
  <c r="S333" i="13" a="1"/>
  <c r="S333" i="13" s="1"/>
  <c r="AD333" i="13"/>
  <c r="AH333" i="13"/>
  <c r="AI333" i="13"/>
  <c r="AJ333" i="13"/>
  <c r="AN333" i="13" a="1"/>
  <c r="AN333" i="13"/>
  <c r="AP333" i="13" a="1"/>
  <c r="AP333" i="13" s="1"/>
  <c r="AQ333" i="13"/>
  <c r="AR333" i="13" a="1"/>
  <c r="AR333" i="13" s="1"/>
  <c r="AS333" i="13" a="1"/>
  <c r="AS333" i="13" s="1"/>
  <c r="BM333" i="13" a="1"/>
  <c r="BM333" i="13" s="1"/>
  <c r="CQ333" i="13"/>
  <c r="F334" i="13"/>
  <c r="N334" i="13" a="1"/>
  <c r="N334" i="13" s="1"/>
  <c r="S334" i="13" a="1"/>
  <c r="S334" i="13" s="1"/>
  <c r="AD334" i="13"/>
  <c r="AH334" i="13"/>
  <c r="AI334" i="13"/>
  <c r="AJ334" i="13"/>
  <c r="BL334" i="13" s="1"/>
  <c r="AN334" i="13" a="1"/>
  <c r="AN334" i="13" s="1"/>
  <c r="AP334" i="13" a="1"/>
  <c r="AP334" i="13" s="1"/>
  <c r="AQ334" i="13"/>
  <c r="AR334" i="13" a="1"/>
  <c r="AR334" i="13" s="1"/>
  <c r="AS334" i="13" a="1"/>
  <c r="AS334" i="13" s="1"/>
  <c r="BM334" i="13" a="1"/>
  <c r="BM334" i="13"/>
  <c r="BW334" i="13"/>
  <c r="F335" i="13"/>
  <c r="N335" i="13" a="1"/>
  <c r="N335" i="13" s="1"/>
  <c r="S335" i="13" a="1"/>
  <c r="S335" i="13" s="1"/>
  <c r="AD335" i="13"/>
  <c r="AH335" i="13"/>
  <c r="BS335" i="13" s="1"/>
  <c r="AI335" i="13"/>
  <c r="AJ335" i="13"/>
  <c r="AN335" i="13" a="1"/>
  <c r="AN335" i="13" s="1"/>
  <c r="AP335" i="13" a="1"/>
  <c r="AP335" i="13" s="1"/>
  <c r="AQ335" i="13"/>
  <c r="AR335" i="13" a="1"/>
  <c r="AR335" i="13" s="1"/>
  <c r="AS335" i="13" a="1"/>
  <c r="AS335" i="13"/>
  <c r="BI335" i="13" a="1"/>
  <c r="BI335" i="13" s="1"/>
  <c r="BJ335" i="13" s="1"/>
  <c r="BM335" i="13" a="1"/>
  <c r="BM335" i="13" s="1"/>
  <c r="BN335" i="13"/>
  <c r="CM335" i="13"/>
  <c r="CQ335" i="13"/>
  <c r="CU335" i="13"/>
  <c r="F336" i="13"/>
  <c r="N336" i="13" a="1"/>
  <c r="N336" i="13" s="1"/>
  <c r="S336" i="13" a="1"/>
  <c r="S336" i="13" s="1"/>
  <c r="AD336" i="13"/>
  <c r="AH336" i="13"/>
  <c r="BW336" i="13" s="1"/>
  <c r="AI336" i="13"/>
  <c r="AJ336" i="13"/>
  <c r="BL336" i="13" s="1"/>
  <c r="AN336" i="13" a="1"/>
  <c r="AN336" i="13" s="1"/>
  <c r="AP336" i="13" a="1"/>
  <c r="AP336" i="13" s="1"/>
  <c r="AQ336" i="13"/>
  <c r="AR336" i="13" a="1"/>
  <c r="AR336" i="13" s="1"/>
  <c r="AS336" i="13" a="1"/>
  <c r="AS336" i="13" s="1"/>
  <c r="BM336" i="13" a="1"/>
  <c r="BM336" i="13" s="1"/>
  <c r="BS336" i="13"/>
  <c r="CM336" i="13"/>
  <c r="F337" i="13"/>
  <c r="N337" i="13" a="1"/>
  <c r="N337" i="13" s="1"/>
  <c r="S337" i="13" a="1"/>
  <c r="S337" i="13" s="1"/>
  <c r="AD337" i="13"/>
  <c r="AH337" i="13"/>
  <c r="BI337" i="13" s="1" a="1"/>
  <c r="BI337" i="13" s="1"/>
  <c r="BJ337" i="13" s="1"/>
  <c r="AI337" i="13"/>
  <c r="AJ337" i="13"/>
  <c r="BL337" i="13" s="1"/>
  <c r="AN337" i="13" a="1"/>
  <c r="AN337" i="13" s="1"/>
  <c r="AP337" i="13" a="1"/>
  <c r="AP337" i="13" s="1"/>
  <c r="AQ337" i="13"/>
  <c r="AR337" i="13" a="1"/>
  <c r="AR337" i="13"/>
  <c r="AS337" i="13" a="1"/>
  <c r="AS337" i="13" s="1"/>
  <c r="BM337" i="13" a="1"/>
  <c r="BM337" i="13" s="1"/>
  <c r="BN337" i="13"/>
  <c r="CM337" i="13"/>
  <c r="CQ337" i="13"/>
  <c r="CU337" i="13"/>
  <c r="F338" i="13"/>
  <c r="N338" i="13" a="1"/>
  <c r="N338" i="13" s="1"/>
  <c r="S338" i="13" a="1"/>
  <c r="S338" i="13" s="1"/>
  <c r="AD338" i="13"/>
  <c r="AH338" i="13"/>
  <c r="BW338" i="13" s="1"/>
  <c r="AI338" i="13"/>
  <c r="AJ338" i="13"/>
  <c r="BL338" i="13" s="1"/>
  <c r="AN338" i="13" a="1"/>
  <c r="AN338" i="13" s="1"/>
  <c r="AP338" i="13" a="1"/>
  <c r="AP338" i="13" s="1"/>
  <c r="AQ338" i="13"/>
  <c r="AR338" i="13" a="1"/>
  <c r="AR338" i="13" s="1"/>
  <c r="AS338" i="13" a="1"/>
  <c r="AS338" i="13" s="1"/>
  <c r="BK338" i="13"/>
  <c r="BM338" i="13" a="1"/>
  <c r="BM338" i="13" s="1"/>
  <c r="BS338" i="13"/>
  <c r="CM338" i="13"/>
  <c r="F339" i="13"/>
  <c r="N339" i="13" a="1"/>
  <c r="N339" i="13" s="1"/>
  <c r="S339" i="13" a="1"/>
  <c r="S339" i="13" s="1"/>
  <c r="AD339" i="13"/>
  <c r="AH339" i="13"/>
  <c r="AI339" i="13"/>
  <c r="AJ339" i="13"/>
  <c r="BL339" i="13" s="1"/>
  <c r="AN339" i="13" a="1"/>
  <c r="AN339" i="13" s="1"/>
  <c r="AP339" i="13" a="1"/>
  <c r="AP339" i="13" s="1"/>
  <c r="AQ339" i="13"/>
  <c r="AR339" i="13" a="1"/>
  <c r="AR339" i="13"/>
  <c r="AS339" i="13" a="1"/>
  <c r="AS339" i="13" s="1"/>
  <c r="BI339" i="13" a="1"/>
  <c r="BI339" i="13" s="1"/>
  <c r="BJ339" i="13"/>
  <c r="BM339" i="13" a="1"/>
  <c r="BM339" i="13" s="1"/>
  <c r="BN339" i="13"/>
  <c r="CM339" i="13"/>
  <c r="CQ339" i="13"/>
  <c r="CU339" i="13"/>
  <c r="F340" i="13"/>
  <c r="N340" i="13" a="1"/>
  <c r="N340" i="13" s="1"/>
  <c r="S340" i="13" a="1"/>
  <c r="S340" i="13" s="1"/>
  <c r="AD340" i="13"/>
  <c r="AH340" i="13"/>
  <c r="AI340" i="13"/>
  <c r="AJ340" i="13"/>
  <c r="BL340" i="13" s="1"/>
  <c r="AN340" i="13" a="1"/>
  <c r="AN340" i="13" s="1"/>
  <c r="AP340" i="13" a="1"/>
  <c r="AP340" i="13" s="1"/>
  <c r="AQ340" i="13"/>
  <c r="AR340" i="13" a="1"/>
  <c r="AR340" i="13" s="1"/>
  <c r="AS340" i="13" a="1"/>
  <c r="AS340" i="13" s="1"/>
  <c r="BM340" i="13" a="1"/>
  <c r="BM340" i="13" s="1"/>
  <c r="F341" i="13"/>
  <c r="N341" i="13" a="1"/>
  <c r="N341" i="13" s="1"/>
  <c r="S341" i="13" a="1"/>
  <c r="S341" i="13" s="1"/>
  <c r="AD341" i="13"/>
  <c r="AH341" i="13"/>
  <c r="CM341" i="13" s="1"/>
  <c r="AI341" i="13"/>
  <c r="AJ341" i="13"/>
  <c r="BL341" i="13" s="1"/>
  <c r="AN341" i="13" a="1"/>
  <c r="AN341" i="13" s="1"/>
  <c r="AP341" i="13" a="1"/>
  <c r="AP341" i="13" s="1"/>
  <c r="AQ341" i="13"/>
  <c r="AR341" i="13" a="1"/>
  <c r="AR341" i="13" s="1"/>
  <c r="AS341" i="13" a="1"/>
  <c r="AS341" i="13"/>
  <c r="BI341" i="13" a="1"/>
  <c r="BI341" i="13" s="1"/>
  <c r="BJ341" i="13"/>
  <c r="BK341" i="13"/>
  <c r="BM341" i="13" a="1"/>
  <c r="BM341" i="13" s="1"/>
  <c r="BN341" i="13"/>
  <c r="CU341" i="13"/>
  <c r="A342" i="13"/>
  <c r="F342" i="13"/>
  <c r="N342" i="13" a="1"/>
  <c r="N342" i="13" s="1"/>
  <c r="S342" i="13" a="1"/>
  <c r="S342" i="13" s="1"/>
  <c r="AD342" i="13"/>
  <c r="AH342" i="13"/>
  <c r="BW342" i="13" s="1"/>
  <c r="AI342" i="13"/>
  <c r="AJ342" i="13"/>
  <c r="BL342" i="13" s="1"/>
  <c r="AM342" i="13"/>
  <c r="AN342" i="13" a="1"/>
  <c r="AN342" i="13" s="1"/>
  <c r="AP342" i="13" a="1"/>
  <c r="AP342" i="13" s="1"/>
  <c r="AQ342" i="13"/>
  <c r="AR342" i="13" a="1"/>
  <c r="AR342" i="13" s="1"/>
  <c r="AS342" i="13" a="1"/>
  <c r="AS342" i="13"/>
  <c r="BK342" i="13"/>
  <c r="BM342" i="13" a="1"/>
  <c r="BM342" i="13" s="1"/>
  <c r="BS342" i="13"/>
  <c r="CA342" i="13"/>
  <c r="CM342" i="13"/>
  <c r="F343" i="13"/>
  <c r="N343" i="13" a="1"/>
  <c r="N343" i="13" s="1"/>
  <c r="S343" i="13" a="1"/>
  <c r="S343" i="13" s="1"/>
  <c r="AD343" i="13"/>
  <c r="AH343" i="13"/>
  <c r="CQ343" i="13" s="1"/>
  <c r="AI343" i="13"/>
  <c r="AJ343" i="13"/>
  <c r="BL343" i="13" s="1"/>
  <c r="AN343" i="13" a="1"/>
  <c r="AN343" i="13" s="1"/>
  <c r="AP343" i="13" a="1"/>
  <c r="AP343" i="13" s="1"/>
  <c r="AQ343" i="13"/>
  <c r="AR343" i="13" a="1"/>
  <c r="AR343" i="13"/>
  <c r="AS343" i="13" a="1"/>
  <c r="AS343" i="13" s="1"/>
  <c r="BK343" i="13"/>
  <c r="BM343" i="13" a="1"/>
  <c r="BM343" i="13" s="1"/>
  <c r="BN343" i="13"/>
  <c r="CM343" i="13"/>
  <c r="F344" i="13"/>
  <c r="N344" i="13" a="1"/>
  <c r="N344" i="13" s="1"/>
  <c r="S344" i="13" a="1"/>
  <c r="S344" i="13" s="1"/>
  <c r="AD344" i="13"/>
  <c r="AH344" i="13"/>
  <c r="BW344" i="13" s="1"/>
  <c r="AI344" i="13"/>
  <c r="AJ344" i="13"/>
  <c r="BL344" i="13" s="1"/>
  <c r="AN344" i="13" a="1"/>
  <c r="AN344" i="13" s="1"/>
  <c r="AP344" i="13" a="1"/>
  <c r="AP344" i="13" s="1"/>
  <c r="AQ344" i="13"/>
  <c r="AR344" i="13" a="1"/>
  <c r="AR344" i="13" s="1"/>
  <c r="AS344" i="13" a="1"/>
  <c r="AS344" i="13" s="1"/>
  <c r="BM344" i="13" a="1"/>
  <c r="BM344" i="13" s="1"/>
  <c r="BS344" i="13"/>
  <c r="CA344" i="13"/>
  <c r="CH344" i="13"/>
  <c r="F345" i="13"/>
  <c r="N345" i="13" a="1"/>
  <c r="N345" i="13" s="1"/>
  <c r="S345" i="13" a="1"/>
  <c r="S345" i="13" s="1"/>
  <c r="AD345" i="13"/>
  <c r="AH345" i="13"/>
  <c r="CM345" i="13" s="1"/>
  <c r="AI345" i="13"/>
  <c r="AJ345" i="13"/>
  <c r="BL345" i="13" s="1"/>
  <c r="AN345" i="13" a="1"/>
  <c r="AN345" i="13" s="1"/>
  <c r="AP345" i="13" a="1"/>
  <c r="AP345" i="13"/>
  <c r="AQ345" i="13"/>
  <c r="AR345" i="13" a="1"/>
  <c r="AR345" i="13" s="1"/>
  <c r="AS345" i="13" a="1"/>
  <c r="AS345" i="13" s="1"/>
  <c r="BK345" i="13"/>
  <c r="BM345" i="13" a="1"/>
  <c r="BM345" i="13" s="1"/>
  <c r="BN345" i="13"/>
  <c r="CQ345" i="13"/>
  <c r="F346" i="13"/>
  <c r="N346" i="13" a="1"/>
  <c r="N346" i="13" s="1"/>
  <c r="S346" i="13" a="1"/>
  <c r="S346" i="13" s="1"/>
  <c r="AD346" i="13"/>
  <c r="AH346" i="13"/>
  <c r="BN346" i="13" s="1"/>
  <c r="AI346" i="13"/>
  <c r="AJ346" i="13"/>
  <c r="BL346" i="13" s="1"/>
  <c r="AN346" i="13" a="1"/>
  <c r="AN346" i="13" s="1"/>
  <c r="AP346" i="13" a="1"/>
  <c r="AP346" i="13" s="1"/>
  <c r="AQ346" i="13"/>
  <c r="AR346" i="13" a="1"/>
  <c r="AR346" i="13" s="1"/>
  <c r="AS346" i="13" a="1"/>
  <c r="AS346" i="13"/>
  <c r="BM346" i="13" a="1"/>
  <c r="BM346" i="13"/>
  <c r="BS346" i="13"/>
  <c r="BW346" i="13"/>
  <c r="CA346" i="13"/>
  <c r="CH346" i="13"/>
  <c r="F347" i="13"/>
  <c r="N347" i="13" a="1"/>
  <c r="N347" i="13" s="1"/>
  <c r="S347" i="13" a="1"/>
  <c r="S347" i="13" s="1"/>
  <c r="AD347" i="13"/>
  <c r="AH347" i="13"/>
  <c r="CM347" i="13" s="1"/>
  <c r="AI347" i="13"/>
  <c r="AJ347" i="13"/>
  <c r="BL347" i="13" s="1"/>
  <c r="AN347" i="13" a="1"/>
  <c r="AN347" i="13" s="1"/>
  <c r="AP347" i="13" a="1"/>
  <c r="AP347" i="13"/>
  <c r="AQ347" i="13"/>
  <c r="AR347" i="13" a="1"/>
  <c r="AR347" i="13" s="1"/>
  <c r="AS347" i="13" a="1"/>
  <c r="AS347" i="13" s="1"/>
  <c r="BK347" i="13"/>
  <c r="BM347" i="13" a="1"/>
  <c r="BM347" i="13" s="1"/>
  <c r="BN347" i="13"/>
  <c r="CQ347" i="13"/>
  <c r="F348" i="13"/>
  <c r="N348" i="13" a="1"/>
  <c r="N348" i="13" s="1"/>
  <c r="S348" i="13" a="1"/>
  <c r="S348" i="13" s="1"/>
  <c r="AD348" i="13"/>
  <c r="AH348" i="13"/>
  <c r="BN348" i="13" s="1"/>
  <c r="AI348" i="13"/>
  <c r="AJ348" i="13"/>
  <c r="BL348" i="13" s="1"/>
  <c r="AN348" i="13" a="1"/>
  <c r="AN348" i="13" s="1"/>
  <c r="AP348" i="13" a="1"/>
  <c r="AP348" i="13" s="1"/>
  <c r="AQ348" i="13"/>
  <c r="AR348" i="13" a="1"/>
  <c r="AR348" i="13" s="1"/>
  <c r="AS348" i="13" a="1"/>
  <c r="AS348" i="13"/>
  <c r="BM348" i="13" a="1"/>
  <c r="BM348" i="13"/>
  <c r="BS348" i="13"/>
  <c r="BW348" i="13"/>
  <c r="CA348" i="13"/>
  <c r="CH348" i="13"/>
  <c r="F349" i="13"/>
  <c r="N349" i="13" a="1"/>
  <c r="N349" i="13" s="1"/>
  <c r="S349" i="13" a="1"/>
  <c r="S349" i="13" s="1"/>
  <c r="AD349" i="13"/>
  <c r="AH349" i="13"/>
  <c r="CM349" i="13" s="1"/>
  <c r="AI349" i="13"/>
  <c r="AJ349" i="13"/>
  <c r="BL349" i="13" s="1"/>
  <c r="AN349" i="13" a="1"/>
  <c r="AN349" i="13" s="1"/>
  <c r="AP349" i="13" a="1"/>
  <c r="AP349" i="13"/>
  <c r="AQ349" i="13"/>
  <c r="AR349" i="13" a="1"/>
  <c r="AR349" i="13" s="1"/>
  <c r="AS349" i="13" a="1"/>
  <c r="AS349" i="13" s="1"/>
  <c r="BK349" i="13"/>
  <c r="BM349" i="13" a="1"/>
  <c r="BM349" i="13" s="1"/>
  <c r="BN349" i="13"/>
  <c r="CQ349" i="13"/>
  <c r="F350" i="13"/>
  <c r="N350" i="13" a="1"/>
  <c r="N350" i="13" s="1"/>
  <c r="S350" i="13" a="1"/>
  <c r="S350" i="13" s="1"/>
  <c r="AD350" i="13"/>
  <c r="AH350" i="13"/>
  <c r="BN350" i="13" s="1"/>
  <c r="AI350" i="13"/>
  <c r="AJ350" i="13"/>
  <c r="BL350" i="13" s="1"/>
  <c r="AN350" i="13" a="1"/>
  <c r="AN350" i="13" s="1"/>
  <c r="AP350" i="13" a="1"/>
  <c r="AP350" i="13" s="1"/>
  <c r="AQ350" i="13"/>
  <c r="AR350" i="13" a="1"/>
  <c r="AR350" i="13" s="1"/>
  <c r="AS350" i="13" a="1"/>
  <c r="AS350" i="13"/>
  <c r="BM350" i="13" a="1"/>
  <c r="BM350" i="13"/>
  <c r="BS350" i="13"/>
  <c r="BW350" i="13"/>
  <c r="CA350" i="13"/>
  <c r="CH350" i="13"/>
  <c r="F351" i="13"/>
  <c r="N351" i="13" a="1"/>
  <c r="N351" i="13" s="1"/>
  <c r="S351" i="13" a="1"/>
  <c r="S351" i="13" s="1"/>
  <c r="AD351" i="13"/>
  <c r="AH351" i="13"/>
  <c r="CM351" i="13" s="1"/>
  <c r="AI351" i="13"/>
  <c r="AJ351" i="13"/>
  <c r="BL351" i="13" s="1"/>
  <c r="AN351" i="13" a="1"/>
  <c r="AN351" i="13" s="1"/>
  <c r="AP351" i="13" a="1"/>
  <c r="AP351" i="13"/>
  <c r="AQ351" i="13"/>
  <c r="AR351" i="13" a="1"/>
  <c r="AR351" i="13" s="1"/>
  <c r="AS351" i="13" a="1"/>
  <c r="AS351" i="13" s="1"/>
  <c r="BK351" i="13"/>
  <c r="BM351" i="13" a="1"/>
  <c r="BM351" i="13" s="1"/>
  <c r="BN351" i="13"/>
  <c r="CQ351" i="13"/>
  <c r="F352" i="13"/>
  <c r="N352" i="13" a="1"/>
  <c r="N352" i="13" s="1"/>
  <c r="S352" i="13" a="1"/>
  <c r="S352" i="13" s="1"/>
  <c r="AD352" i="13"/>
  <c r="AH352" i="13"/>
  <c r="BN352" i="13" s="1"/>
  <c r="AI352" i="13"/>
  <c r="AJ352" i="13"/>
  <c r="BL352" i="13" s="1"/>
  <c r="AN352" i="13" a="1"/>
  <c r="AN352" i="13" s="1"/>
  <c r="AP352" i="13" a="1"/>
  <c r="AP352" i="13" s="1"/>
  <c r="AQ352" i="13"/>
  <c r="AR352" i="13" a="1"/>
  <c r="AR352" i="13" s="1"/>
  <c r="AS352" i="13" a="1"/>
  <c r="AS352" i="13"/>
  <c r="BM352" i="13" a="1"/>
  <c r="BM352" i="13"/>
  <c r="BS352" i="13"/>
  <c r="BW352" i="13"/>
  <c r="CA352" i="13"/>
  <c r="CH352" i="13"/>
  <c r="F353" i="13"/>
  <c r="N353" i="13" a="1"/>
  <c r="N353" i="13" s="1"/>
  <c r="S353" i="13" a="1"/>
  <c r="S353" i="13" s="1"/>
  <c r="AD353" i="13"/>
  <c r="AH353" i="13"/>
  <c r="BN353" i="13" s="1"/>
  <c r="AI353" i="13"/>
  <c r="AJ353" i="13"/>
  <c r="BL353" i="13" s="1"/>
  <c r="AN353" i="13" a="1"/>
  <c r="AN353" i="13" s="1"/>
  <c r="AP353" i="13" a="1"/>
  <c r="AP353" i="13"/>
  <c r="AQ353" i="13"/>
  <c r="AR353" i="13" a="1"/>
  <c r="AR353" i="13" s="1"/>
  <c r="AS353" i="13" a="1"/>
  <c r="AS353" i="13" s="1"/>
  <c r="BM353" i="13" a="1"/>
  <c r="BM353" i="13" s="1"/>
  <c r="BW353" i="13"/>
  <c r="F354" i="13"/>
  <c r="N354" i="13" a="1"/>
  <c r="N354" i="13" s="1"/>
  <c r="S354" i="13" a="1"/>
  <c r="S354" i="13" s="1"/>
  <c r="AD354" i="13"/>
  <c r="AH354" i="13"/>
  <c r="BI354" i="13" s="1" a="1"/>
  <c r="BI354" i="13" s="1"/>
  <c r="AI354" i="13"/>
  <c r="AJ354" i="13"/>
  <c r="AN354" i="13" a="1"/>
  <c r="AN354" i="13" s="1"/>
  <c r="AP354" i="13" a="1"/>
  <c r="AP354" i="13" s="1"/>
  <c r="AQ354" i="13"/>
  <c r="AR354" i="13" a="1"/>
  <c r="AR354" i="13"/>
  <c r="AS354" i="13" a="1"/>
  <c r="AS354" i="13" s="1"/>
  <c r="BM354" i="13" a="1"/>
  <c r="BM354" i="13" s="1"/>
  <c r="CH354" i="13"/>
  <c r="F355" i="13"/>
  <c r="N355" i="13" a="1"/>
  <c r="N355" i="13" s="1"/>
  <c r="S355" i="13" a="1"/>
  <c r="S355" i="13" s="1"/>
  <c r="AD355" i="13"/>
  <c r="AH355" i="13"/>
  <c r="CM355" i="13" s="1"/>
  <c r="AI355" i="13"/>
  <c r="AJ355" i="13"/>
  <c r="BL355" i="13" s="1"/>
  <c r="AN355" i="13" a="1"/>
  <c r="AN355" i="13" s="1"/>
  <c r="AP355" i="13" a="1"/>
  <c r="AP355" i="13"/>
  <c r="AQ355" i="13"/>
  <c r="AR355" i="13" a="1"/>
  <c r="AR355" i="13" s="1"/>
  <c r="AS355" i="13" a="1"/>
  <c r="AS355" i="13" s="1"/>
  <c r="BM355" i="13" a="1"/>
  <c r="BM355" i="13"/>
  <c r="A356" i="13"/>
  <c r="F356" i="13"/>
  <c r="N356" i="13" a="1"/>
  <c r="N356" i="13" s="1"/>
  <c r="S356" i="13" a="1"/>
  <c r="S356" i="13" s="1"/>
  <c r="AD356" i="13"/>
  <c r="AH356" i="13"/>
  <c r="BI356" i="13" s="1" a="1"/>
  <c r="BI356" i="13" s="1"/>
  <c r="AI356" i="13"/>
  <c r="AJ356" i="13"/>
  <c r="BL356" i="13" s="1"/>
  <c r="AM356" i="13"/>
  <c r="AN356" i="13" a="1"/>
  <c r="AN356" i="13" s="1"/>
  <c r="AP356" i="13" a="1"/>
  <c r="AP356" i="13" s="1"/>
  <c r="AQ356" i="13"/>
  <c r="AR356" i="13" a="1"/>
  <c r="AR356" i="13" s="1"/>
  <c r="AS356" i="13" a="1"/>
  <c r="AS356" i="13"/>
  <c r="BM356" i="13" a="1"/>
  <c r="BM356" i="13"/>
  <c r="BN356" i="13"/>
  <c r="BS356" i="13"/>
  <c r="BW356" i="13"/>
  <c r="CM356" i="13"/>
  <c r="CQ356" i="13"/>
  <c r="CU356" i="13"/>
  <c r="F357" i="13"/>
  <c r="N357" i="13" a="1"/>
  <c r="N357" i="13" s="1"/>
  <c r="S357" i="13" a="1"/>
  <c r="S357" i="13" s="1"/>
  <c r="AD357" i="13"/>
  <c r="AH357" i="13"/>
  <c r="AI357" i="13"/>
  <c r="AJ357" i="13"/>
  <c r="BL357" i="13" s="1"/>
  <c r="AN357" i="13" a="1"/>
  <c r="AN357" i="13" s="1"/>
  <c r="AP357" i="13" a="1"/>
  <c r="AP357" i="13" s="1"/>
  <c r="AQ357" i="13"/>
  <c r="AR357" i="13" a="1"/>
  <c r="AR357" i="13"/>
  <c r="AS357" i="13" a="1"/>
  <c r="AS357" i="13" s="1"/>
  <c r="BM357" i="13" a="1"/>
  <c r="BM357" i="13" s="1"/>
  <c r="CM357" i="13"/>
  <c r="F358" i="13"/>
  <c r="N358" i="13" a="1"/>
  <c r="N358" i="13" s="1"/>
  <c r="S358" i="13" a="1"/>
  <c r="S358" i="13" s="1"/>
  <c r="AD358" i="13"/>
  <c r="AH358" i="13"/>
  <c r="BN358" i="13" s="1"/>
  <c r="AI358" i="13"/>
  <c r="AJ358" i="13"/>
  <c r="BL358" i="13" s="1"/>
  <c r="AN358" i="13" a="1"/>
  <c r="AN358" i="13" s="1"/>
  <c r="AP358" i="13" a="1"/>
  <c r="AP358" i="13"/>
  <c r="AQ358" i="13"/>
  <c r="AR358" i="13" a="1"/>
  <c r="AR358" i="13" s="1"/>
  <c r="AS358" i="13" a="1"/>
  <c r="AS358" i="13" s="1"/>
  <c r="BM358" i="13" a="1"/>
  <c r="BM358" i="13" s="1"/>
  <c r="BS358" i="13"/>
  <c r="CM358" i="13"/>
  <c r="CQ358" i="13"/>
  <c r="CU358" i="13"/>
  <c r="F359" i="13"/>
  <c r="N359" i="13" a="1"/>
  <c r="N359" i="13" s="1"/>
  <c r="S359" i="13" a="1"/>
  <c r="S359" i="13" s="1"/>
  <c r="AD359" i="13"/>
  <c r="AH359" i="13"/>
  <c r="AI359" i="13"/>
  <c r="AJ359" i="13"/>
  <c r="BL359" i="13" s="1"/>
  <c r="AN359" i="13" a="1"/>
  <c r="AN359" i="13" s="1"/>
  <c r="AP359" i="13" a="1"/>
  <c r="AP359" i="13" s="1"/>
  <c r="AQ359" i="13"/>
  <c r="AR359" i="13" a="1"/>
  <c r="AR359" i="13"/>
  <c r="AS359" i="13" a="1"/>
  <c r="AS359" i="13" s="1"/>
  <c r="BM359" i="13" a="1"/>
  <c r="BM359" i="13" s="1"/>
  <c r="A360" i="13"/>
  <c r="F360" i="13"/>
  <c r="N360" i="13" a="1"/>
  <c r="N360" i="13" s="1"/>
  <c r="S360" i="13" a="1"/>
  <c r="S360" i="13" s="1"/>
  <c r="AD360" i="13"/>
  <c r="AH360" i="13"/>
  <c r="BI360" i="13" s="1" a="1"/>
  <c r="BI360" i="13" s="1"/>
  <c r="AI360" i="13"/>
  <c r="AJ360" i="13"/>
  <c r="BL360" i="13" s="1"/>
  <c r="AM360" i="13"/>
  <c r="AN360" i="13" a="1"/>
  <c r="AN360" i="13" s="1"/>
  <c r="AP360" i="13" a="1"/>
  <c r="AP360" i="13"/>
  <c r="AQ360" i="13"/>
  <c r="AR360" i="13" a="1"/>
  <c r="AR360" i="13" s="1"/>
  <c r="AS360" i="13" a="1"/>
  <c r="AS360" i="13"/>
  <c r="BM360" i="13" a="1"/>
  <c r="BM360" i="13" s="1"/>
  <c r="BS360" i="13"/>
  <c r="BW360" i="13"/>
  <c r="CM360" i="13"/>
  <c r="F361" i="13"/>
  <c r="N361" i="13" a="1"/>
  <c r="N361" i="13" s="1"/>
  <c r="S361" i="13" a="1"/>
  <c r="S361" i="13" s="1"/>
  <c r="AD361" i="13"/>
  <c r="AH361" i="13"/>
  <c r="AI361" i="13"/>
  <c r="AJ361" i="13"/>
  <c r="BL361" i="13" s="1"/>
  <c r="AN361" i="13" a="1"/>
  <c r="AN361" i="13"/>
  <c r="AP361" i="13" a="1"/>
  <c r="AP361" i="13" s="1"/>
  <c r="AQ361" i="13"/>
  <c r="AR361" i="13" a="1"/>
  <c r="AR361" i="13"/>
  <c r="AS361" i="13" a="1"/>
  <c r="AS361" i="13" s="1"/>
  <c r="BM361" i="13" a="1"/>
  <c r="BM361" i="13"/>
  <c r="A362" i="13"/>
  <c r="F362" i="13"/>
  <c r="N362" i="13" a="1"/>
  <c r="N362" i="13" s="1"/>
  <c r="S362" i="13" a="1"/>
  <c r="S362" i="13" s="1"/>
  <c r="AD362" i="13"/>
  <c r="AH362" i="13"/>
  <c r="BN362" i="13" s="1"/>
  <c r="AI362" i="13"/>
  <c r="AJ362" i="13"/>
  <c r="BL362" i="13" s="1"/>
  <c r="AM362" i="13"/>
  <c r="AN362" i="13" a="1"/>
  <c r="AN362" i="13" s="1"/>
  <c r="AP362" i="13" a="1"/>
  <c r="AP362" i="13" s="1"/>
  <c r="AQ362" i="13"/>
  <c r="AR362" i="13" a="1"/>
  <c r="AR362" i="13" s="1"/>
  <c r="AS362" i="13" a="1"/>
  <c r="AS362" i="13"/>
  <c r="BI362" i="13" a="1"/>
  <c r="BI362" i="13" s="1"/>
  <c r="BJ362" i="13" s="1"/>
  <c r="BM362" i="13" a="1"/>
  <c r="BM362" i="13" s="1"/>
  <c r="BW362" i="13"/>
  <c r="CA362" i="13"/>
  <c r="CH362" i="13"/>
  <c r="CM362" i="13"/>
  <c r="CQ362" i="13"/>
  <c r="CU362" i="13"/>
  <c r="F363" i="13"/>
  <c r="N363" i="13" a="1"/>
  <c r="N363" i="13" s="1"/>
  <c r="S363" i="13" a="1"/>
  <c r="S363" i="13" s="1"/>
  <c r="AD363" i="13"/>
  <c r="AH363" i="13"/>
  <c r="A363" i="13" s="1"/>
  <c r="AI363" i="13"/>
  <c r="AJ363" i="13"/>
  <c r="BL363" i="13" s="1"/>
  <c r="AN363" i="13" a="1"/>
  <c r="AN363" i="13" s="1"/>
  <c r="AP363" i="13" a="1"/>
  <c r="AP363" i="13"/>
  <c r="AQ363" i="13"/>
  <c r="AR363" i="13" a="1"/>
  <c r="AR363" i="13" s="1"/>
  <c r="AS363" i="13" a="1"/>
  <c r="AS363" i="13" s="1"/>
  <c r="BM363" i="13" a="1"/>
  <c r="BM363" i="13" s="1"/>
  <c r="CM363" i="13"/>
  <c r="A364" i="13"/>
  <c r="F364" i="13"/>
  <c r="N364" i="13" a="1"/>
  <c r="N364" i="13" s="1"/>
  <c r="S364" i="13" a="1"/>
  <c r="S364" i="13" s="1"/>
  <c r="AD364" i="13"/>
  <c r="AH364" i="13"/>
  <c r="AI364" i="13"/>
  <c r="AJ364" i="13"/>
  <c r="AM364" i="13"/>
  <c r="AN364" i="13" a="1"/>
  <c r="AN364" i="13" s="1"/>
  <c r="AP364" i="13" a="1"/>
  <c r="AP364" i="13"/>
  <c r="AQ364" i="13"/>
  <c r="AR364" i="13" a="1"/>
  <c r="AR364" i="13"/>
  <c r="AS364" i="13" a="1"/>
  <c r="AS364" i="13" s="1"/>
  <c r="BI364" i="13" a="1"/>
  <c r="BI364" i="13" s="1"/>
  <c r="BJ364" i="13" s="1"/>
  <c r="BM364" i="13" a="1"/>
  <c r="BM364" i="13" s="1"/>
  <c r="BN364" i="13"/>
  <c r="BS364" i="13"/>
  <c r="BW364" i="13"/>
  <c r="CA364" i="13"/>
  <c r="CH364" i="13"/>
  <c r="CM364" i="13"/>
  <c r="CQ364" i="13"/>
  <c r="CU364" i="13"/>
  <c r="F365" i="13"/>
  <c r="N365" i="13" a="1"/>
  <c r="N365" i="13" s="1"/>
  <c r="S365" i="13" a="1"/>
  <c r="S365" i="13" s="1"/>
  <c r="AD365" i="13"/>
  <c r="AH365" i="13"/>
  <c r="CA365" i="13" s="1"/>
  <c r="AI365" i="13"/>
  <c r="AJ365" i="13"/>
  <c r="BL365" i="13" s="1"/>
  <c r="AN365" i="13" a="1"/>
  <c r="AN365" i="13" s="1"/>
  <c r="AP365" i="13" a="1"/>
  <c r="AP365" i="13" s="1"/>
  <c r="AQ365" i="13"/>
  <c r="AR365" i="13" a="1"/>
  <c r="AR365" i="13" s="1"/>
  <c r="AS365" i="13" a="1"/>
  <c r="AS365" i="13" s="1"/>
  <c r="BM365" i="13" a="1"/>
  <c r="BM365" i="13" s="1"/>
  <c r="CU365" i="13"/>
  <c r="F366" i="13"/>
  <c r="N366" i="13" a="1"/>
  <c r="N366" i="13" s="1"/>
  <c r="S366" i="13" a="1"/>
  <c r="S366" i="13" s="1"/>
  <c r="AD366" i="13"/>
  <c r="AH366" i="13"/>
  <c r="BS366" i="13" s="1"/>
  <c r="AI366" i="13"/>
  <c r="AJ366" i="13"/>
  <c r="AN366" i="13" a="1"/>
  <c r="AN366" i="13" s="1"/>
  <c r="AP366" i="13" a="1"/>
  <c r="AP366" i="13"/>
  <c r="AQ366" i="13"/>
  <c r="AR366" i="13" a="1"/>
  <c r="AR366" i="13" s="1"/>
  <c r="AS366" i="13" a="1"/>
  <c r="AS366" i="13" s="1"/>
  <c r="BM366" i="13" a="1"/>
  <c r="BM366" i="13" s="1"/>
  <c r="BN366" i="13"/>
  <c r="BW366" i="13"/>
  <c r="CQ366" i="13"/>
  <c r="CU366" i="13"/>
  <c r="F367" i="13"/>
  <c r="N367" i="13" a="1"/>
  <c r="N367" i="13" s="1"/>
  <c r="S367" i="13" a="1"/>
  <c r="S367" i="13" s="1"/>
  <c r="AD367" i="13"/>
  <c r="AH367" i="13"/>
  <c r="A367" i="13" s="1"/>
  <c r="AI367" i="13"/>
  <c r="AJ367" i="13"/>
  <c r="BL367" i="13" s="1"/>
  <c r="AN367" i="13" a="1"/>
  <c r="AN367" i="13" s="1"/>
  <c r="AP367" i="13" a="1"/>
  <c r="AP367" i="13"/>
  <c r="AQ367" i="13"/>
  <c r="AR367" i="13" a="1"/>
  <c r="AR367" i="13" s="1"/>
  <c r="AS367" i="13" a="1"/>
  <c r="AS367" i="13" s="1"/>
  <c r="BM367" i="13" a="1"/>
  <c r="BM367" i="13" s="1"/>
  <c r="CU367" i="13"/>
  <c r="A368" i="13"/>
  <c r="F368" i="13"/>
  <c r="N368" i="13" a="1"/>
  <c r="N368" i="13" s="1"/>
  <c r="S368" i="13" a="1"/>
  <c r="S368" i="13" s="1"/>
  <c r="AD368" i="13"/>
  <c r="AH368" i="13"/>
  <c r="BI368" i="13" s="1" a="1"/>
  <c r="AI368" i="13"/>
  <c r="AJ368" i="13"/>
  <c r="AM368" i="13"/>
  <c r="AN368" i="13" a="1"/>
  <c r="AN368" i="13" s="1"/>
  <c r="AP368" i="13" a="1"/>
  <c r="AP368" i="13" s="1"/>
  <c r="AQ368" i="13"/>
  <c r="AR368" i="13" a="1"/>
  <c r="AR368" i="13" s="1"/>
  <c r="AS368" i="13" a="1"/>
  <c r="AS368" i="13" s="1"/>
  <c r="BI368" i="13"/>
  <c r="BJ368" i="13" s="1"/>
  <c r="BM368" i="13" a="1"/>
  <c r="BM368" i="13" s="1"/>
  <c r="BS368" i="13"/>
  <c r="BW368" i="13"/>
  <c r="CM368" i="13"/>
  <c r="F369" i="13"/>
  <c r="N369" i="13" a="1"/>
  <c r="N369" i="13" s="1"/>
  <c r="S369" i="13" a="1"/>
  <c r="S369" i="13" s="1"/>
  <c r="AD369" i="13"/>
  <c r="AH369" i="13"/>
  <c r="CA369" i="13" s="1"/>
  <c r="AI369" i="13"/>
  <c r="AJ369" i="13"/>
  <c r="BL369" i="13" s="1"/>
  <c r="AN369" i="13" a="1"/>
  <c r="AN369" i="13" s="1"/>
  <c r="AP369" i="13" a="1"/>
  <c r="AP369" i="13" s="1"/>
  <c r="AQ369" i="13"/>
  <c r="AR369" i="13" a="1"/>
  <c r="AR369" i="13" s="1"/>
  <c r="AS369" i="13" a="1"/>
  <c r="AS369" i="13" s="1"/>
  <c r="BM369" i="13" a="1"/>
  <c r="BM369" i="13"/>
  <c r="A370" i="13"/>
  <c r="F370" i="13"/>
  <c r="N370" i="13" a="1"/>
  <c r="N370" i="13" s="1"/>
  <c r="S370" i="13" a="1"/>
  <c r="S370" i="13" s="1"/>
  <c r="AD370" i="13"/>
  <c r="AH370" i="13"/>
  <c r="BI370" i="13" s="1" a="1"/>
  <c r="AI370" i="13"/>
  <c r="AJ370" i="13"/>
  <c r="AM370" i="13"/>
  <c r="AN370" i="13" a="1"/>
  <c r="AN370" i="13" s="1"/>
  <c r="AP370" i="13" a="1"/>
  <c r="AP370" i="13" s="1"/>
  <c r="AQ370" i="13"/>
  <c r="AR370" i="13" a="1"/>
  <c r="AR370" i="13"/>
  <c r="AS370" i="13" a="1"/>
  <c r="AS370" i="13" s="1"/>
  <c r="BI370" i="13"/>
  <c r="BJ370" i="13"/>
  <c r="BM370" i="13" a="1"/>
  <c r="BM370" i="13" s="1"/>
  <c r="BN370" i="13"/>
  <c r="BS370" i="13"/>
  <c r="BW370" i="13"/>
  <c r="CA370" i="13"/>
  <c r="CH370" i="13"/>
  <c r="CM370" i="13"/>
  <c r="CQ370" i="13"/>
  <c r="CU370" i="13"/>
  <c r="F371" i="13"/>
  <c r="N371" i="13" a="1"/>
  <c r="N371" i="13" s="1"/>
  <c r="S371" i="13" a="1"/>
  <c r="S371" i="13" s="1"/>
  <c r="AD371" i="13"/>
  <c r="AH371" i="13"/>
  <c r="A371" i="13" s="1"/>
  <c r="AI371" i="13"/>
  <c r="AJ371" i="13"/>
  <c r="BL371" i="13" s="1"/>
  <c r="AN371" i="13" a="1"/>
  <c r="AN371" i="13" s="1"/>
  <c r="AP371" i="13" a="1"/>
  <c r="AP371" i="13"/>
  <c r="AQ371" i="13"/>
  <c r="AR371" i="13" a="1"/>
  <c r="AR371" i="13" s="1"/>
  <c r="AS371" i="13" a="1"/>
  <c r="AS371" i="13" s="1"/>
  <c r="BM371" i="13" a="1"/>
  <c r="BM371" i="13" s="1"/>
  <c r="A372" i="13"/>
  <c r="F372" i="13"/>
  <c r="N372" i="13" a="1"/>
  <c r="N372" i="13" s="1"/>
  <c r="S372" i="13" a="1"/>
  <c r="S372" i="13" s="1"/>
  <c r="AD372" i="13"/>
  <c r="AH372" i="13"/>
  <c r="BW372" i="13" s="1"/>
  <c r="AI372" i="13"/>
  <c r="AJ372" i="13"/>
  <c r="AM372" i="13"/>
  <c r="AN372" i="13" a="1"/>
  <c r="AN372" i="13" s="1"/>
  <c r="AP372" i="13" a="1"/>
  <c r="AP372" i="13" s="1"/>
  <c r="AQ372" i="13"/>
  <c r="AR372" i="13" a="1"/>
  <c r="AR372" i="13" s="1"/>
  <c r="AS372" i="13" a="1"/>
  <c r="AS372" i="13" s="1"/>
  <c r="BI372" i="13" a="1"/>
  <c r="BI372" i="13" s="1"/>
  <c r="BJ372" i="13" s="1"/>
  <c r="BM372" i="13" a="1"/>
  <c r="BM372" i="13" s="1"/>
  <c r="BN372" i="13"/>
  <c r="BS372" i="13"/>
  <c r="CH372" i="13"/>
  <c r="CM372" i="13"/>
  <c r="CQ372" i="13"/>
  <c r="CU372" i="13"/>
  <c r="F373" i="13"/>
  <c r="N373" i="13" a="1"/>
  <c r="N373" i="13" s="1"/>
  <c r="S373" i="13" a="1"/>
  <c r="S373" i="13" s="1"/>
  <c r="AD373" i="13"/>
  <c r="AH373" i="13"/>
  <c r="AI373" i="13"/>
  <c r="AJ373" i="13"/>
  <c r="BL373" i="13" s="1"/>
  <c r="AN373" i="13" a="1"/>
  <c r="AN373" i="13" s="1"/>
  <c r="AP373" i="13" a="1"/>
  <c r="AP373" i="13"/>
  <c r="AQ373" i="13"/>
  <c r="AR373" i="13" a="1"/>
  <c r="AR373" i="13"/>
  <c r="AS373" i="13" a="1"/>
  <c r="AS373" i="13" s="1"/>
  <c r="BM373" i="13" a="1"/>
  <c r="BM373" i="13" s="1"/>
  <c r="A374" i="13"/>
  <c r="F374" i="13"/>
  <c r="N374" i="13" a="1"/>
  <c r="N374" i="13" s="1"/>
  <c r="S374" i="13" a="1"/>
  <c r="S374" i="13" s="1"/>
  <c r="AD374" i="13"/>
  <c r="AH374" i="13"/>
  <c r="BI374" i="13" s="1" a="1"/>
  <c r="BI374" i="13" s="1"/>
  <c r="BJ374" i="13" s="1"/>
  <c r="AI374" i="13"/>
  <c r="AJ374" i="13"/>
  <c r="AM374" i="13"/>
  <c r="AN374" i="13" a="1"/>
  <c r="AN374" i="13" s="1"/>
  <c r="AP374" i="13" a="1"/>
  <c r="AP374" i="13" s="1"/>
  <c r="AQ374" i="13"/>
  <c r="AR374" i="13" a="1"/>
  <c r="AR374" i="13" s="1"/>
  <c r="AS374" i="13" a="1"/>
  <c r="AS374" i="13" s="1"/>
  <c r="BL374" i="13"/>
  <c r="BM374" i="13" a="1"/>
  <c r="BM374" i="13" s="1"/>
  <c r="BN374" i="13"/>
  <c r="BS374" i="13"/>
  <c r="BW374" i="13"/>
  <c r="CA374" i="13"/>
  <c r="CQ374" i="13"/>
  <c r="CU374" i="13"/>
  <c r="F375" i="13"/>
  <c r="N375" i="13" a="1"/>
  <c r="N375" i="13" s="1"/>
  <c r="S375" i="13" a="1"/>
  <c r="S375" i="13" s="1"/>
  <c r="AD375" i="13"/>
  <c r="AH375" i="13"/>
  <c r="AI375" i="13"/>
  <c r="AJ375" i="13"/>
  <c r="AN375" i="13" a="1"/>
  <c r="AN375" i="13"/>
  <c r="AP375" i="13" a="1"/>
  <c r="AP375" i="13"/>
  <c r="AQ375" i="13"/>
  <c r="AR375" i="13" a="1"/>
  <c r="AR375" i="13"/>
  <c r="AS375" i="13" a="1"/>
  <c r="AS375" i="13" s="1"/>
  <c r="BI375" i="13" a="1"/>
  <c r="BI375" i="13" s="1"/>
  <c r="BM375" i="13" a="1"/>
  <c r="BM375" i="13" s="1"/>
  <c r="BW375" i="13"/>
  <c r="CM375" i="13"/>
  <c r="CQ375" i="13"/>
  <c r="CU375" i="13"/>
  <c r="A376" i="13"/>
  <c r="F376" i="13"/>
  <c r="N376" i="13" a="1"/>
  <c r="N376" i="13" s="1"/>
  <c r="S376" i="13" a="1"/>
  <c r="S376" i="13" s="1"/>
  <c r="AD376" i="13"/>
  <c r="AH376" i="13"/>
  <c r="CA376" i="13" s="1"/>
  <c r="AI376" i="13"/>
  <c r="AJ376" i="13"/>
  <c r="AM376" i="13"/>
  <c r="AN376" i="13" a="1"/>
  <c r="AN376" i="13" s="1"/>
  <c r="AP376" i="13" a="1"/>
  <c r="AP376" i="13" s="1"/>
  <c r="AQ376" i="13"/>
  <c r="AR376" i="13" a="1"/>
  <c r="AR376" i="13" s="1"/>
  <c r="AS376" i="13" a="1"/>
  <c r="AS376" i="13" s="1"/>
  <c r="BM376" i="13" a="1"/>
  <c r="BM376" i="13"/>
  <c r="BN376" i="13"/>
  <c r="BS376" i="13"/>
  <c r="BW376" i="13"/>
  <c r="CM376" i="13"/>
  <c r="CQ376" i="13"/>
  <c r="CU376" i="13"/>
  <c r="F377" i="13"/>
  <c r="N377" i="13" a="1"/>
  <c r="N377" i="13" s="1"/>
  <c r="S377" i="13" a="1"/>
  <c r="S377" i="13" s="1"/>
  <c r="AD377" i="13"/>
  <c r="AH377" i="13"/>
  <c r="AI377" i="13"/>
  <c r="AJ377" i="13"/>
  <c r="BL377" i="13" s="1"/>
  <c r="AM377" i="13"/>
  <c r="AN377" i="13" a="1"/>
  <c r="AN377" i="13"/>
  <c r="AP377" i="13" a="1"/>
  <c r="AP377" i="13" s="1"/>
  <c r="AQ377" i="13"/>
  <c r="AR377" i="13" a="1"/>
  <c r="AR377" i="13" s="1"/>
  <c r="AS377" i="13" a="1"/>
  <c r="AS377" i="13" s="1"/>
  <c r="BI377" i="13" a="1"/>
  <c r="BI377" i="13" s="1"/>
  <c r="BK377" i="13"/>
  <c r="BM377" i="13" a="1"/>
  <c r="BM377" i="13" s="1"/>
  <c r="BW377" i="13"/>
  <c r="CA377" i="13"/>
  <c r="CH377" i="13"/>
  <c r="CM377" i="13"/>
  <c r="CQ377" i="13"/>
  <c r="CU377" i="13"/>
  <c r="F378" i="13"/>
  <c r="N378" i="13" a="1"/>
  <c r="N378" i="13" s="1"/>
  <c r="S378" i="13" a="1"/>
  <c r="S378" i="13" s="1"/>
  <c r="AD378" i="13"/>
  <c r="AH378" i="13"/>
  <c r="BS378" i="13" s="1"/>
  <c r="AI378" i="13"/>
  <c r="AJ378" i="13"/>
  <c r="BK378" i="13" s="1"/>
  <c r="AN378" i="13" a="1"/>
  <c r="AN378" i="13" s="1"/>
  <c r="AP378" i="13" a="1"/>
  <c r="AP378" i="13"/>
  <c r="AQ378" i="13"/>
  <c r="AR378" i="13" a="1"/>
  <c r="AR378" i="13" s="1"/>
  <c r="AS378" i="13" a="1"/>
  <c r="AS378" i="13" s="1"/>
  <c r="BM378" i="13" a="1"/>
  <c r="BM378" i="13" s="1"/>
  <c r="BN378" i="13"/>
  <c r="BW378" i="13"/>
  <c r="CQ378" i="13"/>
  <c r="CU378" i="13"/>
  <c r="F379" i="13"/>
  <c r="N379" i="13" a="1"/>
  <c r="N379" i="13" s="1"/>
  <c r="S379" i="13" a="1"/>
  <c r="S379" i="13" s="1"/>
  <c r="AD379" i="13"/>
  <c r="AH379" i="13"/>
  <c r="CQ379" i="13" s="1"/>
  <c r="AI379" i="13"/>
  <c r="AJ379" i="13"/>
  <c r="BL379" i="13" s="1"/>
  <c r="AM379" i="13"/>
  <c r="AN379" i="13" a="1"/>
  <c r="AN379" i="13" s="1"/>
  <c r="AP379" i="13" a="1"/>
  <c r="AP379" i="13" s="1"/>
  <c r="AQ379" i="13"/>
  <c r="AR379" i="13" a="1"/>
  <c r="AR379" i="13"/>
  <c r="AS379" i="13" a="1"/>
  <c r="AS379" i="13" s="1"/>
  <c r="BI379" i="13" a="1"/>
  <c r="BI379" i="13" s="1"/>
  <c r="BM379" i="13" a="1"/>
  <c r="BM379" i="13" s="1"/>
  <c r="BW379" i="13"/>
  <c r="CH379" i="13"/>
  <c r="F380" i="13"/>
  <c r="N380" i="13" a="1"/>
  <c r="N380" i="13" s="1"/>
  <c r="S380" i="13" a="1"/>
  <c r="S380" i="13" s="1"/>
  <c r="AD380" i="13"/>
  <c r="AH380" i="13"/>
  <c r="BI380" i="13" s="1" a="1"/>
  <c r="BI380" i="13" s="1"/>
  <c r="AI380" i="13"/>
  <c r="AJ380" i="13"/>
  <c r="AN380" i="13" a="1"/>
  <c r="AN380" i="13" s="1"/>
  <c r="AP380" i="13" a="1"/>
  <c r="AP380" i="13" s="1"/>
  <c r="AQ380" i="13"/>
  <c r="AR380" i="13" a="1"/>
  <c r="AR380" i="13"/>
  <c r="AS380" i="13" a="1"/>
  <c r="AS380" i="13" s="1"/>
  <c r="BL380" i="13"/>
  <c r="BM380" i="13" a="1"/>
  <c r="BM380" i="13" s="1"/>
  <c r="BN380" i="13"/>
  <c r="BS380" i="13"/>
  <c r="BW380" i="13"/>
  <c r="CQ380" i="13"/>
  <c r="CU380" i="13"/>
  <c r="F381" i="13"/>
  <c r="N381" i="13" a="1"/>
  <c r="N381" i="13" s="1"/>
  <c r="S381" i="13" a="1"/>
  <c r="S381" i="13" s="1"/>
  <c r="AD381" i="13"/>
  <c r="AH381" i="13"/>
  <c r="AI381" i="13"/>
  <c r="AJ381" i="13"/>
  <c r="AN381" i="13" a="1"/>
  <c r="AN381" i="13" s="1"/>
  <c r="AP381" i="13" a="1"/>
  <c r="AP381" i="13"/>
  <c r="AQ381" i="13"/>
  <c r="AR381" i="13" a="1"/>
  <c r="AR381" i="13"/>
  <c r="AS381" i="13" a="1"/>
  <c r="AS381" i="13" s="1"/>
  <c r="BI381" i="13" a="1"/>
  <c r="BI381" i="13" s="1"/>
  <c r="BM381" i="13" a="1"/>
  <c r="BM381" i="13"/>
  <c r="BW381" i="13"/>
  <c r="CA381" i="13"/>
  <c r="CM381" i="13"/>
  <c r="CQ381" i="13"/>
  <c r="CU381" i="13"/>
  <c r="A382" i="13"/>
  <c r="F382" i="13"/>
  <c r="N382" i="13" a="1"/>
  <c r="N382" i="13" s="1"/>
  <c r="S382" i="13" a="1"/>
  <c r="S382" i="13" s="1"/>
  <c r="AD382" i="13"/>
  <c r="AH382" i="13"/>
  <c r="AI382" i="13"/>
  <c r="AJ382" i="13"/>
  <c r="AM382" i="13"/>
  <c r="AN382" i="13" a="1"/>
  <c r="AN382" i="13" s="1"/>
  <c r="AP382" i="13" a="1"/>
  <c r="AP382" i="13" s="1"/>
  <c r="AQ382" i="13"/>
  <c r="AR382" i="13" a="1"/>
  <c r="AR382" i="13" s="1"/>
  <c r="AS382" i="13" a="1"/>
  <c r="AS382" i="13" s="1"/>
  <c r="BI382" i="13" a="1"/>
  <c r="BI382" i="13" s="1"/>
  <c r="BM382" i="13" a="1"/>
  <c r="BM382" i="13"/>
  <c r="BN382" i="13"/>
  <c r="BS382" i="13"/>
  <c r="BW382" i="13"/>
  <c r="CA382" i="13"/>
  <c r="CH382" i="13"/>
  <c r="CM382" i="13"/>
  <c r="CQ382" i="13"/>
  <c r="CU382" i="13"/>
  <c r="F383" i="13"/>
  <c r="N383" i="13" a="1"/>
  <c r="N383" i="13" s="1"/>
  <c r="S383" i="13" a="1"/>
  <c r="S383" i="13" s="1"/>
  <c r="AD383" i="13"/>
  <c r="AH383" i="13"/>
  <c r="CH383" i="13" s="1"/>
  <c r="AI383" i="13"/>
  <c r="AJ383" i="13"/>
  <c r="BL383" i="13" s="1"/>
  <c r="AM383" i="13"/>
  <c r="AN383" i="13" a="1"/>
  <c r="AN383" i="13" s="1"/>
  <c r="AP383" i="13" a="1"/>
  <c r="AP383" i="13" s="1"/>
  <c r="AQ383" i="13"/>
  <c r="AR383" i="13" a="1"/>
  <c r="AR383" i="13" s="1"/>
  <c r="AS383" i="13" a="1"/>
  <c r="AS383" i="13" s="1"/>
  <c r="BI383" i="13" a="1"/>
  <c r="BI383" i="13" s="1"/>
  <c r="BJ383" i="13" s="1"/>
  <c r="BM383" i="13" a="1"/>
  <c r="BM383" i="13" s="1"/>
  <c r="BW383" i="13"/>
  <c r="CA383" i="13"/>
  <c r="CQ383" i="13"/>
  <c r="F384" i="13"/>
  <c r="N384" i="13" a="1"/>
  <c r="N384" i="13" s="1"/>
  <c r="S384" i="13" a="1"/>
  <c r="S384" i="13" s="1"/>
  <c r="AD384" i="13"/>
  <c r="AH384" i="13"/>
  <c r="BW384" i="13" s="1"/>
  <c r="AI384" i="13"/>
  <c r="AJ384" i="13"/>
  <c r="AN384" i="13" a="1"/>
  <c r="AN384" i="13" s="1"/>
  <c r="AP384" i="13" a="1"/>
  <c r="AP384" i="13" s="1"/>
  <c r="AQ384" i="13"/>
  <c r="AR384" i="13" a="1"/>
  <c r="AR384" i="13"/>
  <c r="AS384" i="13" a="1"/>
  <c r="AS384" i="13" s="1"/>
  <c r="BM384" i="13" a="1"/>
  <c r="BM384" i="13" s="1"/>
  <c r="BN384" i="13"/>
  <c r="BS384" i="13"/>
  <c r="CM384" i="13"/>
  <c r="CQ384" i="13"/>
  <c r="CU384" i="13"/>
  <c r="F385" i="13"/>
  <c r="N385" i="13" a="1"/>
  <c r="N385" i="13" s="1"/>
  <c r="S385" i="13" a="1"/>
  <c r="S385" i="13" s="1"/>
  <c r="AD385" i="13"/>
  <c r="AH385" i="13"/>
  <c r="CQ385" i="13" s="1"/>
  <c r="AI385" i="13"/>
  <c r="AJ385" i="13"/>
  <c r="BL385" i="13" s="1"/>
  <c r="AM385" i="13"/>
  <c r="AN385" i="13" a="1"/>
  <c r="AN385" i="13"/>
  <c r="AP385" i="13" a="1"/>
  <c r="AP385" i="13" s="1"/>
  <c r="AQ385" i="13"/>
  <c r="AR385" i="13" a="1"/>
  <c r="AR385" i="13"/>
  <c r="AS385" i="13" a="1"/>
  <c r="AS385" i="13" s="1"/>
  <c r="BI385" i="13" a="1"/>
  <c r="BI385" i="13" s="1"/>
  <c r="BM385" i="13" a="1"/>
  <c r="BM385" i="13"/>
  <c r="BW385" i="13"/>
  <c r="CH385" i="13"/>
  <c r="F386" i="13"/>
  <c r="N386" i="13" a="1"/>
  <c r="N386" i="13" s="1"/>
  <c r="S386" i="13" a="1"/>
  <c r="S386" i="13" s="1"/>
  <c r="AD386" i="13"/>
  <c r="AH386" i="13"/>
  <c r="AI386" i="13"/>
  <c r="AJ386" i="13"/>
  <c r="AN386" i="13" a="1"/>
  <c r="AN386" i="13" s="1"/>
  <c r="AP386" i="13" a="1"/>
  <c r="AP386" i="13" s="1"/>
  <c r="AQ386" i="13"/>
  <c r="AR386" i="13" a="1"/>
  <c r="AR386" i="13" s="1"/>
  <c r="AS386" i="13" a="1"/>
  <c r="AS386" i="13" s="1"/>
  <c r="BI386" i="13" a="1"/>
  <c r="BI386" i="13" s="1"/>
  <c r="BJ386" i="13" s="1"/>
  <c r="BL386" i="13"/>
  <c r="BM386" i="13" a="1"/>
  <c r="BM386" i="13" s="1"/>
  <c r="F387" i="13"/>
  <c r="N387" i="13" a="1"/>
  <c r="N387" i="13" s="1"/>
  <c r="S387" i="13" a="1"/>
  <c r="S387" i="13" s="1"/>
  <c r="AD387" i="13"/>
  <c r="AH387" i="13"/>
  <c r="CH387" i="13" s="1"/>
  <c r="AI387" i="13"/>
  <c r="AJ387" i="13"/>
  <c r="BL387" i="13" s="1"/>
  <c r="AN387" i="13" a="1"/>
  <c r="AN387" i="13" s="1"/>
  <c r="AP387" i="13" a="1"/>
  <c r="AP387" i="13" s="1"/>
  <c r="AQ387" i="13"/>
  <c r="AR387" i="13" a="1"/>
  <c r="AR387" i="13" s="1"/>
  <c r="AS387" i="13" a="1"/>
  <c r="AS387" i="13" s="1"/>
  <c r="BI387" i="13" a="1"/>
  <c r="BI387" i="13" s="1"/>
  <c r="BJ387" i="13" s="1"/>
  <c r="BM387" i="13" a="1"/>
  <c r="BM387" i="13"/>
  <c r="BN387" i="13"/>
  <c r="BS387" i="13"/>
  <c r="BW387" i="13"/>
  <c r="CA387" i="13"/>
  <c r="CU387" i="13"/>
  <c r="F388" i="13"/>
  <c r="N388" i="13" a="1"/>
  <c r="N388" i="13" s="1"/>
  <c r="S388" i="13" a="1"/>
  <c r="S388" i="13" s="1"/>
  <c r="AD388" i="13"/>
  <c r="AH388" i="13"/>
  <c r="AI388" i="13"/>
  <c r="AJ388" i="13"/>
  <c r="BL388" i="13" s="1"/>
  <c r="AN388" i="13" a="1"/>
  <c r="AN388" i="13" s="1"/>
  <c r="AP388" i="13" a="1"/>
  <c r="AP388" i="13" s="1"/>
  <c r="AQ388" i="13"/>
  <c r="AR388" i="13" a="1"/>
  <c r="AR388" i="13" s="1"/>
  <c r="AS388" i="13" a="1"/>
  <c r="AS388" i="13" s="1"/>
  <c r="BM388" i="13" a="1"/>
  <c r="BM388" i="13" s="1"/>
  <c r="CA388" i="13"/>
  <c r="CM388" i="13"/>
  <c r="CU388" i="13"/>
  <c r="A389" i="13"/>
  <c r="F389" i="13"/>
  <c r="N389" i="13" a="1"/>
  <c r="N389" i="13" s="1"/>
  <c r="S389" i="13" a="1"/>
  <c r="S389" i="13" s="1"/>
  <c r="AD389" i="13"/>
  <c r="AH389" i="13"/>
  <c r="AI389" i="13"/>
  <c r="AJ389" i="13"/>
  <c r="AM389" i="13"/>
  <c r="AN389" i="13" a="1"/>
  <c r="AN389" i="13" s="1"/>
  <c r="AP389" i="13" a="1"/>
  <c r="AP389" i="13" s="1"/>
  <c r="AQ389" i="13"/>
  <c r="AR389" i="13" a="1"/>
  <c r="AR389" i="13" s="1"/>
  <c r="AS389" i="13" a="1"/>
  <c r="AS389" i="13" s="1"/>
  <c r="BL389" i="13"/>
  <c r="BM389" i="13" a="1"/>
  <c r="BM389" i="13" s="1"/>
  <c r="BS389" i="13"/>
  <c r="BW389" i="13"/>
  <c r="F390" i="13"/>
  <c r="N390" i="13" a="1"/>
  <c r="N390" i="13" s="1"/>
  <c r="S390" i="13" a="1"/>
  <c r="S390" i="13" s="1"/>
  <c r="AD390" i="13"/>
  <c r="AH390" i="13"/>
  <c r="CA390" i="13" s="1"/>
  <c r="AI390" i="13"/>
  <c r="AJ390" i="13"/>
  <c r="BL390" i="13" s="1"/>
  <c r="AN390" i="13" a="1"/>
  <c r="AN390" i="13" s="1"/>
  <c r="AP390" i="13" a="1"/>
  <c r="AP390" i="13" s="1"/>
  <c r="AQ390" i="13"/>
  <c r="AR390" i="13" a="1"/>
  <c r="AR390" i="13"/>
  <c r="AS390" i="13" a="1"/>
  <c r="AS390" i="13" s="1"/>
  <c r="BM390" i="13" a="1"/>
  <c r="BM390" i="13" s="1"/>
  <c r="CM390" i="13"/>
  <c r="CU390" i="13"/>
  <c r="A391" i="13"/>
  <c r="F391" i="13"/>
  <c r="N391" i="13" a="1"/>
  <c r="N391" i="13" s="1"/>
  <c r="S391" i="13" a="1"/>
  <c r="S391" i="13" s="1"/>
  <c r="AD391" i="13"/>
  <c r="AH391" i="13"/>
  <c r="AI391" i="13"/>
  <c r="AJ391" i="13"/>
  <c r="BK391" i="13" s="1"/>
  <c r="AM391" i="13"/>
  <c r="AN391" i="13" a="1"/>
  <c r="AN391" i="13" s="1"/>
  <c r="AP391" i="13" a="1"/>
  <c r="AP391" i="13" s="1"/>
  <c r="AQ391" i="13"/>
  <c r="AR391" i="13" a="1"/>
  <c r="AR391" i="13" s="1"/>
  <c r="AS391" i="13" a="1"/>
  <c r="AS391" i="13" s="1"/>
  <c r="BI391" i="13" a="1"/>
  <c r="BI391" i="13" s="1"/>
  <c r="BJ391" i="13" s="1"/>
  <c r="BM391" i="13" a="1"/>
  <c r="BM391" i="13" s="1"/>
  <c r="BN391" i="13"/>
  <c r="BS391" i="13"/>
  <c r="BW391" i="13"/>
  <c r="CA391" i="13"/>
  <c r="CH391" i="13"/>
  <c r="CM391" i="13"/>
  <c r="CQ391" i="13"/>
  <c r="CU391" i="13"/>
  <c r="F392" i="13"/>
  <c r="N392" i="13" a="1"/>
  <c r="N392" i="13" s="1"/>
  <c r="S392" i="13" a="1"/>
  <c r="S392" i="13" s="1"/>
  <c r="AD392" i="13"/>
  <c r="AH392" i="13"/>
  <c r="CA392" i="13" s="1"/>
  <c r="AI392" i="13"/>
  <c r="AJ392" i="13"/>
  <c r="BL392" i="13" s="1"/>
  <c r="AN392" i="13" a="1"/>
  <c r="AN392" i="13" s="1"/>
  <c r="AP392" i="13" a="1"/>
  <c r="AP392" i="13"/>
  <c r="AQ392" i="13"/>
  <c r="AR392" i="13" a="1"/>
  <c r="AR392" i="13" s="1"/>
  <c r="AS392" i="13" a="1"/>
  <c r="AS392" i="13" s="1"/>
  <c r="BM392" i="13" a="1"/>
  <c r="BM392" i="13" s="1"/>
  <c r="CM392" i="13"/>
  <c r="CU392" i="13"/>
  <c r="A393" i="13"/>
  <c r="F393" i="13"/>
  <c r="N393" i="13" a="1"/>
  <c r="N393" i="13" s="1"/>
  <c r="S393" i="13" a="1"/>
  <c r="S393" i="13" s="1"/>
  <c r="AD393" i="13"/>
  <c r="AH393" i="13"/>
  <c r="AI393" i="13"/>
  <c r="AJ393" i="13"/>
  <c r="AM393" i="13"/>
  <c r="AN393" i="13" a="1"/>
  <c r="AN393" i="13" s="1"/>
  <c r="AP393" i="13" a="1"/>
  <c r="AP393" i="13" s="1"/>
  <c r="AQ393" i="13"/>
  <c r="AR393" i="13" a="1"/>
  <c r="AR393" i="13" s="1"/>
  <c r="AS393" i="13" a="1"/>
  <c r="AS393" i="13" s="1"/>
  <c r="BI393" i="13" a="1"/>
  <c r="BI393" i="13" s="1"/>
  <c r="BJ393" i="13" s="1"/>
  <c r="BM393" i="13" a="1"/>
  <c r="BM393" i="13"/>
  <c r="BN393" i="13"/>
  <c r="BS393" i="13"/>
  <c r="BW393" i="13"/>
  <c r="CA393" i="13"/>
  <c r="CH393" i="13"/>
  <c r="CM393" i="13"/>
  <c r="CQ393" i="13"/>
  <c r="CU393" i="13"/>
  <c r="F394" i="13"/>
  <c r="N394" i="13" a="1"/>
  <c r="N394" i="13" s="1"/>
  <c r="S394" i="13" a="1"/>
  <c r="S394" i="13" s="1"/>
  <c r="AD394" i="13"/>
  <c r="AH394" i="13"/>
  <c r="CH394" i="13" s="1"/>
  <c r="AI394" i="13"/>
  <c r="AJ394" i="13"/>
  <c r="AN394" i="13" a="1"/>
  <c r="AN394" i="13" s="1"/>
  <c r="AP394" i="13" a="1"/>
  <c r="AP394" i="13" s="1"/>
  <c r="AQ394" i="13"/>
  <c r="AR394" i="13" a="1"/>
  <c r="AR394" i="13" s="1"/>
  <c r="AS394" i="13" a="1"/>
  <c r="AS394" i="13" s="1"/>
  <c r="BM394" i="13" a="1"/>
  <c r="BM394" i="13" s="1"/>
  <c r="A395" i="13"/>
  <c r="F395" i="13"/>
  <c r="N395" i="13" a="1"/>
  <c r="N395" i="13" s="1"/>
  <c r="S395" i="13" a="1"/>
  <c r="S395" i="13" s="1"/>
  <c r="AD395" i="13"/>
  <c r="AH395" i="13"/>
  <c r="BI395" i="13" s="1" a="1"/>
  <c r="BI395" i="13" s="1"/>
  <c r="AI395" i="13"/>
  <c r="AJ395" i="13"/>
  <c r="BL395" i="13" s="1"/>
  <c r="AM395" i="13"/>
  <c r="AN395" i="13" a="1"/>
  <c r="AN395" i="13" s="1"/>
  <c r="AP395" i="13" a="1"/>
  <c r="AP395" i="13" s="1"/>
  <c r="AQ395" i="13"/>
  <c r="AR395" i="13" a="1"/>
  <c r="AR395" i="13" s="1"/>
  <c r="AS395" i="13" a="1"/>
  <c r="AS395" i="13" s="1"/>
  <c r="BM395" i="13" a="1"/>
  <c r="BM395" i="13" s="1"/>
  <c r="BN395" i="13"/>
  <c r="CQ395" i="13"/>
  <c r="CU395" i="13"/>
  <c r="A396" i="13"/>
  <c r="F396" i="13"/>
  <c r="N396" i="13" a="1"/>
  <c r="N396" i="13" s="1"/>
  <c r="S396" i="13" a="1"/>
  <c r="S396" i="13" s="1"/>
  <c r="AD396" i="13"/>
  <c r="AH396" i="13"/>
  <c r="BN396" i="13" s="1"/>
  <c r="AI396" i="13"/>
  <c r="AJ396" i="13"/>
  <c r="BK396" i="13" s="1"/>
  <c r="AM396" i="13"/>
  <c r="AN396" i="13" a="1"/>
  <c r="AN396" i="13"/>
  <c r="AP396" i="13" a="1"/>
  <c r="AP396" i="13" s="1"/>
  <c r="AQ396" i="13"/>
  <c r="AR396" i="13" a="1"/>
  <c r="AR396" i="13"/>
  <c r="AS396" i="13" a="1"/>
  <c r="AS396" i="13" s="1"/>
  <c r="BI396" i="13" a="1"/>
  <c r="BI396" i="13" s="1"/>
  <c r="BJ396" i="13" s="1"/>
  <c r="BM396" i="13" a="1"/>
  <c r="BM396" i="13" s="1"/>
  <c r="BS396" i="13"/>
  <c r="BW396" i="13"/>
  <c r="CA396" i="13"/>
  <c r="CH396" i="13"/>
  <c r="CM396" i="13"/>
  <c r="CQ396" i="13"/>
  <c r="CU396" i="13"/>
  <c r="F397" i="13"/>
  <c r="N397" i="13" a="1"/>
  <c r="N397" i="13" s="1"/>
  <c r="S397" i="13" a="1"/>
  <c r="S397" i="13" s="1"/>
  <c r="AD397" i="13"/>
  <c r="AH397" i="13"/>
  <c r="CU397" i="13" s="1"/>
  <c r="AI397" i="13"/>
  <c r="AJ397" i="13"/>
  <c r="AN397" i="13" a="1"/>
  <c r="AN397" i="13" s="1"/>
  <c r="AP397" i="13" a="1"/>
  <c r="AP397" i="13" s="1"/>
  <c r="AQ397" i="13"/>
  <c r="AR397" i="13" a="1"/>
  <c r="AR397" i="13" s="1"/>
  <c r="AS397" i="13" a="1"/>
  <c r="AS397" i="13"/>
  <c r="BM397" i="13" a="1"/>
  <c r="BM397" i="13" s="1"/>
  <c r="CM397" i="13"/>
  <c r="F398" i="13"/>
  <c r="N398" i="13" a="1"/>
  <c r="N398" i="13" s="1"/>
  <c r="S398" i="13" a="1"/>
  <c r="S398" i="13" s="1"/>
  <c r="AD398" i="13"/>
  <c r="AH398" i="13"/>
  <c r="A398" i="13" s="1"/>
  <c r="AI398" i="13"/>
  <c r="AJ398" i="13"/>
  <c r="AN398" i="13" a="1"/>
  <c r="AN398" i="13"/>
  <c r="AP398" i="13" a="1"/>
  <c r="AP398" i="13" s="1"/>
  <c r="AQ398" i="13"/>
  <c r="AR398" i="13" a="1"/>
  <c r="AR398" i="13" s="1"/>
  <c r="AS398" i="13" a="1"/>
  <c r="AS398" i="13"/>
  <c r="BI398" i="13" a="1"/>
  <c r="BI398" i="13" s="1"/>
  <c r="BM398" i="13" a="1"/>
  <c r="BM398" i="13" s="1"/>
  <c r="BN398" i="13"/>
  <c r="BS398" i="13"/>
  <c r="CQ398" i="13"/>
  <c r="CU398" i="13"/>
  <c r="F399" i="13"/>
  <c r="N399" i="13" a="1"/>
  <c r="N399" i="13" s="1"/>
  <c r="S399" i="13" a="1"/>
  <c r="S399" i="13" s="1"/>
  <c r="AD399" i="13"/>
  <c r="AH399" i="13"/>
  <c r="CU399" i="13" s="1"/>
  <c r="AI399" i="13"/>
  <c r="AJ399" i="13"/>
  <c r="AN399" i="13" a="1"/>
  <c r="AN399" i="13" s="1"/>
  <c r="AP399" i="13" a="1"/>
  <c r="AP399" i="13" s="1"/>
  <c r="AQ399" i="13"/>
  <c r="AR399" i="13" a="1"/>
  <c r="AR399" i="13" s="1"/>
  <c r="AS399" i="13" a="1"/>
  <c r="AS399" i="13" s="1"/>
  <c r="BK399" i="13"/>
  <c r="BL399" i="13"/>
  <c r="BM399" i="13" a="1"/>
  <c r="BM399" i="13" s="1"/>
  <c r="BS399" i="13"/>
  <c r="BW399" i="13"/>
  <c r="CM399" i="13"/>
  <c r="F400" i="13"/>
  <c r="N400" i="13" a="1"/>
  <c r="N400" i="13" s="1"/>
  <c r="S400" i="13" a="1"/>
  <c r="S400" i="13" s="1"/>
  <c r="AD400" i="13"/>
  <c r="AH400" i="13"/>
  <c r="A400" i="13" s="1"/>
  <c r="AI400" i="13"/>
  <c r="AJ400" i="13"/>
  <c r="BK400" i="13" s="1"/>
  <c r="AN400" i="13" a="1"/>
  <c r="AN400" i="13"/>
  <c r="AP400" i="13" a="1"/>
  <c r="AP400" i="13" s="1"/>
  <c r="AQ400" i="13"/>
  <c r="AR400" i="13" a="1"/>
  <c r="AR400" i="13" s="1"/>
  <c r="AS400" i="13" a="1"/>
  <c r="AS400" i="13" s="1"/>
  <c r="BI400" i="13" a="1"/>
  <c r="BI400" i="13" s="1"/>
  <c r="BM400" i="13" a="1"/>
  <c r="BM400" i="13" s="1"/>
  <c r="BN400" i="13"/>
  <c r="CM400" i="13"/>
  <c r="CU400" i="13"/>
  <c r="F401" i="13"/>
  <c r="N401" i="13" a="1"/>
  <c r="N401" i="13" s="1"/>
  <c r="S401" i="13" a="1"/>
  <c r="S401" i="13" s="1"/>
  <c r="AD401" i="13"/>
  <c r="AH401" i="13"/>
  <c r="CU401" i="13" s="1"/>
  <c r="AI401" i="13"/>
  <c r="AJ401" i="13"/>
  <c r="BL401" i="13" s="1"/>
  <c r="AN401" i="13" a="1"/>
  <c r="AN401" i="13" s="1"/>
  <c r="AP401" i="13" a="1"/>
  <c r="AP401" i="13" s="1"/>
  <c r="AQ401" i="13"/>
  <c r="AR401" i="13" a="1"/>
  <c r="AR401" i="13" s="1"/>
  <c r="AS401" i="13" a="1"/>
  <c r="AS401" i="13"/>
  <c r="BM401" i="13" a="1"/>
  <c r="BM401" i="13" s="1"/>
  <c r="BS401" i="13"/>
  <c r="A402" i="13"/>
  <c r="F402" i="13"/>
  <c r="N402" i="13" a="1"/>
  <c r="N402" i="13" s="1"/>
  <c r="S402" i="13" a="1"/>
  <c r="S402" i="13" s="1"/>
  <c r="AD402" i="13"/>
  <c r="AH402" i="13"/>
  <c r="BI402" i="13" s="1" a="1"/>
  <c r="BI402" i="13" s="1"/>
  <c r="AI402" i="13"/>
  <c r="AJ402" i="13"/>
  <c r="AN402" i="13" a="1"/>
  <c r="AN402" i="13" s="1"/>
  <c r="AP402" i="13" a="1"/>
  <c r="AP402" i="13" s="1"/>
  <c r="AQ402" i="13"/>
  <c r="AR402" i="13" a="1"/>
  <c r="AR402" i="13" s="1"/>
  <c r="AS402" i="13" a="1"/>
  <c r="AS402" i="13"/>
  <c r="BL402" i="13"/>
  <c r="BM402" i="13" a="1"/>
  <c r="BM402" i="13" s="1"/>
  <c r="BW402" i="13"/>
  <c r="CQ402" i="13"/>
  <c r="CU402" i="13"/>
  <c r="A403" i="13"/>
  <c r="F403" i="13"/>
  <c r="N403" i="13" a="1"/>
  <c r="N403" i="13" s="1"/>
  <c r="S403" i="13" a="1"/>
  <c r="S403" i="13" s="1"/>
  <c r="AD403" i="13"/>
  <c r="AH403" i="13"/>
  <c r="AI403" i="13"/>
  <c r="AJ403" i="13"/>
  <c r="BL403" i="13" s="1"/>
  <c r="AN403" i="13" a="1"/>
  <c r="AN403" i="13" s="1"/>
  <c r="AP403" i="13" a="1"/>
  <c r="AP403" i="13" s="1"/>
  <c r="AQ403" i="13"/>
  <c r="AR403" i="13" a="1"/>
  <c r="AR403" i="13" s="1"/>
  <c r="AS403" i="13" a="1"/>
  <c r="AS403" i="13"/>
  <c r="BI403" i="13" a="1"/>
  <c r="BI403" i="13" s="1"/>
  <c r="BK403" i="13"/>
  <c r="BM403" i="13" a="1"/>
  <c r="BM403" i="13" s="1"/>
  <c r="BW403" i="13"/>
  <c r="CM403" i="13"/>
  <c r="CQ403" i="13"/>
  <c r="A404" i="13"/>
  <c r="F404" i="13"/>
  <c r="N404" i="13" a="1"/>
  <c r="N404" i="13" s="1"/>
  <c r="S404" i="13" a="1"/>
  <c r="S404" i="13" s="1"/>
  <c r="AD404" i="13"/>
  <c r="AH404" i="13"/>
  <c r="BI404" i="13" s="1" a="1"/>
  <c r="BI404" i="13" s="1"/>
  <c r="AI404" i="13"/>
  <c r="AJ404" i="13"/>
  <c r="AN404" i="13" a="1"/>
  <c r="AN404" i="13" s="1"/>
  <c r="AP404" i="13" a="1"/>
  <c r="AP404" i="13" s="1"/>
  <c r="AQ404" i="13"/>
  <c r="AR404" i="13" a="1"/>
  <c r="AR404" i="13" s="1"/>
  <c r="AS404" i="13" a="1"/>
  <c r="AS404" i="13"/>
  <c r="BL404" i="13"/>
  <c r="BM404" i="13" a="1"/>
  <c r="BM404" i="13" s="1"/>
  <c r="BN404" i="13"/>
  <c r="CQ404" i="13"/>
  <c r="CU404" i="13"/>
  <c r="A405" i="13"/>
  <c r="F405" i="13"/>
  <c r="N405" i="13" a="1"/>
  <c r="N405" i="13" s="1"/>
  <c r="S405" i="13" a="1"/>
  <c r="S405" i="13" s="1"/>
  <c r="AD405" i="13"/>
  <c r="AH405" i="13"/>
  <c r="AI405" i="13"/>
  <c r="AJ405" i="13"/>
  <c r="BK405" i="13" s="1"/>
  <c r="AN405" i="13" a="1"/>
  <c r="AN405" i="13" s="1"/>
  <c r="AP405" i="13" a="1"/>
  <c r="AP405" i="13" s="1"/>
  <c r="AQ405" i="13"/>
  <c r="AR405" i="13" a="1"/>
  <c r="AR405" i="13" s="1"/>
  <c r="AS405" i="13" a="1"/>
  <c r="AS405" i="13"/>
  <c r="BI405" i="13" a="1"/>
  <c r="BI405" i="13"/>
  <c r="BL405" i="13"/>
  <c r="BM405" i="13" a="1"/>
  <c r="BM405" i="13" s="1"/>
  <c r="BW405" i="13"/>
  <c r="CM405" i="13"/>
  <c r="CQ405" i="13"/>
  <c r="F406" i="13"/>
  <c r="N406" i="13" a="1"/>
  <c r="N406" i="13" s="1"/>
  <c r="S406" i="13" a="1"/>
  <c r="S406" i="13" s="1"/>
  <c r="AD406" i="13"/>
  <c r="AH406" i="13"/>
  <c r="A406" i="13" s="1"/>
  <c r="AI406" i="13"/>
  <c r="AJ406" i="13"/>
  <c r="BK406" i="13" s="1"/>
  <c r="AN406" i="13" a="1"/>
  <c r="AN406" i="13"/>
  <c r="AP406" i="13" a="1"/>
  <c r="AP406" i="13" s="1"/>
  <c r="AQ406" i="13"/>
  <c r="AR406" i="13" a="1"/>
  <c r="AR406" i="13"/>
  <c r="AS406" i="13" a="1"/>
  <c r="AS406" i="13"/>
  <c r="BM406" i="13" a="1"/>
  <c r="BM406" i="13" s="1"/>
  <c r="CM406" i="13"/>
  <c r="CU406" i="13"/>
  <c r="F407" i="13"/>
  <c r="N407" i="13" a="1"/>
  <c r="N407" i="13" s="1"/>
  <c r="S407" i="13" a="1"/>
  <c r="S407" i="13" s="1"/>
  <c r="AD407" i="13"/>
  <c r="AH407" i="13"/>
  <c r="AI407" i="13"/>
  <c r="AJ407" i="13"/>
  <c r="BK407" i="13" s="1"/>
  <c r="AN407" i="13" a="1"/>
  <c r="AN407" i="13"/>
  <c r="AP407" i="13" a="1"/>
  <c r="AP407" i="13" s="1"/>
  <c r="AQ407" i="13"/>
  <c r="AR407" i="13" a="1"/>
  <c r="AR407" i="13" s="1"/>
  <c r="AS407" i="13" a="1"/>
  <c r="AS407" i="13" s="1"/>
  <c r="BL407" i="13"/>
  <c r="BM407" i="13" a="1"/>
  <c r="BM407" i="13" s="1"/>
  <c r="A408" i="13"/>
  <c r="F408" i="13"/>
  <c r="N408" i="13" a="1"/>
  <c r="N408" i="13" s="1"/>
  <c r="S408" i="13" a="1"/>
  <c r="S408" i="13" s="1"/>
  <c r="AD408" i="13"/>
  <c r="AH408" i="13"/>
  <c r="AM408" i="13" s="1"/>
  <c r="AI408" i="13"/>
  <c r="AJ408" i="13"/>
  <c r="BK408" i="13" s="1"/>
  <c r="AN408" i="13" a="1"/>
  <c r="AN408" i="13" s="1"/>
  <c r="AP408" i="13" a="1"/>
  <c r="AP408" i="13" s="1"/>
  <c r="AQ408" i="13"/>
  <c r="AR408" i="13" a="1"/>
  <c r="AR408" i="13"/>
  <c r="AS408" i="13" a="1"/>
  <c r="AS408" i="13" s="1"/>
  <c r="BI408" i="13" a="1"/>
  <c r="BI408" i="13" s="1"/>
  <c r="BL408" i="13"/>
  <c r="BM408" i="13" a="1"/>
  <c r="BM408" i="13" s="1"/>
  <c r="BN408" i="13"/>
  <c r="BS408" i="13"/>
  <c r="BW408" i="13"/>
  <c r="CA408" i="13"/>
  <c r="CH408" i="13"/>
  <c r="CM408" i="13"/>
  <c r="CQ408" i="13"/>
  <c r="CU408" i="13"/>
  <c r="F409" i="13"/>
  <c r="N409" i="13" a="1"/>
  <c r="N409" i="13" s="1"/>
  <c r="S409" i="13" a="1"/>
  <c r="S409" i="13" s="1"/>
  <c r="AD409" i="13"/>
  <c r="AH409" i="13"/>
  <c r="AI409" i="13"/>
  <c r="AJ409" i="13"/>
  <c r="BL409" i="13" s="1"/>
  <c r="AN409" i="13" a="1"/>
  <c r="AN409" i="13" s="1"/>
  <c r="AP409" i="13" a="1"/>
  <c r="AP409" i="13" s="1"/>
  <c r="AQ409" i="13"/>
  <c r="AR409" i="13" a="1"/>
  <c r="AR409" i="13" s="1"/>
  <c r="AS409" i="13" a="1"/>
  <c r="AS409" i="13"/>
  <c r="BM409" i="13" a="1"/>
  <c r="BM409" i="13" s="1"/>
  <c r="A410" i="13"/>
  <c r="F410" i="13"/>
  <c r="N410" i="13" a="1"/>
  <c r="N410" i="13" s="1"/>
  <c r="S410" i="13" a="1"/>
  <c r="S410" i="13" s="1"/>
  <c r="AD410" i="13"/>
  <c r="AH410" i="13"/>
  <c r="CQ410" i="13" s="1"/>
  <c r="AI410" i="13"/>
  <c r="AJ410" i="13"/>
  <c r="AM410" i="13"/>
  <c r="AN410" i="13" a="1"/>
  <c r="AN410" i="13" s="1"/>
  <c r="AP410" i="13" a="1"/>
  <c r="AP410" i="13" s="1"/>
  <c r="AQ410" i="13"/>
  <c r="AR410" i="13" a="1"/>
  <c r="AR410" i="13" s="1"/>
  <c r="AS410" i="13" a="1"/>
  <c r="AS410" i="13" s="1"/>
  <c r="BI410" i="13" a="1"/>
  <c r="BI410" i="13" s="1"/>
  <c r="BM410" i="13" a="1"/>
  <c r="BM410" i="13" s="1"/>
  <c r="BS410" i="13"/>
  <c r="CA410" i="13"/>
  <c r="CH410" i="13"/>
  <c r="CM410" i="13"/>
  <c r="F411" i="13"/>
  <c r="N411" i="13" a="1"/>
  <c r="N411" i="13" s="1"/>
  <c r="S411" i="13" a="1"/>
  <c r="S411" i="13" s="1"/>
  <c r="AD411" i="13"/>
  <c r="AH411" i="13"/>
  <c r="AI411" i="13"/>
  <c r="AJ411" i="13"/>
  <c r="BL411" i="13" s="1"/>
  <c r="AN411" i="13" a="1"/>
  <c r="AN411" i="13" s="1"/>
  <c r="AP411" i="13" a="1"/>
  <c r="AP411" i="13" s="1"/>
  <c r="AQ411" i="13"/>
  <c r="AR411" i="13" a="1"/>
  <c r="AR411" i="13" s="1"/>
  <c r="AS411" i="13" a="1"/>
  <c r="AS411" i="13"/>
  <c r="BM411" i="13" a="1"/>
  <c r="BM411" i="13" s="1"/>
  <c r="F412" i="13"/>
  <c r="N412" i="13" a="1"/>
  <c r="N412" i="13" s="1"/>
  <c r="S412" i="13" a="1"/>
  <c r="S412" i="13" s="1"/>
  <c r="AD412" i="13"/>
  <c r="AH412" i="13"/>
  <c r="BW412" i="13" s="1"/>
  <c r="AI412" i="13"/>
  <c r="AJ412" i="13"/>
  <c r="AN412" i="13" a="1"/>
  <c r="AN412" i="13" s="1"/>
  <c r="AP412" i="13" a="1"/>
  <c r="AP412" i="13" s="1"/>
  <c r="AQ412" i="13"/>
  <c r="AR412" i="13" a="1"/>
  <c r="AR412" i="13" s="1"/>
  <c r="AS412" i="13" a="1"/>
  <c r="AS412" i="13" s="1"/>
  <c r="BM412" i="13" a="1"/>
  <c r="BM412" i="13" s="1"/>
  <c r="BN412" i="13"/>
  <c r="BS412" i="13"/>
  <c r="CA412" i="13"/>
  <c r="CH412" i="13"/>
  <c r="CM412" i="13"/>
  <c r="F413" i="13"/>
  <c r="N413" i="13" a="1"/>
  <c r="N413" i="13" s="1"/>
  <c r="S413" i="13" a="1"/>
  <c r="S413" i="13" s="1"/>
  <c r="AD413" i="13"/>
  <c r="AH413" i="13"/>
  <c r="BI413" i="13" s="1" a="1"/>
  <c r="BI413" i="13" s="1"/>
  <c r="AI413" i="13"/>
  <c r="AJ413" i="13"/>
  <c r="BL413" i="13" s="1"/>
  <c r="AN413" i="13" a="1"/>
  <c r="AN413" i="13"/>
  <c r="AP413" i="13" a="1"/>
  <c r="AP413" i="13" s="1"/>
  <c r="AQ413" i="13"/>
  <c r="AR413" i="13" a="1"/>
  <c r="AR413" i="13" s="1"/>
  <c r="AS413" i="13" a="1"/>
  <c r="AS413" i="13"/>
  <c r="BM413" i="13" a="1"/>
  <c r="BM413" i="13" s="1"/>
  <c r="BS413" i="13"/>
  <c r="CQ413" i="13"/>
  <c r="A414" i="13"/>
  <c r="F414" i="13"/>
  <c r="N414" i="13" a="1"/>
  <c r="N414" i="13" s="1"/>
  <c r="S414" i="13" a="1"/>
  <c r="S414" i="13" s="1"/>
  <c r="AD414" i="13"/>
  <c r="AH414" i="13"/>
  <c r="CQ414" i="13" s="1"/>
  <c r="AI414" i="13"/>
  <c r="AJ414" i="13"/>
  <c r="AM414" i="13"/>
  <c r="AN414" i="13" a="1"/>
  <c r="AN414" i="13"/>
  <c r="AP414" i="13" a="1"/>
  <c r="AP414" i="13" s="1"/>
  <c r="AQ414" i="13"/>
  <c r="AR414" i="13" a="1"/>
  <c r="AR414" i="13"/>
  <c r="AS414" i="13" a="1"/>
  <c r="AS414" i="13"/>
  <c r="BM414" i="13" a="1"/>
  <c r="BM414" i="13" s="1"/>
  <c r="CA414" i="13"/>
  <c r="CH414" i="13"/>
  <c r="CM414" i="13"/>
  <c r="CU414" i="13"/>
  <c r="F415" i="13"/>
  <c r="N415" i="13" a="1"/>
  <c r="N415" i="13" s="1"/>
  <c r="S415" i="13" a="1"/>
  <c r="S415" i="13" s="1"/>
  <c r="AD415" i="13"/>
  <c r="AH415" i="13"/>
  <c r="AI415" i="13"/>
  <c r="AJ415" i="13"/>
  <c r="AN415" i="13" a="1"/>
  <c r="AN415" i="13" s="1"/>
  <c r="AP415" i="13" a="1"/>
  <c r="AP415" i="13" s="1"/>
  <c r="AQ415" i="13"/>
  <c r="AR415" i="13" a="1"/>
  <c r="AR415" i="13" s="1"/>
  <c r="AS415" i="13" a="1"/>
  <c r="AS415" i="13" s="1"/>
  <c r="BK415" i="13"/>
  <c r="BL415" i="13"/>
  <c r="BM415" i="13" a="1"/>
  <c r="BM415" i="13" s="1"/>
  <c r="F416" i="13"/>
  <c r="N416" i="13" a="1"/>
  <c r="N416" i="13" s="1"/>
  <c r="S416" i="13" a="1"/>
  <c r="S416" i="13" s="1"/>
  <c r="AD416" i="13"/>
  <c r="AH416" i="13"/>
  <c r="A416" i="13" s="1"/>
  <c r="AI416" i="13"/>
  <c r="AJ416" i="13"/>
  <c r="AN416" i="13" a="1"/>
  <c r="AN416" i="13" s="1"/>
  <c r="AP416" i="13" a="1"/>
  <c r="AP416" i="13" s="1"/>
  <c r="AQ416" i="13"/>
  <c r="AR416" i="13" a="1"/>
  <c r="AR416" i="13" s="1"/>
  <c r="AS416" i="13" a="1"/>
  <c r="AS416" i="13" s="1"/>
  <c r="BL416" i="13"/>
  <c r="BM416" i="13" a="1"/>
  <c r="BM416" i="13" s="1"/>
  <c r="CA416" i="13"/>
  <c r="CU416" i="13"/>
  <c r="F417" i="13"/>
  <c r="N417" i="13" a="1"/>
  <c r="N417" i="13" s="1"/>
  <c r="S417" i="13" a="1"/>
  <c r="S417" i="13" s="1"/>
  <c r="AD417" i="13"/>
  <c r="AH417" i="13"/>
  <c r="AI417" i="13"/>
  <c r="AJ417" i="13"/>
  <c r="AN417" i="13" a="1"/>
  <c r="AN417" i="13" s="1"/>
  <c r="AP417" i="13" a="1"/>
  <c r="AP417" i="13" s="1"/>
  <c r="AQ417" i="13"/>
  <c r="AR417" i="13" a="1"/>
  <c r="AR417" i="13" s="1"/>
  <c r="AS417" i="13" a="1"/>
  <c r="AS417" i="13" s="1"/>
  <c r="BI417" i="13" a="1"/>
  <c r="BI417" i="13" s="1"/>
  <c r="BK417" i="13"/>
  <c r="BL417" i="13"/>
  <c r="BM417" i="13" a="1"/>
  <c r="BM417" i="13" s="1"/>
  <c r="BS417" i="13"/>
  <c r="BW417" i="13"/>
  <c r="CM417" i="13"/>
  <c r="F418" i="13"/>
  <c r="N418" i="13" a="1"/>
  <c r="N418" i="13" s="1"/>
  <c r="S418" i="13" a="1"/>
  <c r="S418" i="13" s="1"/>
  <c r="AD418" i="13"/>
  <c r="AH418" i="13"/>
  <c r="BN418" i="13" s="1"/>
  <c r="AI418" i="13"/>
  <c r="AJ418" i="13"/>
  <c r="BK418" i="13" s="1"/>
  <c r="AN418" i="13" a="1"/>
  <c r="AN418" i="13" s="1"/>
  <c r="AP418" i="13" a="1"/>
  <c r="AP418" i="13" s="1"/>
  <c r="AQ418" i="13"/>
  <c r="AR418" i="13" a="1"/>
  <c r="AR418" i="13" s="1"/>
  <c r="AS418" i="13" a="1"/>
  <c r="AS418" i="13" s="1"/>
  <c r="BI418" i="13" a="1"/>
  <c r="BI418" i="13" s="1"/>
  <c r="BM418" i="13" a="1"/>
  <c r="BM418" i="13" s="1"/>
  <c r="BS418" i="13"/>
  <c r="BW418" i="13"/>
  <c r="CA418" i="13"/>
  <c r="CH418" i="13"/>
  <c r="CQ418" i="13"/>
  <c r="CU418" i="13"/>
  <c r="F419" i="13"/>
  <c r="N419" i="13" a="1"/>
  <c r="N419" i="13" s="1"/>
  <c r="S419" i="13" a="1"/>
  <c r="S419" i="13" s="1"/>
  <c r="AD419" i="13"/>
  <c r="AH419" i="13"/>
  <c r="AI419" i="13"/>
  <c r="AJ419" i="13"/>
  <c r="BL419" i="13" s="1"/>
  <c r="AN419" i="13" a="1"/>
  <c r="AN419" i="13"/>
  <c r="AP419" i="13" a="1"/>
  <c r="AP419" i="13" s="1"/>
  <c r="AQ419" i="13"/>
  <c r="AR419" i="13" a="1"/>
  <c r="AR419" i="13" s="1"/>
  <c r="AS419" i="13" a="1"/>
  <c r="AS419" i="13" s="1"/>
  <c r="BM419" i="13" a="1"/>
  <c r="BM419" i="13" s="1"/>
  <c r="A420" i="13"/>
  <c r="F420" i="13"/>
  <c r="N420" i="13" a="1"/>
  <c r="N420" i="13" s="1"/>
  <c r="S420" i="13" a="1"/>
  <c r="S420" i="13" s="1"/>
  <c r="AD420" i="13"/>
  <c r="AH420" i="13"/>
  <c r="AI420" i="13"/>
  <c r="AJ420" i="13"/>
  <c r="BK420" i="13" s="1"/>
  <c r="AM420" i="13"/>
  <c r="AN420" i="13" a="1"/>
  <c r="AN420" i="13" s="1"/>
  <c r="AP420" i="13" a="1"/>
  <c r="AP420" i="13" s="1"/>
  <c r="AQ420" i="13"/>
  <c r="AR420" i="13" a="1"/>
  <c r="AR420" i="13" s="1"/>
  <c r="AS420" i="13" a="1"/>
  <c r="AS420" i="13"/>
  <c r="BI420" i="13" a="1"/>
  <c r="BI420" i="13" s="1"/>
  <c r="BM420" i="13" a="1"/>
  <c r="BM420" i="13" s="1"/>
  <c r="BN420" i="13"/>
  <c r="BS420" i="13"/>
  <c r="BW420" i="13"/>
  <c r="CA420" i="13"/>
  <c r="CH420" i="13"/>
  <c r="CM420" i="13"/>
  <c r="CQ420" i="13"/>
  <c r="CU420" i="13"/>
  <c r="A421" i="13"/>
  <c r="F421" i="13"/>
  <c r="N421" i="13" a="1"/>
  <c r="N421" i="13" s="1"/>
  <c r="S421" i="13" a="1"/>
  <c r="S421" i="13" s="1"/>
  <c r="AD421" i="13"/>
  <c r="AH421" i="13"/>
  <c r="CM421" i="13" s="1"/>
  <c r="AI421" i="13"/>
  <c r="AJ421" i="13"/>
  <c r="BK421" i="13" s="1"/>
  <c r="AN421" i="13" a="1"/>
  <c r="AN421" i="13" s="1"/>
  <c r="AP421" i="13" a="1"/>
  <c r="AP421" i="13" s="1"/>
  <c r="AQ421" i="13"/>
  <c r="AR421" i="13" a="1"/>
  <c r="AR421" i="13" s="1"/>
  <c r="AS421" i="13" a="1"/>
  <c r="AS421" i="13"/>
  <c r="BI421" i="13" a="1"/>
  <c r="BI421" i="13" s="1"/>
  <c r="BM421" i="13" a="1"/>
  <c r="BM421" i="13" s="1"/>
  <c r="CU421" i="13"/>
  <c r="F422" i="13"/>
  <c r="N422" i="13" a="1"/>
  <c r="N422" i="13" s="1"/>
  <c r="S422" i="13" a="1"/>
  <c r="S422" i="13" s="1"/>
  <c r="AD422" i="13"/>
  <c r="AH422" i="13"/>
  <c r="A422" i="13" s="1"/>
  <c r="AI422" i="13"/>
  <c r="AJ422" i="13"/>
  <c r="BK422" i="13" s="1"/>
  <c r="AN422" i="13" a="1"/>
  <c r="AN422" i="13" s="1"/>
  <c r="AP422" i="13" a="1"/>
  <c r="AP422" i="13" s="1"/>
  <c r="AQ422" i="13"/>
  <c r="AR422" i="13" a="1"/>
  <c r="AR422" i="13" s="1"/>
  <c r="AS422" i="13" a="1"/>
  <c r="AS422" i="13" s="1"/>
  <c r="BI422" i="13" a="1"/>
  <c r="BI422" i="13" s="1"/>
  <c r="BM422" i="13" a="1"/>
  <c r="BM422" i="13" s="1"/>
  <c r="BS422" i="13"/>
  <c r="CA422" i="13"/>
  <c r="CM422" i="13"/>
  <c r="CU422" i="13"/>
  <c r="F423" i="13"/>
  <c r="N423" i="13" a="1"/>
  <c r="N423" i="13" s="1"/>
  <c r="S423" i="13" a="1"/>
  <c r="S423" i="13" s="1"/>
  <c r="AD423" i="13"/>
  <c r="AH423" i="13"/>
  <c r="CU423" i="13" s="1"/>
  <c r="AI423" i="13"/>
  <c r="AJ423" i="13"/>
  <c r="BL423" i="13" s="1"/>
  <c r="AN423" i="13" a="1"/>
  <c r="AN423" i="13" s="1"/>
  <c r="AP423" i="13" a="1"/>
  <c r="AP423" i="13" s="1"/>
  <c r="AQ423" i="13"/>
  <c r="AR423" i="13" a="1"/>
  <c r="AR423" i="13" s="1"/>
  <c r="AS423" i="13" a="1"/>
  <c r="AS423" i="13" s="1"/>
  <c r="BI423" i="13" a="1"/>
  <c r="BI423" i="13" s="1"/>
  <c r="BK423" i="13"/>
  <c r="BM423" i="13" a="1"/>
  <c r="BM423" i="13" s="1"/>
  <c r="BS423" i="13"/>
  <c r="CM423" i="13"/>
  <c r="CQ423" i="13"/>
  <c r="A424" i="13"/>
  <c r="F424" i="13"/>
  <c r="N424" i="13" a="1"/>
  <c r="N424" i="13" s="1"/>
  <c r="S424" i="13" a="1"/>
  <c r="S424" i="13" s="1"/>
  <c r="AD424" i="13"/>
  <c r="AH424" i="13"/>
  <c r="CH424" i="13" s="1"/>
  <c r="AI424" i="13"/>
  <c r="AJ424" i="13"/>
  <c r="AM424" i="13"/>
  <c r="AN424" i="13" a="1"/>
  <c r="AN424" i="13" s="1"/>
  <c r="AP424" i="13" a="1"/>
  <c r="AP424" i="13" s="1"/>
  <c r="AQ424" i="13"/>
  <c r="AR424" i="13" a="1"/>
  <c r="AR424" i="13" s="1"/>
  <c r="AS424" i="13" a="1"/>
  <c r="AS424" i="13" s="1"/>
  <c r="BI424" i="13" a="1"/>
  <c r="BI424" i="13" s="1"/>
  <c r="BL424" i="13"/>
  <c r="BM424" i="13" a="1"/>
  <c r="BM424" i="13" s="1"/>
  <c r="BS424" i="13"/>
  <c r="BW424" i="13"/>
  <c r="CA424" i="13"/>
  <c r="CM424" i="13"/>
  <c r="CQ424" i="13"/>
  <c r="CU424" i="13"/>
  <c r="F425" i="13"/>
  <c r="N425" i="13" a="1"/>
  <c r="N425" i="13" s="1"/>
  <c r="S425" i="13" a="1"/>
  <c r="S425" i="13" s="1"/>
  <c r="AD425" i="13"/>
  <c r="AH425" i="13"/>
  <c r="AI425" i="13"/>
  <c r="AJ425" i="13"/>
  <c r="BL425" i="13" s="1"/>
  <c r="AN425" i="13" a="1"/>
  <c r="AN425" i="13" s="1"/>
  <c r="AP425" i="13" a="1"/>
  <c r="AP425" i="13" s="1"/>
  <c r="AQ425" i="13"/>
  <c r="AR425" i="13" a="1"/>
  <c r="AR425" i="13" s="1"/>
  <c r="AS425" i="13" a="1"/>
  <c r="AS425" i="13" s="1"/>
  <c r="BI425" i="13" a="1"/>
  <c r="BI425" i="13" s="1"/>
  <c r="BK425" i="13"/>
  <c r="BM425" i="13" a="1"/>
  <c r="BM425" i="13" s="1"/>
  <c r="BS425" i="13"/>
  <c r="BW425" i="13"/>
  <c r="CM425" i="13"/>
  <c r="CQ425" i="13"/>
  <c r="CU425" i="13"/>
  <c r="A426" i="13"/>
  <c r="F426" i="13"/>
  <c r="N426" i="13" a="1"/>
  <c r="N426" i="13" s="1"/>
  <c r="S426" i="13" a="1"/>
  <c r="S426" i="13" s="1"/>
  <c r="AD426" i="13"/>
  <c r="AH426" i="13"/>
  <c r="BI426" i="13" s="1" a="1"/>
  <c r="BI426" i="13" s="1"/>
  <c r="AI426" i="13"/>
  <c r="AJ426" i="13"/>
  <c r="BK426" i="13" s="1"/>
  <c r="AM426" i="13"/>
  <c r="AN426" i="13" a="1"/>
  <c r="AN426" i="13"/>
  <c r="AP426" i="13" a="1"/>
  <c r="AP426" i="13" s="1"/>
  <c r="AQ426" i="13"/>
  <c r="AR426" i="13" a="1"/>
  <c r="AR426" i="13"/>
  <c r="AS426" i="13" a="1"/>
  <c r="AS426" i="13"/>
  <c r="BM426" i="13" a="1"/>
  <c r="BM426" i="13" s="1"/>
  <c r="BN426" i="13"/>
  <c r="BS426" i="13"/>
  <c r="BW426" i="13"/>
  <c r="CA426" i="13"/>
  <c r="CM426" i="13"/>
  <c r="CQ426" i="13"/>
  <c r="CU426" i="13"/>
  <c r="F427" i="13"/>
  <c r="N427" i="13" a="1"/>
  <c r="N427" i="13" s="1"/>
  <c r="S427" i="13" a="1"/>
  <c r="S427" i="13" s="1"/>
  <c r="AD427" i="13"/>
  <c r="AH427" i="13"/>
  <c r="AI427" i="13"/>
  <c r="AJ427" i="13"/>
  <c r="BK427" i="13" s="1"/>
  <c r="AN427" i="13" a="1"/>
  <c r="AN427" i="13" s="1"/>
  <c r="AP427" i="13" a="1"/>
  <c r="AP427" i="13" s="1"/>
  <c r="AQ427" i="13"/>
  <c r="AR427" i="13" a="1"/>
  <c r="AR427" i="13" s="1"/>
  <c r="AS427" i="13" a="1"/>
  <c r="AS427" i="13" s="1"/>
  <c r="BI427" i="13" a="1"/>
  <c r="BI427" i="13" s="1"/>
  <c r="BM427" i="13" a="1"/>
  <c r="BM427" i="13" s="1"/>
  <c r="BS427" i="13"/>
  <c r="CM427" i="13"/>
  <c r="CU427" i="13"/>
  <c r="F428" i="13"/>
  <c r="N428" i="13" a="1"/>
  <c r="N428" i="13" s="1"/>
  <c r="S428" i="13" a="1"/>
  <c r="S428" i="13" s="1"/>
  <c r="AD428" i="13"/>
  <c r="AH428" i="13"/>
  <c r="BN428" i="13" s="1"/>
  <c r="AI428" i="13"/>
  <c r="AJ428" i="13"/>
  <c r="BK428" i="13" s="1"/>
  <c r="AN428" i="13" a="1"/>
  <c r="AN428" i="13" s="1"/>
  <c r="AP428" i="13" a="1"/>
  <c r="AP428" i="13" s="1"/>
  <c r="AQ428" i="13"/>
  <c r="AR428" i="13" a="1"/>
  <c r="AR428" i="13" s="1"/>
  <c r="AS428" i="13" a="1"/>
  <c r="AS428" i="13" s="1"/>
  <c r="BM428" i="13" a="1"/>
  <c r="BM428" i="13" s="1"/>
  <c r="BS428" i="13"/>
  <c r="CA428" i="13"/>
  <c r="CU428" i="13"/>
  <c r="F429" i="13"/>
  <c r="N429" i="13" a="1"/>
  <c r="N429" i="13" s="1"/>
  <c r="S429" i="13" a="1"/>
  <c r="S429" i="13" s="1"/>
  <c r="AD429" i="13"/>
  <c r="AH429" i="13"/>
  <c r="CQ429" i="13" s="1"/>
  <c r="AI429" i="13"/>
  <c r="AJ429" i="13"/>
  <c r="AN429" i="13" a="1"/>
  <c r="AN429" i="13" s="1"/>
  <c r="AP429" i="13" a="1"/>
  <c r="AP429" i="13" s="1"/>
  <c r="AQ429" i="13"/>
  <c r="AR429" i="13" a="1"/>
  <c r="AR429" i="13" s="1"/>
  <c r="AS429" i="13" a="1"/>
  <c r="AS429" i="13" s="1"/>
  <c r="BM429" i="13" a="1"/>
  <c r="BM429" i="13" s="1"/>
  <c r="BW429" i="13"/>
  <c r="F430" i="13"/>
  <c r="N430" i="13" a="1"/>
  <c r="N430" i="13" s="1"/>
  <c r="S430" i="13" a="1"/>
  <c r="S430" i="13" s="1"/>
  <c r="AD430" i="13"/>
  <c r="AH430" i="13"/>
  <c r="A430" i="13" s="1"/>
  <c r="AI430" i="13"/>
  <c r="AJ430" i="13"/>
  <c r="AN430" i="13" a="1"/>
  <c r="AN430" i="13" s="1"/>
  <c r="AP430" i="13" a="1"/>
  <c r="AP430" i="13" s="1"/>
  <c r="AQ430" i="13"/>
  <c r="AR430" i="13" a="1"/>
  <c r="AR430" i="13"/>
  <c r="AS430" i="13" a="1"/>
  <c r="AS430" i="13"/>
  <c r="BM430" i="13" a="1"/>
  <c r="BM430" i="13"/>
  <c r="BN430" i="13"/>
  <c r="BS430" i="13"/>
  <c r="CA430" i="13"/>
  <c r="CM430" i="13"/>
  <c r="CU430" i="13"/>
  <c r="F431" i="13"/>
  <c r="N431" i="13" a="1"/>
  <c r="N431" i="13" s="1"/>
  <c r="S431" i="13" a="1"/>
  <c r="S431" i="13" s="1"/>
  <c r="AD431" i="13"/>
  <c r="AH431" i="13"/>
  <c r="AM431" i="13" s="1"/>
  <c r="AI431" i="13"/>
  <c r="AJ431" i="13"/>
  <c r="AN431" i="13" a="1"/>
  <c r="AN431" i="13" s="1"/>
  <c r="AP431" i="13" a="1"/>
  <c r="AP431" i="13"/>
  <c r="AQ431" i="13"/>
  <c r="AR431" i="13" a="1"/>
  <c r="AR431" i="13" s="1"/>
  <c r="AS431" i="13" a="1"/>
  <c r="AS431" i="13"/>
  <c r="BL431" i="13"/>
  <c r="BM431" i="13" a="1"/>
  <c r="BM431" i="13" s="1"/>
  <c r="F432" i="13"/>
  <c r="N432" i="13" a="1"/>
  <c r="N432" i="13" s="1"/>
  <c r="S432" i="13" a="1"/>
  <c r="S432" i="13" s="1"/>
  <c r="AD432" i="13"/>
  <c r="AH432" i="13"/>
  <c r="BN432" i="13" s="1"/>
  <c r="AI432" i="13"/>
  <c r="AJ432" i="13"/>
  <c r="BL432" i="13" s="1"/>
  <c r="AN432" i="13" a="1"/>
  <c r="AN432" i="13" s="1"/>
  <c r="AP432" i="13" a="1"/>
  <c r="AP432" i="13" s="1"/>
  <c r="AQ432" i="13"/>
  <c r="AR432" i="13" a="1"/>
  <c r="AR432" i="13"/>
  <c r="AS432" i="13" a="1"/>
  <c r="AS432" i="13"/>
  <c r="BM432" i="13" a="1"/>
  <c r="BM432" i="13" s="1"/>
  <c r="F433" i="13"/>
  <c r="N433" i="13" a="1"/>
  <c r="N433" i="13" s="1"/>
  <c r="S433" i="13" a="1"/>
  <c r="S433" i="13" s="1"/>
  <c r="AD433" i="13"/>
  <c r="AH433" i="13"/>
  <c r="AI433" i="13"/>
  <c r="AJ433" i="13"/>
  <c r="BL433" i="13" s="1"/>
  <c r="AN433" i="13" a="1"/>
  <c r="AN433" i="13" s="1"/>
  <c r="AP433" i="13" a="1"/>
  <c r="AP433" i="13" s="1"/>
  <c r="AQ433" i="13"/>
  <c r="AR433" i="13" a="1"/>
  <c r="AR433" i="13" s="1"/>
  <c r="AS433" i="13" a="1"/>
  <c r="AS433" i="13" s="1"/>
  <c r="BM433" i="13" a="1"/>
  <c r="BM433" i="13" s="1"/>
  <c r="F434" i="13"/>
  <c r="N434" i="13" a="1"/>
  <c r="N434" i="13" s="1"/>
  <c r="S434" i="13" a="1"/>
  <c r="S434" i="13" s="1"/>
  <c r="AD434" i="13"/>
  <c r="AH434" i="13"/>
  <c r="AI434" i="13"/>
  <c r="AJ434" i="13"/>
  <c r="BL434" i="13" s="1"/>
  <c r="AN434" i="13" a="1"/>
  <c r="AN434" i="13" s="1"/>
  <c r="AP434" i="13" a="1"/>
  <c r="AP434" i="13"/>
  <c r="AQ434" i="13"/>
  <c r="AR434" i="13" a="1"/>
  <c r="AR434" i="13" s="1"/>
  <c r="AS434" i="13" a="1"/>
  <c r="AS434" i="13" s="1"/>
  <c r="BK434" i="13"/>
  <c r="BM434" i="13" a="1"/>
  <c r="BM434" i="13"/>
  <c r="BN434" i="13"/>
  <c r="CM434" i="13"/>
  <c r="F435" i="13"/>
  <c r="N435" i="13" a="1"/>
  <c r="N435" i="13" s="1"/>
  <c r="S435" i="13" a="1"/>
  <c r="S435" i="13" s="1"/>
  <c r="AD435" i="13"/>
  <c r="AH435" i="13"/>
  <c r="AM435" i="13" s="1"/>
  <c r="AI435" i="13"/>
  <c r="AJ435" i="13"/>
  <c r="AN435" i="13" a="1"/>
  <c r="AN435" i="13" s="1"/>
  <c r="AP435" i="13" a="1"/>
  <c r="AP435" i="13"/>
  <c r="AQ435" i="13"/>
  <c r="AR435" i="13" a="1"/>
  <c r="AR435" i="13" s="1"/>
  <c r="AS435" i="13" a="1"/>
  <c r="AS435" i="13"/>
  <c r="BK435" i="13"/>
  <c r="BL435" i="13"/>
  <c r="BM435" i="13" a="1"/>
  <c r="BM435" i="13"/>
  <c r="CM435" i="13"/>
  <c r="F436" i="13"/>
  <c r="N436" i="13" a="1"/>
  <c r="N436" i="13" s="1"/>
  <c r="S436" i="13" a="1"/>
  <c r="S436" i="13" s="1"/>
  <c r="AD436" i="13"/>
  <c r="AH436" i="13"/>
  <c r="CM436" i="13" s="1"/>
  <c r="AI436" i="13"/>
  <c r="AJ436" i="13"/>
  <c r="BL436" i="13" s="1"/>
  <c r="AN436" i="13" a="1"/>
  <c r="AN436" i="13" s="1"/>
  <c r="AP436" i="13" a="1"/>
  <c r="AP436" i="13" s="1"/>
  <c r="AQ436" i="13"/>
  <c r="AR436" i="13" a="1"/>
  <c r="AR436" i="13"/>
  <c r="AS436" i="13" a="1"/>
  <c r="AS436" i="13"/>
  <c r="BM436" i="13" a="1"/>
  <c r="BM436" i="13" s="1"/>
  <c r="BN436" i="13"/>
  <c r="F437" i="13"/>
  <c r="N437" i="13" a="1"/>
  <c r="N437" i="13" s="1"/>
  <c r="S437" i="13" a="1"/>
  <c r="S437" i="13" s="1"/>
  <c r="AD437" i="13"/>
  <c r="AH437" i="13"/>
  <c r="AM437" i="13" s="1"/>
  <c r="AI437" i="13"/>
  <c r="AJ437" i="13"/>
  <c r="BL437" i="13" s="1"/>
  <c r="AN437" i="13" a="1"/>
  <c r="AN437" i="13" s="1"/>
  <c r="AP437" i="13" a="1"/>
  <c r="AP437" i="13" s="1"/>
  <c r="AQ437" i="13"/>
  <c r="AR437" i="13" a="1"/>
  <c r="AR437" i="13" s="1"/>
  <c r="AS437" i="13" a="1"/>
  <c r="AS437" i="13" s="1"/>
  <c r="BK437" i="13"/>
  <c r="BM437" i="13" a="1"/>
  <c r="BM437" i="13" s="1"/>
  <c r="CM437" i="13"/>
  <c r="F438" i="13"/>
  <c r="N438" i="13" a="1"/>
  <c r="N438" i="13" s="1"/>
  <c r="S438" i="13" a="1"/>
  <c r="S438" i="13" s="1"/>
  <c r="AD438" i="13"/>
  <c r="AH438" i="13"/>
  <c r="BN438" i="13" s="1"/>
  <c r="AI438" i="13"/>
  <c r="AJ438" i="13"/>
  <c r="BL438" i="13" s="1"/>
  <c r="AN438" i="13" a="1"/>
  <c r="AN438" i="13" s="1"/>
  <c r="AP438" i="13" a="1"/>
  <c r="AP438" i="13"/>
  <c r="AQ438" i="13"/>
  <c r="AR438" i="13" a="1"/>
  <c r="AR438" i="13" s="1"/>
  <c r="AS438" i="13" a="1"/>
  <c r="AS438" i="13" s="1"/>
  <c r="BK438" i="13"/>
  <c r="BM438" i="13" a="1"/>
  <c r="BM438" i="13"/>
  <c r="CM438" i="13"/>
  <c r="F439" i="13"/>
  <c r="N439" i="13" a="1"/>
  <c r="N439" i="13" s="1"/>
  <c r="S439" i="13" a="1"/>
  <c r="S439" i="13" s="1"/>
  <c r="AD439" i="13"/>
  <c r="AH439" i="13"/>
  <c r="CM439" i="13" s="1"/>
  <c r="AI439" i="13"/>
  <c r="AJ439" i="13"/>
  <c r="AN439" i="13" a="1"/>
  <c r="AN439" i="13" s="1"/>
  <c r="AP439" i="13" a="1"/>
  <c r="AP439" i="13"/>
  <c r="AQ439" i="13"/>
  <c r="AR439" i="13" a="1"/>
  <c r="AR439" i="13" s="1"/>
  <c r="AS439" i="13" a="1"/>
  <c r="AS439" i="13" s="1"/>
  <c r="BL439" i="13"/>
  <c r="BM439" i="13" a="1"/>
  <c r="BM439" i="13"/>
  <c r="F440" i="13"/>
  <c r="N440" i="13" a="1"/>
  <c r="N440" i="13" s="1"/>
  <c r="S440" i="13" a="1"/>
  <c r="S440" i="13" s="1"/>
  <c r="AD440" i="13"/>
  <c r="AH440" i="13"/>
  <c r="AI440" i="13"/>
  <c r="AJ440" i="13"/>
  <c r="BL440" i="13" s="1"/>
  <c r="AN440" i="13" a="1"/>
  <c r="AN440" i="13" s="1"/>
  <c r="AP440" i="13" a="1"/>
  <c r="AP440" i="13" s="1"/>
  <c r="AQ440" i="13"/>
  <c r="AR440" i="13" a="1"/>
  <c r="AR440" i="13"/>
  <c r="AS440" i="13" a="1"/>
  <c r="AS440" i="13"/>
  <c r="BM440" i="13" a="1"/>
  <c r="BM440" i="13" s="1"/>
  <c r="F441" i="13"/>
  <c r="N441" i="13" a="1"/>
  <c r="N441" i="13" s="1"/>
  <c r="S441" i="13" a="1"/>
  <c r="S441" i="13" s="1"/>
  <c r="AD441" i="13"/>
  <c r="AH441" i="13"/>
  <c r="CM441" i="13" s="1"/>
  <c r="AI441" i="13"/>
  <c r="AJ441" i="13"/>
  <c r="BL441" i="13" s="1"/>
  <c r="AN441" i="13" a="1"/>
  <c r="AN441" i="13" s="1"/>
  <c r="AP441" i="13" a="1"/>
  <c r="AP441" i="13" s="1"/>
  <c r="AQ441" i="13"/>
  <c r="AR441" i="13" a="1"/>
  <c r="AR441" i="13" s="1"/>
  <c r="AS441" i="13" a="1"/>
  <c r="AS441" i="13" s="1"/>
  <c r="BM441" i="13" a="1"/>
  <c r="BM441" i="13" s="1"/>
  <c r="F442" i="13"/>
  <c r="N442" i="13" a="1"/>
  <c r="N442" i="13" s="1"/>
  <c r="S442" i="13" a="1"/>
  <c r="S442" i="13" s="1"/>
  <c r="AD442" i="13"/>
  <c r="AH442" i="13"/>
  <c r="AI442" i="13"/>
  <c r="AJ442" i="13"/>
  <c r="BL442" i="13" s="1"/>
  <c r="AN442" i="13" a="1"/>
  <c r="AN442" i="13" s="1"/>
  <c r="AP442" i="13" a="1"/>
  <c r="AP442" i="13"/>
  <c r="AQ442" i="13"/>
  <c r="AR442" i="13" a="1"/>
  <c r="AR442" i="13" s="1"/>
  <c r="AS442" i="13" a="1"/>
  <c r="AS442" i="13" s="1"/>
  <c r="BK442" i="13"/>
  <c r="BM442" i="13" a="1"/>
  <c r="BM442" i="13"/>
  <c r="BN442" i="13"/>
  <c r="CM442" i="13"/>
  <c r="F443" i="13"/>
  <c r="N443" i="13" a="1"/>
  <c r="N443" i="13" s="1"/>
  <c r="S443" i="13" a="1"/>
  <c r="S443" i="13" s="1"/>
  <c r="AD443" i="13"/>
  <c r="AH443" i="13"/>
  <c r="CM443" i="13" s="1"/>
  <c r="AI443" i="13"/>
  <c r="AJ443" i="13"/>
  <c r="AN443" i="13" a="1"/>
  <c r="AN443" i="13" s="1"/>
  <c r="AP443" i="13" a="1"/>
  <c r="AP443" i="13"/>
  <c r="AQ443" i="13"/>
  <c r="AR443" i="13" a="1"/>
  <c r="AR443" i="13" s="1"/>
  <c r="AS443" i="13" a="1"/>
  <c r="AS443" i="13"/>
  <c r="BK443" i="13"/>
  <c r="BL443" i="13"/>
  <c r="BM443" i="13" a="1"/>
  <c r="BM443" i="13"/>
  <c r="F444" i="13"/>
  <c r="N444" i="13" a="1"/>
  <c r="N444" i="13" s="1"/>
  <c r="S444" i="13" a="1"/>
  <c r="S444" i="13" s="1"/>
  <c r="AD444" i="13"/>
  <c r="AH444" i="13"/>
  <c r="BN444" i="13" s="1"/>
  <c r="AI444" i="13"/>
  <c r="AJ444" i="13"/>
  <c r="BL444" i="13" s="1"/>
  <c r="AN444" i="13" a="1"/>
  <c r="AN444" i="13" s="1"/>
  <c r="AP444" i="13" a="1"/>
  <c r="AP444" i="13"/>
  <c r="AQ444" i="13"/>
  <c r="AR444" i="13" a="1"/>
  <c r="AR444" i="13" s="1"/>
  <c r="AS444" i="13" a="1"/>
  <c r="AS444" i="13" s="1"/>
  <c r="BK444" i="13"/>
  <c r="BM444" i="13" a="1"/>
  <c r="BM444" i="13"/>
  <c r="CM444" i="13"/>
  <c r="F445" i="13"/>
  <c r="N445" i="13" a="1"/>
  <c r="N445" i="13" s="1"/>
  <c r="S445" i="13" a="1"/>
  <c r="S445" i="13" s="1"/>
  <c r="AD445" i="13"/>
  <c r="AH445" i="13"/>
  <c r="BK445" i="13" s="1"/>
  <c r="AI445" i="13"/>
  <c r="AJ445" i="13"/>
  <c r="AN445" i="13" a="1"/>
  <c r="AN445" i="13" s="1"/>
  <c r="AP445" i="13" a="1"/>
  <c r="AP445" i="13"/>
  <c r="AQ445" i="13"/>
  <c r="AR445" i="13" a="1"/>
  <c r="AR445" i="13" s="1"/>
  <c r="AS445" i="13" a="1"/>
  <c r="AS445" i="13"/>
  <c r="BL445" i="13"/>
  <c r="BM445" i="13" a="1"/>
  <c r="BM445" i="13" s="1"/>
  <c r="F446" i="13"/>
  <c r="N446" i="13" a="1"/>
  <c r="N446" i="13" s="1"/>
  <c r="S446" i="13" a="1"/>
  <c r="S446" i="13" s="1"/>
  <c r="AD446" i="13"/>
  <c r="AH446" i="13"/>
  <c r="AI446" i="13"/>
  <c r="AJ446" i="13"/>
  <c r="BL446" i="13" s="1"/>
  <c r="AN446" i="13" a="1"/>
  <c r="AN446" i="13" s="1"/>
  <c r="AP446" i="13" a="1"/>
  <c r="AP446" i="13" s="1"/>
  <c r="AQ446" i="13"/>
  <c r="AR446" i="13" a="1"/>
  <c r="AR446" i="13"/>
  <c r="AS446" i="13" a="1"/>
  <c r="AS446" i="13"/>
  <c r="BM446" i="13" a="1"/>
  <c r="BM446" i="13"/>
  <c r="F447" i="13"/>
  <c r="N447" i="13" a="1"/>
  <c r="N447" i="13" s="1"/>
  <c r="S447" i="13" a="1"/>
  <c r="S447" i="13" s="1"/>
  <c r="AD447" i="13"/>
  <c r="AH447" i="13"/>
  <c r="BK447" i="13" s="1"/>
  <c r="AI447" i="13"/>
  <c r="AJ447" i="13"/>
  <c r="AN447" i="13" a="1"/>
  <c r="AN447" i="13" s="1"/>
  <c r="AP447" i="13" a="1"/>
  <c r="AP447" i="13"/>
  <c r="AQ447" i="13"/>
  <c r="AR447" i="13" a="1"/>
  <c r="AR447" i="13" s="1"/>
  <c r="AS447" i="13" a="1"/>
  <c r="AS447" i="13"/>
  <c r="BL447" i="13"/>
  <c r="BM447" i="13" a="1"/>
  <c r="BM447" i="13" s="1"/>
  <c r="F448" i="13"/>
  <c r="N448" i="13" a="1"/>
  <c r="N448" i="13" s="1"/>
  <c r="S448" i="13" a="1"/>
  <c r="S448" i="13" s="1"/>
  <c r="AD448" i="13"/>
  <c r="AH448" i="13"/>
  <c r="AI448" i="13"/>
  <c r="AJ448" i="13"/>
  <c r="AN448" i="13" a="1"/>
  <c r="AN448" i="13" s="1"/>
  <c r="AP448" i="13" a="1"/>
  <c r="AP448" i="13" s="1"/>
  <c r="AQ448" i="13"/>
  <c r="AR448" i="13" a="1"/>
  <c r="AR448" i="13"/>
  <c r="AS448" i="13" a="1"/>
  <c r="AS448" i="13"/>
  <c r="BM448" i="13" a="1"/>
  <c r="BM448" i="13" s="1"/>
  <c r="CM448" i="13"/>
  <c r="F449" i="13"/>
  <c r="N449" i="13" a="1"/>
  <c r="N449" i="13" s="1"/>
  <c r="S449" i="13" a="1"/>
  <c r="S449" i="13" s="1"/>
  <c r="AD449" i="13"/>
  <c r="AH449" i="13"/>
  <c r="BK449" i="13" s="1"/>
  <c r="AI449" i="13"/>
  <c r="AJ449" i="13"/>
  <c r="AN449" i="13" a="1"/>
  <c r="AN449" i="13" s="1"/>
  <c r="AP449" i="13" a="1"/>
  <c r="AP449" i="13"/>
  <c r="AQ449" i="13"/>
  <c r="AR449" i="13" a="1"/>
  <c r="AR449" i="13" s="1"/>
  <c r="AS449" i="13" a="1"/>
  <c r="AS449" i="13"/>
  <c r="BL449" i="13"/>
  <c r="BM449" i="13" a="1"/>
  <c r="BM449" i="13" s="1"/>
  <c r="CM449" i="13"/>
  <c r="F450" i="13"/>
  <c r="N450" i="13" a="1"/>
  <c r="N450" i="13" s="1"/>
  <c r="S450" i="13" a="1"/>
  <c r="S450" i="13" s="1"/>
  <c r="AD450" i="13"/>
  <c r="AH450" i="13"/>
  <c r="BN450" i="13" s="1"/>
  <c r="AI450" i="13"/>
  <c r="AJ450" i="13"/>
  <c r="BL450" i="13" s="1"/>
  <c r="AN450" i="13" a="1"/>
  <c r="AN450" i="13" s="1"/>
  <c r="AP450" i="13" a="1"/>
  <c r="AP450" i="13"/>
  <c r="AQ450" i="13"/>
  <c r="AR450" i="13" a="1"/>
  <c r="AR450" i="13" s="1"/>
  <c r="AS450" i="13" a="1"/>
  <c r="AS450" i="13" s="1"/>
  <c r="BK450" i="13"/>
  <c r="BM450" i="13" a="1"/>
  <c r="BM450" i="13"/>
  <c r="CM450" i="13"/>
  <c r="F451" i="13"/>
  <c r="N451" i="13" a="1"/>
  <c r="N451" i="13" s="1"/>
  <c r="S451" i="13" a="1"/>
  <c r="S451" i="13" s="1"/>
  <c r="AD451" i="13"/>
  <c r="AH451" i="13"/>
  <c r="BK451" i="13" s="1"/>
  <c r="AI451" i="13"/>
  <c r="AJ451" i="13"/>
  <c r="AN451" i="13" a="1"/>
  <c r="AN451" i="13" s="1"/>
  <c r="AP451" i="13" a="1"/>
  <c r="AP451" i="13"/>
  <c r="AQ451" i="13"/>
  <c r="AR451" i="13" a="1"/>
  <c r="AR451" i="13" s="1"/>
  <c r="AS451" i="13" a="1"/>
  <c r="AS451" i="13"/>
  <c r="BL451" i="13"/>
  <c r="BM451" i="13" a="1"/>
  <c r="BM451" i="13" s="1"/>
  <c r="CM451" i="13"/>
  <c r="F452" i="13"/>
  <c r="N452" i="13" a="1"/>
  <c r="N452" i="13" s="1"/>
  <c r="S452" i="13" a="1"/>
  <c r="S452" i="13" s="1"/>
  <c r="AD452" i="13"/>
  <c r="AH452" i="13"/>
  <c r="AI452" i="13"/>
  <c r="AJ452" i="13"/>
  <c r="BL452" i="13" s="1"/>
  <c r="AN452" i="13" a="1"/>
  <c r="AN452" i="13" s="1"/>
  <c r="AP452" i="13" a="1"/>
  <c r="AP452" i="13"/>
  <c r="AQ452" i="13"/>
  <c r="AR452" i="13" a="1"/>
  <c r="AR452" i="13" s="1"/>
  <c r="AS452" i="13" a="1"/>
  <c r="AS452" i="13" s="1"/>
  <c r="BM452" i="13" a="1"/>
  <c r="BM452" i="13" s="1"/>
  <c r="BN452" i="13"/>
  <c r="F453" i="13"/>
  <c r="N453" i="13" a="1"/>
  <c r="N453" i="13" s="1"/>
  <c r="S453" i="13" a="1"/>
  <c r="S453" i="13" s="1"/>
  <c r="AD453" i="13"/>
  <c r="AH453" i="13"/>
  <c r="BN453" i="13" s="1"/>
  <c r="AI453" i="13"/>
  <c r="AJ453" i="13"/>
  <c r="AN453" i="13" a="1"/>
  <c r="AN453" i="13" s="1"/>
  <c r="AP453" i="13" a="1"/>
  <c r="AP453" i="13"/>
  <c r="AQ453" i="13"/>
  <c r="AR453" i="13" a="1"/>
  <c r="AR453" i="13" s="1"/>
  <c r="AS453" i="13" a="1"/>
  <c r="AS453" i="13" s="1"/>
  <c r="BL453" i="13"/>
  <c r="BM453" i="13" a="1"/>
  <c r="BM453" i="13"/>
  <c r="F454" i="13"/>
  <c r="N454" i="13" a="1"/>
  <c r="N454" i="13" s="1"/>
  <c r="S454" i="13" a="1"/>
  <c r="S454" i="13" s="1"/>
  <c r="AD454" i="13"/>
  <c r="AH454" i="13"/>
  <c r="AI454" i="13"/>
  <c r="AJ454" i="13"/>
  <c r="BL454" i="13" s="1"/>
  <c r="AN454" i="13" a="1"/>
  <c r="AN454" i="13" s="1"/>
  <c r="AP454" i="13" a="1"/>
  <c r="AP454" i="13" s="1"/>
  <c r="AQ454" i="13"/>
  <c r="AR454" i="13" a="1"/>
  <c r="AR454" i="13"/>
  <c r="AS454" i="13" a="1"/>
  <c r="AS454" i="13"/>
  <c r="BM454" i="13" a="1"/>
  <c r="BM454" i="13"/>
  <c r="F455" i="13"/>
  <c r="N455" i="13" a="1"/>
  <c r="N455" i="13" s="1"/>
  <c r="S455" i="13" a="1"/>
  <c r="S455" i="13" s="1"/>
  <c r="AD455" i="13"/>
  <c r="AH455" i="13"/>
  <c r="BK455" i="13" s="1"/>
  <c r="AI455" i="13"/>
  <c r="AJ455" i="13"/>
  <c r="AN455" i="13" a="1"/>
  <c r="AN455" i="13" s="1"/>
  <c r="AP455" i="13" a="1"/>
  <c r="AP455" i="13" s="1"/>
  <c r="AQ455" i="13"/>
  <c r="AR455" i="13" a="1"/>
  <c r="AR455" i="13" s="1"/>
  <c r="AS455" i="13" a="1"/>
  <c r="AS455" i="13"/>
  <c r="BL455" i="13"/>
  <c r="BM455" i="13" a="1"/>
  <c r="BM455" i="13" s="1"/>
  <c r="F456" i="13"/>
  <c r="N456" i="13" a="1"/>
  <c r="N456" i="13" s="1"/>
  <c r="S456" i="13" a="1"/>
  <c r="S456" i="13" s="1"/>
  <c r="AD456" i="13"/>
  <c r="AH456" i="13"/>
  <c r="AI456" i="13"/>
  <c r="AJ456" i="13"/>
  <c r="BL456" i="13" s="1"/>
  <c r="AN456" i="13" a="1"/>
  <c r="AN456" i="13" s="1"/>
  <c r="AP456" i="13" a="1"/>
  <c r="AP456" i="13" s="1"/>
  <c r="AQ456" i="13"/>
  <c r="AR456" i="13" a="1"/>
  <c r="AR456" i="13"/>
  <c r="AS456" i="13" a="1"/>
  <c r="AS456" i="13"/>
  <c r="BM456" i="13" a="1"/>
  <c r="BM456" i="13" s="1"/>
  <c r="CM456" i="13"/>
  <c r="F457" i="13"/>
  <c r="N457" i="13" a="1"/>
  <c r="N457" i="13" s="1"/>
  <c r="S457" i="13" a="1"/>
  <c r="S457" i="13" s="1"/>
  <c r="AD457" i="13"/>
  <c r="AH457" i="13"/>
  <c r="BN457" i="13" s="1"/>
  <c r="AI457" i="13"/>
  <c r="AJ457" i="13"/>
  <c r="BL457" i="13" s="1"/>
  <c r="AN457" i="13" a="1"/>
  <c r="AN457" i="13" s="1"/>
  <c r="AP457" i="13" a="1"/>
  <c r="AP457" i="13"/>
  <c r="AQ457" i="13"/>
  <c r="AR457" i="13" a="1"/>
  <c r="AR457" i="13" s="1"/>
  <c r="AS457" i="13" a="1"/>
  <c r="AS457" i="13" s="1"/>
  <c r="BK457" i="13"/>
  <c r="BM457" i="13" a="1"/>
  <c r="BM457" i="13"/>
  <c r="CM457" i="13"/>
  <c r="F458" i="13"/>
  <c r="N458" i="13" a="1"/>
  <c r="N458" i="13" s="1"/>
  <c r="S458" i="13" a="1"/>
  <c r="S458" i="13" s="1"/>
  <c r="AD458" i="13"/>
  <c r="AH458" i="13"/>
  <c r="BN458" i="13" s="1"/>
  <c r="AI458" i="13"/>
  <c r="AJ458" i="13"/>
  <c r="BL458" i="13" s="1"/>
  <c r="AN458" i="13" a="1"/>
  <c r="AN458" i="13" s="1"/>
  <c r="AP458" i="13" a="1"/>
  <c r="AP458" i="13" s="1"/>
  <c r="AQ458" i="13"/>
  <c r="AR458" i="13" a="1"/>
  <c r="AR458" i="13" s="1"/>
  <c r="AS458" i="13" a="1"/>
  <c r="AS458" i="13" s="1"/>
  <c r="BK458" i="13"/>
  <c r="BM458" i="13" a="1"/>
  <c r="BM458" i="13" s="1"/>
  <c r="CM458" i="13"/>
  <c r="F459" i="13"/>
  <c r="N459" i="13" a="1"/>
  <c r="N459" i="13" s="1"/>
  <c r="S459" i="13" a="1"/>
  <c r="S459" i="13" s="1"/>
  <c r="AD459" i="13"/>
  <c r="AH459" i="13"/>
  <c r="CU459" i="13" s="1"/>
  <c r="AI459" i="13"/>
  <c r="AJ459" i="13"/>
  <c r="BL459" i="13" s="1"/>
  <c r="AN459" i="13" a="1"/>
  <c r="AN459" i="13" s="1"/>
  <c r="AP459" i="13" a="1"/>
  <c r="AP459" i="13"/>
  <c r="AQ459" i="13"/>
  <c r="AR459" i="13" a="1"/>
  <c r="AR459" i="13" s="1"/>
  <c r="AS459" i="13" a="1"/>
  <c r="AS459" i="13" s="1"/>
  <c r="BM459" i="13" a="1"/>
  <c r="BM459" i="13" s="1"/>
  <c r="F460" i="13"/>
  <c r="N460" i="13" a="1"/>
  <c r="N460" i="13" s="1"/>
  <c r="S460" i="13" a="1"/>
  <c r="S460" i="13" s="1"/>
  <c r="AD460" i="13"/>
  <c r="AH460" i="13"/>
  <c r="A460" i="13" s="1"/>
  <c r="AI460" i="13"/>
  <c r="AJ460" i="13"/>
  <c r="BL460" i="13" s="1"/>
  <c r="AN460" i="13" a="1"/>
  <c r="AN460" i="13" s="1"/>
  <c r="AP460" i="13" a="1"/>
  <c r="AP460" i="13" s="1"/>
  <c r="AQ460" i="13"/>
  <c r="AR460" i="13" a="1"/>
  <c r="AR460" i="13" s="1"/>
  <c r="AS460" i="13" a="1"/>
  <c r="AS460" i="13" s="1"/>
  <c r="BM460" i="13" a="1"/>
  <c r="BM460" i="13" s="1"/>
  <c r="BN460" i="13"/>
  <c r="F461" i="13"/>
  <c r="N461" i="13" a="1"/>
  <c r="N461" i="13" s="1"/>
  <c r="S461" i="13" a="1"/>
  <c r="S461" i="13" s="1"/>
  <c r="AD461" i="13"/>
  <c r="AH461" i="13"/>
  <c r="AI461" i="13"/>
  <c r="AJ461" i="13"/>
  <c r="BK461" i="13" s="1"/>
  <c r="AM461" i="13"/>
  <c r="AN461" i="13" a="1"/>
  <c r="AN461" i="13" s="1"/>
  <c r="AP461" i="13" a="1"/>
  <c r="AP461" i="13" s="1"/>
  <c r="AQ461" i="13"/>
  <c r="AR461" i="13" a="1"/>
  <c r="AR461" i="13"/>
  <c r="AS461" i="13" a="1"/>
  <c r="AS461" i="13" s="1"/>
  <c r="BM461" i="13" a="1"/>
  <c r="BM461" i="13" s="1"/>
  <c r="BN461" i="13"/>
  <c r="BS461" i="13"/>
  <c r="CA461" i="13"/>
  <c r="CM461" i="13"/>
  <c r="F462" i="13"/>
  <c r="N462" i="13" a="1"/>
  <c r="N462" i="13" s="1"/>
  <c r="S462" i="13" a="1"/>
  <c r="S462" i="13" s="1"/>
  <c r="AD462" i="13"/>
  <c r="AH462" i="13"/>
  <c r="BI462" i="13" s="1" a="1"/>
  <c r="BI462" i="13" s="1"/>
  <c r="AI462" i="13"/>
  <c r="AJ462" i="13"/>
  <c r="BL462" i="13" s="1"/>
  <c r="AN462" i="13" a="1"/>
  <c r="AN462" i="13" s="1"/>
  <c r="AP462" i="13" a="1"/>
  <c r="AP462" i="13" s="1"/>
  <c r="AQ462" i="13"/>
  <c r="AR462" i="13" a="1"/>
  <c r="AR462" i="13"/>
  <c r="AS462" i="13" a="1"/>
  <c r="AS462" i="13" s="1"/>
  <c r="BM462" i="13" a="1"/>
  <c r="BM462" i="13" s="1"/>
  <c r="BN462" i="13"/>
  <c r="BW462" i="13"/>
  <c r="CQ462" i="13"/>
  <c r="F463" i="13"/>
  <c r="N463" i="13" a="1"/>
  <c r="N463" i="13" s="1"/>
  <c r="S463" i="13" a="1"/>
  <c r="S463" i="13" s="1"/>
  <c r="AD463" i="13"/>
  <c r="AH463" i="13"/>
  <c r="BS463" i="13" s="1"/>
  <c r="AI463" i="13"/>
  <c r="AJ463" i="13"/>
  <c r="BL463" i="13" s="1"/>
  <c r="AN463" i="13" a="1"/>
  <c r="AN463" i="13" s="1"/>
  <c r="AP463" i="13" a="1"/>
  <c r="AP463" i="13" s="1"/>
  <c r="AQ463" i="13"/>
  <c r="AR463" i="13" a="1"/>
  <c r="AR463" i="13" s="1"/>
  <c r="AS463" i="13" a="1"/>
  <c r="AS463" i="13"/>
  <c r="BM463" i="13" a="1"/>
  <c r="BM463" i="13"/>
  <c r="CA463" i="13"/>
  <c r="F464" i="13"/>
  <c r="N464" i="13" a="1"/>
  <c r="N464" i="13" s="1"/>
  <c r="S464" i="13" a="1"/>
  <c r="S464" i="13" s="1"/>
  <c r="AD464" i="13"/>
  <c r="AH464" i="13"/>
  <c r="AI464" i="13"/>
  <c r="AJ464" i="13"/>
  <c r="BL464" i="13" s="1"/>
  <c r="AN464" i="13" a="1"/>
  <c r="AN464" i="13"/>
  <c r="AP464" i="13" a="1"/>
  <c r="AP464" i="13" s="1"/>
  <c r="AQ464" i="13"/>
  <c r="AR464" i="13" a="1"/>
  <c r="AR464" i="13"/>
  <c r="AS464" i="13" a="1"/>
  <c r="AS464" i="13"/>
  <c r="BM464" i="13" a="1"/>
  <c r="BM464" i="13" s="1"/>
  <c r="F465" i="13"/>
  <c r="N465" i="13" a="1"/>
  <c r="N465" i="13" s="1"/>
  <c r="S465" i="13" a="1"/>
  <c r="S465" i="13" s="1"/>
  <c r="AD465" i="13"/>
  <c r="AH465" i="13"/>
  <c r="BS465" i="13" s="1"/>
  <c r="AI465" i="13"/>
  <c r="AJ465" i="13"/>
  <c r="AN465" i="13" a="1"/>
  <c r="AN465" i="13" s="1"/>
  <c r="AP465" i="13" a="1"/>
  <c r="AP465" i="13" s="1"/>
  <c r="AQ465" i="13"/>
  <c r="AR465" i="13" a="1"/>
  <c r="AR465" i="13" s="1"/>
  <c r="AS465" i="13" a="1"/>
  <c r="AS465" i="13" s="1"/>
  <c r="BM465" i="13" a="1"/>
  <c r="BM465" i="13" s="1"/>
  <c r="BN465" i="13"/>
  <c r="CU465" i="13"/>
  <c r="F466" i="13"/>
  <c r="N466" i="13" a="1"/>
  <c r="N466" i="13" s="1"/>
  <c r="S466" i="13" a="1"/>
  <c r="S466" i="13" s="1"/>
  <c r="AD466" i="13"/>
  <c r="AH466" i="13"/>
  <c r="CM466" i="13" s="1"/>
  <c r="AI466" i="13"/>
  <c r="AJ466" i="13"/>
  <c r="BL466" i="13" s="1"/>
  <c r="AN466" i="13" a="1"/>
  <c r="AN466" i="13" s="1"/>
  <c r="AP466" i="13" a="1"/>
  <c r="AP466" i="13" s="1"/>
  <c r="AQ466" i="13"/>
  <c r="AR466" i="13" a="1"/>
  <c r="AR466" i="13" s="1"/>
  <c r="AS466" i="13" a="1"/>
  <c r="AS466" i="13"/>
  <c r="BI466" i="13" a="1"/>
  <c r="BI466" i="13" s="1"/>
  <c r="BK466" i="13"/>
  <c r="BM466" i="13" a="1"/>
  <c r="BM466" i="13" s="1"/>
  <c r="BN466" i="13"/>
  <c r="BW466" i="13"/>
  <c r="F467" i="13"/>
  <c r="N467" i="13" a="1"/>
  <c r="N467" i="13" s="1"/>
  <c r="S467" i="13" a="1"/>
  <c r="S467" i="13" s="1"/>
  <c r="AD467" i="13"/>
  <c r="AH467" i="13"/>
  <c r="AM467" i="13" s="1"/>
  <c r="AI467" i="13"/>
  <c r="AJ467" i="13"/>
  <c r="AN467" i="13" a="1"/>
  <c r="AN467" i="13" s="1"/>
  <c r="AP467" i="13" a="1"/>
  <c r="AP467" i="13" s="1"/>
  <c r="AQ467" i="13"/>
  <c r="AR467" i="13" a="1"/>
  <c r="AR467" i="13" s="1"/>
  <c r="AS467" i="13" a="1"/>
  <c r="AS467" i="13" s="1"/>
  <c r="BL467" i="13"/>
  <c r="BM467" i="13" a="1"/>
  <c r="BM467" i="13" s="1"/>
  <c r="BS467" i="13"/>
  <c r="F468" i="13"/>
  <c r="N468" i="13" a="1"/>
  <c r="N468" i="13" s="1"/>
  <c r="S468" i="13" a="1"/>
  <c r="S468" i="13" s="1"/>
  <c r="AD468" i="13"/>
  <c r="AH468" i="13"/>
  <c r="BN468" i="13" s="1"/>
  <c r="AI468" i="13"/>
  <c r="AJ468" i="13"/>
  <c r="BL468" i="13" s="1"/>
  <c r="AN468" i="13" a="1"/>
  <c r="AN468" i="13" s="1"/>
  <c r="AP468" i="13" a="1"/>
  <c r="AP468" i="13" s="1"/>
  <c r="AQ468" i="13"/>
  <c r="AR468" i="13" a="1"/>
  <c r="AR468" i="13"/>
  <c r="AS468" i="13" a="1"/>
  <c r="AS468" i="13"/>
  <c r="BM468" i="13" a="1"/>
  <c r="BM468" i="13" s="1"/>
  <c r="A469" i="13"/>
  <c r="F469" i="13"/>
  <c r="N469" i="13" a="1"/>
  <c r="N469" i="13" s="1"/>
  <c r="S469" i="13" a="1"/>
  <c r="S469" i="13" s="1"/>
  <c r="AD469" i="13"/>
  <c r="AH469" i="13"/>
  <c r="AI469" i="13"/>
  <c r="AJ469" i="13"/>
  <c r="BL469" i="13" s="1"/>
  <c r="AM469" i="13"/>
  <c r="AN469" i="13" a="1"/>
  <c r="AN469" i="13" s="1"/>
  <c r="AP469" i="13" a="1"/>
  <c r="AP469" i="13" s="1"/>
  <c r="AQ469" i="13"/>
  <c r="AR469" i="13" a="1"/>
  <c r="AR469" i="13"/>
  <c r="AS469" i="13" a="1"/>
  <c r="AS469" i="13"/>
  <c r="BM469" i="13" a="1"/>
  <c r="BM469" i="13" s="1"/>
  <c r="BN469" i="13"/>
  <c r="BS469" i="13"/>
  <c r="BW469" i="13"/>
  <c r="CA469" i="13"/>
  <c r="CH469" i="13"/>
  <c r="CM469" i="13"/>
  <c r="CU469" i="13"/>
  <c r="F470" i="13"/>
  <c r="N470" i="13" a="1"/>
  <c r="N470" i="13" s="1"/>
  <c r="S470" i="13" a="1"/>
  <c r="S470" i="13" s="1"/>
  <c r="AD470" i="13"/>
  <c r="AH470" i="13"/>
  <c r="BS470" i="13" s="1"/>
  <c r="AI470" i="13"/>
  <c r="AJ470" i="13"/>
  <c r="BL470" i="13" s="1"/>
  <c r="AN470" i="13" a="1"/>
  <c r="AN470" i="13" s="1"/>
  <c r="AP470" i="13" a="1"/>
  <c r="AP470" i="13"/>
  <c r="AQ470" i="13"/>
  <c r="AR470" i="13" a="1"/>
  <c r="AR470" i="13" s="1"/>
  <c r="AS470" i="13" a="1"/>
  <c r="AS470" i="13" s="1"/>
  <c r="BM470" i="13" a="1"/>
  <c r="BM470" i="13" s="1"/>
  <c r="A471" i="13"/>
  <c r="F471" i="13"/>
  <c r="N471" i="13" a="1"/>
  <c r="N471" i="13" s="1"/>
  <c r="S471" i="13" a="1"/>
  <c r="S471" i="13" s="1"/>
  <c r="AD471" i="13"/>
  <c r="AH471" i="13"/>
  <c r="BN471" i="13" s="1"/>
  <c r="AI471" i="13"/>
  <c r="AJ471" i="13"/>
  <c r="AM471" i="13"/>
  <c r="AN471" i="13" a="1"/>
  <c r="AN471" i="13" s="1"/>
  <c r="AP471" i="13" a="1"/>
  <c r="AP471" i="13" s="1"/>
  <c r="AQ471" i="13"/>
  <c r="AR471" i="13" a="1"/>
  <c r="AR471" i="13" s="1"/>
  <c r="AS471" i="13" a="1"/>
  <c r="AS471" i="13" s="1"/>
  <c r="BK471" i="13"/>
  <c r="BL471" i="13"/>
  <c r="BM471" i="13" a="1"/>
  <c r="BM471" i="13" s="1"/>
  <c r="BS471" i="13"/>
  <c r="BW471" i="13"/>
  <c r="CA471" i="13"/>
  <c r="CM471" i="13"/>
  <c r="CU471" i="13"/>
  <c r="F472" i="13"/>
  <c r="N472" i="13" a="1"/>
  <c r="N472" i="13" s="1"/>
  <c r="S472" i="13" a="1"/>
  <c r="S472" i="13" s="1"/>
  <c r="AD472" i="13"/>
  <c r="AH472" i="13"/>
  <c r="BS472" i="13" s="1"/>
  <c r="AI472" i="13"/>
  <c r="AJ472" i="13"/>
  <c r="AM472" i="13"/>
  <c r="AN472" i="13" a="1"/>
  <c r="AN472" i="13" s="1"/>
  <c r="AP472" i="13" a="1"/>
  <c r="AP472" i="13"/>
  <c r="AQ472" i="13"/>
  <c r="AR472" i="13" a="1"/>
  <c r="AR472" i="13" s="1"/>
  <c r="AS472" i="13" a="1"/>
  <c r="AS472" i="13" s="1"/>
  <c r="BM472" i="13" a="1"/>
  <c r="BM472" i="13" s="1"/>
  <c r="BN472" i="13"/>
  <c r="BW472" i="13"/>
  <c r="CA472" i="13"/>
  <c r="CQ472" i="13"/>
  <c r="CU472" i="13"/>
  <c r="F473" i="13"/>
  <c r="N473" i="13" a="1"/>
  <c r="N473" i="13" s="1"/>
  <c r="S473" i="13" a="1"/>
  <c r="S473" i="13" s="1"/>
  <c r="AD473" i="13"/>
  <c r="AH473" i="13"/>
  <c r="BN473" i="13" s="1"/>
  <c r="AI473" i="13"/>
  <c r="AJ473" i="13"/>
  <c r="BL473" i="13" s="1"/>
  <c r="AN473" i="13" a="1"/>
  <c r="AN473" i="13" s="1"/>
  <c r="AP473" i="13" a="1"/>
  <c r="AP473" i="13" s="1"/>
  <c r="AQ473" i="13"/>
  <c r="AR473" i="13" a="1"/>
  <c r="AR473" i="13" s="1"/>
  <c r="AS473" i="13" a="1"/>
  <c r="AS473" i="13"/>
  <c r="BM473" i="13" a="1"/>
  <c r="BM473" i="13" s="1"/>
  <c r="F474" i="13"/>
  <c r="N474" i="13" a="1"/>
  <c r="N474" i="13" s="1"/>
  <c r="S474" i="13" a="1"/>
  <c r="S474" i="13" s="1"/>
  <c r="AD474" i="13"/>
  <c r="AH474" i="13"/>
  <c r="BS474" i="13" s="1"/>
  <c r="AI474" i="13"/>
  <c r="AJ474" i="13"/>
  <c r="BL474" i="13" s="1"/>
  <c r="AM474" i="13"/>
  <c r="AN474" i="13" a="1"/>
  <c r="AN474" i="13"/>
  <c r="AP474" i="13" a="1"/>
  <c r="AP474" i="13" s="1"/>
  <c r="AQ474" i="13"/>
  <c r="AR474" i="13" a="1"/>
  <c r="AR474" i="13"/>
  <c r="AS474" i="13" a="1"/>
  <c r="AS474" i="13"/>
  <c r="BI474" i="13" a="1"/>
  <c r="BI474" i="13" s="1"/>
  <c r="BM474" i="13" a="1"/>
  <c r="BM474" i="13" s="1"/>
  <c r="BN474" i="13"/>
  <c r="BW474" i="13"/>
  <c r="CA474" i="13"/>
  <c r="CQ474" i="13"/>
  <c r="CU474" i="13"/>
  <c r="F475" i="13"/>
  <c r="N475" i="13" a="1"/>
  <c r="N475" i="13" s="1"/>
  <c r="S475" i="13" a="1"/>
  <c r="S475" i="13" s="1"/>
  <c r="AD475" i="13"/>
  <c r="AH475" i="13"/>
  <c r="BN475" i="13" s="1"/>
  <c r="AI475" i="13"/>
  <c r="AJ475" i="13"/>
  <c r="BL475" i="13" s="1"/>
  <c r="AN475" i="13" a="1"/>
  <c r="AN475" i="13" s="1"/>
  <c r="AP475" i="13" a="1"/>
  <c r="AP475" i="13" s="1"/>
  <c r="AQ475" i="13"/>
  <c r="AR475" i="13" a="1"/>
  <c r="AR475" i="13"/>
  <c r="AS475" i="13" a="1"/>
  <c r="AS475" i="13" s="1"/>
  <c r="BK475" i="13"/>
  <c r="BM475" i="13" a="1"/>
  <c r="BM475" i="13" s="1"/>
  <c r="BS475" i="13"/>
  <c r="CH475" i="13"/>
  <c r="A476" i="13"/>
  <c r="F476" i="13"/>
  <c r="N476" i="13" a="1"/>
  <c r="N476" i="13" s="1"/>
  <c r="S476" i="13" a="1"/>
  <c r="S476" i="13" s="1"/>
  <c r="AD476" i="13"/>
  <c r="AH476" i="13"/>
  <c r="AI476" i="13"/>
  <c r="AJ476" i="13"/>
  <c r="BK476" i="13" s="1"/>
  <c r="AM476" i="13"/>
  <c r="AN476" i="13" a="1"/>
  <c r="AN476" i="13"/>
  <c r="AP476" i="13" a="1"/>
  <c r="AP476" i="13" s="1"/>
  <c r="AQ476" i="13"/>
  <c r="AR476" i="13" a="1"/>
  <c r="AR476" i="13"/>
  <c r="AS476" i="13" a="1"/>
  <c r="AS476" i="13" s="1"/>
  <c r="BI476" i="13" a="1"/>
  <c r="BI476" i="13" s="1"/>
  <c r="BM476" i="13" a="1"/>
  <c r="BM476" i="13" s="1"/>
  <c r="BN476" i="13"/>
  <c r="BS476" i="13"/>
  <c r="BW476" i="13"/>
  <c r="CA476" i="13"/>
  <c r="CH476" i="13"/>
  <c r="CM476" i="13"/>
  <c r="CQ476" i="13"/>
  <c r="CU476" i="13"/>
  <c r="A477" i="13"/>
  <c r="F477" i="13"/>
  <c r="N477" i="13" a="1"/>
  <c r="N477" i="13" s="1"/>
  <c r="S477" i="13" a="1"/>
  <c r="S477" i="13" s="1"/>
  <c r="AD477" i="13"/>
  <c r="AH477" i="13"/>
  <c r="AM477" i="13" s="1"/>
  <c r="AI477" i="13"/>
  <c r="AJ477" i="13"/>
  <c r="BL477" i="13" s="1"/>
  <c r="AN477" i="13" a="1"/>
  <c r="AN477" i="13" s="1"/>
  <c r="AP477" i="13" a="1"/>
  <c r="AP477" i="13" s="1"/>
  <c r="AQ477" i="13"/>
  <c r="AR477" i="13" a="1"/>
  <c r="AR477" i="13"/>
  <c r="AS477" i="13" a="1"/>
  <c r="AS477" i="13" s="1"/>
  <c r="BM477" i="13" a="1"/>
  <c r="BM477" i="13" s="1"/>
  <c r="BS477" i="13"/>
  <c r="BW477" i="13"/>
  <c r="CM477" i="13"/>
  <c r="CQ477" i="13"/>
  <c r="CU477" i="13"/>
  <c r="A478" i="13"/>
  <c r="F478" i="13"/>
  <c r="N478" i="13" a="1"/>
  <c r="N478" i="13" s="1"/>
  <c r="S478" i="13" a="1"/>
  <c r="S478" i="13" s="1"/>
  <c r="AD478" i="13"/>
  <c r="AH478" i="13"/>
  <c r="CU478" i="13" s="1"/>
  <c r="AI478" i="13"/>
  <c r="AJ478" i="13"/>
  <c r="AM478" i="13"/>
  <c r="AN478" i="13" a="1"/>
  <c r="AN478" i="13"/>
  <c r="AP478" i="13" a="1"/>
  <c r="AP478" i="13" s="1"/>
  <c r="AQ478" i="13"/>
  <c r="AR478" i="13" a="1"/>
  <c r="AR478" i="13" s="1"/>
  <c r="AS478" i="13" a="1"/>
  <c r="AS478" i="13" s="1"/>
  <c r="BI478" i="13" a="1"/>
  <c r="BI478" i="13" s="1"/>
  <c r="BM478" i="13" a="1"/>
  <c r="BM478" i="13" s="1"/>
  <c r="BN478" i="13"/>
  <c r="BS478" i="13"/>
  <c r="BW478" i="13"/>
  <c r="CH478" i="13"/>
  <c r="CM478" i="13"/>
  <c r="CQ478" i="13"/>
  <c r="A479" i="13"/>
  <c r="F479" i="13"/>
  <c r="N479" i="13" a="1"/>
  <c r="N479" i="13" s="1"/>
  <c r="S479" i="13" a="1"/>
  <c r="S479" i="13" s="1"/>
  <c r="AD479" i="13"/>
  <c r="AH479" i="13"/>
  <c r="AM479" i="13" s="1"/>
  <c r="AI479" i="13"/>
  <c r="AJ479" i="13"/>
  <c r="BL479" i="13" s="1"/>
  <c r="AN479" i="13" a="1"/>
  <c r="AN479" i="13" s="1"/>
  <c r="AP479" i="13" a="1"/>
  <c r="AP479" i="13" s="1"/>
  <c r="AQ479" i="13"/>
  <c r="AR479" i="13" a="1"/>
  <c r="AR479" i="13"/>
  <c r="AS479" i="13" a="1"/>
  <c r="AS479" i="13" s="1"/>
  <c r="BM479" i="13" a="1"/>
  <c r="BM479" i="13" s="1"/>
  <c r="CQ479" i="13"/>
  <c r="CU479" i="13"/>
  <c r="A480" i="13"/>
  <c r="F480" i="13"/>
  <c r="N480" i="13" a="1"/>
  <c r="N480" i="13" s="1"/>
  <c r="S480" i="13" a="1"/>
  <c r="S480" i="13" s="1"/>
  <c r="AD480" i="13"/>
  <c r="AH480" i="13"/>
  <c r="AI480" i="13"/>
  <c r="AJ480" i="13"/>
  <c r="BK480" i="13" s="1"/>
  <c r="AM480" i="13"/>
  <c r="AN480" i="13" a="1"/>
  <c r="AN480" i="13"/>
  <c r="AP480" i="13" a="1"/>
  <c r="AP480" i="13" s="1"/>
  <c r="AQ480" i="13"/>
  <c r="AR480" i="13" a="1"/>
  <c r="AR480" i="13"/>
  <c r="AS480" i="13" a="1"/>
  <c r="AS480" i="13" s="1"/>
  <c r="BI480" i="13" a="1"/>
  <c r="BI480" i="13" s="1"/>
  <c r="BM480" i="13" a="1"/>
  <c r="BM480" i="13" s="1"/>
  <c r="BN480" i="13"/>
  <c r="BS480" i="13"/>
  <c r="BW480" i="13"/>
  <c r="CA480" i="13"/>
  <c r="CH480" i="13"/>
  <c r="CM480" i="13"/>
  <c r="CQ480" i="13"/>
  <c r="CU480" i="13"/>
  <c r="A481" i="13"/>
  <c r="F481" i="13"/>
  <c r="N481" i="13" a="1"/>
  <c r="N481" i="13" s="1"/>
  <c r="S481" i="13" a="1"/>
  <c r="S481" i="13" s="1"/>
  <c r="AD481" i="13"/>
  <c r="AH481" i="13"/>
  <c r="AM481" i="13" s="1"/>
  <c r="AI481" i="13"/>
  <c r="AJ481" i="13"/>
  <c r="BL481" i="13" s="1"/>
  <c r="AN481" i="13" a="1"/>
  <c r="AN481" i="13" s="1"/>
  <c r="AP481" i="13" a="1"/>
  <c r="AP481" i="13" s="1"/>
  <c r="AQ481" i="13"/>
  <c r="AR481" i="13" a="1"/>
  <c r="AR481" i="13"/>
  <c r="AS481" i="13" a="1"/>
  <c r="AS481" i="13" s="1"/>
  <c r="BM481" i="13" a="1"/>
  <c r="BM481" i="13" s="1"/>
  <c r="BW481" i="13"/>
  <c r="CM481" i="13"/>
  <c r="CQ481" i="13"/>
  <c r="CU481" i="13"/>
  <c r="A482" i="13"/>
  <c r="F482" i="13"/>
  <c r="N482" i="13" a="1"/>
  <c r="N482" i="13" s="1"/>
  <c r="S482" i="13" a="1"/>
  <c r="S482" i="13" s="1"/>
  <c r="AD482" i="13"/>
  <c r="AH482" i="13"/>
  <c r="CA482" i="13" s="1"/>
  <c r="AI482" i="13"/>
  <c r="AJ482" i="13"/>
  <c r="AM482" i="13"/>
  <c r="AN482" i="13" a="1"/>
  <c r="AN482" i="13" s="1"/>
  <c r="AP482" i="13" a="1"/>
  <c r="AP482" i="13" s="1"/>
  <c r="AQ482" i="13"/>
  <c r="AR482" i="13" a="1"/>
  <c r="AR482" i="13"/>
  <c r="AS482" i="13" a="1"/>
  <c r="AS482" i="13" s="1"/>
  <c r="BI482" i="13" a="1"/>
  <c r="BI482" i="13" s="1"/>
  <c r="BM482" i="13" a="1"/>
  <c r="BM482" i="13" s="1"/>
  <c r="BN482" i="13"/>
  <c r="BS482" i="13"/>
  <c r="BW482" i="13"/>
  <c r="CH482" i="13"/>
  <c r="A483" i="13"/>
  <c r="F483" i="13"/>
  <c r="N483" i="13" a="1"/>
  <c r="N483" i="13" s="1"/>
  <c r="S483" i="13" a="1"/>
  <c r="S483" i="13" s="1"/>
  <c r="AD483" i="13"/>
  <c r="AH483" i="13"/>
  <c r="AM483" i="13" s="1"/>
  <c r="AI483" i="13"/>
  <c r="AJ483" i="13"/>
  <c r="BL483" i="13" s="1"/>
  <c r="AN483" i="13" a="1"/>
  <c r="AN483" i="13" s="1"/>
  <c r="AP483" i="13" a="1"/>
  <c r="AP483" i="13" s="1"/>
  <c r="AQ483" i="13"/>
  <c r="AR483" i="13" a="1"/>
  <c r="AR483" i="13" s="1"/>
  <c r="AS483" i="13" a="1"/>
  <c r="AS483" i="13" s="1"/>
  <c r="BM483" i="13" a="1"/>
  <c r="BM483" i="13" s="1"/>
  <c r="BS483" i="13"/>
  <c r="BW483" i="13"/>
  <c r="CQ483" i="13"/>
  <c r="CU483" i="13"/>
  <c r="A484" i="13"/>
  <c r="F484" i="13"/>
  <c r="N484" i="13" a="1"/>
  <c r="N484" i="13" s="1"/>
  <c r="S484" i="13" a="1"/>
  <c r="S484" i="13" s="1"/>
  <c r="AD484" i="13"/>
  <c r="AH484" i="13"/>
  <c r="AI484" i="13"/>
  <c r="AJ484" i="13"/>
  <c r="BK484" i="13" s="1"/>
  <c r="AM484" i="13"/>
  <c r="AN484" i="13" a="1"/>
  <c r="AN484" i="13"/>
  <c r="AP484" i="13" a="1"/>
  <c r="AP484" i="13" s="1"/>
  <c r="AQ484" i="13"/>
  <c r="AR484" i="13" a="1"/>
  <c r="AR484" i="13"/>
  <c r="AS484" i="13" a="1"/>
  <c r="AS484" i="13" s="1"/>
  <c r="BI484" i="13" a="1"/>
  <c r="BI484" i="13" s="1"/>
  <c r="BM484" i="13" a="1"/>
  <c r="BM484" i="13" s="1"/>
  <c r="BN484" i="13"/>
  <c r="BS484" i="13"/>
  <c r="BW484" i="13"/>
  <c r="CA484" i="13"/>
  <c r="CH484" i="13"/>
  <c r="CM484" i="13"/>
  <c r="CQ484" i="13"/>
  <c r="CU484" i="13"/>
  <c r="A485" i="13"/>
  <c r="F485" i="13"/>
  <c r="N485" i="13" a="1"/>
  <c r="N485" i="13" s="1"/>
  <c r="S485" i="13" a="1"/>
  <c r="S485" i="13" s="1"/>
  <c r="AD485" i="13"/>
  <c r="AH485" i="13"/>
  <c r="AM485" i="13" s="1"/>
  <c r="AI485" i="13"/>
  <c r="AJ485" i="13"/>
  <c r="BL485" i="13" s="1"/>
  <c r="AN485" i="13" a="1"/>
  <c r="AN485" i="13" s="1"/>
  <c r="AP485" i="13" a="1"/>
  <c r="AP485" i="13" s="1"/>
  <c r="AQ485" i="13"/>
  <c r="AR485" i="13" a="1"/>
  <c r="AR485" i="13"/>
  <c r="AS485" i="13" a="1"/>
  <c r="AS485" i="13" s="1"/>
  <c r="BM485" i="13" a="1"/>
  <c r="BM485" i="13" s="1"/>
  <c r="BS485" i="13"/>
  <c r="BW485" i="13"/>
  <c r="CM485" i="13"/>
  <c r="CQ485" i="13"/>
  <c r="CU485" i="13"/>
  <c r="A486" i="13"/>
  <c r="F486" i="13"/>
  <c r="N486" i="13" a="1"/>
  <c r="N486" i="13" s="1"/>
  <c r="S486" i="13" a="1"/>
  <c r="S486" i="13" s="1"/>
  <c r="AD486" i="13"/>
  <c r="AH486" i="13"/>
  <c r="CU486" i="13" s="1"/>
  <c r="AI486" i="13"/>
  <c r="AJ486" i="13"/>
  <c r="AM486" i="13"/>
  <c r="AN486" i="13" a="1"/>
  <c r="AN486" i="13"/>
  <c r="AP486" i="13" a="1"/>
  <c r="AP486" i="13" s="1"/>
  <c r="AQ486" i="13"/>
  <c r="AR486" i="13" a="1"/>
  <c r="AR486" i="13" s="1"/>
  <c r="AS486" i="13" a="1"/>
  <c r="AS486" i="13" s="1"/>
  <c r="BI486" i="13" a="1"/>
  <c r="BI486" i="13" s="1"/>
  <c r="BM486" i="13" a="1"/>
  <c r="BM486" i="13" s="1"/>
  <c r="BN486" i="13"/>
  <c r="BS486" i="13"/>
  <c r="CH486" i="13"/>
  <c r="CM486" i="13"/>
  <c r="CQ486" i="13"/>
  <c r="A487" i="13"/>
  <c r="F487" i="13"/>
  <c r="N487" i="13" a="1"/>
  <c r="N487" i="13" s="1"/>
  <c r="S487" i="13" a="1"/>
  <c r="S487" i="13" s="1"/>
  <c r="AD487" i="13"/>
  <c r="AH487" i="13"/>
  <c r="AM487" i="13" s="1"/>
  <c r="AI487" i="13"/>
  <c r="AJ487" i="13"/>
  <c r="BL487" i="13" s="1"/>
  <c r="AN487" i="13" a="1"/>
  <c r="AN487" i="13" s="1"/>
  <c r="AP487" i="13" a="1"/>
  <c r="AP487" i="13" s="1"/>
  <c r="AQ487" i="13"/>
  <c r="AR487" i="13" a="1"/>
  <c r="AR487" i="13"/>
  <c r="AS487" i="13" a="1"/>
  <c r="AS487" i="13" s="1"/>
  <c r="BM487" i="13" a="1"/>
  <c r="BM487" i="13" s="1"/>
  <c r="CQ487" i="13"/>
  <c r="CU487" i="13"/>
  <c r="A488" i="13"/>
  <c r="F488" i="13"/>
  <c r="N488" i="13" a="1"/>
  <c r="N488" i="13" s="1"/>
  <c r="S488" i="13" a="1"/>
  <c r="S488" i="13" s="1"/>
  <c r="AD488" i="13"/>
  <c r="AH488" i="13"/>
  <c r="AI488" i="13"/>
  <c r="AJ488" i="13"/>
  <c r="BK488" i="13" s="1"/>
  <c r="AM488" i="13"/>
  <c r="AN488" i="13" a="1"/>
  <c r="AN488" i="13"/>
  <c r="AP488" i="13" a="1"/>
  <c r="AP488" i="13" s="1"/>
  <c r="AQ488" i="13"/>
  <c r="AR488" i="13" a="1"/>
  <c r="AR488" i="13"/>
  <c r="AS488" i="13" a="1"/>
  <c r="AS488" i="13" s="1"/>
  <c r="BI488" i="13" a="1"/>
  <c r="BI488" i="13" s="1"/>
  <c r="BM488" i="13" a="1"/>
  <c r="BM488" i="13" s="1"/>
  <c r="BN488" i="13"/>
  <c r="BS488" i="13"/>
  <c r="BW488" i="13"/>
  <c r="CA488" i="13"/>
  <c r="CH488" i="13"/>
  <c r="CM488" i="13"/>
  <c r="CQ488" i="13"/>
  <c r="CU488" i="13"/>
  <c r="A489" i="13"/>
  <c r="F489" i="13"/>
  <c r="N489" i="13" a="1"/>
  <c r="N489" i="13" s="1"/>
  <c r="S489" i="13" a="1"/>
  <c r="S489" i="13" s="1"/>
  <c r="AD489" i="13"/>
  <c r="AH489" i="13"/>
  <c r="AM489" i="13" s="1"/>
  <c r="AI489" i="13"/>
  <c r="AJ489" i="13"/>
  <c r="BL489" i="13" s="1"/>
  <c r="AN489" i="13" a="1"/>
  <c r="AN489" i="13" s="1"/>
  <c r="AP489" i="13" a="1"/>
  <c r="AP489" i="13" s="1"/>
  <c r="AQ489" i="13"/>
  <c r="AR489" i="13" a="1"/>
  <c r="AR489" i="13"/>
  <c r="AS489" i="13" a="1"/>
  <c r="AS489" i="13" s="1"/>
  <c r="BM489" i="13" a="1"/>
  <c r="BM489" i="13" s="1"/>
  <c r="BS489" i="13"/>
  <c r="BW489" i="13"/>
  <c r="CM489" i="13"/>
  <c r="CQ489" i="13"/>
  <c r="CU489" i="13"/>
  <c r="F490" i="13"/>
  <c r="N490" i="13" a="1"/>
  <c r="N490" i="13" s="1"/>
  <c r="S490" i="13" a="1"/>
  <c r="S490" i="13" s="1"/>
  <c r="AD490" i="13"/>
  <c r="AH490" i="13"/>
  <c r="CA490" i="13" s="1"/>
  <c r="AI490" i="13"/>
  <c r="AJ490" i="13"/>
  <c r="AN490" i="13" a="1"/>
  <c r="AN490" i="13" s="1"/>
  <c r="AP490" i="13" a="1"/>
  <c r="AP490" i="13" s="1"/>
  <c r="AQ490" i="13"/>
  <c r="AR490" i="13" a="1"/>
  <c r="AR490" i="13"/>
  <c r="AS490" i="13" a="1"/>
  <c r="AS490" i="13" s="1"/>
  <c r="BM490" i="13" a="1"/>
  <c r="BM490" i="13" s="1"/>
  <c r="BN490" i="13"/>
  <c r="BS490" i="13"/>
  <c r="BW490" i="13"/>
  <c r="A491" i="13"/>
  <c r="F491" i="13"/>
  <c r="N491" i="13" a="1"/>
  <c r="N491" i="13" s="1"/>
  <c r="S491" i="13" a="1"/>
  <c r="S491" i="13" s="1"/>
  <c r="AD491" i="13"/>
  <c r="AH491" i="13"/>
  <c r="AM491" i="13" s="1"/>
  <c r="AI491" i="13"/>
  <c r="AJ491" i="13"/>
  <c r="BL491" i="13" s="1"/>
  <c r="AN491" i="13" a="1"/>
  <c r="AN491" i="13" s="1"/>
  <c r="AP491" i="13" a="1"/>
  <c r="AP491" i="13" s="1"/>
  <c r="AQ491" i="13"/>
  <c r="AR491" i="13" a="1"/>
  <c r="AR491" i="13" s="1"/>
  <c r="AS491" i="13" a="1"/>
  <c r="AS491" i="13" s="1"/>
  <c r="BM491" i="13" a="1"/>
  <c r="BM491" i="13" s="1"/>
  <c r="BS491" i="13"/>
  <c r="BW491" i="13"/>
  <c r="CU491" i="13"/>
  <c r="F492" i="13"/>
  <c r="N492" i="13" a="1"/>
  <c r="N492" i="13" s="1"/>
  <c r="S492" i="13" a="1"/>
  <c r="S492" i="13" s="1"/>
  <c r="AD492" i="13"/>
  <c r="AH492" i="13"/>
  <c r="AI492" i="13"/>
  <c r="AJ492" i="13"/>
  <c r="AN492" i="13" a="1"/>
  <c r="AN492" i="13" s="1"/>
  <c r="AP492" i="13" a="1"/>
  <c r="AP492" i="13" s="1"/>
  <c r="AQ492" i="13"/>
  <c r="AR492" i="13" a="1"/>
  <c r="AR492" i="13" s="1"/>
  <c r="AS492" i="13" a="1"/>
  <c r="AS492" i="13" s="1"/>
  <c r="BM492" i="13" a="1"/>
  <c r="BM492" i="13"/>
  <c r="BS492" i="13"/>
  <c r="A493" i="13"/>
  <c r="F493" i="13"/>
  <c r="N493" i="13" a="1"/>
  <c r="N493" i="13" s="1"/>
  <c r="S493" i="13" a="1"/>
  <c r="S493" i="13" s="1"/>
  <c r="AD493" i="13"/>
  <c r="AH493" i="13"/>
  <c r="AM493" i="13" s="1"/>
  <c r="AI493" i="13"/>
  <c r="AJ493" i="13"/>
  <c r="AN493" i="13" a="1"/>
  <c r="AN493" i="13"/>
  <c r="AP493" i="13" a="1"/>
  <c r="AP493" i="13"/>
  <c r="AQ493" i="13"/>
  <c r="AR493" i="13" a="1"/>
  <c r="AR493" i="13" s="1"/>
  <c r="AS493" i="13" a="1"/>
  <c r="AS493" i="13" s="1"/>
  <c r="BM493" i="13" a="1"/>
  <c r="BM493" i="13" s="1"/>
  <c r="BS493" i="13"/>
  <c r="CM493" i="13"/>
  <c r="CQ493" i="13"/>
  <c r="CU493" i="13"/>
  <c r="F494" i="13"/>
  <c r="N494" i="13" a="1"/>
  <c r="N494" i="13" s="1"/>
  <c r="S494" i="13" a="1"/>
  <c r="S494" i="13" s="1"/>
  <c r="AD494" i="13"/>
  <c r="AH494" i="13"/>
  <c r="BN494" i="13" s="1"/>
  <c r="AI494" i="13"/>
  <c r="AJ494" i="13"/>
  <c r="AN494" i="13" a="1"/>
  <c r="AN494" i="13" s="1"/>
  <c r="AP494" i="13" a="1"/>
  <c r="AP494" i="13" s="1"/>
  <c r="AQ494" i="13"/>
  <c r="AR494" i="13" a="1"/>
  <c r="AR494" i="13" s="1"/>
  <c r="AS494" i="13" a="1"/>
  <c r="AS494" i="13" s="1"/>
  <c r="BM494" i="13" a="1"/>
  <c r="BM494" i="13"/>
  <c r="BS494" i="13"/>
  <c r="CM494" i="13"/>
  <c r="CQ494" i="13"/>
  <c r="CU494" i="13"/>
  <c r="F495" i="13"/>
  <c r="N495" i="13" a="1"/>
  <c r="N495" i="13" s="1"/>
  <c r="S495" i="13" a="1"/>
  <c r="S495" i="13" s="1"/>
  <c r="AD495" i="13"/>
  <c r="AH495" i="13"/>
  <c r="AI495" i="13"/>
  <c r="AJ495" i="13"/>
  <c r="AN495" i="13" a="1"/>
  <c r="AN495" i="13"/>
  <c r="AP495" i="13" a="1"/>
  <c r="AP495" i="13"/>
  <c r="AQ495" i="13"/>
  <c r="AR495" i="13" a="1"/>
  <c r="AR495" i="13" s="1"/>
  <c r="AS495" i="13" a="1"/>
  <c r="AS495" i="13" s="1"/>
  <c r="BM495" i="13" a="1"/>
  <c r="BM495" i="13" s="1"/>
  <c r="A496" i="13"/>
  <c r="F496" i="13"/>
  <c r="N496" i="13" a="1"/>
  <c r="N496" i="13" s="1"/>
  <c r="S496" i="13" a="1"/>
  <c r="S496" i="13" s="1"/>
  <c r="AD496" i="13"/>
  <c r="AH496" i="13"/>
  <c r="CQ496" i="13" s="1"/>
  <c r="AI496" i="13"/>
  <c r="AJ496" i="13"/>
  <c r="BK496" i="13" s="1"/>
  <c r="AM496" i="13"/>
  <c r="AN496" i="13" a="1"/>
  <c r="AN496" i="13" s="1"/>
  <c r="AP496" i="13" a="1"/>
  <c r="AP496" i="13" s="1"/>
  <c r="AQ496" i="13"/>
  <c r="AR496" i="13" a="1"/>
  <c r="AR496" i="13" s="1"/>
  <c r="AS496" i="13" a="1"/>
  <c r="AS496" i="13" s="1"/>
  <c r="BI496" i="13" a="1"/>
  <c r="BI496" i="13"/>
  <c r="BM496" i="13" a="1"/>
  <c r="BM496" i="13"/>
  <c r="BS496" i="13"/>
  <c r="CA496" i="13"/>
  <c r="CH496" i="13"/>
  <c r="CM496" i="13"/>
  <c r="CU496" i="13"/>
  <c r="F497" i="13"/>
  <c r="N497" i="13" a="1"/>
  <c r="N497" i="13" s="1"/>
  <c r="S497" i="13" a="1"/>
  <c r="S497" i="13" s="1"/>
  <c r="AD497" i="13"/>
  <c r="AH497" i="13"/>
  <c r="AI497" i="13"/>
  <c r="AJ497" i="13"/>
  <c r="AN497" i="13" a="1"/>
  <c r="AN497" i="13"/>
  <c r="AP497" i="13" a="1"/>
  <c r="AP497" i="13"/>
  <c r="AQ497" i="13"/>
  <c r="AR497" i="13" a="1"/>
  <c r="AR497" i="13" s="1"/>
  <c r="AS497" i="13" a="1"/>
  <c r="AS497" i="13" s="1"/>
  <c r="BM497" i="13" a="1"/>
  <c r="BM497" i="13" s="1"/>
  <c r="CM497" i="13"/>
  <c r="CU497" i="13"/>
  <c r="F498" i="13"/>
  <c r="N498" i="13" a="1"/>
  <c r="N498" i="13" s="1"/>
  <c r="S498" i="13" a="1"/>
  <c r="S498" i="13" s="1"/>
  <c r="AD498" i="13"/>
  <c r="AH498" i="13"/>
  <c r="AI498" i="13"/>
  <c r="AJ498" i="13"/>
  <c r="BK498" i="13" s="1"/>
  <c r="AN498" i="13" a="1"/>
  <c r="AN498" i="13" s="1"/>
  <c r="AP498" i="13" a="1"/>
  <c r="AP498" i="13" s="1"/>
  <c r="AQ498" i="13"/>
  <c r="AR498" i="13" a="1"/>
  <c r="AR498" i="13" s="1"/>
  <c r="AS498" i="13" a="1"/>
  <c r="AS498" i="13" s="1"/>
  <c r="BM498" i="13" a="1"/>
  <c r="BM498" i="13"/>
  <c r="BS498" i="13"/>
  <c r="F499" i="13"/>
  <c r="N499" i="13" a="1"/>
  <c r="N499" i="13" s="1"/>
  <c r="S499" i="13" a="1"/>
  <c r="S499" i="13" s="1"/>
  <c r="AD499" i="13"/>
  <c r="AH499" i="13"/>
  <c r="AM499" i="13" s="1"/>
  <c r="AI499" i="13"/>
  <c r="AJ499" i="13"/>
  <c r="AN499" i="13" a="1"/>
  <c r="AN499" i="13"/>
  <c r="AP499" i="13" a="1"/>
  <c r="AP499" i="13"/>
  <c r="AQ499" i="13"/>
  <c r="AR499" i="13" a="1"/>
  <c r="AR499" i="13" s="1"/>
  <c r="AS499" i="13" a="1"/>
  <c r="AS499" i="13" s="1"/>
  <c r="BM499" i="13" a="1"/>
  <c r="BM499" i="13" s="1"/>
  <c r="BS499" i="13"/>
  <c r="BW499" i="13"/>
  <c r="CM499" i="13"/>
  <c r="F500" i="13"/>
  <c r="N500" i="13" a="1"/>
  <c r="N500" i="13" s="1"/>
  <c r="S500" i="13" a="1"/>
  <c r="S500" i="13" s="1"/>
  <c r="AD500" i="13"/>
  <c r="AH500" i="13"/>
  <c r="CA500" i="13" s="1"/>
  <c r="AI500" i="13"/>
  <c r="AJ500" i="13"/>
  <c r="AN500" i="13" a="1"/>
  <c r="AN500" i="13"/>
  <c r="AP500" i="13" a="1"/>
  <c r="AP500" i="13" s="1"/>
  <c r="AQ500" i="13"/>
  <c r="AR500" i="13" a="1"/>
  <c r="AR500" i="13"/>
  <c r="AS500" i="13" a="1"/>
  <c r="AS500" i="13" s="1"/>
  <c r="BM500" i="13" a="1"/>
  <c r="BM500" i="13" s="1"/>
  <c r="BN500" i="13"/>
  <c r="BS500" i="13"/>
  <c r="BW500" i="13"/>
  <c r="A501" i="13"/>
  <c r="F501" i="13"/>
  <c r="N501" i="13" a="1"/>
  <c r="N501" i="13" s="1"/>
  <c r="S501" i="13" a="1"/>
  <c r="S501" i="13" s="1"/>
  <c r="AD501" i="13"/>
  <c r="AH501" i="13"/>
  <c r="AM501" i="13" s="1"/>
  <c r="AI501" i="13"/>
  <c r="AJ501" i="13"/>
  <c r="AN501" i="13" a="1"/>
  <c r="AN501" i="13" s="1"/>
  <c r="AP501" i="13" a="1"/>
  <c r="AP501" i="13" s="1"/>
  <c r="AQ501" i="13"/>
  <c r="AR501" i="13" a="1"/>
  <c r="AR501" i="13"/>
  <c r="AS501" i="13" a="1"/>
  <c r="AS501" i="13" s="1"/>
  <c r="BM501" i="13" a="1"/>
  <c r="BM501" i="13" s="1"/>
  <c r="BS501" i="13"/>
  <c r="BW501" i="13"/>
  <c r="CU501" i="13"/>
  <c r="F502" i="13"/>
  <c r="N502" i="13" a="1"/>
  <c r="N502" i="13" s="1"/>
  <c r="S502" i="13" a="1"/>
  <c r="S502" i="13" s="1"/>
  <c r="AD502" i="13"/>
  <c r="AH502" i="13"/>
  <c r="CU502" i="13" s="1"/>
  <c r="AI502" i="13"/>
  <c r="AJ502" i="13"/>
  <c r="AN502" i="13" a="1"/>
  <c r="AN502" i="13" s="1"/>
  <c r="AP502" i="13" a="1"/>
  <c r="AP502" i="13" s="1"/>
  <c r="AQ502" i="13"/>
  <c r="AR502" i="13" a="1"/>
  <c r="AR502" i="13" s="1"/>
  <c r="AS502" i="13" a="1"/>
  <c r="AS502" i="13" s="1"/>
  <c r="BM502" i="13" a="1"/>
  <c r="BM502" i="13"/>
  <c r="BS502" i="13"/>
  <c r="A503" i="13"/>
  <c r="F503" i="13"/>
  <c r="N503" i="13" a="1"/>
  <c r="N503" i="13" s="1"/>
  <c r="S503" i="13" a="1"/>
  <c r="S503" i="13" s="1"/>
  <c r="AD503" i="13"/>
  <c r="AH503" i="13"/>
  <c r="AM503" i="13" s="1"/>
  <c r="AI503" i="13"/>
  <c r="AJ503" i="13"/>
  <c r="AN503" i="13" a="1"/>
  <c r="AN503" i="13"/>
  <c r="AP503" i="13" a="1"/>
  <c r="AP503" i="13" s="1"/>
  <c r="AQ503" i="13"/>
  <c r="AR503" i="13" a="1"/>
  <c r="AR503" i="13"/>
  <c r="AS503" i="13" a="1"/>
  <c r="AS503" i="13" s="1"/>
  <c r="BM503" i="13" a="1"/>
  <c r="BM503" i="13" s="1"/>
  <c r="BS503" i="13"/>
  <c r="BW503" i="13"/>
  <c r="CU503" i="13"/>
  <c r="F504" i="13"/>
  <c r="N504" i="13" a="1"/>
  <c r="N504" i="13" s="1"/>
  <c r="S504" i="13" a="1"/>
  <c r="S504" i="13" s="1"/>
  <c r="AD504" i="13"/>
  <c r="AH504" i="13"/>
  <c r="AI504" i="13"/>
  <c r="AJ504" i="13"/>
  <c r="AN504" i="13" a="1"/>
  <c r="AN504" i="13" s="1"/>
  <c r="AP504" i="13" a="1"/>
  <c r="AP504" i="13" s="1"/>
  <c r="AQ504" i="13"/>
  <c r="AR504" i="13" a="1"/>
  <c r="AR504" i="13" s="1"/>
  <c r="AS504" i="13" a="1"/>
  <c r="AS504" i="13" s="1"/>
  <c r="BM504" i="13" a="1"/>
  <c r="BM504" i="13" s="1"/>
  <c r="BN504" i="13"/>
  <c r="BW504" i="13"/>
  <c r="A505" i="13"/>
  <c r="F505" i="13"/>
  <c r="N505" i="13" a="1"/>
  <c r="N505" i="13" s="1"/>
  <c r="S505" i="13" a="1"/>
  <c r="S505" i="13" s="1"/>
  <c r="AD505" i="13"/>
  <c r="AH505" i="13"/>
  <c r="AM505" i="13" s="1"/>
  <c r="AI505" i="13"/>
  <c r="AJ505" i="13"/>
  <c r="AN505" i="13" a="1"/>
  <c r="AN505" i="13" s="1"/>
  <c r="AP505" i="13" a="1"/>
  <c r="AP505" i="13" s="1"/>
  <c r="AQ505" i="13"/>
  <c r="AR505" i="13" a="1"/>
  <c r="AR505" i="13"/>
  <c r="AS505" i="13" a="1"/>
  <c r="AS505" i="13" s="1"/>
  <c r="BM505" i="13" a="1"/>
  <c r="BM505" i="13" s="1"/>
  <c r="BS505" i="13"/>
  <c r="BW505" i="13"/>
  <c r="CU505" i="13"/>
  <c r="F506" i="13"/>
  <c r="N506" i="13" a="1"/>
  <c r="N506" i="13" s="1"/>
  <c r="S506" i="13" a="1"/>
  <c r="S506" i="13" s="1"/>
  <c r="AD506" i="13"/>
  <c r="AH506" i="13"/>
  <c r="AI506" i="13"/>
  <c r="AJ506" i="13"/>
  <c r="AN506" i="13" a="1"/>
  <c r="AN506" i="13" s="1"/>
  <c r="AP506" i="13" a="1"/>
  <c r="AP506" i="13" s="1"/>
  <c r="AQ506" i="13"/>
  <c r="AR506" i="13" a="1"/>
  <c r="AR506" i="13" s="1"/>
  <c r="AS506" i="13" a="1"/>
  <c r="AS506" i="13" s="1"/>
  <c r="BM506" i="13" a="1"/>
  <c r="BM506" i="13"/>
  <c r="A507" i="13"/>
  <c r="F507" i="13"/>
  <c r="N507" i="13" a="1"/>
  <c r="N507" i="13" s="1"/>
  <c r="S507" i="13" a="1"/>
  <c r="S507" i="13" s="1"/>
  <c r="AD507" i="13"/>
  <c r="AH507" i="13"/>
  <c r="AM507" i="13" s="1"/>
  <c r="AI507" i="13"/>
  <c r="AJ507" i="13"/>
  <c r="AN507" i="13" a="1"/>
  <c r="AN507" i="13"/>
  <c r="AP507" i="13" a="1"/>
  <c r="AP507" i="13" s="1"/>
  <c r="AQ507" i="13"/>
  <c r="AR507" i="13" a="1"/>
  <c r="AR507" i="13"/>
  <c r="AS507" i="13" a="1"/>
  <c r="AS507" i="13" s="1"/>
  <c r="BM507" i="13" a="1"/>
  <c r="BM507" i="13" s="1"/>
  <c r="BS507" i="13"/>
  <c r="BW507" i="13"/>
  <c r="CU507" i="13"/>
  <c r="F508" i="13"/>
  <c r="N508" i="13" a="1"/>
  <c r="N508" i="13" s="1"/>
  <c r="S508" i="13" a="1"/>
  <c r="S508" i="13" s="1"/>
  <c r="AD508" i="13"/>
  <c r="AH508" i="13"/>
  <c r="BW508" i="13" s="1"/>
  <c r="AI508" i="13"/>
  <c r="AJ508" i="13"/>
  <c r="AN508" i="13" a="1"/>
  <c r="AN508" i="13" s="1"/>
  <c r="AP508" i="13" a="1"/>
  <c r="AP508" i="13" s="1"/>
  <c r="AQ508" i="13"/>
  <c r="AR508" i="13" a="1"/>
  <c r="AR508" i="13" s="1"/>
  <c r="AS508" i="13" a="1"/>
  <c r="AS508" i="13" s="1"/>
  <c r="BM508" i="13" a="1"/>
  <c r="BM508" i="13" s="1"/>
  <c r="BN508" i="13"/>
  <c r="A509" i="13"/>
  <c r="F509" i="13"/>
  <c r="N509" i="13" a="1"/>
  <c r="N509" i="13" s="1"/>
  <c r="S509" i="13" a="1"/>
  <c r="S509" i="13" s="1"/>
  <c r="AD509" i="13"/>
  <c r="AH509" i="13"/>
  <c r="AM509" i="13" s="1"/>
  <c r="AI509" i="13"/>
  <c r="AJ509" i="13"/>
  <c r="AN509" i="13" a="1"/>
  <c r="AN509" i="13" s="1"/>
  <c r="AP509" i="13" a="1"/>
  <c r="AP509" i="13" s="1"/>
  <c r="AQ509" i="13"/>
  <c r="AR509" i="13" a="1"/>
  <c r="AR509" i="13" s="1"/>
  <c r="AS509" i="13" a="1"/>
  <c r="AS509" i="13" s="1"/>
  <c r="BM509" i="13" a="1"/>
  <c r="BM509" i="13" s="1"/>
  <c r="BS509" i="13"/>
  <c r="BW509" i="13"/>
  <c r="CM509" i="13"/>
  <c r="A510" i="13"/>
  <c r="F510" i="13"/>
  <c r="N510" i="13" a="1"/>
  <c r="N510" i="13" s="1"/>
  <c r="S510" i="13" a="1"/>
  <c r="S510" i="13" s="1"/>
  <c r="AD510" i="13"/>
  <c r="AH510" i="13"/>
  <c r="CH510" i="13" s="1"/>
  <c r="AI510" i="13"/>
  <c r="AJ510" i="13"/>
  <c r="AM510" i="13"/>
  <c r="AN510" i="13" a="1"/>
  <c r="AN510" i="13"/>
  <c r="AP510" i="13" a="1"/>
  <c r="AP510" i="13" s="1"/>
  <c r="AQ510" i="13"/>
  <c r="AR510" i="13" a="1"/>
  <c r="AR510" i="13"/>
  <c r="AS510" i="13" a="1"/>
  <c r="AS510" i="13" s="1"/>
  <c r="BI510" i="13" a="1"/>
  <c r="BI510" i="13" s="1"/>
  <c r="BM510" i="13" a="1"/>
  <c r="BM510" i="13" s="1"/>
  <c r="BS510" i="13"/>
  <c r="BW510" i="13"/>
  <c r="CA510" i="13"/>
  <c r="CM510" i="13"/>
  <c r="F511" i="13"/>
  <c r="N511" i="13" a="1"/>
  <c r="N511" i="13" s="1"/>
  <c r="S511" i="13" a="1"/>
  <c r="S511" i="13" s="1"/>
  <c r="AD511" i="13"/>
  <c r="AH511" i="13"/>
  <c r="AM511" i="13" s="1"/>
  <c r="AI511" i="13"/>
  <c r="AJ511" i="13"/>
  <c r="AN511" i="13" a="1"/>
  <c r="AN511" i="13"/>
  <c r="AP511" i="13" a="1"/>
  <c r="AP511" i="13"/>
  <c r="AQ511" i="13"/>
  <c r="AR511" i="13" a="1"/>
  <c r="AR511" i="13" s="1"/>
  <c r="AS511" i="13" a="1"/>
  <c r="AS511" i="13" s="1"/>
  <c r="BM511" i="13" a="1"/>
  <c r="BM511" i="13" s="1"/>
  <c r="BS511" i="13"/>
  <c r="CM511" i="13"/>
  <c r="A512" i="13"/>
  <c r="F512" i="13"/>
  <c r="N512" i="13" a="1"/>
  <c r="N512" i="13" s="1"/>
  <c r="S512" i="13" a="1"/>
  <c r="S512" i="13" s="1"/>
  <c r="AD512" i="13"/>
  <c r="AH512" i="13"/>
  <c r="CA512" i="13" s="1"/>
  <c r="AI512" i="13"/>
  <c r="AJ512" i="13"/>
  <c r="AM512" i="13"/>
  <c r="AN512" i="13" a="1"/>
  <c r="AN512" i="13"/>
  <c r="AP512" i="13" a="1"/>
  <c r="AP512" i="13" s="1"/>
  <c r="AQ512" i="13"/>
  <c r="AR512" i="13" a="1"/>
  <c r="AR512" i="13"/>
  <c r="AS512" i="13" a="1"/>
  <c r="AS512" i="13" s="1"/>
  <c r="BI512" i="13" a="1"/>
  <c r="BI512" i="13" s="1"/>
  <c r="BM512" i="13" a="1"/>
  <c r="BM512" i="13" s="1"/>
  <c r="BN512" i="13"/>
  <c r="BS512" i="13"/>
  <c r="BW512" i="13"/>
  <c r="CH512" i="13"/>
  <c r="CQ512" i="13"/>
  <c r="A513" i="13"/>
  <c r="F513" i="13"/>
  <c r="N513" i="13" a="1"/>
  <c r="N513" i="13" s="1"/>
  <c r="S513" i="13" a="1"/>
  <c r="S513" i="13" s="1"/>
  <c r="AD513" i="13"/>
  <c r="AH513" i="13"/>
  <c r="AM513" i="13" s="1"/>
  <c r="AI513" i="13"/>
  <c r="AJ513" i="13"/>
  <c r="AN513" i="13" a="1"/>
  <c r="AN513" i="13" s="1"/>
  <c r="AP513" i="13" a="1"/>
  <c r="AP513" i="13" s="1"/>
  <c r="AQ513" i="13"/>
  <c r="AR513" i="13" a="1"/>
  <c r="AR513" i="13"/>
  <c r="AS513" i="13" a="1"/>
  <c r="AS513" i="13" s="1"/>
  <c r="BM513" i="13" a="1"/>
  <c r="BM513" i="13" s="1"/>
  <c r="BS513" i="13"/>
  <c r="BW513" i="13"/>
  <c r="CU513" i="13"/>
  <c r="F514" i="13"/>
  <c r="N514" i="13" a="1"/>
  <c r="N514" i="13" s="1"/>
  <c r="S514" i="13" a="1"/>
  <c r="S514" i="13" s="1"/>
  <c r="AD514" i="13"/>
  <c r="AH514" i="13"/>
  <c r="BW514" i="13" s="1"/>
  <c r="AI514" i="13"/>
  <c r="AJ514" i="13"/>
  <c r="AN514" i="13" a="1"/>
  <c r="AN514" i="13" s="1"/>
  <c r="AP514" i="13" a="1"/>
  <c r="AP514" i="13" s="1"/>
  <c r="AQ514" i="13"/>
  <c r="AR514" i="13" a="1"/>
  <c r="AR514" i="13" s="1"/>
  <c r="AS514" i="13" a="1"/>
  <c r="AS514" i="13" s="1"/>
  <c r="BM514" i="13" a="1"/>
  <c r="BM514" i="13" s="1"/>
  <c r="BN514" i="13"/>
  <c r="A515" i="13"/>
  <c r="F515" i="13"/>
  <c r="N515" i="13" a="1"/>
  <c r="N515" i="13" s="1"/>
  <c r="S515" i="13" a="1"/>
  <c r="S515" i="13" s="1"/>
  <c r="AD515" i="13"/>
  <c r="AH515" i="13"/>
  <c r="AM515" i="13" s="1"/>
  <c r="AI515" i="13"/>
  <c r="AJ515" i="13"/>
  <c r="BK515" i="13" s="1"/>
  <c r="AN515" i="13" a="1"/>
  <c r="AN515" i="13" s="1"/>
  <c r="AP515" i="13" a="1"/>
  <c r="AP515" i="13" s="1"/>
  <c r="AQ515" i="13"/>
  <c r="AR515" i="13" a="1"/>
  <c r="AR515" i="13" s="1"/>
  <c r="AS515" i="13" a="1"/>
  <c r="AS515" i="13" s="1"/>
  <c r="BM515" i="13" a="1"/>
  <c r="BM515" i="13" s="1"/>
  <c r="BS515" i="13"/>
  <c r="BW515" i="13"/>
  <c r="CM515" i="13"/>
  <c r="A516" i="13"/>
  <c r="F516" i="13"/>
  <c r="N516" i="13" a="1"/>
  <c r="N516" i="13" s="1"/>
  <c r="S516" i="13" a="1"/>
  <c r="S516" i="13" s="1"/>
  <c r="AD516" i="13"/>
  <c r="AH516" i="13"/>
  <c r="AI516" i="13"/>
  <c r="AJ516" i="13"/>
  <c r="AM516" i="13"/>
  <c r="AN516" i="13" a="1"/>
  <c r="AN516" i="13"/>
  <c r="AP516" i="13" a="1"/>
  <c r="AP516" i="13" s="1"/>
  <c r="AQ516" i="13"/>
  <c r="AR516" i="13" a="1"/>
  <c r="AR516" i="13"/>
  <c r="AS516" i="13" a="1"/>
  <c r="AS516" i="13" s="1"/>
  <c r="BI516" i="13" a="1"/>
  <c r="BI516" i="13" s="1"/>
  <c r="BM516" i="13" a="1"/>
  <c r="BM516" i="13"/>
  <c r="BN516" i="13"/>
  <c r="BS516" i="13"/>
  <c r="BW516" i="13"/>
  <c r="CA516" i="13"/>
  <c r="CH516" i="13"/>
  <c r="CM516" i="13"/>
  <c r="CQ516" i="13"/>
  <c r="CU516" i="13"/>
  <c r="F517" i="13"/>
  <c r="N517" i="13" a="1"/>
  <c r="N517" i="13" s="1"/>
  <c r="S517" i="13" a="1"/>
  <c r="S517" i="13" s="1"/>
  <c r="AD517" i="13"/>
  <c r="AH517" i="13"/>
  <c r="AM517" i="13" s="1"/>
  <c r="AI517" i="13"/>
  <c r="AJ517" i="13"/>
  <c r="AN517" i="13" a="1"/>
  <c r="AN517" i="13"/>
  <c r="AP517" i="13" a="1"/>
  <c r="AP517" i="13"/>
  <c r="AQ517" i="13"/>
  <c r="AR517" i="13" a="1"/>
  <c r="AR517" i="13" s="1"/>
  <c r="AS517" i="13" a="1"/>
  <c r="AS517" i="13" s="1"/>
  <c r="BM517" i="13" a="1"/>
  <c r="BM517" i="13" s="1"/>
  <c r="BS517" i="13"/>
  <c r="CM517" i="13"/>
  <c r="A518" i="13"/>
  <c r="F518" i="13"/>
  <c r="N518" i="13" a="1"/>
  <c r="N518" i="13" s="1"/>
  <c r="S518" i="13" a="1"/>
  <c r="S518" i="13" s="1"/>
  <c r="AD518" i="13"/>
  <c r="AH518" i="13"/>
  <c r="AI518" i="13"/>
  <c r="AJ518" i="13"/>
  <c r="AM518" i="13"/>
  <c r="AN518" i="13" a="1"/>
  <c r="AN518" i="13"/>
  <c r="AP518" i="13" a="1"/>
  <c r="AP518" i="13" s="1"/>
  <c r="AQ518" i="13"/>
  <c r="AR518" i="13" a="1"/>
  <c r="AR518" i="13"/>
  <c r="AS518" i="13" a="1"/>
  <c r="AS518" i="13" s="1"/>
  <c r="BI518" i="13" a="1"/>
  <c r="BI518" i="13" s="1"/>
  <c r="BM518" i="13" a="1"/>
  <c r="BM518" i="13" s="1"/>
  <c r="BN518" i="13"/>
  <c r="BS518" i="13"/>
  <c r="BW518" i="13"/>
  <c r="CA518" i="13"/>
  <c r="CH518" i="13"/>
  <c r="CM518" i="13"/>
  <c r="CQ518" i="13"/>
  <c r="CU518" i="13"/>
  <c r="F519" i="13"/>
  <c r="N519" i="13" a="1"/>
  <c r="N519" i="13" s="1"/>
  <c r="S519" i="13" a="1"/>
  <c r="S519" i="13" s="1"/>
  <c r="AD519" i="13"/>
  <c r="AH519" i="13"/>
  <c r="AM519" i="13" s="1"/>
  <c r="AI519" i="13"/>
  <c r="AJ519" i="13"/>
  <c r="AN519" i="13" a="1"/>
  <c r="AN519" i="13"/>
  <c r="AP519" i="13" a="1"/>
  <c r="AP519" i="13" s="1"/>
  <c r="AQ519" i="13"/>
  <c r="AR519" i="13" a="1"/>
  <c r="AR519" i="13"/>
  <c r="AS519" i="13" a="1"/>
  <c r="AS519" i="13" s="1"/>
  <c r="BM519" i="13" a="1"/>
  <c r="BM519" i="13" s="1"/>
  <c r="BW519" i="13"/>
  <c r="CU519" i="13"/>
  <c r="F520" i="13"/>
  <c r="N520" i="13" a="1"/>
  <c r="N520" i="13" s="1"/>
  <c r="S520" i="13" a="1"/>
  <c r="S520" i="13" s="1"/>
  <c r="AD520" i="13"/>
  <c r="AH520" i="13"/>
  <c r="AI520" i="13"/>
  <c r="AJ520" i="13"/>
  <c r="AN520" i="13" a="1"/>
  <c r="AN520" i="13" s="1"/>
  <c r="AP520" i="13" a="1"/>
  <c r="AP520" i="13" s="1"/>
  <c r="AQ520" i="13"/>
  <c r="AR520" i="13" a="1"/>
  <c r="AR520" i="13" s="1"/>
  <c r="AS520" i="13" a="1"/>
  <c r="AS520" i="13" s="1"/>
  <c r="BM520" i="13" a="1"/>
  <c r="BM520" i="13" s="1"/>
  <c r="CA520" i="13"/>
  <c r="CM520" i="13"/>
  <c r="CU520" i="13"/>
  <c r="F521" i="13"/>
  <c r="N521" i="13" a="1"/>
  <c r="N521" i="13" s="1"/>
  <c r="S521" i="13" a="1"/>
  <c r="S521" i="13" s="1"/>
  <c r="AD521" i="13"/>
  <c r="AH521" i="13"/>
  <c r="AI521" i="13"/>
  <c r="AJ521" i="13"/>
  <c r="BK521" i="13" s="1"/>
  <c r="AN521" i="13" a="1"/>
  <c r="AN521" i="13"/>
  <c r="AP521" i="13" a="1"/>
  <c r="AP521" i="13" s="1"/>
  <c r="AQ521" i="13"/>
  <c r="AR521" i="13" a="1"/>
  <c r="AR521" i="13"/>
  <c r="AS521" i="13" a="1"/>
  <c r="AS521" i="13" s="1"/>
  <c r="BL521" i="13"/>
  <c r="BM521" i="13" a="1"/>
  <c r="BM521" i="13" s="1"/>
  <c r="CM521" i="13"/>
  <c r="A522" i="13"/>
  <c r="F522" i="13"/>
  <c r="N522" i="13" a="1"/>
  <c r="N522" i="13" s="1"/>
  <c r="S522" i="13" a="1"/>
  <c r="S522" i="13" s="1"/>
  <c r="AD522" i="13"/>
  <c r="AH522" i="13"/>
  <c r="AI522" i="13"/>
  <c r="AJ522" i="13"/>
  <c r="AM522" i="13"/>
  <c r="AN522" i="13" a="1"/>
  <c r="AN522" i="13"/>
  <c r="AP522" i="13" a="1"/>
  <c r="AP522" i="13" s="1"/>
  <c r="AQ522" i="13"/>
  <c r="AR522" i="13" a="1"/>
  <c r="AR522" i="13"/>
  <c r="AS522" i="13" a="1"/>
  <c r="AS522" i="13" s="1"/>
  <c r="BI522" i="13" a="1"/>
  <c r="BI522" i="13" s="1"/>
  <c r="BM522" i="13" a="1"/>
  <c r="BM522" i="13" s="1"/>
  <c r="BN522" i="13"/>
  <c r="BS522" i="13"/>
  <c r="BW522" i="13"/>
  <c r="CA522" i="13"/>
  <c r="CH522" i="13"/>
  <c r="CM522" i="13"/>
  <c r="CQ522" i="13"/>
  <c r="CU522" i="13"/>
  <c r="A523" i="13"/>
  <c r="F523" i="13"/>
  <c r="N523" i="13" a="1"/>
  <c r="N523" i="13" s="1"/>
  <c r="S523" i="13" a="1"/>
  <c r="S523" i="13" s="1"/>
  <c r="AD523" i="13"/>
  <c r="AH523" i="13"/>
  <c r="AM523" i="13" s="1"/>
  <c r="AI523" i="13"/>
  <c r="AJ523" i="13"/>
  <c r="BK523" i="13" s="1"/>
  <c r="AN523" i="13" a="1"/>
  <c r="AN523" i="13" s="1"/>
  <c r="AP523" i="13" a="1"/>
  <c r="AP523" i="13" s="1"/>
  <c r="AQ523" i="13"/>
  <c r="AR523" i="13" a="1"/>
  <c r="AR523" i="13"/>
  <c r="AS523" i="13" a="1"/>
  <c r="AS523" i="13" s="1"/>
  <c r="BM523" i="13" a="1"/>
  <c r="BM523" i="13" s="1"/>
  <c r="BS523" i="13"/>
  <c r="BW523" i="13"/>
  <c r="CM523" i="13"/>
  <c r="CU523" i="13"/>
  <c r="F524" i="13"/>
  <c r="N524" i="13" a="1"/>
  <c r="N524" i="13" s="1"/>
  <c r="S524" i="13" a="1"/>
  <c r="S524" i="13" s="1"/>
  <c r="AD524" i="13"/>
  <c r="AH524" i="13"/>
  <c r="CU524" i="13" s="1"/>
  <c r="AI524" i="13"/>
  <c r="AJ524" i="13"/>
  <c r="AN524" i="13" a="1"/>
  <c r="AN524" i="13" s="1"/>
  <c r="AP524" i="13" a="1"/>
  <c r="AP524" i="13" s="1"/>
  <c r="AQ524" i="13"/>
  <c r="AR524" i="13" a="1"/>
  <c r="AR524" i="13"/>
  <c r="AS524" i="13" a="1"/>
  <c r="AS524" i="13" s="1"/>
  <c r="BM524" i="13" a="1"/>
  <c r="BM524" i="13"/>
  <c r="F525" i="13"/>
  <c r="N525" i="13" a="1"/>
  <c r="N525" i="13" s="1"/>
  <c r="S525" i="13" a="1"/>
  <c r="S525" i="13" s="1"/>
  <c r="AD525" i="13"/>
  <c r="AH525" i="13"/>
  <c r="BW525" i="13" s="1"/>
  <c r="AI525" i="13"/>
  <c r="AJ525" i="13"/>
  <c r="BK525" i="13" s="1"/>
  <c r="AN525" i="13" a="1"/>
  <c r="AN525" i="13" s="1"/>
  <c r="AP525" i="13" a="1"/>
  <c r="AP525" i="13" s="1"/>
  <c r="AQ525" i="13"/>
  <c r="AR525" i="13" a="1"/>
  <c r="AR525" i="13"/>
  <c r="AS525" i="13" a="1"/>
  <c r="AS525" i="13" s="1"/>
  <c r="BL525" i="13"/>
  <c r="BM525" i="13" a="1"/>
  <c r="BM525" i="13" s="1"/>
  <c r="BS525" i="13"/>
  <c r="CM525" i="13"/>
  <c r="CU525" i="13"/>
  <c r="A526" i="13"/>
  <c r="F526" i="13"/>
  <c r="N526" i="13" a="1"/>
  <c r="N526" i="13" s="1"/>
  <c r="S526" i="13" a="1"/>
  <c r="S526" i="13" s="1"/>
  <c r="AD526" i="13"/>
  <c r="AH526" i="13"/>
  <c r="AI526" i="13"/>
  <c r="AJ526" i="13"/>
  <c r="AM526" i="13"/>
  <c r="AN526" i="13" a="1"/>
  <c r="AN526" i="13"/>
  <c r="AP526" i="13" a="1"/>
  <c r="AP526" i="13" s="1"/>
  <c r="AQ526" i="13"/>
  <c r="AR526" i="13" a="1"/>
  <c r="AR526" i="13"/>
  <c r="AS526" i="13" a="1"/>
  <c r="AS526" i="13"/>
  <c r="BI526" i="13" a="1"/>
  <c r="BI526" i="13"/>
  <c r="BM526" i="13" a="1"/>
  <c r="BM526" i="13" s="1"/>
  <c r="BN526" i="13"/>
  <c r="BS526" i="13"/>
  <c r="BW526" i="13"/>
  <c r="CA526" i="13"/>
  <c r="CH526" i="13"/>
  <c r="CM526" i="13"/>
  <c r="CQ526" i="13"/>
  <c r="CU526" i="13"/>
  <c r="F527" i="13"/>
  <c r="N527" i="13" a="1"/>
  <c r="N527" i="13" s="1"/>
  <c r="S527" i="13" a="1"/>
  <c r="S527" i="13" s="1"/>
  <c r="AD527" i="13"/>
  <c r="AH527" i="13"/>
  <c r="BI527" i="13" s="1" a="1"/>
  <c r="BI527" i="13" s="1"/>
  <c r="AI527" i="13"/>
  <c r="AJ527" i="13"/>
  <c r="AN527" i="13" a="1"/>
  <c r="AN527" i="13"/>
  <c r="AP527" i="13" a="1"/>
  <c r="AP527" i="13" s="1"/>
  <c r="AQ527" i="13"/>
  <c r="AR527" i="13" a="1"/>
  <c r="AR527" i="13"/>
  <c r="AS527" i="13" a="1"/>
  <c r="AS527" i="13" s="1"/>
  <c r="BM527" i="13" a="1"/>
  <c r="BM527" i="13" s="1"/>
  <c r="CU527" i="13"/>
  <c r="F528" i="13"/>
  <c r="N528" i="13" a="1"/>
  <c r="N528" i="13" s="1"/>
  <c r="S528" i="13" a="1"/>
  <c r="S528" i="13" s="1"/>
  <c r="AD528" i="13"/>
  <c r="AH528" i="13"/>
  <c r="BW528" i="13" s="1"/>
  <c r="AI528" i="13"/>
  <c r="AJ528" i="13"/>
  <c r="AN528" i="13" a="1"/>
  <c r="AN528" i="13" s="1"/>
  <c r="AP528" i="13" a="1"/>
  <c r="AP528" i="13" s="1"/>
  <c r="AQ528" i="13"/>
  <c r="AR528" i="13" a="1"/>
  <c r="AR528" i="13" s="1"/>
  <c r="AS528" i="13" a="1"/>
  <c r="AS528" i="13"/>
  <c r="BM528" i="13" a="1"/>
  <c r="BM528" i="13" s="1"/>
  <c r="BN528" i="13"/>
  <c r="CH528" i="13"/>
  <c r="CQ528" i="13"/>
  <c r="F529" i="13"/>
  <c r="N529" i="13" a="1"/>
  <c r="N529" i="13" s="1"/>
  <c r="S529" i="13" a="1"/>
  <c r="S529" i="13" s="1"/>
  <c r="AD529" i="13"/>
  <c r="AH529" i="13"/>
  <c r="AI529" i="13"/>
  <c r="AJ529" i="13"/>
  <c r="AN529" i="13" a="1"/>
  <c r="AN529" i="13" s="1"/>
  <c r="AP529" i="13" a="1"/>
  <c r="AP529" i="13" s="1"/>
  <c r="AQ529" i="13"/>
  <c r="AR529" i="13" a="1"/>
  <c r="AR529" i="13"/>
  <c r="AS529" i="13" a="1"/>
  <c r="AS529" i="13" s="1"/>
  <c r="BM529" i="13" a="1"/>
  <c r="BM529" i="13" s="1"/>
  <c r="F530" i="13"/>
  <c r="N530" i="13" a="1"/>
  <c r="N530" i="13" s="1"/>
  <c r="S530" i="13" a="1"/>
  <c r="S530" i="13" s="1"/>
  <c r="AD530" i="13"/>
  <c r="AH530" i="13"/>
  <c r="AI530" i="13"/>
  <c r="AJ530" i="13"/>
  <c r="BK530" i="13" s="1"/>
  <c r="AN530" i="13" a="1"/>
  <c r="AN530" i="13" s="1"/>
  <c r="AP530" i="13" a="1"/>
  <c r="AP530" i="13" s="1"/>
  <c r="AQ530" i="13"/>
  <c r="AR530" i="13" a="1"/>
  <c r="AR530" i="13"/>
  <c r="AS530" i="13" a="1"/>
  <c r="AS530" i="13"/>
  <c r="BM530" i="13" a="1"/>
  <c r="BM530" i="13"/>
  <c r="BS530" i="13"/>
  <c r="CA530" i="13"/>
  <c r="CH530" i="13"/>
  <c r="CM530" i="13"/>
  <c r="CU530" i="13"/>
  <c r="F531" i="13"/>
  <c r="N531" i="13" a="1"/>
  <c r="N531" i="13" s="1"/>
  <c r="S531" i="13" a="1"/>
  <c r="S531" i="13" s="1"/>
  <c r="AD531" i="13"/>
  <c r="AH531" i="13"/>
  <c r="AI531" i="13"/>
  <c r="AJ531" i="13"/>
  <c r="BL531" i="13" s="1"/>
  <c r="AN531" i="13" a="1"/>
  <c r="AN531" i="13" s="1"/>
  <c r="AP531" i="13" a="1"/>
  <c r="AP531" i="13" s="1"/>
  <c r="AQ531" i="13"/>
  <c r="AR531" i="13" a="1"/>
  <c r="AR531" i="13"/>
  <c r="AS531" i="13" a="1"/>
  <c r="AS531" i="13" s="1"/>
  <c r="BM531" i="13" a="1"/>
  <c r="BM531" i="13" s="1"/>
  <c r="A532" i="13"/>
  <c r="F532" i="13"/>
  <c r="N532" i="13" a="1"/>
  <c r="N532" i="13" s="1"/>
  <c r="S532" i="13" a="1"/>
  <c r="S532" i="13" s="1"/>
  <c r="AD532" i="13"/>
  <c r="AH532" i="13"/>
  <c r="BS532" i="13" s="1"/>
  <c r="AI532" i="13"/>
  <c r="AJ532" i="13"/>
  <c r="BK532" i="13" s="1"/>
  <c r="AM532" i="13"/>
  <c r="AN532" i="13" a="1"/>
  <c r="AN532" i="13" s="1"/>
  <c r="AP532" i="13" a="1"/>
  <c r="AP532" i="13" s="1"/>
  <c r="AQ532" i="13"/>
  <c r="AR532" i="13" a="1"/>
  <c r="AR532" i="13" s="1"/>
  <c r="AS532" i="13" a="1"/>
  <c r="AS532" i="13"/>
  <c r="BI532" i="13" a="1"/>
  <c r="BI532" i="13"/>
  <c r="BJ532" i="13" s="1"/>
  <c r="BM532" i="13" a="1"/>
  <c r="BM532" i="13"/>
  <c r="BN532" i="13"/>
  <c r="BW532" i="13"/>
  <c r="CA532" i="13"/>
  <c r="CH532" i="13"/>
  <c r="CM532" i="13"/>
  <c r="CQ532" i="13"/>
  <c r="CU532" i="13"/>
  <c r="F533" i="13"/>
  <c r="N533" i="13" a="1"/>
  <c r="N533" i="13" s="1"/>
  <c r="S533" i="13" a="1"/>
  <c r="S533" i="13" s="1"/>
  <c r="AD533" i="13"/>
  <c r="AH533" i="13"/>
  <c r="AM533" i="13" s="1"/>
  <c r="AI533" i="13"/>
  <c r="AJ533" i="13"/>
  <c r="BL533" i="13" s="1"/>
  <c r="AN533" i="13" a="1"/>
  <c r="AN533" i="13" s="1"/>
  <c r="AP533" i="13" a="1"/>
  <c r="AP533" i="13" s="1"/>
  <c r="AQ533" i="13"/>
  <c r="AR533" i="13" a="1"/>
  <c r="AR533" i="13"/>
  <c r="AS533" i="13" a="1"/>
  <c r="AS533" i="13" s="1"/>
  <c r="BM533" i="13" a="1"/>
  <c r="BM533" i="13" s="1"/>
  <c r="CM533" i="13"/>
  <c r="F534" i="13"/>
  <c r="N534" i="13" a="1"/>
  <c r="N534" i="13" s="1"/>
  <c r="S534" i="13" a="1"/>
  <c r="S534" i="13" s="1"/>
  <c r="AD534" i="13"/>
  <c r="AH534" i="13"/>
  <c r="A534" i="13" s="1"/>
  <c r="AI534" i="13"/>
  <c r="AJ534" i="13"/>
  <c r="BK534" i="13" s="1"/>
  <c r="AN534" i="13" a="1"/>
  <c r="AN534" i="13" s="1"/>
  <c r="AP534" i="13" a="1"/>
  <c r="AP534" i="13" s="1"/>
  <c r="AQ534" i="13"/>
  <c r="AR534" i="13" a="1"/>
  <c r="AR534" i="13" s="1"/>
  <c r="AS534" i="13" a="1"/>
  <c r="AS534" i="13" s="1"/>
  <c r="BI534" i="13" a="1"/>
  <c r="BI534" i="13"/>
  <c r="BJ534" i="13" s="1"/>
  <c r="BM534" i="13" a="1"/>
  <c r="BM534" i="13" s="1"/>
  <c r="BN534" i="13"/>
  <c r="BS534" i="13"/>
  <c r="BW534" i="13"/>
  <c r="CA534" i="13"/>
  <c r="CH534" i="13"/>
  <c r="CM534" i="13"/>
  <c r="CQ534" i="13"/>
  <c r="CU534" i="13"/>
  <c r="F535" i="13"/>
  <c r="N535" i="13" a="1"/>
  <c r="N535" i="13" s="1"/>
  <c r="S535" i="13" a="1"/>
  <c r="S535" i="13" s="1"/>
  <c r="AD535" i="13"/>
  <c r="AH535" i="13"/>
  <c r="AM535" i="13" s="1"/>
  <c r="AI535" i="13"/>
  <c r="AJ535" i="13"/>
  <c r="BK535" i="13" s="1"/>
  <c r="AN535" i="13" a="1"/>
  <c r="AN535" i="13" s="1"/>
  <c r="AP535" i="13" a="1"/>
  <c r="AP535" i="13" s="1"/>
  <c r="AQ535" i="13"/>
  <c r="AR535" i="13" a="1"/>
  <c r="AR535" i="13" s="1"/>
  <c r="AS535" i="13" a="1"/>
  <c r="AS535" i="13" s="1"/>
  <c r="BM535" i="13" a="1"/>
  <c r="BM535" i="13" s="1"/>
  <c r="CM535" i="13"/>
  <c r="CU535" i="13"/>
  <c r="F536" i="13"/>
  <c r="N536" i="13" a="1"/>
  <c r="N536" i="13" s="1"/>
  <c r="S536" i="13" a="1"/>
  <c r="S536" i="13" s="1"/>
  <c r="AD536" i="13"/>
  <c r="AH536" i="13"/>
  <c r="CQ536" i="13" s="1"/>
  <c r="AI536" i="13"/>
  <c r="AJ536" i="13"/>
  <c r="BK536" i="13" s="1"/>
  <c r="AN536" i="13" a="1"/>
  <c r="AN536" i="13" s="1"/>
  <c r="AP536" i="13" a="1"/>
  <c r="AP536" i="13" s="1"/>
  <c r="AQ536" i="13"/>
  <c r="AR536" i="13" a="1"/>
  <c r="AR536" i="13"/>
  <c r="AS536" i="13" a="1"/>
  <c r="AS536" i="13"/>
  <c r="BM536" i="13" a="1"/>
  <c r="BM536" i="13" s="1"/>
  <c r="BS536" i="13"/>
  <c r="CA536" i="13"/>
  <c r="CM536" i="13"/>
  <c r="F537" i="13"/>
  <c r="N537" i="13" a="1"/>
  <c r="N537" i="13" s="1"/>
  <c r="S537" i="13" a="1"/>
  <c r="S537" i="13" s="1"/>
  <c r="AD537" i="13"/>
  <c r="AH537" i="13"/>
  <c r="AM537" i="13" s="1"/>
  <c r="AI537" i="13"/>
  <c r="AJ537" i="13"/>
  <c r="BK537" i="13" s="1"/>
  <c r="AN537" i="13" a="1"/>
  <c r="AN537" i="13" s="1"/>
  <c r="AP537" i="13" a="1"/>
  <c r="AP537" i="13"/>
  <c r="AQ537" i="13"/>
  <c r="AR537" i="13" a="1"/>
  <c r="AR537" i="13" s="1"/>
  <c r="AS537" i="13" a="1"/>
  <c r="AS537" i="13" s="1"/>
  <c r="BM537" i="13" a="1"/>
  <c r="BM537" i="13" s="1"/>
  <c r="CM537" i="13"/>
  <c r="CU537" i="13"/>
  <c r="F538" i="13"/>
  <c r="N538" i="13" a="1"/>
  <c r="N538" i="13" s="1"/>
  <c r="S538" i="13" a="1"/>
  <c r="S538" i="13" s="1"/>
  <c r="AD538" i="13"/>
  <c r="AH538" i="13"/>
  <c r="BW538" i="13" s="1"/>
  <c r="AI538" i="13"/>
  <c r="AJ538" i="13"/>
  <c r="AN538" i="13" a="1"/>
  <c r="AN538" i="13" s="1"/>
  <c r="AP538" i="13" a="1"/>
  <c r="AP538" i="13" s="1"/>
  <c r="AQ538" i="13"/>
  <c r="AR538" i="13" a="1"/>
  <c r="AR538" i="13" s="1"/>
  <c r="AS538" i="13" a="1"/>
  <c r="AS538" i="13"/>
  <c r="BM538" i="13" a="1"/>
  <c r="BM538" i="13" s="1"/>
  <c r="BN538" i="13"/>
  <c r="BS538" i="13"/>
  <c r="CQ538" i="13"/>
  <c r="F539" i="13"/>
  <c r="N539" i="13" a="1"/>
  <c r="N539" i="13" s="1"/>
  <c r="S539" i="13" a="1"/>
  <c r="S539" i="13" s="1"/>
  <c r="AD539" i="13"/>
  <c r="AH539" i="13"/>
  <c r="AM539" i="13" s="1"/>
  <c r="AI539" i="13"/>
  <c r="AJ539" i="13"/>
  <c r="AN539" i="13" a="1"/>
  <c r="AN539" i="13" s="1"/>
  <c r="AP539" i="13" a="1"/>
  <c r="AP539" i="13" s="1"/>
  <c r="AQ539" i="13"/>
  <c r="AR539" i="13" a="1"/>
  <c r="AR539" i="13"/>
  <c r="AS539" i="13" a="1"/>
  <c r="AS539" i="13" s="1"/>
  <c r="BM539" i="13" a="1"/>
  <c r="BM539" i="13" s="1"/>
  <c r="CU539" i="13"/>
  <c r="F540" i="13"/>
  <c r="N540" i="13" a="1"/>
  <c r="N540" i="13" s="1"/>
  <c r="S540" i="13" a="1"/>
  <c r="S540" i="13" s="1"/>
  <c r="AD540" i="13"/>
  <c r="AH540" i="13"/>
  <c r="AI540" i="13"/>
  <c r="AJ540" i="13"/>
  <c r="BK540" i="13" s="1"/>
  <c r="AN540" i="13" a="1"/>
  <c r="AN540" i="13" s="1"/>
  <c r="AP540" i="13" a="1"/>
  <c r="AP540" i="13" s="1"/>
  <c r="AQ540" i="13"/>
  <c r="AR540" i="13" a="1"/>
  <c r="AR540" i="13"/>
  <c r="AS540" i="13" a="1"/>
  <c r="AS540" i="13"/>
  <c r="BM540" i="13" a="1"/>
  <c r="BM540" i="13"/>
  <c r="BS540" i="13"/>
  <c r="CA540" i="13"/>
  <c r="F541" i="13"/>
  <c r="N541" i="13" a="1"/>
  <c r="N541" i="13" s="1"/>
  <c r="S541" i="13" a="1"/>
  <c r="S541" i="13" s="1"/>
  <c r="AD541" i="13"/>
  <c r="AH541" i="13"/>
  <c r="AM541" i="13" s="1"/>
  <c r="AI541" i="13"/>
  <c r="AJ541" i="13"/>
  <c r="AN541" i="13" a="1"/>
  <c r="AN541" i="13" s="1"/>
  <c r="AP541" i="13" a="1"/>
  <c r="AP541" i="13"/>
  <c r="AQ541" i="13"/>
  <c r="AR541" i="13" a="1"/>
  <c r="AR541" i="13" s="1"/>
  <c r="AS541" i="13" a="1"/>
  <c r="AS541" i="13" s="1"/>
  <c r="BM541" i="13" a="1"/>
  <c r="BM541" i="13" s="1"/>
  <c r="CM541" i="13"/>
  <c r="A542" i="13"/>
  <c r="F542" i="13"/>
  <c r="N542" i="13" a="1"/>
  <c r="N542" i="13" s="1"/>
  <c r="S542" i="13" a="1"/>
  <c r="S542" i="13" s="1"/>
  <c r="AD542" i="13"/>
  <c r="AH542" i="13"/>
  <c r="BN542" i="13" s="1"/>
  <c r="AI542" i="13"/>
  <c r="AJ542" i="13"/>
  <c r="AM542" i="13"/>
  <c r="AN542" i="13" a="1"/>
  <c r="AN542" i="13" s="1"/>
  <c r="AP542" i="13" a="1"/>
  <c r="AP542" i="13" s="1"/>
  <c r="AQ542" i="13"/>
  <c r="AR542" i="13" a="1"/>
  <c r="AR542" i="13"/>
  <c r="AS542" i="13" a="1"/>
  <c r="AS542" i="13" s="1"/>
  <c r="BI542" i="13" a="1"/>
  <c r="BI542" i="13" s="1"/>
  <c r="BM542" i="13" a="1"/>
  <c r="BM542" i="13" s="1"/>
  <c r="BS542" i="13"/>
  <c r="BW542" i="13"/>
  <c r="CH542" i="13"/>
  <c r="CQ542" i="13"/>
  <c r="CU542" i="13"/>
  <c r="F543" i="13"/>
  <c r="N543" i="13" a="1"/>
  <c r="N543" i="13" s="1"/>
  <c r="S543" i="13" a="1"/>
  <c r="S543" i="13" s="1"/>
  <c r="AD543" i="13"/>
  <c r="AH543" i="13"/>
  <c r="AI543" i="13"/>
  <c r="AJ543" i="13"/>
  <c r="BL543" i="13" s="1"/>
  <c r="AN543" i="13" a="1"/>
  <c r="AN543" i="13" s="1"/>
  <c r="AP543" i="13" a="1"/>
  <c r="AP543" i="13"/>
  <c r="AQ543" i="13"/>
  <c r="AR543" i="13" a="1"/>
  <c r="AR543" i="13"/>
  <c r="AS543" i="13" a="1"/>
  <c r="AS543" i="13" s="1"/>
  <c r="BK543" i="13"/>
  <c r="BM543" i="13" a="1"/>
  <c r="BM543" i="13" s="1"/>
  <c r="F544" i="13"/>
  <c r="N544" i="13" a="1"/>
  <c r="N544" i="13" s="1"/>
  <c r="S544" i="13" a="1"/>
  <c r="S544" i="13" s="1"/>
  <c r="AD544" i="13"/>
  <c r="AH544" i="13"/>
  <c r="BW544" i="13" s="1"/>
  <c r="AI544" i="13"/>
  <c r="AJ544" i="13"/>
  <c r="AN544" i="13" a="1"/>
  <c r="AN544" i="13" s="1"/>
  <c r="AP544" i="13" a="1"/>
  <c r="AP544" i="13" s="1"/>
  <c r="AQ544" i="13"/>
  <c r="AR544" i="13" a="1"/>
  <c r="AR544" i="13" s="1"/>
  <c r="AS544" i="13" a="1"/>
  <c r="AS544" i="13"/>
  <c r="BM544" i="13" a="1"/>
  <c r="BM544" i="13" s="1"/>
  <c r="BN544" i="13"/>
  <c r="BS544" i="13"/>
  <c r="CH544" i="13"/>
  <c r="CQ544" i="13"/>
  <c r="F545" i="13"/>
  <c r="N545" i="13" a="1"/>
  <c r="N545" i="13" s="1"/>
  <c r="S545" i="13" a="1"/>
  <c r="S545" i="13" s="1"/>
  <c r="AD545" i="13"/>
  <c r="AH545" i="13"/>
  <c r="AI545" i="13"/>
  <c r="AJ545" i="13"/>
  <c r="BL545" i="13" s="1"/>
  <c r="AN545" i="13" a="1"/>
  <c r="AN545" i="13" s="1"/>
  <c r="AP545" i="13" a="1"/>
  <c r="AP545" i="13" s="1"/>
  <c r="AQ545" i="13"/>
  <c r="AR545" i="13" a="1"/>
  <c r="AR545" i="13"/>
  <c r="AS545" i="13" a="1"/>
  <c r="AS545" i="13" s="1"/>
  <c r="BM545" i="13" a="1"/>
  <c r="BM545" i="13" s="1"/>
  <c r="F546" i="13"/>
  <c r="N546" i="13" a="1"/>
  <c r="N546" i="13" s="1"/>
  <c r="S546" i="13" a="1"/>
  <c r="S546" i="13" s="1"/>
  <c r="AD546" i="13"/>
  <c r="AH546" i="13"/>
  <c r="CU546" i="13" s="1"/>
  <c r="AI546" i="13"/>
  <c r="AJ546" i="13"/>
  <c r="BK546" i="13" s="1"/>
  <c r="AN546" i="13" a="1"/>
  <c r="AN546" i="13" s="1"/>
  <c r="AP546" i="13" a="1"/>
  <c r="AP546" i="13" s="1"/>
  <c r="AQ546" i="13"/>
  <c r="AR546" i="13" a="1"/>
  <c r="AR546" i="13"/>
  <c r="AS546" i="13" a="1"/>
  <c r="AS546" i="13"/>
  <c r="BM546" i="13" a="1"/>
  <c r="BM546" i="13" s="1"/>
  <c r="BS546" i="13"/>
  <c r="CA546" i="13"/>
  <c r="CM546" i="13"/>
  <c r="CQ546" i="13"/>
  <c r="F547" i="13"/>
  <c r="N547" i="13" a="1"/>
  <c r="N547" i="13" s="1"/>
  <c r="S547" i="13" a="1"/>
  <c r="S547" i="13" s="1"/>
  <c r="AD547" i="13"/>
  <c r="AH547" i="13"/>
  <c r="AI547" i="13"/>
  <c r="AJ547" i="13"/>
  <c r="BL547" i="13" s="1"/>
  <c r="AN547" i="13" a="1"/>
  <c r="AN547" i="13" s="1"/>
  <c r="AP547" i="13" a="1"/>
  <c r="AP547" i="13"/>
  <c r="AQ547" i="13"/>
  <c r="AR547" i="13" a="1"/>
  <c r="AR547" i="13" s="1"/>
  <c r="AS547" i="13" a="1"/>
  <c r="AS547" i="13" s="1"/>
  <c r="BM547" i="13" a="1"/>
  <c r="BM547" i="13" s="1"/>
  <c r="CU547" i="13"/>
  <c r="F548" i="13"/>
  <c r="N548" i="13" a="1"/>
  <c r="N548" i="13" s="1"/>
  <c r="S548" i="13" a="1"/>
  <c r="S548" i="13" s="1"/>
  <c r="AD548" i="13"/>
  <c r="AH548" i="13"/>
  <c r="BS548" i="13" s="1"/>
  <c r="AI548" i="13"/>
  <c r="AJ548" i="13"/>
  <c r="AN548" i="13" a="1"/>
  <c r="AN548" i="13" s="1"/>
  <c r="AP548" i="13" a="1"/>
  <c r="AP548" i="13" s="1"/>
  <c r="AQ548" i="13"/>
  <c r="AR548" i="13" a="1"/>
  <c r="AR548" i="13"/>
  <c r="AS548" i="13" a="1"/>
  <c r="AS548" i="13" s="1"/>
  <c r="BM548" i="13" a="1"/>
  <c r="BM548" i="13"/>
  <c r="F549" i="13"/>
  <c r="N549" i="13" a="1"/>
  <c r="N549" i="13" s="1"/>
  <c r="S549" i="13" a="1"/>
  <c r="S549" i="13" s="1"/>
  <c r="AD549" i="13"/>
  <c r="AH549" i="13"/>
  <c r="AI549" i="13"/>
  <c r="AJ549" i="13"/>
  <c r="BL549" i="13" s="1"/>
  <c r="AN549" i="13" a="1"/>
  <c r="AN549" i="13" s="1"/>
  <c r="AP549" i="13" a="1"/>
  <c r="AP549" i="13"/>
  <c r="AQ549" i="13"/>
  <c r="AR549" i="13" a="1"/>
  <c r="AR549" i="13"/>
  <c r="AS549" i="13" a="1"/>
  <c r="AS549" i="13" s="1"/>
  <c r="BM549" i="13" a="1"/>
  <c r="BM549" i="13" s="1"/>
  <c r="CM549" i="13"/>
  <c r="F550" i="13"/>
  <c r="N550" i="13" a="1"/>
  <c r="N550" i="13" s="1"/>
  <c r="S550" i="13" a="1"/>
  <c r="S550" i="13" s="1"/>
  <c r="AD550" i="13"/>
  <c r="AH550" i="13"/>
  <c r="CU550" i="13" s="1"/>
  <c r="AI550" i="13"/>
  <c r="AJ550" i="13"/>
  <c r="BK550" i="13" s="1"/>
  <c r="AN550" i="13" a="1"/>
  <c r="AN550" i="13" s="1"/>
  <c r="AP550" i="13" a="1"/>
  <c r="AP550" i="13" s="1"/>
  <c r="AQ550" i="13"/>
  <c r="AR550" i="13" a="1"/>
  <c r="AR550" i="13"/>
  <c r="AS550" i="13" a="1"/>
  <c r="AS550" i="13"/>
  <c r="BM550" i="13" a="1"/>
  <c r="BM550" i="13" s="1"/>
  <c r="BS550" i="13"/>
  <c r="CA550" i="13"/>
  <c r="CM550" i="13"/>
  <c r="CQ550" i="13"/>
  <c r="F551" i="13"/>
  <c r="N551" i="13" a="1"/>
  <c r="N551" i="13" s="1"/>
  <c r="S551" i="13" a="1"/>
  <c r="S551" i="13" s="1"/>
  <c r="AD551" i="13"/>
  <c r="AH551" i="13"/>
  <c r="AI551" i="13"/>
  <c r="AJ551" i="13"/>
  <c r="BL551" i="13" s="1"/>
  <c r="AN551" i="13" a="1"/>
  <c r="AN551" i="13" s="1"/>
  <c r="AP551" i="13" a="1"/>
  <c r="AP551" i="13"/>
  <c r="AQ551" i="13"/>
  <c r="AR551" i="13" a="1"/>
  <c r="AR551" i="13" s="1"/>
  <c r="AS551" i="13" a="1"/>
  <c r="AS551" i="13" s="1"/>
  <c r="BK551" i="13"/>
  <c r="BM551" i="13" a="1"/>
  <c r="BM551" i="13" s="1"/>
  <c r="CU551" i="13"/>
  <c r="F552" i="13"/>
  <c r="N552" i="13" a="1"/>
  <c r="N552" i="13" s="1"/>
  <c r="S552" i="13" a="1"/>
  <c r="S552" i="13" s="1"/>
  <c r="AD552" i="13"/>
  <c r="AH552" i="13"/>
  <c r="CA552" i="13" s="1"/>
  <c r="AI552" i="13"/>
  <c r="AJ552" i="13"/>
  <c r="AN552" i="13" a="1"/>
  <c r="AN552" i="13" s="1"/>
  <c r="AP552" i="13" a="1"/>
  <c r="AP552" i="13" s="1"/>
  <c r="AQ552" i="13"/>
  <c r="AR552" i="13" a="1"/>
  <c r="AR552" i="13" s="1"/>
  <c r="AS552" i="13" a="1"/>
  <c r="AS552" i="13" s="1"/>
  <c r="BM552" i="13" a="1"/>
  <c r="BM552" i="13"/>
  <c r="BS552" i="13"/>
  <c r="BW552" i="13"/>
  <c r="CU552" i="13"/>
  <c r="F553" i="13"/>
  <c r="N553" i="13" a="1"/>
  <c r="N553" i="13" s="1"/>
  <c r="S553" i="13" a="1"/>
  <c r="S553" i="13" s="1"/>
  <c r="AD553" i="13"/>
  <c r="AH553" i="13"/>
  <c r="CM553" i="13" s="1"/>
  <c r="AI553" i="13"/>
  <c r="AJ553" i="13"/>
  <c r="BL553" i="13" s="1"/>
  <c r="AN553" i="13" a="1"/>
  <c r="AN553" i="13" s="1"/>
  <c r="AP553" i="13" a="1"/>
  <c r="AP553" i="13"/>
  <c r="AQ553" i="13"/>
  <c r="AR553" i="13" a="1"/>
  <c r="AR553" i="13"/>
  <c r="AS553" i="13" a="1"/>
  <c r="AS553" i="13" s="1"/>
  <c r="BK553" i="13"/>
  <c r="BM553" i="13" a="1"/>
  <c r="BM553" i="13" s="1"/>
  <c r="CU553" i="13"/>
  <c r="F554" i="13"/>
  <c r="N554" i="13" a="1"/>
  <c r="N554" i="13" s="1"/>
  <c r="S554" i="13" a="1"/>
  <c r="S554" i="13" s="1"/>
  <c r="AD554" i="13"/>
  <c r="AH554" i="13"/>
  <c r="BS554" i="13" s="1"/>
  <c r="AI554" i="13"/>
  <c r="AJ554" i="13"/>
  <c r="BK554" i="13" s="1"/>
  <c r="AN554" i="13" a="1"/>
  <c r="AN554" i="13" s="1"/>
  <c r="AP554" i="13" a="1"/>
  <c r="AP554" i="13" s="1"/>
  <c r="AQ554" i="13"/>
  <c r="AR554" i="13" a="1"/>
  <c r="AR554" i="13"/>
  <c r="AS554" i="13" a="1"/>
  <c r="AS554" i="13"/>
  <c r="BM554" i="13" a="1"/>
  <c r="BM554" i="13"/>
  <c r="F555" i="13"/>
  <c r="N555" i="13" a="1"/>
  <c r="N555" i="13" s="1"/>
  <c r="S555" i="13" a="1"/>
  <c r="S555" i="13" s="1"/>
  <c r="AD555" i="13"/>
  <c r="AH555" i="13"/>
  <c r="CU555" i="13" s="1"/>
  <c r="AI555" i="13"/>
  <c r="AJ555" i="13"/>
  <c r="BL555" i="13" s="1"/>
  <c r="AN555" i="13" a="1"/>
  <c r="AN555" i="13" s="1"/>
  <c r="AP555" i="13" a="1"/>
  <c r="AP555" i="13"/>
  <c r="AQ555" i="13"/>
  <c r="AR555" i="13" a="1"/>
  <c r="AR555" i="13" s="1"/>
  <c r="AS555" i="13" a="1"/>
  <c r="AS555" i="13" s="1"/>
  <c r="BM555" i="13" a="1"/>
  <c r="BM555" i="13" s="1"/>
  <c r="F556" i="13"/>
  <c r="N556" i="13" a="1"/>
  <c r="N556" i="13" s="1"/>
  <c r="S556" i="13" a="1"/>
  <c r="S556" i="13" s="1"/>
  <c r="AD556" i="13"/>
  <c r="AH556" i="13"/>
  <c r="CA556" i="13" s="1"/>
  <c r="AI556" i="13"/>
  <c r="AJ556" i="13"/>
  <c r="AN556" i="13" a="1"/>
  <c r="AN556" i="13" s="1"/>
  <c r="AP556" i="13" a="1"/>
  <c r="AP556" i="13" s="1"/>
  <c r="AQ556" i="13"/>
  <c r="AR556" i="13" a="1"/>
  <c r="AR556" i="13" s="1"/>
  <c r="AS556" i="13" a="1"/>
  <c r="AS556" i="13" s="1"/>
  <c r="BM556" i="13" a="1"/>
  <c r="BM556" i="13"/>
  <c r="BS556" i="13"/>
  <c r="BW556" i="13"/>
  <c r="CU556" i="13"/>
  <c r="F557" i="13"/>
  <c r="N557" i="13" a="1"/>
  <c r="N557" i="13" s="1"/>
  <c r="S557" i="13" a="1"/>
  <c r="S557" i="13" s="1"/>
  <c r="AD557" i="13"/>
  <c r="AH557" i="13"/>
  <c r="CM557" i="13" s="1"/>
  <c r="AI557" i="13"/>
  <c r="AJ557" i="13"/>
  <c r="BL557" i="13" s="1"/>
  <c r="AN557" i="13" a="1"/>
  <c r="AN557" i="13" s="1"/>
  <c r="AP557" i="13" a="1"/>
  <c r="AP557" i="13" s="1"/>
  <c r="AQ557" i="13"/>
  <c r="AR557" i="13" a="1"/>
  <c r="AR557" i="13"/>
  <c r="AS557" i="13" a="1"/>
  <c r="AS557" i="13" s="1"/>
  <c r="BM557" i="13" a="1"/>
  <c r="BM557" i="13" s="1"/>
  <c r="CA557" i="13"/>
  <c r="CH557" i="13"/>
  <c r="F558" i="13"/>
  <c r="N558" i="13" a="1"/>
  <c r="N558" i="13" s="1"/>
  <c r="S558" i="13" a="1"/>
  <c r="S558" i="13" s="1"/>
  <c r="AD558" i="13"/>
  <c r="AH558" i="13"/>
  <c r="BS558" i="13" s="1"/>
  <c r="AI558" i="13"/>
  <c r="AJ558" i="13"/>
  <c r="AN558" i="13" a="1"/>
  <c r="AN558" i="13" s="1"/>
  <c r="AP558" i="13" a="1"/>
  <c r="AP558" i="13"/>
  <c r="AQ558" i="13"/>
  <c r="AR558" i="13" a="1"/>
  <c r="AR558" i="13" s="1"/>
  <c r="AS558" i="13" a="1"/>
  <c r="AS558" i="13" s="1"/>
  <c r="BM558" i="13" a="1"/>
  <c r="BM558" i="13" s="1"/>
  <c r="F559" i="13"/>
  <c r="N559" i="13" a="1"/>
  <c r="N559" i="13" s="1"/>
  <c r="S559" i="13" a="1"/>
  <c r="S559" i="13" s="1"/>
  <c r="AD559" i="13"/>
  <c r="AH559" i="13"/>
  <c r="A559" i="13" s="1"/>
  <c r="AI559" i="13"/>
  <c r="AJ559" i="13"/>
  <c r="BL559" i="13" s="1"/>
  <c r="AM559" i="13"/>
  <c r="AN559" i="13" a="1"/>
  <c r="AN559" i="13" s="1"/>
  <c r="AP559" i="13" a="1"/>
  <c r="AP559" i="13" s="1"/>
  <c r="AQ559" i="13"/>
  <c r="AR559" i="13" a="1"/>
  <c r="AR559" i="13"/>
  <c r="AS559" i="13" a="1"/>
  <c r="AS559" i="13" s="1"/>
  <c r="BM559" i="13" a="1"/>
  <c r="BM559" i="13" s="1"/>
  <c r="A560" i="13"/>
  <c r="F560" i="13"/>
  <c r="N560" i="13" a="1"/>
  <c r="N560" i="13" s="1"/>
  <c r="S560" i="13" a="1"/>
  <c r="S560" i="13" s="1"/>
  <c r="AD560" i="13"/>
  <c r="AH560" i="13"/>
  <c r="CM560" i="13" s="1"/>
  <c r="AI560" i="13"/>
  <c r="AJ560" i="13"/>
  <c r="AM560" i="13"/>
  <c r="AN560" i="13" a="1"/>
  <c r="AN560" i="13" s="1"/>
  <c r="AP560" i="13" a="1"/>
  <c r="AP560" i="13"/>
  <c r="AQ560" i="13"/>
  <c r="AR560" i="13" a="1"/>
  <c r="AR560" i="13"/>
  <c r="AS560" i="13" a="1"/>
  <c r="AS560" i="13"/>
  <c r="BI560" i="13" a="1"/>
  <c r="BI560" i="13" s="1"/>
  <c r="BJ560" i="13" s="1"/>
  <c r="BM560" i="13" a="1"/>
  <c r="BM560" i="13" s="1"/>
  <c r="BN560" i="13"/>
  <c r="BS560" i="13"/>
  <c r="CA560" i="13"/>
  <c r="CH560" i="13"/>
  <c r="CQ560" i="13"/>
  <c r="CU560" i="13"/>
  <c r="F561" i="13"/>
  <c r="N561" i="13" a="1"/>
  <c r="N561" i="13" s="1"/>
  <c r="S561" i="13" a="1"/>
  <c r="S561" i="13" s="1"/>
  <c r="AD561" i="13"/>
  <c r="AH561" i="13"/>
  <c r="A561" i="13" s="1"/>
  <c r="AI561" i="13"/>
  <c r="AJ561" i="13"/>
  <c r="BL561" i="13" s="1"/>
  <c r="AN561" i="13" a="1"/>
  <c r="AN561" i="13" s="1"/>
  <c r="AP561" i="13" a="1"/>
  <c r="AP561" i="13" s="1"/>
  <c r="AQ561" i="13"/>
  <c r="AR561" i="13" a="1"/>
  <c r="AR561" i="13"/>
  <c r="AS561" i="13" a="1"/>
  <c r="AS561" i="13" s="1"/>
  <c r="BM561" i="13" a="1"/>
  <c r="BM561" i="13"/>
  <c r="F562" i="13"/>
  <c r="N562" i="13" a="1"/>
  <c r="N562" i="13" s="1"/>
  <c r="S562" i="13" a="1"/>
  <c r="S562" i="13" s="1"/>
  <c r="AD562" i="13"/>
  <c r="AH562" i="13"/>
  <c r="BN562" i="13" s="1"/>
  <c r="AI562" i="13"/>
  <c r="AJ562" i="13"/>
  <c r="AN562" i="13" a="1"/>
  <c r="AN562" i="13" s="1"/>
  <c r="AP562" i="13" a="1"/>
  <c r="AP562" i="13" s="1"/>
  <c r="AQ562" i="13"/>
  <c r="AR562" i="13" a="1"/>
  <c r="AR562" i="13" s="1"/>
  <c r="AS562" i="13" a="1"/>
  <c r="AS562" i="13"/>
  <c r="BM562" i="13" a="1"/>
  <c r="BM562" i="13" s="1"/>
  <c r="CH562" i="13"/>
  <c r="CQ562" i="13"/>
  <c r="CU562" i="13"/>
  <c r="F563" i="13"/>
  <c r="N563" i="13" a="1"/>
  <c r="N563" i="13" s="1"/>
  <c r="S563" i="13" a="1"/>
  <c r="S563" i="13" s="1"/>
  <c r="AD563" i="13"/>
  <c r="AH563" i="13"/>
  <c r="A563" i="13" s="1"/>
  <c r="AI563" i="13"/>
  <c r="AJ563" i="13"/>
  <c r="BL563" i="13" s="1"/>
  <c r="AN563" i="13" a="1"/>
  <c r="AN563" i="13" s="1"/>
  <c r="AP563" i="13" a="1"/>
  <c r="AP563" i="13" s="1"/>
  <c r="AQ563" i="13"/>
  <c r="AR563" i="13" a="1"/>
  <c r="AR563" i="13" s="1"/>
  <c r="AS563" i="13" a="1"/>
  <c r="AS563" i="13" s="1"/>
  <c r="BK563" i="13"/>
  <c r="BM563" i="13" a="1"/>
  <c r="BM563" i="13"/>
  <c r="BW563" i="13"/>
  <c r="CA563" i="13"/>
  <c r="CM563" i="13"/>
  <c r="F564" i="13"/>
  <c r="N564" i="13" a="1"/>
  <c r="N564" i="13" s="1"/>
  <c r="S564" i="13" a="1"/>
  <c r="S564" i="13" s="1"/>
  <c r="AD564" i="13"/>
  <c r="AH564" i="13"/>
  <c r="CQ564" i="13" s="1"/>
  <c r="AI564" i="13"/>
  <c r="AJ564" i="13"/>
  <c r="AN564" i="13" a="1"/>
  <c r="AN564" i="13" s="1"/>
  <c r="AP564" i="13" a="1"/>
  <c r="AP564" i="13" s="1"/>
  <c r="AQ564" i="13"/>
  <c r="AR564" i="13" a="1"/>
  <c r="AR564" i="13" s="1"/>
  <c r="AS564" i="13" a="1"/>
  <c r="AS564" i="13" s="1"/>
  <c r="BM564" i="13" a="1"/>
  <c r="BM564" i="13"/>
  <c r="BN564" i="13"/>
  <c r="BW564" i="13"/>
  <c r="CH564" i="13"/>
  <c r="CM564" i="13"/>
  <c r="F565" i="13"/>
  <c r="N565" i="13" a="1"/>
  <c r="N565" i="13" s="1"/>
  <c r="S565" i="13" a="1"/>
  <c r="S565" i="13" s="1"/>
  <c r="AD565" i="13"/>
  <c r="AH565" i="13"/>
  <c r="A565" i="13" s="1"/>
  <c r="AI565" i="13"/>
  <c r="AJ565" i="13"/>
  <c r="BL565" i="13" s="1"/>
  <c r="AN565" i="13" a="1"/>
  <c r="AN565" i="13" s="1"/>
  <c r="AP565" i="13" a="1"/>
  <c r="AP565" i="13"/>
  <c r="AQ565" i="13"/>
  <c r="AR565" i="13" a="1"/>
  <c r="AR565" i="13" s="1"/>
  <c r="AS565" i="13" a="1"/>
  <c r="AS565" i="13" s="1"/>
  <c r="BM565" i="13" a="1"/>
  <c r="BM565" i="13"/>
  <c r="CH565" i="13"/>
  <c r="CU565" i="13"/>
  <c r="F566" i="13"/>
  <c r="N566" i="13" a="1"/>
  <c r="N566" i="13" s="1"/>
  <c r="S566" i="13" a="1"/>
  <c r="S566" i="13" s="1"/>
  <c r="AD566" i="13"/>
  <c r="AH566" i="13"/>
  <c r="BW566" i="13" s="1"/>
  <c r="AI566" i="13"/>
  <c r="AJ566" i="13"/>
  <c r="AN566" i="13" a="1"/>
  <c r="AN566" i="13" s="1"/>
  <c r="AP566" i="13" a="1"/>
  <c r="AP566" i="13"/>
  <c r="AQ566" i="13"/>
  <c r="AR566" i="13" a="1"/>
  <c r="AR566" i="13" s="1"/>
  <c r="AS566" i="13" a="1"/>
  <c r="AS566" i="13"/>
  <c r="BM566" i="13" a="1"/>
  <c r="BM566" i="13"/>
  <c r="BS566" i="13"/>
  <c r="CU566" i="13"/>
  <c r="F567" i="13"/>
  <c r="N567" i="13" a="1"/>
  <c r="N567" i="13" s="1"/>
  <c r="S567" i="13" a="1"/>
  <c r="S567" i="13" s="1"/>
  <c r="AD567" i="13"/>
  <c r="AH567" i="13"/>
  <c r="A567" i="13" s="1"/>
  <c r="AI567" i="13"/>
  <c r="AJ567" i="13"/>
  <c r="BL567" i="13" s="1"/>
  <c r="AM567" i="13"/>
  <c r="AN567" i="13" a="1"/>
  <c r="AN567" i="13" s="1"/>
  <c r="AP567" i="13" a="1"/>
  <c r="AP567" i="13" s="1"/>
  <c r="AQ567" i="13"/>
  <c r="AR567" i="13" a="1"/>
  <c r="AR567" i="13"/>
  <c r="AS567" i="13" a="1"/>
  <c r="AS567" i="13" s="1"/>
  <c r="BK567" i="13"/>
  <c r="BM567" i="13" a="1"/>
  <c r="BM567" i="13" s="1"/>
  <c r="BS567" i="13"/>
  <c r="CA567" i="13"/>
  <c r="CH567" i="13"/>
  <c r="CU567" i="13"/>
  <c r="F568" i="13"/>
  <c r="N568" i="13" a="1"/>
  <c r="N568" i="13" s="1"/>
  <c r="S568" i="13" a="1"/>
  <c r="S568" i="13" s="1"/>
  <c r="AD568" i="13"/>
  <c r="AH568" i="13"/>
  <c r="BS568" i="13" s="1"/>
  <c r="AI568" i="13"/>
  <c r="AJ568" i="13"/>
  <c r="AN568" i="13" a="1"/>
  <c r="AN568" i="13" s="1"/>
  <c r="AP568" i="13" a="1"/>
  <c r="AP568" i="13" s="1"/>
  <c r="AQ568" i="13"/>
  <c r="AR568" i="13" a="1"/>
  <c r="AR568" i="13" s="1"/>
  <c r="AS568" i="13" a="1"/>
  <c r="AS568" i="13" s="1"/>
  <c r="BM568" i="13" a="1"/>
  <c r="BM568" i="13" s="1"/>
  <c r="BW568" i="13"/>
  <c r="CH568" i="13"/>
  <c r="CQ568" i="13"/>
  <c r="CU568" i="13"/>
  <c r="F569" i="13"/>
  <c r="N569" i="13" a="1"/>
  <c r="N569" i="13" s="1"/>
  <c r="S569" i="13" a="1"/>
  <c r="S569" i="13" s="1"/>
  <c r="AD569" i="13"/>
  <c r="AH569" i="13"/>
  <c r="CH569" i="13" s="1"/>
  <c r="AI569" i="13"/>
  <c r="AJ569" i="13"/>
  <c r="BK569" i="13" s="1"/>
  <c r="AM569" i="13"/>
  <c r="AN569" i="13" a="1"/>
  <c r="AN569" i="13" s="1"/>
  <c r="AP569" i="13" a="1"/>
  <c r="AP569" i="13"/>
  <c r="AQ569" i="13"/>
  <c r="AR569" i="13" a="1"/>
  <c r="AR569" i="13" s="1"/>
  <c r="AS569" i="13" a="1"/>
  <c r="AS569" i="13" s="1"/>
  <c r="BL569" i="13"/>
  <c r="BM569" i="13" a="1"/>
  <c r="BM569" i="13" s="1"/>
  <c r="CU569" i="13"/>
  <c r="F570" i="13"/>
  <c r="N570" i="13" a="1"/>
  <c r="N570" i="13" s="1"/>
  <c r="S570" i="13" a="1"/>
  <c r="S570" i="13" s="1"/>
  <c r="AD570" i="13"/>
  <c r="AH570" i="13"/>
  <c r="AI570" i="13"/>
  <c r="AJ570" i="13"/>
  <c r="AN570" i="13" a="1"/>
  <c r="AN570" i="13"/>
  <c r="AP570" i="13" a="1"/>
  <c r="AP570" i="13" s="1"/>
  <c r="AQ570" i="13"/>
  <c r="AR570" i="13" a="1"/>
  <c r="AR570" i="13"/>
  <c r="AS570" i="13" a="1"/>
  <c r="AS570" i="13" s="1"/>
  <c r="BM570" i="13" a="1"/>
  <c r="BM570" i="13"/>
  <c r="BW570" i="13"/>
  <c r="F571" i="13"/>
  <c r="N571" i="13" a="1"/>
  <c r="N571" i="13" s="1"/>
  <c r="S571" i="13" a="1"/>
  <c r="S571" i="13" s="1"/>
  <c r="AD571" i="13"/>
  <c r="AH571" i="13"/>
  <c r="CH571" i="13" s="1"/>
  <c r="AI571" i="13"/>
  <c r="AJ571" i="13"/>
  <c r="AN571" i="13" a="1"/>
  <c r="AN571" i="13" s="1"/>
  <c r="AP571" i="13" a="1"/>
  <c r="AP571" i="13" s="1"/>
  <c r="AQ571" i="13"/>
  <c r="AR571" i="13" a="1"/>
  <c r="AR571" i="13" s="1"/>
  <c r="AS571" i="13" a="1"/>
  <c r="AS571" i="13" s="1"/>
  <c r="BM571" i="13" a="1"/>
  <c r="BM571" i="13" s="1"/>
  <c r="BS571" i="13"/>
  <c r="A572" i="13"/>
  <c r="F572" i="13"/>
  <c r="N572" i="13" a="1"/>
  <c r="N572" i="13" s="1"/>
  <c r="S572" i="13" a="1"/>
  <c r="S572" i="13" s="1"/>
  <c r="AD572" i="13"/>
  <c r="AH572" i="13"/>
  <c r="BI572" i="13" s="1" a="1"/>
  <c r="BI572" i="13" s="1"/>
  <c r="AI572" i="13"/>
  <c r="AJ572" i="13"/>
  <c r="AM572" i="13"/>
  <c r="AN572" i="13" a="1"/>
  <c r="AN572" i="13" s="1"/>
  <c r="AP572" i="13" a="1"/>
  <c r="AP572" i="13"/>
  <c r="AQ572" i="13"/>
  <c r="AR572" i="13" a="1"/>
  <c r="AR572" i="13" s="1"/>
  <c r="AS572" i="13" a="1"/>
  <c r="AS572" i="13" s="1"/>
  <c r="BM572" i="13" a="1"/>
  <c r="BM572" i="13" s="1"/>
  <c r="BN572" i="13"/>
  <c r="BS572" i="13"/>
  <c r="BW572" i="13"/>
  <c r="CH572" i="13"/>
  <c r="CM572" i="13"/>
  <c r="CU572" i="13"/>
  <c r="F573" i="13"/>
  <c r="N573" i="13" a="1"/>
  <c r="N573" i="13" s="1"/>
  <c r="S573" i="13" a="1"/>
  <c r="S573" i="13" s="1"/>
  <c r="AD573" i="13"/>
  <c r="AH573" i="13"/>
  <c r="AI573" i="13"/>
  <c r="AJ573" i="13"/>
  <c r="AN573" i="13" a="1"/>
  <c r="AN573" i="13" s="1"/>
  <c r="AP573" i="13" a="1"/>
  <c r="AP573" i="13" s="1"/>
  <c r="AQ573" i="13"/>
  <c r="AR573" i="13" a="1"/>
  <c r="AR573" i="13"/>
  <c r="AS573" i="13" a="1"/>
  <c r="AS573" i="13" s="1"/>
  <c r="BM573" i="13" a="1"/>
  <c r="BM573" i="13" s="1"/>
  <c r="CU573" i="13"/>
  <c r="F574" i="13"/>
  <c r="N574" i="13" a="1"/>
  <c r="N574" i="13" s="1"/>
  <c r="S574" i="13" a="1"/>
  <c r="S574" i="13" s="1"/>
  <c r="AD574" i="13"/>
  <c r="AH574" i="13"/>
  <c r="CU574" i="13" s="1"/>
  <c r="AI574" i="13"/>
  <c r="AJ574" i="13"/>
  <c r="AN574" i="13" a="1"/>
  <c r="AN574" i="13"/>
  <c r="AP574" i="13" a="1"/>
  <c r="AP574" i="13" s="1"/>
  <c r="AQ574" i="13"/>
  <c r="AR574" i="13" a="1"/>
  <c r="AR574" i="13" s="1"/>
  <c r="AS574" i="13" a="1"/>
  <c r="AS574" i="13" s="1"/>
  <c r="BM574" i="13" a="1"/>
  <c r="BM574" i="13" s="1"/>
  <c r="BS574" i="13"/>
  <c r="CA574" i="13"/>
  <c r="CM574" i="13"/>
  <c r="CQ574" i="13"/>
  <c r="F575" i="13"/>
  <c r="N575" i="13" a="1"/>
  <c r="N575" i="13" s="1"/>
  <c r="S575" i="13" a="1"/>
  <c r="S575" i="13" s="1"/>
  <c r="AD575" i="13"/>
  <c r="AH575" i="13"/>
  <c r="CH575" i="13" s="1"/>
  <c r="AI575" i="13"/>
  <c r="AJ575" i="13"/>
  <c r="BL575" i="13" s="1"/>
  <c r="AN575" i="13" a="1"/>
  <c r="AN575" i="13" s="1"/>
  <c r="AP575" i="13" a="1"/>
  <c r="AP575" i="13" s="1"/>
  <c r="AQ575" i="13"/>
  <c r="AR575" i="13" a="1"/>
  <c r="AR575" i="13" s="1"/>
  <c r="AS575" i="13" a="1"/>
  <c r="AS575" i="13" s="1"/>
  <c r="BM575" i="13" a="1"/>
  <c r="BM575" i="13"/>
  <c r="F576" i="13"/>
  <c r="N576" i="13" a="1"/>
  <c r="N576" i="13" s="1"/>
  <c r="S576" i="13" a="1"/>
  <c r="S576" i="13" s="1"/>
  <c r="AD576" i="13"/>
  <c r="AH576" i="13"/>
  <c r="CU576" i="13" s="1"/>
  <c r="AI576" i="13"/>
  <c r="AJ576" i="13"/>
  <c r="BL576" i="13" s="1"/>
  <c r="AN576" i="13" a="1"/>
  <c r="AN576" i="13"/>
  <c r="AP576" i="13" a="1"/>
  <c r="AP576" i="13" s="1"/>
  <c r="AQ576" i="13"/>
  <c r="AR576" i="13" a="1"/>
  <c r="AR576" i="13" s="1"/>
  <c r="AS576" i="13" a="1"/>
  <c r="AS576" i="13"/>
  <c r="BK576" i="13"/>
  <c r="BM576" i="13" a="1"/>
  <c r="BM576" i="13"/>
  <c r="BS576" i="13"/>
  <c r="BW576" i="13"/>
  <c r="CM576" i="13"/>
  <c r="F577" i="13"/>
  <c r="N577" i="13" a="1"/>
  <c r="N577" i="13" s="1"/>
  <c r="S577" i="13" a="1"/>
  <c r="S577" i="13" s="1"/>
  <c r="AD577" i="13"/>
  <c r="AH577" i="13"/>
  <c r="BN577" i="13" s="1"/>
  <c r="AI577" i="13"/>
  <c r="AJ577" i="13"/>
  <c r="BK577" i="13" s="1"/>
  <c r="AN577" i="13" a="1"/>
  <c r="AN577" i="13"/>
  <c r="AP577" i="13" a="1"/>
  <c r="AP577" i="13" s="1"/>
  <c r="AQ577" i="13"/>
  <c r="AR577" i="13" a="1"/>
  <c r="AR577" i="13"/>
  <c r="AS577" i="13" a="1"/>
  <c r="AS577" i="13"/>
  <c r="BM577" i="13" a="1"/>
  <c r="BM577" i="13" s="1"/>
  <c r="CH577" i="13"/>
  <c r="CQ577" i="13"/>
  <c r="A578" i="13"/>
  <c r="F578" i="13"/>
  <c r="N578" i="13" a="1"/>
  <c r="N578" i="13" s="1"/>
  <c r="S578" i="13" a="1"/>
  <c r="S578" i="13" s="1"/>
  <c r="AD578" i="13"/>
  <c r="AH578" i="13"/>
  <c r="CU578" i="13" s="1"/>
  <c r="AI578" i="13"/>
  <c r="AJ578" i="13"/>
  <c r="AN578" i="13" a="1"/>
  <c r="AN578" i="13" s="1"/>
  <c r="AP578" i="13" a="1"/>
  <c r="AP578" i="13" s="1"/>
  <c r="AQ578" i="13"/>
  <c r="AR578" i="13" a="1"/>
  <c r="AR578" i="13" s="1"/>
  <c r="AS578" i="13" a="1"/>
  <c r="AS578" i="13"/>
  <c r="BL578" i="13"/>
  <c r="BM578" i="13" a="1"/>
  <c r="BM578" i="13" s="1"/>
  <c r="BW578" i="13"/>
  <c r="CM578" i="13"/>
  <c r="F579" i="13"/>
  <c r="N579" i="13" a="1"/>
  <c r="N579" i="13" s="1"/>
  <c r="S579" i="13" a="1"/>
  <c r="S579" i="13" s="1"/>
  <c r="AD579" i="13"/>
  <c r="AH579" i="13"/>
  <c r="AM579" i="13" s="1"/>
  <c r="AI579" i="13"/>
  <c r="AJ579" i="13"/>
  <c r="AN579" i="13" a="1"/>
  <c r="AN579" i="13"/>
  <c r="AP579" i="13" a="1"/>
  <c r="AP579" i="13" s="1"/>
  <c r="AQ579" i="13"/>
  <c r="AR579" i="13" a="1"/>
  <c r="AR579" i="13" s="1"/>
  <c r="AS579" i="13" a="1"/>
  <c r="AS579" i="13" s="1"/>
  <c r="BM579" i="13" a="1"/>
  <c r="BM579" i="13" s="1"/>
  <c r="CQ579" i="13"/>
  <c r="A580" i="13"/>
  <c r="F580" i="13"/>
  <c r="N580" i="13" a="1"/>
  <c r="N580" i="13" s="1"/>
  <c r="S580" i="13" a="1"/>
  <c r="S580" i="13" s="1"/>
  <c r="AD580" i="13"/>
  <c r="AH580" i="13"/>
  <c r="BK580" i="13" s="1"/>
  <c r="AI580" i="13"/>
  <c r="AJ580" i="13"/>
  <c r="AN580" i="13" a="1"/>
  <c r="AN580" i="13" s="1"/>
  <c r="AP580" i="13" a="1"/>
  <c r="AP580" i="13" s="1"/>
  <c r="AQ580" i="13"/>
  <c r="AR580" i="13" a="1"/>
  <c r="AR580" i="13" s="1"/>
  <c r="AS580" i="13" a="1"/>
  <c r="AS580" i="13" s="1"/>
  <c r="BL580" i="13"/>
  <c r="BM580" i="13" a="1"/>
  <c r="BM580" i="13" s="1"/>
  <c r="BS580" i="13"/>
  <c r="BW580" i="13"/>
  <c r="F581" i="13"/>
  <c r="N581" i="13" a="1"/>
  <c r="N581" i="13" s="1"/>
  <c r="S581" i="13" a="1"/>
  <c r="S581" i="13" s="1"/>
  <c r="AD581" i="13"/>
  <c r="AH581" i="13"/>
  <c r="A581" i="13" s="1"/>
  <c r="AI581" i="13"/>
  <c r="AJ581" i="13"/>
  <c r="BK581" i="13" s="1"/>
  <c r="AN581" i="13" a="1"/>
  <c r="AN581" i="13" s="1"/>
  <c r="AP581" i="13" a="1"/>
  <c r="AP581" i="13" s="1"/>
  <c r="AQ581" i="13"/>
  <c r="AR581" i="13" a="1"/>
  <c r="AR581" i="13"/>
  <c r="AS581" i="13" a="1"/>
  <c r="AS581" i="13" s="1"/>
  <c r="BI581" i="13" a="1"/>
  <c r="BI581" i="13" s="1"/>
  <c r="BM581" i="13" a="1"/>
  <c r="BM581" i="13" s="1"/>
  <c r="BN581" i="13"/>
  <c r="BS581" i="13"/>
  <c r="CA581" i="13"/>
  <c r="CH581" i="13"/>
  <c r="CM581" i="13"/>
  <c r="CQ581" i="13"/>
  <c r="CU581" i="13"/>
  <c r="F582" i="13"/>
  <c r="N582" i="13" a="1"/>
  <c r="N582" i="13" s="1"/>
  <c r="S582" i="13" a="1"/>
  <c r="S582" i="13" s="1"/>
  <c r="AD582" i="13"/>
  <c r="AH582" i="13"/>
  <c r="A582" i="13" s="1"/>
  <c r="AI582" i="13"/>
  <c r="AJ582" i="13"/>
  <c r="BK582" i="13" s="1"/>
  <c r="AN582" i="13" a="1"/>
  <c r="AN582" i="13" s="1"/>
  <c r="AP582" i="13" a="1"/>
  <c r="AP582" i="13" s="1"/>
  <c r="AQ582" i="13"/>
  <c r="AR582" i="13" a="1"/>
  <c r="AR582" i="13" s="1"/>
  <c r="AS582" i="13" a="1"/>
  <c r="AS582" i="13" s="1"/>
  <c r="BL582" i="13"/>
  <c r="BM582" i="13" a="1"/>
  <c r="BM582" i="13" s="1"/>
  <c r="F583" i="13"/>
  <c r="N583" i="13" a="1"/>
  <c r="N583" i="13" s="1"/>
  <c r="S583" i="13" a="1"/>
  <c r="S583" i="13" s="1"/>
  <c r="AD583" i="13"/>
  <c r="AH583" i="13"/>
  <c r="CQ583" i="13" s="1"/>
  <c r="AI583" i="13"/>
  <c r="AJ583" i="13"/>
  <c r="AN583" i="13" a="1"/>
  <c r="AN583" i="13" s="1"/>
  <c r="AP583" i="13" a="1"/>
  <c r="AP583" i="13" s="1"/>
  <c r="AQ583" i="13"/>
  <c r="AR583" i="13" a="1"/>
  <c r="AR583" i="13"/>
  <c r="AS583" i="13" a="1"/>
  <c r="AS583" i="13"/>
  <c r="BM583" i="13" a="1"/>
  <c r="BM583" i="13" s="1"/>
  <c r="CH583" i="13"/>
  <c r="F584" i="13"/>
  <c r="N584" i="13" a="1"/>
  <c r="N584" i="13" s="1"/>
  <c r="S584" i="13" a="1"/>
  <c r="S584" i="13" s="1"/>
  <c r="AD584" i="13"/>
  <c r="AH584" i="13"/>
  <c r="CU584" i="13" s="1"/>
  <c r="AI584" i="13"/>
  <c r="AJ584" i="13"/>
  <c r="BL584" i="13" s="1"/>
  <c r="AN584" i="13" a="1"/>
  <c r="AN584" i="13"/>
  <c r="AP584" i="13" a="1"/>
  <c r="AP584" i="13" s="1"/>
  <c r="AQ584" i="13"/>
  <c r="AR584" i="13" a="1"/>
  <c r="AR584" i="13" s="1"/>
  <c r="AS584" i="13" a="1"/>
  <c r="AS584" i="13"/>
  <c r="BK584" i="13"/>
  <c r="BM584" i="13" a="1"/>
  <c r="BM584" i="13" s="1"/>
  <c r="BS584" i="13"/>
  <c r="BW584" i="13"/>
  <c r="CM584" i="13"/>
  <c r="F585" i="13"/>
  <c r="N585" i="13" a="1"/>
  <c r="N585" i="13" s="1"/>
  <c r="S585" i="13" a="1"/>
  <c r="S585" i="13" s="1"/>
  <c r="AD585" i="13"/>
  <c r="AH585" i="13"/>
  <c r="AM585" i="13" s="1"/>
  <c r="AI585" i="13"/>
  <c r="AJ585" i="13"/>
  <c r="BK585" i="13" s="1"/>
  <c r="AN585" i="13" a="1"/>
  <c r="AN585" i="13"/>
  <c r="AP585" i="13" a="1"/>
  <c r="AP585" i="13" s="1"/>
  <c r="AQ585" i="13"/>
  <c r="AR585" i="13" a="1"/>
  <c r="AR585" i="13"/>
  <c r="AS585" i="13" a="1"/>
  <c r="AS585" i="13" s="1"/>
  <c r="BM585" i="13" a="1"/>
  <c r="BM585" i="13" s="1"/>
  <c r="BN585" i="13"/>
  <c r="CA585" i="13"/>
  <c r="CH585" i="13"/>
  <c r="CM585" i="13"/>
  <c r="CQ585" i="13"/>
  <c r="F586" i="13"/>
  <c r="N586" i="13" a="1"/>
  <c r="N586" i="13" s="1"/>
  <c r="S586" i="13" a="1"/>
  <c r="S586" i="13" s="1"/>
  <c r="AD586" i="13"/>
  <c r="AH586" i="13"/>
  <c r="A586" i="13" s="1"/>
  <c r="AI586" i="13"/>
  <c r="AJ586" i="13"/>
  <c r="AN586" i="13" a="1"/>
  <c r="AN586" i="13" s="1"/>
  <c r="AP586" i="13" a="1"/>
  <c r="AP586" i="13" s="1"/>
  <c r="AQ586" i="13"/>
  <c r="AR586" i="13" a="1"/>
  <c r="AR586" i="13" s="1"/>
  <c r="AS586" i="13" a="1"/>
  <c r="AS586" i="13" s="1"/>
  <c r="BL586" i="13"/>
  <c r="BM586" i="13" a="1"/>
  <c r="BM586" i="13" s="1"/>
  <c r="CM586" i="13"/>
  <c r="F587" i="13"/>
  <c r="N587" i="13" a="1"/>
  <c r="N587" i="13" s="1"/>
  <c r="S587" i="13" a="1"/>
  <c r="S587" i="13" s="1"/>
  <c r="AD587" i="13"/>
  <c r="AH587" i="13"/>
  <c r="AI587" i="13"/>
  <c r="AJ587" i="13"/>
  <c r="AM587" i="13"/>
  <c r="AN587" i="13" a="1"/>
  <c r="AN587" i="13"/>
  <c r="AP587" i="13" a="1"/>
  <c r="AP587" i="13" s="1"/>
  <c r="AQ587" i="13"/>
  <c r="AR587" i="13" a="1"/>
  <c r="AR587" i="13" s="1"/>
  <c r="AS587" i="13" a="1"/>
  <c r="AS587" i="13" s="1"/>
  <c r="BI587" i="13" a="1"/>
  <c r="BI587" i="13" s="1"/>
  <c r="BM587" i="13" a="1"/>
  <c r="BM587" i="13" s="1"/>
  <c r="BS587" i="13"/>
  <c r="CA587" i="13"/>
  <c r="CQ587" i="13"/>
  <c r="CU587" i="13"/>
  <c r="F588" i="13"/>
  <c r="N588" i="13" a="1"/>
  <c r="N588" i="13" s="1"/>
  <c r="S588" i="13" a="1"/>
  <c r="S588" i="13" s="1"/>
  <c r="AD588" i="13"/>
  <c r="AH588" i="13"/>
  <c r="A588" i="13" s="1"/>
  <c r="AI588" i="13"/>
  <c r="AJ588" i="13"/>
  <c r="BK588" i="13" s="1"/>
  <c r="AN588" i="13" a="1"/>
  <c r="AN588" i="13" s="1"/>
  <c r="AP588" i="13" a="1"/>
  <c r="AP588" i="13" s="1"/>
  <c r="AQ588" i="13"/>
  <c r="AR588" i="13" a="1"/>
  <c r="AR588" i="13" s="1"/>
  <c r="AS588" i="13" a="1"/>
  <c r="AS588" i="13" s="1"/>
  <c r="BL588" i="13"/>
  <c r="BM588" i="13" a="1"/>
  <c r="BM588" i="13" s="1"/>
  <c r="BS588" i="13"/>
  <c r="BW588" i="13"/>
  <c r="F589" i="13"/>
  <c r="N589" i="13" a="1"/>
  <c r="N589" i="13" s="1"/>
  <c r="S589" i="13" a="1"/>
  <c r="S589" i="13" s="1"/>
  <c r="AD589" i="13"/>
  <c r="AH589" i="13"/>
  <c r="A589" i="13" s="1"/>
  <c r="AI589" i="13"/>
  <c r="AJ589" i="13"/>
  <c r="AN589" i="13" a="1"/>
  <c r="AN589" i="13"/>
  <c r="AP589" i="13" a="1"/>
  <c r="AP589" i="13" s="1"/>
  <c r="AQ589" i="13"/>
  <c r="AR589" i="13" a="1"/>
  <c r="AR589" i="13"/>
  <c r="AS589" i="13" a="1"/>
  <c r="AS589" i="13" s="1"/>
  <c r="BI589" i="13" a="1"/>
  <c r="BI589" i="13" s="1"/>
  <c r="BM589" i="13" a="1"/>
  <c r="BM589" i="13" s="1"/>
  <c r="BN589" i="13"/>
  <c r="BS589" i="13"/>
  <c r="CA589" i="13"/>
  <c r="CH589" i="13"/>
  <c r="CM589" i="13"/>
  <c r="CU589" i="13"/>
  <c r="A590" i="13"/>
  <c r="F590" i="13"/>
  <c r="N590" i="13" a="1"/>
  <c r="N590" i="13" s="1"/>
  <c r="S590" i="13" a="1"/>
  <c r="S590" i="13" s="1"/>
  <c r="AD590" i="13"/>
  <c r="AH590" i="13"/>
  <c r="AI590" i="13"/>
  <c r="AJ590" i="13"/>
  <c r="AN590" i="13" a="1"/>
  <c r="AN590" i="13" s="1"/>
  <c r="AP590" i="13" a="1"/>
  <c r="AP590" i="13" s="1"/>
  <c r="AQ590" i="13"/>
  <c r="AR590" i="13" a="1"/>
  <c r="AR590" i="13" s="1"/>
  <c r="AS590" i="13" a="1"/>
  <c r="AS590" i="13" s="1"/>
  <c r="BK590" i="13"/>
  <c r="BL590" i="13"/>
  <c r="BM590" i="13" a="1"/>
  <c r="BM590" i="13" s="1"/>
  <c r="BS590" i="13"/>
  <c r="CM590" i="13"/>
  <c r="F591" i="13"/>
  <c r="N591" i="13" a="1"/>
  <c r="N591" i="13" s="1"/>
  <c r="S591" i="13" a="1"/>
  <c r="S591" i="13" s="1"/>
  <c r="AD591" i="13"/>
  <c r="AH591" i="13"/>
  <c r="AI591" i="13"/>
  <c r="AJ591" i="13"/>
  <c r="AM591" i="13"/>
  <c r="AN591" i="13" a="1"/>
  <c r="AN591" i="13" s="1"/>
  <c r="AP591" i="13" a="1"/>
  <c r="AP591" i="13" s="1"/>
  <c r="AQ591" i="13"/>
  <c r="AR591" i="13" a="1"/>
  <c r="AR591" i="13" s="1"/>
  <c r="AS591" i="13" a="1"/>
  <c r="AS591" i="13"/>
  <c r="BI591" i="13" a="1"/>
  <c r="BI591" i="13" s="1"/>
  <c r="BM591" i="13" a="1"/>
  <c r="BM591" i="13" s="1"/>
  <c r="BS591" i="13"/>
  <c r="CA591" i="13"/>
  <c r="CH591" i="13"/>
  <c r="CQ591" i="13"/>
  <c r="CU591" i="13"/>
  <c r="F592" i="13"/>
  <c r="N592" i="13" a="1"/>
  <c r="N592" i="13" s="1"/>
  <c r="S592" i="13" a="1"/>
  <c r="S592" i="13" s="1"/>
  <c r="AD592" i="13"/>
  <c r="AH592" i="13"/>
  <c r="CU592" i="13" s="1"/>
  <c r="AI592" i="13"/>
  <c r="AJ592" i="13"/>
  <c r="BL592" i="13" s="1"/>
  <c r="AN592" i="13" a="1"/>
  <c r="AN592" i="13"/>
  <c r="AP592" i="13" a="1"/>
  <c r="AP592" i="13" s="1"/>
  <c r="AQ592" i="13"/>
  <c r="AR592" i="13" a="1"/>
  <c r="AR592" i="13" s="1"/>
  <c r="AS592" i="13" a="1"/>
  <c r="AS592" i="13"/>
  <c r="BK592" i="13"/>
  <c r="BM592" i="13" a="1"/>
  <c r="BM592" i="13" s="1"/>
  <c r="BS592" i="13"/>
  <c r="BW592" i="13"/>
  <c r="CM592" i="13"/>
  <c r="F593" i="13"/>
  <c r="N593" i="13" a="1"/>
  <c r="N593" i="13" s="1"/>
  <c r="S593" i="13" a="1"/>
  <c r="S593" i="13" s="1"/>
  <c r="AD593" i="13"/>
  <c r="AH593" i="13"/>
  <c r="AM593" i="13" s="1"/>
  <c r="AI593" i="13"/>
  <c r="AJ593" i="13"/>
  <c r="AN593" i="13" a="1"/>
  <c r="AN593" i="13"/>
  <c r="AP593" i="13" a="1"/>
  <c r="AP593" i="13" s="1"/>
  <c r="AQ593" i="13"/>
  <c r="AR593" i="13" a="1"/>
  <c r="AR593" i="13"/>
  <c r="AS593" i="13" a="1"/>
  <c r="AS593" i="13" s="1"/>
  <c r="BM593" i="13" a="1"/>
  <c r="BM593" i="13" s="1"/>
  <c r="CH593" i="13"/>
  <c r="CM593" i="13"/>
  <c r="CQ593" i="13"/>
  <c r="F594" i="13"/>
  <c r="N594" i="13" a="1"/>
  <c r="N594" i="13" s="1"/>
  <c r="S594" i="13" a="1"/>
  <c r="S594" i="13" s="1"/>
  <c r="AD594" i="13"/>
  <c r="AH594" i="13"/>
  <c r="A594" i="13" s="1"/>
  <c r="AI594" i="13"/>
  <c r="AJ594" i="13"/>
  <c r="AN594" i="13" a="1"/>
  <c r="AN594" i="13" s="1"/>
  <c r="AP594" i="13" a="1"/>
  <c r="AP594" i="13" s="1"/>
  <c r="AQ594" i="13"/>
  <c r="AR594" i="13" a="1"/>
  <c r="AR594" i="13" s="1"/>
  <c r="AS594" i="13" a="1"/>
  <c r="AS594" i="13" s="1"/>
  <c r="BK594" i="13"/>
  <c r="BL594" i="13"/>
  <c r="BM594" i="13" a="1"/>
  <c r="BM594" i="13" s="1"/>
  <c r="F595" i="13"/>
  <c r="N595" i="13" a="1"/>
  <c r="N595" i="13" s="1"/>
  <c r="S595" i="13" a="1"/>
  <c r="S595" i="13" s="1"/>
  <c r="AD595" i="13"/>
  <c r="AH595" i="13"/>
  <c r="CQ595" i="13" s="1"/>
  <c r="AI595" i="13"/>
  <c r="AJ595" i="13"/>
  <c r="AN595" i="13" a="1"/>
  <c r="AN595" i="13"/>
  <c r="AP595" i="13" a="1"/>
  <c r="AP595" i="13" s="1"/>
  <c r="AQ595" i="13"/>
  <c r="AR595" i="13" a="1"/>
  <c r="AR595" i="13" s="1"/>
  <c r="AS595" i="13" a="1"/>
  <c r="AS595" i="13"/>
  <c r="BM595" i="13" a="1"/>
  <c r="BM595" i="13" s="1"/>
  <c r="BN595" i="13"/>
  <c r="BS595" i="13"/>
  <c r="CA595" i="13"/>
  <c r="CM595" i="13"/>
  <c r="F596" i="13"/>
  <c r="N596" i="13" a="1"/>
  <c r="N596" i="13" s="1"/>
  <c r="S596" i="13" a="1"/>
  <c r="S596" i="13" s="1"/>
  <c r="AD596" i="13"/>
  <c r="AH596" i="13"/>
  <c r="A596" i="13" s="1"/>
  <c r="AI596" i="13"/>
  <c r="AJ596" i="13"/>
  <c r="BL596" i="13" s="1"/>
  <c r="AN596" i="13" a="1"/>
  <c r="AN596" i="13" s="1"/>
  <c r="AP596" i="13" a="1"/>
  <c r="AP596" i="13" s="1"/>
  <c r="AQ596" i="13"/>
  <c r="AR596" i="13" a="1"/>
  <c r="AR596" i="13" s="1"/>
  <c r="AS596" i="13" a="1"/>
  <c r="AS596" i="13" s="1"/>
  <c r="BK596" i="13"/>
  <c r="BM596" i="13" a="1"/>
  <c r="BM596" i="13" s="1"/>
  <c r="BS596" i="13"/>
  <c r="BW596" i="13"/>
  <c r="F597" i="13"/>
  <c r="N597" i="13" a="1"/>
  <c r="N597" i="13" s="1"/>
  <c r="S597" i="13" a="1"/>
  <c r="S597" i="13" s="1"/>
  <c r="AD597" i="13"/>
  <c r="AH597" i="13"/>
  <c r="CM597" i="13" s="1"/>
  <c r="AI597" i="13"/>
  <c r="AJ597" i="13"/>
  <c r="AN597" i="13" a="1"/>
  <c r="AN597" i="13"/>
  <c r="AP597" i="13" a="1"/>
  <c r="AP597" i="13" s="1"/>
  <c r="AQ597" i="13"/>
  <c r="AR597" i="13" a="1"/>
  <c r="AR597" i="13" s="1"/>
  <c r="AS597" i="13" a="1"/>
  <c r="AS597" i="13"/>
  <c r="BI597" i="13" a="1"/>
  <c r="BI597" i="13" s="1"/>
  <c r="BM597" i="13" a="1"/>
  <c r="BM597" i="13" s="1"/>
  <c r="BN597" i="13"/>
  <c r="CA597" i="13"/>
  <c r="CH597" i="13"/>
  <c r="CQ597" i="13"/>
  <c r="CU597" i="13"/>
  <c r="A598" i="13"/>
  <c r="F598" i="13"/>
  <c r="N598" i="13" a="1"/>
  <c r="N598" i="13" s="1"/>
  <c r="S598" i="13" a="1"/>
  <c r="S598" i="13" s="1"/>
  <c r="AD598" i="13"/>
  <c r="AH598" i="13"/>
  <c r="CU598" i="13" s="1"/>
  <c r="AI598" i="13"/>
  <c r="AJ598" i="13"/>
  <c r="AN598" i="13" a="1"/>
  <c r="AN598" i="13" s="1"/>
  <c r="AP598" i="13" a="1"/>
  <c r="AP598" i="13" s="1"/>
  <c r="AQ598" i="13"/>
  <c r="AR598" i="13" a="1"/>
  <c r="AR598" i="13" s="1"/>
  <c r="AS598" i="13" a="1"/>
  <c r="AS598" i="13"/>
  <c r="BK598" i="13"/>
  <c r="BL598" i="13"/>
  <c r="BM598" i="13" a="1"/>
  <c r="BM598" i="13" s="1"/>
  <c r="BS598" i="13"/>
  <c r="BW598" i="13"/>
  <c r="CM598" i="13"/>
  <c r="F599" i="13"/>
  <c r="N599" i="13" a="1"/>
  <c r="N599" i="13" s="1"/>
  <c r="S599" i="13" a="1"/>
  <c r="S599" i="13" s="1"/>
  <c r="AD599" i="13"/>
  <c r="AH599" i="13"/>
  <c r="A599" i="13" s="1"/>
  <c r="AI599" i="13"/>
  <c r="AJ599" i="13"/>
  <c r="AN599" i="13" a="1"/>
  <c r="AN599" i="13"/>
  <c r="AP599" i="13" a="1"/>
  <c r="AP599" i="13" s="1"/>
  <c r="AQ599" i="13"/>
  <c r="AR599" i="13" a="1"/>
  <c r="AR599" i="13" s="1"/>
  <c r="AS599" i="13" a="1"/>
  <c r="AS599" i="13" s="1"/>
  <c r="BM599" i="13" a="1"/>
  <c r="BM599" i="13" s="1"/>
  <c r="BN599" i="13"/>
  <c r="BS599" i="13"/>
  <c r="CA599" i="13"/>
  <c r="CM599" i="13"/>
  <c r="A600" i="13"/>
  <c r="F600" i="13"/>
  <c r="N600" i="13" a="1"/>
  <c r="N600" i="13" s="1"/>
  <c r="S600" i="13" a="1"/>
  <c r="S600" i="13" s="1"/>
  <c r="AD600" i="13"/>
  <c r="AH600" i="13"/>
  <c r="CM600" i="13" s="1"/>
  <c r="AI600" i="13"/>
  <c r="AJ600" i="13"/>
  <c r="AN600" i="13" a="1"/>
  <c r="AN600" i="13" s="1"/>
  <c r="AP600" i="13" a="1"/>
  <c r="AP600" i="13" s="1"/>
  <c r="AQ600" i="13"/>
  <c r="AR600" i="13" a="1"/>
  <c r="AR600" i="13" s="1"/>
  <c r="AS600" i="13" a="1"/>
  <c r="AS600" i="13" s="1"/>
  <c r="BL600" i="13"/>
  <c r="BM600" i="13" a="1"/>
  <c r="BM600" i="13" s="1"/>
  <c r="BS600" i="13"/>
  <c r="BW600" i="13"/>
  <c r="F601" i="13"/>
  <c r="N601" i="13" a="1"/>
  <c r="N601" i="13" s="1"/>
  <c r="S601" i="13" a="1"/>
  <c r="S601" i="13" s="1"/>
  <c r="AD601" i="13"/>
  <c r="AH601" i="13"/>
  <c r="A601" i="13" s="1"/>
  <c r="AI601" i="13"/>
  <c r="AJ601" i="13"/>
  <c r="AN601" i="13" a="1"/>
  <c r="AN601" i="13"/>
  <c r="AP601" i="13" a="1"/>
  <c r="AP601" i="13" s="1"/>
  <c r="AQ601" i="13"/>
  <c r="AR601" i="13" a="1"/>
  <c r="AR601" i="13" s="1"/>
  <c r="AS601" i="13" a="1"/>
  <c r="AS601" i="13" s="1"/>
  <c r="BM601" i="13" a="1"/>
  <c r="BM601" i="13" s="1"/>
  <c r="CA601" i="13"/>
  <c r="CM601" i="13"/>
  <c r="F602" i="13"/>
  <c r="N602" i="13" a="1"/>
  <c r="N602" i="13" s="1"/>
  <c r="S602" i="13" a="1"/>
  <c r="S602" i="13" s="1"/>
  <c r="AD602" i="13"/>
  <c r="AH602" i="13"/>
  <c r="CM602" i="13" s="1"/>
  <c r="AI602" i="13"/>
  <c r="AJ602" i="13"/>
  <c r="AN602" i="13" a="1"/>
  <c r="AN602" i="13" s="1"/>
  <c r="AP602" i="13" a="1"/>
  <c r="AP602" i="13" s="1"/>
  <c r="AQ602" i="13"/>
  <c r="AR602" i="13" a="1"/>
  <c r="AR602" i="13" s="1"/>
  <c r="AS602" i="13" a="1"/>
  <c r="AS602" i="13" s="1"/>
  <c r="BL602" i="13"/>
  <c r="BM602" i="13" a="1"/>
  <c r="BM602" i="13" s="1"/>
  <c r="BW602" i="13"/>
  <c r="F603" i="13"/>
  <c r="N603" i="13" a="1"/>
  <c r="N603" i="13" s="1"/>
  <c r="S603" i="13" a="1"/>
  <c r="S603" i="13" s="1"/>
  <c r="AD603" i="13"/>
  <c r="AH603" i="13"/>
  <c r="A603" i="13" s="1"/>
  <c r="AI603" i="13"/>
  <c r="AJ603" i="13"/>
  <c r="AM603" i="13"/>
  <c r="AN603" i="13" a="1"/>
  <c r="AN603" i="13" s="1"/>
  <c r="AP603" i="13" a="1"/>
  <c r="AP603" i="13" s="1"/>
  <c r="AQ603" i="13"/>
  <c r="AR603" i="13" a="1"/>
  <c r="AR603" i="13" s="1"/>
  <c r="AS603" i="13" a="1"/>
  <c r="AS603" i="13" s="1"/>
  <c r="BI603" i="13" a="1"/>
  <c r="BI603" i="13" s="1"/>
  <c r="BM603" i="13" a="1"/>
  <c r="BM603" i="13" s="1"/>
  <c r="BS603" i="13"/>
  <c r="CA603" i="13"/>
  <c r="CM603" i="13"/>
  <c r="CQ603" i="13"/>
  <c r="CU603" i="13"/>
  <c r="F604" i="13"/>
  <c r="N604" i="13" a="1"/>
  <c r="N604" i="13" s="1"/>
  <c r="S604" i="13" a="1"/>
  <c r="S604" i="13" s="1"/>
  <c r="AD604" i="13"/>
  <c r="AH604" i="13"/>
  <c r="A604" i="13" s="1"/>
  <c r="AI604" i="13"/>
  <c r="AJ604" i="13"/>
  <c r="BL604" i="13" s="1"/>
  <c r="AN604" i="13" a="1"/>
  <c r="AN604" i="13" s="1"/>
  <c r="AP604" i="13" a="1"/>
  <c r="AP604" i="13" s="1"/>
  <c r="AQ604" i="13"/>
  <c r="AR604" i="13" a="1"/>
  <c r="AR604" i="13" s="1"/>
  <c r="AS604" i="13" a="1"/>
  <c r="AS604" i="13" s="1"/>
  <c r="BK604" i="13"/>
  <c r="BM604" i="13" a="1"/>
  <c r="BM604" i="13" s="1"/>
  <c r="F605" i="13"/>
  <c r="N605" i="13" a="1"/>
  <c r="N605" i="13" s="1"/>
  <c r="S605" i="13" a="1"/>
  <c r="S605" i="13" s="1"/>
  <c r="AD605" i="13"/>
  <c r="AH605" i="13"/>
  <c r="A605" i="13" s="1"/>
  <c r="AI605" i="13"/>
  <c r="AJ605" i="13"/>
  <c r="AN605" i="13" a="1"/>
  <c r="AN605" i="13" s="1"/>
  <c r="AP605" i="13" a="1"/>
  <c r="AP605" i="13" s="1"/>
  <c r="AQ605" i="13"/>
  <c r="AR605" i="13" a="1"/>
  <c r="AR605" i="13"/>
  <c r="AS605" i="13" a="1"/>
  <c r="AS605" i="13" s="1"/>
  <c r="BI605" i="13" a="1"/>
  <c r="BI605" i="13" s="1"/>
  <c r="BM605" i="13" a="1"/>
  <c r="BM605" i="13" s="1"/>
  <c r="BN605" i="13"/>
  <c r="BS605" i="13"/>
  <c r="BW605" i="13"/>
  <c r="CA605" i="13"/>
  <c r="CH605" i="13"/>
  <c r="CM605" i="13"/>
  <c r="CQ605" i="13"/>
  <c r="CU605" i="13"/>
  <c r="F606" i="13"/>
  <c r="N606" i="13" a="1"/>
  <c r="N606" i="13" s="1"/>
  <c r="S606" i="13" a="1"/>
  <c r="S606" i="13" s="1"/>
  <c r="AD606" i="13"/>
  <c r="AH606" i="13"/>
  <c r="A606" i="13" s="1"/>
  <c r="AI606" i="13"/>
  <c r="AJ606" i="13"/>
  <c r="AN606" i="13" a="1"/>
  <c r="AN606" i="13"/>
  <c r="AP606" i="13" a="1"/>
  <c r="AP606" i="13" s="1"/>
  <c r="AQ606" i="13"/>
  <c r="AR606" i="13" a="1"/>
  <c r="AR606" i="13" s="1"/>
  <c r="AS606" i="13" a="1"/>
  <c r="AS606" i="13" s="1"/>
  <c r="BL606" i="13"/>
  <c r="BM606" i="13" a="1"/>
  <c r="BM606" i="13" s="1"/>
  <c r="BS606" i="13"/>
  <c r="F607" i="13"/>
  <c r="N607" i="13" a="1"/>
  <c r="N607" i="13" s="1"/>
  <c r="S607" i="13" a="1"/>
  <c r="S607" i="13" s="1"/>
  <c r="AD607" i="13"/>
  <c r="AH607" i="13"/>
  <c r="A607" i="13" s="1"/>
  <c r="AI607" i="13"/>
  <c r="AJ607" i="13"/>
  <c r="AN607" i="13" a="1"/>
  <c r="AN607" i="13" s="1"/>
  <c r="AP607" i="13" a="1"/>
  <c r="AP607" i="13" s="1"/>
  <c r="AQ607" i="13"/>
  <c r="AR607" i="13" a="1"/>
  <c r="AR607" i="13" s="1"/>
  <c r="AS607" i="13" a="1"/>
  <c r="AS607" i="13"/>
  <c r="BI607" i="13" a="1"/>
  <c r="BI607" i="13" s="1"/>
  <c r="BM607" i="13" a="1"/>
  <c r="BM607" i="13" s="1"/>
  <c r="BS607" i="13"/>
  <c r="CA607" i="13"/>
  <c r="CH607" i="13"/>
  <c r="CM607" i="13"/>
  <c r="CQ607" i="13"/>
  <c r="F608" i="13"/>
  <c r="N608" i="13" a="1"/>
  <c r="N608" i="13" s="1"/>
  <c r="S608" i="13" a="1"/>
  <c r="S608" i="13" s="1"/>
  <c r="AD608" i="13"/>
  <c r="AH608" i="13"/>
  <c r="AI608" i="13"/>
  <c r="AJ608" i="13"/>
  <c r="BL608" i="13" s="1"/>
  <c r="AN608" i="13" a="1"/>
  <c r="AN608" i="13"/>
  <c r="AP608" i="13" a="1"/>
  <c r="AP608" i="13" s="1"/>
  <c r="AQ608" i="13"/>
  <c r="AR608" i="13" a="1"/>
  <c r="AR608" i="13" s="1"/>
  <c r="AS608" i="13" a="1"/>
  <c r="AS608" i="13"/>
  <c r="BI608" i="13" a="1"/>
  <c r="BI608" i="13" s="1"/>
  <c r="BM608" i="13" a="1"/>
  <c r="BM608" i="13" s="1"/>
  <c r="BS608" i="13"/>
  <c r="F609" i="13"/>
  <c r="N609" i="13" a="1"/>
  <c r="N609" i="13" s="1"/>
  <c r="S609" i="13" a="1"/>
  <c r="S609" i="13" s="1"/>
  <c r="AD609" i="13"/>
  <c r="AH609" i="13"/>
  <c r="A609" i="13" s="1"/>
  <c r="AI609" i="13"/>
  <c r="AJ609" i="13"/>
  <c r="BK609" i="13" s="1"/>
  <c r="AN609" i="13" a="1"/>
  <c r="AN609" i="13" s="1"/>
  <c r="AP609" i="13" a="1"/>
  <c r="AP609" i="13" s="1"/>
  <c r="AQ609" i="13"/>
  <c r="AR609" i="13" a="1"/>
  <c r="AR609" i="13" s="1"/>
  <c r="AS609" i="13" a="1"/>
  <c r="AS609" i="13"/>
  <c r="BI609" i="13" a="1"/>
  <c r="BI609" i="13" s="1"/>
  <c r="BM609" i="13" a="1"/>
  <c r="BM609" i="13" s="1"/>
  <c r="BN609" i="13"/>
  <c r="BS609" i="13"/>
  <c r="BW609" i="13"/>
  <c r="CA609" i="13"/>
  <c r="CH609" i="13"/>
  <c r="CM609" i="13"/>
  <c r="CQ609" i="13"/>
  <c r="CU609" i="13"/>
  <c r="F610" i="13"/>
  <c r="N610" i="13" a="1"/>
  <c r="N610" i="13" s="1"/>
  <c r="S610" i="13" a="1"/>
  <c r="S610" i="13" s="1"/>
  <c r="AD610" i="13"/>
  <c r="AH610" i="13"/>
  <c r="AI610" i="13"/>
  <c r="AJ610" i="13"/>
  <c r="AN610" i="13" a="1"/>
  <c r="AN610" i="13"/>
  <c r="AP610" i="13" a="1"/>
  <c r="AP610" i="13" s="1"/>
  <c r="AQ610" i="13"/>
  <c r="AR610" i="13" a="1"/>
  <c r="AR610" i="13" s="1"/>
  <c r="AS610" i="13" a="1"/>
  <c r="AS610" i="13"/>
  <c r="BL610" i="13"/>
  <c r="BM610" i="13" a="1"/>
  <c r="BM610" i="13" s="1"/>
  <c r="A611" i="13"/>
  <c r="F611" i="13"/>
  <c r="N611" i="13" a="1"/>
  <c r="N611" i="13" s="1"/>
  <c r="S611" i="13" a="1"/>
  <c r="S611" i="13" s="1"/>
  <c r="AD611" i="13"/>
  <c r="AH611" i="13"/>
  <c r="CA611" i="13" s="1"/>
  <c r="AI611" i="13"/>
  <c r="AJ611" i="13"/>
  <c r="AM611" i="13"/>
  <c r="AN611" i="13" a="1"/>
  <c r="AN611" i="13" s="1"/>
  <c r="AP611" i="13" a="1"/>
  <c r="AP611" i="13" s="1"/>
  <c r="AQ611" i="13"/>
  <c r="AR611" i="13" a="1"/>
  <c r="AR611" i="13" s="1"/>
  <c r="AS611" i="13" a="1"/>
  <c r="AS611" i="13"/>
  <c r="BM611" i="13" a="1"/>
  <c r="BM611" i="13" s="1"/>
  <c r="BN611" i="13"/>
  <c r="BS611" i="13"/>
  <c r="BW611" i="13"/>
  <c r="CH611" i="13"/>
  <c r="CM611" i="13"/>
  <c r="CU611" i="13"/>
  <c r="F612" i="13"/>
  <c r="N612" i="13" a="1"/>
  <c r="N612" i="13" s="1"/>
  <c r="S612" i="13" a="1"/>
  <c r="S612" i="13" s="1"/>
  <c r="AD612" i="13"/>
  <c r="AH612" i="13"/>
  <c r="CM612" i="13" s="1"/>
  <c r="AI612" i="13"/>
  <c r="AJ612" i="13"/>
  <c r="AN612" i="13" a="1"/>
  <c r="AN612" i="13" s="1"/>
  <c r="AP612" i="13" a="1"/>
  <c r="AP612" i="13" s="1"/>
  <c r="AQ612" i="13"/>
  <c r="AR612" i="13" a="1"/>
  <c r="AR612" i="13" s="1"/>
  <c r="AS612" i="13" a="1"/>
  <c r="AS612" i="13"/>
  <c r="BI612" i="13" a="1"/>
  <c r="BI612" i="13" s="1"/>
  <c r="BK612" i="13"/>
  <c r="BL612" i="13"/>
  <c r="BM612" i="13" a="1"/>
  <c r="BM612" i="13" s="1"/>
  <c r="BS612" i="13"/>
  <c r="F613" i="13"/>
  <c r="N613" i="13" a="1"/>
  <c r="N613" i="13" s="1"/>
  <c r="S613" i="13" a="1"/>
  <c r="S613" i="13" s="1"/>
  <c r="AD613" i="13"/>
  <c r="AH613" i="13"/>
  <c r="BS613" i="13" s="1"/>
  <c r="AI613" i="13"/>
  <c r="AJ613" i="13"/>
  <c r="AN613" i="13" a="1"/>
  <c r="AN613" i="13" s="1"/>
  <c r="AP613" i="13" a="1"/>
  <c r="AP613" i="13" s="1"/>
  <c r="AQ613" i="13"/>
  <c r="AR613" i="13" a="1"/>
  <c r="AR613" i="13" s="1"/>
  <c r="AS613" i="13" a="1"/>
  <c r="AS613" i="13" s="1"/>
  <c r="BL613" i="13"/>
  <c r="BM613" i="13" a="1"/>
  <c r="BM613" i="13" s="1"/>
  <c r="BN613" i="13"/>
  <c r="BW613" i="13"/>
  <c r="F614" i="13"/>
  <c r="N614" i="13" a="1"/>
  <c r="N614" i="13" s="1"/>
  <c r="S614" i="13" a="1"/>
  <c r="S614" i="13" s="1"/>
  <c r="AD614" i="13"/>
  <c r="AH614" i="13"/>
  <c r="BW614" i="13" s="1"/>
  <c r="AI614" i="13"/>
  <c r="AJ614" i="13"/>
  <c r="BK614" i="13" s="1"/>
  <c r="AN614" i="13" a="1"/>
  <c r="AN614" i="13"/>
  <c r="AP614" i="13" a="1"/>
  <c r="AP614" i="13"/>
  <c r="AQ614" i="13"/>
  <c r="AR614" i="13" a="1"/>
  <c r="AR614" i="13" s="1"/>
  <c r="AS614" i="13" a="1"/>
  <c r="AS614" i="13"/>
  <c r="BM614" i="13" a="1"/>
  <c r="BM614" i="13" s="1"/>
  <c r="F615" i="13"/>
  <c r="N615" i="13" a="1"/>
  <c r="N615" i="13" s="1"/>
  <c r="S615" i="13" a="1"/>
  <c r="S615" i="13" s="1"/>
  <c r="AD615" i="13"/>
  <c r="AH615" i="13"/>
  <c r="A615" i="13" s="1"/>
  <c r="AI615" i="13"/>
  <c r="AJ615" i="13"/>
  <c r="BK615" i="13" s="1"/>
  <c r="AN615" i="13" a="1"/>
  <c r="AN615" i="13" s="1"/>
  <c r="AP615" i="13" a="1"/>
  <c r="AP615" i="13" s="1"/>
  <c r="AQ615" i="13"/>
  <c r="AR615" i="13" a="1"/>
  <c r="AR615" i="13" s="1"/>
  <c r="AS615" i="13" a="1"/>
  <c r="AS615" i="13" s="1"/>
  <c r="BM615" i="13" a="1"/>
  <c r="BM615" i="13" s="1"/>
  <c r="BN615" i="13"/>
  <c r="CH615" i="13"/>
  <c r="CQ615" i="13"/>
  <c r="F616" i="13"/>
  <c r="N616" i="13" a="1"/>
  <c r="N616" i="13" s="1"/>
  <c r="S616" i="13" a="1"/>
  <c r="S616" i="13" s="1"/>
  <c r="AD616" i="13"/>
  <c r="AH616" i="13"/>
  <c r="BW616" i="13" s="1"/>
  <c r="AI616" i="13"/>
  <c r="AJ616" i="13"/>
  <c r="BK616" i="13" s="1"/>
  <c r="AN616" i="13" a="1"/>
  <c r="AN616" i="13"/>
  <c r="AP616" i="13" a="1"/>
  <c r="AP616" i="13" s="1"/>
  <c r="AQ616" i="13"/>
  <c r="AR616" i="13" a="1"/>
  <c r="AR616" i="13" s="1"/>
  <c r="AS616" i="13" a="1"/>
  <c r="AS616" i="13"/>
  <c r="BM616" i="13" a="1"/>
  <c r="BM616" i="13" s="1"/>
  <c r="F617" i="13"/>
  <c r="N617" i="13" a="1"/>
  <c r="N617" i="13" s="1"/>
  <c r="S617" i="13" a="1"/>
  <c r="S617" i="13" s="1"/>
  <c r="AD617" i="13"/>
  <c r="AH617" i="13"/>
  <c r="CA617" i="13" s="1"/>
  <c r="AI617" i="13"/>
  <c r="AJ617" i="13"/>
  <c r="BL617" i="13" s="1"/>
  <c r="AN617" i="13" a="1"/>
  <c r="AN617" i="13" s="1"/>
  <c r="AP617" i="13" a="1"/>
  <c r="AP617" i="13" s="1"/>
  <c r="AQ617" i="13"/>
  <c r="AR617" i="13" a="1"/>
  <c r="AR617" i="13" s="1"/>
  <c r="AS617" i="13" a="1"/>
  <c r="AS617" i="13" s="1"/>
  <c r="BI617" i="13" a="1"/>
  <c r="BI617" i="13" s="1"/>
  <c r="BM617" i="13" a="1"/>
  <c r="BM617" i="13" s="1"/>
  <c r="F618" i="13"/>
  <c r="N618" i="13" a="1"/>
  <c r="N618" i="13" s="1"/>
  <c r="S618" i="13" a="1"/>
  <c r="S618" i="13" s="1"/>
  <c r="AD618" i="13"/>
  <c r="AH618" i="13"/>
  <c r="A618" i="13" s="1"/>
  <c r="AI618" i="13"/>
  <c r="AJ618" i="13"/>
  <c r="BL618" i="13" s="1"/>
  <c r="AN618" i="13" a="1"/>
  <c r="AN618" i="13" s="1"/>
  <c r="AP618" i="13" a="1"/>
  <c r="AP618" i="13" s="1"/>
  <c r="AQ618" i="13"/>
  <c r="AR618" i="13" a="1"/>
  <c r="AR618" i="13"/>
  <c r="AS618" i="13" a="1"/>
  <c r="AS618" i="13" s="1"/>
  <c r="BM618" i="13" a="1"/>
  <c r="BM618" i="13" s="1"/>
  <c r="CM618" i="13"/>
  <c r="F619" i="13"/>
  <c r="N619" i="13" a="1"/>
  <c r="N619" i="13" s="1"/>
  <c r="S619" i="13" a="1"/>
  <c r="S619" i="13" s="1"/>
  <c r="AD619" i="13"/>
  <c r="AH619" i="13"/>
  <c r="CU619" i="13" s="1"/>
  <c r="AI619" i="13"/>
  <c r="AJ619" i="13"/>
  <c r="BL619" i="13" s="1"/>
  <c r="AN619" i="13" a="1"/>
  <c r="AN619" i="13" s="1"/>
  <c r="AP619" i="13" a="1"/>
  <c r="AP619" i="13" s="1"/>
  <c r="AQ619" i="13"/>
  <c r="AR619" i="13" a="1"/>
  <c r="AR619" i="13" s="1"/>
  <c r="AS619" i="13" a="1"/>
  <c r="AS619" i="13"/>
  <c r="BM619" i="13" a="1"/>
  <c r="BM619" i="13" s="1"/>
  <c r="CM619" i="13"/>
  <c r="F620" i="13"/>
  <c r="N620" i="13" a="1"/>
  <c r="N620" i="13" s="1"/>
  <c r="S620" i="13" a="1"/>
  <c r="S620" i="13" s="1"/>
  <c r="AD620" i="13"/>
  <c r="AH620" i="13"/>
  <c r="A620" i="13" s="1"/>
  <c r="AI620" i="13"/>
  <c r="AJ620" i="13"/>
  <c r="BL620" i="13" s="1"/>
  <c r="AN620" i="13" a="1"/>
  <c r="AN620" i="13" s="1"/>
  <c r="AP620" i="13" a="1"/>
  <c r="AP620" i="13" s="1"/>
  <c r="AQ620" i="13"/>
  <c r="AR620" i="13" a="1"/>
  <c r="AR620" i="13"/>
  <c r="AS620" i="13" a="1"/>
  <c r="AS620" i="13" s="1"/>
  <c r="BK620" i="13"/>
  <c r="BM620" i="13" a="1"/>
  <c r="BM620" i="13" s="1"/>
  <c r="BN620" i="13"/>
  <c r="F621" i="13"/>
  <c r="N621" i="13" a="1"/>
  <c r="N621" i="13" s="1"/>
  <c r="S621" i="13" a="1"/>
  <c r="S621" i="13" s="1"/>
  <c r="AD621" i="13"/>
  <c r="AH621" i="13"/>
  <c r="CU621" i="13" s="1"/>
  <c r="AI621" i="13"/>
  <c r="AJ621" i="13"/>
  <c r="BL621" i="13" s="1"/>
  <c r="AN621" i="13" a="1"/>
  <c r="AN621" i="13" s="1"/>
  <c r="AP621" i="13" a="1"/>
  <c r="AP621" i="13" s="1"/>
  <c r="AQ621" i="13"/>
  <c r="AR621" i="13" a="1"/>
  <c r="AR621" i="13" s="1"/>
  <c r="AS621" i="13" a="1"/>
  <c r="AS621" i="13" s="1"/>
  <c r="BM621" i="13" a="1"/>
  <c r="BM621" i="13" s="1"/>
  <c r="F622" i="13"/>
  <c r="N622" i="13" a="1"/>
  <c r="N622" i="13" s="1"/>
  <c r="S622" i="13" a="1"/>
  <c r="S622" i="13" s="1"/>
  <c r="AD622" i="13"/>
  <c r="AH622" i="13"/>
  <c r="A622" i="13" s="1"/>
  <c r="AI622" i="13"/>
  <c r="AJ622" i="13"/>
  <c r="BL622" i="13" s="1"/>
  <c r="AN622" i="13" a="1"/>
  <c r="AN622" i="13" s="1"/>
  <c r="AP622" i="13" a="1"/>
  <c r="AP622" i="13" s="1"/>
  <c r="AQ622" i="13"/>
  <c r="AR622" i="13" a="1"/>
  <c r="AR622" i="13"/>
  <c r="AS622" i="13" a="1"/>
  <c r="AS622" i="13"/>
  <c r="BK622" i="13"/>
  <c r="BM622" i="13" a="1"/>
  <c r="BM622" i="13" s="1"/>
  <c r="BN622" i="13"/>
  <c r="CM622" i="13"/>
  <c r="F623" i="13"/>
  <c r="N623" i="13" a="1"/>
  <c r="N623" i="13" s="1"/>
  <c r="S623" i="13" a="1"/>
  <c r="S623" i="13" s="1"/>
  <c r="AD623" i="13"/>
  <c r="AH623" i="13"/>
  <c r="CU623" i="13" s="1"/>
  <c r="AI623" i="13"/>
  <c r="AJ623" i="13"/>
  <c r="BL623" i="13" s="1"/>
  <c r="AN623" i="13" a="1"/>
  <c r="AN623" i="13" s="1"/>
  <c r="AP623" i="13" a="1"/>
  <c r="AP623" i="13" s="1"/>
  <c r="AQ623" i="13"/>
  <c r="AR623" i="13" a="1"/>
  <c r="AR623" i="13"/>
  <c r="AS623" i="13" a="1"/>
  <c r="AS623" i="13" s="1"/>
  <c r="BM623" i="13" a="1"/>
  <c r="BM623" i="13" s="1"/>
  <c r="F624" i="13"/>
  <c r="N624" i="13" a="1"/>
  <c r="N624" i="13" s="1"/>
  <c r="S624" i="13" a="1"/>
  <c r="S624" i="13" s="1"/>
  <c r="AD624" i="13"/>
  <c r="AH624" i="13"/>
  <c r="A624" i="13" s="1"/>
  <c r="AI624" i="13"/>
  <c r="AJ624" i="13"/>
  <c r="BL624" i="13" s="1"/>
  <c r="AN624" i="13" a="1"/>
  <c r="AN624" i="13" s="1"/>
  <c r="AP624" i="13" a="1"/>
  <c r="AP624" i="13" s="1"/>
  <c r="AQ624" i="13"/>
  <c r="AR624" i="13" a="1"/>
  <c r="AR624" i="13" s="1"/>
  <c r="AS624" i="13" a="1"/>
  <c r="AS624" i="13"/>
  <c r="BK624" i="13"/>
  <c r="BM624" i="13" a="1"/>
  <c r="BM624" i="13" s="1"/>
  <c r="BN624" i="13"/>
  <c r="CM624" i="13"/>
  <c r="F625" i="13"/>
  <c r="N625" i="13" a="1"/>
  <c r="N625" i="13" s="1"/>
  <c r="S625" i="13" a="1"/>
  <c r="S625" i="13" s="1"/>
  <c r="AD625" i="13"/>
  <c r="AH625" i="13"/>
  <c r="CU625" i="13" s="1"/>
  <c r="AI625" i="13"/>
  <c r="AJ625" i="13"/>
  <c r="BL625" i="13" s="1"/>
  <c r="AN625" i="13" a="1"/>
  <c r="AN625" i="13" s="1"/>
  <c r="AP625" i="13" a="1"/>
  <c r="AP625" i="13" s="1"/>
  <c r="AQ625" i="13"/>
  <c r="AR625" i="13" a="1"/>
  <c r="AR625" i="13"/>
  <c r="AS625" i="13" a="1"/>
  <c r="AS625" i="13" s="1"/>
  <c r="BK625" i="13"/>
  <c r="BM625" i="13" a="1"/>
  <c r="BM625" i="13" s="1"/>
  <c r="CM625" i="13"/>
  <c r="F626" i="13"/>
  <c r="N626" i="13" a="1"/>
  <c r="N626" i="13" s="1"/>
  <c r="S626" i="13" a="1"/>
  <c r="S626" i="13" s="1"/>
  <c r="AD626" i="13"/>
  <c r="AH626" i="13"/>
  <c r="A626" i="13" s="1"/>
  <c r="AI626" i="13"/>
  <c r="AJ626" i="13"/>
  <c r="BK626" i="13" s="1"/>
  <c r="AN626" i="13" a="1"/>
  <c r="AN626" i="13" s="1"/>
  <c r="AP626" i="13" a="1"/>
  <c r="AP626" i="13" s="1"/>
  <c r="AQ626" i="13"/>
  <c r="AR626" i="13" a="1"/>
  <c r="AR626" i="13"/>
  <c r="AS626" i="13" a="1"/>
  <c r="AS626" i="13"/>
  <c r="BM626" i="13" a="1"/>
  <c r="BM626" i="13" s="1"/>
  <c r="BN626" i="13"/>
  <c r="CM626" i="13"/>
  <c r="CU626" i="13"/>
  <c r="F627" i="13"/>
  <c r="N627" i="13" a="1"/>
  <c r="N627" i="13" s="1"/>
  <c r="S627" i="13" a="1"/>
  <c r="S627" i="13" s="1"/>
  <c r="AD627" i="13"/>
  <c r="AH627" i="13"/>
  <c r="CU627" i="13" s="1"/>
  <c r="AI627" i="13"/>
  <c r="AJ627" i="13"/>
  <c r="BL627" i="13" s="1"/>
  <c r="AN627" i="13" a="1"/>
  <c r="AN627" i="13" s="1"/>
  <c r="AP627" i="13" a="1"/>
  <c r="AP627" i="13" s="1"/>
  <c r="AQ627" i="13"/>
  <c r="AR627" i="13" a="1"/>
  <c r="AR627" i="13"/>
  <c r="AS627" i="13" a="1"/>
  <c r="AS627" i="13"/>
  <c r="BK627" i="13"/>
  <c r="BM627" i="13" a="1"/>
  <c r="BM627" i="13" s="1"/>
  <c r="F628" i="13"/>
  <c r="N628" i="13" a="1"/>
  <c r="N628" i="13" s="1"/>
  <c r="S628" i="13" a="1"/>
  <c r="S628" i="13" s="1"/>
  <c r="AD628" i="13"/>
  <c r="AH628" i="13"/>
  <c r="A628" i="13" s="1"/>
  <c r="AI628" i="13"/>
  <c r="AJ628" i="13"/>
  <c r="AN628" i="13" a="1"/>
  <c r="AN628" i="13" s="1"/>
  <c r="AP628" i="13" a="1"/>
  <c r="AP628" i="13" s="1"/>
  <c r="AQ628" i="13"/>
  <c r="AR628" i="13" a="1"/>
  <c r="AR628" i="13" s="1"/>
  <c r="AS628" i="13" a="1"/>
  <c r="AS628" i="13" s="1"/>
  <c r="BM628" i="13" a="1"/>
  <c r="BM628" i="13" s="1"/>
  <c r="F629" i="13"/>
  <c r="N629" i="13" a="1"/>
  <c r="N629" i="13" s="1"/>
  <c r="S629" i="13" a="1"/>
  <c r="S629" i="13" s="1"/>
  <c r="AD629" i="13"/>
  <c r="AH629" i="13"/>
  <c r="CU629" i="13" s="1"/>
  <c r="AI629" i="13"/>
  <c r="AJ629" i="13"/>
  <c r="BL629" i="13" s="1"/>
  <c r="AN629" i="13" a="1"/>
  <c r="AN629" i="13" s="1"/>
  <c r="AP629" i="13" a="1"/>
  <c r="AP629" i="13" s="1"/>
  <c r="AQ629" i="13"/>
  <c r="AR629" i="13" a="1"/>
  <c r="AR629" i="13" s="1"/>
  <c r="AS629" i="13" a="1"/>
  <c r="AS629" i="13" s="1"/>
  <c r="BK629" i="13"/>
  <c r="BM629" i="13" a="1"/>
  <c r="BM629" i="13" s="1"/>
  <c r="CM629" i="13"/>
  <c r="F630" i="13"/>
  <c r="N630" i="13" a="1"/>
  <c r="N630" i="13" s="1"/>
  <c r="S630" i="13" a="1"/>
  <c r="S630" i="13" s="1"/>
  <c r="AD630" i="13"/>
  <c r="AH630" i="13"/>
  <c r="A630" i="13" s="1"/>
  <c r="AI630" i="13"/>
  <c r="AJ630" i="13"/>
  <c r="BK630" i="13" s="1"/>
  <c r="AN630" i="13" a="1"/>
  <c r="AN630" i="13" s="1"/>
  <c r="AP630" i="13" a="1"/>
  <c r="AP630" i="13" s="1"/>
  <c r="AQ630" i="13"/>
  <c r="AR630" i="13" a="1"/>
  <c r="AR630" i="13" s="1"/>
  <c r="AS630" i="13" a="1"/>
  <c r="AS630" i="13"/>
  <c r="BM630" i="13" a="1"/>
  <c r="BM630" i="13" s="1"/>
  <c r="BN630" i="13"/>
  <c r="CM630" i="13"/>
  <c r="CU630" i="13"/>
  <c r="F631" i="13"/>
  <c r="N631" i="13" a="1"/>
  <c r="N631" i="13" s="1"/>
  <c r="S631" i="13" a="1"/>
  <c r="S631" i="13" s="1"/>
  <c r="AD631" i="13"/>
  <c r="AH631" i="13"/>
  <c r="CU631" i="13" s="1"/>
  <c r="AI631" i="13"/>
  <c r="AJ631" i="13"/>
  <c r="BL631" i="13" s="1"/>
  <c r="AN631" i="13" a="1"/>
  <c r="AN631" i="13" s="1"/>
  <c r="AP631" i="13" a="1"/>
  <c r="AP631" i="13" s="1"/>
  <c r="AQ631" i="13"/>
  <c r="AR631" i="13" a="1"/>
  <c r="AR631" i="13"/>
  <c r="AS631" i="13" a="1"/>
  <c r="AS631" i="13"/>
  <c r="BK631" i="13"/>
  <c r="BM631" i="13" a="1"/>
  <c r="BM631" i="13" s="1"/>
  <c r="BW631" i="13"/>
  <c r="F632" i="13"/>
  <c r="N632" i="13" a="1"/>
  <c r="N632" i="13" s="1"/>
  <c r="S632" i="13" a="1"/>
  <c r="S632" i="13" s="1"/>
  <c r="AD632" i="13"/>
  <c r="AH632" i="13"/>
  <c r="A632" i="13" s="1"/>
  <c r="AI632" i="13"/>
  <c r="AJ632" i="13"/>
  <c r="BK632" i="13" s="1"/>
  <c r="AN632" i="13" a="1"/>
  <c r="AN632" i="13" s="1"/>
  <c r="AP632" i="13" a="1"/>
  <c r="AP632" i="13" s="1"/>
  <c r="AQ632" i="13"/>
  <c r="AR632" i="13" a="1"/>
  <c r="AR632" i="13"/>
  <c r="AS632" i="13" a="1"/>
  <c r="AS632" i="13"/>
  <c r="BM632" i="13" a="1"/>
  <c r="BM632" i="13" s="1"/>
  <c r="CU632" i="13"/>
  <c r="A633" i="13"/>
  <c r="F633" i="13"/>
  <c r="N633" i="13" a="1"/>
  <c r="N633" i="13" s="1"/>
  <c r="S633" i="13" a="1"/>
  <c r="S633" i="13" s="1"/>
  <c r="AD633" i="13"/>
  <c r="AH633" i="13"/>
  <c r="CU633" i="13" s="1"/>
  <c r="AI633" i="13"/>
  <c r="AJ633" i="13"/>
  <c r="BL633" i="13" s="1"/>
  <c r="AN633" i="13" a="1"/>
  <c r="AN633" i="13" s="1"/>
  <c r="AP633" i="13" a="1"/>
  <c r="AP633" i="13" s="1"/>
  <c r="AQ633" i="13"/>
  <c r="AR633" i="13" a="1"/>
  <c r="AR633" i="13" s="1"/>
  <c r="AS633" i="13" a="1"/>
  <c r="AS633" i="13" s="1"/>
  <c r="BK633" i="13"/>
  <c r="BM633" i="13" a="1"/>
  <c r="BM633" i="13" s="1"/>
  <c r="BW633" i="13"/>
  <c r="CM633" i="13"/>
  <c r="F634" i="13"/>
  <c r="N634" i="13" a="1"/>
  <c r="N634" i="13" s="1"/>
  <c r="S634" i="13" a="1"/>
  <c r="S634" i="13" s="1"/>
  <c r="AD634" i="13"/>
  <c r="AH634" i="13"/>
  <c r="A634" i="13" s="1"/>
  <c r="AI634" i="13"/>
  <c r="AJ634" i="13"/>
  <c r="BK634" i="13" s="1"/>
  <c r="AN634" i="13" a="1"/>
  <c r="AN634" i="13" s="1"/>
  <c r="AP634" i="13" a="1"/>
  <c r="AP634" i="13" s="1"/>
  <c r="AQ634" i="13"/>
  <c r="AR634" i="13" a="1"/>
  <c r="AR634" i="13" s="1"/>
  <c r="AS634" i="13" a="1"/>
  <c r="AS634" i="13" s="1"/>
  <c r="BM634" i="13" a="1"/>
  <c r="BM634" i="13" s="1"/>
  <c r="CM634" i="13"/>
  <c r="F635" i="13"/>
  <c r="N635" i="13" a="1"/>
  <c r="N635" i="13" s="1"/>
  <c r="S635" i="13" a="1"/>
  <c r="S635" i="13" s="1"/>
  <c r="AD635" i="13"/>
  <c r="AH635" i="13"/>
  <c r="CU635" i="13" s="1"/>
  <c r="AI635" i="13"/>
  <c r="AJ635" i="13"/>
  <c r="BL635" i="13" s="1"/>
  <c r="AN635" i="13" a="1"/>
  <c r="AN635" i="13" s="1"/>
  <c r="AP635" i="13" a="1"/>
  <c r="AP635" i="13" s="1"/>
  <c r="AQ635" i="13"/>
  <c r="AR635" i="13" a="1"/>
  <c r="AR635" i="13"/>
  <c r="AS635" i="13" a="1"/>
  <c r="AS635" i="13"/>
  <c r="BK635" i="13"/>
  <c r="BM635" i="13" a="1"/>
  <c r="BM635" i="13" s="1"/>
  <c r="CM635" i="13"/>
  <c r="F636" i="13"/>
  <c r="N636" i="13" a="1"/>
  <c r="N636" i="13" s="1"/>
  <c r="S636" i="13" a="1"/>
  <c r="S636" i="13" s="1"/>
  <c r="AD636" i="13"/>
  <c r="AH636" i="13"/>
  <c r="A636" i="13" s="1"/>
  <c r="AI636" i="13"/>
  <c r="AJ636" i="13"/>
  <c r="AN636" i="13" a="1"/>
  <c r="AN636" i="13" s="1"/>
  <c r="AP636" i="13" a="1"/>
  <c r="AP636" i="13" s="1"/>
  <c r="AQ636" i="13"/>
  <c r="AR636" i="13" a="1"/>
  <c r="AR636" i="13"/>
  <c r="AS636" i="13" a="1"/>
  <c r="AS636" i="13" s="1"/>
  <c r="BM636" i="13" a="1"/>
  <c r="BM636" i="13" s="1"/>
  <c r="BN636" i="13"/>
  <c r="CU636" i="13"/>
  <c r="F637" i="13"/>
  <c r="N637" i="13" a="1"/>
  <c r="N637" i="13" s="1"/>
  <c r="S637" i="13" a="1"/>
  <c r="S637" i="13" s="1"/>
  <c r="AD637" i="13"/>
  <c r="AH637" i="13"/>
  <c r="CU637" i="13" s="1"/>
  <c r="AI637" i="13"/>
  <c r="AJ637" i="13"/>
  <c r="BL637" i="13" s="1"/>
  <c r="AN637" i="13" a="1"/>
  <c r="AN637" i="13" s="1"/>
  <c r="AP637" i="13" a="1"/>
  <c r="AP637" i="13" s="1"/>
  <c r="AQ637" i="13"/>
  <c r="AR637" i="13" a="1"/>
  <c r="AR637" i="13"/>
  <c r="AS637" i="13" a="1"/>
  <c r="AS637" i="13" s="1"/>
  <c r="BK637" i="13"/>
  <c r="BM637" i="13" a="1"/>
  <c r="BM637" i="13" s="1"/>
  <c r="CM637" i="13"/>
  <c r="F638" i="13"/>
  <c r="N638" i="13" a="1"/>
  <c r="N638" i="13" s="1"/>
  <c r="S638" i="13" a="1"/>
  <c r="S638" i="13" s="1"/>
  <c r="AD638" i="13"/>
  <c r="AH638" i="13"/>
  <c r="A638" i="13" s="1"/>
  <c r="AI638" i="13"/>
  <c r="AJ638" i="13"/>
  <c r="AN638" i="13" a="1"/>
  <c r="AN638" i="13" s="1"/>
  <c r="AP638" i="13" a="1"/>
  <c r="AP638" i="13" s="1"/>
  <c r="AQ638" i="13"/>
  <c r="AR638" i="13" a="1"/>
  <c r="AR638" i="13" s="1"/>
  <c r="AS638" i="13" a="1"/>
  <c r="AS638" i="13" s="1"/>
  <c r="BM638" i="13" a="1"/>
  <c r="BM638" i="13" s="1"/>
  <c r="F639" i="13"/>
  <c r="N639" i="13" a="1"/>
  <c r="N639" i="13" s="1"/>
  <c r="S639" i="13" a="1"/>
  <c r="S639" i="13" s="1"/>
  <c r="AD639" i="13"/>
  <c r="AH639" i="13"/>
  <c r="CU639" i="13" s="1"/>
  <c r="AI639" i="13"/>
  <c r="AJ639" i="13"/>
  <c r="BL639" i="13" s="1"/>
  <c r="AN639" i="13" a="1"/>
  <c r="AN639" i="13" s="1"/>
  <c r="AP639" i="13" a="1"/>
  <c r="AP639" i="13" s="1"/>
  <c r="AQ639" i="13"/>
  <c r="AR639" i="13" a="1"/>
  <c r="AR639" i="13" s="1"/>
  <c r="AS639" i="13" a="1"/>
  <c r="AS639" i="13"/>
  <c r="BK639" i="13"/>
  <c r="BM639" i="13" a="1"/>
  <c r="BM639" i="13" s="1"/>
  <c r="BW639" i="13"/>
  <c r="CM639" i="13"/>
  <c r="A640" i="13"/>
  <c r="F640" i="13"/>
  <c r="N640" i="13" a="1"/>
  <c r="N640" i="13" s="1"/>
  <c r="S640" i="13" a="1"/>
  <c r="S640" i="13" s="1"/>
  <c r="AD640" i="13"/>
  <c r="AH640" i="13"/>
  <c r="BS640" i="13" s="1"/>
  <c r="AI640" i="13"/>
  <c r="AJ640" i="13"/>
  <c r="BK640" i="13" s="1"/>
  <c r="AN640" i="13" a="1"/>
  <c r="AN640" i="13" s="1"/>
  <c r="AP640" i="13" a="1"/>
  <c r="AP640" i="13" s="1"/>
  <c r="AQ640" i="13"/>
  <c r="AR640" i="13" a="1"/>
  <c r="AR640" i="13"/>
  <c r="AS640" i="13" a="1"/>
  <c r="AS640" i="13"/>
  <c r="BM640" i="13" a="1"/>
  <c r="BM640" i="13" s="1"/>
  <c r="BN640" i="13"/>
  <c r="BW640" i="13"/>
  <c r="CM640" i="13"/>
  <c r="CU640" i="13"/>
  <c r="A641" i="13"/>
  <c r="F641" i="13"/>
  <c r="N641" i="13" a="1"/>
  <c r="N641" i="13" s="1"/>
  <c r="S641" i="13" a="1"/>
  <c r="S641" i="13" s="1"/>
  <c r="AD641" i="13"/>
  <c r="AH641" i="13"/>
  <c r="AM641" i="13" s="1"/>
  <c r="AI641" i="13"/>
  <c r="AJ641" i="13"/>
  <c r="BL641" i="13" s="1"/>
  <c r="AN641" i="13" a="1"/>
  <c r="AN641" i="13" s="1"/>
  <c r="AP641" i="13" a="1"/>
  <c r="AP641" i="13" s="1"/>
  <c r="AQ641" i="13"/>
  <c r="AR641" i="13" a="1"/>
  <c r="AR641" i="13"/>
  <c r="AS641" i="13" a="1"/>
  <c r="AS641" i="13" s="1"/>
  <c r="BM641" i="13" a="1"/>
  <c r="BM641" i="13" s="1"/>
  <c r="CM641" i="13"/>
  <c r="CU641" i="13"/>
  <c r="A642" i="13"/>
  <c r="F642" i="13"/>
  <c r="N642" i="13" a="1"/>
  <c r="N642" i="13" s="1"/>
  <c r="S642" i="13" a="1"/>
  <c r="S642" i="13" s="1"/>
  <c r="AD642" i="13"/>
  <c r="AH642" i="13"/>
  <c r="BS642" i="13" s="1"/>
  <c r="AI642" i="13"/>
  <c r="AJ642" i="13"/>
  <c r="BK642" i="13" s="1"/>
  <c r="AN642" i="13" a="1"/>
  <c r="AN642" i="13" s="1"/>
  <c r="AP642" i="13" a="1"/>
  <c r="AP642" i="13" s="1"/>
  <c r="AQ642" i="13"/>
  <c r="AR642" i="13" a="1"/>
  <c r="AR642" i="13"/>
  <c r="AS642" i="13" a="1"/>
  <c r="AS642" i="13"/>
  <c r="BM642" i="13" a="1"/>
  <c r="BM642" i="13" s="1"/>
  <c r="BN642" i="13"/>
  <c r="BW642" i="13"/>
  <c r="CM642" i="13"/>
  <c r="CU642" i="13"/>
  <c r="A643" i="13"/>
  <c r="F643" i="13"/>
  <c r="N643" i="13" a="1"/>
  <c r="N643" i="13" s="1"/>
  <c r="S643" i="13" a="1"/>
  <c r="S643" i="13" s="1"/>
  <c r="AD643" i="13"/>
  <c r="AH643" i="13"/>
  <c r="AM643" i="13" s="1"/>
  <c r="AI643" i="13"/>
  <c r="AJ643" i="13"/>
  <c r="BK643" i="13" s="1"/>
  <c r="AN643" i="13" a="1"/>
  <c r="AN643" i="13" s="1"/>
  <c r="AP643" i="13" a="1"/>
  <c r="AP643" i="13" s="1"/>
  <c r="AQ643" i="13"/>
  <c r="AR643" i="13" a="1"/>
  <c r="AR643" i="13" s="1"/>
  <c r="AS643" i="13" a="1"/>
  <c r="AS643" i="13" s="1"/>
  <c r="BM643" i="13" a="1"/>
  <c r="BM643" i="13" s="1"/>
  <c r="BW643" i="13"/>
  <c r="CU643" i="13"/>
  <c r="F644" i="13"/>
  <c r="N644" i="13" a="1"/>
  <c r="N644" i="13" s="1"/>
  <c r="S644" i="13" a="1"/>
  <c r="S644" i="13" s="1"/>
  <c r="AD644" i="13"/>
  <c r="AH644" i="13"/>
  <c r="BS644" i="13" s="1"/>
  <c r="AI644" i="13"/>
  <c r="AJ644" i="13"/>
  <c r="AN644" i="13" a="1"/>
  <c r="AN644" i="13" s="1"/>
  <c r="AP644" i="13" a="1"/>
  <c r="AP644" i="13" s="1"/>
  <c r="AQ644" i="13"/>
  <c r="AR644" i="13" a="1"/>
  <c r="AR644" i="13"/>
  <c r="AS644" i="13" a="1"/>
  <c r="AS644" i="13" s="1"/>
  <c r="BM644" i="13" a="1"/>
  <c r="BM644" i="13" s="1"/>
  <c r="BN644" i="13"/>
  <c r="F645" i="13"/>
  <c r="N645" i="13" a="1"/>
  <c r="N645" i="13" s="1"/>
  <c r="S645" i="13" a="1"/>
  <c r="S645" i="13" s="1"/>
  <c r="AD645" i="13"/>
  <c r="AH645" i="13"/>
  <c r="AM645" i="13" s="1"/>
  <c r="AI645" i="13"/>
  <c r="AJ645" i="13"/>
  <c r="AN645" i="13" a="1"/>
  <c r="AN645" i="13" s="1"/>
  <c r="AP645" i="13" a="1"/>
  <c r="AP645" i="13" s="1"/>
  <c r="AQ645" i="13"/>
  <c r="AR645" i="13" a="1"/>
  <c r="AR645" i="13" s="1"/>
  <c r="AS645" i="13" a="1"/>
  <c r="AS645" i="13" s="1"/>
  <c r="BM645" i="13" a="1"/>
  <c r="BM645" i="13" s="1"/>
  <c r="CM645" i="13"/>
  <c r="A646" i="13"/>
  <c r="F646" i="13"/>
  <c r="N646" i="13" a="1"/>
  <c r="N646" i="13" s="1"/>
  <c r="S646" i="13" a="1"/>
  <c r="S646" i="13" s="1"/>
  <c r="AD646" i="13"/>
  <c r="AH646" i="13"/>
  <c r="BS646" i="13" s="1"/>
  <c r="AI646" i="13"/>
  <c r="AJ646" i="13"/>
  <c r="AN646" i="13" a="1"/>
  <c r="AN646" i="13" s="1"/>
  <c r="AP646" i="13" a="1"/>
  <c r="AP646" i="13" s="1"/>
  <c r="AQ646" i="13"/>
  <c r="AR646" i="13" a="1"/>
  <c r="AR646" i="13" s="1"/>
  <c r="AS646" i="13" a="1"/>
  <c r="AS646" i="13"/>
  <c r="BM646" i="13" a="1"/>
  <c r="BM646" i="13" s="1"/>
  <c r="BN646" i="13"/>
  <c r="BW646" i="13"/>
  <c r="CM646" i="13"/>
  <c r="CU646" i="13"/>
  <c r="F647" i="13"/>
  <c r="N647" i="13" a="1"/>
  <c r="N647" i="13" s="1"/>
  <c r="S647" i="13" a="1"/>
  <c r="S647" i="13" s="1"/>
  <c r="AD647" i="13"/>
  <c r="AH647" i="13"/>
  <c r="AM647" i="13" s="1"/>
  <c r="AI647" i="13"/>
  <c r="AJ647" i="13"/>
  <c r="BK647" i="13" s="1"/>
  <c r="AN647" i="13" a="1"/>
  <c r="AN647" i="13" s="1"/>
  <c r="AP647" i="13" a="1"/>
  <c r="AP647" i="13" s="1"/>
  <c r="AQ647" i="13"/>
  <c r="AR647" i="13" a="1"/>
  <c r="AR647" i="13"/>
  <c r="AS647" i="13" a="1"/>
  <c r="AS647" i="13" s="1"/>
  <c r="BM647" i="13" a="1"/>
  <c r="BM647" i="13" s="1"/>
  <c r="CU647" i="13"/>
  <c r="A648" i="13"/>
  <c r="F648" i="13"/>
  <c r="N648" i="13" a="1"/>
  <c r="N648" i="13" s="1"/>
  <c r="S648" i="13" a="1"/>
  <c r="S648" i="13" s="1"/>
  <c r="AD648" i="13"/>
  <c r="AH648" i="13"/>
  <c r="BS648" i="13" s="1"/>
  <c r="AI648" i="13"/>
  <c r="AJ648" i="13"/>
  <c r="AN648" i="13" a="1"/>
  <c r="AN648" i="13" s="1"/>
  <c r="AP648" i="13" a="1"/>
  <c r="AP648" i="13" s="1"/>
  <c r="AQ648" i="13"/>
  <c r="AR648" i="13" a="1"/>
  <c r="AR648" i="13"/>
  <c r="AS648" i="13" a="1"/>
  <c r="AS648" i="13"/>
  <c r="BM648" i="13" a="1"/>
  <c r="BM648" i="13" s="1"/>
  <c r="BN648" i="13"/>
  <c r="BW648" i="13"/>
  <c r="CM648" i="13"/>
  <c r="CU648" i="13"/>
  <c r="F649" i="13"/>
  <c r="N649" i="13" a="1"/>
  <c r="N649" i="13" s="1"/>
  <c r="S649" i="13" a="1"/>
  <c r="S649" i="13" s="1"/>
  <c r="AD649" i="13"/>
  <c r="AH649" i="13"/>
  <c r="AM649" i="13" s="1"/>
  <c r="AI649" i="13"/>
  <c r="AJ649" i="13"/>
  <c r="AN649" i="13" a="1"/>
  <c r="AN649" i="13" s="1"/>
  <c r="AP649" i="13" a="1"/>
  <c r="AP649" i="13" s="1"/>
  <c r="AQ649" i="13"/>
  <c r="AR649" i="13" a="1"/>
  <c r="AR649" i="13" s="1"/>
  <c r="AS649" i="13" a="1"/>
  <c r="AS649" i="13" s="1"/>
  <c r="BM649" i="13" a="1"/>
  <c r="BM649" i="13" s="1"/>
  <c r="A650" i="13"/>
  <c r="F650" i="13"/>
  <c r="N650" i="13" a="1"/>
  <c r="N650" i="13" s="1"/>
  <c r="S650" i="13" a="1"/>
  <c r="S650" i="13" s="1"/>
  <c r="AD650" i="13"/>
  <c r="AH650" i="13"/>
  <c r="BS650" i="13" s="1"/>
  <c r="AI650" i="13"/>
  <c r="AJ650" i="13"/>
  <c r="AN650" i="13" a="1"/>
  <c r="AN650" i="13" s="1"/>
  <c r="AP650" i="13" a="1"/>
  <c r="AP650" i="13" s="1"/>
  <c r="AQ650" i="13"/>
  <c r="AR650" i="13" a="1"/>
  <c r="AR650" i="13"/>
  <c r="AS650" i="13" a="1"/>
  <c r="AS650" i="13" s="1"/>
  <c r="BM650" i="13" a="1"/>
  <c r="BM650" i="13" s="1"/>
  <c r="BN650" i="13"/>
  <c r="CM650" i="13"/>
  <c r="CU650" i="13"/>
  <c r="A651" i="13"/>
  <c r="F651" i="13"/>
  <c r="N651" i="13" a="1"/>
  <c r="N651" i="13" s="1"/>
  <c r="S651" i="13" a="1"/>
  <c r="S651" i="13" s="1"/>
  <c r="AD651" i="13"/>
  <c r="AH651" i="13"/>
  <c r="CU651" i="13" s="1"/>
  <c r="AI651" i="13"/>
  <c r="AJ651" i="13"/>
  <c r="BL651" i="13" s="1"/>
  <c r="AN651" i="13" a="1"/>
  <c r="AN651" i="13" s="1"/>
  <c r="AP651" i="13" a="1"/>
  <c r="AP651" i="13" s="1"/>
  <c r="AQ651" i="13"/>
  <c r="AR651" i="13" a="1"/>
  <c r="AR651" i="13"/>
  <c r="AS651" i="13" a="1"/>
  <c r="AS651" i="13"/>
  <c r="BM651" i="13" a="1"/>
  <c r="BM651" i="13" s="1"/>
  <c r="BW651" i="13"/>
  <c r="CM651" i="13"/>
  <c r="F652" i="13"/>
  <c r="N652" i="13" a="1"/>
  <c r="N652" i="13" s="1"/>
  <c r="S652" i="13" a="1"/>
  <c r="S652" i="13" s="1"/>
  <c r="AD652" i="13"/>
  <c r="AH652" i="13"/>
  <c r="BS652" i="13" s="1"/>
  <c r="AI652" i="13"/>
  <c r="AJ652" i="13"/>
  <c r="AN652" i="13" a="1"/>
  <c r="AN652" i="13" s="1"/>
  <c r="AP652" i="13" a="1"/>
  <c r="AP652" i="13" s="1"/>
  <c r="AQ652" i="13"/>
  <c r="AR652" i="13" a="1"/>
  <c r="AR652" i="13" s="1"/>
  <c r="AS652" i="13" a="1"/>
  <c r="AS652" i="13" s="1"/>
  <c r="BM652" i="13" a="1"/>
  <c r="BM652" i="13" s="1"/>
  <c r="BW652" i="13"/>
  <c r="CU652" i="13"/>
  <c r="F653" i="13"/>
  <c r="N653" i="13" a="1"/>
  <c r="N653" i="13" s="1"/>
  <c r="S653" i="13" a="1"/>
  <c r="S653" i="13" s="1"/>
  <c r="AD653" i="13"/>
  <c r="AH653" i="13"/>
  <c r="A653" i="13" s="1"/>
  <c r="AI653" i="13"/>
  <c r="AJ653" i="13"/>
  <c r="BL653" i="13" s="1"/>
  <c r="AN653" i="13" a="1"/>
  <c r="AN653" i="13" s="1"/>
  <c r="AP653" i="13" a="1"/>
  <c r="AP653" i="13" s="1"/>
  <c r="AQ653" i="13"/>
  <c r="AR653" i="13" a="1"/>
  <c r="AR653" i="13" s="1"/>
  <c r="AS653" i="13" a="1"/>
  <c r="AS653" i="13"/>
  <c r="BM653" i="13" a="1"/>
  <c r="BM653" i="13" s="1"/>
  <c r="BW653" i="13"/>
  <c r="F654" i="13"/>
  <c r="N654" i="13" a="1"/>
  <c r="N654" i="13" s="1"/>
  <c r="S654" i="13" a="1"/>
  <c r="S654" i="13" s="1"/>
  <c r="AD654" i="13"/>
  <c r="AH654" i="13"/>
  <c r="CM654" i="13" s="1"/>
  <c r="AI654" i="13"/>
  <c r="AJ654" i="13"/>
  <c r="BL654" i="13" s="1"/>
  <c r="AN654" i="13" a="1"/>
  <c r="AN654" i="13" s="1"/>
  <c r="AP654" i="13" a="1"/>
  <c r="AP654" i="13" s="1"/>
  <c r="AQ654" i="13"/>
  <c r="AR654" i="13" a="1"/>
  <c r="AR654" i="13"/>
  <c r="AS654" i="13" a="1"/>
  <c r="AS654" i="13" s="1"/>
  <c r="BM654" i="13" a="1"/>
  <c r="BM654" i="13" s="1"/>
  <c r="BW654" i="13"/>
  <c r="CU654" i="13"/>
  <c r="F655" i="13"/>
  <c r="N655" i="13" a="1"/>
  <c r="N655" i="13" s="1"/>
  <c r="S655" i="13" a="1"/>
  <c r="S655" i="13" s="1"/>
  <c r="AD655" i="13"/>
  <c r="AH655" i="13"/>
  <c r="BK655" i="13" s="1"/>
  <c r="AI655" i="13"/>
  <c r="AJ655" i="13"/>
  <c r="BL655" i="13" s="1"/>
  <c r="AN655" i="13" a="1"/>
  <c r="AN655" i="13" s="1"/>
  <c r="AP655" i="13" a="1"/>
  <c r="AP655" i="13" s="1"/>
  <c r="AQ655" i="13"/>
  <c r="AR655" i="13" a="1"/>
  <c r="AR655" i="13" s="1"/>
  <c r="AS655" i="13" a="1"/>
  <c r="AS655" i="13" s="1"/>
  <c r="BM655" i="13" a="1"/>
  <c r="BM655" i="13" s="1"/>
  <c r="F656" i="13"/>
  <c r="N656" i="13" a="1"/>
  <c r="N656" i="13" s="1"/>
  <c r="S656" i="13" a="1"/>
  <c r="S656" i="13" s="1"/>
  <c r="AD656" i="13"/>
  <c r="AH656" i="13"/>
  <c r="A656" i="13" s="1"/>
  <c r="AI656" i="13"/>
  <c r="AJ656" i="13"/>
  <c r="BL656" i="13" s="1"/>
  <c r="AN656" i="13" a="1"/>
  <c r="AN656" i="13" s="1"/>
  <c r="AP656" i="13" a="1"/>
  <c r="AP656" i="13" s="1"/>
  <c r="AQ656" i="13"/>
  <c r="AR656" i="13" a="1"/>
  <c r="AR656" i="13" s="1"/>
  <c r="AS656" i="13" a="1"/>
  <c r="AS656" i="13"/>
  <c r="BK656" i="13"/>
  <c r="BM656" i="13" a="1"/>
  <c r="BM656" i="13" s="1"/>
  <c r="CM656" i="13"/>
  <c r="CU656" i="13"/>
  <c r="F657" i="13"/>
  <c r="N657" i="13" a="1"/>
  <c r="N657" i="13" s="1"/>
  <c r="S657" i="13" a="1"/>
  <c r="S657" i="13" s="1"/>
  <c r="AD657" i="13"/>
  <c r="AH657" i="13"/>
  <c r="A657" i="13" s="1"/>
  <c r="AI657" i="13"/>
  <c r="AJ657" i="13"/>
  <c r="BL657" i="13" s="1"/>
  <c r="AN657" i="13" a="1"/>
  <c r="AN657" i="13" s="1"/>
  <c r="AP657" i="13" a="1"/>
  <c r="AP657" i="13" s="1"/>
  <c r="AQ657" i="13"/>
  <c r="AR657" i="13" a="1"/>
  <c r="AR657" i="13" s="1"/>
  <c r="AS657" i="13" a="1"/>
  <c r="AS657" i="13" s="1"/>
  <c r="BK657" i="13"/>
  <c r="BM657" i="13" a="1"/>
  <c r="BM657" i="13" s="1"/>
  <c r="CM657" i="13"/>
  <c r="F658" i="13"/>
  <c r="N658" i="13" a="1"/>
  <c r="N658" i="13" s="1"/>
  <c r="S658" i="13" a="1"/>
  <c r="S658" i="13" s="1"/>
  <c r="AD658" i="13"/>
  <c r="AH658" i="13"/>
  <c r="A658" i="13" s="1"/>
  <c r="AI658" i="13"/>
  <c r="AJ658" i="13"/>
  <c r="BL658" i="13" s="1"/>
  <c r="AN658" i="13" a="1"/>
  <c r="AN658" i="13" s="1"/>
  <c r="AP658" i="13" a="1"/>
  <c r="AP658" i="13" s="1"/>
  <c r="AQ658" i="13"/>
  <c r="AR658" i="13" a="1"/>
  <c r="AR658" i="13" s="1"/>
  <c r="AS658" i="13" a="1"/>
  <c r="AS658" i="13" s="1"/>
  <c r="BM658" i="13" a="1"/>
  <c r="BM658" i="13" s="1"/>
  <c r="F659" i="13"/>
  <c r="N659" i="13" a="1"/>
  <c r="N659" i="13" s="1"/>
  <c r="S659" i="13" a="1"/>
  <c r="S659" i="13" s="1"/>
  <c r="AD659" i="13"/>
  <c r="AH659" i="13"/>
  <c r="A659" i="13" s="1"/>
  <c r="AI659" i="13"/>
  <c r="AJ659" i="13"/>
  <c r="BL659" i="13" s="1"/>
  <c r="AN659" i="13" a="1"/>
  <c r="AN659" i="13" s="1"/>
  <c r="AP659" i="13" a="1"/>
  <c r="AP659" i="13" s="1"/>
  <c r="AQ659" i="13"/>
  <c r="AR659" i="13" a="1"/>
  <c r="AR659" i="13"/>
  <c r="AS659" i="13" a="1"/>
  <c r="AS659" i="13"/>
  <c r="BM659" i="13" a="1"/>
  <c r="BM659" i="13" s="1"/>
  <c r="CM659" i="13"/>
  <c r="F660" i="13"/>
  <c r="N660" i="13" a="1"/>
  <c r="N660" i="13" s="1"/>
  <c r="S660" i="13" a="1"/>
  <c r="S660" i="13" s="1"/>
  <c r="AD660" i="13"/>
  <c r="AH660" i="13"/>
  <c r="A660" i="13" s="1"/>
  <c r="AI660" i="13"/>
  <c r="AJ660" i="13"/>
  <c r="BL660" i="13" s="1"/>
  <c r="AN660" i="13" a="1"/>
  <c r="AN660" i="13" s="1"/>
  <c r="AP660" i="13" a="1"/>
  <c r="AP660" i="13" s="1"/>
  <c r="AQ660" i="13"/>
  <c r="AR660" i="13" a="1"/>
  <c r="AR660" i="13" s="1"/>
  <c r="AS660" i="13" a="1"/>
  <c r="AS660" i="13" s="1"/>
  <c r="BM660" i="13" a="1"/>
  <c r="BM660" i="13" s="1"/>
  <c r="BW660" i="13"/>
  <c r="CU660" i="13"/>
  <c r="F661" i="13"/>
  <c r="N661" i="13" a="1"/>
  <c r="N661" i="13" s="1"/>
  <c r="S661" i="13" a="1"/>
  <c r="S661" i="13" s="1"/>
  <c r="AD661" i="13"/>
  <c r="AH661" i="13"/>
  <c r="A661" i="13" s="1"/>
  <c r="AI661" i="13"/>
  <c r="AJ661" i="13"/>
  <c r="BL661" i="13" s="1"/>
  <c r="AN661" i="13" a="1"/>
  <c r="AN661" i="13" s="1"/>
  <c r="AP661" i="13" a="1"/>
  <c r="AP661" i="13" s="1"/>
  <c r="AQ661" i="13"/>
  <c r="AR661" i="13" a="1"/>
  <c r="AR661" i="13" s="1"/>
  <c r="AS661" i="13" a="1"/>
  <c r="AS661" i="13" s="1"/>
  <c r="BK661" i="13"/>
  <c r="BM661" i="13" a="1"/>
  <c r="BM661" i="13" s="1"/>
  <c r="A662" i="13"/>
  <c r="F662" i="13"/>
  <c r="N662" i="13" a="1"/>
  <c r="N662" i="13" s="1"/>
  <c r="S662" i="13" a="1"/>
  <c r="S662" i="13" s="1"/>
  <c r="AD662" i="13"/>
  <c r="AH662" i="13"/>
  <c r="CM662" i="13" s="1"/>
  <c r="AI662" i="13"/>
  <c r="AJ662" i="13"/>
  <c r="BL662" i="13" s="1"/>
  <c r="AN662" i="13" a="1"/>
  <c r="AN662" i="13" s="1"/>
  <c r="AP662" i="13" a="1"/>
  <c r="AP662" i="13" s="1"/>
  <c r="AQ662" i="13"/>
  <c r="AR662" i="13" a="1"/>
  <c r="AR662" i="13"/>
  <c r="AS662" i="13" a="1"/>
  <c r="AS662" i="13" s="1"/>
  <c r="BM662" i="13" a="1"/>
  <c r="BM662" i="13" s="1"/>
  <c r="BW662" i="13"/>
  <c r="A663" i="13"/>
  <c r="F663" i="13"/>
  <c r="N663" i="13" a="1"/>
  <c r="N663" i="13" s="1"/>
  <c r="S663" i="13" a="1"/>
  <c r="S663" i="13" s="1"/>
  <c r="AD663" i="13"/>
  <c r="AH663" i="13"/>
  <c r="CU663" i="13" s="1"/>
  <c r="AI663" i="13"/>
  <c r="AJ663" i="13"/>
  <c r="BL663" i="13" s="1"/>
  <c r="AN663" i="13" a="1"/>
  <c r="AN663" i="13" s="1"/>
  <c r="AP663" i="13" a="1"/>
  <c r="AP663" i="13" s="1"/>
  <c r="AQ663" i="13"/>
  <c r="AR663" i="13" a="1"/>
  <c r="AR663" i="13" s="1"/>
  <c r="AS663" i="13" a="1"/>
  <c r="AS663" i="13"/>
  <c r="BM663" i="13" a="1"/>
  <c r="BM663" i="13" s="1"/>
  <c r="BN663" i="13"/>
  <c r="BW663" i="13"/>
  <c r="CM663" i="13"/>
  <c r="F664" i="13"/>
  <c r="N664" i="13" a="1"/>
  <c r="N664" i="13" s="1"/>
  <c r="S664" i="13" a="1"/>
  <c r="S664" i="13" s="1"/>
  <c r="AD664" i="13"/>
  <c r="AH664" i="13"/>
  <c r="A664" i="13" s="1"/>
  <c r="AI664" i="13"/>
  <c r="AJ664" i="13"/>
  <c r="BL664" i="13" s="1"/>
  <c r="AN664" i="13" a="1"/>
  <c r="AN664" i="13" s="1"/>
  <c r="AP664" i="13" a="1"/>
  <c r="AP664" i="13" s="1"/>
  <c r="AQ664" i="13"/>
  <c r="AR664" i="13" a="1"/>
  <c r="AR664" i="13"/>
  <c r="AS664" i="13" a="1"/>
  <c r="AS664" i="13"/>
  <c r="BM664" i="13" a="1"/>
  <c r="BM664" i="13" s="1"/>
  <c r="F665" i="13"/>
  <c r="N665" i="13" a="1"/>
  <c r="N665" i="13" s="1"/>
  <c r="S665" i="13" a="1"/>
  <c r="S665" i="13" s="1"/>
  <c r="AD665" i="13"/>
  <c r="AH665" i="13"/>
  <c r="BN665" i="13" s="1"/>
  <c r="AI665" i="13"/>
  <c r="AJ665" i="13"/>
  <c r="BL665" i="13" s="1"/>
  <c r="AN665" i="13" a="1"/>
  <c r="AN665" i="13" s="1"/>
  <c r="AP665" i="13" a="1"/>
  <c r="AP665" i="13"/>
  <c r="AQ665" i="13"/>
  <c r="AR665" i="13" a="1"/>
  <c r="AR665" i="13" s="1"/>
  <c r="AS665" i="13" a="1"/>
  <c r="AS665" i="13" s="1"/>
  <c r="BM665" i="13" a="1"/>
  <c r="BM665" i="13" s="1"/>
  <c r="CH665" i="13"/>
  <c r="F666" i="13"/>
  <c r="N666" i="13" a="1"/>
  <c r="N666" i="13" s="1"/>
  <c r="S666" i="13" a="1"/>
  <c r="S666" i="13" s="1"/>
  <c r="AD666" i="13"/>
  <c r="AH666" i="13"/>
  <c r="CA666" i="13" s="1"/>
  <c r="AI666" i="13"/>
  <c r="AJ666" i="13"/>
  <c r="BL666" i="13" s="1"/>
  <c r="AM666" i="13"/>
  <c r="AN666" i="13" a="1"/>
  <c r="AN666" i="13" s="1"/>
  <c r="AP666" i="13" a="1"/>
  <c r="AP666" i="13" s="1"/>
  <c r="AQ666" i="13"/>
  <c r="AR666" i="13" a="1"/>
  <c r="AR666" i="13"/>
  <c r="AS666" i="13" a="1"/>
  <c r="AS666" i="13"/>
  <c r="BM666" i="13" a="1"/>
  <c r="BM666" i="13" s="1"/>
  <c r="BW666" i="13"/>
  <c r="CU666" i="13"/>
  <c r="F667" i="13"/>
  <c r="N667" i="13" a="1"/>
  <c r="N667" i="13" s="1"/>
  <c r="S667" i="13" a="1"/>
  <c r="S667" i="13" s="1"/>
  <c r="AD667" i="13"/>
  <c r="AH667" i="13"/>
  <c r="AM667" i="13" s="1"/>
  <c r="AI667" i="13"/>
  <c r="AJ667" i="13"/>
  <c r="BL667" i="13" s="1"/>
  <c r="AN667" i="13" a="1"/>
  <c r="AN667" i="13" s="1"/>
  <c r="AP667" i="13" a="1"/>
  <c r="AP667" i="13"/>
  <c r="AQ667" i="13"/>
  <c r="AR667" i="13" a="1"/>
  <c r="AR667" i="13"/>
  <c r="AS667" i="13" a="1"/>
  <c r="AS667" i="13" s="1"/>
  <c r="BM667" i="13" a="1"/>
  <c r="BM667" i="13"/>
  <c r="CM667" i="13"/>
  <c r="F668" i="13"/>
  <c r="N668" i="13" a="1"/>
  <c r="N668" i="13" s="1"/>
  <c r="S668" i="13" a="1"/>
  <c r="S668" i="13" s="1"/>
  <c r="AD668" i="13"/>
  <c r="AH668" i="13"/>
  <c r="BW668" i="13" s="1"/>
  <c r="AI668" i="13"/>
  <c r="AJ668" i="13"/>
  <c r="BL668" i="13" s="1"/>
  <c r="AM668" i="13"/>
  <c r="AN668" i="13" a="1"/>
  <c r="AN668" i="13" s="1"/>
  <c r="AP668" i="13" a="1"/>
  <c r="AP668" i="13"/>
  <c r="AQ668" i="13"/>
  <c r="AR668" i="13" a="1"/>
  <c r="AR668" i="13"/>
  <c r="AS668" i="13" a="1"/>
  <c r="AS668" i="13"/>
  <c r="BK668" i="13"/>
  <c r="BM668" i="13" a="1"/>
  <c r="BM668" i="13" s="1"/>
  <c r="BN668" i="13"/>
  <c r="CA668" i="13"/>
  <c r="CH668" i="13"/>
  <c r="CU668" i="13"/>
  <c r="F669" i="13"/>
  <c r="N669" i="13" a="1"/>
  <c r="N669" i="13" s="1"/>
  <c r="S669" i="13" a="1"/>
  <c r="S669" i="13" s="1"/>
  <c r="AD669" i="13"/>
  <c r="AH669" i="13"/>
  <c r="BN669" i="13" s="1"/>
  <c r="AI669" i="13"/>
  <c r="AJ669" i="13"/>
  <c r="BL669" i="13" s="1"/>
  <c r="AM669" i="13"/>
  <c r="AN669" i="13" a="1"/>
  <c r="AN669" i="13" s="1"/>
  <c r="AP669" i="13" a="1"/>
  <c r="AP669" i="13"/>
  <c r="AQ669" i="13"/>
  <c r="AR669" i="13" a="1"/>
  <c r="AR669" i="13"/>
  <c r="AS669" i="13" a="1"/>
  <c r="AS669" i="13"/>
  <c r="BM669" i="13" a="1"/>
  <c r="BM669" i="13"/>
  <c r="CA669" i="13"/>
  <c r="CM669" i="13"/>
  <c r="F670" i="13"/>
  <c r="N670" i="13" a="1"/>
  <c r="N670" i="13" s="1"/>
  <c r="S670" i="13" a="1"/>
  <c r="S670" i="13" s="1"/>
  <c r="AD670" i="13"/>
  <c r="AH670" i="13"/>
  <c r="BN670" i="13" s="1"/>
  <c r="AI670" i="13"/>
  <c r="AJ670" i="13"/>
  <c r="BL670" i="13" s="1"/>
  <c r="AN670" i="13" a="1"/>
  <c r="AN670" i="13" s="1"/>
  <c r="AP670" i="13" a="1"/>
  <c r="AP670" i="13" s="1"/>
  <c r="AQ670" i="13"/>
  <c r="AR670" i="13" a="1"/>
  <c r="AR670" i="13"/>
  <c r="AS670" i="13" a="1"/>
  <c r="AS670" i="13"/>
  <c r="BM670" i="13" a="1"/>
  <c r="BM670" i="13" s="1"/>
  <c r="BW670" i="13"/>
  <c r="F671" i="13"/>
  <c r="N671" i="13" a="1"/>
  <c r="N671" i="13" s="1"/>
  <c r="S671" i="13" a="1"/>
  <c r="S671" i="13" s="1"/>
  <c r="AD671" i="13"/>
  <c r="AH671" i="13"/>
  <c r="BN671" i="13" s="1"/>
  <c r="AI671" i="13"/>
  <c r="AJ671" i="13"/>
  <c r="BL671" i="13" s="1"/>
  <c r="AN671" i="13" a="1"/>
  <c r="AN671" i="13" s="1"/>
  <c r="AP671" i="13" a="1"/>
  <c r="AP671" i="13" s="1"/>
  <c r="AQ671" i="13"/>
  <c r="AR671" i="13" a="1"/>
  <c r="AR671" i="13" s="1"/>
  <c r="AS671" i="13" a="1"/>
  <c r="AS671" i="13" s="1"/>
  <c r="BM671" i="13" a="1"/>
  <c r="BM671" i="13" s="1"/>
  <c r="BW671" i="13"/>
  <c r="F672" i="13"/>
  <c r="N672" i="13" a="1"/>
  <c r="N672" i="13" s="1"/>
  <c r="S672" i="13" a="1"/>
  <c r="S672" i="13" s="1"/>
  <c r="AD672" i="13"/>
  <c r="AH672" i="13"/>
  <c r="CA672" i="13" s="1"/>
  <c r="AI672" i="13"/>
  <c r="AJ672" i="13"/>
  <c r="BL672" i="13" s="1"/>
  <c r="AM672" i="13"/>
  <c r="AN672" i="13" a="1"/>
  <c r="AN672" i="13" s="1"/>
  <c r="AP672" i="13" a="1"/>
  <c r="AP672" i="13" s="1"/>
  <c r="AQ672" i="13"/>
  <c r="AR672" i="13" a="1"/>
  <c r="AR672" i="13"/>
  <c r="AS672" i="13" a="1"/>
  <c r="AS672" i="13" s="1"/>
  <c r="BM672" i="13" a="1"/>
  <c r="BM672" i="13" s="1"/>
  <c r="BN672" i="13"/>
  <c r="CH672" i="13"/>
  <c r="CU672" i="13"/>
  <c r="F673" i="13"/>
  <c r="N673" i="13" a="1"/>
  <c r="N673" i="13" s="1"/>
  <c r="S673" i="13" a="1"/>
  <c r="S673" i="13" s="1"/>
  <c r="AD673" i="13"/>
  <c r="AH673" i="13"/>
  <c r="BN673" i="13" s="1"/>
  <c r="AI673" i="13"/>
  <c r="AJ673" i="13"/>
  <c r="BL673" i="13" s="1"/>
  <c r="AN673" i="13" a="1"/>
  <c r="AN673" i="13" s="1"/>
  <c r="AP673" i="13" a="1"/>
  <c r="AP673" i="13"/>
  <c r="AQ673" i="13"/>
  <c r="AR673" i="13" a="1"/>
  <c r="AR673" i="13"/>
  <c r="AS673" i="13" a="1"/>
  <c r="AS673" i="13" s="1"/>
  <c r="BM673" i="13" a="1"/>
  <c r="BM673" i="13" s="1"/>
  <c r="F674" i="13"/>
  <c r="N674" i="13" a="1"/>
  <c r="N674" i="13" s="1"/>
  <c r="S674" i="13" a="1"/>
  <c r="S674" i="13" s="1"/>
  <c r="AD674" i="13"/>
  <c r="AH674" i="13"/>
  <c r="CH674" i="13" s="1"/>
  <c r="AI674" i="13"/>
  <c r="AJ674" i="13"/>
  <c r="BL674" i="13" s="1"/>
  <c r="AN674" i="13" a="1"/>
  <c r="AN674" i="13" s="1"/>
  <c r="AP674" i="13" a="1"/>
  <c r="AP674" i="13" s="1"/>
  <c r="AQ674" i="13"/>
  <c r="AR674" i="13" a="1"/>
  <c r="AR674" i="13"/>
  <c r="AS674" i="13" a="1"/>
  <c r="AS674" i="13" s="1"/>
  <c r="BM674" i="13" a="1"/>
  <c r="BM674" i="13" s="1"/>
  <c r="CA674" i="13"/>
  <c r="CU674" i="13"/>
  <c r="F675" i="13"/>
  <c r="N675" i="13" a="1"/>
  <c r="N675" i="13" s="1"/>
  <c r="S675" i="13" a="1"/>
  <c r="S675" i="13" s="1"/>
  <c r="AD675" i="13"/>
  <c r="AH675" i="13"/>
  <c r="AM675" i="13" s="1"/>
  <c r="AI675" i="13"/>
  <c r="AJ675" i="13"/>
  <c r="BL675" i="13" s="1"/>
  <c r="AN675" i="13" a="1"/>
  <c r="AN675" i="13" s="1"/>
  <c r="AP675" i="13" a="1"/>
  <c r="AP675" i="13" s="1"/>
  <c r="AQ675" i="13"/>
  <c r="AR675" i="13" a="1"/>
  <c r="AR675" i="13"/>
  <c r="AS675" i="13" a="1"/>
  <c r="AS675" i="13" s="1"/>
  <c r="BM675" i="13" a="1"/>
  <c r="BM675" i="13"/>
  <c r="BN675" i="13"/>
  <c r="CM675" i="13"/>
  <c r="F676" i="13"/>
  <c r="N676" i="13" a="1"/>
  <c r="N676" i="13" s="1"/>
  <c r="S676" i="13" a="1"/>
  <c r="S676" i="13" s="1"/>
  <c r="AD676" i="13"/>
  <c r="AH676" i="13"/>
  <c r="AI676" i="13"/>
  <c r="AJ676" i="13"/>
  <c r="BL676" i="13" s="1"/>
  <c r="AM676" i="13"/>
  <c r="AN676" i="13" a="1"/>
  <c r="AN676" i="13" s="1"/>
  <c r="AP676" i="13" a="1"/>
  <c r="AP676" i="13"/>
  <c r="AQ676" i="13"/>
  <c r="AR676" i="13" a="1"/>
  <c r="AR676" i="13"/>
  <c r="AS676" i="13" a="1"/>
  <c r="AS676" i="13" s="1"/>
  <c r="BK676" i="13"/>
  <c r="BM676" i="13" a="1"/>
  <c r="BM676" i="13" s="1"/>
  <c r="BN676" i="13"/>
  <c r="BW676" i="13"/>
  <c r="CA676" i="13"/>
  <c r="CH676" i="13"/>
  <c r="CM676" i="13"/>
  <c r="CU676" i="13"/>
  <c r="F677" i="13"/>
  <c r="N677" i="13" a="1"/>
  <c r="N677" i="13" s="1"/>
  <c r="S677" i="13" a="1"/>
  <c r="S677" i="13" s="1"/>
  <c r="AD677" i="13"/>
  <c r="AH677" i="13"/>
  <c r="BN677" i="13" s="1"/>
  <c r="AI677" i="13"/>
  <c r="AJ677" i="13"/>
  <c r="BL677" i="13" s="1"/>
  <c r="AM677" i="13"/>
  <c r="AN677" i="13" a="1"/>
  <c r="AN677" i="13" s="1"/>
  <c r="AP677" i="13" a="1"/>
  <c r="AP677" i="13"/>
  <c r="AQ677" i="13"/>
  <c r="AR677" i="13" a="1"/>
  <c r="AR677" i="13"/>
  <c r="AS677" i="13" a="1"/>
  <c r="AS677" i="13" s="1"/>
  <c r="BK677" i="13"/>
  <c r="BM677" i="13" a="1"/>
  <c r="BM677" i="13"/>
  <c r="BW677" i="13"/>
  <c r="CA677" i="13"/>
  <c r="CM677" i="13"/>
  <c r="F678" i="13"/>
  <c r="N678" i="13" a="1"/>
  <c r="N678" i="13" s="1"/>
  <c r="S678" i="13" a="1"/>
  <c r="S678" i="13" s="1"/>
  <c r="AD678" i="13"/>
  <c r="AH678" i="13"/>
  <c r="BN678" i="13" s="1"/>
  <c r="AI678" i="13"/>
  <c r="AJ678" i="13"/>
  <c r="BL678" i="13" s="1"/>
  <c r="AN678" i="13" a="1"/>
  <c r="AN678" i="13" s="1"/>
  <c r="AP678" i="13" a="1"/>
  <c r="AP678" i="13" s="1"/>
  <c r="AQ678" i="13"/>
  <c r="AR678" i="13" a="1"/>
  <c r="AR678" i="13"/>
  <c r="AS678" i="13" a="1"/>
  <c r="AS678" i="13"/>
  <c r="BM678" i="13" a="1"/>
  <c r="BM678" i="13"/>
  <c r="BW678" i="13"/>
  <c r="F679" i="13"/>
  <c r="N679" i="13" a="1"/>
  <c r="N679" i="13" s="1"/>
  <c r="S679" i="13" a="1"/>
  <c r="S679" i="13" s="1"/>
  <c r="AD679" i="13"/>
  <c r="AH679" i="13"/>
  <c r="BN679" i="13" s="1"/>
  <c r="AI679" i="13"/>
  <c r="AJ679" i="13"/>
  <c r="BL679" i="13" s="1"/>
  <c r="AN679" i="13" a="1"/>
  <c r="AN679" i="13" s="1"/>
  <c r="AP679" i="13" a="1"/>
  <c r="AP679" i="13" s="1"/>
  <c r="AQ679" i="13"/>
  <c r="AR679" i="13" a="1"/>
  <c r="AR679" i="13" s="1"/>
  <c r="AS679" i="13" a="1"/>
  <c r="AS679" i="13" s="1"/>
  <c r="BM679" i="13" a="1"/>
  <c r="BM679" i="13"/>
  <c r="BW679" i="13"/>
  <c r="F680" i="13"/>
  <c r="N680" i="13" a="1"/>
  <c r="N680" i="13" s="1"/>
  <c r="S680" i="13" a="1"/>
  <c r="S680" i="13" s="1"/>
  <c r="AD680" i="13"/>
  <c r="AH680" i="13"/>
  <c r="CA680" i="13" s="1"/>
  <c r="AI680" i="13"/>
  <c r="AJ680" i="13"/>
  <c r="BL680" i="13" s="1"/>
  <c r="AM680" i="13"/>
  <c r="AN680" i="13" a="1"/>
  <c r="AN680" i="13" s="1"/>
  <c r="AP680" i="13" a="1"/>
  <c r="AP680" i="13" s="1"/>
  <c r="AQ680" i="13"/>
  <c r="AR680" i="13" a="1"/>
  <c r="AR680" i="13"/>
  <c r="AS680" i="13" a="1"/>
  <c r="AS680" i="13" s="1"/>
  <c r="BM680" i="13" a="1"/>
  <c r="BM680" i="13" s="1"/>
  <c r="BN680" i="13"/>
  <c r="BW680" i="13"/>
  <c r="CH680" i="13"/>
  <c r="CU680" i="13"/>
  <c r="F681" i="13"/>
  <c r="N681" i="13" a="1"/>
  <c r="N681" i="13" s="1"/>
  <c r="S681" i="13" a="1"/>
  <c r="S681" i="13" s="1"/>
  <c r="AD681" i="13"/>
  <c r="AH681" i="13"/>
  <c r="BN681" i="13" s="1"/>
  <c r="AI681" i="13"/>
  <c r="AJ681" i="13"/>
  <c r="BL681" i="13" s="1"/>
  <c r="AN681" i="13" a="1"/>
  <c r="AN681" i="13" s="1"/>
  <c r="AP681" i="13" a="1"/>
  <c r="AP681" i="13"/>
  <c r="AQ681" i="13"/>
  <c r="AR681" i="13" a="1"/>
  <c r="AR681" i="13" s="1"/>
  <c r="AS681" i="13" a="1"/>
  <c r="AS681" i="13" s="1"/>
  <c r="BM681" i="13" a="1"/>
  <c r="BM681" i="13" s="1"/>
  <c r="BW681" i="13"/>
  <c r="F682" i="13"/>
  <c r="N682" i="13" a="1"/>
  <c r="N682" i="13" s="1"/>
  <c r="S682" i="13" a="1"/>
  <c r="S682" i="13" s="1"/>
  <c r="AD682" i="13"/>
  <c r="AH682" i="13"/>
  <c r="AM682" i="13" s="1"/>
  <c r="AI682" i="13"/>
  <c r="AJ682" i="13"/>
  <c r="BL682" i="13" s="1"/>
  <c r="AN682" i="13" a="1"/>
  <c r="AN682" i="13" s="1"/>
  <c r="AP682" i="13" a="1"/>
  <c r="AP682" i="13" s="1"/>
  <c r="AQ682" i="13"/>
  <c r="AR682" i="13" a="1"/>
  <c r="AR682" i="13" s="1"/>
  <c r="AS682" i="13" a="1"/>
  <c r="AS682" i="13" s="1"/>
  <c r="BM682" i="13" a="1"/>
  <c r="BM682" i="13" s="1"/>
  <c r="BW682" i="13"/>
  <c r="CH682" i="13"/>
  <c r="CU682" i="13"/>
  <c r="F683" i="13"/>
  <c r="N683" i="13" a="1"/>
  <c r="N683" i="13" s="1"/>
  <c r="S683" i="13" a="1"/>
  <c r="S683" i="13" s="1"/>
  <c r="AD683" i="13"/>
  <c r="AH683" i="13"/>
  <c r="AM683" i="13" s="1"/>
  <c r="AI683" i="13"/>
  <c r="AJ683" i="13"/>
  <c r="BL683" i="13" s="1"/>
  <c r="AN683" i="13" a="1"/>
  <c r="AN683" i="13" s="1"/>
  <c r="AP683" i="13" a="1"/>
  <c r="AP683" i="13"/>
  <c r="AQ683" i="13"/>
  <c r="AR683" i="13" a="1"/>
  <c r="AR683" i="13"/>
  <c r="AS683" i="13" a="1"/>
  <c r="AS683" i="13" s="1"/>
  <c r="BK683" i="13"/>
  <c r="BM683" i="13" a="1"/>
  <c r="BM683" i="13" s="1"/>
  <c r="CH683" i="13"/>
  <c r="F684" i="13"/>
  <c r="N684" i="13" a="1"/>
  <c r="N684" i="13" s="1"/>
  <c r="S684" i="13" a="1"/>
  <c r="S684" i="13" s="1"/>
  <c r="AD684" i="13"/>
  <c r="AH684" i="13"/>
  <c r="AI684" i="13"/>
  <c r="AJ684" i="13"/>
  <c r="BL684" i="13" s="1"/>
  <c r="AM684" i="13"/>
  <c r="AN684" i="13" a="1"/>
  <c r="AN684" i="13" s="1"/>
  <c r="AP684" i="13" a="1"/>
  <c r="AP684" i="13" s="1"/>
  <c r="AQ684" i="13"/>
  <c r="AR684" i="13" a="1"/>
  <c r="AR684" i="13" s="1"/>
  <c r="AS684" i="13" a="1"/>
  <c r="AS684" i="13" s="1"/>
  <c r="BM684" i="13" a="1"/>
  <c r="BM684" i="13" s="1"/>
  <c r="BN684" i="13"/>
  <c r="BW684" i="13"/>
  <c r="CA684" i="13"/>
  <c r="CH684" i="13"/>
  <c r="CM684" i="13"/>
  <c r="CU684" i="13"/>
  <c r="F685" i="13"/>
  <c r="N685" i="13" a="1"/>
  <c r="N685" i="13" s="1"/>
  <c r="S685" i="13" a="1"/>
  <c r="S685" i="13" s="1"/>
  <c r="AD685" i="13"/>
  <c r="AH685" i="13"/>
  <c r="BN685" i="13" s="1"/>
  <c r="AI685" i="13"/>
  <c r="AJ685" i="13"/>
  <c r="BL685" i="13" s="1"/>
  <c r="AM685" i="13"/>
  <c r="AN685" i="13" a="1"/>
  <c r="AN685" i="13" s="1"/>
  <c r="AP685" i="13" a="1"/>
  <c r="AP685" i="13" s="1"/>
  <c r="AQ685" i="13"/>
  <c r="AR685" i="13" a="1"/>
  <c r="AR685" i="13" s="1"/>
  <c r="AS685" i="13" a="1"/>
  <c r="AS685" i="13" s="1"/>
  <c r="BM685" i="13" a="1"/>
  <c r="BM685" i="13" s="1"/>
  <c r="CA685" i="13"/>
  <c r="CH685" i="13"/>
  <c r="CM685" i="13"/>
  <c r="CQ685" i="13"/>
  <c r="F686" i="13"/>
  <c r="N686" i="13" a="1"/>
  <c r="N686" i="13" s="1"/>
  <c r="S686" i="13" a="1"/>
  <c r="S686" i="13" s="1"/>
  <c r="AD686" i="13"/>
  <c r="AH686" i="13"/>
  <c r="A686" i="13" s="1"/>
  <c r="AI686" i="13"/>
  <c r="AJ686" i="13"/>
  <c r="BK686" i="13" s="1"/>
  <c r="AM686" i="13"/>
  <c r="AN686" i="13" a="1"/>
  <c r="AN686" i="13" s="1"/>
  <c r="AP686" i="13" a="1"/>
  <c r="AP686" i="13" s="1"/>
  <c r="AQ686" i="13"/>
  <c r="AR686" i="13" a="1"/>
  <c r="AR686" i="13" s="1"/>
  <c r="AS686" i="13" a="1"/>
  <c r="AS686" i="13"/>
  <c r="BI686" i="13" a="1"/>
  <c r="BI686" i="13" s="1"/>
  <c r="BM686" i="13" a="1"/>
  <c r="BM686" i="13" s="1"/>
  <c r="BN686" i="13"/>
  <c r="BS686" i="13"/>
  <c r="CA686" i="13"/>
  <c r="CH686" i="13"/>
  <c r="CM686" i="13"/>
  <c r="CQ686" i="13"/>
  <c r="CU686" i="13"/>
  <c r="F687" i="13"/>
  <c r="N687" i="13" a="1"/>
  <c r="N687" i="13" s="1"/>
  <c r="S687" i="13" a="1"/>
  <c r="S687" i="13" s="1"/>
  <c r="AD687" i="13"/>
  <c r="AH687" i="13"/>
  <c r="BI687" i="13" s="1" a="1"/>
  <c r="BI687" i="13" s="1"/>
  <c r="AI687" i="13"/>
  <c r="AJ687" i="13"/>
  <c r="AM687" i="13"/>
  <c r="AN687" i="13" a="1"/>
  <c r="AN687" i="13" s="1"/>
  <c r="AP687" i="13" a="1"/>
  <c r="AP687" i="13" s="1"/>
  <c r="AQ687" i="13"/>
  <c r="AR687" i="13" a="1"/>
  <c r="AR687" i="13" s="1"/>
  <c r="AS687" i="13" a="1"/>
  <c r="AS687" i="13" s="1"/>
  <c r="BK687" i="13"/>
  <c r="BL687" i="13"/>
  <c r="BM687" i="13" a="1"/>
  <c r="BM687" i="13"/>
  <c r="CH687" i="13"/>
  <c r="CM687" i="13"/>
  <c r="F688" i="13"/>
  <c r="N688" i="13" a="1"/>
  <c r="N688" i="13" s="1"/>
  <c r="S688" i="13" a="1"/>
  <c r="S688" i="13" s="1"/>
  <c r="AD688" i="13"/>
  <c r="AH688" i="13"/>
  <c r="A688" i="13" s="1"/>
  <c r="AI688" i="13"/>
  <c r="AJ688" i="13"/>
  <c r="BK688" i="13" s="1"/>
  <c r="AM688" i="13"/>
  <c r="AN688" i="13" a="1"/>
  <c r="AN688" i="13" s="1"/>
  <c r="AP688" i="13" a="1"/>
  <c r="AP688" i="13" s="1"/>
  <c r="AQ688" i="13"/>
  <c r="AR688" i="13" a="1"/>
  <c r="AR688" i="13" s="1"/>
  <c r="AS688" i="13" a="1"/>
  <c r="AS688" i="13"/>
  <c r="BI688" i="13" a="1"/>
  <c r="BI688" i="13" s="1"/>
  <c r="BM688" i="13" a="1"/>
  <c r="BM688" i="13" s="1"/>
  <c r="BS688" i="13"/>
  <c r="CH688" i="13"/>
  <c r="CM688" i="13"/>
  <c r="CQ688" i="13"/>
  <c r="CU688" i="13"/>
  <c r="F689" i="13"/>
  <c r="N689" i="13" a="1"/>
  <c r="N689" i="13" s="1"/>
  <c r="S689" i="13" a="1"/>
  <c r="S689" i="13" s="1"/>
  <c r="AD689" i="13"/>
  <c r="AH689" i="13"/>
  <c r="BI689" i="13" s="1" a="1"/>
  <c r="BI689" i="13" s="1"/>
  <c r="AI689" i="13"/>
  <c r="AJ689" i="13"/>
  <c r="BL689" i="13" s="1"/>
  <c r="AM689" i="13"/>
  <c r="AN689" i="13" a="1"/>
  <c r="AN689" i="13" s="1"/>
  <c r="AP689" i="13" a="1"/>
  <c r="AP689" i="13" s="1"/>
  <c r="AQ689" i="13"/>
  <c r="AR689" i="13" a="1"/>
  <c r="AR689" i="13" s="1"/>
  <c r="AS689" i="13" a="1"/>
  <c r="AS689" i="13" s="1"/>
  <c r="BK689" i="13"/>
  <c r="BM689" i="13" a="1"/>
  <c r="BM689" i="13"/>
  <c r="CH689" i="13"/>
  <c r="CM689" i="13"/>
  <c r="F690" i="13"/>
  <c r="N690" i="13" a="1"/>
  <c r="N690" i="13" s="1"/>
  <c r="S690" i="13" a="1"/>
  <c r="S690" i="13" s="1"/>
  <c r="AD690" i="13"/>
  <c r="AH690" i="13"/>
  <c r="A690" i="13" s="1"/>
  <c r="AI690" i="13"/>
  <c r="AJ690" i="13"/>
  <c r="AM690" i="13"/>
  <c r="AN690" i="13" a="1"/>
  <c r="AN690" i="13" s="1"/>
  <c r="AP690" i="13" a="1"/>
  <c r="AP690" i="13" s="1"/>
  <c r="AQ690" i="13"/>
  <c r="AR690" i="13" a="1"/>
  <c r="AR690" i="13" s="1"/>
  <c r="AS690" i="13" a="1"/>
  <c r="AS690" i="13"/>
  <c r="BI690" i="13" a="1"/>
  <c r="BI690" i="13" s="1"/>
  <c r="BM690" i="13" a="1"/>
  <c r="BM690" i="13" s="1"/>
  <c r="BS690" i="13"/>
  <c r="CA690" i="13"/>
  <c r="CH690" i="13"/>
  <c r="CM690" i="13"/>
  <c r="CQ690" i="13"/>
  <c r="F691" i="13"/>
  <c r="N691" i="13" a="1"/>
  <c r="N691" i="13" s="1"/>
  <c r="S691" i="13" a="1"/>
  <c r="S691" i="13" s="1"/>
  <c r="AD691" i="13"/>
  <c r="AH691" i="13"/>
  <c r="CA691" i="13" s="1"/>
  <c r="AI691" i="13"/>
  <c r="AJ691" i="13"/>
  <c r="AN691" i="13" a="1"/>
  <c r="AN691" i="13"/>
  <c r="AP691" i="13" a="1"/>
  <c r="AP691" i="13"/>
  <c r="AQ691" i="13"/>
  <c r="AR691" i="13" a="1"/>
  <c r="AR691" i="13" s="1"/>
  <c r="AS691" i="13" a="1"/>
  <c r="AS691" i="13" s="1"/>
  <c r="BM691" i="13" a="1"/>
  <c r="BM691" i="13" s="1"/>
  <c r="CH691" i="13"/>
  <c r="A692" i="13"/>
  <c r="F692" i="13"/>
  <c r="N692" i="13" a="1"/>
  <c r="N692" i="13" s="1"/>
  <c r="S692" i="13" a="1"/>
  <c r="S692" i="13" s="1"/>
  <c r="AD692" i="13"/>
  <c r="AH692" i="13"/>
  <c r="CQ692" i="13" s="1"/>
  <c r="AI692" i="13"/>
  <c r="AJ692" i="13"/>
  <c r="AM692" i="13"/>
  <c r="AN692" i="13" a="1"/>
  <c r="AN692" i="13" s="1"/>
  <c r="AP692" i="13" a="1"/>
  <c r="AP692" i="13"/>
  <c r="AQ692" i="13"/>
  <c r="AR692" i="13" a="1"/>
  <c r="AR692" i="13" s="1"/>
  <c r="AS692" i="13" a="1"/>
  <c r="AS692" i="13" s="1"/>
  <c r="BI692" i="13" a="1"/>
  <c r="BI692" i="13" s="1"/>
  <c r="BM692" i="13" a="1"/>
  <c r="BM692" i="13"/>
  <c r="BS692" i="13"/>
  <c r="CA692" i="13"/>
  <c r="CH692" i="13"/>
  <c r="CU692" i="13"/>
  <c r="F693" i="13"/>
  <c r="N693" i="13" a="1"/>
  <c r="N693" i="13" s="1"/>
  <c r="S693" i="13" a="1"/>
  <c r="S693" i="13" s="1"/>
  <c r="AD693" i="13"/>
  <c r="AH693" i="13"/>
  <c r="BI693" i="13" s="1" a="1"/>
  <c r="BI693" i="13" s="1"/>
  <c r="AI693" i="13"/>
  <c r="AJ693" i="13"/>
  <c r="AM693" i="13"/>
  <c r="AN693" i="13" a="1"/>
  <c r="AN693" i="13"/>
  <c r="AP693" i="13" a="1"/>
  <c r="AP693" i="13" s="1"/>
  <c r="AQ693" i="13"/>
  <c r="AR693" i="13" a="1"/>
  <c r="AR693" i="13" s="1"/>
  <c r="AS693" i="13" a="1"/>
  <c r="AS693" i="13" s="1"/>
  <c r="BK693" i="13"/>
  <c r="BL693" i="13"/>
  <c r="BM693" i="13" a="1"/>
  <c r="BM693" i="13"/>
  <c r="CH693" i="13"/>
  <c r="CM693" i="13"/>
  <c r="A694" i="13"/>
  <c r="F694" i="13"/>
  <c r="N694" i="13" a="1"/>
  <c r="N694" i="13" s="1"/>
  <c r="S694" i="13" a="1"/>
  <c r="S694" i="13" s="1"/>
  <c r="AD694" i="13"/>
  <c r="AH694" i="13"/>
  <c r="AI694" i="13"/>
  <c r="AJ694" i="13"/>
  <c r="BK694" i="13" s="1"/>
  <c r="AM694" i="13"/>
  <c r="AN694" i="13" a="1"/>
  <c r="AN694" i="13" s="1"/>
  <c r="AP694" i="13" a="1"/>
  <c r="AP694" i="13"/>
  <c r="AQ694" i="13"/>
  <c r="AR694" i="13" a="1"/>
  <c r="AR694" i="13" s="1"/>
  <c r="AS694" i="13" a="1"/>
  <c r="AS694" i="13"/>
  <c r="BI694" i="13" a="1"/>
  <c r="BI694" i="13" s="1"/>
  <c r="BM694" i="13" a="1"/>
  <c r="BM694" i="13" s="1"/>
  <c r="BN694" i="13"/>
  <c r="BS694" i="13"/>
  <c r="BW694" i="13"/>
  <c r="CA694" i="13"/>
  <c r="CH694" i="13"/>
  <c r="CM694" i="13"/>
  <c r="CQ694" i="13"/>
  <c r="CU694" i="13"/>
  <c r="F695" i="13"/>
  <c r="N695" i="13" a="1"/>
  <c r="N695" i="13" s="1"/>
  <c r="S695" i="13" a="1"/>
  <c r="S695" i="13" s="1"/>
  <c r="AD695" i="13"/>
  <c r="AH695" i="13"/>
  <c r="BI695" i="13" s="1" a="1"/>
  <c r="BI695" i="13" s="1"/>
  <c r="AI695" i="13"/>
  <c r="AJ695" i="13"/>
  <c r="BL695" i="13" s="1"/>
  <c r="AN695" i="13" a="1"/>
  <c r="AN695" i="13"/>
  <c r="AP695" i="13" a="1"/>
  <c r="AP695" i="13" s="1"/>
  <c r="AQ695" i="13"/>
  <c r="AR695" i="13" a="1"/>
  <c r="AR695" i="13" s="1"/>
  <c r="AS695" i="13" a="1"/>
  <c r="AS695" i="13" s="1"/>
  <c r="BK695" i="13"/>
  <c r="BM695" i="13" a="1"/>
  <c r="BM695" i="13"/>
  <c r="CM695" i="13"/>
  <c r="A696" i="13"/>
  <c r="F696" i="13"/>
  <c r="N696" i="13" a="1"/>
  <c r="N696" i="13" s="1"/>
  <c r="S696" i="13" a="1"/>
  <c r="S696" i="13" s="1"/>
  <c r="AD696" i="13"/>
  <c r="AH696" i="13"/>
  <c r="AI696" i="13"/>
  <c r="AJ696" i="13"/>
  <c r="BK696" i="13" s="1"/>
  <c r="AM696" i="13"/>
  <c r="AN696" i="13" a="1"/>
  <c r="AN696" i="13" s="1"/>
  <c r="AP696" i="13" a="1"/>
  <c r="AP696" i="13"/>
  <c r="AQ696" i="13"/>
  <c r="AR696" i="13" a="1"/>
  <c r="AR696" i="13" s="1"/>
  <c r="AS696" i="13" a="1"/>
  <c r="AS696" i="13"/>
  <c r="BI696" i="13" a="1"/>
  <c r="BI696" i="13" s="1"/>
  <c r="BM696" i="13" a="1"/>
  <c r="BM696" i="13" s="1"/>
  <c r="BN696" i="13"/>
  <c r="BS696" i="13"/>
  <c r="BW696" i="13"/>
  <c r="CA696" i="13"/>
  <c r="CH696" i="13"/>
  <c r="CM696" i="13"/>
  <c r="CQ696" i="13"/>
  <c r="CU696" i="13"/>
  <c r="F697" i="13"/>
  <c r="N697" i="13" a="1"/>
  <c r="N697" i="13" s="1"/>
  <c r="S697" i="13" a="1"/>
  <c r="S697" i="13" s="1"/>
  <c r="AD697" i="13"/>
  <c r="AH697" i="13"/>
  <c r="BI697" i="13" s="1" a="1"/>
  <c r="BI697" i="13" s="1"/>
  <c r="AI697" i="13"/>
  <c r="AJ697" i="13"/>
  <c r="BK697" i="13" s="1"/>
  <c r="AN697" i="13" a="1"/>
  <c r="AN697" i="13" s="1"/>
  <c r="AP697" i="13" a="1"/>
  <c r="AP697" i="13"/>
  <c r="AQ697" i="13"/>
  <c r="AR697" i="13" a="1"/>
  <c r="AR697" i="13" s="1"/>
  <c r="AS697" i="13" a="1"/>
  <c r="AS697" i="13" s="1"/>
  <c r="BM697" i="13" a="1"/>
  <c r="BM697" i="13" s="1"/>
  <c r="CH697" i="13"/>
  <c r="A698" i="13"/>
  <c r="F698" i="13"/>
  <c r="N698" i="13" a="1"/>
  <c r="N698" i="13" s="1"/>
  <c r="S698" i="13" a="1"/>
  <c r="S698" i="13" s="1"/>
  <c r="AD698" i="13"/>
  <c r="AH698" i="13"/>
  <c r="BS698" i="13" s="1"/>
  <c r="AI698" i="13"/>
  <c r="AJ698" i="13"/>
  <c r="BL698" i="13" s="1"/>
  <c r="AM698" i="13"/>
  <c r="AN698" i="13" a="1"/>
  <c r="AN698" i="13" s="1"/>
  <c r="AP698" i="13" a="1"/>
  <c r="AP698" i="13"/>
  <c r="AQ698" i="13"/>
  <c r="AR698" i="13" a="1"/>
  <c r="AR698" i="13"/>
  <c r="AS698" i="13" a="1"/>
  <c r="AS698" i="13" s="1"/>
  <c r="BI698" i="13" a="1"/>
  <c r="BI698" i="13" s="1"/>
  <c r="BM698" i="13" a="1"/>
  <c r="BM698" i="13" s="1"/>
  <c r="BN698" i="13"/>
  <c r="BW698" i="13"/>
  <c r="CA698" i="13"/>
  <c r="CM698" i="13"/>
  <c r="CQ698" i="13"/>
  <c r="CU698" i="13"/>
  <c r="F699" i="13"/>
  <c r="N699" i="13" a="1"/>
  <c r="N699" i="13" s="1"/>
  <c r="S699" i="13" a="1"/>
  <c r="S699" i="13" s="1"/>
  <c r="AD699" i="13"/>
  <c r="AH699" i="13"/>
  <c r="BI699" i="13" s="1" a="1"/>
  <c r="BI699" i="13" s="1"/>
  <c r="AI699" i="13"/>
  <c r="AJ699" i="13"/>
  <c r="BK699" i="13" s="1"/>
  <c r="AM699" i="13"/>
  <c r="AN699" i="13" a="1"/>
  <c r="AN699" i="13" s="1"/>
  <c r="AP699" i="13" a="1"/>
  <c r="AP699" i="13"/>
  <c r="AQ699" i="13"/>
  <c r="AR699" i="13" a="1"/>
  <c r="AR699" i="13" s="1"/>
  <c r="AS699" i="13" a="1"/>
  <c r="AS699" i="13" s="1"/>
  <c r="BM699" i="13" a="1"/>
  <c r="BM699" i="13"/>
  <c r="CA699" i="13"/>
  <c r="CH699" i="13"/>
  <c r="CM699" i="13"/>
  <c r="A700" i="13"/>
  <c r="F700" i="13"/>
  <c r="N700" i="13" a="1"/>
  <c r="N700" i="13" s="1"/>
  <c r="S700" i="13" a="1"/>
  <c r="S700" i="13" s="1"/>
  <c r="AD700" i="13"/>
  <c r="AH700" i="13"/>
  <c r="CQ700" i="13" s="1"/>
  <c r="AI700" i="13"/>
  <c r="AJ700" i="13"/>
  <c r="BL700" i="13" s="1"/>
  <c r="AM700" i="13"/>
  <c r="AN700" i="13" a="1"/>
  <c r="AN700" i="13" s="1"/>
  <c r="AP700" i="13" a="1"/>
  <c r="AP700" i="13" s="1"/>
  <c r="AQ700" i="13"/>
  <c r="AR700" i="13" a="1"/>
  <c r="AR700" i="13" s="1"/>
  <c r="AS700" i="13" a="1"/>
  <c r="AS700" i="13" s="1"/>
  <c r="BI700" i="13" a="1"/>
  <c r="BI700" i="13" s="1"/>
  <c r="BM700" i="13" a="1"/>
  <c r="BM700" i="13" s="1"/>
  <c r="BW700" i="13"/>
  <c r="CH700" i="13"/>
  <c r="CM700" i="13"/>
  <c r="F701" i="13"/>
  <c r="N701" i="13" a="1"/>
  <c r="N701" i="13" s="1"/>
  <c r="S701" i="13" a="1"/>
  <c r="S701" i="13" s="1"/>
  <c r="AD701" i="13"/>
  <c r="AH701" i="13"/>
  <c r="BI701" i="13" s="1" a="1"/>
  <c r="BI701" i="13" s="1"/>
  <c r="AI701" i="13"/>
  <c r="AJ701" i="13"/>
  <c r="BK701" i="13" s="1"/>
  <c r="AN701" i="13" a="1"/>
  <c r="AN701" i="13"/>
  <c r="AP701" i="13" a="1"/>
  <c r="AP701" i="13" s="1"/>
  <c r="AQ701" i="13"/>
  <c r="AR701" i="13" a="1"/>
  <c r="AR701" i="13" s="1"/>
  <c r="AS701" i="13" a="1"/>
  <c r="AS701" i="13" s="1"/>
  <c r="BM701" i="13" a="1"/>
  <c r="BM701" i="13"/>
  <c r="CH701" i="13"/>
  <c r="A702" i="13"/>
  <c r="F702" i="13"/>
  <c r="N702" i="13" a="1"/>
  <c r="N702" i="13" s="1"/>
  <c r="S702" i="13" a="1"/>
  <c r="S702" i="13" s="1"/>
  <c r="AD702" i="13"/>
  <c r="AH702" i="13"/>
  <c r="CU702" i="13" s="1"/>
  <c r="AI702" i="13"/>
  <c r="AJ702" i="13"/>
  <c r="BL702" i="13" s="1"/>
  <c r="AM702" i="13"/>
  <c r="AN702" i="13" a="1"/>
  <c r="AN702" i="13" s="1"/>
  <c r="AP702" i="13" a="1"/>
  <c r="AP702" i="13"/>
  <c r="AQ702" i="13"/>
  <c r="AR702" i="13" a="1"/>
  <c r="AR702" i="13"/>
  <c r="AS702" i="13" a="1"/>
  <c r="AS702" i="13" s="1"/>
  <c r="BI702" i="13" a="1"/>
  <c r="BI702" i="13" s="1"/>
  <c r="BM702" i="13" a="1"/>
  <c r="BM702" i="13" s="1"/>
  <c r="BN702" i="13"/>
  <c r="BS702" i="13"/>
  <c r="BW702" i="13"/>
  <c r="CA702" i="13"/>
  <c r="CH702" i="13"/>
  <c r="CM702" i="13"/>
  <c r="CQ702" i="13"/>
  <c r="F703" i="13"/>
  <c r="N703" i="13" a="1"/>
  <c r="N703" i="13" s="1"/>
  <c r="S703" i="13" a="1"/>
  <c r="S703" i="13" s="1"/>
  <c r="AD703" i="13"/>
  <c r="AH703" i="13"/>
  <c r="BI703" i="13" s="1" a="1"/>
  <c r="BI703" i="13" s="1"/>
  <c r="AI703" i="13"/>
  <c r="AJ703" i="13"/>
  <c r="BK703" i="13" s="1"/>
  <c r="AN703" i="13" a="1"/>
  <c r="AN703" i="13"/>
  <c r="AP703" i="13" a="1"/>
  <c r="AP703" i="13"/>
  <c r="AQ703" i="13"/>
  <c r="AR703" i="13" a="1"/>
  <c r="AR703" i="13" s="1"/>
  <c r="AS703" i="13" a="1"/>
  <c r="AS703" i="13" s="1"/>
  <c r="BM703" i="13" a="1"/>
  <c r="BM703" i="13" s="1"/>
  <c r="CH703" i="13"/>
  <c r="F704" i="13"/>
  <c r="N704" i="13" a="1"/>
  <c r="N704" i="13" s="1"/>
  <c r="S704" i="13" a="1"/>
  <c r="S704" i="13" s="1"/>
  <c r="AD704" i="13"/>
  <c r="AH704" i="13"/>
  <c r="CH704" i="13" s="1"/>
  <c r="AI704" i="13"/>
  <c r="AJ704" i="13"/>
  <c r="BL704" i="13" s="1"/>
  <c r="AN704" i="13" a="1"/>
  <c r="AN704" i="13" s="1"/>
  <c r="AP704" i="13" a="1"/>
  <c r="AP704" i="13"/>
  <c r="AQ704" i="13"/>
  <c r="AR704" i="13" a="1"/>
  <c r="AR704" i="13"/>
  <c r="AS704" i="13" a="1"/>
  <c r="AS704" i="13" s="1"/>
  <c r="BM704" i="13" a="1"/>
  <c r="BM704" i="13"/>
  <c r="BW704" i="13"/>
  <c r="CA704" i="13"/>
  <c r="F705" i="13"/>
  <c r="N705" i="13" a="1"/>
  <c r="N705" i="13" s="1"/>
  <c r="S705" i="13" a="1"/>
  <c r="S705" i="13" s="1"/>
  <c r="AD705" i="13"/>
  <c r="AH705" i="13"/>
  <c r="BI705" i="13" s="1" a="1"/>
  <c r="BI705" i="13" s="1"/>
  <c r="AI705" i="13"/>
  <c r="AJ705" i="13"/>
  <c r="AN705" i="13" a="1"/>
  <c r="AN705" i="13" s="1"/>
  <c r="AP705" i="13" a="1"/>
  <c r="AP705" i="13" s="1"/>
  <c r="AQ705" i="13"/>
  <c r="AR705" i="13" a="1"/>
  <c r="AR705" i="13" s="1"/>
  <c r="AS705" i="13" a="1"/>
  <c r="AS705" i="13" s="1"/>
  <c r="BL705" i="13"/>
  <c r="BM705" i="13" a="1"/>
  <c r="BM705" i="13"/>
  <c r="CA705" i="13"/>
  <c r="CH705" i="13"/>
  <c r="F706" i="13"/>
  <c r="N706" i="13" a="1"/>
  <c r="N706" i="13" s="1"/>
  <c r="S706" i="13" a="1"/>
  <c r="S706" i="13" s="1"/>
  <c r="AD706" i="13"/>
  <c r="AH706" i="13"/>
  <c r="CA706" i="13" s="1"/>
  <c r="AI706" i="13"/>
  <c r="AJ706" i="13"/>
  <c r="BL706" i="13" s="1"/>
  <c r="AN706" i="13" a="1"/>
  <c r="AN706" i="13" s="1"/>
  <c r="AP706" i="13" a="1"/>
  <c r="AP706" i="13" s="1"/>
  <c r="AQ706" i="13"/>
  <c r="AR706" i="13" a="1"/>
  <c r="AR706" i="13" s="1"/>
  <c r="AS706" i="13" a="1"/>
  <c r="AS706" i="13" s="1"/>
  <c r="BM706" i="13" a="1"/>
  <c r="BM706" i="13"/>
  <c r="BS706" i="13"/>
  <c r="BW706" i="13"/>
  <c r="F707" i="13"/>
  <c r="N707" i="13" a="1"/>
  <c r="N707" i="13" s="1"/>
  <c r="S707" i="13" a="1"/>
  <c r="S707" i="13" s="1"/>
  <c r="AD707" i="13"/>
  <c r="AH707" i="13"/>
  <c r="BI707" i="13" s="1" a="1"/>
  <c r="BI707" i="13" s="1"/>
  <c r="AI707" i="13"/>
  <c r="AJ707" i="13"/>
  <c r="BL707" i="13" s="1"/>
  <c r="AM707" i="13"/>
  <c r="AN707" i="13" a="1"/>
  <c r="AN707" i="13"/>
  <c r="AP707" i="13" a="1"/>
  <c r="AP707" i="13" s="1"/>
  <c r="AQ707" i="13"/>
  <c r="AR707" i="13" a="1"/>
  <c r="AR707" i="13" s="1"/>
  <c r="AS707" i="13" a="1"/>
  <c r="AS707" i="13" s="1"/>
  <c r="BK707" i="13"/>
  <c r="BM707" i="13" a="1"/>
  <c r="BM707" i="13"/>
  <c r="CA707" i="13"/>
  <c r="CH707" i="13"/>
  <c r="F708" i="13"/>
  <c r="N708" i="13" a="1"/>
  <c r="N708" i="13" s="1"/>
  <c r="S708" i="13" a="1"/>
  <c r="S708" i="13" s="1"/>
  <c r="AD708" i="13"/>
  <c r="AH708" i="13"/>
  <c r="CA708" i="13" s="1"/>
  <c r="AI708" i="13"/>
  <c r="AJ708" i="13"/>
  <c r="BL708" i="13" s="1"/>
  <c r="AN708" i="13" a="1"/>
  <c r="AN708" i="13" s="1"/>
  <c r="AP708" i="13" a="1"/>
  <c r="AP708" i="13"/>
  <c r="AQ708" i="13"/>
  <c r="AR708" i="13" a="1"/>
  <c r="AR708" i="13" s="1"/>
  <c r="AS708" i="13" a="1"/>
  <c r="AS708" i="13" s="1"/>
  <c r="BM708" i="13" a="1"/>
  <c r="BM708" i="13" s="1"/>
  <c r="BN708" i="13"/>
  <c r="BS708" i="13"/>
  <c r="BW708" i="13"/>
  <c r="F709" i="13"/>
  <c r="N709" i="13" a="1"/>
  <c r="N709" i="13" s="1"/>
  <c r="S709" i="13" a="1"/>
  <c r="S709" i="13" s="1"/>
  <c r="AD709" i="13"/>
  <c r="AH709" i="13"/>
  <c r="BI709" i="13" s="1" a="1"/>
  <c r="BI709" i="13" s="1"/>
  <c r="AI709" i="13"/>
  <c r="AJ709" i="13"/>
  <c r="BK709" i="13" s="1"/>
  <c r="AN709" i="13" a="1"/>
  <c r="AN709" i="13" s="1"/>
  <c r="AP709" i="13" a="1"/>
  <c r="AP709" i="13" s="1"/>
  <c r="AQ709" i="13"/>
  <c r="AR709" i="13" a="1"/>
  <c r="AR709" i="13" s="1"/>
  <c r="AS709" i="13" a="1"/>
  <c r="AS709" i="13" s="1"/>
  <c r="BL709" i="13"/>
  <c r="BM709" i="13" a="1"/>
  <c r="BM709" i="13" s="1"/>
  <c r="CA709" i="13"/>
  <c r="CH709" i="13"/>
  <c r="CM709" i="13"/>
  <c r="A710" i="13"/>
  <c r="F710" i="13"/>
  <c r="N710" i="13" a="1"/>
  <c r="N710" i="13" s="1"/>
  <c r="S710" i="13" a="1"/>
  <c r="S710" i="13" s="1"/>
  <c r="AD710" i="13"/>
  <c r="AH710" i="13"/>
  <c r="CA710" i="13" s="1"/>
  <c r="AI710" i="13"/>
  <c r="AJ710" i="13"/>
  <c r="BL710" i="13" s="1"/>
  <c r="AM710" i="13"/>
  <c r="AN710" i="13" a="1"/>
  <c r="AN710" i="13" s="1"/>
  <c r="AP710" i="13" a="1"/>
  <c r="AP710" i="13" s="1"/>
  <c r="AQ710" i="13"/>
  <c r="AR710" i="13" a="1"/>
  <c r="AR710" i="13" s="1"/>
  <c r="AS710" i="13" a="1"/>
  <c r="AS710" i="13" s="1"/>
  <c r="BI710" i="13" a="1"/>
  <c r="BI710" i="13" s="1"/>
  <c r="BM710" i="13" a="1"/>
  <c r="BM710" i="13"/>
  <c r="BN710" i="13"/>
  <c r="BS710" i="13"/>
  <c r="BW710" i="13"/>
  <c r="CH710" i="13"/>
  <c r="CM710" i="13"/>
  <c r="CU710" i="13"/>
  <c r="F711" i="13"/>
  <c r="N711" i="13" a="1"/>
  <c r="N711" i="13" s="1"/>
  <c r="S711" i="13" a="1"/>
  <c r="S711" i="13" s="1"/>
  <c r="AD711" i="13"/>
  <c r="AH711" i="13"/>
  <c r="BI711" i="13" s="1" a="1"/>
  <c r="BI711" i="13" s="1"/>
  <c r="AI711" i="13"/>
  <c r="AJ711" i="13"/>
  <c r="AM711" i="13"/>
  <c r="AN711" i="13" a="1"/>
  <c r="AN711" i="13" s="1"/>
  <c r="AP711" i="13" a="1"/>
  <c r="AP711" i="13" s="1"/>
  <c r="AQ711" i="13"/>
  <c r="AR711" i="13" a="1"/>
  <c r="AR711" i="13" s="1"/>
  <c r="AS711" i="13" a="1"/>
  <c r="AS711" i="13" s="1"/>
  <c r="BK711" i="13"/>
  <c r="BL711" i="13"/>
  <c r="BM711" i="13" a="1"/>
  <c r="BM711" i="13" s="1"/>
  <c r="CH711" i="13"/>
  <c r="CM711" i="13"/>
  <c r="A712" i="13"/>
  <c r="F712" i="13"/>
  <c r="N712" i="13" a="1"/>
  <c r="N712" i="13" s="1"/>
  <c r="S712" i="13" a="1"/>
  <c r="S712" i="13" s="1"/>
  <c r="AD712" i="13"/>
  <c r="AH712" i="13"/>
  <c r="AI712" i="13"/>
  <c r="AJ712" i="13"/>
  <c r="BL712" i="13" s="1"/>
  <c r="AM712" i="13"/>
  <c r="AN712" i="13" a="1"/>
  <c r="AN712" i="13" s="1"/>
  <c r="AP712" i="13" a="1"/>
  <c r="AP712" i="13" s="1"/>
  <c r="AQ712" i="13"/>
  <c r="AR712" i="13" a="1"/>
  <c r="AR712" i="13"/>
  <c r="AS712" i="13" a="1"/>
  <c r="AS712" i="13" s="1"/>
  <c r="BI712" i="13" a="1"/>
  <c r="BI712" i="13" s="1"/>
  <c r="BJ712" i="13" s="1"/>
  <c r="BM712" i="13" a="1"/>
  <c r="BM712" i="13" s="1"/>
  <c r="BN712" i="13"/>
  <c r="BS712" i="13"/>
  <c r="BW712" i="13"/>
  <c r="CA712" i="13"/>
  <c r="CH712" i="13"/>
  <c r="CM712" i="13"/>
  <c r="CQ712" i="13"/>
  <c r="CU712" i="13"/>
  <c r="F713" i="13"/>
  <c r="N713" i="13" a="1"/>
  <c r="N713" i="13" s="1"/>
  <c r="S713" i="13" a="1"/>
  <c r="S713" i="13" s="1"/>
  <c r="AD713" i="13"/>
  <c r="AH713" i="13"/>
  <c r="BI713" i="13" s="1" a="1"/>
  <c r="BI713" i="13" s="1"/>
  <c r="AI713" i="13"/>
  <c r="AJ713" i="13"/>
  <c r="BK713" i="13" s="1"/>
  <c r="AN713" i="13" a="1"/>
  <c r="AN713" i="13" s="1"/>
  <c r="AP713" i="13" a="1"/>
  <c r="AP713" i="13"/>
  <c r="AQ713" i="13"/>
  <c r="AR713" i="13" a="1"/>
  <c r="AR713" i="13" s="1"/>
  <c r="AS713" i="13" a="1"/>
  <c r="AS713" i="13" s="1"/>
  <c r="BM713" i="13" a="1"/>
  <c r="BM713" i="13" s="1"/>
  <c r="CH713" i="13"/>
  <c r="A714" i="13"/>
  <c r="F714" i="13"/>
  <c r="N714" i="13" a="1"/>
  <c r="N714" i="13" s="1"/>
  <c r="S714" i="13" a="1"/>
  <c r="S714" i="13" s="1"/>
  <c r="AD714" i="13"/>
  <c r="AH714" i="13"/>
  <c r="BS714" i="13" s="1"/>
  <c r="AI714" i="13"/>
  <c r="AJ714" i="13"/>
  <c r="BL714" i="13" s="1"/>
  <c r="AM714" i="13"/>
  <c r="AN714" i="13" a="1"/>
  <c r="AN714" i="13" s="1"/>
  <c r="AP714" i="13" a="1"/>
  <c r="AP714" i="13" s="1"/>
  <c r="AQ714" i="13"/>
  <c r="AR714" i="13" a="1"/>
  <c r="AR714" i="13"/>
  <c r="AS714" i="13" a="1"/>
  <c r="AS714" i="13" s="1"/>
  <c r="BI714" i="13" a="1"/>
  <c r="BI714" i="13" s="1"/>
  <c r="BJ714" i="13" s="1"/>
  <c r="BM714" i="13" a="1"/>
  <c r="BM714" i="13" s="1"/>
  <c r="BN714" i="13"/>
  <c r="BW714" i="13"/>
  <c r="CA714" i="13"/>
  <c r="CM714" i="13"/>
  <c r="CQ714" i="13"/>
  <c r="CU714" i="13"/>
  <c r="F715" i="13"/>
  <c r="N715" i="13" a="1"/>
  <c r="N715" i="13" s="1"/>
  <c r="S715" i="13" a="1"/>
  <c r="S715" i="13" s="1"/>
  <c r="AD715" i="13"/>
  <c r="AH715" i="13"/>
  <c r="BI715" i="13" s="1" a="1"/>
  <c r="BI715" i="13" s="1"/>
  <c r="AI715" i="13"/>
  <c r="AJ715" i="13"/>
  <c r="BK715" i="13" s="1"/>
  <c r="AM715" i="13"/>
  <c r="AN715" i="13" a="1"/>
  <c r="AN715" i="13" s="1"/>
  <c r="AP715" i="13" a="1"/>
  <c r="AP715" i="13"/>
  <c r="AQ715" i="13"/>
  <c r="AR715" i="13" a="1"/>
  <c r="AR715" i="13" s="1"/>
  <c r="AS715" i="13" a="1"/>
  <c r="AS715" i="13" s="1"/>
  <c r="BM715" i="13" a="1"/>
  <c r="BM715" i="13"/>
  <c r="CA715" i="13"/>
  <c r="CH715" i="13"/>
  <c r="CM715" i="13"/>
  <c r="A716" i="13"/>
  <c r="F716" i="13"/>
  <c r="N716" i="13" a="1"/>
  <c r="N716" i="13" s="1"/>
  <c r="S716" i="13" a="1"/>
  <c r="S716" i="13" s="1"/>
  <c r="AD716" i="13"/>
  <c r="AH716" i="13"/>
  <c r="CM716" i="13" s="1"/>
  <c r="AI716" i="13"/>
  <c r="AJ716" i="13"/>
  <c r="BL716" i="13" s="1"/>
  <c r="AM716" i="13"/>
  <c r="AN716" i="13" a="1"/>
  <c r="AN716" i="13" s="1"/>
  <c r="AP716" i="13" a="1"/>
  <c r="AP716" i="13" s="1"/>
  <c r="AQ716" i="13"/>
  <c r="AR716" i="13" a="1"/>
  <c r="AR716" i="13" s="1"/>
  <c r="AS716" i="13" a="1"/>
  <c r="AS716" i="13" s="1"/>
  <c r="BI716" i="13" a="1"/>
  <c r="BI716" i="13" s="1"/>
  <c r="BJ716" i="13" s="1"/>
  <c r="BM716" i="13" a="1"/>
  <c r="BM716" i="13" s="1"/>
  <c r="BS716" i="13"/>
  <c r="CA716" i="13"/>
  <c r="CH716" i="13"/>
  <c r="F717" i="13"/>
  <c r="N717" i="13" a="1"/>
  <c r="N717" i="13" s="1"/>
  <c r="S717" i="13" a="1"/>
  <c r="S717" i="13" s="1"/>
  <c r="AD717" i="13"/>
  <c r="AH717" i="13"/>
  <c r="BI717" i="13" s="1" a="1"/>
  <c r="BI717" i="13" s="1"/>
  <c r="AI717" i="13"/>
  <c r="AJ717" i="13"/>
  <c r="BK717" i="13" s="1"/>
  <c r="AN717" i="13" a="1"/>
  <c r="AN717" i="13"/>
  <c r="AP717" i="13" a="1"/>
  <c r="AP717" i="13"/>
  <c r="AQ717" i="13"/>
  <c r="AR717" i="13" a="1"/>
  <c r="AR717" i="13" s="1"/>
  <c r="AS717" i="13" a="1"/>
  <c r="AS717" i="13" s="1"/>
  <c r="BM717" i="13" a="1"/>
  <c r="BM717" i="13" s="1"/>
  <c r="CA717" i="13"/>
  <c r="CH717" i="13"/>
  <c r="F718" i="13"/>
  <c r="N718" i="13" a="1"/>
  <c r="N718" i="13" s="1"/>
  <c r="S718" i="13" a="1"/>
  <c r="S718" i="13" s="1"/>
  <c r="AD718" i="13"/>
  <c r="AH718" i="13"/>
  <c r="CA718" i="13" s="1"/>
  <c r="AI718" i="13"/>
  <c r="AJ718" i="13"/>
  <c r="BL718" i="13" s="1"/>
  <c r="AN718" i="13" a="1"/>
  <c r="AN718" i="13" s="1"/>
  <c r="AP718" i="13" a="1"/>
  <c r="AP718" i="13"/>
  <c r="AQ718" i="13"/>
  <c r="AR718" i="13" a="1"/>
  <c r="AR718" i="13" s="1"/>
  <c r="AS718" i="13" a="1"/>
  <c r="AS718" i="13" s="1"/>
  <c r="BM718" i="13" a="1"/>
  <c r="BM718" i="13"/>
  <c r="BW718" i="13"/>
  <c r="F719" i="13"/>
  <c r="N719" i="13" a="1"/>
  <c r="N719" i="13" s="1"/>
  <c r="S719" i="13" a="1"/>
  <c r="S719" i="13" s="1"/>
  <c r="AD719" i="13"/>
  <c r="AH719" i="13"/>
  <c r="BI719" i="13" s="1" a="1"/>
  <c r="BI719" i="13" s="1"/>
  <c r="AI719" i="13"/>
  <c r="AJ719" i="13"/>
  <c r="AN719" i="13" a="1"/>
  <c r="AN719" i="13" s="1"/>
  <c r="AP719" i="13" a="1"/>
  <c r="AP719" i="13" s="1"/>
  <c r="AQ719" i="13"/>
  <c r="AR719" i="13" a="1"/>
  <c r="AR719" i="13" s="1"/>
  <c r="AS719" i="13" a="1"/>
  <c r="AS719" i="13" s="1"/>
  <c r="BL719" i="13"/>
  <c r="BM719" i="13" a="1"/>
  <c r="BM719" i="13"/>
  <c r="CA719" i="13"/>
  <c r="CH719" i="13"/>
  <c r="F720" i="13"/>
  <c r="N720" i="13" a="1"/>
  <c r="N720" i="13" s="1"/>
  <c r="S720" i="13" a="1"/>
  <c r="S720" i="13" s="1"/>
  <c r="AD720" i="13"/>
  <c r="AH720" i="13"/>
  <c r="BW720" i="13" s="1"/>
  <c r="AI720" i="13"/>
  <c r="AJ720" i="13"/>
  <c r="BL720" i="13" s="1"/>
  <c r="AN720" i="13" a="1"/>
  <c r="AN720" i="13" s="1"/>
  <c r="AP720" i="13" a="1"/>
  <c r="AP720" i="13" s="1"/>
  <c r="AQ720" i="13"/>
  <c r="AR720" i="13" a="1"/>
  <c r="AR720" i="13" s="1"/>
  <c r="AS720" i="13" a="1"/>
  <c r="AS720" i="13" s="1"/>
  <c r="BM720" i="13" a="1"/>
  <c r="BM720" i="13" s="1"/>
  <c r="BN720" i="13"/>
  <c r="BS720" i="13"/>
  <c r="F721" i="13"/>
  <c r="N721" i="13" a="1"/>
  <c r="N721" i="13" s="1"/>
  <c r="S721" i="13" a="1"/>
  <c r="S721" i="13" s="1"/>
  <c r="AD721" i="13"/>
  <c r="AH721" i="13"/>
  <c r="BI721" i="13" s="1" a="1"/>
  <c r="BI721" i="13" s="1"/>
  <c r="AI721" i="13"/>
  <c r="AJ721" i="13"/>
  <c r="BK721" i="13" s="1"/>
  <c r="AN721" i="13" a="1"/>
  <c r="AN721" i="13" s="1"/>
  <c r="AP721" i="13" a="1"/>
  <c r="AP721" i="13" s="1"/>
  <c r="AQ721" i="13"/>
  <c r="AR721" i="13" a="1"/>
  <c r="AR721" i="13" s="1"/>
  <c r="AS721" i="13" a="1"/>
  <c r="AS721" i="13" s="1"/>
  <c r="BL721" i="13"/>
  <c r="BM721" i="13" a="1"/>
  <c r="BM721" i="13" s="1"/>
  <c r="CA721" i="13"/>
  <c r="CH721" i="13"/>
  <c r="CM721" i="13"/>
  <c r="A722" i="13"/>
  <c r="F722" i="13"/>
  <c r="N722" i="13" a="1"/>
  <c r="N722" i="13" s="1"/>
  <c r="S722" i="13" a="1"/>
  <c r="S722" i="13" s="1"/>
  <c r="AD722" i="13"/>
  <c r="AH722" i="13"/>
  <c r="BW722" i="13" s="1"/>
  <c r="AI722" i="13"/>
  <c r="AJ722" i="13"/>
  <c r="BL722" i="13" s="1"/>
  <c r="AM722" i="13"/>
  <c r="AN722" i="13" a="1"/>
  <c r="AN722" i="13" s="1"/>
  <c r="AP722" i="13" a="1"/>
  <c r="AP722" i="13" s="1"/>
  <c r="AQ722" i="13"/>
  <c r="AR722" i="13" a="1"/>
  <c r="AR722" i="13" s="1"/>
  <c r="AS722" i="13" a="1"/>
  <c r="AS722" i="13" s="1"/>
  <c r="BI722" i="13" a="1"/>
  <c r="BI722" i="13" s="1"/>
  <c r="BJ722" i="13" s="1"/>
  <c r="BM722" i="13" a="1"/>
  <c r="BM722" i="13" s="1"/>
  <c r="BN722" i="13"/>
  <c r="BS722" i="13"/>
  <c r="CH722" i="13"/>
  <c r="CQ722" i="13"/>
  <c r="CU722" i="13"/>
  <c r="F723" i="13"/>
  <c r="N723" i="13" a="1"/>
  <c r="N723" i="13" s="1"/>
  <c r="S723" i="13" a="1"/>
  <c r="S723" i="13" s="1"/>
  <c r="AD723" i="13"/>
  <c r="AH723" i="13"/>
  <c r="BI723" i="13" s="1" a="1"/>
  <c r="BI723" i="13" s="1"/>
  <c r="AI723" i="13"/>
  <c r="AJ723" i="13"/>
  <c r="BK723" i="13" s="1"/>
  <c r="AN723" i="13" a="1"/>
  <c r="AN723" i="13"/>
  <c r="AP723" i="13" a="1"/>
  <c r="AP723" i="13"/>
  <c r="AQ723" i="13"/>
  <c r="AR723" i="13" a="1"/>
  <c r="AR723" i="13" s="1"/>
  <c r="AS723" i="13" a="1"/>
  <c r="AS723" i="13" s="1"/>
  <c r="BM723" i="13" a="1"/>
  <c r="BM723" i="13" s="1"/>
  <c r="CA723" i="13"/>
  <c r="CM723" i="13"/>
  <c r="F724" i="13"/>
  <c r="N724" i="13" a="1"/>
  <c r="N724" i="13" s="1"/>
  <c r="S724" i="13" a="1"/>
  <c r="S724" i="13" s="1"/>
  <c r="AD724" i="13"/>
  <c r="AH724" i="13"/>
  <c r="A724" i="13" s="1"/>
  <c r="AI724" i="13"/>
  <c r="AJ724" i="13"/>
  <c r="BL724" i="13" s="1"/>
  <c r="AN724" i="13" a="1"/>
  <c r="AN724" i="13" s="1"/>
  <c r="AP724" i="13" a="1"/>
  <c r="AP724" i="13" s="1"/>
  <c r="AQ724" i="13"/>
  <c r="AR724" i="13" a="1"/>
  <c r="AR724" i="13" s="1"/>
  <c r="AS724" i="13" a="1"/>
  <c r="AS724" i="13" s="1"/>
  <c r="BM724" i="13" a="1"/>
  <c r="BM724" i="13" s="1"/>
  <c r="BS724" i="13"/>
  <c r="CA724" i="13"/>
  <c r="F725" i="13"/>
  <c r="N725" i="13" a="1"/>
  <c r="N725" i="13" s="1"/>
  <c r="S725" i="13" a="1"/>
  <c r="S725" i="13" s="1"/>
  <c r="AD725" i="13"/>
  <c r="AH725" i="13"/>
  <c r="BI725" i="13" s="1" a="1"/>
  <c r="BI725" i="13" s="1"/>
  <c r="AI725" i="13"/>
  <c r="AJ725" i="13"/>
  <c r="AN725" i="13" a="1"/>
  <c r="AN725" i="13" s="1"/>
  <c r="AP725" i="13" a="1"/>
  <c r="AP725" i="13" s="1"/>
  <c r="AQ725" i="13"/>
  <c r="AR725" i="13" a="1"/>
  <c r="AR725" i="13" s="1"/>
  <c r="AS725" i="13" a="1"/>
  <c r="AS725" i="13" s="1"/>
  <c r="BL725" i="13"/>
  <c r="BM725" i="13" a="1"/>
  <c r="BM725" i="13"/>
  <c r="BW725" i="13"/>
  <c r="CA725" i="13"/>
  <c r="CH725" i="13"/>
  <c r="F726" i="13"/>
  <c r="N726" i="13" a="1"/>
  <c r="N726" i="13" s="1"/>
  <c r="S726" i="13" a="1"/>
  <c r="S726" i="13" s="1"/>
  <c r="AD726" i="13"/>
  <c r="AH726" i="13"/>
  <c r="CA726" i="13" s="1"/>
  <c r="AI726" i="13"/>
  <c r="AJ726" i="13"/>
  <c r="BL726" i="13" s="1"/>
  <c r="AN726" i="13" a="1"/>
  <c r="AN726" i="13" s="1"/>
  <c r="AP726" i="13" a="1"/>
  <c r="AP726" i="13"/>
  <c r="AQ726" i="13"/>
  <c r="AR726" i="13" a="1"/>
  <c r="AR726" i="13"/>
  <c r="AS726" i="13" a="1"/>
  <c r="AS726" i="13" s="1"/>
  <c r="BM726" i="13" a="1"/>
  <c r="BM726" i="13"/>
  <c r="BN726" i="13"/>
  <c r="BS726" i="13"/>
  <c r="BW726" i="13"/>
  <c r="CM726" i="13"/>
  <c r="CU726" i="13"/>
  <c r="F727" i="13"/>
  <c r="N727" i="13" a="1"/>
  <c r="N727" i="13" s="1"/>
  <c r="S727" i="13" a="1"/>
  <c r="S727" i="13" s="1"/>
  <c r="AD727" i="13"/>
  <c r="AH727" i="13"/>
  <c r="BI727" i="13" s="1" a="1"/>
  <c r="BI727" i="13" s="1"/>
  <c r="BJ727" i="13" s="1"/>
  <c r="AI727" i="13"/>
  <c r="AJ727" i="13"/>
  <c r="BK727" i="13" s="1"/>
  <c r="AN727" i="13" a="1"/>
  <c r="AN727" i="13"/>
  <c r="AP727" i="13" a="1"/>
  <c r="AP727" i="13"/>
  <c r="AQ727" i="13"/>
  <c r="AR727" i="13" a="1"/>
  <c r="AR727" i="13" s="1"/>
  <c r="AS727" i="13" a="1"/>
  <c r="AS727" i="13" s="1"/>
  <c r="BM727" i="13" a="1"/>
  <c r="BM727" i="13"/>
  <c r="BW727" i="13"/>
  <c r="CH727" i="13"/>
  <c r="A728" i="13"/>
  <c r="F728" i="13"/>
  <c r="N728" i="13" a="1"/>
  <c r="N728" i="13" s="1"/>
  <c r="S728" i="13" a="1"/>
  <c r="S728" i="13" s="1"/>
  <c r="AD728" i="13"/>
  <c r="AH728" i="13"/>
  <c r="AI728" i="13"/>
  <c r="AJ728" i="13"/>
  <c r="BL728" i="13" s="1"/>
  <c r="AM728" i="13"/>
  <c r="AN728" i="13" a="1"/>
  <c r="AN728" i="13" s="1"/>
  <c r="AP728" i="13" a="1"/>
  <c r="AP728" i="13"/>
  <c r="AQ728" i="13"/>
  <c r="AR728" i="13" a="1"/>
  <c r="AR728" i="13"/>
  <c r="AS728" i="13" a="1"/>
  <c r="AS728" i="13" s="1"/>
  <c r="BI728" i="13" a="1"/>
  <c r="BI728" i="13" s="1"/>
  <c r="BJ728" i="13" s="1"/>
  <c r="BM728" i="13" a="1"/>
  <c r="BM728" i="13"/>
  <c r="BN728" i="13"/>
  <c r="BS728" i="13"/>
  <c r="BW728" i="13"/>
  <c r="CA728" i="13"/>
  <c r="CH728" i="13"/>
  <c r="CM728" i="13"/>
  <c r="CQ728" i="13"/>
  <c r="CU728" i="13"/>
  <c r="F729" i="13"/>
  <c r="N729" i="13" a="1"/>
  <c r="N729" i="13" s="1"/>
  <c r="S729" i="13" a="1"/>
  <c r="S729" i="13" s="1"/>
  <c r="AD729" i="13"/>
  <c r="AH729" i="13"/>
  <c r="BI729" i="13" s="1" a="1"/>
  <c r="BI729" i="13" s="1"/>
  <c r="AI729" i="13"/>
  <c r="AJ729" i="13"/>
  <c r="BL729" i="13" s="1"/>
  <c r="AN729" i="13" a="1"/>
  <c r="AN729" i="13" s="1"/>
  <c r="AP729" i="13" a="1"/>
  <c r="AP729" i="13" s="1"/>
  <c r="AQ729" i="13"/>
  <c r="AR729" i="13" a="1"/>
  <c r="AR729" i="13"/>
  <c r="AS729" i="13" a="1"/>
  <c r="AS729" i="13" s="1"/>
  <c r="BJ729" i="13"/>
  <c r="BM729" i="13" a="1"/>
  <c r="BM729" i="13" s="1"/>
  <c r="BW729" i="13"/>
  <c r="CA729" i="13"/>
  <c r="CH729" i="13"/>
  <c r="A730" i="13"/>
  <c r="F730" i="13"/>
  <c r="N730" i="13" a="1"/>
  <c r="N730" i="13" s="1"/>
  <c r="S730" i="13" a="1"/>
  <c r="S730" i="13" s="1"/>
  <c r="AD730" i="13"/>
  <c r="AH730" i="13"/>
  <c r="CU730" i="13" s="1"/>
  <c r="AI730" i="13"/>
  <c r="AJ730" i="13"/>
  <c r="BL730" i="13" s="1"/>
  <c r="AM730" i="13"/>
  <c r="AN730" i="13" a="1"/>
  <c r="AN730" i="13" s="1"/>
  <c r="AP730" i="13" a="1"/>
  <c r="AP730" i="13" s="1"/>
  <c r="AQ730" i="13"/>
  <c r="AR730" i="13" a="1"/>
  <c r="AR730" i="13"/>
  <c r="AS730" i="13" a="1"/>
  <c r="AS730" i="13" s="1"/>
  <c r="BI730" i="13" a="1"/>
  <c r="BI730" i="13" s="1"/>
  <c r="BJ730" i="13" s="1"/>
  <c r="BM730" i="13" a="1"/>
  <c r="BM730" i="13" s="1"/>
  <c r="BN730" i="13"/>
  <c r="BS730" i="13"/>
  <c r="CA730" i="13"/>
  <c r="CH730" i="13"/>
  <c r="CM730" i="13"/>
  <c r="CQ730" i="13"/>
  <c r="F731" i="13"/>
  <c r="N731" i="13" a="1"/>
  <c r="N731" i="13" s="1"/>
  <c r="S731" i="13" a="1"/>
  <c r="S731" i="13" s="1"/>
  <c r="AD731" i="13"/>
  <c r="AH731" i="13"/>
  <c r="BI731" i="13" s="1" a="1"/>
  <c r="BI731" i="13" s="1"/>
  <c r="AI731" i="13"/>
  <c r="AJ731" i="13"/>
  <c r="BL731" i="13" s="1"/>
  <c r="AN731" i="13" a="1"/>
  <c r="AN731" i="13" s="1"/>
  <c r="AP731" i="13" a="1"/>
  <c r="AP731" i="13" s="1"/>
  <c r="AQ731" i="13"/>
  <c r="AR731" i="13" a="1"/>
  <c r="AR731" i="13" s="1"/>
  <c r="AS731" i="13" a="1"/>
  <c r="AS731" i="13" s="1"/>
  <c r="BJ731" i="13"/>
  <c r="BM731" i="13" a="1"/>
  <c r="BM731" i="13" s="1"/>
  <c r="BW731" i="13"/>
  <c r="A732" i="13"/>
  <c r="F732" i="13"/>
  <c r="N732" i="13" a="1"/>
  <c r="N732" i="13" s="1"/>
  <c r="S732" i="13" a="1"/>
  <c r="S732" i="13" s="1"/>
  <c r="AD732" i="13"/>
  <c r="AH732" i="13"/>
  <c r="BS732" i="13" s="1"/>
  <c r="AI732" i="13"/>
  <c r="AJ732" i="13"/>
  <c r="BL732" i="13" s="1"/>
  <c r="AM732" i="13"/>
  <c r="AN732" i="13" a="1"/>
  <c r="AN732" i="13" s="1"/>
  <c r="AP732" i="13" a="1"/>
  <c r="AP732" i="13" s="1"/>
  <c r="AQ732" i="13"/>
  <c r="AR732" i="13" a="1"/>
  <c r="AR732" i="13" s="1"/>
  <c r="AS732" i="13" a="1"/>
  <c r="AS732" i="13" s="1"/>
  <c r="BI732" i="13" a="1"/>
  <c r="BI732" i="13" s="1"/>
  <c r="BJ732" i="13" s="1"/>
  <c r="BM732" i="13" a="1"/>
  <c r="BM732" i="13" s="1"/>
  <c r="BN732" i="13"/>
  <c r="BW732" i="13"/>
  <c r="CA732" i="13"/>
  <c r="CM732" i="13"/>
  <c r="CQ732" i="13"/>
  <c r="CU732" i="13"/>
  <c r="F733" i="13"/>
  <c r="N733" i="13" a="1"/>
  <c r="N733" i="13" s="1"/>
  <c r="S733" i="13" a="1"/>
  <c r="S733" i="13" s="1"/>
  <c r="AD733" i="13"/>
  <c r="AH733" i="13"/>
  <c r="BI733" i="13" s="1" a="1"/>
  <c r="BI733" i="13" s="1"/>
  <c r="AI733" i="13"/>
  <c r="AJ733" i="13"/>
  <c r="BL733" i="13" s="1"/>
  <c r="AN733" i="13" a="1"/>
  <c r="AN733" i="13"/>
  <c r="AP733" i="13" a="1"/>
  <c r="AP733" i="13" s="1"/>
  <c r="AQ733" i="13"/>
  <c r="AR733" i="13" a="1"/>
  <c r="AR733" i="13" s="1"/>
  <c r="AS733" i="13" a="1"/>
  <c r="AS733" i="13" s="1"/>
  <c r="BM733" i="13" a="1"/>
  <c r="BM733" i="13"/>
  <c r="CA733" i="13"/>
  <c r="F734" i="13"/>
  <c r="N734" i="13" a="1"/>
  <c r="N734" i="13" s="1"/>
  <c r="S734" i="13" a="1"/>
  <c r="S734" i="13" s="1"/>
  <c r="AD734" i="13"/>
  <c r="AH734" i="13"/>
  <c r="BS734" i="13" s="1"/>
  <c r="AI734" i="13"/>
  <c r="AJ734" i="13"/>
  <c r="BL734" i="13" s="1"/>
  <c r="AN734" i="13" a="1"/>
  <c r="AN734" i="13" s="1"/>
  <c r="AP734" i="13" a="1"/>
  <c r="AP734" i="13"/>
  <c r="AQ734" i="13"/>
  <c r="AR734" i="13" a="1"/>
  <c r="AR734" i="13" s="1"/>
  <c r="AS734" i="13" a="1"/>
  <c r="AS734" i="13" s="1"/>
  <c r="BM734" i="13" a="1"/>
  <c r="BM734" i="13" s="1"/>
  <c r="BN734" i="13"/>
  <c r="A735" i="13"/>
  <c r="F735" i="13"/>
  <c r="N735" i="13" a="1"/>
  <c r="N735" i="13" s="1"/>
  <c r="S735" i="13" a="1"/>
  <c r="S735" i="13" s="1"/>
  <c r="AD735" i="13"/>
  <c r="AH735" i="13"/>
  <c r="BI735" i="13" s="1" a="1"/>
  <c r="AI735" i="13"/>
  <c r="AJ735" i="13"/>
  <c r="BL735" i="13" s="1"/>
  <c r="AM735" i="13"/>
  <c r="AN735" i="13" a="1"/>
  <c r="AN735" i="13"/>
  <c r="AP735" i="13" a="1"/>
  <c r="AP735" i="13" s="1"/>
  <c r="AQ735" i="13"/>
  <c r="AR735" i="13" a="1"/>
  <c r="AR735" i="13" s="1"/>
  <c r="AS735" i="13" a="1"/>
  <c r="AS735" i="13" s="1"/>
  <c r="BI735" i="13"/>
  <c r="BJ735" i="13" s="1"/>
  <c r="BK735" i="13"/>
  <c r="BM735" i="13" a="1"/>
  <c r="BM735" i="13" s="1"/>
  <c r="BW735" i="13"/>
  <c r="CA735" i="13"/>
  <c r="CM735" i="13"/>
  <c r="F736" i="13"/>
  <c r="N736" i="13" a="1"/>
  <c r="N736" i="13" s="1"/>
  <c r="S736" i="13" a="1"/>
  <c r="S736" i="13" s="1"/>
  <c r="AD736" i="13"/>
  <c r="AH736" i="13"/>
  <c r="A736" i="13" s="1"/>
  <c r="AI736" i="13"/>
  <c r="AJ736" i="13"/>
  <c r="AN736" i="13" a="1"/>
  <c r="AN736" i="13" s="1"/>
  <c r="AP736" i="13" a="1"/>
  <c r="AP736" i="13" s="1"/>
  <c r="AQ736" i="13"/>
  <c r="AR736" i="13" a="1"/>
  <c r="AR736" i="13" s="1"/>
  <c r="AS736" i="13" a="1"/>
  <c r="AS736" i="13" s="1"/>
  <c r="BM736" i="13" a="1"/>
  <c r="BM736" i="13"/>
  <c r="BN736" i="13"/>
  <c r="BW736" i="13"/>
  <c r="A737" i="13"/>
  <c r="F737" i="13"/>
  <c r="N737" i="13" a="1"/>
  <c r="N737" i="13" s="1"/>
  <c r="S737" i="13" a="1"/>
  <c r="S737" i="13" s="1"/>
  <c r="AD737" i="13"/>
  <c r="AH737" i="13"/>
  <c r="BI737" i="13" s="1" a="1"/>
  <c r="AI737" i="13"/>
  <c r="AJ737" i="13"/>
  <c r="BL737" i="13" s="1"/>
  <c r="AM737" i="13"/>
  <c r="AN737" i="13" a="1"/>
  <c r="AN737" i="13"/>
  <c r="AP737" i="13" a="1"/>
  <c r="AP737" i="13" s="1"/>
  <c r="AQ737" i="13"/>
  <c r="AR737" i="13" a="1"/>
  <c r="AR737" i="13" s="1"/>
  <c r="AS737" i="13" a="1"/>
  <c r="AS737" i="13" s="1"/>
  <c r="BI737" i="13"/>
  <c r="BJ737" i="13" s="1"/>
  <c r="BM737" i="13" a="1"/>
  <c r="BM737" i="13" s="1"/>
  <c r="BW737" i="13"/>
  <c r="CA737" i="13"/>
  <c r="CM737" i="13"/>
  <c r="A738" i="13"/>
  <c r="F738" i="13"/>
  <c r="N738" i="13" a="1"/>
  <c r="N738" i="13" s="1"/>
  <c r="S738" i="13" a="1"/>
  <c r="S738" i="13" s="1"/>
  <c r="AD738" i="13"/>
  <c r="AH738" i="13"/>
  <c r="BW738" i="13" s="1"/>
  <c r="AI738" i="13"/>
  <c r="AJ738" i="13"/>
  <c r="AM738" i="13"/>
  <c r="AN738" i="13" a="1"/>
  <c r="AN738" i="13" s="1"/>
  <c r="AP738" i="13" a="1"/>
  <c r="AP738" i="13" s="1"/>
  <c r="AQ738" i="13"/>
  <c r="AR738" i="13" a="1"/>
  <c r="AR738" i="13" s="1"/>
  <c r="AS738" i="13" a="1"/>
  <c r="AS738" i="13" s="1"/>
  <c r="BI738" i="13" a="1"/>
  <c r="BI738" i="13" s="1"/>
  <c r="BJ738" i="13" s="1"/>
  <c r="BM738" i="13" a="1"/>
  <c r="BM738" i="13" s="1"/>
  <c r="BN738" i="13"/>
  <c r="BS738" i="13"/>
  <c r="CA738" i="13"/>
  <c r="CH738" i="13"/>
  <c r="CQ738" i="13"/>
  <c r="CU738" i="13"/>
  <c r="A739" i="13"/>
  <c r="F739" i="13"/>
  <c r="N739" i="13" a="1"/>
  <c r="N739" i="13" s="1"/>
  <c r="S739" i="13" a="1"/>
  <c r="S739" i="13" s="1"/>
  <c r="AD739" i="13"/>
  <c r="AH739" i="13"/>
  <c r="BI739" i="13" s="1" a="1"/>
  <c r="BI739" i="13" s="1"/>
  <c r="AI739" i="13"/>
  <c r="AJ739" i="13"/>
  <c r="BL739" i="13" s="1"/>
  <c r="AM739" i="13"/>
  <c r="AN739" i="13" a="1"/>
  <c r="AN739" i="13" s="1"/>
  <c r="AP739" i="13" a="1"/>
  <c r="AP739" i="13" s="1"/>
  <c r="AQ739" i="13"/>
  <c r="AR739" i="13" a="1"/>
  <c r="AR739" i="13"/>
  <c r="AS739" i="13" a="1"/>
  <c r="AS739" i="13" s="1"/>
  <c r="BM739" i="13" a="1"/>
  <c r="BM739" i="13" s="1"/>
  <c r="BW739" i="13"/>
  <c r="CA739" i="13"/>
  <c r="CH739" i="13"/>
  <c r="CM739" i="13"/>
  <c r="F740" i="13"/>
  <c r="N740" i="13" a="1"/>
  <c r="N740" i="13" s="1"/>
  <c r="S740" i="13" a="1"/>
  <c r="S740" i="13" s="1"/>
  <c r="AD740" i="13"/>
  <c r="AH740" i="13"/>
  <c r="A740" i="13" s="1"/>
  <c r="AI740" i="13"/>
  <c r="AJ740" i="13"/>
  <c r="AN740" i="13" a="1"/>
  <c r="AN740" i="13" s="1"/>
  <c r="AP740" i="13" a="1"/>
  <c r="AP740" i="13" s="1"/>
  <c r="AQ740" i="13"/>
  <c r="AR740" i="13" a="1"/>
  <c r="AR740" i="13" s="1"/>
  <c r="AS740" i="13" a="1"/>
  <c r="AS740" i="13" s="1"/>
  <c r="BM740" i="13" a="1"/>
  <c r="BM740" i="13"/>
  <c r="BN740" i="13"/>
  <c r="BW740" i="13"/>
  <c r="F741" i="13"/>
  <c r="N741" i="13" a="1"/>
  <c r="N741" i="13" s="1"/>
  <c r="S741" i="13" a="1"/>
  <c r="S741" i="13" s="1"/>
  <c r="AD741" i="13"/>
  <c r="AH741" i="13"/>
  <c r="A741" i="13" s="1"/>
  <c r="AI741" i="13"/>
  <c r="AJ741" i="13"/>
  <c r="BL741" i="13" s="1"/>
  <c r="AN741" i="13" a="1"/>
  <c r="AN741" i="13" s="1"/>
  <c r="AP741" i="13" a="1"/>
  <c r="AP741" i="13" s="1"/>
  <c r="AQ741" i="13"/>
  <c r="AR741" i="13" a="1"/>
  <c r="AR741" i="13" s="1"/>
  <c r="AS741" i="13" a="1"/>
  <c r="AS741" i="13" s="1"/>
  <c r="BK741" i="13"/>
  <c r="BM741" i="13" a="1"/>
  <c r="BM741" i="13" s="1"/>
  <c r="BW741" i="13"/>
  <c r="CA741" i="13"/>
  <c r="CH741" i="13"/>
  <c r="F742" i="13"/>
  <c r="N742" i="13" a="1"/>
  <c r="N742" i="13" s="1"/>
  <c r="S742" i="13" a="1"/>
  <c r="S742" i="13" s="1"/>
  <c r="AD742" i="13"/>
  <c r="AH742" i="13"/>
  <c r="BS742" i="13" s="1"/>
  <c r="AI742" i="13"/>
  <c r="AJ742" i="13"/>
  <c r="AN742" i="13" a="1"/>
  <c r="AN742" i="13" s="1"/>
  <c r="AP742" i="13" a="1"/>
  <c r="AP742" i="13"/>
  <c r="AQ742" i="13"/>
  <c r="AR742" i="13" a="1"/>
  <c r="AR742" i="13" s="1"/>
  <c r="AS742" i="13" a="1"/>
  <c r="AS742" i="13" s="1"/>
  <c r="BM742" i="13" a="1"/>
  <c r="BM742" i="13" s="1"/>
  <c r="BN742" i="13"/>
  <c r="A743" i="13"/>
  <c r="F743" i="13"/>
  <c r="N743" i="13" a="1"/>
  <c r="N743" i="13" s="1"/>
  <c r="S743" i="13" a="1"/>
  <c r="S743" i="13" s="1"/>
  <c r="AD743" i="13"/>
  <c r="AH743" i="13"/>
  <c r="BW743" i="13" s="1"/>
  <c r="AI743" i="13"/>
  <c r="AJ743" i="13"/>
  <c r="BL743" i="13" s="1"/>
  <c r="AM743" i="13"/>
  <c r="AN743" i="13" a="1"/>
  <c r="AN743" i="13"/>
  <c r="AP743" i="13" a="1"/>
  <c r="AP743" i="13" s="1"/>
  <c r="AQ743" i="13"/>
  <c r="AR743" i="13" a="1"/>
  <c r="AR743" i="13" s="1"/>
  <c r="AS743" i="13" a="1"/>
  <c r="AS743" i="13" s="1"/>
  <c r="BK743" i="13"/>
  <c r="BM743" i="13" a="1"/>
  <c r="BM743" i="13" s="1"/>
  <c r="CA743" i="13"/>
  <c r="CH743" i="13"/>
  <c r="CU743" i="13"/>
  <c r="F744" i="13"/>
  <c r="N744" i="13" a="1"/>
  <c r="N744" i="13" s="1"/>
  <c r="S744" i="13" a="1"/>
  <c r="S744" i="13" s="1"/>
  <c r="AD744" i="13"/>
  <c r="AH744" i="13"/>
  <c r="A744" i="13" s="1"/>
  <c r="AI744" i="13"/>
  <c r="AJ744" i="13"/>
  <c r="AN744" i="13" a="1"/>
  <c r="AN744" i="13" s="1"/>
  <c r="AP744" i="13" a="1"/>
  <c r="AP744" i="13" s="1"/>
  <c r="AQ744" i="13"/>
  <c r="AR744" i="13" a="1"/>
  <c r="AR744" i="13" s="1"/>
  <c r="AS744" i="13" a="1"/>
  <c r="AS744" i="13" s="1"/>
  <c r="BM744" i="13" a="1"/>
  <c r="BM744" i="13" s="1"/>
  <c r="BN744" i="13"/>
  <c r="BW744" i="13"/>
  <c r="F745" i="13"/>
  <c r="N745" i="13" a="1"/>
  <c r="N745" i="13" s="1"/>
  <c r="S745" i="13" a="1"/>
  <c r="S745" i="13" s="1"/>
  <c r="AD745" i="13"/>
  <c r="AH745" i="13"/>
  <c r="A745" i="13" s="1"/>
  <c r="AI745" i="13"/>
  <c r="AJ745" i="13"/>
  <c r="BL745" i="13" s="1"/>
  <c r="AN745" i="13" a="1"/>
  <c r="AN745" i="13"/>
  <c r="AP745" i="13" a="1"/>
  <c r="AP745" i="13"/>
  <c r="AQ745" i="13"/>
  <c r="AR745" i="13" a="1"/>
  <c r="AR745" i="13" s="1"/>
  <c r="AS745" i="13" a="1"/>
  <c r="AS745" i="13" s="1"/>
  <c r="BM745" i="13" a="1"/>
  <c r="BM745" i="13" s="1"/>
  <c r="CA745" i="13"/>
  <c r="CM745" i="13"/>
  <c r="A746" i="13"/>
  <c r="F746" i="13"/>
  <c r="N746" i="13" a="1"/>
  <c r="N746" i="13" s="1"/>
  <c r="S746" i="13" a="1"/>
  <c r="S746" i="13" s="1"/>
  <c r="AD746" i="13"/>
  <c r="AH746" i="13"/>
  <c r="AI746" i="13"/>
  <c r="AJ746" i="13"/>
  <c r="AM746" i="13"/>
  <c r="AN746" i="13" a="1"/>
  <c r="AN746" i="13" s="1"/>
  <c r="AP746" i="13" a="1"/>
  <c r="AP746" i="13" s="1"/>
  <c r="AQ746" i="13"/>
  <c r="AR746" i="13" a="1"/>
  <c r="AR746" i="13" s="1"/>
  <c r="AS746" i="13" a="1"/>
  <c r="AS746" i="13" s="1"/>
  <c r="BI746" i="13" a="1"/>
  <c r="BI746" i="13"/>
  <c r="BJ746" i="13" s="1"/>
  <c r="BM746" i="13" a="1"/>
  <c r="BM746" i="13" s="1"/>
  <c r="BN746" i="13"/>
  <c r="BS746" i="13"/>
  <c r="BW746" i="13"/>
  <c r="CA746" i="13"/>
  <c r="CH746" i="13"/>
  <c r="CM746" i="13"/>
  <c r="CQ746" i="13"/>
  <c r="CU746" i="13"/>
  <c r="F747" i="13"/>
  <c r="N747" i="13" a="1"/>
  <c r="N747" i="13" s="1"/>
  <c r="S747" i="13" a="1"/>
  <c r="S747" i="13" s="1"/>
  <c r="AD747" i="13"/>
  <c r="AH747" i="13"/>
  <c r="CH747" i="13" s="1"/>
  <c r="AI747" i="13"/>
  <c r="AJ747" i="13"/>
  <c r="BL747" i="13" s="1"/>
  <c r="AN747" i="13" a="1"/>
  <c r="AN747" i="13" s="1"/>
  <c r="AP747" i="13" a="1"/>
  <c r="AP747" i="13"/>
  <c r="AQ747" i="13"/>
  <c r="AR747" i="13" a="1"/>
  <c r="AR747" i="13" s="1"/>
  <c r="AS747" i="13" a="1"/>
  <c r="AS747" i="13" s="1"/>
  <c r="BM747" i="13" a="1"/>
  <c r="BM747" i="13" s="1"/>
  <c r="CA747" i="13"/>
  <c r="CM747" i="13"/>
  <c r="F748" i="13"/>
  <c r="N748" i="13" a="1"/>
  <c r="N748" i="13" s="1"/>
  <c r="S748" i="13" a="1"/>
  <c r="S748" i="13" s="1"/>
  <c r="AD748" i="13"/>
  <c r="AH748" i="13"/>
  <c r="CH748" i="13" s="1"/>
  <c r="AI748" i="13"/>
  <c r="AJ748" i="13"/>
  <c r="AN748" i="13" a="1"/>
  <c r="AN748" i="13" s="1"/>
  <c r="AP748" i="13" a="1"/>
  <c r="AP748" i="13" s="1"/>
  <c r="AQ748" i="13"/>
  <c r="AR748" i="13" a="1"/>
  <c r="AR748" i="13"/>
  <c r="AS748" i="13" a="1"/>
  <c r="AS748" i="13" s="1"/>
  <c r="BM748" i="13" a="1"/>
  <c r="BM748" i="13" s="1"/>
  <c r="CA748" i="13"/>
  <c r="F749" i="13"/>
  <c r="N749" i="13" a="1"/>
  <c r="N749" i="13" s="1"/>
  <c r="S749" i="13" a="1"/>
  <c r="S749" i="13" s="1"/>
  <c r="AD749" i="13"/>
  <c r="AH749" i="13"/>
  <c r="A749" i="13" s="1"/>
  <c r="AI749" i="13"/>
  <c r="AJ749" i="13"/>
  <c r="BL749" i="13" s="1"/>
  <c r="AN749" i="13" a="1"/>
  <c r="AN749" i="13" s="1"/>
  <c r="AP749" i="13" a="1"/>
  <c r="AP749" i="13"/>
  <c r="AQ749" i="13"/>
  <c r="AR749" i="13" a="1"/>
  <c r="AR749" i="13" s="1"/>
  <c r="AS749" i="13" a="1"/>
  <c r="AS749" i="13" s="1"/>
  <c r="BM749" i="13" a="1"/>
  <c r="BM749" i="13" s="1"/>
  <c r="F750" i="13"/>
  <c r="N750" i="13" a="1"/>
  <c r="N750" i="13" s="1"/>
  <c r="S750" i="13" a="1"/>
  <c r="S750" i="13" s="1"/>
  <c r="AD750" i="13"/>
  <c r="AH750" i="13"/>
  <c r="BS750" i="13" s="1"/>
  <c r="AI750" i="13"/>
  <c r="AJ750" i="13"/>
  <c r="AN750" i="13" a="1"/>
  <c r="AN750" i="13" s="1"/>
  <c r="AP750" i="13" a="1"/>
  <c r="AP750" i="13" s="1"/>
  <c r="AQ750" i="13"/>
  <c r="AR750" i="13" a="1"/>
  <c r="AR750" i="13" s="1"/>
  <c r="AS750" i="13" a="1"/>
  <c r="AS750" i="13" s="1"/>
  <c r="BM750" i="13" a="1"/>
  <c r="BM750" i="13" s="1"/>
  <c r="BN750" i="13"/>
  <c r="CA750" i="13"/>
  <c r="CH750" i="13"/>
  <c r="CM750" i="13"/>
  <c r="F751" i="13"/>
  <c r="N751" i="13" a="1"/>
  <c r="N751" i="13" s="1"/>
  <c r="S751" i="13" a="1"/>
  <c r="S751" i="13" s="1"/>
  <c r="AD751" i="13"/>
  <c r="AH751" i="13"/>
  <c r="AM751" i="13" s="1"/>
  <c r="AI751" i="13"/>
  <c r="AJ751" i="13"/>
  <c r="BL751" i="13" s="1"/>
  <c r="AN751" i="13" a="1"/>
  <c r="AN751" i="13" s="1"/>
  <c r="AP751" i="13" a="1"/>
  <c r="AP751" i="13" s="1"/>
  <c r="AQ751" i="13"/>
  <c r="AR751" i="13" a="1"/>
  <c r="AR751" i="13"/>
  <c r="AS751" i="13" a="1"/>
  <c r="AS751" i="13" s="1"/>
  <c r="BM751" i="13" a="1"/>
  <c r="BM751" i="13" s="1"/>
  <c r="CH751" i="13"/>
  <c r="CU751" i="13"/>
  <c r="F752" i="13"/>
  <c r="N752" i="13" a="1"/>
  <c r="N752" i="13" s="1"/>
  <c r="S752" i="13" a="1"/>
  <c r="S752" i="13" s="1"/>
  <c r="AD752" i="13"/>
  <c r="AH752" i="13"/>
  <c r="BS752" i="13" s="1"/>
  <c r="AI752" i="13"/>
  <c r="AJ752" i="13"/>
  <c r="AN752" i="13" a="1"/>
  <c r="AN752" i="13" s="1"/>
  <c r="AP752" i="13" a="1"/>
  <c r="AP752" i="13" s="1"/>
  <c r="AQ752" i="13"/>
  <c r="AR752" i="13" a="1"/>
  <c r="AR752" i="13"/>
  <c r="AS752" i="13" a="1"/>
  <c r="AS752" i="13" s="1"/>
  <c r="BM752" i="13" a="1"/>
  <c r="BM752" i="13" s="1"/>
  <c r="CM752" i="13"/>
  <c r="CU752" i="13"/>
  <c r="F753" i="13"/>
  <c r="N753" i="13" a="1"/>
  <c r="N753" i="13" s="1"/>
  <c r="S753" i="13" a="1"/>
  <c r="S753" i="13" s="1"/>
  <c r="AD753" i="13"/>
  <c r="AH753" i="13"/>
  <c r="A753" i="13" s="1"/>
  <c r="AI753" i="13"/>
  <c r="AJ753" i="13"/>
  <c r="BL753" i="13" s="1"/>
  <c r="AN753" i="13" a="1"/>
  <c r="AN753" i="13" s="1"/>
  <c r="AP753" i="13" a="1"/>
  <c r="AP753" i="13" s="1"/>
  <c r="AQ753" i="13"/>
  <c r="AR753" i="13" a="1"/>
  <c r="AR753" i="13" s="1"/>
  <c r="AS753" i="13" a="1"/>
  <c r="AS753" i="13" s="1"/>
  <c r="BK753" i="13"/>
  <c r="BM753" i="13" a="1"/>
  <c r="BM753" i="13" s="1"/>
  <c r="BW753" i="13"/>
  <c r="F754" i="13"/>
  <c r="N754" i="13" a="1"/>
  <c r="N754" i="13" s="1"/>
  <c r="S754" i="13" a="1"/>
  <c r="S754" i="13" s="1"/>
  <c r="AD754" i="13"/>
  <c r="AH754" i="13"/>
  <c r="BS754" i="13" s="1"/>
  <c r="AI754" i="13"/>
  <c r="AJ754" i="13"/>
  <c r="AN754" i="13" a="1"/>
  <c r="AN754" i="13" s="1"/>
  <c r="AP754" i="13" a="1"/>
  <c r="AP754" i="13" s="1"/>
  <c r="AQ754" i="13"/>
  <c r="AR754" i="13" a="1"/>
  <c r="AR754" i="13" s="1"/>
  <c r="AS754" i="13" a="1"/>
  <c r="AS754" i="13" s="1"/>
  <c r="BM754" i="13" a="1"/>
  <c r="BM754" i="13"/>
  <c r="CH754" i="13"/>
  <c r="CQ754" i="13"/>
  <c r="A755" i="13"/>
  <c r="F755" i="13"/>
  <c r="N755" i="13" a="1"/>
  <c r="N755" i="13" s="1"/>
  <c r="S755" i="13" a="1"/>
  <c r="S755" i="13" s="1"/>
  <c r="AD755" i="13"/>
  <c r="AH755" i="13"/>
  <c r="CU755" i="13" s="1"/>
  <c r="AI755" i="13"/>
  <c r="AJ755" i="13"/>
  <c r="BL755" i="13" s="1"/>
  <c r="AM755" i="13"/>
  <c r="AN755" i="13" a="1"/>
  <c r="AN755" i="13" s="1"/>
  <c r="AP755" i="13" a="1"/>
  <c r="AP755" i="13" s="1"/>
  <c r="AQ755" i="13"/>
  <c r="AR755" i="13" a="1"/>
  <c r="AR755" i="13" s="1"/>
  <c r="AS755" i="13" a="1"/>
  <c r="AS755" i="13" s="1"/>
  <c r="BI755" i="13" a="1"/>
  <c r="BI755" i="13" s="1"/>
  <c r="BK755" i="13"/>
  <c r="BM755" i="13" a="1"/>
  <c r="BM755" i="13"/>
  <c r="BN755" i="13"/>
  <c r="BS755" i="13"/>
  <c r="BW755" i="13"/>
  <c r="CA755" i="13"/>
  <c r="CH755" i="13"/>
  <c r="CM755" i="13"/>
  <c r="CQ755" i="13"/>
  <c r="F756" i="13"/>
  <c r="N756" i="13" a="1"/>
  <c r="N756" i="13" s="1"/>
  <c r="S756" i="13" a="1"/>
  <c r="S756" i="13" s="1"/>
  <c r="AD756" i="13"/>
  <c r="AH756" i="13"/>
  <c r="BS756" i="13" s="1"/>
  <c r="AI756" i="13"/>
  <c r="AJ756" i="13"/>
  <c r="BK756" i="13" s="1"/>
  <c r="AN756" i="13" a="1"/>
  <c r="AN756" i="13"/>
  <c r="AP756" i="13" a="1"/>
  <c r="AP756" i="13" s="1"/>
  <c r="AQ756" i="13"/>
  <c r="AR756" i="13" a="1"/>
  <c r="AR756" i="13"/>
  <c r="AS756" i="13" a="1"/>
  <c r="AS756" i="13" s="1"/>
  <c r="BM756" i="13" a="1"/>
  <c r="BM756" i="13" s="1"/>
  <c r="CM756" i="13"/>
  <c r="A757" i="13"/>
  <c r="F757" i="13"/>
  <c r="N757" i="13" a="1"/>
  <c r="N757" i="13" s="1"/>
  <c r="S757" i="13" a="1"/>
  <c r="S757" i="13" s="1"/>
  <c r="AD757" i="13"/>
  <c r="AH757" i="13"/>
  <c r="CU757" i="13" s="1"/>
  <c r="AI757" i="13"/>
  <c r="AJ757" i="13"/>
  <c r="AM757" i="13"/>
  <c r="AN757" i="13" a="1"/>
  <c r="AN757" i="13" s="1"/>
  <c r="AP757" i="13" a="1"/>
  <c r="AP757" i="13" s="1"/>
  <c r="AQ757" i="13"/>
  <c r="AR757" i="13" a="1"/>
  <c r="AR757" i="13" s="1"/>
  <c r="AS757" i="13" a="1"/>
  <c r="AS757" i="13" s="1"/>
  <c r="BI757" i="13" a="1"/>
  <c r="BI757" i="13" s="1"/>
  <c r="BK757" i="13"/>
  <c r="BL757" i="13"/>
  <c r="BM757" i="13" a="1"/>
  <c r="BM757" i="13" s="1"/>
  <c r="BS757" i="13"/>
  <c r="BW757" i="13"/>
  <c r="CH757" i="13"/>
  <c r="CM757" i="13"/>
  <c r="CQ757" i="13"/>
  <c r="F758" i="13"/>
  <c r="N758" i="13" a="1"/>
  <c r="N758" i="13" s="1"/>
  <c r="S758" i="13" a="1"/>
  <c r="S758" i="13" s="1"/>
  <c r="AD758" i="13"/>
  <c r="AH758" i="13"/>
  <c r="BS758" i="13" s="1"/>
  <c r="AI758" i="13"/>
  <c r="AJ758" i="13"/>
  <c r="BK758" i="13" s="1"/>
  <c r="AN758" i="13" a="1"/>
  <c r="AN758" i="13" s="1"/>
  <c r="AP758" i="13" a="1"/>
  <c r="AP758" i="13"/>
  <c r="AQ758" i="13"/>
  <c r="AR758" i="13" a="1"/>
  <c r="AR758" i="13"/>
  <c r="AS758" i="13" a="1"/>
  <c r="AS758" i="13"/>
  <c r="BM758" i="13" a="1"/>
  <c r="BM758" i="13" s="1"/>
  <c r="CU758" i="13"/>
  <c r="A759" i="13"/>
  <c r="F759" i="13"/>
  <c r="N759" i="13" a="1"/>
  <c r="N759" i="13" s="1"/>
  <c r="S759" i="13" a="1"/>
  <c r="S759" i="13" s="1"/>
  <c r="AD759" i="13"/>
  <c r="AH759" i="13"/>
  <c r="CU759" i="13" s="1"/>
  <c r="AI759" i="13"/>
  <c r="AJ759" i="13"/>
  <c r="BL759" i="13" s="1"/>
  <c r="AM759" i="13"/>
  <c r="AN759" i="13" a="1"/>
  <c r="AN759" i="13" s="1"/>
  <c r="AP759" i="13" a="1"/>
  <c r="AP759" i="13" s="1"/>
  <c r="AQ759" i="13"/>
  <c r="AR759" i="13" a="1"/>
  <c r="AR759" i="13" s="1"/>
  <c r="AS759" i="13" a="1"/>
  <c r="AS759" i="13" s="1"/>
  <c r="BK759" i="13"/>
  <c r="BM759" i="13" a="1"/>
  <c r="BM759" i="13" s="1"/>
  <c r="BN759" i="13"/>
  <c r="BS759" i="13"/>
  <c r="CH759" i="13"/>
  <c r="CQ759" i="13"/>
  <c r="F760" i="13"/>
  <c r="N760" i="13" a="1"/>
  <c r="N760" i="13" s="1"/>
  <c r="S760" i="13" a="1"/>
  <c r="S760" i="13" s="1"/>
  <c r="AD760" i="13"/>
  <c r="AH760" i="13"/>
  <c r="BS760" i="13" s="1"/>
  <c r="AI760" i="13"/>
  <c r="AJ760" i="13"/>
  <c r="AN760" i="13" a="1"/>
  <c r="AN760" i="13" s="1"/>
  <c r="AP760" i="13" a="1"/>
  <c r="AP760" i="13" s="1"/>
  <c r="AQ760" i="13"/>
  <c r="AR760" i="13" a="1"/>
  <c r="AR760" i="13"/>
  <c r="AS760" i="13" a="1"/>
  <c r="AS760" i="13"/>
  <c r="BM760" i="13" a="1"/>
  <c r="BM760" i="13" s="1"/>
  <c r="CM760" i="13"/>
  <c r="CU760" i="13"/>
  <c r="F761" i="13"/>
  <c r="N761" i="13" a="1"/>
  <c r="N761" i="13" s="1"/>
  <c r="S761" i="13" a="1"/>
  <c r="S761" i="13" s="1"/>
  <c r="AD761" i="13"/>
  <c r="AH761" i="13"/>
  <c r="CU761" i="13" s="1"/>
  <c r="AI761" i="13"/>
  <c r="AJ761" i="13"/>
  <c r="BK761" i="13" s="1"/>
  <c r="AN761" i="13" a="1"/>
  <c r="AN761" i="13" s="1"/>
  <c r="AP761" i="13" a="1"/>
  <c r="AP761" i="13" s="1"/>
  <c r="AQ761" i="13"/>
  <c r="AR761" i="13" a="1"/>
  <c r="AR761" i="13" s="1"/>
  <c r="AS761" i="13" a="1"/>
  <c r="AS761" i="13" s="1"/>
  <c r="BI761" i="13" a="1"/>
  <c r="BI761" i="13" s="1"/>
  <c r="BM761" i="13" a="1"/>
  <c r="BM761" i="13" s="1"/>
  <c r="BN761" i="13"/>
  <c r="BS761" i="13"/>
  <c r="BW761" i="13"/>
  <c r="CA761" i="13"/>
  <c r="CQ761" i="13"/>
  <c r="F762" i="13"/>
  <c r="N762" i="13" a="1"/>
  <c r="N762" i="13" s="1"/>
  <c r="S762" i="13" a="1"/>
  <c r="S762" i="13" s="1"/>
  <c r="AD762" i="13"/>
  <c r="AH762" i="13"/>
  <c r="BS762" i="13" s="1"/>
  <c r="AI762" i="13"/>
  <c r="AJ762" i="13"/>
  <c r="AN762" i="13" a="1"/>
  <c r="AN762" i="13" s="1"/>
  <c r="AP762" i="13" a="1"/>
  <c r="AP762" i="13" s="1"/>
  <c r="AQ762" i="13"/>
  <c r="AR762" i="13" a="1"/>
  <c r="AR762" i="13" s="1"/>
  <c r="AS762" i="13" a="1"/>
  <c r="AS762" i="13"/>
  <c r="BM762" i="13" a="1"/>
  <c r="BM762" i="13" s="1"/>
  <c r="CM762" i="13"/>
  <c r="CU762" i="13"/>
  <c r="A763" i="13"/>
  <c r="F763" i="13"/>
  <c r="N763" i="13" a="1"/>
  <c r="N763" i="13" s="1"/>
  <c r="S763" i="13" a="1"/>
  <c r="S763" i="13" s="1"/>
  <c r="AD763" i="13"/>
  <c r="AH763" i="13"/>
  <c r="CU763" i="13" s="1"/>
  <c r="AI763" i="13"/>
  <c r="AJ763" i="13"/>
  <c r="BL763" i="13" s="1"/>
  <c r="AM763" i="13"/>
  <c r="AN763" i="13" a="1"/>
  <c r="AN763" i="13" s="1"/>
  <c r="AP763" i="13" a="1"/>
  <c r="AP763" i="13" s="1"/>
  <c r="AQ763" i="13"/>
  <c r="AR763" i="13" a="1"/>
  <c r="AR763" i="13" s="1"/>
  <c r="AS763" i="13" a="1"/>
  <c r="AS763" i="13" s="1"/>
  <c r="BI763" i="13" a="1"/>
  <c r="BI763" i="13" s="1"/>
  <c r="BK763" i="13"/>
  <c r="BM763" i="13" a="1"/>
  <c r="BM763" i="13"/>
  <c r="BN763" i="13"/>
  <c r="BS763" i="13"/>
  <c r="BW763" i="13"/>
  <c r="CA763" i="13"/>
  <c r="CH763" i="13"/>
  <c r="CM763" i="13"/>
  <c r="F764" i="13"/>
  <c r="N764" i="13" a="1"/>
  <c r="N764" i="13" s="1"/>
  <c r="S764" i="13" a="1"/>
  <c r="S764" i="13" s="1"/>
  <c r="AD764" i="13"/>
  <c r="AH764" i="13"/>
  <c r="BS764" i="13" s="1"/>
  <c r="AI764" i="13"/>
  <c r="AJ764" i="13"/>
  <c r="BK764" i="13" s="1"/>
  <c r="AN764" i="13" a="1"/>
  <c r="AN764" i="13"/>
  <c r="AP764" i="13" a="1"/>
  <c r="AP764" i="13" s="1"/>
  <c r="AQ764" i="13"/>
  <c r="AR764" i="13" a="1"/>
  <c r="AR764" i="13"/>
  <c r="AS764" i="13" a="1"/>
  <c r="AS764" i="13" s="1"/>
  <c r="BM764" i="13" a="1"/>
  <c r="BM764" i="13" s="1"/>
  <c r="CM764" i="13"/>
  <c r="A765" i="13"/>
  <c r="F765" i="13"/>
  <c r="N765" i="13" a="1"/>
  <c r="N765" i="13" s="1"/>
  <c r="S765" i="13" a="1"/>
  <c r="S765" i="13" s="1"/>
  <c r="AD765" i="13"/>
  <c r="AH765" i="13"/>
  <c r="CU765" i="13" s="1"/>
  <c r="AI765" i="13"/>
  <c r="AJ765" i="13"/>
  <c r="AM765" i="13"/>
  <c r="AN765" i="13" a="1"/>
  <c r="AN765" i="13" s="1"/>
  <c r="AP765" i="13" a="1"/>
  <c r="AP765" i="13" s="1"/>
  <c r="AQ765" i="13"/>
  <c r="AR765" i="13" a="1"/>
  <c r="AR765" i="13" s="1"/>
  <c r="AS765" i="13" a="1"/>
  <c r="AS765" i="13" s="1"/>
  <c r="BI765" i="13" a="1"/>
  <c r="BI765" i="13" s="1"/>
  <c r="BK765" i="13"/>
  <c r="BL765" i="13"/>
  <c r="BM765" i="13" a="1"/>
  <c r="BM765" i="13" s="1"/>
  <c r="BS765" i="13"/>
  <c r="BW765" i="13"/>
  <c r="CH765" i="13"/>
  <c r="CM765" i="13"/>
  <c r="CQ765" i="13"/>
  <c r="F766" i="13"/>
  <c r="N766" i="13" a="1"/>
  <c r="N766" i="13" s="1"/>
  <c r="S766" i="13" a="1"/>
  <c r="S766" i="13" s="1"/>
  <c r="AD766" i="13"/>
  <c r="AH766" i="13"/>
  <c r="BS766" i="13" s="1"/>
  <c r="AI766" i="13"/>
  <c r="AJ766" i="13"/>
  <c r="BK766" i="13" s="1"/>
  <c r="AN766" i="13" a="1"/>
  <c r="AN766" i="13" s="1"/>
  <c r="AP766" i="13" a="1"/>
  <c r="AP766" i="13"/>
  <c r="AQ766" i="13"/>
  <c r="AR766" i="13" a="1"/>
  <c r="AR766" i="13"/>
  <c r="AS766" i="13" a="1"/>
  <c r="AS766" i="13"/>
  <c r="BM766" i="13" a="1"/>
  <c r="BM766" i="13" s="1"/>
  <c r="CU766" i="13"/>
  <c r="A767" i="13"/>
  <c r="F767" i="13"/>
  <c r="N767" i="13" a="1"/>
  <c r="N767" i="13" s="1"/>
  <c r="S767" i="13" a="1"/>
  <c r="S767" i="13" s="1"/>
  <c r="AD767" i="13"/>
  <c r="AH767" i="13"/>
  <c r="CU767" i="13" s="1"/>
  <c r="AI767" i="13"/>
  <c r="AJ767" i="13"/>
  <c r="BL767" i="13" s="1"/>
  <c r="AM767" i="13"/>
  <c r="AN767" i="13" a="1"/>
  <c r="AN767" i="13" s="1"/>
  <c r="AP767" i="13" a="1"/>
  <c r="AP767" i="13" s="1"/>
  <c r="AQ767" i="13"/>
  <c r="AR767" i="13" a="1"/>
  <c r="AR767" i="13" s="1"/>
  <c r="AS767" i="13" a="1"/>
  <c r="AS767" i="13" s="1"/>
  <c r="BK767" i="13"/>
  <c r="BM767" i="13" a="1"/>
  <c r="BM767" i="13" s="1"/>
  <c r="BN767" i="13"/>
  <c r="BS767" i="13"/>
  <c r="CA767" i="13"/>
  <c r="CH767" i="13"/>
  <c r="CQ767" i="13"/>
  <c r="F768" i="13"/>
  <c r="N768" i="13" a="1"/>
  <c r="N768" i="13" s="1"/>
  <c r="S768" i="13" a="1"/>
  <c r="S768" i="13" s="1"/>
  <c r="AD768" i="13"/>
  <c r="AH768" i="13"/>
  <c r="BS768" i="13" s="1"/>
  <c r="AI768" i="13"/>
  <c r="AJ768" i="13"/>
  <c r="AN768" i="13" a="1"/>
  <c r="AN768" i="13" s="1"/>
  <c r="AP768" i="13" a="1"/>
  <c r="AP768" i="13" s="1"/>
  <c r="AQ768" i="13"/>
  <c r="AR768" i="13" a="1"/>
  <c r="AR768" i="13"/>
  <c r="AS768" i="13" a="1"/>
  <c r="AS768" i="13"/>
  <c r="BM768" i="13" a="1"/>
  <c r="BM768" i="13" s="1"/>
  <c r="CM768" i="13"/>
  <c r="CU768" i="13"/>
  <c r="F769" i="13"/>
  <c r="N769" i="13" a="1"/>
  <c r="N769" i="13" s="1"/>
  <c r="S769" i="13" a="1"/>
  <c r="S769" i="13" s="1"/>
  <c r="AD769" i="13"/>
  <c r="AH769" i="13"/>
  <c r="CU769" i="13" s="1"/>
  <c r="AI769" i="13"/>
  <c r="AJ769" i="13"/>
  <c r="BK769" i="13" s="1"/>
  <c r="AN769" i="13" a="1"/>
  <c r="AN769" i="13" s="1"/>
  <c r="AP769" i="13" a="1"/>
  <c r="AP769" i="13" s="1"/>
  <c r="AQ769" i="13"/>
  <c r="AR769" i="13" a="1"/>
  <c r="AR769" i="13" s="1"/>
  <c r="AS769" i="13" a="1"/>
  <c r="AS769" i="13" s="1"/>
  <c r="BI769" i="13" a="1"/>
  <c r="BI769" i="13" s="1"/>
  <c r="BM769" i="13" a="1"/>
  <c r="BM769" i="13" s="1"/>
  <c r="BN769" i="13"/>
  <c r="BS769" i="13"/>
  <c r="BW769" i="13"/>
  <c r="CA769" i="13"/>
  <c r="CQ769" i="13"/>
  <c r="F770" i="13"/>
  <c r="N770" i="13" a="1"/>
  <c r="N770" i="13" s="1"/>
  <c r="S770" i="13" a="1"/>
  <c r="S770" i="13" s="1"/>
  <c r="AD770" i="13"/>
  <c r="AH770" i="13"/>
  <c r="BS770" i="13" s="1"/>
  <c r="AI770" i="13"/>
  <c r="AJ770" i="13"/>
  <c r="AN770" i="13" a="1"/>
  <c r="AN770" i="13" s="1"/>
  <c r="AP770" i="13" a="1"/>
  <c r="AP770" i="13" s="1"/>
  <c r="AQ770" i="13"/>
  <c r="AR770" i="13" a="1"/>
  <c r="AR770" i="13" s="1"/>
  <c r="AS770" i="13" a="1"/>
  <c r="AS770" i="13"/>
  <c r="BM770" i="13" a="1"/>
  <c r="BM770" i="13" s="1"/>
  <c r="CM770" i="13"/>
  <c r="CU770" i="13"/>
  <c r="A771" i="13"/>
  <c r="F771" i="13"/>
  <c r="N771" i="13" a="1"/>
  <c r="N771" i="13" s="1"/>
  <c r="S771" i="13" a="1"/>
  <c r="S771" i="13" s="1"/>
  <c r="AD771" i="13"/>
  <c r="AH771" i="13"/>
  <c r="CU771" i="13" s="1"/>
  <c r="AI771" i="13"/>
  <c r="AJ771" i="13"/>
  <c r="BK771" i="13" s="1"/>
  <c r="AM771" i="13"/>
  <c r="AN771" i="13" a="1"/>
  <c r="AN771" i="13" s="1"/>
  <c r="AP771" i="13" a="1"/>
  <c r="AP771" i="13" s="1"/>
  <c r="AQ771" i="13"/>
  <c r="AR771" i="13" a="1"/>
  <c r="AR771" i="13" s="1"/>
  <c r="AS771" i="13" a="1"/>
  <c r="AS771" i="13" s="1"/>
  <c r="BI771" i="13" a="1"/>
  <c r="BI771" i="13" s="1"/>
  <c r="BM771" i="13" a="1"/>
  <c r="BM771" i="13"/>
  <c r="BN771" i="13"/>
  <c r="BS771" i="13"/>
  <c r="BW771" i="13"/>
  <c r="CA771" i="13"/>
  <c r="CH771" i="13"/>
  <c r="CM771" i="13"/>
  <c r="F772" i="13"/>
  <c r="N772" i="13" a="1"/>
  <c r="N772" i="13" s="1"/>
  <c r="S772" i="13" a="1"/>
  <c r="S772" i="13" s="1"/>
  <c r="AD772" i="13"/>
  <c r="AH772" i="13"/>
  <c r="BS772" i="13" s="1"/>
  <c r="AI772" i="13"/>
  <c r="AJ772" i="13"/>
  <c r="BK772" i="13" s="1"/>
  <c r="AN772" i="13" a="1"/>
  <c r="AN772" i="13"/>
  <c r="AP772" i="13" a="1"/>
  <c r="AP772" i="13" s="1"/>
  <c r="AQ772" i="13"/>
  <c r="AR772" i="13" a="1"/>
  <c r="AR772" i="13" s="1"/>
  <c r="AS772" i="13" a="1"/>
  <c r="AS772" i="13" s="1"/>
  <c r="BM772" i="13" a="1"/>
  <c r="BM772" i="13" s="1"/>
  <c r="CM772" i="13"/>
  <c r="A773" i="13"/>
  <c r="F773" i="13"/>
  <c r="N773" i="13" a="1"/>
  <c r="N773" i="13" s="1"/>
  <c r="S773" i="13" a="1"/>
  <c r="S773" i="13" s="1"/>
  <c r="AD773" i="13"/>
  <c r="AH773" i="13"/>
  <c r="CU773" i="13" s="1"/>
  <c r="AI773" i="13"/>
  <c r="AJ773" i="13"/>
  <c r="AM773" i="13"/>
  <c r="AN773" i="13" a="1"/>
  <c r="AN773" i="13" s="1"/>
  <c r="AP773" i="13" a="1"/>
  <c r="AP773" i="13" s="1"/>
  <c r="AQ773" i="13"/>
  <c r="AR773" i="13" a="1"/>
  <c r="AR773" i="13" s="1"/>
  <c r="AS773" i="13" a="1"/>
  <c r="AS773" i="13" s="1"/>
  <c r="BI773" i="13" a="1"/>
  <c r="BI773" i="13" s="1"/>
  <c r="BK773" i="13"/>
  <c r="BL773" i="13"/>
  <c r="BM773" i="13" a="1"/>
  <c r="BM773" i="13"/>
  <c r="BS773" i="13"/>
  <c r="BW773" i="13"/>
  <c r="CH773" i="13"/>
  <c r="CM773" i="13"/>
  <c r="CQ773" i="13"/>
  <c r="F774" i="13"/>
  <c r="N774" i="13" a="1"/>
  <c r="N774" i="13" s="1"/>
  <c r="S774" i="13" a="1"/>
  <c r="S774" i="13" s="1"/>
  <c r="AD774" i="13"/>
  <c r="AH774" i="13"/>
  <c r="BS774" i="13" s="1"/>
  <c r="AI774" i="13"/>
  <c r="AJ774" i="13"/>
  <c r="BK774" i="13" s="1"/>
  <c r="AN774" i="13" a="1"/>
  <c r="AN774" i="13" s="1"/>
  <c r="AP774" i="13" a="1"/>
  <c r="AP774" i="13"/>
  <c r="AQ774" i="13"/>
  <c r="AR774" i="13" a="1"/>
  <c r="AR774" i="13"/>
  <c r="AS774" i="13" a="1"/>
  <c r="AS774" i="13" s="1"/>
  <c r="BM774" i="13" a="1"/>
  <c r="BM774" i="13" s="1"/>
  <c r="CU774" i="13"/>
  <c r="F775" i="13"/>
  <c r="N775" i="13" a="1"/>
  <c r="N775" i="13" s="1"/>
  <c r="S775" i="13" a="1"/>
  <c r="S775" i="13" s="1"/>
  <c r="AD775" i="13"/>
  <c r="AH775" i="13"/>
  <c r="BI775" i="13" s="1" a="1"/>
  <c r="BI775" i="13" s="1"/>
  <c r="AI775" i="13"/>
  <c r="AJ775" i="13"/>
  <c r="BK775" i="13" s="1"/>
  <c r="AN775" i="13" a="1"/>
  <c r="AN775" i="13" s="1"/>
  <c r="AP775" i="13" a="1"/>
  <c r="AP775" i="13" s="1"/>
  <c r="AQ775" i="13"/>
  <c r="AR775" i="13" a="1"/>
  <c r="AR775" i="13" s="1"/>
  <c r="AS775" i="13" a="1"/>
  <c r="AS775" i="13" s="1"/>
  <c r="BM775" i="13" a="1"/>
  <c r="BM775" i="13" s="1"/>
  <c r="BN775" i="13"/>
  <c r="BS775" i="13"/>
  <c r="CA775" i="13"/>
  <c r="CQ775" i="13"/>
  <c r="CU775" i="13"/>
  <c r="F776" i="13"/>
  <c r="N776" i="13" a="1"/>
  <c r="N776" i="13" s="1"/>
  <c r="S776" i="13" a="1"/>
  <c r="S776" i="13" s="1"/>
  <c r="AD776" i="13"/>
  <c r="AH776" i="13"/>
  <c r="BS776" i="13" s="1"/>
  <c r="AI776" i="13"/>
  <c r="AJ776" i="13"/>
  <c r="BK776" i="13" s="1"/>
  <c r="AN776" i="13" a="1"/>
  <c r="AN776" i="13" s="1"/>
  <c r="AP776" i="13" a="1"/>
  <c r="AP776" i="13" s="1"/>
  <c r="AQ776" i="13"/>
  <c r="AR776" i="13" a="1"/>
  <c r="AR776" i="13" s="1"/>
  <c r="AS776" i="13" a="1"/>
  <c r="AS776" i="13" s="1"/>
  <c r="BM776" i="13" a="1"/>
  <c r="BM776" i="13" s="1"/>
  <c r="CM776" i="13"/>
  <c r="F777" i="13"/>
  <c r="N777" i="13" a="1"/>
  <c r="N777" i="13" s="1"/>
  <c r="S777" i="13" a="1"/>
  <c r="S777" i="13" s="1"/>
  <c r="AD777" i="13"/>
  <c r="AH777" i="13"/>
  <c r="CH777" i="13" s="1"/>
  <c r="AI777" i="13"/>
  <c r="AJ777" i="13"/>
  <c r="AN777" i="13" a="1"/>
  <c r="AN777" i="13" s="1"/>
  <c r="AP777" i="13" a="1"/>
  <c r="AP777" i="13" s="1"/>
  <c r="AQ777" i="13"/>
  <c r="AR777" i="13" a="1"/>
  <c r="AR777" i="13" s="1"/>
  <c r="AS777" i="13" a="1"/>
  <c r="AS777" i="13" s="1"/>
  <c r="BI777" i="13" a="1"/>
  <c r="BI777" i="13" s="1"/>
  <c r="BL777" i="13"/>
  <c r="BM777" i="13" a="1"/>
  <c r="BM777" i="13" s="1"/>
  <c r="BN777" i="13"/>
  <c r="BS777" i="13"/>
  <c r="BW777" i="13"/>
  <c r="CA777" i="13"/>
  <c r="CM777" i="13"/>
  <c r="CQ777" i="13"/>
  <c r="F778" i="13"/>
  <c r="N778" i="13" a="1"/>
  <c r="N778" i="13" s="1"/>
  <c r="S778" i="13" a="1"/>
  <c r="S778" i="13" s="1"/>
  <c r="AD778" i="13"/>
  <c r="AH778" i="13"/>
  <c r="BS778" i="13" s="1"/>
  <c r="AI778" i="13"/>
  <c r="AJ778" i="13"/>
  <c r="BK778" i="13" s="1"/>
  <c r="AN778" i="13" a="1"/>
  <c r="AN778" i="13"/>
  <c r="AP778" i="13" a="1"/>
  <c r="AP778" i="13" s="1"/>
  <c r="AQ778" i="13"/>
  <c r="AR778" i="13" a="1"/>
  <c r="AR778" i="13"/>
  <c r="AS778" i="13" a="1"/>
  <c r="AS778" i="13" s="1"/>
  <c r="BM778" i="13" a="1"/>
  <c r="BM778" i="13" s="1"/>
  <c r="CM778" i="13"/>
  <c r="CU778" i="13"/>
  <c r="F779" i="13"/>
  <c r="N779" i="13" a="1"/>
  <c r="N779" i="13" s="1"/>
  <c r="S779" i="13" a="1"/>
  <c r="S779" i="13" s="1"/>
  <c r="AD779" i="13"/>
  <c r="AH779" i="13"/>
  <c r="BI779" i="13" s="1" a="1"/>
  <c r="BI779" i="13" s="1"/>
  <c r="AI779" i="13"/>
  <c r="AJ779" i="13"/>
  <c r="AN779" i="13" a="1"/>
  <c r="AN779" i="13" s="1"/>
  <c r="AP779" i="13" a="1"/>
  <c r="AP779" i="13" s="1"/>
  <c r="AQ779" i="13"/>
  <c r="AR779" i="13" a="1"/>
  <c r="AR779" i="13" s="1"/>
  <c r="AS779" i="13" a="1"/>
  <c r="AS779" i="13" s="1"/>
  <c r="BM779" i="13" a="1"/>
  <c r="BM779" i="13" s="1"/>
  <c r="CH779" i="13"/>
  <c r="F780" i="13"/>
  <c r="N780" i="13" a="1"/>
  <c r="N780" i="13" s="1"/>
  <c r="S780" i="13" a="1"/>
  <c r="S780" i="13" s="1"/>
  <c r="AD780" i="13"/>
  <c r="AH780" i="13"/>
  <c r="BS780" i="13" s="1"/>
  <c r="AI780" i="13"/>
  <c r="AJ780" i="13"/>
  <c r="AN780" i="13" a="1"/>
  <c r="AN780" i="13" s="1"/>
  <c r="AP780" i="13" a="1"/>
  <c r="AP780" i="13"/>
  <c r="AQ780" i="13"/>
  <c r="AR780" i="13" a="1"/>
  <c r="AR780" i="13" s="1"/>
  <c r="AS780" i="13" a="1"/>
  <c r="AS780" i="13" s="1"/>
  <c r="BM780" i="13" a="1"/>
  <c r="BM780" i="13" s="1"/>
  <c r="F781" i="13"/>
  <c r="N781" i="13" a="1"/>
  <c r="N781" i="13" s="1"/>
  <c r="S781" i="13" a="1"/>
  <c r="S781" i="13" s="1"/>
  <c r="AD781" i="13"/>
  <c r="AH781" i="13"/>
  <c r="BI781" i="13" s="1" a="1"/>
  <c r="BI781" i="13" s="1"/>
  <c r="AI781" i="13"/>
  <c r="AJ781" i="13"/>
  <c r="BK781" i="13" s="1"/>
  <c r="AN781" i="13" a="1"/>
  <c r="AN781" i="13" s="1"/>
  <c r="AP781" i="13" a="1"/>
  <c r="AP781" i="13" s="1"/>
  <c r="AQ781" i="13"/>
  <c r="AR781" i="13" a="1"/>
  <c r="AR781" i="13" s="1"/>
  <c r="AS781" i="13" a="1"/>
  <c r="AS781" i="13" s="1"/>
  <c r="BM781" i="13" a="1"/>
  <c r="BM781" i="13" s="1"/>
  <c r="BN781" i="13"/>
  <c r="BS781" i="13"/>
  <c r="BW781" i="13"/>
  <c r="CA781" i="13"/>
  <c r="CH781" i="13"/>
  <c r="CM781" i="13"/>
  <c r="CQ781" i="13"/>
  <c r="CU781" i="13"/>
  <c r="F782" i="13"/>
  <c r="N782" i="13" a="1"/>
  <c r="N782" i="13" s="1"/>
  <c r="S782" i="13" a="1"/>
  <c r="S782" i="13" s="1"/>
  <c r="AD782" i="13"/>
  <c r="AH782" i="13"/>
  <c r="BS782" i="13" s="1"/>
  <c r="AI782" i="13"/>
  <c r="AJ782" i="13"/>
  <c r="BK782" i="13" s="1"/>
  <c r="AN782" i="13" a="1"/>
  <c r="AN782" i="13"/>
  <c r="AP782" i="13" a="1"/>
  <c r="AP782" i="13"/>
  <c r="AQ782" i="13"/>
  <c r="AR782" i="13" a="1"/>
  <c r="AR782" i="13"/>
  <c r="AS782" i="13" a="1"/>
  <c r="AS782" i="13" s="1"/>
  <c r="BM782" i="13" a="1"/>
  <c r="BM782" i="13" s="1"/>
  <c r="CM782" i="13"/>
  <c r="CU782" i="13"/>
  <c r="A783" i="13"/>
  <c r="F783" i="13"/>
  <c r="N783" i="13" a="1"/>
  <c r="N783" i="13" s="1"/>
  <c r="S783" i="13" a="1"/>
  <c r="S783" i="13" s="1"/>
  <c r="AD783" i="13"/>
  <c r="AH783" i="13"/>
  <c r="AI783" i="13"/>
  <c r="AJ783" i="13"/>
  <c r="BK783" i="13" s="1"/>
  <c r="AM783" i="13"/>
  <c r="AN783" i="13" a="1"/>
  <c r="AN783" i="13" s="1"/>
  <c r="AP783" i="13" a="1"/>
  <c r="AP783" i="13" s="1"/>
  <c r="AQ783" i="13"/>
  <c r="AR783" i="13" a="1"/>
  <c r="AR783" i="13" s="1"/>
  <c r="AS783" i="13" a="1"/>
  <c r="AS783" i="13" s="1"/>
  <c r="BI783" i="13" a="1"/>
  <c r="BI783" i="13"/>
  <c r="BM783" i="13" a="1"/>
  <c r="BM783" i="13" s="1"/>
  <c r="BN783" i="13"/>
  <c r="BS783" i="13"/>
  <c r="BW783" i="13"/>
  <c r="CA783" i="13"/>
  <c r="CH783" i="13"/>
  <c r="CM783" i="13"/>
  <c r="CQ783" i="13"/>
  <c r="CU783" i="13"/>
  <c r="F784" i="13"/>
  <c r="N784" i="13" a="1"/>
  <c r="N784" i="13" s="1"/>
  <c r="S784" i="13" a="1"/>
  <c r="S784" i="13" s="1"/>
  <c r="AD784" i="13"/>
  <c r="AH784" i="13"/>
  <c r="BS784" i="13" s="1"/>
  <c r="AI784" i="13"/>
  <c r="AJ784" i="13"/>
  <c r="AN784" i="13" a="1"/>
  <c r="AN784" i="13"/>
  <c r="AP784" i="13" a="1"/>
  <c r="AP784" i="13" s="1"/>
  <c r="AQ784" i="13"/>
  <c r="AR784" i="13" a="1"/>
  <c r="AR784" i="13"/>
  <c r="AS784" i="13" a="1"/>
  <c r="AS784" i="13" s="1"/>
  <c r="BM784" i="13" a="1"/>
  <c r="BM784" i="13" s="1"/>
  <c r="CU784" i="13"/>
  <c r="F785" i="13"/>
  <c r="N785" i="13" a="1"/>
  <c r="N785" i="13" s="1"/>
  <c r="S785" i="13" a="1"/>
  <c r="S785" i="13" s="1"/>
  <c r="AD785" i="13"/>
  <c r="AH785" i="13"/>
  <c r="BI785" i="13" s="1" a="1"/>
  <c r="BI785" i="13" s="1"/>
  <c r="AI785" i="13"/>
  <c r="AJ785" i="13"/>
  <c r="BK785" i="13" s="1"/>
  <c r="AN785" i="13" a="1"/>
  <c r="AN785" i="13" s="1"/>
  <c r="AP785" i="13" a="1"/>
  <c r="AP785" i="13" s="1"/>
  <c r="AQ785" i="13"/>
  <c r="AR785" i="13" a="1"/>
  <c r="AR785" i="13" s="1"/>
  <c r="AS785" i="13" a="1"/>
  <c r="AS785" i="13" s="1"/>
  <c r="BM785" i="13" a="1"/>
  <c r="BM785" i="13" s="1"/>
  <c r="BN785" i="13"/>
  <c r="BS785" i="13"/>
  <c r="BW785" i="13"/>
  <c r="CA785" i="13"/>
  <c r="CH785" i="13"/>
  <c r="CM785" i="13"/>
  <c r="CQ785" i="13"/>
  <c r="CU785" i="13"/>
  <c r="F786" i="13"/>
  <c r="N786" i="13" a="1"/>
  <c r="N786" i="13" s="1"/>
  <c r="S786" i="13" a="1"/>
  <c r="S786" i="13" s="1"/>
  <c r="AD786" i="13"/>
  <c r="AH786" i="13"/>
  <c r="BS786" i="13" s="1"/>
  <c r="AI786" i="13"/>
  <c r="AJ786" i="13"/>
  <c r="BK786" i="13" s="1"/>
  <c r="AN786" i="13" a="1"/>
  <c r="AN786" i="13" s="1"/>
  <c r="AP786" i="13" a="1"/>
  <c r="AP786" i="13" s="1"/>
  <c r="AQ786" i="13"/>
  <c r="AR786" i="13" a="1"/>
  <c r="AR786" i="13" s="1"/>
  <c r="AS786" i="13" a="1"/>
  <c r="AS786" i="13" s="1"/>
  <c r="BM786" i="13" a="1"/>
  <c r="BM786" i="13" s="1"/>
  <c r="CU786" i="13"/>
  <c r="F787" i="13"/>
  <c r="N787" i="13" a="1"/>
  <c r="N787" i="13" s="1"/>
  <c r="S787" i="13" a="1"/>
  <c r="S787" i="13" s="1"/>
  <c r="AD787" i="13"/>
  <c r="AH787" i="13"/>
  <c r="BI787" i="13" s="1" a="1"/>
  <c r="BI787" i="13" s="1"/>
  <c r="AI787" i="13"/>
  <c r="AJ787" i="13"/>
  <c r="BK787" i="13" s="1"/>
  <c r="AN787" i="13" a="1"/>
  <c r="AN787" i="13" s="1"/>
  <c r="AP787" i="13" a="1"/>
  <c r="AP787" i="13" s="1"/>
  <c r="AQ787" i="13"/>
  <c r="AR787" i="13" a="1"/>
  <c r="AR787" i="13"/>
  <c r="AS787" i="13" a="1"/>
  <c r="AS787" i="13" s="1"/>
  <c r="BM787" i="13" a="1"/>
  <c r="BM787" i="13" s="1"/>
  <c r="CH787" i="13"/>
  <c r="CQ787" i="13"/>
  <c r="F788" i="13"/>
  <c r="N788" i="13" a="1"/>
  <c r="N788" i="13" s="1"/>
  <c r="S788" i="13" a="1"/>
  <c r="S788" i="13" s="1"/>
  <c r="AD788" i="13"/>
  <c r="AH788" i="13"/>
  <c r="AI788" i="13"/>
  <c r="AJ788" i="13"/>
  <c r="BK788" i="13" s="1"/>
  <c r="AN788" i="13" a="1"/>
  <c r="AN788" i="13"/>
  <c r="AP788" i="13" a="1"/>
  <c r="AP788" i="13" s="1"/>
  <c r="AQ788" i="13"/>
  <c r="AR788" i="13" a="1"/>
  <c r="AR788" i="13" s="1"/>
  <c r="AS788" i="13" a="1"/>
  <c r="AS788" i="13" s="1"/>
  <c r="BM788" i="13" a="1"/>
  <c r="BM788" i="13" s="1"/>
  <c r="F789" i="13"/>
  <c r="N789" i="13" a="1"/>
  <c r="N789" i="13" s="1"/>
  <c r="S789" i="13" a="1"/>
  <c r="S789" i="13" s="1"/>
  <c r="AD789" i="13"/>
  <c r="AH789" i="13"/>
  <c r="BI789" i="13" s="1" a="1"/>
  <c r="BI789" i="13" s="1"/>
  <c r="AI789" i="13"/>
  <c r="AJ789" i="13"/>
  <c r="AN789" i="13" a="1"/>
  <c r="AN789" i="13" s="1"/>
  <c r="AP789" i="13" a="1"/>
  <c r="AP789" i="13" s="1"/>
  <c r="AQ789" i="13"/>
  <c r="AR789" i="13" a="1"/>
  <c r="AR789" i="13" s="1"/>
  <c r="AS789" i="13" a="1"/>
  <c r="AS789" i="13" s="1"/>
  <c r="BM789" i="13" a="1"/>
  <c r="BM789" i="13" s="1"/>
  <c r="BS789" i="13"/>
  <c r="CA789" i="13"/>
  <c r="CH789" i="13"/>
  <c r="CM789" i="13"/>
  <c r="F790" i="13"/>
  <c r="N790" i="13" a="1"/>
  <c r="N790" i="13" s="1"/>
  <c r="S790" i="13" a="1"/>
  <c r="S790" i="13" s="1"/>
  <c r="AD790" i="13"/>
  <c r="AH790" i="13"/>
  <c r="BS790" i="13" s="1"/>
  <c r="AI790" i="13"/>
  <c r="AJ790" i="13"/>
  <c r="AN790" i="13" a="1"/>
  <c r="AN790" i="13"/>
  <c r="AP790" i="13" a="1"/>
  <c r="AP790" i="13" s="1"/>
  <c r="AQ790" i="13"/>
  <c r="AR790" i="13" a="1"/>
  <c r="AR790" i="13" s="1"/>
  <c r="AS790" i="13" a="1"/>
  <c r="AS790" i="13" s="1"/>
  <c r="BM790" i="13" a="1"/>
  <c r="BM790" i="13" s="1"/>
  <c r="CU790" i="13"/>
  <c r="F791" i="13"/>
  <c r="N791" i="13" a="1"/>
  <c r="N791" i="13" s="1"/>
  <c r="S791" i="13" a="1"/>
  <c r="S791" i="13" s="1"/>
  <c r="AD791" i="13"/>
  <c r="AH791" i="13"/>
  <c r="BI791" i="13" s="1" a="1"/>
  <c r="AI791" i="13"/>
  <c r="AJ791" i="13"/>
  <c r="BK791" i="13" s="1"/>
  <c r="AN791" i="13" a="1"/>
  <c r="AN791" i="13" s="1"/>
  <c r="AP791" i="13" a="1"/>
  <c r="AP791" i="13" s="1"/>
  <c r="AQ791" i="13"/>
  <c r="AR791" i="13" a="1"/>
  <c r="AR791" i="13" s="1"/>
  <c r="AS791" i="13" a="1"/>
  <c r="AS791" i="13" s="1"/>
  <c r="BI791" i="13"/>
  <c r="BM791" i="13" a="1"/>
  <c r="BM791" i="13"/>
  <c r="BN791" i="13"/>
  <c r="BS791" i="13"/>
  <c r="BW791" i="13"/>
  <c r="CA791" i="13"/>
  <c r="CH791" i="13"/>
  <c r="CM791" i="13"/>
  <c r="CQ791" i="13"/>
  <c r="CU791" i="13"/>
  <c r="F792" i="13"/>
  <c r="N792" i="13" a="1"/>
  <c r="N792" i="13" s="1"/>
  <c r="S792" i="13" a="1"/>
  <c r="S792" i="13" s="1"/>
  <c r="AD792" i="13"/>
  <c r="AH792" i="13"/>
  <c r="BS792" i="13" s="1"/>
  <c r="AI792" i="13"/>
  <c r="AJ792" i="13"/>
  <c r="AN792" i="13" a="1"/>
  <c r="AN792" i="13" s="1"/>
  <c r="AP792" i="13" a="1"/>
  <c r="AP792" i="13"/>
  <c r="AQ792" i="13"/>
  <c r="AR792" i="13" a="1"/>
  <c r="AR792" i="13"/>
  <c r="AS792" i="13" a="1"/>
  <c r="AS792" i="13" s="1"/>
  <c r="BM792" i="13" a="1"/>
  <c r="BM792" i="13" s="1"/>
  <c r="CM792" i="13"/>
  <c r="CU792" i="13"/>
  <c r="F793" i="13"/>
  <c r="N793" i="13" a="1"/>
  <c r="N793" i="13" s="1"/>
  <c r="S793" i="13" a="1"/>
  <c r="S793" i="13" s="1"/>
  <c r="AD793" i="13"/>
  <c r="AH793" i="13"/>
  <c r="AI793" i="13"/>
  <c r="AJ793" i="13"/>
  <c r="AM793" i="13"/>
  <c r="AN793" i="13" a="1"/>
  <c r="AN793" i="13" s="1"/>
  <c r="AP793" i="13" a="1"/>
  <c r="AP793" i="13" s="1"/>
  <c r="AQ793" i="13"/>
  <c r="AR793" i="13" a="1"/>
  <c r="AR793" i="13"/>
  <c r="AS793" i="13" a="1"/>
  <c r="AS793" i="13" s="1"/>
  <c r="BM793" i="13" a="1"/>
  <c r="BM793" i="13" s="1"/>
  <c r="BS793" i="13"/>
  <c r="CA793" i="13"/>
  <c r="CH793" i="13"/>
  <c r="CQ793" i="13"/>
  <c r="F794" i="13"/>
  <c r="N794" i="13" a="1"/>
  <c r="N794" i="13" s="1"/>
  <c r="S794" i="13" a="1"/>
  <c r="S794" i="13" s="1"/>
  <c r="AD794" i="13"/>
  <c r="AH794" i="13"/>
  <c r="AI794" i="13"/>
  <c r="AJ794" i="13"/>
  <c r="AN794" i="13" a="1"/>
  <c r="AN794" i="13" s="1"/>
  <c r="AP794" i="13" a="1"/>
  <c r="AP794" i="13"/>
  <c r="AQ794" i="13"/>
  <c r="AR794" i="13" a="1"/>
  <c r="AR794" i="13" s="1"/>
  <c r="AS794" i="13" a="1"/>
  <c r="AS794" i="13" s="1"/>
  <c r="BM794" i="13" a="1"/>
  <c r="BM794" i="13" s="1"/>
  <c r="F795" i="13"/>
  <c r="N795" i="13" a="1"/>
  <c r="N795" i="13" s="1"/>
  <c r="S795" i="13" a="1"/>
  <c r="S795" i="13" s="1"/>
  <c r="AD795" i="13"/>
  <c r="AH795" i="13"/>
  <c r="A795" i="13" s="1"/>
  <c r="AI795" i="13"/>
  <c r="AJ795" i="13"/>
  <c r="AN795" i="13" a="1"/>
  <c r="AN795" i="13" s="1"/>
  <c r="AP795" i="13" a="1"/>
  <c r="AP795" i="13" s="1"/>
  <c r="AQ795" i="13"/>
  <c r="AR795" i="13" a="1"/>
  <c r="AR795" i="13" s="1"/>
  <c r="AS795" i="13" a="1"/>
  <c r="AS795" i="13" s="1"/>
  <c r="BM795" i="13" a="1"/>
  <c r="BM795" i="13"/>
  <c r="CA795" i="13"/>
  <c r="CH795" i="13"/>
  <c r="CU795" i="13"/>
  <c r="F796" i="13"/>
  <c r="N796" i="13" a="1"/>
  <c r="N796" i="13" s="1"/>
  <c r="S796" i="13" a="1"/>
  <c r="S796" i="13" s="1"/>
  <c r="AD796" i="13"/>
  <c r="AH796" i="13"/>
  <c r="AI796" i="13"/>
  <c r="AJ796" i="13"/>
  <c r="AN796" i="13" a="1"/>
  <c r="AN796" i="13" s="1"/>
  <c r="AP796" i="13" a="1"/>
  <c r="AP796" i="13"/>
  <c r="AQ796" i="13"/>
  <c r="AR796" i="13" a="1"/>
  <c r="AR796" i="13" s="1"/>
  <c r="AS796" i="13" a="1"/>
  <c r="AS796" i="13" s="1"/>
  <c r="BM796" i="13" a="1"/>
  <c r="BM796" i="13" s="1"/>
  <c r="BW796" i="13"/>
  <c r="CU796" i="13"/>
  <c r="F797" i="13"/>
  <c r="N797" i="13" a="1"/>
  <c r="N797" i="13" s="1"/>
  <c r="S797" i="13" a="1"/>
  <c r="S797" i="13" s="1"/>
  <c r="AD797" i="13"/>
  <c r="AH797" i="13"/>
  <c r="CU797" i="13" s="1"/>
  <c r="AI797" i="13"/>
  <c r="AJ797" i="13"/>
  <c r="AN797" i="13" a="1"/>
  <c r="AN797" i="13" s="1"/>
  <c r="AP797" i="13" a="1"/>
  <c r="AP797" i="13" s="1"/>
  <c r="AQ797" i="13"/>
  <c r="AR797" i="13" a="1"/>
  <c r="AR797" i="13"/>
  <c r="AS797" i="13" a="1"/>
  <c r="AS797" i="13" s="1"/>
  <c r="BM797" i="13" a="1"/>
  <c r="BM797" i="13" s="1"/>
  <c r="CQ797" i="13"/>
  <c r="A798" i="13"/>
  <c r="F798" i="13"/>
  <c r="N798" i="13" a="1"/>
  <c r="N798" i="13" s="1"/>
  <c r="S798" i="13" a="1"/>
  <c r="S798" i="13" s="1"/>
  <c r="AD798" i="13"/>
  <c r="AH798" i="13"/>
  <c r="BS798" i="13" s="1"/>
  <c r="AI798" i="13"/>
  <c r="AJ798" i="13"/>
  <c r="AN798" i="13" a="1"/>
  <c r="AN798" i="13" s="1"/>
  <c r="AP798" i="13" a="1"/>
  <c r="AP798" i="13" s="1"/>
  <c r="AQ798" i="13"/>
  <c r="AR798" i="13" a="1"/>
  <c r="AR798" i="13" s="1"/>
  <c r="AS798" i="13" a="1"/>
  <c r="AS798" i="13" s="1"/>
  <c r="BM798" i="13" a="1"/>
  <c r="BM798" i="13" s="1"/>
  <c r="BW798" i="13"/>
  <c r="CM798" i="13"/>
  <c r="CU798" i="13"/>
  <c r="F799" i="13"/>
  <c r="N799" i="13" a="1"/>
  <c r="N799" i="13" s="1"/>
  <c r="S799" i="13" a="1"/>
  <c r="S799" i="13" s="1"/>
  <c r="AD799" i="13"/>
  <c r="AH799" i="13"/>
  <c r="CU799" i="13" s="1"/>
  <c r="AI799" i="13"/>
  <c r="AJ799" i="13"/>
  <c r="AN799" i="13" a="1"/>
  <c r="AN799" i="13" s="1"/>
  <c r="AP799" i="13" a="1"/>
  <c r="AP799" i="13" s="1"/>
  <c r="AQ799" i="13"/>
  <c r="AR799" i="13" a="1"/>
  <c r="AR799" i="13"/>
  <c r="AS799" i="13" a="1"/>
  <c r="AS799" i="13" s="1"/>
  <c r="BM799" i="13" a="1"/>
  <c r="BM799" i="13" s="1"/>
  <c r="CQ799" i="13"/>
  <c r="F800" i="13"/>
  <c r="N800" i="13" a="1"/>
  <c r="N800" i="13" s="1"/>
  <c r="S800" i="13" a="1"/>
  <c r="S800" i="13" s="1"/>
  <c r="AD800" i="13"/>
  <c r="AH800" i="13"/>
  <c r="BS800" i="13" s="1"/>
  <c r="AI800" i="13"/>
  <c r="AJ800" i="13"/>
  <c r="AN800" i="13" a="1"/>
  <c r="AN800" i="13" s="1"/>
  <c r="AP800" i="13" a="1"/>
  <c r="AP800" i="13" s="1"/>
  <c r="AQ800" i="13"/>
  <c r="AR800" i="13" a="1"/>
  <c r="AR800" i="13" s="1"/>
  <c r="AS800" i="13" a="1"/>
  <c r="AS800" i="13" s="1"/>
  <c r="BM800" i="13" a="1"/>
  <c r="BM800" i="13" s="1"/>
  <c r="BW800" i="13"/>
  <c r="CM800" i="13"/>
  <c r="CU800" i="13"/>
  <c r="A801" i="13"/>
  <c r="F801" i="13"/>
  <c r="N801" i="13" a="1"/>
  <c r="N801" i="13" s="1"/>
  <c r="S801" i="13" a="1"/>
  <c r="S801" i="13" s="1"/>
  <c r="AD801" i="13"/>
  <c r="AH801" i="13"/>
  <c r="BI801" i="13" s="1" a="1"/>
  <c r="AI801" i="13"/>
  <c r="AJ801" i="13"/>
  <c r="BK801" i="13" s="1"/>
  <c r="AM801" i="13"/>
  <c r="AN801" i="13" a="1"/>
  <c r="AN801" i="13" s="1"/>
  <c r="AP801" i="13" a="1"/>
  <c r="AP801" i="13" s="1"/>
  <c r="AQ801" i="13"/>
  <c r="AR801" i="13" a="1"/>
  <c r="AR801" i="13" s="1"/>
  <c r="AS801" i="13" a="1"/>
  <c r="AS801" i="13" s="1"/>
  <c r="BI801" i="13"/>
  <c r="BM801" i="13" a="1"/>
  <c r="BM801" i="13" s="1"/>
  <c r="BN801" i="13"/>
  <c r="BS801" i="13"/>
  <c r="BW801" i="13"/>
  <c r="CA801" i="13"/>
  <c r="CH801" i="13"/>
  <c r="CM801" i="13"/>
  <c r="CQ801" i="13"/>
  <c r="CU801" i="13"/>
  <c r="F802" i="13"/>
  <c r="N802" i="13" a="1"/>
  <c r="N802" i="13" s="1"/>
  <c r="S802" i="13" a="1"/>
  <c r="S802" i="13" s="1"/>
  <c r="AD802" i="13"/>
  <c r="AH802" i="13"/>
  <c r="CM802" i="13" s="1"/>
  <c r="AI802" i="13"/>
  <c r="AJ802" i="13"/>
  <c r="AN802" i="13" a="1"/>
  <c r="AN802" i="13" s="1"/>
  <c r="AP802" i="13" a="1"/>
  <c r="AP802" i="13"/>
  <c r="AQ802" i="13"/>
  <c r="AR802" i="13" a="1"/>
  <c r="AR802" i="13"/>
  <c r="AS802" i="13" a="1"/>
  <c r="AS802" i="13" s="1"/>
  <c r="BM802" i="13" a="1"/>
  <c r="BM802" i="13" s="1"/>
  <c r="F803" i="13"/>
  <c r="N803" i="13" a="1"/>
  <c r="N803" i="13" s="1"/>
  <c r="S803" i="13" a="1"/>
  <c r="S803" i="13" s="1"/>
  <c r="AD803" i="13"/>
  <c r="AH803" i="13"/>
  <c r="A803" i="13" s="1"/>
  <c r="AI803" i="13"/>
  <c r="AJ803" i="13"/>
  <c r="BK803" i="13" s="1"/>
  <c r="AM803" i="13"/>
  <c r="AN803" i="13" a="1"/>
  <c r="AN803" i="13" s="1"/>
  <c r="AP803" i="13" a="1"/>
  <c r="AP803" i="13" s="1"/>
  <c r="AQ803" i="13"/>
  <c r="AR803" i="13" a="1"/>
  <c r="AR803" i="13" s="1"/>
  <c r="AS803" i="13" a="1"/>
  <c r="AS803" i="13" s="1"/>
  <c r="BI803" i="13" a="1"/>
  <c r="BI803" i="13" s="1"/>
  <c r="BM803" i="13" a="1"/>
  <c r="BM803" i="13"/>
  <c r="BN803" i="13"/>
  <c r="BS803" i="13"/>
  <c r="BW803" i="13"/>
  <c r="CA803" i="13"/>
  <c r="CH803" i="13"/>
  <c r="CM803" i="13"/>
  <c r="CQ803" i="13"/>
  <c r="CU803" i="13"/>
  <c r="A804" i="13"/>
  <c r="F804" i="13"/>
  <c r="N804" i="13" a="1"/>
  <c r="N804" i="13" s="1"/>
  <c r="S804" i="13" a="1"/>
  <c r="S804" i="13" s="1"/>
  <c r="AD804" i="13"/>
  <c r="AH804" i="13"/>
  <c r="BS804" i="13" s="1"/>
  <c r="AI804" i="13"/>
  <c r="AJ804" i="13"/>
  <c r="AN804" i="13" a="1"/>
  <c r="AN804" i="13" s="1"/>
  <c r="AP804" i="13" a="1"/>
  <c r="AP804" i="13" s="1"/>
  <c r="AQ804" i="13"/>
  <c r="AR804" i="13" a="1"/>
  <c r="AR804" i="13" s="1"/>
  <c r="AS804" i="13" a="1"/>
  <c r="AS804" i="13" s="1"/>
  <c r="BM804" i="13" a="1"/>
  <c r="BM804" i="13" s="1"/>
  <c r="BW804" i="13"/>
  <c r="CM804" i="13"/>
  <c r="CU804" i="13"/>
  <c r="F805" i="13"/>
  <c r="N805" i="13" a="1"/>
  <c r="N805" i="13" s="1"/>
  <c r="S805" i="13" a="1"/>
  <c r="S805" i="13" s="1"/>
  <c r="AD805" i="13"/>
  <c r="AH805" i="13"/>
  <c r="A805" i="13" s="1"/>
  <c r="AI805" i="13"/>
  <c r="AJ805" i="13"/>
  <c r="AN805" i="13" a="1"/>
  <c r="AN805" i="13" s="1"/>
  <c r="AP805" i="13" a="1"/>
  <c r="AP805" i="13" s="1"/>
  <c r="AQ805" i="13"/>
  <c r="AR805" i="13" a="1"/>
  <c r="AR805" i="13" s="1"/>
  <c r="AS805" i="13" a="1"/>
  <c r="AS805" i="13" s="1"/>
  <c r="BM805" i="13" a="1"/>
  <c r="BM805" i="13" s="1"/>
  <c r="BN805" i="13"/>
  <c r="BS805" i="13"/>
  <c r="BW805" i="13"/>
  <c r="CA805" i="13"/>
  <c r="CM805" i="13"/>
  <c r="CQ805" i="13"/>
  <c r="F806" i="13"/>
  <c r="N806" i="13" a="1"/>
  <c r="N806" i="13" s="1"/>
  <c r="S806" i="13" a="1"/>
  <c r="S806" i="13" s="1"/>
  <c r="AD806" i="13"/>
  <c r="AH806" i="13"/>
  <c r="BS806" i="13" s="1"/>
  <c r="AI806" i="13"/>
  <c r="AJ806" i="13"/>
  <c r="AN806" i="13" a="1"/>
  <c r="AN806" i="13" s="1"/>
  <c r="AP806" i="13" a="1"/>
  <c r="AP806" i="13"/>
  <c r="AQ806" i="13"/>
  <c r="AR806" i="13" a="1"/>
  <c r="AR806" i="13"/>
  <c r="AS806" i="13" a="1"/>
  <c r="AS806" i="13" s="1"/>
  <c r="BM806" i="13" a="1"/>
  <c r="BM806" i="13" s="1"/>
  <c r="A807" i="13"/>
  <c r="F807" i="13"/>
  <c r="N807" i="13" a="1"/>
  <c r="N807" i="13" s="1"/>
  <c r="S807" i="13" a="1"/>
  <c r="S807" i="13" s="1"/>
  <c r="AD807" i="13"/>
  <c r="AH807" i="13"/>
  <c r="CU807" i="13" s="1"/>
  <c r="AI807" i="13"/>
  <c r="AJ807" i="13"/>
  <c r="BK807" i="13" s="1"/>
  <c r="AM807" i="13"/>
  <c r="AN807" i="13" a="1"/>
  <c r="AN807" i="13" s="1"/>
  <c r="AP807" i="13" a="1"/>
  <c r="AP807" i="13" s="1"/>
  <c r="AQ807" i="13"/>
  <c r="AR807" i="13" a="1"/>
  <c r="AR807" i="13"/>
  <c r="AS807" i="13" a="1"/>
  <c r="AS807" i="13" s="1"/>
  <c r="BM807" i="13" a="1"/>
  <c r="BM807" i="13"/>
  <c r="BS807" i="13"/>
  <c r="BW807" i="13"/>
  <c r="CM807" i="13"/>
  <c r="CQ807" i="13"/>
  <c r="F808" i="13"/>
  <c r="N808" i="13" a="1"/>
  <c r="N808" i="13" s="1"/>
  <c r="S808" i="13" a="1"/>
  <c r="S808" i="13" s="1"/>
  <c r="AD808" i="13"/>
  <c r="AH808" i="13"/>
  <c r="CM808" i="13" s="1"/>
  <c r="AI808" i="13"/>
  <c r="AJ808" i="13"/>
  <c r="AN808" i="13" a="1"/>
  <c r="AN808" i="13" s="1"/>
  <c r="AP808" i="13" a="1"/>
  <c r="AP808" i="13"/>
  <c r="AQ808" i="13"/>
  <c r="AR808" i="13" a="1"/>
  <c r="AR808" i="13" s="1"/>
  <c r="AS808" i="13" a="1"/>
  <c r="AS808" i="13" s="1"/>
  <c r="BM808" i="13" a="1"/>
  <c r="BM808" i="13" s="1"/>
  <c r="CU808" i="13"/>
  <c r="F809" i="13"/>
  <c r="N809" i="13" a="1"/>
  <c r="N809" i="13" s="1"/>
  <c r="S809" i="13" a="1"/>
  <c r="S809" i="13" s="1"/>
  <c r="AD809" i="13"/>
  <c r="AH809" i="13"/>
  <c r="BI809" i="13" s="1" a="1"/>
  <c r="BI809" i="13" s="1"/>
  <c r="AI809" i="13"/>
  <c r="AJ809" i="13"/>
  <c r="BK809" i="13" s="1"/>
  <c r="AM809" i="13"/>
  <c r="AN809" i="13" a="1"/>
  <c r="AN809" i="13" s="1"/>
  <c r="AP809" i="13" a="1"/>
  <c r="AP809" i="13" s="1"/>
  <c r="AQ809" i="13"/>
  <c r="AR809" i="13" a="1"/>
  <c r="AR809" i="13" s="1"/>
  <c r="AS809" i="13" a="1"/>
  <c r="AS809" i="13" s="1"/>
  <c r="BM809" i="13" a="1"/>
  <c r="BM809" i="13" s="1"/>
  <c r="BN809" i="13"/>
  <c r="BS809" i="13"/>
  <c r="BW809" i="13"/>
  <c r="CA809" i="13"/>
  <c r="CH809" i="13"/>
  <c r="CM809" i="13"/>
  <c r="CQ809" i="13"/>
  <c r="CU809" i="13"/>
  <c r="A810" i="13"/>
  <c r="F810" i="13"/>
  <c r="N810" i="13" a="1"/>
  <c r="N810" i="13" s="1"/>
  <c r="S810" i="13" a="1"/>
  <c r="S810" i="13" s="1"/>
  <c r="AD810" i="13"/>
  <c r="AH810" i="13"/>
  <c r="BS810" i="13" s="1"/>
  <c r="AI810" i="13"/>
  <c r="AJ810" i="13"/>
  <c r="AN810" i="13" a="1"/>
  <c r="AN810" i="13"/>
  <c r="AP810" i="13" a="1"/>
  <c r="AP810" i="13" s="1"/>
  <c r="AQ810" i="13"/>
  <c r="AR810" i="13" a="1"/>
  <c r="AR810" i="13"/>
  <c r="AS810" i="13" a="1"/>
  <c r="AS810" i="13" s="1"/>
  <c r="BM810" i="13" a="1"/>
  <c r="BM810" i="13" s="1"/>
  <c r="BW810" i="13"/>
  <c r="CM810" i="13"/>
  <c r="CU810" i="13"/>
  <c r="F811" i="13"/>
  <c r="N811" i="13" a="1"/>
  <c r="N811" i="13" s="1"/>
  <c r="S811" i="13" a="1"/>
  <c r="S811" i="13" s="1"/>
  <c r="AD811" i="13"/>
  <c r="AH811" i="13"/>
  <c r="AI811" i="13"/>
  <c r="AJ811" i="13"/>
  <c r="BK811" i="13" s="1"/>
  <c r="AN811" i="13" a="1"/>
  <c r="AN811" i="13" s="1"/>
  <c r="AP811" i="13" a="1"/>
  <c r="AP811" i="13" s="1"/>
  <c r="AQ811" i="13"/>
  <c r="AR811" i="13" a="1"/>
  <c r="AR811" i="13"/>
  <c r="AS811" i="13" a="1"/>
  <c r="AS811" i="13" s="1"/>
  <c r="BM811" i="13" a="1"/>
  <c r="BM811" i="13"/>
  <c r="BN811" i="13"/>
  <c r="BW811" i="13"/>
  <c r="CA811" i="13"/>
  <c r="CH811" i="13"/>
  <c r="CM811" i="13"/>
  <c r="CU811" i="13"/>
  <c r="A812" i="13"/>
  <c r="F812" i="13"/>
  <c r="N812" i="13" a="1"/>
  <c r="N812" i="13" s="1"/>
  <c r="S812" i="13" a="1"/>
  <c r="S812" i="13" s="1"/>
  <c r="AD812" i="13"/>
  <c r="AH812" i="13"/>
  <c r="BS812" i="13" s="1"/>
  <c r="AI812" i="13"/>
  <c r="AJ812" i="13"/>
  <c r="AN812" i="13" a="1"/>
  <c r="AN812" i="13" s="1"/>
  <c r="AP812" i="13" a="1"/>
  <c r="AP812" i="13" s="1"/>
  <c r="AQ812" i="13"/>
  <c r="AR812" i="13" a="1"/>
  <c r="AR812" i="13" s="1"/>
  <c r="AS812" i="13" a="1"/>
  <c r="AS812" i="13" s="1"/>
  <c r="BM812" i="13" a="1"/>
  <c r="BM812" i="13" s="1"/>
  <c r="BW812" i="13"/>
  <c r="CM812" i="13"/>
  <c r="F813" i="13"/>
  <c r="N813" i="13" a="1"/>
  <c r="N813" i="13" s="1"/>
  <c r="S813" i="13" a="1"/>
  <c r="S813" i="13" s="1"/>
  <c r="AD813" i="13"/>
  <c r="AH813" i="13"/>
  <c r="BI813" i="13" s="1" a="1"/>
  <c r="BI813" i="13" s="1"/>
  <c r="AI813" i="13"/>
  <c r="AJ813" i="13"/>
  <c r="AN813" i="13" a="1"/>
  <c r="AN813" i="13" s="1"/>
  <c r="AP813" i="13" a="1"/>
  <c r="AP813" i="13" s="1"/>
  <c r="AQ813" i="13"/>
  <c r="AR813" i="13" a="1"/>
  <c r="AR813" i="13" s="1"/>
  <c r="AS813" i="13" a="1"/>
  <c r="AS813" i="13" s="1"/>
  <c r="BM813" i="13" a="1"/>
  <c r="BM813" i="13"/>
  <c r="BN813" i="13"/>
  <c r="CA813" i="13"/>
  <c r="CH813" i="13"/>
  <c r="CM813" i="13"/>
  <c r="F814" i="13"/>
  <c r="N814" i="13" a="1"/>
  <c r="N814" i="13" s="1"/>
  <c r="S814" i="13" a="1"/>
  <c r="S814" i="13" s="1"/>
  <c r="AD814" i="13"/>
  <c r="AH814" i="13"/>
  <c r="BS814" i="13" s="1"/>
  <c r="AI814" i="13"/>
  <c r="AJ814" i="13"/>
  <c r="AN814" i="13" a="1"/>
  <c r="AN814" i="13" s="1"/>
  <c r="AP814" i="13" a="1"/>
  <c r="AP814" i="13"/>
  <c r="AQ814" i="13"/>
  <c r="AR814" i="13" a="1"/>
  <c r="AR814" i="13"/>
  <c r="AS814" i="13" a="1"/>
  <c r="AS814" i="13" s="1"/>
  <c r="BM814" i="13" a="1"/>
  <c r="BM814" i="13" s="1"/>
  <c r="A815" i="13"/>
  <c r="F815" i="13"/>
  <c r="N815" i="13" a="1"/>
  <c r="N815" i="13" s="1"/>
  <c r="S815" i="13" a="1"/>
  <c r="S815" i="13" s="1"/>
  <c r="AD815" i="13"/>
  <c r="AH815" i="13"/>
  <c r="BI815" i="13" s="1" a="1"/>
  <c r="BI815" i="13" s="1"/>
  <c r="AI815" i="13"/>
  <c r="AJ815" i="13"/>
  <c r="AM815" i="13"/>
  <c r="AN815" i="13" a="1"/>
  <c r="AN815" i="13" s="1"/>
  <c r="AP815" i="13" a="1"/>
  <c r="AP815" i="13" s="1"/>
  <c r="AQ815" i="13"/>
  <c r="AR815" i="13" a="1"/>
  <c r="AR815" i="13"/>
  <c r="AS815" i="13" a="1"/>
  <c r="AS815" i="13" s="1"/>
  <c r="BM815" i="13" a="1"/>
  <c r="BM815" i="13"/>
  <c r="BN815" i="13"/>
  <c r="BS815" i="13"/>
  <c r="CH815" i="13"/>
  <c r="CQ815" i="13"/>
  <c r="CU815" i="13"/>
  <c r="A816" i="13"/>
  <c r="F816" i="13"/>
  <c r="N816" i="13" a="1"/>
  <c r="N816" i="13" s="1"/>
  <c r="S816" i="13" a="1"/>
  <c r="S816" i="13" s="1"/>
  <c r="AD816" i="13"/>
  <c r="AH816" i="13"/>
  <c r="BS816" i="13" s="1"/>
  <c r="AI816" i="13"/>
  <c r="AJ816" i="13"/>
  <c r="AN816" i="13" a="1"/>
  <c r="AN816" i="13" s="1"/>
  <c r="AP816" i="13" a="1"/>
  <c r="AP816" i="13" s="1"/>
  <c r="AQ816" i="13"/>
  <c r="AR816" i="13" a="1"/>
  <c r="AR816" i="13"/>
  <c r="AS816" i="13" a="1"/>
  <c r="AS816" i="13" s="1"/>
  <c r="BM816" i="13" a="1"/>
  <c r="BM816" i="13" s="1"/>
  <c r="BW816" i="13"/>
  <c r="CM816" i="13"/>
  <c r="CU816" i="13"/>
  <c r="F817" i="13"/>
  <c r="N817" i="13" a="1"/>
  <c r="N817" i="13" s="1"/>
  <c r="S817" i="13" a="1"/>
  <c r="S817" i="13" s="1"/>
  <c r="AD817" i="13"/>
  <c r="AH817" i="13"/>
  <c r="BS817" i="13" s="1"/>
  <c r="AI817" i="13"/>
  <c r="AJ817" i="13"/>
  <c r="AN817" i="13" a="1"/>
  <c r="AN817" i="13" s="1"/>
  <c r="AP817" i="13" a="1"/>
  <c r="AP817" i="13" s="1"/>
  <c r="AQ817" i="13"/>
  <c r="AR817" i="13" a="1"/>
  <c r="AR817" i="13"/>
  <c r="AS817" i="13" a="1"/>
  <c r="AS817" i="13" s="1"/>
  <c r="BM817" i="13" a="1"/>
  <c r="BM817" i="13"/>
  <c r="BW817" i="13"/>
  <c r="A818" i="13"/>
  <c r="F818" i="13"/>
  <c r="N818" i="13" a="1"/>
  <c r="N818" i="13" s="1"/>
  <c r="S818" i="13" a="1"/>
  <c r="S818" i="13" s="1"/>
  <c r="AD818" i="13"/>
  <c r="AH818" i="13"/>
  <c r="BS818" i="13" s="1"/>
  <c r="AI818" i="13"/>
  <c r="AJ818" i="13"/>
  <c r="AN818" i="13" a="1"/>
  <c r="AN818" i="13" s="1"/>
  <c r="AP818" i="13" a="1"/>
  <c r="AP818" i="13" s="1"/>
  <c r="AQ818" i="13"/>
  <c r="AR818" i="13" a="1"/>
  <c r="AR818" i="13"/>
  <c r="AS818" i="13" a="1"/>
  <c r="AS818" i="13" s="1"/>
  <c r="BM818" i="13" a="1"/>
  <c r="BM818" i="13" s="1"/>
  <c r="BW818" i="13"/>
  <c r="CM818" i="13"/>
  <c r="CU818" i="13"/>
  <c r="A819" i="13"/>
  <c r="F819" i="13"/>
  <c r="N819" i="13" a="1"/>
  <c r="N819" i="13" s="1"/>
  <c r="S819" i="13" a="1"/>
  <c r="S819" i="13" s="1"/>
  <c r="AD819" i="13"/>
  <c r="AH819" i="13"/>
  <c r="BI819" i="13" s="1" a="1"/>
  <c r="BI819" i="13" s="1"/>
  <c r="AI819" i="13"/>
  <c r="AJ819" i="13"/>
  <c r="AM819" i="13"/>
  <c r="AN819" i="13" a="1"/>
  <c r="AN819" i="13" s="1"/>
  <c r="AP819" i="13" a="1"/>
  <c r="AP819" i="13" s="1"/>
  <c r="AQ819" i="13"/>
  <c r="AR819" i="13" a="1"/>
  <c r="AR819" i="13"/>
  <c r="AS819" i="13" a="1"/>
  <c r="AS819" i="13" s="1"/>
  <c r="BM819" i="13" a="1"/>
  <c r="BM819" i="13" s="1"/>
  <c r="BS819" i="13"/>
  <c r="CH819" i="13"/>
  <c r="CU819" i="13"/>
  <c r="A820" i="13"/>
  <c r="F820" i="13"/>
  <c r="N820" i="13" a="1"/>
  <c r="N820" i="13" s="1"/>
  <c r="S820" i="13" a="1"/>
  <c r="S820" i="13" s="1"/>
  <c r="AD820" i="13"/>
  <c r="AH820" i="13"/>
  <c r="BS820" i="13" s="1"/>
  <c r="AI820" i="13"/>
  <c r="AJ820" i="13"/>
  <c r="AN820" i="13" a="1"/>
  <c r="AN820" i="13" s="1"/>
  <c r="AP820" i="13" a="1"/>
  <c r="AP820" i="13" s="1"/>
  <c r="AQ820" i="13"/>
  <c r="AR820" i="13" a="1"/>
  <c r="AR820" i="13"/>
  <c r="AS820" i="13" a="1"/>
  <c r="AS820" i="13" s="1"/>
  <c r="BM820" i="13" a="1"/>
  <c r="BM820" i="13" s="1"/>
  <c r="BW820" i="13"/>
  <c r="CM820" i="13"/>
  <c r="CU820" i="13"/>
  <c r="F821" i="13"/>
  <c r="N821" i="13" a="1"/>
  <c r="N821" i="13" s="1"/>
  <c r="S821" i="13" a="1"/>
  <c r="S821" i="13" s="1"/>
  <c r="AD821" i="13"/>
  <c r="AH821" i="13"/>
  <c r="BI821" i="13" s="1" a="1"/>
  <c r="BI821" i="13" s="1"/>
  <c r="AI821" i="13"/>
  <c r="AJ821" i="13"/>
  <c r="AN821" i="13" a="1"/>
  <c r="AN821" i="13" s="1"/>
  <c r="AP821" i="13" a="1"/>
  <c r="AP821" i="13" s="1"/>
  <c r="AQ821" i="13"/>
  <c r="AR821" i="13" a="1"/>
  <c r="AR821" i="13"/>
  <c r="AS821" i="13" a="1"/>
  <c r="AS821" i="13" s="1"/>
  <c r="BM821" i="13" a="1"/>
  <c r="BM821" i="13" s="1"/>
  <c r="CH821" i="13"/>
  <c r="F822" i="13"/>
  <c r="N822" i="13" a="1"/>
  <c r="N822" i="13" s="1"/>
  <c r="S822" i="13" a="1"/>
  <c r="S822" i="13" s="1"/>
  <c r="AD822" i="13"/>
  <c r="AH822" i="13"/>
  <c r="BS822" i="13" s="1"/>
  <c r="AI822" i="13"/>
  <c r="AJ822" i="13"/>
  <c r="AN822" i="13" a="1"/>
  <c r="AN822" i="13" s="1"/>
  <c r="AP822" i="13" a="1"/>
  <c r="AP822" i="13" s="1"/>
  <c r="AQ822" i="13"/>
  <c r="AR822" i="13" a="1"/>
  <c r="AR822" i="13" s="1"/>
  <c r="AS822" i="13" a="1"/>
  <c r="AS822" i="13" s="1"/>
  <c r="BM822" i="13" a="1"/>
  <c r="BM822" i="13" s="1"/>
  <c r="CM822" i="13"/>
  <c r="F823" i="13"/>
  <c r="N823" i="13" a="1"/>
  <c r="N823" i="13" s="1"/>
  <c r="S823" i="13" a="1"/>
  <c r="S823" i="13" s="1"/>
  <c r="AD823" i="13"/>
  <c r="AH823" i="13"/>
  <c r="BI823" i="13" s="1" a="1"/>
  <c r="BI823" i="13" s="1"/>
  <c r="AI823" i="13"/>
  <c r="AJ823" i="13"/>
  <c r="AM823" i="13"/>
  <c r="AN823" i="13" a="1"/>
  <c r="AN823" i="13" s="1"/>
  <c r="AP823" i="13" a="1"/>
  <c r="AP823" i="13" s="1"/>
  <c r="AQ823" i="13"/>
  <c r="AR823" i="13" a="1"/>
  <c r="AR823" i="13"/>
  <c r="AS823" i="13" a="1"/>
  <c r="AS823" i="13" s="1"/>
  <c r="BM823" i="13" a="1"/>
  <c r="BM823" i="13" s="1"/>
  <c r="BN823" i="13"/>
  <c r="BS823" i="13"/>
  <c r="BW823" i="13"/>
  <c r="CH823" i="13"/>
  <c r="CM823" i="13"/>
  <c r="CU823" i="13"/>
  <c r="A824" i="13"/>
  <c r="F824" i="13"/>
  <c r="N824" i="13" a="1"/>
  <c r="N824" i="13" s="1"/>
  <c r="S824" i="13" a="1"/>
  <c r="S824" i="13" s="1"/>
  <c r="AD824" i="13"/>
  <c r="AH824" i="13"/>
  <c r="BS824" i="13" s="1"/>
  <c r="AI824" i="13"/>
  <c r="AJ824" i="13"/>
  <c r="AN824" i="13" a="1"/>
  <c r="AN824" i="13" s="1"/>
  <c r="AP824" i="13" a="1"/>
  <c r="AP824" i="13"/>
  <c r="AQ824" i="13"/>
  <c r="AR824" i="13" a="1"/>
  <c r="AR824" i="13"/>
  <c r="AS824" i="13" a="1"/>
  <c r="AS824" i="13" s="1"/>
  <c r="BM824" i="13" a="1"/>
  <c r="BM824" i="13" s="1"/>
  <c r="BW824" i="13"/>
  <c r="CU824" i="13"/>
  <c r="F825" i="13"/>
  <c r="N825" i="13" a="1"/>
  <c r="N825" i="13" s="1"/>
  <c r="S825" i="13" a="1"/>
  <c r="S825" i="13" s="1"/>
  <c r="AD825" i="13"/>
  <c r="AH825" i="13"/>
  <c r="BI825" i="13" s="1" a="1"/>
  <c r="BI825" i="13" s="1"/>
  <c r="AI825" i="13"/>
  <c r="AJ825" i="13"/>
  <c r="AN825" i="13" a="1"/>
  <c r="AN825" i="13" s="1"/>
  <c r="AP825" i="13" a="1"/>
  <c r="AP825" i="13" s="1"/>
  <c r="AQ825" i="13"/>
  <c r="AR825" i="13" a="1"/>
  <c r="AR825" i="13"/>
  <c r="AS825" i="13" a="1"/>
  <c r="AS825" i="13" s="1"/>
  <c r="BM825" i="13" a="1"/>
  <c r="BM825" i="13" s="1"/>
  <c r="CH825" i="13"/>
  <c r="F826" i="13"/>
  <c r="N826" i="13" a="1"/>
  <c r="N826" i="13" s="1"/>
  <c r="S826" i="13" a="1"/>
  <c r="S826" i="13" s="1"/>
  <c r="AD826" i="13"/>
  <c r="AH826" i="13"/>
  <c r="A826" i="13" s="1"/>
  <c r="AI826" i="13"/>
  <c r="AJ826" i="13"/>
  <c r="BL826" i="13" s="1"/>
  <c r="AN826" i="13" a="1"/>
  <c r="AN826" i="13" s="1"/>
  <c r="AP826" i="13" a="1"/>
  <c r="AP826" i="13" s="1"/>
  <c r="AQ826" i="13"/>
  <c r="AR826" i="13" a="1"/>
  <c r="AR826" i="13"/>
  <c r="AS826" i="13" a="1"/>
  <c r="AS826" i="13" s="1"/>
  <c r="BM826" i="13" a="1"/>
  <c r="BM826" i="13" s="1"/>
  <c r="F827" i="13"/>
  <c r="N827" i="13" a="1"/>
  <c r="N827" i="13" s="1"/>
  <c r="S827" i="13" a="1"/>
  <c r="S827" i="13" s="1"/>
  <c r="AD827" i="13"/>
  <c r="AH827" i="13"/>
  <c r="BI827" i="13" s="1" a="1"/>
  <c r="BI827" i="13" s="1"/>
  <c r="AI827" i="13"/>
  <c r="AJ827" i="13"/>
  <c r="AN827" i="13" a="1"/>
  <c r="AN827" i="13" s="1"/>
  <c r="AP827" i="13" a="1"/>
  <c r="AP827" i="13" s="1"/>
  <c r="AQ827" i="13"/>
  <c r="AR827" i="13" a="1"/>
  <c r="AR827" i="13" s="1"/>
  <c r="AS827" i="13" a="1"/>
  <c r="AS827" i="13" s="1"/>
  <c r="BM827" i="13" a="1"/>
  <c r="BM827" i="13" s="1"/>
  <c r="BS827" i="13"/>
  <c r="CA827" i="13"/>
  <c r="CH827" i="13"/>
  <c r="CM827" i="13"/>
  <c r="CQ827" i="13"/>
  <c r="F828" i="13"/>
  <c r="N828" i="13" a="1"/>
  <c r="N828" i="13" s="1"/>
  <c r="S828" i="13" a="1"/>
  <c r="S828" i="13" s="1"/>
  <c r="AD828" i="13"/>
  <c r="AH828" i="13"/>
  <c r="BN828" i="13" s="1"/>
  <c r="AI828" i="13"/>
  <c r="AJ828" i="13"/>
  <c r="AN828" i="13" a="1"/>
  <c r="AN828" i="13" s="1"/>
  <c r="AP828" i="13" a="1"/>
  <c r="AP828" i="13"/>
  <c r="AQ828" i="13"/>
  <c r="AR828" i="13" a="1"/>
  <c r="AR828" i="13" s="1"/>
  <c r="AS828" i="13" a="1"/>
  <c r="AS828" i="13" s="1"/>
  <c r="BL828" i="13"/>
  <c r="BM828" i="13" a="1"/>
  <c r="BM828" i="13" s="1"/>
  <c r="BS828" i="13"/>
  <c r="BW828" i="13"/>
  <c r="CA828" i="13"/>
  <c r="CQ828" i="13"/>
  <c r="F829" i="13"/>
  <c r="N829" i="13" a="1"/>
  <c r="N829" i="13" s="1"/>
  <c r="S829" i="13" a="1"/>
  <c r="S829" i="13" s="1"/>
  <c r="AD829" i="13"/>
  <c r="AH829" i="13"/>
  <c r="A829" i="13" s="1"/>
  <c r="AI829" i="13"/>
  <c r="AJ829" i="13"/>
  <c r="BL829" i="13" s="1"/>
  <c r="AN829" i="13" a="1"/>
  <c r="AN829" i="13"/>
  <c r="AP829" i="13" a="1"/>
  <c r="AP829" i="13" s="1"/>
  <c r="AQ829" i="13"/>
  <c r="AR829" i="13" a="1"/>
  <c r="AR829" i="13" s="1"/>
  <c r="AS829" i="13" a="1"/>
  <c r="AS829" i="13" s="1"/>
  <c r="BK829" i="13"/>
  <c r="BM829" i="13" a="1"/>
  <c r="BM829" i="13"/>
  <c r="BS829" i="13"/>
  <c r="CM829" i="13"/>
  <c r="F830" i="13"/>
  <c r="N830" i="13" a="1"/>
  <c r="N830" i="13" s="1"/>
  <c r="S830" i="13" a="1"/>
  <c r="S830" i="13" s="1"/>
  <c r="AD830" i="13"/>
  <c r="AH830" i="13"/>
  <c r="BS830" i="13" s="1"/>
  <c r="AI830" i="13"/>
  <c r="AJ830" i="13"/>
  <c r="AN830" i="13" a="1"/>
  <c r="AN830" i="13" s="1"/>
  <c r="AP830" i="13" a="1"/>
  <c r="AP830" i="13" s="1"/>
  <c r="AQ830" i="13"/>
  <c r="AR830" i="13" a="1"/>
  <c r="AR830" i="13" s="1"/>
  <c r="AS830" i="13" a="1"/>
  <c r="AS830" i="13" s="1"/>
  <c r="BM830" i="13" a="1"/>
  <c r="BM830" i="13"/>
  <c r="BW830" i="13"/>
  <c r="F831" i="13"/>
  <c r="N831" i="13" a="1"/>
  <c r="N831" i="13" s="1"/>
  <c r="S831" i="13" a="1"/>
  <c r="S831" i="13" s="1"/>
  <c r="AD831" i="13"/>
  <c r="AH831" i="13"/>
  <c r="A831" i="13" s="1"/>
  <c r="AI831" i="13"/>
  <c r="AJ831" i="13"/>
  <c r="AN831" i="13" a="1"/>
  <c r="AN831" i="13" s="1"/>
  <c r="AP831" i="13" a="1"/>
  <c r="AP831" i="13"/>
  <c r="AQ831" i="13"/>
  <c r="AR831" i="13" a="1"/>
  <c r="AR831" i="13" s="1"/>
  <c r="AS831" i="13" a="1"/>
  <c r="AS831" i="13" s="1"/>
  <c r="BL831" i="13"/>
  <c r="BM831" i="13" a="1"/>
  <c r="BM831" i="13"/>
  <c r="CM831" i="13"/>
  <c r="A832" i="13"/>
  <c r="F832" i="13"/>
  <c r="N832" i="13" a="1"/>
  <c r="N832" i="13" s="1"/>
  <c r="S832" i="13" a="1"/>
  <c r="S832" i="13" s="1"/>
  <c r="AD832" i="13"/>
  <c r="AH832" i="13"/>
  <c r="AI832" i="13"/>
  <c r="AJ832" i="13"/>
  <c r="BK832" i="13" s="1"/>
  <c r="AM832" i="13"/>
  <c r="AN832" i="13" a="1"/>
  <c r="AN832" i="13" s="1"/>
  <c r="AP832" i="13" a="1"/>
  <c r="AP832" i="13"/>
  <c r="AQ832" i="13"/>
  <c r="AR832" i="13" a="1"/>
  <c r="AR832" i="13"/>
  <c r="AS832" i="13" a="1"/>
  <c r="AS832" i="13" s="1"/>
  <c r="BI832" i="13" a="1"/>
  <c r="BI832" i="13" s="1"/>
  <c r="BM832" i="13" a="1"/>
  <c r="BM832" i="13" s="1"/>
  <c r="BN832" i="13"/>
  <c r="BS832" i="13"/>
  <c r="BW832" i="13"/>
  <c r="CA832" i="13"/>
  <c r="CH832" i="13"/>
  <c r="CM832" i="13"/>
  <c r="CQ832" i="13"/>
  <c r="CU832" i="13"/>
  <c r="F833" i="13"/>
  <c r="N833" i="13" a="1"/>
  <c r="N833" i="13" s="1"/>
  <c r="S833" i="13" a="1"/>
  <c r="S833" i="13" s="1"/>
  <c r="AD833" i="13"/>
  <c r="AH833" i="13"/>
  <c r="A833" i="13" s="1"/>
  <c r="AI833" i="13"/>
  <c r="AJ833" i="13"/>
  <c r="BL833" i="13" s="1"/>
  <c r="AN833" i="13" a="1"/>
  <c r="AN833" i="13"/>
  <c r="AP833" i="13" a="1"/>
  <c r="AP833" i="13" s="1"/>
  <c r="AQ833" i="13"/>
  <c r="AR833" i="13" a="1"/>
  <c r="AR833" i="13" s="1"/>
  <c r="AS833" i="13" a="1"/>
  <c r="AS833" i="13" s="1"/>
  <c r="BM833" i="13" a="1"/>
  <c r="BM833" i="13"/>
  <c r="F834" i="13"/>
  <c r="N834" i="13" a="1"/>
  <c r="N834" i="13" s="1"/>
  <c r="S834" i="13" a="1"/>
  <c r="S834" i="13" s="1"/>
  <c r="AD834" i="13"/>
  <c r="AH834" i="13"/>
  <c r="A834" i="13" s="1"/>
  <c r="AI834" i="13"/>
  <c r="AJ834" i="13"/>
  <c r="AN834" i="13" a="1"/>
  <c r="AN834" i="13" s="1"/>
  <c r="AP834" i="13" a="1"/>
  <c r="AP834" i="13"/>
  <c r="AQ834" i="13"/>
  <c r="AR834" i="13" a="1"/>
  <c r="AR834" i="13"/>
  <c r="AS834" i="13" a="1"/>
  <c r="AS834" i="13" s="1"/>
  <c r="BM834" i="13" a="1"/>
  <c r="BM834" i="13" s="1"/>
  <c r="BN834" i="13"/>
  <c r="BW834" i="13"/>
  <c r="CA834" i="13"/>
  <c r="CQ834" i="13"/>
  <c r="CU834" i="13"/>
  <c r="F835" i="13"/>
  <c r="N835" i="13" a="1"/>
  <c r="N835" i="13" s="1"/>
  <c r="S835" i="13" a="1"/>
  <c r="S835" i="13" s="1"/>
  <c r="AD835" i="13"/>
  <c r="AH835" i="13"/>
  <c r="A835" i="13" s="1"/>
  <c r="AI835" i="13"/>
  <c r="AJ835" i="13"/>
  <c r="BL835" i="13" s="1"/>
  <c r="AN835" i="13" a="1"/>
  <c r="AN835" i="13"/>
  <c r="AP835" i="13" a="1"/>
  <c r="AP835" i="13"/>
  <c r="AQ835" i="13"/>
  <c r="AR835" i="13" a="1"/>
  <c r="AR835" i="13" s="1"/>
  <c r="AS835" i="13" a="1"/>
  <c r="AS835" i="13" s="1"/>
  <c r="BK835" i="13"/>
  <c r="BM835" i="13" a="1"/>
  <c r="BM835" i="13" s="1"/>
  <c r="CM835" i="13"/>
  <c r="F836" i="13"/>
  <c r="N836" i="13" a="1"/>
  <c r="N836" i="13" s="1"/>
  <c r="S836" i="13" a="1"/>
  <c r="S836" i="13" s="1"/>
  <c r="AD836" i="13"/>
  <c r="AH836" i="13"/>
  <c r="CU836" i="13" s="1"/>
  <c r="AI836" i="13"/>
  <c r="AJ836" i="13"/>
  <c r="AN836" i="13" a="1"/>
  <c r="AN836" i="13" s="1"/>
  <c r="AP836" i="13" a="1"/>
  <c r="AP836" i="13"/>
  <c r="AQ836" i="13"/>
  <c r="AR836" i="13" a="1"/>
  <c r="AR836" i="13" s="1"/>
  <c r="AS836" i="13" a="1"/>
  <c r="AS836" i="13" s="1"/>
  <c r="BM836" i="13" a="1"/>
  <c r="BM836" i="13"/>
  <c r="BN836" i="13"/>
  <c r="BW836" i="13"/>
  <c r="F837" i="13"/>
  <c r="N837" i="13" a="1"/>
  <c r="N837" i="13" s="1"/>
  <c r="S837" i="13" a="1"/>
  <c r="S837" i="13" s="1"/>
  <c r="AD837" i="13"/>
  <c r="AH837" i="13"/>
  <c r="A837" i="13" s="1"/>
  <c r="AI837" i="13"/>
  <c r="AJ837" i="13"/>
  <c r="AN837" i="13" a="1"/>
  <c r="AN837" i="13"/>
  <c r="AP837" i="13" a="1"/>
  <c r="AP837" i="13"/>
  <c r="AQ837" i="13"/>
  <c r="AR837" i="13" a="1"/>
  <c r="AR837" i="13" s="1"/>
  <c r="AS837" i="13" a="1"/>
  <c r="AS837" i="13" s="1"/>
  <c r="BL837" i="13"/>
  <c r="BM837" i="13" a="1"/>
  <c r="BM837" i="13" s="1"/>
  <c r="CM837" i="13"/>
  <c r="F838" i="13"/>
  <c r="N838" i="13" a="1"/>
  <c r="N838" i="13" s="1"/>
  <c r="S838" i="13" a="1"/>
  <c r="S838" i="13" s="1"/>
  <c r="AD838" i="13"/>
  <c r="AH838" i="13"/>
  <c r="BS838" i="13" s="1"/>
  <c r="AI838" i="13"/>
  <c r="AJ838" i="13"/>
  <c r="AN838" i="13" a="1"/>
  <c r="AN838" i="13" s="1"/>
  <c r="AP838" i="13" a="1"/>
  <c r="AP838" i="13" s="1"/>
  <c r="AQ838" i="13"/>
  <c r="AR838" i="13" a="1"/>
  <c r="AR838" i="13" s="1"/>
  <c r="AS838" i="13" a="1"/>
  <c r="AS838" i="13" s="1"/>
  <c r="BM838" i="13" a="1"/>
  <c r="BM838" i="13" s="1"/>
  <c r="BW838" i="13"/>
  <c r="F839" i="13"/>
  <c r="N839" i="13" a="1"/>
  <c r="N839" i="13" s="1"/>
  <c r="S839" i="13" a="1"/>
  <c r="S839" i="13" s="1"/>
  <c r="AD839" i="13"/>
  <c r="AH839" i="13"/>
  <c r="A839" i="13" s="1"/>
  <c r="AI839" i="13"/>
  <c r="AJ839" i="13"/>
  <c r="BL839" i="13" s="1"/>
  <c r="AN839" i="13" a="1"/>
  <c r="AN839" i="13" s="1"/>
  <c r="AP839" i="13" a="1"/>
  <c r="AP839" i="13"/>
  <c r="AQ839" i="13"/>
  <c r="AR839" i="13" a="1"/>
  <c r="AR839" i="13" s="1"/>
  <c r="AS839" i="13" a="1"/>
  <c r="AS839" i="13" s="1"/>
  <c r="BM839" i="13" a="1"/>
  <c r="BM839" i="13"/>
  <c r="CM839" i="13"/>
  <c r="A840" i="13"/>
  <c r="F840" i="13"/>
  <c r="N840" i="13" a="1"/>
  <c r="N840" i="13" s="1"/>
  <c r="S840" i="13" a="1"/>
  <c r="S840" i="13" s="1"/>
  <c r="AD840" i="13"/>
  <c r="AH840" i="13"/>
  <c r="BN840" i="13" s="1"/>
  <c r="AI840" i="13"/>
  <c r="AJ840" i="13"/>
  <c r="BK840" i="13" s="1"/>
  <c r="AM840" i="13"/>
  <c r="AN840" i="13" a="1"/>
  <c r="AN840" i="13" s="1"/>
  <c r="AP840" i="13" a="1"/>
  <c r="AP840" i="13" s="1"/>
  <c r="AQ840" i="13"/>
  <c r="AR840" i="13" a="1"/>
  <c r="AR840" i="13" s="1"/>
  <c r="AS840" i="13" a="1"/>
  <c r="AS840" i="13" s="1"/>
  <c r="BI840" i="13" a="1"/>
  <c r="BI840" i="13" s="1"/>
  <c r="BM840" i="13" a="1"/>
  <c r="BM840" i="13"/>
  <c r="BS840" i="13"/>
  <c r="BW840" i="13"/>
  <c r="CA840" i="13"/>
  <c r="CH840" i="13"/>
  <c r="CM840" i="13"/>
  <c r="CQ840" i="13"/>
  <c r="CU840" i="13"/>
  <c r="F841" i="13"/>
  <c r="N841" i="13" a="1"/>
  <c r="N841" i="13" s="1"/>
  <c r="S841" i="13" a="1"/>
  <c r="S841" i="13" s="1"/>
  <c r="AD841" i="13"/>
  <c r="AH841" i="13"/>
  <c r="A841" i="13" s="1"/>
  <c r="AI841" i="13"/>
  <c r="AJ841" i="13"/>
  <c r="AN841" i="13" a="1"/>
  <c r="AN841" i="13" s="1"/>
  <c r="AP841" i="13" a="1"/>
  <c r="AP841" i="13" s="1"/>
  <c r="AQ841" i="13"/>
  <c r="AR841" i="13" a="1"/>
  <c r="AR841" i="13" s="1"/>
  <c r="AS841" i="13" a="1"/>
  <c r="AS841" i="13" s="1"/>
  <c r="BK841" i="13"/>
  <c r="BL841" i="13"/>
  <c r="BM841" i="13" a="1"/>
  <c r="BM841" i="13" s="1"/>
  <c r="CM841" i="13"/>
  <c r="F842" i="13"/>
  <c r="N842" i="13" a="1"/>
  <c r="N842" i="13" s="1"/>
  <c r="S842" i="13" a="1"/>
  <c r="S842" i="13" s="1"/>
  <c r="AD842" i="13"/>
  <c r="AH842" i="13"/>
  <c r="BN842" i="13" s="1"/>
  <c r="AI842" i="13"/>
  <c r="AJ842" i="13"/>
  <c r="AN842" i="13" a="1"/>
  <c r="AN842" i="13" s="1"/>
  <c r="AP842" i="13" a="1"/>
  <c r="AP842" i="13" s="1"/>
  <c r="AQ842" i="13"/>
  <c r="AR842" i="13" a="1"/>
  <c r="AR842" i="13"/>
  <c r="AS842" i="13" a="1"/>
  <c r="AS842" i="13" s="1"/>
  <c r="BM842" i="13" a="1"/>
  <c r="BM842" i="13" s="1"/>
  <c r="BS842" i="13"/>
  <c r="CA842" i="13"/>
  <c r="F843" i="13"/>
  <c r="N843" i="13" a="1"/>
  <c r="N843" i="13" s="1"/>
  <c r="S843" i="13" a="1"/>
  <c r="S843" i="13" s="1"/>
  <c r="AD843" i="13"/>
  <c r="AH843" i="13"/>
  <c r="A843" i="13" s="1"/>
  <c r="AI843" i="13"/>
  <c r="AJ843" i="13"/>
  <c r="BL843" i="13" s="1"/>
  <c r="AN843" i="13" a="1"/>
  <c r="AN843" i="13"/>
  <c r="AP843" i="13" a="1"/>
  <c r="AP843" i="13" s="1"/>
  <c r="AQ843" i="13"/>
  <c r="AR843" i="13" a="1"/>
  <c r="AR843" i="13" s="1"/>
  <c r="AS843" i="13" a="1"/>
  <c r="AS843" i="13" s="1"/>
  <c r="BK843" i="13"/>
  <c r="BM843" i="13" a="1"/>
  <c r="BM843" i="13" s="1"/>
  <c r="CM843" i="13"/>
  <c r="A844" i="13"/>
  <c r="F844" i="13"/>
  <c r="N844" i="13" a="1"/>
  <c r="N844" i="13" s="1"/>
  <c r="S844" i="13" a="1"/>
  <c r="S844" i="13" s="1"/>
  <c r="AD844" i="13"/>
  <c r="AH844" i="13"/>
  <c r="AI844" i="13"/>
  <c r="AJ844" i="13"/>
  <c r="BK844" i="13" s="1"/>
  <c r="AM844" i="13"/>
  <c r="AN844" i="13" a="1"/>
  <c r="AN844" i="13" s="1"/>
  <c r="AP844" i="13" a="1"/>
  <c r="AP844" i="13" s="1"/>
  <c r="AQ844" i="13"/>
  <c r="AR844" i="13" a="1"/>
  <c r="AR844" i="13" s="1"/>
  <c r="AS844" i="13" a="1"/>
  <c r="AS844" i="13" s="1"/>
  <c r="BI844" i="13" a="1"/>
  <c r="BI844" i="13" s="1"/>
  <c r="BM844" i="13" a="1"/>
  <c r="BM844" i="13"/>
  <c r="BN844" i="13"/>
  <c r="BS844" i="13"/>
  <c r="BW844" i="13"/>
  <c r="CA844" i="13"/>
  <c r="CH844" i="13"/>
  <c r="CM844" i="13"/>
  <c r="CQ844" i="13"/>
  <c r="CU844" i="13"/>
  <c r="F845" i="13"/>
  <c r="N845" i="13" a="1"/>
  <c r="N845" i="13" s="1"/>
  <c r="S845" i="13" a="1"/>
  <c r="S845" i="13" s="1"/>
  <c r="AD845" i="13"/>
  <c r="AH845" i="13"/>
  <c r="A845" i="13" s="1"/>
  <c r="AI845" i="13"/>
  <c r="AJ845" i="13"/>
  <c r="AN845" i="13" a="1"/>
  <c r="AN845" i="13" s="1"/>
  <c r="AP845" i="13" a="1"/>
  <c r="AP845" i="13" s="1"/>
  <c r="AQ845" i="13"/>
  <c r="AR845" i="13" a="1"/>
  <c r="AR845" i="13" s="1"/>
  <c r="AS845" i="13" a="1"/>
  <c r="AS845" i="13" s="1"/>
  <c r="BK845" i="13"/>
  <c r="BL845" i="13"/>
  <c r="BM845" i="13" a="1"/>
  <c r="BM845" i="13" s="1"/>
  <c r="CM845" i="13"/>
  <c r="F846" i="13"/>
  <c r="N846" i="13" a="1"/>
  <c r="N846" i="13" s="1"/>
  <c r="S846" i="13" a="1"/>
  <c r="S846" i="13" s="1"/>
  <c r="AD846" i="13"/>
  <c r="AH846" i="13"/>
  <c r="BN846" i="13" s="1"/>
  <c r="AI846" i="13"/>
  <c r="AJ846" i="13"/>
  <c r="AN846" i="13" a="1"/>
  <c r="AN846" i="13" s="1"/>
  <c r="AP846" i="13" a="1"/>
  <c r="AP846" i="13" s="1"/>
  <c r="AQ846" i="13"/>
  <c r="AR846" i="13" a="1"/>
  <c r="AR846" i="13"/>
  <c r="AS846" i="13" a="1"/>
  <c r="AS846" i="13" s="1"/>
  <c r="BM846" i="13" a="1"/>
  <c r="BM846" i="13" s="1"/>
  <c r="BS846" i="13"/>
  <c r="CA846" i="13"/>
  <c r="F847" i="13"/>
  <c r="N847" i="13" a="1"/>
  <c r="N847" i="13" s="1"/>
  <c r="S847" i="13" a="1"/>
  <c r="S847" i="13" s="1"/>
  <c r="AD847" i="13"/>
  <c r="AH847" i="13"/>
  <c r="A847" i="13" s="1"/>
  <c r="AI847" i="13"/>
  <c r="AJ847" i="13"/>
  <c r="BL847" i="13" s="1"/>
  <c r="AN847" i="13" a="1"/>
  <c r="AN847" i="13"/>
  <c r="AP847" i="13" a="1"/>
  <c r="AP847" i="13" s="1"/>
  <c r="AQ847" i="13"/>
  <c r="AR847" i="13" a="1"/>
  <c r="AR847" i="13"/>
  <c r="AS847" i="13" a="1"/>
  <c r="AS847" i="13" s="1"/>
  <c r="BM847" i="13" a="1"/>
  <c r="BM847" i="13" s="1"/>
  <c r="CM847" i="13"/>
  <c r="A848" i="13"/>
  <c r="F848" i="13"/>
  <c r="N848" i="13" a="1"/>
  <c r="N848" i="13" s="1"/>
  <c r="S848" i="13" a="1"/>
  <c r="S848" i="13" s="1"/>
  <c r="AD848" i="13"/>
  <c r="AH848" i="13"/>
  <c r="AI848" i="13"/>
  <c r="AJ848" i="13"/>
  <c r="BK848" i="13" s="1"/>
  <c r="AM848" i="13"/>
  <c r="AN848" i="13" a="1"/>
  <c r="AN848" i="13" s="1"/>
  <c r="AP848" i="13" a="1"/>
  <c r="AP848" i="13" s="1"/>
  <c r="AQ848" i="13"/>
  <c r="AR848" i="13" a="1"/>
  <c r="AR848" i="13" s="1"/>
  <c r="AS848" i="13" a="1"/>
  <c r="AS848" i="13" s="1"/>
  <c r="BI848" i="13" a="1"/>
  <c r="BI848" i="13" s="1"/>
  <c r="BM848" i="13" a="1"/>
  <c r="BM848" i="13" s="1"/>
  <c r="BN848" i="13"/>
  <c r="BS848" i="13"/>
  <c r="BW848" i="13"/>
  <c r="CA848" i="13"/>
  <c r="CH848" i="13"/>
  <c r="CM848" i="13"/>
  <c r="CQ848" i="13"/>
  <c r="CU848" i="13"/>
  <c r="F849" i="13"/>
  <c r="N849" i="13" a="1"/>
  <c r="N849" i="13" s="1"/>
  <c r="S849" i="13" a="1"/>
  <c r="S849" i="13" s="1"/>
  <c r="AD849" i="13"/>
  <c r="AH849" i="13"/>
  <c r="A849" i="13" s="1"/>
  <c r="AI849" i="13"/>
  <c r="AJ849" i="13"/>
  <c r="BL849" i="13" s="1"/>
  <c r="AN849" i="13" a="1"/>
  <c r="AN849" i="13"/>
  <c r="AP849" i="13" a="1"/>
  <c r="AP849" i="13" s="1"/>
  <c r="AQ849" i="13"/>
  <c r="AR849" i="13" a="1"/>
  <c r="AR849" i="13" s="1"/>
  <c r="AS849" i="13" a="1"/>
  <c r="AS849" i="13" s="1"/>
  <c r="BM849" i="13" a="1"/>
  <c r="BM849" i="13" s="1"/>
  <c r="F850" i="13"/>
  <c r="N850" i="13" a="1"/>
  <c r="N850" i="13" s="1"/>
  <c r="S850" i="13" a="1"/>
  <c r="S850" i="13" s="1"/>
  <c r="AD850" i="13"/>
  <c r="AH850" i="13"/>
  <c r="A850" i="13" s="1"/>
  <c r="AI850" i="13"/>
  <c r="AJ850" i="13"/>
  <c r="BK850" i="13" s="1"/>
  <c r="AN850" i="13" a="1"/>
  <c r="AN850" i="13" s="1"/>
  <c r="AP850" i="13" a="1"/>
  <c r="AP850" i="13" s="1"/>
  <c r="AQ850" i="13"/>
  <c r="AR850" i="13" a="1"/>
  <c r="AR850" i="13" s="1"/>
  <c r="AS850" i="13" a="1"/>
  <c r="AS850" i="13" s="1"/>
  <c r="BI850" i="13" a="1"/>
  <c r="BI850" i="13" s="1"/>
  <c r="BM850" i="13" a="1"/>
  <c r="BM850" i="13"/>
  <c r="BN850" i="13"/>
  <c r="BS850" i="13"/>
  <c r="BW850" i="13"/>
  <c r="CA850" i="13"/>
  <c r="CH850" i="13"/>
  <c r="CQ850" i="13"/>
  <c r="CU850" i="13"/>
  <c r="F851" i="13"/>
  <c r="N851" i="13" a="1"/>
  <c r="N851" i="13" s="1"/>
  <c r="S851" i="13" a="1"/>
  <c r="S851" i="13" s="1"/>
  <c r="AD851" i="13"/>
  <c r="AH851" i="13"/>
  <c r="A851" i="13" s="1"/>
  <c r="AI851" i="13"/>
  <c r="AJ851" i="13"/>
  <c r="BL851" i="13" s="1"/>
  <c r="AN851" i="13" a="1"/>
  <c r="AN851" i="13" s="1"/>
  <c r="AP851" i="13" a="1"/>
  <c r="AP851" i="13"/>
  <c r="AQ851" i="13"/>
  <c r="AR851" i="13" a="1"/>
  <c r="AR851" i="13"/>
  <c r="AS851" i="13" a="1"/>
  <c r="AS851" i="13" s="1"/>
  <c r="BM851" i="13" a="1"/>
  <c r="BM851" i="13" s="1"/>
  <c r="A852" i="13"/>
  <c r="F852" i="13"/>
  <c r="N852" i="13" a="1"/>
  <c r="N852" i="13" s="1"/>
  <c r="S852" i="13" a="1"/>
  <c r="S852" i="13" s="1"/>
  <c r="AD852" i="13"/>
  <c r="AH852" i="13"/>
  <c r="CQ852" i="13" s="1"/>
  <c r="AI852" i="13"/>
  <c r="AJ852" i="13"/>
  <c r="BK852" i="13" s="1"/>
  <c r="AM852" i="13"/>
  <c r="AN852" i="13" a="1"/>
  <c r="AN852" i="13" s="1"/>
  <c r="AP852" i="13" a="1"/>
  <c r="AP852" i="13" s="1"/>
  <c r="AQ852" i="13"/>
  <c r="AR852" i="13" a="1"/>
  <c r="AR852" i="13"/>
  <c r="AS852" i="13" a="1"/>
  <c r="AS852" i="13" s="1"/>
  <c r="BI852" i="13" a="1"/>
  <c r="BI852" i="13"/>
  <c r="BM852" i="13" a="1"/>
  <c r="BM852" i="13"/>
  <c r="BN852" i="13"/>
  <c r="BW852" i="13"/>
  <c r="CA852" i="13"/>
  <c r="CH852" i="13"/>
  <c r="CM852" i="13"/>
  <c r="CU852" i="13"/>
  <c r="F853" i="13"/>
  <c r="N853" i="13" a="1"/>
  <c r="N853" i="13" s="1"/>
  <c r="S853" i="13" a="1"/>
  <c r="S853" i="13" s="1"/>
  <c r="AD853" i="13"/>
  <c r="AH853" i="13"/>
  <c r="A853" i="13" s="1"/>
  <c r="AI853" i="13"/>
  <c r="AJ853" i="13"/>
  <c r="BL853" i="13" s="1"/>
  <c r="AN853" i="13" a="1"/>
  <c r="AN853" i="13" s="1"/>
  <c r="AP853" i="13" a="1"/>
  <c r="AP853" i="13" s="1"/>
  <c r="AQ853" i="13"/>
  <c r="AR853" i="13" a="1"/>
  <c r="AR853" i="13" s="1"/>
  <c r="AS853" i="13" a="1"/>
  <c r="AS853" i="13" s="1"/>
  <c r="BM853" i="13" a="1"/>
  <c r="BM853" i="13" s="1"/>
  <c r="CM853" i="13"/>
  <c r="F854" i="13"/>
  <c r="N854" i="13" a="1"/>
  <c r="N854" i="13" s="1"/>
  <c r="S854" i="13" a="1"/>
  <c r="S854" i="13" s="1"/>
  <c r="AD854" i="13"/>
  <c r="AH854" i="13"/>
  <c r="A854" i="13" s="1"/>
  <c r="AI854" i="13"/>
  <c r="AJ854" i="13"/>
  <c r="BK854" i="13" s="1"/>
  <c r="AN854" i="13" a="1"/>
  <c r="AN854" i="13" s="1"/>
  <c r="AP854" i="13" a="1"/>
  <c r="AP854" i="13" s="1"/>
  <c r="AQ854" i="13"/>
  <c r="AR854" i="13" a="1"/>
  <c r="AR854" i="13" s="1"/>
  <c r="AS854" i="13" a="1"/>
  <c r="AS854" i="13" s="1"/>
  <c r="BI854" i="13" a="1"/>
  <c r="BI854" i="13" s="1"/>
  <c r="BM854" i="13" a="1"/>
  <c r="BM854" i="13"/>
  <c r="BN854" i="13"/>
  <c r="BS854" i="13"/>
  <c r="BW854" i="13"/>
  <c r="CA854" i="13"/>
  <c r="CH854" i="13"/>
  <c r="CQ854" i="13"/>
  <c r="CU854" i="13"/>
  <c r="F855" i="13"/>
  <c r="N855" i="13" a="1"/>
  <c r="N855" i="13" s="1"/>
  <c r="S855" i="13" a="1"/>
  <c r="S855" i="13" s="1"/>
  <c r="AD855" i="13"/>
  <c r="AH855" i="13"/>
  <c r="A855" i="13" s="1"/>
  <c r="AI855" i="13"/>
  <c r="AJ855" i="13"/>
  <c r="BL855" i="13" s="1"/>
  <c r="AN855" i="13" a="1"/>
  <c r="AN855" i="13" s="1"/>
  <c r="AP855" i="13" a="1"/>
  <c r="AP855" i="13"/>
  <c r="AQ855" i="13"/>
  <c r="AR855" i="13" a="1"/>
  <c r="AR855" i="13"/>
  <c r="AS855" i="13" a="1"/>
  <c r="AS855" i="13" s="1"/>
  <c r="BM855" i="13" a="1"/>
  <c r="BM855" i="13" s="1"/>
  <c r="A856" i="13"/>
  <c r="F856" i="13"/>
  <c r="N856" i="13" a="1"/>
  <c r="N856" i="13" s="1"/>
  <c r="S856" i="13" a="1"/>
  <c r="S856" i="13" s="1"/>
  <c r="AD856" i="13"/>
  <c r="AH856" i="13"/>
  <c r="CQ856" i="13" s="1"/>
  <c r="AI856" i="13"/>
  <c r="AJ856" i="13"/>
  <c r="BK856" i="13" s="1"/>
  <c r="AM856" i="13"/>
  <c r="AN856" i="13" a="1"/>
  <c r="AN856" i="13" s="1"/>
  <c r="AP856" i="13" a="1"/>
  <c r="AP856" i="13" s="1"/>
  <c r="AQ856" i="13"/>
  <c r="AR856" i="13" a="1"/>
  <c r="AR856" i="13"/>
  <c r="AS856" i="13" a="1"/>
  <c r="AS856" i="13" s="1"/>
  <c r="BI856" i="13" a="1"/>
  <c r="BI856" i="13"/>
  <c r="BM856" i="13" a="1"/>
  <c r="BM856" i="13"/>
  <c r="BN856" i="13"/>
  <c r="BW856" i="13"/>
  <c r="CA856" i="13"/>
  <c r="CH856" i="13"/>
  <c r="CM856" i="13"/>
  <c r="CU856" i="13"/>
  <c r="F857" i="13"/>
  <c r="N857" i="13" a="1"/>
  <c r="N857" i="13" s="1"/>
  <c r="S857" i="13" a="1"/>
  <c r="S857" i="13" s="1"/>
  <c r="AD857" i="13"/>
  <c r="AH857" i="13"/>
  <c r="A857" i="13" s="1"/>
  <c r="AI857" i="13"/>
  <c r="AJ857" i="13"/>
  <c r="BL857" i="13" s="1"/>
  <c r="AN857" i="13" a="1"/>
  <c r="AN857" i="13" s="1"/>
  <c r="AP857" i="13" a="1"/>
  <c r="AP857" i="13" s="1"/>
  <c r="AQ857" i="13"/>
  <c r="AR857" i="13" a="1"/>
  <c r="AR857" i="13" s="1"/>
  <c r="AS857" i="13" a="1"/>
  <c r="AS857" i="13" s="1"/>
  <c r="BM857" i="13" a="1"/>
  <c r="BM857" i="13" s="1"/>
  <c r="CM857" i="13"/>
  <c r="F858" i="13"/>
  <c r="N858" i="13" a="1"/>
  <c r="N858" i="13" s="1"/>
  <c r="S858" i="13" a="1"/>
  <c r="S858" i="13" s="1"/>
  <c r="AD858" i="13"/>
  <c r="AH858" i="13"/>
  <c r="A858" i="13" s="1"/>
  <c r="AI858" i="13"/>
  <c r="AJ858" i="13"/>
  <c r="BK858" i="13" s="1"/>
  <c r="AN858" i="13" a="1"/>
  <c r="AN858" i="13" s="1"/>
  <c r="AP858" i="13" a="1"/>
  <c r="AP858" i="13" s="1"/>
  <c r="AQ858" i="13"/>
  <c r="AR858" i="13" a="1"/>
  <c r="AR858" i="13" s="1"/>
  <c r="AS858" i="13" a="1"/>
  <c r="AS858" i="13" s="1"/>
  <c r="BI858" i="13" a="1"/>
  <c r="BI858" i="13" s="1"/>
  <c r="BM858" i="13" a="1"/>
  <c r="BM858" i="13"/>
  <c r="BN858" i="13"/>
  <c r="BS858" i="13"/>
  <c r="BW858" i="13"/>
  <c r="CA858" i="13"/>
  <c r="CH858" i="13"/>
  <c r="CQ858" i="13"/>
  <c r="CU858" i="13"/>
  <c r="F859" i="13"/>
  <c r="N859" i="13" a="1"/>
  <c r="N859" i="13" s="1"/>
  <c r="S859" i="13" a="1"/>
  <c r="S859" i="13" s="1"/>
  <c r="AD859" i="13"/>
  <c r="AH859" i="13"/>
  <c r="A859" i="13" s="1"/>
  <c r="AI859" i="13"/>
  <c r="AJ859" i="13"/>
  <c r="BL859" i="13" s="1"/>
  <c r="AN859" i="13" a="1"/>
  <c r="AN859" i="13" s="1"/>
  <c r="AP859" i="13" a="1"/>
  <c r="AP859" i="13"/>
  <c r="AQ859" i="13"/>
  <c r="AR859" i="13" a="1"/>
  <c r="AR859" i="13"/>
  <c r="AS859" i="13" a="1"/>
  <c r="AS859" i="13" s="1"/>
  <c r="BM859" i="13" a="1"/>
  <c r="BM859" i="13" s="1"/>
  <c r="A860" i="13"/>
  <c r="F860" i="13"/>
  <c r="N860" i="13" a="1"/>
  <c r="N860" i="13" s="1"/>
  <c r="S860" i="13" a="1"/>
  <c r="S860" i="13" s="1"/>
  <c r="AD860" i="13"/>
  <c r="AH860" i="13"/>
  <c r="CQ860" i="13" s="1"/>
  <c r="AI860" i="13"/>
  <c r="AJ860" i="13"/>
  <c r="BK860" i="13" s="1"/>
  <c r="AM860" i="13"/>
  <c r="AN860" i="13" a="1"/>
  <c r="AN860" i="13" s="1"/>
  <c r="AP860" i="13" a="1"/>
  <c r="AP860" i="13" s="1"/>
  <c r="AQ860" i="13"/>
  <c r="AR860" i="13" a="1"/>
  <c r="AR860" i="13"/>
  <c r="AS860" i="13" a="1"/>
  <c r="AS860" i="13" s="1"/>
  <c r="BI860" i="13" a="1"/>
  <c r="BI860" i="13"/>
  <c r="BM860" i="13" a="1"/>
  <c r="BM860" i="13"/>
  <c r="BN860" i="13"/>
  <c r="BW860" i="13"/>
  <c r="CA860" i="13"/>
  <c r="CH860" i="13"/>
  <c r="CM860" i="13"/>
  <c r="CU860" i="13"/>
  <c r="F861" i="13"/>
  <c r="N861" i="13" a="1"/>
  <c r="N861" i="13" s="1"/>
  <c r="S861" i="13" a="1"/>
  <c r="S861" i="13" s="1"/>
  <c r="AD861" i="13"/>
  <c r="AH861" i="13"/>
  <c r="A861" i="13" s="1"/>
  <c r="AI861" i="13"/>
  <c r="AJ861" i="13"/>
  <c r="BL861" i="13" s="1"/>
  <c r="AN861" i="13" a="1"/>
  <c r="AN861" i="13" s="1"/>
  <c r="AP861" i="13" a="1"/>
  <c r="AP861" i="13" s="1"/>
  <c r="AQ861" i="13"/>
  <c r="AR861" i="13" a="1"/>
  <c r="AR861" i="13" s="1"/>
  <c r="AS861" i="13" a="1"/>
  <c r="AS861" i="13" s="1"/>
  <c r="BM861" i="13" a="1"/>
  <c r="BM861" i="13" s="1"/>
  <c r="CM861" i="13"/>
  <c r="F862" i="13"/>
  <c r="N862" i="13" a="1"/>
  <c r="N862" i="13" s="1"/>
  <c r="S862" i="13" a="1"/>
  <c r="S862" i="13" s="1"/>
  <c r="AD862" i="13"/>
  <c r="AH862" i="13"/>
  <c r="A862" i="13" s="1"/>
  <c r="AI862" i="13"/>
  <c r="AJ862" i="13"/>
  <c r="BK862" i="13" s="1"/>
  <c r="AN862" i="13" a="1"/>
  <c r="AN862" i="13" s="1"/>
  <c r="AP862" i="13" a="1"/>
  <c r="AP862" i="13" s="1"/>
  <c r="AQ862" i="13"/>
  <c r="AR862" i="13" a="1"/>
  <c r="AR862" i="13" s="1"/>
  <c r="AS862" i="13" a="1"/>
  <c r="AS862" i="13" s="1"/>
  <c r="BI862" i="13" a="1"/>
  <c r="BI862" i="13" s="1"/>
  <c r="BM862" i="13" a="1"/>
  <c r="BM862" i="13"/>
  <c r="BN862" i="13"/>
  <c r="BS862" i="13"/>
  <c r="BW862" i="13"/>
  <c r="CA862" i="13"/>
  <c r="CH862" i="13"/>
  <c r="CQ862" i="13"/>
  <c r="CU862" i="13"/>
  <c r="F863" i="13"/>
  <c r="N863" i="13" a="1"/>
  <c r="N863" i="13" s="1"/>
  <c r="S863" i="13" a="1"/>
  <c r="S863" i="13" s="1"/>
  <c r="AD863" i="13"/>
  <c r="AH863" i="13"/>
  <c r="A863" i="13" s="1"/>
  <c r="AI863" i="13"/>
  <c r="AJ863" i="13"/>
  <c r="BL863" i="13" s="1"/>
  <c r="AN863" i="13" a="1"/>
  <c r="AN863" i="13" s="1"/>
  <c r="AP863" i="13" a="1"/>
  <c r="AP863" i="13" s="1"/>
  <c r="AQ863" i="13"/>
  <c r="AR863" i="13" a="1"/>
  <c r="AR863" i="13"/>
  <c r="AS863" i="13" a="1"/>
  <c r="AS863" i="13" s="1"/>
  <c r="BM863" i="13" a="1"/>
  <c r="BM863" i="13" s="1"/>
  <c r="A864" i="13"/>
  <c r="F864" i="13"/>
  <c r="N864" i="13" a="1"/>
  <c r="N864" i="13" s="1"/>
  <c r="S864" i="13" a="1"/>
  <c r="S864" i="13" s="1"/>
  <c r="AD864" i="13"/>
  <c r="AH864" i="13"/>
  <c r="CQ864" i="13" s="1"/>
  <c r="AI864" i="13"/>
  <c r="AJ864" i="13"/>
  <c r="BK864" i="13" s="1"/>
  <c r="AM864" i="13"/>
  <c r="AN864" i="13" a="1"/>
  <c r="AN864" i="13" s="1"/>
  <c r="AP864" i="13" a="1"/>
  <c r="AP864" i="13" s="1"/>
  <c r="AQ864" i="13"/>
  <c r="AR864" i="13" a="1"/>
  <c r="AR864" i="13"/>
  <c r="AS864" i="13" a="1"/>
  <c r="AS864" i="13" s="1"/>
  <c r="BI864" i="13" a="1"/>
  <c r="BI864" i="13" s="1"/>
  <c r="BM864" i="13" a="1"/>
  <c r="BM864" i="13"/>
  <c r="BN864" i="13"/>
  <c r="BW864" i="13"/>
  <c r="CA864" i="13"/>
  <c r="CH864" i="13"/>
  <c r="CM864" i="13"/>
  <c r="F865" i="13"/>
  <c r="N865" i="13" a="1"/>
  <c r="N865" i="13" s="1"/>
  <c r="S865" i="13" a="1"/>
  <c r="S865" i="13" s="1"/>
  <c r="AD865" i="13"/>
  <c r="AH865" i="13"/>
  <c r="A865" i="13" s="1"/>
  <c r="AI865" i="13"/>
  <c r="AJ865" i="13"/>
  <c r="BL865" i="13" s="1"/>
  <c r="AN865" i="13" a="1"/>
  <c r="AN865" i="13" s="1"/>
  <c r="AP865" i="13" a="1"/>
  <c r="AP865" i="13" s="1"/>
  <c r="AQ865" i="13"/>
  <c r="AR865" i="13" a="1"/>
  <c r="AR865" i="13" s="1"/>
  <c r="AS865" i="13" a="1"/>
  <c r="AS865" i="13" s="1"/>
  <c r="BM865" i="13" a="1"/>
  <c r="BM865" i="13" s="1"/>
  <c r="CM865" i="13"/>
  <c r="A866" i="13"/>
  <c r="F866" i="13"/>
  <c r="N866" i="13" a="1"/>
  <c r="N866" i="13" s="1"/>
  <c r="S866" i="13" a="1"/>
  <c r="S866" i="13" s="1"/>
  <c r="AD866" i="13"/>
  <c r="AH866" i="13"/>
  <c r="BS866" i="13" s="1"/>
  <c r="AI866" i="13"/>
  <c r="AJ866" i="13"/>
  <c r="AM866" i="13"/>
  <c r="AN866" i="13" a="1"/>
  <c r="AN866" i="13" s="1"/>
  <c r="AP866" i="13" a="1"/>
  <c r="AP866" i="13" s="1"/>
  <c r="AQ866" i="13"/>
  <c r="AR866" i="13" a="1"/>
  <c r="AR866" i="13"/>
  <c r="AS866" i="13" a="1"/>
  <c r="AS866" i="13" s="1"/>
  <c r="BM866" i="13" a="1"/>
  <c r="BM866" i="13" s="1"/>
  <c r="BN866" i="13"/>
  <c r="BW866" i="13"/>
  <c r="CA866" i="13"/>
  <c r="CM866" i="13"/>
  <c r="CQ866" i="13"/>
  <c r="CU866" i="13"/>
  <c r="F867" i="13"/>
  <c r="N867" i="13" a="1"/>
  <c r="N867" i="13" s="1"/>
  <c r="S867" i="13" a="1"/>
  <c r="S867" i="13" s="1"/>
  <c r="AD867" i="13"/>
  <c r="AH867" i="13"/>
  <c r="A867" i="13" s="1"/>
  <c r="AI867" i="13"/>
  <c r="AJ867" i="13"/>
  <c r="BK867" i="13" s="1"/>
  <c r="AN867" i="13" a="1"/>
  <c r="AN867" i="13" s="1"/>
  <c r="AP867" i="13" a="1"/>
  <c r="AP867" i="13" s="1"/>
  <c r="AQ867" i="13"/>
  <c r="AR867" i="13" a="1"/>
  <c r="AR867" i="13" s="1"/>
  <c r="AS867" i="13" a="1"/>
  <c r="AS867" i="13" s="1"/>
  <c r="BM867" i="13" a="1"/>
  <c r="BM867" i="13" s="1"/>
  <c r="CM867" i="13"/>
  <c r="CU867" i="13"/>
  <c r="F868" i="13"/>
  <c r="N868" i="13" a="1"/>
  <c r="N868" i="13" s="1"/>
  <c r="S868" i="13" a="1"/>
  <c r="S868" i="13" s="1"/>
  <c r="AD868" i="13"/>
  <c r="AH868" i="13"/>
  <c r="BS868" i="13" s="1"/>
  <c r="AI868" i="13"/>
  <c r="AJ868" i="13"/>
  <c r="AN868" i="13" a="1"/>
  <c r="AN868" i="13" s="1"/>
  <c r="AP868" i="13" a="1"/>
  <c r="AP868" i="13" s="1"/>
  <c r="AQ868" i="13"/>
  <c r="AR868" i="13" a="1"/>
  <c r="AR868" i="13"/>
  <c r="AS868" i="13" a="1"/>
  <c r="AS868" i="13" s="1"/>
  <c r="BM868" i="13" a="1"/>
  <c r="BM868" i="13"/>
  <c r="BW868" i="13"/>
  <c r="F869" i="13"/>
  <c r="N869" i="13" a="1"/>
  <c r="N869" i="13" s="1"/>
  <c r="S869" i="13" a="1"/>
  <c r="S869" i="13" s="1"/>
  <c r="AD869" i="13"/>
  <c r="AH869" i="13"/>
  <c r="A869" i="13" s="1"/>
  <c r="AI869" i="13"/>
  <c r="AJ869" i="13"/>
  <c r="AN869" i="13" a="1"/>
  <c r="AN869" i="13" s="1"/>
  <c r="AP869" i="13" a="1"/>
  <c r="AP869" i="13"/>
  <c r="AQ869" i="13"/>
  <c r="AR869" i="13" a="1"/>
  <c r="AR869" i="13"/>
  <c r="AS869" i="13" a="1"/>
  <c r="AS869" i="13" s="1"/>
  <c r="BM869" i="13" a="1"/>
  <c r="BM869" i="13" s="1"/>
  <c r="F870" i="13"/>
  <c r="N870" i="13" a="1"/>
  <c r="N870" i="13" s="1"/>
  <c r="S870" i="13" a="1"/>
  <c r="S870" i="13" s="1"/>
  <c r="AD870" i="13"/>
  <c r="AH870" i="13"/>
  <c r="A870" i="13" s="1"/>
  <c r="AI870" i="13"/>
  <c r="AJ870" i="13"/>
  <c r="AN870" i="13" a="1"/>
  <c r="AN870" i="13" s="1"/>
  <c r="AP870" i="13" a="1"/>
  <c r="AP870" i="13" s="1"/>
  <c r="AQ870" i="13"/>
  <c r="AR870" i="13" a="1"/>
  <c r="AR870" i="13"/>
  <c r="AS870" i="13" a="1"/>
  <c r="AS870" i="13" s="1"/>
  <c r="BM870" i="13" a="1"/>
  <c r="BM870" i="13" s="1"/>
  <c r="BN870" i="13"/>
  <c r="BW870" i="13"/>
  <c r="CA870" i="13"/>
  <c r="CQ870" i="13"/>
  <c r="CU870" i="13"/>
  <c r="F871" i="13"/>
  <c r="N871" i="13" a="1"/>
  <c r="N871" i="13" s="1"/>
  <c r="S871" i="13" a="1"/>
  <c r="S871" i="13" s="1"/>
  <c r="AD871" i="13"/>
  <c r="AH871" i="13"/>
  <c r="A871" i="13" s="1"/>
  <c r="AI871" i="13"/>
  <c r="AJ871" i="13"/>
  <c r="BK871" i="13" s="1"/>
  <c r="AN871" i="13" a="1"/>
  <c r="AN871" i="13" s="1"/>
  <c r="AP871" i="13" a="1"/>
  <c r="AP871" i="13" s="1"/>
  <c r="AQ871" i="13"/>
  <c r="AR871" i="13" a="1"/>
  <c r="AR871" i="13" s="1"/>
  <c r="AS871" i="13" a="1"/>
  <c r="AS871" i="13" s="1"/>
  <c r="BM871" i="13" a="1"/>
  <c r="BM871" i="13" s="1"/>
  <c r="CM871" i="13"/>
  <c r="CU871" i="13"/>
  <c r="F872" i="13"/>
  <c r="N872" i="13" a="1"/>
  <c r="N872" i="13" s="1"/>
  <c r="S872" i="13" a="1"/>
  <c r="S872" i="13" s="1"/>
  <c r="AD872" i="13"/>
  <c r="AH872" i="13"/>
  <c r="BS872" i="13" s="1"/>
  <c r="AI872" i="13"/>
  <c r="AJ872" i="13"/>
  <c r="AN872" i="13" a="1"/>
  <c r="AN872" i="13" s="1"/>
  <c r="AP872" i="13" a="1"/>
  <c r="AP872" i="13" s="1"/>
  <c r="AQ872" i="13"/>
  <c r="AR872" i="13" a="1"/>
  <c r="AR872" i="13"/>
  <c r="AS872" i="13" a="1"/>
  <c r="AS872" i="13" s="1"/>
  <c r="BM872" i="13" a="1"/>
  <c r="BM872" i="13"/>
  <c r="BW872" i="13"/>
  <c r="F873" i="13"/>
  <c r="N873" i="13" a="1"/>
  <c r="N873" i="13" s="1"/>
  <c r="S873" i="13" a="1"/>
  <c r="S873" i="13" s="1"/>
  <c r="AD873" i="13"/>
  <c r="AH873" i="13"/>
  <c r="A873" i="13" s="1"/>
  <c r="AI873" i="13"/>
  <c r="AJ873" i="13"/>
  <c r="AN873" i="13" a="1"/>
  <c r="AN873" i="13" s="1"/>
  <c r="AP873" i="13" a="1"/>
  <c r="AP873" i="13"/>
  <c r="AQ873" i="13"/>
  <c r="AR873" i="13" a="1"/>
  <c r="AR873" i="13"/>
  <c r="AS873" i="13" a="1"/>
  <c r="AS873" i="13" s="1"/>
  <c r="BM873" i="13" a="1"/>
  <c r="BM873" i="13" s="1"/>
  <c r="F874" i="13"/>
  <c r="N874" i="13" a="1"/>
  <c r="N874" i="13" s="1"/>
  <c r="S874" i="13" a="1"/>
  <c r="S874" i="13" s="1"/>
  <c r="AD874" i="13"/>
  <c r="AH874" i="13"/>
  <c r="A874" i="13" s="1"/>
  <c r="AI874" i="13"/>
  <c r="AJ874" i="13"/>
  <c r="AN874" i="13" a="1"/>
  <c r="AN874" i="13" s="1"/>
  <c r="AP874" i="13" a="1"/>
  <c r="AP874" i="13" s="1"/>
  <c r="AQ874" i="13"/>
  <c r="AR874" i="13" a="1"/>
  <c r="AR874" i="13"/>
  <c r="AS874" i="13" a="1"/>
  <c r="AS874" i="13" s="1"/>
  <c r="BM874" i="13" a="1"/>
  <c r="BM874" i="13" s="1"/>
  <c r="BN874" i="13"/>
  <c r="BW874" i="13"/>
  <c r="CA874" i="13"/>
  <c r="CQ874" i="13"/>
  <c r="CU874" i="13"/>
  <c r="F875" i="13"/>
  <c r="N875" i="13" a="1"/>
  <c r="N875" i="13" s="1"/>
  <c r="S875" i="13" a="1"/>
  <c r="S875" i="13" s="1"/>
  <c r="AD875" i="13"/>
  <c r="AH875" i="13"/>
  <c r="A875" i="13" s="1"/>
  <c r="AI875" i="13"/>
  <c r="AJ875" i="13"/>
  <c r="BK875" i="13" s="1"/>
  <c r="AN875" i="13" a="1"/>
  <c r="AN875" i="13" s="1"/>
  <c r="AP875" i="13" a="1"/>
  <c r="AP875" i="13" s="1"/>
  <c r="AQ875" i="13"/>
  <c r="AR875" i="13" a="1"/>
  <c r="AR875" i="13" s="1"/>
  <c r="AS875" i="13" a="1"/>
  <c r="AS875" i="13" s="1"/>
  <c r="BM875" i="13" a="1"/>
  <c r="BM875" i="13" s="1"/>
  <c r="CM875" i="13"/>
  <c r="CU875" i="13"/>
  <c r="F876" i="13"/>
  <c r="N876" i="13" a="1"/>
  <c r="N876" i="13" s="1"/>
  <c r="S876" i="13" a="1"/>
  <c r="S876" i="13" s="1"/>
  <c r="AD876" i="13"/>
  <c r="AH876" i="13"/>
  <c r="BS876" i="13" s="1"/>
  <c r="AI876" i="13"/>
  <c r="AJ876" i="13"/>
  <c r="AN876" i="13" a="1"/>
  <c r="AN876" i="13" s="1"/>
  <c r="AP876" i="13" a="1"/>
  <c r="AP876" i="13" s="1"/>
  <c r="AQ876" i="13"/>
  <c r="AR876" i="13" a="1"/>
  <c r="AR876" i="13"/>
  <c r="AS876" i="13" a="1"/>
  <c r="AS876" i="13" s="1"/>
  <c r="BM876" i="13" a="1"/>
  <c r="BM876" i="13"/>
  <c r="BW876" i="13"/>
  <c r="F877" i="13"/>
  <c r="N877" i="13" a="1"/>
  <c r="N877" i="13" s="1"/>
  <c r="S877" i="13" a="1"/>
  <c r="S877" i="13" s="1"/>
  <c r="AD877" i="13"/>
  <c r="AH877" i="13"/>
  <c r="A877" i="13" s="1"/>
  <c r="AI877" i="13"/>
  <c r="AJ877" i="13"/>
  <c r="AN877" i="13" a="1"/>
  <c r="AN877" i="13" s="1"/>
  <c r="AP877" i="13" a="1"/>
  <c r="AP877" i="13"/>
  <c r="AQ877" i="13"/>
  <c r="AR877" i="13" a="1"/>
  <c r="AR877" i="13"/>
  <c r="AS877" i="13" a="1"/>
  <c r="AS877" i="13" s="1"/>
  <c r="BM877" i="13" a="1"/>
  <c r="BM877" i="13" s="1"/>
  <c r="F878" i="13"/>
  <c r="N878" i="13" a="1"/>
  <c r="N878" i="13" s="1"/>
  <c r="S878" i="13" a="1"/>
  <c r="S878" i="13" s="1"/>
  <c r="AD878" i="13"/>
  <c r="AH878" i="13"/>
  <c r="A878" i="13" s="1"/>
  <c r="AI878" i="13"/>
  <c r="AJ878" i="13"/>
  <c r="AN878" i="13" a="1"/>
  <c r="AN878" i="13" s="1"/>
  <c r="AP878" i="13" a="1"/>
  <c r="AP878" i="13" s="1"/>
  <c r="AQ878" i="13"/>
  <c r="AR878" i="13" a="1"/>
  <c r="AR878" i="13"/>
  <c r="AS878" i="13" a="1"/>
  <c r="AS878" i="13" s="1"/>
  <c r="BM878" i="13" a="1"/>
  <c r="BM878" i="13" s="1"/>
  <c r="BN878" i="13"/>
  <c r="BW878" i="13"/>
  <c r="CA878" i="13"/>
  <c r="CQ878" i="13"/>
  <c r="CU878" i="13"/>
  <c r="A879" i="13"/>
  <c r="F879" i="13"/>
  <c r="N879" i="13" a="1"/>
  <c r="N879" i="13" s="1"/>
  <c r="S879" i="13" a="1"/>
  <c r="S879" i="13" s="1"/>
  <c r="AD879" i="13"/>
  <c r="AH879" i="13"/>
  <c r="BS879" i="13" s="1"/>
  <c r="AI879" i="13"/>
  <c r="AJ879" i="13"/>
  <c r="BK879" i="13" s="1"/>
  <c r="AN879" i="13" a="1"/>
  <c r="AN879" i="13" s="1"/>
  <c r="AP879" i="13" a="1"/>
  <c r="AP879" i="13"/>
  <c r="AQ879" i="13"/>
  <c r="AR879" i="13" a="1"/>
  <c r="AR879" i="13"/>
  <c r="AS879" i="13" a="1"/>
  <c r="AS879" i="13" s="1"/>
  <c r="BM879" i="13" a="1"/>
  <c r="BM879" i="13" s="1"/>
  <c r="BW879" i="13"/>
  <c r="CU879" i="13"/>
  <c r="F880" i="13"/>
  <c r="N880" i="13" a="1"/>
  <c r="N880" i="13" s="1"/>
  <c r="S880" i="13" a="1"/>
  <c r="S880" i="13" s="1"/>
  <c r="AD880" i="13"/>
  <c r="AH880" i="13"/>
  <c r="CU880" i="13" s="1"/>
  <c r="AI880" i="13"/>
  <c r="AJ880" i="13"/>
  <c r="AN880" i="13" a="1"/>
  <c r="AN880" i="13" s="1"/>
  <c r="AP880" i="13" a="1"/>
  <c r="AP880" i="13" s="1"/>
  <c r="AQ880" i="13"/>
  <c r="AR880" i="13" a="1"/>
  <c r="AR880" i="13"/>
  <c r="AS880" i="13" a="1"/>
  <c r="AS880" i="13" s="1"/>
  <c r="BM880" i="13" a="1"/>
  <c r="BM880" i="13"/>
  <c r="BN880" i="13"/>
  <c r="BW880" i="13"/>
  <c r="A881" i="13"/>
  <c r="F881" i="13"/>
  <c r="N881" i="13" a="1"/>
  <c r="N881" i="13" s="1"/>
  <c r="S881" i="13" a="1"/>
  <c r="S881" i="13" s="1"/>
  <c r="AD881" i="13"/>
  <c r="AH881" i="13"/>
  <c r="BS881" i="13" s="1"/>
  <c r="AI881" i="13"/>
  <c r="AJ881" i="13"/>
  <c r="AN881" i="13" a="1"/>
  <c r="AN881" i="13" s="1"/>
  <c r="AP881" i="13" a="1"/>
  <c r="AP881" i="13"/>
  <c r="AQ881" i="13"/>
  <c r="AR881" i="13" a="1"/>
  <c r="AR881" i="13"/>
  <c r="AS881" i="13" a="1"/>
  <c r="AS881" i="13" s="1"/>
  <c r="BM881" i="13" a="1"/>
  <c r="BM881" i="13" s="1"/>
  <c r="BW881" i="13"/>
  <c r="CM881" i="13"/>
  <c r="CU881" i="13"/>
  <c r="F882" i="13"/>
  <c r="N882" i="13" a="1"/>
  <c r="N882" i="13" s="1"/>
  <c r="S882" i="13" a="1"/>
  <c r="S882" i="13" s="1"/>
  <c r="AD882" i="13"/>
  <c r="AH882" i="13"/>
  <c r="BS882" i="13" s="1"/>
  <c r="AI882" i="13"/>
  <c r="AJ882" i="13"/>
  <c r="AN882" i="13" a="1"/>
  <c r="AN882" i="13" s="1"/>
  <c r="AP882" i="13" a="1"/>
  <c r="AP882" i="13" s="1"/>
  <c r="AQ882" i="13"/>
  <c r="AR882" i="13" a="1"/>
  <c r="AR882" i="13"/>
  <c r="AS882" i="13" a="1"/>
  <c r="AS882" i="13" s="1"/>
  <c r="BM882" i="13" a="1"/>
  <c r="BM882" i="13"/>
  <c r="BW882" i="13"/>
  <c r="A883" i="13"/>
  <c r="F883" i="13"/>
  <c r="N883" i="13" a="1"/>
  <c r="N883" i="13" s="1"/>
  <c r="S883" i="13" a="1"/>
  <c r="S883" i="13" s="1"/>
  <c r="AD883" i="13"/>
  <c r="AH883" i="13"/>
  <c r="BS883" i="13" s="1"/>
  <c r="AI883" i="13"/>
  <c r="AJ883" i="13"/>
  <c r="AN883" i="13" a="1"/>
  <c r="AN883" i="13" s="1"/>
  <c r="AP883" i="13" a="1"/>
  <c r="AP883" i="13"/>
  <c r="AQ883" i="13"/>
  <c r="AR883" i="13" a="1"/>
  <c r="AR883" i="13" s="1"/>
  <c r="AS883" i="13" a="1"/>
  <c r="AS883" i="13" s="1"/>
  <c r="BM883" i="13" a="1"/>
  <c r="BM883" i="13" s="1"/>
  <c r="BW883" i="13"/>
  <c r="CM883" i="13"/>
  <c r="CU883" i="13"/>
  <c r="A884" i="13"/>
  <c r="F884" i="13"/>
  <c r="N884" i="13" a="1"/>
  <c r="N884" i="13" s="1"/>
  <c r="S884" i="13" a="1"/>
  <c r="S884" i="13" s="1"/>
  <c r="AD884" i="13"/>
  <c r="AH884" i="13"/>
  <c r="CU884" i="13" s="1"/>
  <c r="AI884" i="13"/>
  <c r="AJ884" i="13"/>
  <c r="BK884" i="13" s="1"/>
  <c r="AM884" i="13"/>
  <c r="AN884" i="13" a="1"/>
  <c r="AN884" i="13" s="1"/>
  <c r="AP884" i="13" a="1"/>
  <c r="AP884" i="13" s="1"/>
  <c r="AQ884" i="13"/>
  <c r="AR884" i="13" a="1"/>
  <c r="AR884" i="13" s="1"/>
  <c r="AS884" i="13" a="1"/>
  <c r="AS884" i="13" s="1"/>
  <c r="BI884" i="13" a="1"/>
  <c r="BI884" i="13" s="1"/>
  <c r="BM884" i="13" a="1"/>
  <c r="BM884" i="13" s="1"/>
  <c r="BN884" i="13"/>
  <c r="BS884" i="13"/>
  <c r="BW884" i="13"/>
  <c r="CA884" i="13"/>
  <c r="CH884" i="13"/>
  <c r="CM884" i="13"/>
  <c r="CQ884" i="13"/>
  <c r="F885" i="13"/>
  <c r="N885" i="13" a="1"/>
  <c r="N885" i="13" s="1"/>
  <c r="S885" i="13" a="1"/>
  <c r="S885" i="13" s="1"/>
  <c r="AD885" i="13"/>
  <c r="AH885" i="13"/>
  <c r="BS885" i="13" s="1"/>
  <c r="AI885" i="13"/>
  <c r="AJ885" i="13"/>
  <c r="AN885" i="13" a="1"/>
  <c r="AN885" i="13" s="1"/>
  <c r="AP885" i="13" a="1"/>
  <c r="AP885" i="13" s="1"/>
  <c r="AQ885" i="13"/>
  <c r="AR885" i="13" a="1"/>
  <c r="AR885" i="13" s="1"/>
  <c r="AS885" i="13" a="1"/>
  <c r="AS885" i="13" s="1"/>
  <c r="BM885" i="13" a="1"/>
  <c r="BM885" i="13" s="1"/>
  <c r="F886" i="13"/>
  <c r="N886" i="13" a="1"/>
  <c r="N886" i="13" s="1"/>
  <c r="S886" i="13" a="1"/>
  <c r="S886" i="13" s="1"/>
  <c r="AD886" i="13"/>
  <c r="AH886" i="13"/>
  <c r="A886" i="13" s="1"/>
  <c r="AI886" i="13"/>
  <c r="AJ886" i="13"/>
  <c r="AN886" i="13" a="1"/>
  <c r="AN886" i="13" s="1"/>
  <c r="AP886" i="13" a="1"/>
  <c r="AP886" i="13" s="1"/>
  <c r="AQ886" i="13"/>
  <c r="AR886" i="13" a="1"/>
  <c r="AR886" i="13"/>
  <c r="AS886" i="13" a="1"/>
  <c r="AS886" i="13" s="1"/>
  <c r="BM886" i="13" a="1"/>
  <c r="BM886" i="13" s="1"/>
  <c r="BN886" i="13"/>
  <c r="BS886" i="13"/>
  <c r="CA886" i="13"/>
  <c r="CH886" i="13"/>
  <c r="CU886" i="13"/>
  <c r="A887" i="13"/>
  <c r="F887" i="13"/>
  <c r="N887" i="13" a="1"/>
  <c r="N887" i="13" s="1"/>
  <c r="S887" i="13" a="1"/>
  <c r="S887" i="13" s="1"/>
  <c r="AD887" i="13"/>
  <c r="AH887" i="13"/>
  <c r="BS887" i="13" s="1"/>
  <c r="AI887" i="13"/>
  <c r="AJ887" i="13"/>
  <c r="AN887" i="13" a="1"/>
  <c r="AN887" i="13" s="1"/>
  <c r="AP887" i="13" a="1"/>
  <c r="AP887" i="13" s="1"/>
  <c r="AQ887" i="13"/>
  <c r="AR887" i="13" a="1"/>
  <c r="AR887" i="13" s="1"/>
  <c r="AS887" i="13" a="1"/>
  <c r="AS887" i="13" s="1"/>
  <c r="BM887" i="13" a="1"/>
  <c r="BM887" i="13" s="1"/>
  <c r="BW887" i="13"/>
  <c r="CM887" i="13"/>
  <c r="F888" i="13"/>
  <c r="N888" i="13" a="1"/>
  <c r="N888" i="13" s="1"/>
  <c r="S888" i="13" a="1"/>
  <c r="S888" i="13" s="1"/>
  <c r="AD888" i="13"/>
  <c r="AH888" i="13"/>
  <c r="BS888" i="13" s="1"/>
  <c r="AI888" i="13"/>
  <c r="AJ888" i="13"/>
  <c r="AN888" i="13" a="1"/>
  <c r="AN888" i="13" s="1"/>
  <c r="AP888" i="13" a="1"/>
  <c r="AP888" i="13" s="1"/>
  <c r="AQ888" i="13"/>
  <c r="AR888" i="13" a="1"/>
  <c r="AR888" i="13" s="1"/>
  <c r="AS888" i="13" a="1"/>
  <c r="AS888" i="13" s="1"/>
  <c r="BM888" i="13" a="1"/>
  <c r="BM888" i="13" s="1"/>
  <c r="BW888" i="13"/>
  <c r="CA888" i="13"/>
  <c r="CH888" i="13"/>
  <c r="F889" i="13"/>
  <c r="N889" i="13" a="1"/>
  <c r="N889" i="13" s="1"/>
  <c r="S889" i="13" a="1"/>
  <c r="S889" i="13" s="1"/>
  <c r="AD889" i="13"/>
  <c r="AH889" i="13"/>
  <c r="BS889" i="13" s="1"/>
  <c r="AI889" i="13"/>
  <c r="AJ889" i="13"/>
  <c r="AN889" i="13" a="1"/>
  <c r="AN889" i="13" s="1"/>
  <c r="AP889" i="13" a="1"/>
  <c r="AP889" i="13"/>
  <c r="AQ889" i="13"/>
  <c r="AR889" i="13" a="1"/>
  <c r="AR889" i="13" s="1"/>
  <c r="AS889" i="13" a="1"/>
  <c r="AS889" i="13" s="1"/>
  <c r="BM889" i="13" a="1"/>
  <c r="BM889" i="13" s="1"/>
  <c r="BW889" i="13"/>
  <c r="CM889" i="13"/>
  <c r="CU889" i="13"/>
  <c r="A890" i="13"/>
  <c r="F890" i="13"/>
  <c r="N890" i="13" a="1"/>
  <c r="N890" i="13" s="1"/>
  <c r="S890" i="13" a="1"/>
  <c r="S890" i="13" s="1"/>
  <c r="AD890" i="13"/>
  <c r="AH890" i="13"/>
  <c r="BS890" i="13" s="1"/>
  <c r="AI890" i="13"/>
  <c r="AJ890" i="13"/>
  <c r="AM890" i="13"/>
  <c r="AN890" i="13" a="1"/>
  <c r="AN890" i="13" s="1"/>
  <c r="AP890" i="13" a="1"/>
  <c r="AP890" i="13" s="1"/>
  <c r="AQ890" i="13"/>
  <c r="AR890" i="13" a="1"/>
  <c r="AR890" i="13" s="1"/>
  <c r="AS890" i="13" a="1"/>
  <c r="AS890" i="13" s="1"/>
  <c r="BI890" i="13" a="1"/>
  <c r="BI890" i="13" s="1"/>
  <c r="BM890" i="13" a="1"/>
  <c r="BM890" i="13" s="1"/>
  <c r="BN890" i="13"/>
  <c r="BW890" i="13"/>
  <c r="CA890" i="13"/>
  <c r="CH890" i="13"/>
  <c r="CM890" i="13"/>
  <c r="CQ890" i="13"/>
  <c r="CU890" i="13"/>
  <c r="F891" i="13"/>
  <c r="N891" i="13" a="1"/>
  <c r="N891" i="13" s="1"/>
  <c r="S891" i="13" a="1"/>
  <c r="S891" i="13" s="1"/>
  <c r="AD891" i="13"/>
  <c r="AH891" i="13"/>
  <c r="A891" i="13" s="1"/>
  <c r="AI891" i="13"/>
  <c r="AJ891" i="13"/>
  <c r="BL891" i="13" s="1"/>
  <c r="AN891" i="13" a="1"/>
  <c r="AN891" i="13" s="1"/>
  <c r="AP891" i="13" a="1"/>
  <c r="AP891" i="13" s="1"/>
  <c r="AQ891" i="13"/>
  <c r="AR891" i="13" a="1"/>
  <c r="AR891" i="13" s="1"/>
  <c r="AS891" i="13" a="1"/>
  <c r="AS891" i="13" s="1"/>
  <c r="BK891" i="13"/>
  <c r="BM891" i="13" a="1"/>
  <c r="BM891" i="13" s="1"/>
  <c r="CM891" i="13"/>
  <c r="F892" i="13"/>
  <c r="N892" i="13" a="1"/>
  <c r="N892" i="13" s="1"/>
  <c r="S892" i="13" a="1"/>
  <c r="S892" i="13" s="1"/>
  <c r="AD892" i="13"/>
  <c r="AH892" i="13"/>
  <c r="BW892" i="13" s="1"/>
  <c r="AI892" i="13"/>
  <c r="AJ892" i="13"/>
  <c r="AN892" i="13" a="1"/>
  <c r="AN892" i="13" s="1"/>
  <c r="AP892" i="13" a="1"/>
  <c r="AP892" i="13" s="1"/>
  <c r="AQ892" i="13"/>
  <c r="AR892" i="13" a="1"/>
  <c r="AR892" i="13"/>
  <c r="AS892" i="13" a="1"/>
  <c r="AS892" i="13" s="1"/>
  <c r="BM892" i="13" a="1"/>
  <c r="BM892" i="13" s="1"/>
  <c r="CA892" i="13"/>
  <c r="F893" i="13"/>
  <c r="N893" i="13" a="1"/>
  <c r="N893" i="13" s="1"/>
  <c r="S893" i="13" a="1"/>
  <c r="S893" i="13" s="1"/>
  <c r="AD893" i="13"/>
  <c r="AH893" i="13"/>
  <c r="CU893" i="13" s="1"/>
  <c r="AI893" i="13"/>
  <c r="AJ893" i="13"/>
  <c r="BL893" i="13" s="1"/>
  <c r="AN893" i="13" a="1"/>
  <c r="AN893" i="13" s="1"/>
  <c r="AP893" i="13" a="1"/>
  <c r="AP893" i="13" s="1"/>
  <c r="AQ893" i="13"/>
  <c r="AR893" i="13" a="1"/>
  <c r="AR893" i="13" s="1"/>
  <c r="AS893" i="13" a="1"/>
  <c r="AS893" i="13" s="1"/>
  <c r="BM893" i="13" a="1"/>
  <c r="BM893" i="13" s="1"/>
  <c r="A894" i="13"/>
  <c r="F894" i="13"/>
  <c r="N894" i="13" a="1"/>
  <c r="N894" i="13" s="1"/>
  <c r="S894" i="13" a="1"/>
  <c r="S894" i="13" s="1"/>
  <c r="AD894" i="13"/>
  <c r="AH894" i="13"/>
  <c r="BI894" i="13" s="1" a="1"/>
  <c r="BI894" i="13" s="1"/>
  <c r="AI894" i="13"/>
  <c r="AJ894" i="13"/>
  <c r="AM894" i="13"/>
  <c r="AN894" i="13" a="1"/>
  <c r="AN894" i="13" s="1"/>
  <c r="AP894" i="13" a="1"/>
  <c r="AP894" i="13" s="1"/>
  <c r="AQ894" i="13"/>
  <c r="AR894" i="13" a="1"/>
  <c r="AR894" i="13"/>
  <c r="AS894" i="13" a="1"/>
  <c r="AS894" i="13" s="1"/>
  <c r="BM894" i="13" a="1"/>
  <c r="BM894" i="13" s="1"/>
  <c r="BN894" i="13"/>
  <c r="CA894" i="13"/>
  <c r="CQ894" i="13"/>
  <c r="CU894" i="13"/>
  <c r="A895" i="13"/>
  <c r="F895" i="13"/>
  <c r="N895" i="13" a="1"/>
  <c r="N895" i="13" s="1"/>
  <c r="S895" i="13" a="1"/>
  <c r="S895" i="13" s="1"/>
  <c r="AD895" i="13"/>
  <c r="AH895" i="13"/>
  <c r="AI895" i="13"/>
  <c r="AJ895" i="13"/>
  <c r="BL895" i="13" s="1"/>
  <c r="AN895" i="13" a="1"/>
  <c r="AN895" i="13" s="1"/>
  <c r="AP895" i="13" a="1"/>
  <c r="AP895" i="13" s="1"/>
  <c r="AQ895" i="13"/>
  <c r="AR895" i="13" a="1"/>
  <c r="AR895" i="13" s="1"/>
  <c r="AS895" i="13" a="1"/>
  <c r="AS895" i="13" s="1"/>
  <c r="BM895" i="13" a="1"/>
  <c r="BM895" i="13" s="1"/>
  <c r="BW895" i="13"/>
  <c r="CU895" i="13"/>
  <c r="F896" i="13"/>
  <c r="N896" i="13" a="1"/>
  <c r="N896" i="13" s="1"/>
  <c r="S896" i="13" a="1"/>
  <c r="S896" i="13" s="1"/>
  <c r="AD896" i="13"/>
  <c r="AH896" i="13"/>
  <c r="BS896" i="13" s="1"/>
  <c r="AI896" i="13"/>
  <c r="AJ896" i="13"/>
  <c r="AN896" i="13" a="1"/>
  <c r="AN896" i="13" s="1"/>
  <c r="AP896" i="13" a="1"/>
  <c r="AP896" i="13" s="1"/>
  <c r="AQ896" i="13"/>
  <c r="AR896" i="13" a="1"/>
  <c r="AR896" i="13"/>
  <c r="AS896" i="13" a="1"/>
  <c r="AS896" i="13"/>
  <c r="BM896" i="13" a="1"/>
  <c r="BM896" i="13" s="1"/>
  <c r="BW896" i="13"/>
  <c r="F897" i="13"/>
  <c r="N897" i="13" a="1"/>
  <c r="N897" i="13" s="1"/>
  <c r="S897" i="13" a="1"/>
  <c r="S897" i="13" s="1"/>
  <c r="AD897" i="13"/>
  <c r="AH897" i="13"/>
  <c r="A897" i="13" s="1"/>
  <c r="AI897" i="13"/>
  <c r="AJ897" i="13"/>
  <c r="BL897" i="13" s="1"/>
  <c r="AN897" i="13" a="1"/>
  <c r="AN897" i="13" s="1"/>
  <c r="AP897" i="13" a="1"/>
  <c r="AP897" i="13" s="1"/>
  <c r="AQ897" i="13"/>
  <c r="AR897" i="13" a="1"/>
  <c r="AR897" i="13" s="1"/>
  <c r="AS897" i="13" a="1"/>
  <c r="AS897" i="13" s="1"/>
  <c r="BM897" i="13" a="1"/>
  <c r="BM897" i="13" s="1"/>
  <c r="F898" i="13"/>
  <c r="N898" i="13" a="1"/>
  <c r="N898" i="13" s="1"/>
  <c r="S898" i="13" a="1"/>
  <c r="S898" i="13" s="1"/>
  <c r="AD898" i="13"/>
  <c r="AH898" i="13"/>
  <c r="BI898" i="13" s="1" a="1"/>
  <c r="BI898" i="13" s="1"/>
  <c r="AI898" i="13"/>
  <c r="AJ898" i="13"/>
  <c r="AN898" i="13" a="1"/>
  <c r="AN898" i="13" s="1"/>
  <c r="AP898" i="13" a="1"/>
  <c r="AP898" i="13" s="1"/>
  <c r="AQ898" i="13"/>
  <c r="AR898" i="13" a="1"/>
  <c r="AR898" i="13" s="1"/>
  <c r="AS898" i="13" a="1"/>
  <c r="AS898" i="13"/>
  <c r="BM898" i="13" a="1"/>
  <c r="BM898" i="13" s="1"/>
  <c r="BN898" i="13"/>
  <c r="BS898" i="13"/>
  <c r="BW898" i="13"/>
  <c r="CA898" i="13"/>
  <c r="CH898" i="13"/>
  <c r="CM898" i="13"/>
  <c r="CQ898" i="13"/>
  <c r="CU898" i="13"/>
  <c r="A899" i="13"/>
  <c r="F899" i="13"/>
  <c r="N899" i="13" a="1"/>
  <c r="N899" i="13" s="1"/>
  <c r="S899" i="13" a="1"/>
  <c r="S899" i="13" s="1"/>
  <c r="AD899" i="13"/>
  <c r="AH899" i="13"/>
  <c r="AI899" i="13"/>
  <c r="AJ899" i="13"/>
  <c r="BL899" i="13" s="1"/>
  <c r="AN899" i="13" a="1"/>
  <c r="AN899" i="13" s="1"/>
  <c r="AP899" i="13" a="1"/>
  <c r="AP899" i="13" s="1"/>
  <c r="AQ899" i="13"/>
  <c r="AR899" i="13" a="1"/>
  <c r="AR899" i="13"/>
  <c r="AS899" i="13" a="1"/>
  <c r="AS899" i="13" s="1"/>
  <c r="BM899" i="13" a="1"/>
  <c r="BM899" i="13" s="1"/>
  <c r="BW899" i="13"/>
  <c r="CM899" i="13"/>
  <c r="CU899" i="13"/>
  <c r="F900" i="13"/>
  <c r="N900" i="13" a="1"/>
  <c r="N900" i="13" s="1"/>
  <c r="S900" i="13" a="1"/>
  <c r="S900" i="13" s="1"/>
  <c r="AD900" i="13"/>
  <c r="AH900" i="13"/>
  <c r="BI900" i="13" s="1" a="1"/>
  <c r="BI900" i="13" s="1"/>
  <c r="AI900" i="13"/>
  <c r="AJ900" i="13"/>
  <c r="AN900" i="13" a="1"/>
  <c r="AN900" i="13" s="1"/>
  <c r="AP900" i="13" a="1"/>
  <c r="AP900" i="13" s="1"/>
  <c r="AQ900" i="13"/>
  <c r="AR900" i="13" a="1"/>
  <c r="AR900" i="13"/>
  <c r="AS900" i="13" a="1"/>
  <c r="AS900" i="13" s="1"/>
  <c r="BM900" i="13" a="1"/>
  <c r="BM900" i="13" s="1"/>
  <c r="CH900" i="13"/>
  <c r="F901" i="13"/>
  <c r="N901" i="13" a="1"/>
  <c r="N901" i="13" s="1"/>
  <c r="S901" i="13" a="1"/>
  <c r="S901" i="13" s="1"/>
  <c r="AD901" i="13"/>
  <c r="AH901" i="13"/>
  <c r="A901" i="13" s="1"/>
  <c r="AI901" i="13"/>
  <c r="AJ901" i="13"/>
  <c r="BL901" i="13" s="1"/>
  <c r="AN901" i="13" a="1"/>
  <c r="AN901" i="13" s="1"/>
  <c r="AP901" i="13" a="1"/>
  <c r="AP901" i="13" s="1"/>
  <c r="AQ901" i="13"/>
  <c r="AR901" i="13" a="1"/>
  <c r="AR901" i="13"/>
  <c r="AS901" i="13" a="1"/>
  <c r="AS901" i="13" s="1"/>
  <c r="BM901" i="13" a="1"/>
  <c r="BM901" i="13" s="1"/>
  <c r="F902" i="13"/>
  <c r="N902" i="13" a="1"/>
  <c r="N902" i="13" s="1"/>
  <c r="S902" i="13" a="1"/>
  <c r="S902" i="13" s="1"/>
  <c r="AD902" i="13"/>
  <c r="AH902" i="13"/>
  <c r="BW902" i="13" s="1"/>
  <c r="AI902" i="13"/>
  <c r="AJ902" i="13"/>
  <c r="AN902" i="13" a="1"/>
  <c r="AN902" i="13" s="1"/>
  <c r="AP902" i="13" a="1"/>
  <c r="AP902" i="13" s="1"/>
  <c r="AQ902" i="13"/>
  <c r="AR902" i="13" a="1"/>
  <c r="AR902" i="13" s="1"/>
  <c r="AS902" i="13" a="1"/>
  <c r="AS902" i="13" s="1"/>
  <c r="BM902" i="13" a="1"/>
  <c r="BM902" i="13" s="1"/>
  <c r="F903" i="13"/>
  <c r="N903" i="13" a="1"/>
  <c r="N903" i="13" s="1"/>
  <c r="S903" i="13" a="1"/>
  <c r="S903" i="13" s="1"/>
  <c r="AD903" i="13"/>
  <c r="AH903" i="13"/>
  <c r="A903" i="13" s="1"/>
  <c r="AI903" i="13"/>
  <c r="AJ903" i="13"/>
  <c r="BK903" i="13" s="1"/>
  <c r="AN903" i="13" a="1"/>
  <c r="AN903" i="13"/>
  <c r="AP903" i="13" a="1"/>
  <c r="AP903" i="13" s="1"/>
  <c r="AQ903" i="13"/>
  <c r="AR903" i="13" a="1"/>
  <c r="AR903" i="13"/>
  <c r="AS903" i="13" a="1"/>
  <c r="AS903" i="13" s="1"/>
  <c r="BI903" i="13" a="1"/>
  <c r="BI903" i="13" s="1"/>
  <c r="BM903" i="13" a="1"/>
  <c r="BM903" i="13" s="1"/>
  <c r="BN903" i="13"/>
  <c r="BS903" i="13"/>
  <c r="BW903" i="13"/>
  <c r="CA903" i="13"/>
  <c r="CH903" i="13"/>
  <c r="CM903" i="13"/>
  <c r="CQ903" i="13"/>
  <c r="CU903" i="13"/>
  <c r="A904" i="13"/>
  <c r="F904" i="13"/>
  <c r="N904" i="13" a="1"/>
  <c r="N904" i="13" s="1"/>
  <c r="S904" i="13" a="1"/>
  <c r="S904" i="13" s="1"/>
  <c r="AD904" i="13"/>
  <c r="AH904" i="13"/>
  <c r="AM904" i="13" s="1"/>
  <c r="AI904" i="13"/>
  <c r="AJ904" i="13"/>
  <c r="AN904" i="13" a="1"/>
  <c r="AN904" i="13" s="1"/>
  <c r="AP904" i="13" a="1"/>
  <c r="AP904" i="13" s="1"/>
  <c r="AQ904" i="13"/>
  <c r="AR904" i="13" a="1"/>
  <c r="AR904" i="13" s="1"/>
  <c r="AS904" i="13" a="1"/>
  <c r="AS904" i="13" s="1"/>
  <c r="BL904" i="13"/>
  <c r="BM904" i="13" a="1"/>
  <c r="BM904" i="13" s="1"/>
  <c r="BW904" i="13"/>
  <c r="CM904" i="13"/>
  <c r="CU904" i="13"/>
  <c r="F905" i="13"/>
  <c r="N905" i="13" a="1"/>
  <c r="N905" i="13" s="1"/>
  <c r="S905" i="13" a="1"/>
  <c r="S905" i="13" s="1"/>
  <c r="AD905" i="13"/>
  <c r="AH905" i="13"/>
  <c r="CA905" i="13" s="1"/>
  <c r="AI905" i="13"/>
  <c r="AJ905" i="13"/>
  <c r="AN905" i="13" a="1"/>
  <c r="AN905" i="13"/>
  <c r="AP905" i="13" a="1"/>
  <c r="AP905" i="13" s="1"/>
  <c r="AQ905" i="13"/>
  <c r="AR905" i="13" a="1"/>
  <c r="AR905" i="13" s="1"/>
  <c r="AS905" i="13" a="1"/>
  <c r="AS905" i="13" s="1"/>
  <c r="BM905" i="13" a="1"/>
  <c r="BM905" i="13" s="1"/>
  <c r="CM905" i="13"/>
  <c r="F906" i="13"/>
  <c r="N906" i="13" a="1"/>
  <c r="N906" i="13" s="1"/>
  <c r="S906" i="13" a="1"/>
  <c r="S906" i="13" s="1"/>
  <c r="AD906" i="13"/>
  <c r="AH906" i="13"/>
  <c r="AI906" i="13"/>
  <c r="AJ906" i="13"/>
  <c r="AN906" i="13" a="1"/>
  <c r="AN906" i="13" s="1"/>
  <c r="AP906" i="13" a="1"/>
  <c r="AP906" i="13" s="1"/>
  <c r="AQ906" i="13"/>
  <c r="AR906" i="13" a="1"/>
  <c r="AR906" i="13" s="1"/>
  <c r="AS906" i="13" a="1"/>
  <c r="AS906" i="13" s="1"/>
  <c r="BL906" i="13"/>
  <c r="BM906" i="13" a="1"/>
  <c r="BM906" i="13" s="1"/>
  <c r="A907" i="13"/>
  <c r="F907" i="13"/>
  <c r="N907" i="13" a="1"/>
  <c r="N907" i="13" s="1"/>
  <c r="S907" i="13" a="1"/>
  <c r="S907" i="13" s="1"/>
  <c r="AD907" i="13"/>
  <c r="AH907" i="13"/>
  <c r="CM907" i="13" s="1"/>
  <c r="AI907" i="13"/>
  <c r="AJ907" i="13"/>
  <c r="AM907" i="13"/>
  <c r="AN907" i="13" a="1"/>
  <c r="AN907" i="13"/>
  <c r="AP907" i="13" a="1"/>
  <c r="AP907" i="13" s="1"/>
  <c r="AQ907" i="13"/>
  <c r="AR907" i="13" a="1"/>
  <c r="AR907" i="13" s="1"/>
  <c r="AS907" i="13" a="1"/>
  <c r="AS907" i="13" s="1"/>
  <c r="BI907" i="13" a="1"/>
  <c r="BI907" i="13" s="1"/>
  <c r="BM907" i="13" a="1"/>
  <c r="BM907" i="13" s="1"/>
  <c r="BN907" i="13"/>
  <c r="CA907" i="13"/>
  <c r="CQ907" i="13"/>
  <c r="CU907" i="13"/>
  <c r="A908" i="13"/>
  <c r="F908" i="13"/>
  <c r="N908" i="13" a="1"/>
  <c r="N908" i="13" s="1"/>
  <c r="S908" i="13" a="1"/>
  <c r="S908" i="13" s="1"/>
  <c r="AD908" i="13"/>
  <c r="AH908" i="13"/>
  <c r="AM908" i="13" s="1"/>
  <c r="AI908" i="13"/>
  <c r="AJ908" i="13"/>
  <c r="BL908" i="13" s="1"/>
  <c r="AN908" i="13" a="1"/>
  <c r="AN908" i="13" s="1"/>
  <c r="AP908" i="13" a="1"/>
  <c r="AP908" i="13" s="1"/>
  <c r="AQ908" i="13"/>
  <c r="AR908" i="13" a="1"/>
  <c r="AR908" i="13" s="1"/>
  <c r="AS908" i="13" a="1"/>
  <c r="AS908" i="13" s="1"/>
  <c r="BM908" i="13" a="1"/>
  <c r="BM908" i="13" s="1"/>
  <c r="BS908" i="13"/>
  <c r="BW908" i="13"/>
  <c r="F909" i="13"/>
  <c r="N909" i="13" a="1"/>
  <c r="N909" i="13" s="1"/>
  <c r="S909" i="13" a="1"/>
  <c r="S909" i="13" s="1"/>
  <c r="AD909" i="13"/>
  <c r="AH909" i="13"/>
  <c r="BN909" i="13" s="1"/>
  <c r="AI909" i="13"/>
  <c r="AJ909" i="13"/>
  <c r="AN909" i="13" a="1"/>
  <c r="AN909" i="13"/>
  <c r="AP909" i="13" a="1"/>
  <c r="AP909" i="13" s="1"/>
  <c r="AQ909" i="13"/>
  <c r="AR909" i="13" a="1"/>
  <c r="AR909" i="13" s="1"/>
  <c r="AS909" i="13" a="1"/>
  <c r="AS909" i="13" s="1"/>
  <c r="BM909" i="13" a="1"/>
  <c r="BM909" i="13" s="1"/>
  <c r="A910" i="13"/>
  <c r="F910" i="13"/>
  <c r="N910" i="13" a="1"/>
  <c r="N910" i="13" s="1"/>
  <c r="S910" i="13" a="1"/>
  <c r="S910" i="13" s="1"/>
  <c r="AD910" i="13"/>
  <c r="AH910" i="13"/>
  <c r="AM910" i="13" s="1"/>
  <c r="AI910" i="13"/>
  <c r="AJ910" i="13"/>
  <c r="BL910" i="13" s="1"/>
  <c r="AN910" i="13" a="1"/>
  <c r="AN910" i="13" s="1"/>
  <c r="AP910" i="13" a="1"/>
  <c r="AP910" i="13" s="1"/>
  <c r="AQ910" i="13"/>
  <c r="AR910" i="13" a="1"/>
  <c r="AR910" i="13"/>
  <c r="AS910" i="13" a="1"/>
  <c r="AS910" i="13" s="1"/>
  <c r="BM910" i="13" a="1"/>
  <c r="BM910" i="13" s="1"/>
  <c r="BW910" i="13"/>
  <c r="CM910" i="13"/>
  <c r="CU910" i="13"/>
  <c r="F911" i="13"/>
  <c r="N911" i="13" a="1"/>
  <c r="N911" i="13" s="1"/>
  <c r="S911" i="13" a="1"/>
  <c r="S911" i="13" s="1"/>
  <c r="AD911" i="13"/>
  <c r="AH911" i="13"/>
  <c r="CA911" i="13" s="1"/>
  <c r="AI911" i="13"/>
  <c r="AJ911" i="13"/>
  <c r="AN911" i="13" a="1"/>
  <c r="AN911" i="13"/>
  <c r="AP911" i="13" a="1"/>
  <c r="AP911" i="13" s="1"/>
  <c r="AQ911" i="13"/>
  <c r="AR911" i="13" a="1"/>
  <c r="AR911" i="13" s="1"/>
  <c r="AS911" i="13" a="1"/>
  <c r="AS911" i="13" s="1"/>
  <c r="BM911" i="13" a="1"/>
  <c r="BM911" i="13" s="1"/>
  <c r="CM911" i="13"/>
  <c r="F912" i="13"/>
  <c r="N912" i="13" a="1"/>
  <c r="N912" i="13" s="1"/>
  <c r="S912" i="13" a="1"/>
  <c r="S912" i="13" s="1"/>
  <c r="AD912" i="13"/>
  <c r="AH912" i="13"/>
  <c r="AI912" i="13"/>
  <c r="AJ912" i="13"/>
  <c r="BL912" i="13" s="1"/>
  <c r="AN912" i="13" a="1"/>
  <c r="AN912" i="13" s="1"/>
  <c r="AP912" i="13" a="1"/>
  <c r="AP912" i="13" s="1"/>
  <c r="AQ912" i="13"/>
  <c r="AR912" i="13" a="1"/>
  <c r="AR912" i="13" s="1"/>
  <c r="AS912" i="13" a="1"/>
  <c r="AS912" i="13" s="1"/>
  <c r="BM912" i="13" a="1"/>
  <c r="BM912" i="13" s="1"/>
  <c r="A913" i="13"/>
  <c r="F913" i="13"/>
  <c r="N913" i="13" a="1"/>
  <c r="N913" i="13" s="1"/>
  <c r="S913" i="13" a="1"/>
  <c r="S913" i="13" s="1"/>
  <c r="AD913" i="13"/>
  <c r="AH913" i="13"/>
  <c r="CH913" i="13" s="1"/>
  <c r="AI913" i="13"/>
  <c r="AJ913" i="13"/>
  <c r="AM913" i="13"/>
  <c r="AN913" i="13" a="1"/>
  <c r="AN913" i="13"/>
  <c r="AP913" i="13" a="1"/>
  <c r="AP913" i="13" s="1"/>
  <c r="AQ913" i="13"/>
  <c r="AR913" i="13" a="1"/>
  <c r="AR913" i="13" s="1"/>
  <c r="AS913" i="13" a="1"/>
  <c r="AS913" i="13" s="1"/>
  <c r="BI913" i="13" a="1"/>
  <c r="BI913" i="13" s="1"/>
  <c r="BM913" i="13" a="1"/>
  <c r="BM913" i="13" s="1"/>
  <c r="BW913" i="13"/>
  <c r="CM913" i="13"/>
  <c r="CQ913" i="13"/>
  <c r="CU913" i="13"/>
  <c r="F914" i="13"/>
  <c r="N914" i="13" a="1"/>
  <c r="N914" i="13" s="1"/>
  <c r="S914" i="13" a="1"/>
  <c r="S914" i="13" s="1"/>
  <c r="AD914" i="13"/>
  <c r="AH914" i="13"/>
  <c r="AI914" i="13"/>
  <c r="AJ914" i="13"/>
  <c r="BL914" i="13" s="1"/>
  <c r="AN914" i="13" a="1"/>
  <c r="AN914" i="13" s="1"/>
  <c r="AP914" i="13" a="1"/>
  <c r="AP914" i="13" s="1"/>
  <c r="AQ914" i="13"/>
  <c r="AR914" i="13" a="1"/>
  <c r="AR914" i="13"/>
  <c r="AS914" i="13" a="1"/>
  <c r="AS914" i="13" s="1"/>
  <c r="BM914" i="13" a="1"/>
  <c r="BM914" i="13" s="1"/>
  <c r="BS914" i="13"/>
  <c r="F915" i="13"/>
  <c r="N915" i="13" a="1"/>
  <c r="N915" i="13" s="1"/>
  <c r="S915" i="13" a="1"/>
  <c r="S915" i="13" s="1"/>
  <c r="AD915" i="13"/>
  <c r="AH915" i="13"/>
  <c r="A915" i="13" s="1"/>
  <c r="AI915" i="13"/>
  <c r="AJ915" i="13"/>
  <c r="BK915" i="13" s="1"/>
  <c r="AN915" i="13" a="1"/>
  <c r="AN915" i="13"/>
  <c r="AP915" i="13" a="1"/>
  <c r="AP915" i="13" s="1"/>
  <c r="AQ915" i="13"/>
  <c r="AR915" i="13" a="1"/>
  <c r="AR915" i="13"/>
  <c r="AS915" i="13" a="1"/>
  <c r="AS915" i="13" s="1"/>
  <c r="BI915" i="13" a="1"/>
  <c r="BI915" i="13"/>
  <c r="BM915" i="13" a="1"/>
  <c r="BM915" i="13" s="1"/>
  <c r="BN915" i="13"/>
  <c r="BS915" i="13"/>
  <c r="BW915" i="13"/>
  <c r="CA915" i="13"/>
  <c r="CH915" i="13"/>
  <c r="CM915" i="13"/>
  <c r="CQ915" i="13"/>
  <c r="CU915" i="13"/>
  <c r="A916" i="13"/>
  <c r="F916" i="13"/>
  <c r="N916" i="13" a="1"/>
  <c r="N916" i="13" s="1"/>
  <c r="S916" i="13" a="1"/>
  <c r="S916" i="13" s="1"/>
  <c r="AD916" i="13"/>
  <c r="AH916" i="13"/>
  <c r="AM916" i="13" s="1"/>
  <c r="AI916" i="13"/>
  <c r="AJ916" i="13"/>
  <c r="BL916" i="13" s="1"/>
  <c r="AN916" i="13" a="1"/>
  <c r="AN916" i="13" s="1"/>
  <c r="AP916" i="13" a="1"/>
  <c r="AP916" i="13" s="1"/>
  <c r="AQ916" i="13"/>
  <c r="AR916" i="13" a="1"/>
  <c r="AR916" i="13"/>
  <c r="AS916" i="13" a="1"/>
  <c r="AS916" i="13" s="1"/>
  <c r="BM916" i="13" a="1"/>
  <c r="BM916" i="13" s="1"/>
  <c r="BS916" i="13"/>
  <c r="BW916" i="13"/>
  <c r="CM916" i="13"/>
  <c r="CU916" i="13"/>
  <c r="F917" i="13"/>
  <c r="N917" i="13" a="1"/>
  <c r="N917" i="13" s="1"/>
  <c r="S917" i="13" a="1"/>
  <c r="S917" i="13" s="1"/>
  <c r="AD917" i="13"/>
  <c r="AH917" i="13"/>
  <c r="AI917" i="13"/>
  <c r="AJ917" i="13"/>
  <c r="AN917" i="13" a="1"/>
  <c r="AN917" i="13" s="1"/>
  <c r="AP917" i="13" a="1"/>
  <c r="AP917" i="13" s="1"/>
  <c r="AQ917" i="13"/>
  <c r="AR917" i="13" a="1"/>
  <c r="AR917" i="13"/>
  <c r="AS917" i="13" a="1"/>
  <c r="AS917" i="13" s="1"/>
  <c r="BM917" i="13" a="1"/>
  <c r="BM917" i="13" s="1"/>
  <c r="BS917" i="13"/>
  <c r="BW917" i="13"/>
  <c r="CA917" i="13"/>
  <c r="CQ917" i="13"/>
  <c r="A918" i="13"/>
  <c r="F918" i="13"/>
  <c r="N918" i="13" a="1"/>
  <c r="N918" i="13" s="1"/>
  <c r="S918" i="13" a="1"/>
  <c r="S918" i="13" s="1"/>
  <c r="AD918" i="13"/>
  <c r="AH918" i="13"/>
  <c r="AM918" i="13" s="1"/>
  <c r="AI918" i="13"/>
  <c r="AJ918" i="13"/>
  <c r="BL918" i="13" s="1"/>
  <c r="AN918" i="13" a="1"/>
  <c r="AN918" i="13" s="1"/>
  <c r="AP918" i="13" a="1"/>
  <c r="AP918" i="13" s="1"/>
  <c r="AQ918" i="13"/>
  <c r="AR918" i="13" a="1"/>
  <c r="AR918" i="13" s="1"/>
  <c r="AS918" i="13" a="1"/>
  <c r="AS918" i="13" s="1"/>
  <c r="BM918" i="13" a="1"/>
  <c r="BM918" i="13" s="1"/>
  <c r="BW918" i="13"/>
  <c r="CM918" i="13"/>
  <c r="CU918" i="13"/>
  <c r="A919" i="13"/>
  <c r="F919" i="13"/>
  <c r="N919" i="13" a="1"/>
  <c r="N919" i="13" s="1"/>
  <c r="S919" i="13" a="1"/>
  <c r="S919" i="13" s="1"/>
  <c r="AD919" i="13"/>
  <c r="AH919" i="13"/>
  <c r="CQ919" i="13" s="1"/>
  <c r="AI919" i="13"/>
  <c r="AJ919" i="13"/>
  <c r="BK919" i="13" s="1"/>
  <c r="AM919" i="13"/>
  <c r="AN919" i="13" a="1"/>
  <c r="AN919" i="13"/>
  <c r="AP919" i="13" a="1"/>
  <c r="AP919" i="13" s="1"/>
  <c r="AQ919" i="13"/>
  <c r="AR919" i="13" a="1"/>
  <c r="AR919" i="13"/>
  <c r="AS919" i="13" a="1"/>
  <c r="AS919" i="13" s="1"/>
  <c r="BI919" i="13" a="1"/>
  <c r="BI919" i="13" s="1"/>
  <c r="BM919" i="13" a="1"/>
  <c r="BM919" i="13" s="1"/>
  <c r="BN919" i="13"/>
  <c r="BW919" i="13"/>
  <c r="CA919" i="13"/>
  <c r="CH919" i="13"/>
  <c r="CM919" i="13"/>
  <c r="A920" i="13"/>
  <c r="F920" i="13"/>
  <c r="N920" i="13" a="1"/>
  <c r="N920" i="13" s="1"/>
  <c r="S920" i="13" a="1"/>
  <c r="S920" i="13" s="1"/>
  <c r="AD920" i="13"/>
  <c r="AH920" i="13"/>
  <c r="BW920" i="13" s="1"/>
  <c r="AI920" i="13"/>
  <c r="AJ920" i="13"/>
  <c r="BL920" i="13" s="1"/>
  <c r="AN920" i="13" a="1"/>
  <c r="AN920" i="13" s="1"/>
  <c r="AP920" i="13" a="1"/>
  <c r="AP920" i="13" s="1"/>
  <c r="AQ920" i="13"/>
  <c r="AR920" i="13" a="1"/>
  <c r="AR920" i="13" s="1"/>
  <c r="AS920" i="13" a="1"/>
  <c r="AS920" i="13" s="1"/>
  <c r="BM920" i="13" a="1"/>
  <c r="BM920" i="13" s="1"/>
  <c r="A921" i="13"/>
  <c r="F921" i="13"/>
  <c r="N921" i="13" a="1"/>
  <c r="N921" i="13" s="1"/>
  <c r="S921" i="13" a="1"/>
  <c r="S921" i="13" s="1"/>
  <c r="AD921" i="13"/>
  <c r="AH921" i="13"/>
  <c r="CQ921" i="13" s="1"/>
  <c r="AI921" i="13"/>
  <c r="AJ921" i="13"/>
  <c r="AM921" i="13"/>
  <c r="AN921" i="13" a="1"/>
  <c r="AN921" i="13"/>
  <c r="AP921" i="13" a="1"/>
  <c r="AP921" i="13" s="1"/>
  <c r="AQ921" i="13"/>
  <c r="AR921" i="13" a="1"/>
  <c r="AR921" i="13" s="1"/>
  <c r="AS921" i="13" a="1"/>
  <c r="AS921" i="13" s="1"/>
  <c r="BM921" i="13" a="1"/>
  <c r="BM921" i="13" s="1"/>
  <c r="BS921" i="13"/>
  <c r="CM921" i="13"/>
  <c r="F922" i="13"/>
  <c r="N922" i="13" a="1"/>
  <c r="N922" i="13" s="1"/>
  <c r="S922" i="13" a="1"/>
  <c r="S922" i="13" s="1"/>
  <c r="AD922" i="13"/>
  <c r="AH922" i="13"/>
  <c r="AI922" i="13"/>
  <c r="AJ922" i="13"/>
  <c r="BL922" i="13" s="1"/>
  <c r="AN922" i="13" a="1"/>
  <c r="AN922" i="13"/>
  <c r="AP922" i="13" a="1"/>
  <c r="AP922" i="13" s="1"/>
  <c r="AQ922" i="13"/>
  <c r="AR922" i="13" a="1"/>
  <c r="AR922" i="13" s="1"/>
  <c r="AS922" i="13" a="1"/>
  <c r="AS922" i="13" s="1"/>
  <c r="BM922" i="13" a="1"/>
  <c r="BM922" i="13" s="1"/>
  <c r="BW922" i="13"/>
  <c r="CM922" i="13"/>
  <c r="F923" i="13"/>
  <c r="N923" i="13" a="1"/>
  <c r="N923" i="13" s="1"/>
  <c r="S923" i="13" a="1"/>
  <c r="S923" i="13" s="1"/>
  <c r="AD923" i="13"/>
  <c r="AH923" i="13"/>
  <c r="A923" i="13" s="1"/>
  <c r="AI923" i="13"/>
  <c r="AJ923" i="13"/>
  <c r="AN923" i="13" a="1"/>
  <c r="AN923" i="13" s="1"/>
  <c r="AP923" i="13" a="1"/>
  <c r="AP923" i="13" s="1"/>
  <c r="AQ923" i="13"/>
  <c r="AR923" i="13" a="1"/>
  <c r="AR923" i="13"/>
  <c r="AS923" i="13" a="1"/>
  <c r="AS923" i="13" s="1"/>
  <c r="BI923" i="13" a="1"/>
  <c r="BI923" i="13"/>
  <c r="BM923" i="13" a="1"/>
  <c r="BM923" i="13" s="1"/>
  <c r="BN923" i="13"/>
  <c r="BW923" i="13"/>
  <c r="CA923" i="13"/>
  <c r="CM923" i="13"/>
  <c r="CQ923" i="13"/>
  <c r="CU923" i="13"/>
  <c r="A924" i="13"/>
  <c r="F924" i="13"/>
  <c r="N924" i="13" a="1"/>
  <c r="N924" i="13" s="1"/>
  <c r="S924" i="13" a="1"/>
  <c r="S924" i="13" s="1"/>
  <c r="AD924" i="13"/>
  <c r="AH924" i="13"/>
  <c r="BS924" i="13" s="1"/>
  <c r="AI924" i="13"/>
  <c r="AJ924" i="13"/>
  <c r="BL924" i="13" s="1"/>
  <c r="AN924" i="13" a="1"/>
  <c r="AN924" i="13" s="1"/>
  <c r="AP924" i="13" a="1"/>
  <c r="AP924" i="13" s="1"/>
  <c r="AQ924" i="13"/>
  <c r="AR924" i="13" a="1"/>
  <c r="AR924" i="13"/>
  <c r="AS924" i="13" a="1"/>
  <c r="AS924" i="13" s="1"/>
  <c r="BM924" i="13" a="1"/>
  <c r="BM924" i="13" s="1"/>
  <c r="CM924" i="13"/>
  <c r="CU924" i="13"/>
  <c r="A925" i="13"/>
  <c r="F925" i="13"/>
  <c r="N925" i="13" a="1"/>
  <c r="N925" i="13" s="1"/>
  <c r="S925" i="13" a="1"/>
  <c r="S925" i="13" s="1"/>
  <c r="AD925" i="13"/>
  <c r="AH925" i="13"/>
  <c r="AI925" i="13"/>
  <c r="AJ925" i="13"/>
  <c r="BK925" i="13" s="1"/>
  <c r="AM925" i="13"/>
  <c r="AN925" i="13" a="1"/>
  <c r="AN925" i="13" s="1"/>
  <c r="AP925" i="13" a="1"/>
  <c r="AP925" i="13" s="1"/>
  <c r="AQ925" i="13"/>
  <c r="AR925" i="13" a="1"/>
  <c r="AR925" i="13"/>
  <c r="AS925" i="13" a="1"/>
  <c r="AS925" i="13" s="1"/>
  <c r="BI925" i="13" a="1"/>
  <c r="BI925" i="13"/>
  <c r="BM925" i="13" a="1"/>
  <c r="BM925" i="13" s="1"/>
  <c r="BN925" i="13"/>
  <c r="BS925" i="13"/>
  <c r="BW925" i="13"/>
  <c r="CA925" i="13"/>
  <c r="CH925" i="13"/>
  <c r="CM925" i="13"/>
  <c r="CQ925" i="13"/>
  <c r="CU925" i="13"/>
  <c r="A926" i="13"/>
  <c r="F926" i="13"/>
  <c r="N926" i="13" a="1"/>
  <c r="N926" i="13" s="1"/>
  <c r="S926" i="13" a="1"/>
  <c r="S926" i="13" s="1"/>
  <c r="AD926" i="13"/>
  <c r="AH926" i="13"/>
  <c r="AM926" i="13" s="1"/>
  <c r="AI926" i="13"/>
  <c r="AJ926" i="13"/>
  <c r="BL926" i="13" s="1"/>
  <c r="AN926" i="13" a="1"/>
  <c r="AN926" i="13"/>
  <c r="AP926" i="13" a="1"/>
  <c r="AP926" i="13" s="1"/>
  <c r="AQ926" i="13"/>
  <c r="AR926" i="13" a="1"/>
  <c r="AR926" i="13" s="1"/>
  <c r="AS926" i="13" a="1"/>
  <c r="AS926" i="13" s="1"/>
  <c r="BM926" i="13" a="1"/>
  <c r="BM926" i="13" s="1"/>
  <c r="BS926" i="13"/>
  <c r="BW926" i="13"/>
  <c r="CU926" i="13"/>
  <c r="F927" i="13"/>
  <c r="N927" i="13" a="1"/>
  <c r="N927" i="13" s="1"/>
  <c r="S927" i="13" a="1"/>
  <c r="S927" i="13" s="1"/>
  <c r="AD927" i="13"/>
  <c r="AH927" i="13"/>
  <c r="A927" i="13" s="1"/>
  <c r="AI927" i="13"/>
  <c r="AJ927" i="13"/>
  <c r="BK927" i="13" s="1"/>
  <c r="AN927" i="13" a="1"/>
  <c r="AN927" i="13"/>
  <c r="AP927" i="13" a="1"/>
  <c r="AP927" i="13" s="1"/>
  <c r="AQ927" i="13"/>
  <c r="AR927" i="13" a="1"/>
  <c r="AR927" i="13" s="1"/>
  <c r="AS927" i="13" a="1"/>
  <c r="AS927" i="13" s="1"/>
  <c r="BI927" i="13" a="1"/>
  <c r="BI927" i="13" s="1"/>
  <c r="BM927" i="13" a="1"/>
  <c r="BM927" i="13" s="1"/>
  <c r="BN927" i="13"/>
  <c r="BS927" i="13"/>
  <c r="BW927" i="13"/>
  <c r="CH927" i="13"/>
  <c r="CM927" i="13"/>
  <c r="CU927" i="13"/>
  <c r="A928" i="13"/>
  <c r="F928" i="13"/>
  <c r="N928" i="13" a="1"/>
  <c r="N928" i="13" s="1"/>
  <c r="S928" i="13" a="1"/>
  <c r="S928" i="13" s="1"/>
  <c r="AD928" i="13"/>
  <c r="AH928" i="13"/>
  <c r="BW928" i="13" s="1"/>
  <c r="AI928" i="13"/>
  <c r="AJ928" i="13"/>
  <c r="BL928" i="13" s="1"/>
  <c r="AN928" i="13" a="1"/>
  <c r="AN928" i="13" s="1"/>
  <c r="AP928" i="13" a="1"/>
  <c r="AP928" i="13" s="1"/>
  <c r="AQ928" i="13"/>
  <c r="AR928" i="13" a="1"/>
  <c r="AR928" i="13"/>
  <c r="AS928" i="13" a="1"/>
  <c r="AS928" i="13" s="1"/>
  <c r="BM928" i="13" a="1"/>
  <c r="BM928" i="13" s="1"/>
  <c r="BS928" i="13"/>
  <c r="CM928" i="13"/>
  <c r="F929" i="13"/>
  <c r="N929" i="13" a="1"/>
  <c r="N929" i="13" s="1"/>
  <c r="S929" i="13" a="1"/>
  <c r="S929" i="13" s="1"/>
  <c r="AD929" i="13"/>
  <c r="AH929" i="13"/>
  <c r="CM929" i="13" s="1"/>
  <c r="AI929" i="13"/>
  <c r="AJ929" i="13"/>
  <c r="AN929" i="13" a="1"/>
  <c r="AN929" i="13" s="1"/>
  <c r="AP929" i="13" a="1"/>
  <c r="AP929" i="13" s="1"/>
  <c r="AQ929" i="13"/>
  <c r="AR929" i="13" a="1"/>
  <c r="AR929" i="13"/>
  <c r="AS929" i="13" a="1"/>
  <c r="AS929" i="13" s="1"/>
  <c r="BM929" i="13" a="1"/>
  <c r="BM929" i="13" s="1"/>
  <c r="CA929" i="13"/>
  <c r="F930" i="13"/>
  <c r="N930" i="13" a="1"/>
  <c r="N930" i="13" s="1"/>
  <c r="S930" i="13" a="1"/>
  <c r="S930" i="13" s="1"/>
  <c r="AD930" i="13"/>
  <c r="AH930" i="13"/>
  <c r="BW930" i="13" s="1"/>
  <c r="AI930" i="13"/>
  <c r="AJ930" i="13"/>
  <c r="BL930" i="13" s="1"/>
  <c r="AN930" i="13" a="1"/>
  <c r="AN930" i="13" s="1"/>
  <c r="AP930" i="13" a="1"/>
  <c r="AP930" i="13" s="1"/>
  <c r="AQ930" i="13"/>
  <c r="AR930" i="13" a="1"/>
  <c r="AR930" i="13" s="1"/>
  <c r="AS930" i="13" a="1"/>
  <c r="AS930" i="13" s="1"/>
  <c r="BM930" i="13" a="1"/>
  <c r="BM930" i="13" s="1"/>
  <c r="A931" i="13"/>
  <c r="F931" i="13"/>
  <c r="N931" i="13" a="1"/>
  <c r="N931" i="13" s="1"/>
  <c r="S931" i="13" a="1"/>
  <c r="S931" i="13" s="1"/>
  <c r="AD931" i="13"/>
  <c r="AH931" i="13"/>
  <c r="AI931" i="13"/>
  <c r="AJ931" i="13"/>
  <c r="BK931" i="13" s="1"/>
  <c r="AM931" i="13"/>
  <c r="AN931" i="13" a="1"/>
  <c r="AN931" i="13"/>
  <c r="AP931" i="13" a="1"/>
  <c r="AP931" i="13" s="1"/>
  <c r="AQ931" i="13"/>
  <c r="AR931" i="13" a="1"/>
  <c r="AR931" i="13"/>
  <c r="AS931" i="13" a="1"/>
  <c r="AS931" i="13" s="1"/>
  <c r="BI931" i="13" a="1"/>
  <c r="BI931" i="13" s="1"/>
  <c r="BM931" i="13" a="1"/>
  <c r="BM931" i="13" s="1"/>
  <c r="BN931" i="13"/>
  <c r="BW931" i="13"/>
  <c r="CA931" i="13"/>
  <c r="CH931" i="13"/>
  <c r="CM931" i="13"/>
  <c r="CU931" i="13"/>
  <c r="A932" i="13"/>
  <c r="F932" i="13"/>
  <c r="N932" i="13" a="1"/>
  <c r="N932" i="13" s="1"/>
  <c r="S932" i="13" a="1"/>
  <c r="S932" i="13" s="1"/>
  <c r="AD932" i="13"/>
  <c r="AH932" i="13"/>
  <c r="AI932" i="13"/>
  <c r="AJ932" i="13"/>
  <c r="BL932" i="13" s="1"/>
  <c r="AN932" i="13" a="1"/>
  <c r="AN932" i="13" s="1"/>
  <c r="AP932" i="13" a="1"/>
  <c r="AP932" i="13" s="1"/>
  <c r="AQ932" i="13"/>
  <c r="AR932" i="13" a="1"/>
  <c r="AR932" i="13"/>
  <c r="AS932" i="13" a="1"/>
  <c r="AS932" i="13" s="1"/>
  <c r="BM932" i="13" a="1"/>
  <c r="BM932" i="13" s="1"/>
  <c r="BS932" i="13"/>
  <c r="CM932" i="13"/>
  <c r="CU932" i="13"/>
  <c r="A933" i="13"/>
  <c r="F933" i="13"/>
  <c r="N933" i="13" a="1"/>
  <c r="N933" i="13" s="1"/>
  <c r="S933" i="13" a="1"/>
  <c r="S933" i="13" s="1"/>
  <c r="AD933" i="13"/>
  <c r="AH933" i="13"/>
  <c r="AI933" i="13"/>
  <c r="AJ933" i="13"/>
  <c r="BK933" i="13" s="1"/>
  <c r="AM933" i="13"/>
  <c r="AN933" i="13" a="1"/>
  <c r="AN933" i="13" s="1"/>
  <c r="AP933" i="13" a="1"/>
  <c r="AP933" i="13" s="1"/>
  <c r="AQ933" i="13"/>
  <c r="AR933" i="13" a="1"/>
  <c r="AR933" i="13"/>
  <c r="AS933" i="13" a="1"/>
  <c r="AS933" i="13" s="1"/>
  <c r="BI933" i="13" a="1"/>
  <c r="BI933" i="13" s="1"/>
  <c r="BM933" i="13" a="1"/>
  <c r="BM933" i="13" s="1"/>
  <c r="BN933" i="13"/>
  <c r="BS933" i="13"/>
  <c r="BW933" i="13"/>
  <c r="CA933" i="13"/>
  <c r="CH933" i="13"/>
  <c r="CM933" i="13"/>
  <c r="CQ933" i="13"/>
  <c r="CU933" i="13"/>
  <c r="A934" i="13"/>
  <c r="F934" i="13"/>
  <c r="N934" i="13" a="1"/>
  <c r="N934" i="13" s="1"/>
  <c r="S934" i="13" a="1"/>
  <c r="S934" i="13" s="1"/>
  <c r="AD934" i="13"/>
  <c r="AH934" i="13"/>
  <c r="BW934" i="13" s="1"/>
  <c r="AI934" i="13"/>
  <c r="AJ934" i="13"/>
  <c r="BL934" i="13" s="1"/>
  <c r="AN934" i="13" a="1"/>
  <c r="AN934" i="13" s="1"/>
  <c r="AP934" i="13" a="1"/>
  <c r="AP934" i="13" s="1"/>
  <c r="AQ934" i="13"/>
  <c r="AR934" i="13" a="1"/>
  <c r="AR934" i="13"/>
  <c r="AS934" i="13" a="1"/>
  <c r="AS934" i="13" s="1"/>
  <c r="BM934" i="13" a="1"/>
  <c r="BM934" i="13" s="1"/>
  <c r="BS934" i="13"/>
  <c r="CU934" i="13"/>
  <c r="A935" i="13"/>
  <c r="F935" i="13"/>
  <c r="N935" i="13" a="1"/>
  <c r="N935" i="13" s="1"/>
  <c r="S935" i="13" a="1"/>
  <c r="S935" i="13" s="1"/>
  <c r="AD935" i="13"/>
  <c r="AH935" i="13"/>
  <c r="AI935" i="13"/>
  <c r="AJ935" i="13"/>
  <c r="BK935" i="13" s="1"/>
  <c r="AM935" i="13"/>
  <c r="AN935" i="13" a="1"/>
  <c r="AN935" i="13" s="1"/>
  <c r="AP935" i="13" a="1"/>
  <c r="AP935" i="13" s="1"/>
  <c r="AQ935" i="13"/>
  <c r="AR935" i="13" a="1"/>
  <c r="AR935" i="13"/>
  <c r="AS935" i="13" a="1"/>
  <c r="AS935" i="13" s="1"/>
  <c r="BI935" i="13" a="1"/>
  <c r="BI935" i="13" s="1"/>
  <c r="BM935" i="13" a="1"/>
  <c r="BM935" i="13" s="1"/>
  <c r="BN935" i="13"/>
  <c r="BS935" i="13"/>
  <c r="BW935" i="13"/>
  <c r="CA935" i="13"/>
  <c r="CH935" i="13"/>
  <c r="CM935" i="13"/>
  <c r="CQ935" i="13"/>
  <c r="CU935" i="13"/>
  <c r="F936" i="13"/>
  <c r="N936" i="13" a="1"/>
  <c r="N936" i="13" s="1"/>
  <c r="S936" i="13" a="1"/>
  <c r="S936" i="13" s="1"/>
  <c r="AD936" i="13"/>
  <c r="AH936" i="13"/>
  <c r="A936" i="13" s="1"/>
  <c r="AI936" i="13"/>
  <c r="AJ936" i="13"/>
  <c r="BL936" i="13" s="1"/>
  <c r="AN936" i="13" a="1"/>
  <c r="AN936" i="13"/>
  <c r="AP936" i="13" a="1"/>
  <c r="AP936" i="13" s="1"/>
  <c r="AQ936" i="13"/>
  <c r="AR936" i="13" a="1"/>
  <c r="AR936" i="13"/>
  <c r="AS936" i="13" a="1"/>
  <c r="AS936" i="13" s="1"/>
  <c r="BM936" i="13" a="1"/>
  <c r="BM936" i="13" s="1"/>
  <c r="A937" i="13"/>
  <c r="F937" i="13"/>
  <c r="N937" i="13" a="1"/>
  <c r="N937" i="13" s="1"/>
  <c r="S937" i="13" a="1"/>
  <c r="S937" i="13" s="1"/>
  <c r="AD937" i="13"/>
  <c r="AH937" i="13"/>
  <c r="CM937" i="13" s="1"/>
  <c r="AI937" i="13"/>
  <c r="AJ937" i="13"/>
  <c r="AM937" i="13"/>
  <c r="AN937" i="13" a="1"/>
  <c r="AN937" i="13"/>
  <c r="AP937" i="13" a="1"/>
  <c r="AP937" i="13" s="1"/>
  <c r="AQ937" i="13"/>
  <c r="AR937" i="13" a="1"/>
  <c r="AR937" i="13" s="1"/>
  <c r="AS937" i="13" a="1"/>
  <c r="AS937" i="13" s="1"/>
  <c r="BI937" i="13" a="1"/>
  <c r="BI937" i="13" s="1"/>
  <c r="BM937" i="13" a="1"/>
  <c r="BM937" i="13" s="1"/>
  <c r="CH937" i="13"/>
  <c r="A938" i="13"/>
  <c r="F938" i="13"/>
  <c r="N938" i="13" a="1"/>
  <c r="N938" i="13" s="1"/>
  <c r="S938" i="13" a="1"/>
  <c r="S938" i="13" s="1"/>
  <c r="AD938" i="13"/>
  <c r="AH938" i="13"/>
  <c r="AI938" i="13"/>
  <c r="AJ938" i="13"/>
  <c r="BL938" i="13" s="1"/>
  <c r="AN938" i="13" a="1"/>
  <c r="AN938" i="13" s="1"/>
  <c r="AP938" i="13" a="1"/>
  <c r="AP938" i="13" s="1"/>
  <c r="AQ938" i="13"/>
  <c r="AR938" i="13" a="1"/>
  <c r="AR938" i="13"/>
  <c r="AS938" i="13" a="1"/>
  <c r="AS938" i="13" s="1"/>
  <c r="BM938" i="13" a="1"/>
  <c r="BM938" i="13" s="1"/>
  <c r="CA938" i="13"/>
  <c r="F939" i="13"/>
  <c r="N939" i="13" a="1"/>
  <c r="N939" i="13" s="1"/>
  <c r="S939" i="13" a="1"/>
  <c r="S939" i="13" s="1"/>
  <c r="AD939" i="13"/>
  <c r="AH939" i="13"/>
  <c r="BI939" i="13" s="1" a="1"/>
  <c r="BI939" i="13" s="1"/>
  <c r="AI939" i="13"/>
  <c r="AJ939" i="13"/>
  <c r="AM939" i="13"/>
  <c r="AN939" i="13" a="1"/>
  <c r="AN939" i="13" s="1"/>
  <c r="AP939" i="13" a="1"/>
  <c r="AP939" i="13" s="1"/>
  <c r="AQ939" i="13"/>
  <c r="AR939" i="13" a="1"/>
  <c r="AR939" i="13" s="1"/>
  <c r="AS939" i="13" a="1"/>
  <c r="AS939" i="13" s="1"/>
  <c r="BM939" i="13" a="1"/>
  <c r="BM939" i="13" s="1"/>
  <c r="BS939" i="13"/>
  <c r="BW939" i="13"/>
  <c r="CA939" i="13"/>
  <c r="CM939" i="13"/>
  <c r="A940" i="13"/>
  <c r="F940" i="13"/>
  <c r="N940" i="13" a="1"/>
  <c r="N940" i="13" s="1"/>
  <c r="S940" i="13" a="1"/>
  <c r="S940" i="13" s="1"/>
  <c r="AD940" i="13"/>
  <c r="AH940" i="13"/>
  <c r="BN940" i="13" s="1"/>
  <c r="AI940" i="13"/>
  <c r="AJ940" i="13"/>
  <c r="BL940" i="13" s="1"/>
  <c r="AN940" i="13" a="1"/>
  <c r="AN940" i="13" s="1"/>
  <c r="AP940" i="13" a="1"/>
  <c r="AP940" i="13" s="1"/>
  <c r="AQ940" i="13"/>
  <c r="AR940" i="13" a="1"/>
  <c r="AR940" i="13" s="1"/>
  <c r="AS940" i="13" a="1"/>
  <c r="AS940" i="13" s="1"/>
  <c r="BI940" i="13" a="1"/>
  <c r="BI940" i="13" s="1"/>
  <c r="BM940" i="13" a="1"/>
  <c r="BM940" i="13" s="1"/>
  <c r="BS940" i="13"/>
  <c r="BW940" i="13"/>
  <c r="CM940" i="13"/>
  <c r="CU940" i="13"/>
  <c r="A941" i="13"/>
  <c r="F941" i="13"/>
  <c r="N941" i="13" a="1"/>
  <c r="N941" i="13" s="1"/>
  <c r="S941" i="13" a="1"/>
  <c r="S941" i="13" s="1"/>
  <c r="AD941" i="13"/>
  <c r="AH941" i="13"/>
  <c r="CA941" i="13" s="1"/>
  <c r="AI941" i="13"/>
  <c r="AJ941" i="13"/>
  <c r="BK941" i="13" s="1"/>
  <c r="AM941" i="13"/>
  <c r="AN941" i="13" a="1"/>
  <c r="AN941" i="13" s="1"/>
  <c r="AP941" i="13" a="1"/>
  <c r="AP941" i="13" s="1"/>
  <c r="AQ941" i="13"/>
  <c r="AR941" i="13" a="1"/>
  <c r="AR941" i="13" s="1"/>
  <c r="AS941" i="13" a="1"/>
  <c r="AS941" i="13" s="1"/>
  <c r="BI941" i="13" a="1"/>
  <c r="BI941" i="13" s="1"/>
  <c r="BM941" i="13" a="1"/>
  <c r="BM941" i="13" s="1"/>
  <c r="BN941" i="13"/>
  <c r="BS941" i="13"/>
  <c r="BW941" i="13"/>
  <c r="CH941" i="13"/>
  <c r="CM941" i="13"/>
  <c r="CQ941" i="13"/>
  <c r="CU941" i="13"/>
  <c r="F942" i="13"/>
  <c r="N942" i="13" a="1"/>
  <c r="N942" i="13" s="1"/>
  <c r="S942" i="13" a="1"/>
  <c r="S942" i="13" s="1"/>
  <c r="AD942" i="13"/>
  <c r="AH942" i="13"/>
  <c r="AM942" i="13" s="1"/>
  <c r="AI942" i="13"/>
  <c r="AJ942" i="13"/>
  <c r="BL942" i="13" s="1"/>
  <c r="AN942" i="13" a="1"/>
  <c r="AN942" i="13" s="1"/>
  <c r="AP942" i="13" a="1"/>
  <c r="AP942" i="13" s="1"/>
  <c r="AQ942" i="13"/>
  <c r="AR942" i="13" a="1"/>
  <c r="AR942" i="13" s="1"/>
  <c r="AS942" i="13" a="1"/>
  <c r="AS942" i="13" s="1"/>
  <c r="BM942" i="13" a="1"/>
  <c r="BM942" i="13" s="1"/>
  <c r="BN942" i="13"/>
  <c r="CA942" i="13"/>
  <c r="CH942" i="13"/>
  <c r="CQ942" i="13"/>
  <c r="CU942" i="13"/>
  <c r="A943" i="13"/>
  <c r="F943" i="13"/>
  <c r="N943" i="13" a="1"/>
  <c r="N943" i="13" s="1"/>
  <c r="S943" i="13" a="1"/>
  <c r="S943" i="13" s="1"/>
  <c r="AD943" i="13"/>
  <c r="AH943" i="13"/>
  <c r="BN943" i="13" s="1"/>
  <c r="AI943" i="13"/>
  <c r="AJ943" i="13"/>
  <c r="BK943" i="13" s="1"/>
  <c r="AM943" i="13"/>
  <c r="AN943" i="13" a="1"/>
  <c r="AN943" i="13" s="1"/>
  <c r="AP943" i="13" a="1"/>
  <c r="AP943" i="13" s="1"/>
  <c r="AQ943" i="13"/>
  <c r="AR943" i="13" a="1"/>
  <c r="AR943" i="13"/>
  <c r="AS943" i="13" a="1"/>
  <c r="AS943" i="13" s="1"/>
  <c r="BI943" i="13" a="1"/>
  <c r="BI943" i="13" s="1"/>
  <c r="BM943" i="13" a="1"/>
  <c r="BM943" i="13" s="1"/>
  <c r="BS943" i="13"/>
  <c r="BW943" i="13"/>
  <c r="CA943" i="13"/>
  <c r="CH943" i="13"/>
  <c r="CM943" i="13"/>
  <c r="CQ943" i="13"/>
  <c r="CU943" i="13"/>
  <c r="F944" i="13"/>
  <c r="N944" i="13" a="1"/>
  <c r="N944" i="13" s="1"/>
  <c r="S944" i="13" a="1"/>
  <c r="S944" i="13" s="1"/>
  <c r="AD944" i="13"/>
  <c r="AH944" i="13"/>
  <c r="BW944" i="13" s="1"/>
  <c r="AI944" i="13"/>
  <c r="AJ944" i="13"/>
  <c r="BL944" i="13" s="1"/>
  <c r="AN944" i="13" a="1"/>
  <c r="AN944" i="13" s="1"/>
  <c r="AP944" i="13" a="1"/>
  <c r="AP944" i="13" s="1"/>
  <c r="AQ944" i="13"/>
  <c r="AR944" i="13" a="1"/>
  <c r="AR944" i="13"/>
  <c r="AS944" i="13" a="1"/>
  <c r="AS944" i="13" s="1"/>
  <c r="BM944" i="13" a="1"/>
  <c r="BM944" i="13" s="1"/>
  <c r="CA944" i="13"/>
  <c r="F945" i="13"/>
  <c r="N945" i="13" a="1"/>
  <c r="N945" i="13" s="1"/>
  <c r="S945" i="13" a="1"/>
  <c r="S945" i="13" s="1"/>
  <c r="AD945" i="13"/>
  <c r="AH945" i="13"/>
  <c r="BN945" i="13" s="1"/>
  <c r="AI945" i="13"/>
  <c r="AJ945" i="13"/>
  <c r="BK945" i="13" s="1"/>
  <c r="AN945" i="13" a="1"/>
  <c r="AN945" i="13"/>
  <c r="AP945" i="13" a="1"/>
  <c r="AP945" i="13" s="1"/>
  <c r="AQ945" i="13"/>
  <c r="AR945" i="13" a="1"/>
  <c r="AR945" i="13" s="1"/>
  <c r="AS945" i="13" a="1"/>
  <c r="AS945" i="13" s="1"/>
  <c r="BI945" i="13" a="1"/>
  <c r="BI945" i="13" s="1"/>
  <c r="BM945" i="13" a="1"/>
  <c r="BM945" i="13" s="1"/>
  <c r="BS945" i="13"/>
  <c r="BW945" i="13"/>
  <c r="CA945" i="13"/>
  <c r="CM945" i="13"/>
  <c r="CQ945" i="13"/>
  <c r="F946" i="13"/>
  <c r="N946" i="13" a="1"/>
  <c r="N946" i="13" s="1"/>
  <c r="S946" i="13" a="1"/>
  <c r="S946" i="13" s="1"/>
  <c r="AD946" i="13"/>
  <c r="AH946" i="13"/>
  <c r="A946" i="13" s="1"/>
  <c r="AI946" i="13"/>
  <c r="AJ946" i="13"/>
  <c r="BL946" i="13" s="1"/>
  <c r="AN946" i="13" a="1"/>
  <c r="AN946" i="13" s="1"/>
  <c r="AP946" i="13" a="1"/>
  <c r="AP946" i="13" s="1"/>
  <c r="AQ946" i="13"/>
  <c r="AR946" i="13" a="1"/>
  <c r="AR946" i="13"/>
  <c r="AS946" i="13" a="1"/>
  <c r="AS946" i="13" s="1"/>
  <c r="BM946" i="13" a="1"/>
  <c r="BM946" i="13" s="1"/>
  <c r="BN946" i="13"/>
  <c r="CA946" i="13"/>
  <c r="CU946" i="13"/>
  <c r="A947" i="13"/>
  <c r="F947" i="13"/>
  <c r="N947" i="13" a="1"/>
  <c r="N947" i="13" s="1"/>
  <c r="S947" i="13" a="1"/>
  <c r="S947" i="13" s="1"/>
  <c r="AD947" i="13"/>
  <c r="AH947" i="13"/>
  <c r="BS947" i="13" s="1"/>
  <c r="AI947" i="13"/>
  <c r="AJ947" i="13"/>
  <c r="BK947" i="13" s="1"/>
  <c r="AM947" i="13"/>
  <c r="AN947" i="13" a="1"/>
  <c r="AN947" i="13" s="1"/>
  <c r="AP947" i="13" a="1"/>
  <c r="AP947" i="13" s="1"/>
  <c r="AQ947" i="13"/>
  <c r="AR947" i="13" a="1"/>
  <c r="AR947" i="13"/>
  <c r="AS947" i="13" a="1"/>
  <c r="AS947" i="13" s="1"/>
  <c r="BI947" i="13" a="1"/>
  <c r="BI947" i="13" s="1"/>
  <c r="BM947" i="13" a="1"/>
  <c r="BM947" i="13" s="1"/>
  <c r="BW947" i="13"/>
  <c r="CA947" i="13"/>
  <c r="CH947" i="13"/>
  <c r="CM947" i="13"/>
  <c r="CQ947" i="13"/>
  <c r="CU947" i="13"/>
  <c r="A948" i="13"/>
  <c r="F948" i="13"/>
  <c r="N948" i="13" a="1"/>
  <c r="N948" i="13" s="1"/>
  <c r="S948" i="13" a="1"/>
  <c r="S948" i="13" s="1"/>
  <c r="AD948" i="13"/>
  <c r="AH948" i="13"/>
  <c r="CU948" i="13" s="1"/>
  <c r="AI948" i="13"/>
  <c r="AJ948" i="13"/>
  <c r="BL948" i="13" s="1"/>
  <c r="AM948" i="13"/>
  <c r="AN948" i="13" a="1"/>
  <c r="AN948" i="13" s="1"/>
  <c r="AP948" i="13" a="1"/>
  <c r="AP948" i="13" s="1"/>
  <c r="AQ948" i="13"/>
  <c r="AR948" i="13" a="1"/>
  <c r="AR948" i="13"/>
  <c r="AS948" i="13" a="1"/>
  <c r="AS948" i="13" s="1"/>
  <c r="BI948" i="13" a="1"/>
  <c r="BI948" i="13" s="1"/>
  <c r="BM948" i="13" a="1"/>
  <c r="BM948" i="13" s="1"/>
  <c r="BN948" i="13"/>
  <c r="BS948" i="13"/>
  <c r="CA948" i="13"/>
  <c r="CH948" i="13"/>
  <c r="CM948" i="13"/>
  <c r="CQ948" i="13"/>
  <c r="F949" i="13"/>
  <c r="N949" i="13" a="1"/>
  <c r="N949" i="13" s="1"/>
  <c r="S949" i="13" a="1"/>
  <c r="S949" i="13" s="1"/>
  <c r="AD949" i="13"/>
  <c r="AH949" i="13"/>
  <c r="BS949" i="13" s="1"/>
  <c r="AI949" i="13"/>
  <c r="AJ949" i="13"/>
  <c r="AN949" i="13" a="1"/>
  <c r="AN949" i="13" s="1"/>
  <c r="AP949" i="13" a="1"/>
  <c r="AP949" i="13" s="1"/>
  <c r="AQ949" i="13"/>
  <c r="AR949" i="13" a="1"/>
  <c r="AR949" i="13" s="1"/>
  <c r="AS949" i="13" a="1"/>
  <c r="AS949" i="13" s="1"/>
  <c r="BM949" i="13" a="1"/>
  <c r="BM949" i="13" s="1"/>
  <c r="CA949" i="13"/>
  <c r="CH949" i="13"/>
  <c r="F950" i="13"/>
  <c r="N950" i="13" a="1"/>
  <c r="N950" i="13" s="1"/>
  <c r="S950" i="13" a="1"/>
  <c r="S950" i="13" s="1"/>
  <c r="AD950" i="13"/>
  <c r="AH950" i="13"/>
  <c r="BI950" i="13" s="1" a="1"/>
  <c r="BI950" i="13" s="1"/>
  <c r="AI950" i="13"/>
  <c r="AJ950" i="13"/>
  <c r="BL950" i="13" s="1"/>
  <c r="AN950" i="13" a="1"/>
  <c r="AN950" i="13" s="1"/>
  <c r="AP950" i="13" a="1"/>
  <c r="AP950" i="13" s="1"/>
  <c r="AQ950" i="13"/>
  <c r="AR950" i="13" a="1"/>
  <c r="AR950" i="13" s="1"/>
  <c r="AS950" i="13" a="1"/>
  <c r="AS950" i="13" s="1"/>
  <c r="BM950" i="13" a="1"/>
  <c r="BM950" i="13" s="1"/>
  <c r="CA950" i="13"/>
  <c r="CH950" i="13"/>
  <c r="CM950" i="13"/>
  <c r="CU950" i="13"/>
  <c r="F951" i="13"/>
  <c r="N951" i="13" a="1"/>
  <c r="N951" i="13" s="1"/>
  <c r="S951" i="13" a="1"/>
  <c r="S951" i="13" s="1"/>
  <c r="AD951" i="13"/>
  <c r="AH951" i="13"/>
  <c r="BS951" i="13" s="1"/>
  <c r="AI951" i="13"/>
  <c r="AJ951" i="13"/>
  <c r="BK951" i="13" s="1"/>
  <c r="AN951" i="13" a="1"/>
  <c r="AN951" i="13"/>
  <c r="AP951" i="13" a="1"/>
  <c r="AP951" i="13" s="1"/>
  <c r="AQ951" i="13"/>
  <c r="AR951" i="13" a="1"/>
  <c r="AR951" i="13" s="1"/>
  <c r="AS951" i="13" a="1"/>
  <c r="AS951" i="13" s="1"/>
  <c r="BM951" i="13" a="1"/>
  <c r="BM951" i="13" s="1"/>
  <c r="BW951" i="13"/>
  <c r="CA951" i="13"/>
  <c r="CH951" i="13"/>
  <c r="CQ951" i="13"/>
  <c r="F952" i="13"/>
  <c r="N952" i="13" a="1"/>
  <c r="N952" i="13" s="1"/>
  <c r="S952" i="13" a="1"/>
  <c r="S952" i="13" s="1"/>
  <c r="AD952" i="13"/>
  <c r="AH952" i="13"/>
  <c r="BI952" i="13" s="1" a="1"/>
  <c r="BI952" i="13" s="1"/>
  <c r="AI952" i="13"/>
  <c r="AJ952" i="13"/>
  <c r="BL952" i="13" s="1"/>
  <c r="AN952" i="13" a="1"/>
  <c r="AN952" i="13" s="1"/>
  <c r="AP952" i="13" a="1"/>
  <c r="AP952" i="13" s="1"/>
  <c r="AQ952" i="13"/>
  <c r="AR952" i="13" a="1"/>
  <c r="AR952" i="13" s="1"/>
  <c r="AS952" i="13" a="1"/>
  <c r="AS952" i="13" s="1"/>
  <c r="BM952" i="13" a="1"/>
  <c r="BM952" i="13" s="1"/>
  <c r="BN952" i="13"/>
  <c r="BS952" i="13"/>
  <c r="BW952" i="13"/>
  <c r="CA952" i="13"/>
  <c r="CH952" i="13"/>
  <c r="CM952" i="13"/>
  <c r="CQ952" i="13"/>
  <c r="CU952" i="13"/>
  <c r="F953" i="13"/>
  <c r="N953" i="13" a="1"/>
  <c r="N953" i="13" s="1"/>
  <c r="S953" i="13" a="1"/>
  <c r="S953" i="13" s="1"/>
  <c r="AD953" i="13"/>
  <c r="AH953" i="13"/>
  <c r="BS953" i="13" s="1"/>
  <c r="AI953" i="13"/>
  <c r="AJ953" i="13"/>
  <c r="BK953" i="13" s="1"/>
  <c r="AN953" i="13" a="1"/>
  <c r="AN953" i="13"/>
  <c r="AP953" i="13" a="1"/>
  <c r="AP953" i="13" s="1"/>
  <c r="AQ953" i="13"/>
  <c r="AR953" i="13" a="1"/>
  <c r="AR953" i="13"/>
  <c r="AS953" i="13" a="1"/>
  <c r="AS953" i="13" s="1"/>
  <c r="BM953" i="13" a="1"/>
  <c r="BM953" i="13" s="1"/>
  <c r="BW953" i="13"/>
  <c r="CA953" i="13"/>
  <c r="CH953" i="13"/>
  <c r="CM953" i="13"/>
  <c r="CQ953" i="13"/>
  <c r="CU953" i="13"/>
  <c r="F954" i="13"/>
  <c r="N954" i="13" a="1"/>
  <c r="N954" i="13" s="1"/>
  <c r="S954" i="13" a="1"/>
  <c r="S954" i="13" s="1"/>
  <c r="AD954" i="13"/>
  <c r="AH954" i="13"/>
  <c r="A954" i="13" s="1"/>
  <c r="AI954" i="13"/>
  <c r="AJ954" i="13"/>
  <c r="BL954" i="13" s="1"/>
  <c r="AN954" i="13" a="1"/>
  <c r="AN954" i="13" s="1"/>
  <c r="AP954" i="13" a="1"/>
  <c r="AP954" i="13" s="1"/>
  <c r="AQ954" i="13"/>
  <c r="AR954" i="13" a="1"/>
  <c r="AR954" i="13"/>
  <c r="AS954" i="13" a="1"/>
  <c r="AS954" i="13" s="1"/>
  <c r="BM954" i="13" a="1"/>
  <c r="BM954" i="13" s="1"/>
  <c r="BN954" i="13"/>
  <c r="CA954" i="13"/>
  <c r="CU954" i="13"/>
  <c r="A955" i="13"/>
  <c r="F955" i="13"/>
  <c r="N955" i="13" a="1"/>
  <c r="N955" i="13" s="1"/>
  <c r="S955" i="13" a="1"/>
  <c r="S955" i="13" s="1"/>
  <c r="AD955" i="13"/>
  <c r="AH955" i="13"/>
  <c r="BS955" i="13" s="1"/>
  <c r="AI955" i="13"/>
  <c r="AJ955" i="13"/>
  <c r="BK955" i="13" s="1"/>
  <c r="AM955" i="13"/>
  <c r="AN955" i="13" a="1"/>
  <c r="AN955" i="13" s="1"/>
  <c r="AP955" i="13" a="1"/>
  <c r="AP955" i="13" s="1"/>
  <c r="AQ955" i="13"/>
  <c r="AR955" i="13" a="1"/>
  <c r="AR955" i="13"/>
  <c r="AS955" i="13" a="1"/>
  <c r="AS955" i="13" s="1"/>
  <c r="BI955" i="13" a="1"/>
  <c r="BI955" i="13" s="1"/>
  <c r="BM955" i="13" a="1"/>
  <c r="BM955" i="13" s="1"/>
  <c r="BW955" i="13"/>
  <c r="CA955" i="13"/>
  <c r="CH955" i="13"/>
  <c r="CM955" i="13"/>
  <c r="CQ955" i="13"/>
  <c r="CU955" i="13"/>
  <c r="A956" i="13"/>
  <c r="F956" i="13"/>
  <c r="N956" i="13" a="1"/>
  <c r="N956" i="13" s="1"/>
  <c r="S956" i="13" a="1"/>
  <c r="S956" i="13" s="1"/>
  <c r="AD956" i="13"/>
  <c r="AH956" i="13"/>
  <c r="BI956" i="13" s="1" a="1"/>
  <c r="BI956" i="13" s="1"/>
  <c r="AI956" i="13"/>
  <c r="AJ956" i="13"/>
  <c r="BL956" i="13" s="1"/>
  <c r="AM956" i="13"/>
  <c r="AN956" i="13" a="1"/>
  <c r="AN956" i="13" s="1"/>
  <c r="AP956" i="13" a="1"/>
  <c r="AP956" i="13" s="1"/>
  <c r="AQ956" i="13"/>
  <c r="AR956" i="13" a="1"/>
  <c r="AR956" i="13"/>
  <c r="AS956" i="13" a="1"/>
  <c r="AS956" i="13" s="1"/>
  <c r="BM956" i="13" a="1"/>
  <c r="BM956" i="13" s="1"/>
  <c r="BN956" i="13"/>
  <c r="BW956" i="13"/>
  <c r="CA956" i="13"/>
  <c r="CM956" i="13"/>
  <c r="CQ956" i="13"/>
  <c r="CU956" i="13"/>
  <c r="A957" i="13"/>
  <c r="F957" i="13"/>
  <c r="N957" i="13" a="1"/>
  <c r="N957" i="13" s="1"/>
  <c r="S957" i="13" a="1"/>
  <c r="S957" i="13" s="1"/>
  <c r="AD957" i="13"/>
  <c r="AH957" i="13"/>
  <c r="BS957" i="13" s="1"/>
  <c r="AI957" i="13"/>
  <c r="AJ957" i="13"/>
  <c r="AM957" i="13"/>
  <c r="AN957" i="13" a="1"/>
  <c r="AN957" i="13"/>
  <c r="AP957" i="13" a="1"/>
  <c r="AP957" i="13" s="1"/>
  <c r="AQ957" i="13"/>
  <c r="AR957" i="13" a="1"/>
  <c r="AR957" i="13"/>
  <c r="AS957" i="13" a="1"/>
  <c r="AS957" i="13" s="1"/>
  <c r="BI957" i="13" a="1"/>
  <c r="BI957" i="13" s="1"/>
  <c r="BM957" i="13" a="1"/>
  <c r="BM957" i="13" s="1"/>
  <c r="BW957" i="13"/>
  <c r="CH957" i="13"/>
  <c r="CM957" i="13"/>
  <c r="CQ957" i="13"/>
  <c r="CU957" i="13"/>
  <c r="F958" i="13"/>
  <c r="N958" i="13" a="1"/>
  <c r="N958" i="13" s="1"/>
  <c r="S958" i="13" a="1"/>
  <c r="S958" i="13" s="1"/>
  <c r="AD958" i="13"/>
  <c r="AH958" i="13"/>
  <c r="BW958" i="13" s="1"/>
  <c r="AI958" i="13"/>
  <c r="AJ958" i="13"/>
  <c r="AN958" i="13" a="1"/>
  <c r="AN958" i="13" s="1"/>
  <c r="AP958" i="13" a="1"/>
  <c r="AP958" i="13" s="1"/>
  <c r="AQ958" i="13"/>
  <c r="AR958" i="13" a="1"/>
  <c r="AR958" i="13"/>
  <c r="AS958" i="13" a="1"/>
  <c r="AS958" i="13" s="1"/>
  <c r="BM958" i="13" a="1"/>
  <c r="BM958" i="13" s="1"/>
  <c r="CA958" i="13"/>
  <c r="F959" i="13"/>
  <c r="N959" i="13" a="1"/>
  <c r="N959" i="13" s="1"/>
  <c r="S959" i="13" a="1"/>
  <c r="S959" i="13" s="1"/>
  <c r="AD959" i="13"/>
  <c r="AH959" i="13"/>
  <c r="BS959" i="13" s="1"/>
  <c r="AI959" i="13"/>
  <c r="AJ959" i="13"/>
  <c r="AN959" i="13" a="1"/>
  <c r="AN959" i="13"/>
  <c r="AP959" i="13" a="1"/>
  <c r="AP959" i="13" s="1"/>
  <c r="AQ959" i="13"/>
  <c r="AR959" i="13" a="1"/>
  <c r="AR959" i="13" s="1"/>
  <c r="AS959" i="13" a="1"/>
  <c r="AS959" i="13" s="1"/>
  <c r="BM959" i="13" a="1"/>
  <c r="BM959" i="13" s="1"/>
  <c r="BW959" i="13"/>
  <c r="CA959" i="13"/>
  <c r="CH959" i="13"/>
  <c r="CQ959" i="13"/>
  <c r="F960" i="13"/>
  <c r="N960" i="13" a="1"/>
  <c r="N960" i="13" s="1"/>
  <c r="S960" i="13" a="1"/>
  <c r="S960" i="13" s="1"/>
  <c r="AD960" i="13"/>
  <c r="AH960" i="13"/>
  <c r="BI960" i="13" s="1" a="1"/>
  <c r="AI960" i="13"/>
  <c r="AJ960" i="13"/>
  <c r="AM960" i="13"/>
  <c r="AN960" i="13" a="1"/>
  <c r="AN960" i="13" s="1"/>
  <c r="AP960" i="13" a="1"/>
  <c r="AP960" i="13" s="1"/>
  <c r="AQ960" i="13"/>
  <c r="AR960" i="13" a="1"/>
  <c r="AR960" i="13" s="1"/>
  <c r="AS960" i="13" a="1"/>
  <c r="AS960" i="13" s="1"/>
  <c r="BI960" i="13"/>
  <c r="BM960" i="13" a="1"/>
  <c r="BM960" i="13" s="1"/>
  <c r="BN960" i="13"/>
  <c r="BS960" i="13"/>
  <c r="BW960" i="13"/>
  <c r="CA960" i="13"/>
  <c r="CH960" i="13"/>
  <c r="CM960" i="13"/>
  <c r="CQ960" i="13"/>
  <c r="CU960" i="13"/>
  <c r="F961" i="13"/>
  <c r="N961" i="13" a="1"/>
  <c r="N961" i="13" s="1"/>
  <c r="S961" i="13" a="1"/>
  <c r="S961" i="13" s="1"/>
  <c r="AD961" i="13"/>
  <c r="AH961" i="13"/>
  <c r="BS961" i="13" s="1"/>
  <c r="AI961" i="13"/>
  <c r="AJ961" i="13"/>
  <c r="AN961" i="13" a="1"/>
  <c r="AN961" i="13" s="1"/>
  <c r="AP961" i="13" a="1"/>
  <c r="AP961" i="13" s="1"/>
  <c r="AQ961" i="13"/>
  <c r="AR961" i="13" a="1"/>
  <c r="AR961" i="13" s="1"/>
  <c r="AS961" i="13" a="1"/>
  <c r="AS961" i="13" s="1"/>
  <c r="BM961" i="13" a="1"/>
  <c r="BM961" i="13" s="1"/>
  <c r="BW961" i="13"/>
  <c r="CH961" i="13"/>
  <c r="A962" i="13"/>
  <c r="F962" i="13"/>
  <c r="N962" i="13" a="1"/>
  <c r="N962" i="13" s="1"/>
  <c r="S962" i="13" a="1"/>
  <c r="S962" i="13" s="1"/>
  <c r="AD962" i="13"/>
  <c r="AH962" i="13"/>
  <c r="BI962" i="13" s="1" a="1"/>
  <c r="BI962" i="13" s="1"/>
  <c r="AI962" i="13"/>
  <c r="AJ962" i="13"/>
  <c r="AM962" i="13"/>
  <c r="AN962" i="13" a="1"/>
  <c r="AN962" i="13" s="1"/>
  <c r="AP962" i="13" a="1"/>
  <c r="AP962" i="13" s="1"/>
  <c r="AQ962" i="13"/>
  <c r="AR962" i="13" a="1"/>
  <c r="AR962" i="13" s="1"/>
  <c r="AS962" i="13" a="1"/>
  <c r="AS962" i="13" s="1"/>
  <c r="BM962" i="13" a="1"/>
  <c r="BM962" i="13" s="1"/>
  <c r="BN962" i="13"/>
  <c r="BS962" i="13"/>
  <c r="BW962" i="13"/>
  <c r="CH962" i="13"/>
  <c r="CM962" i="13"/>
  <c r="A963" i="13"/>
  <c r="F963" i="13"/>
  <c r="N963" i="13" a="1"/>
  <c r="N963" i="13" s="1"/>
  <c r="S963" i="13" a="1"/>
  <c r="S963" i="13" s="1"/>
  <c r="AD963" i="13"/>
  <c r="AH963" i="13"/>
  <c r="BS963" i="13" s="1"/>
  <c r="AI963" i="13"/>
  <c r="AJ963" i="13"/>
  <c r="AM963" i="13"/>
  <c r="AN963" i="13" a="1"/>
  <c r="AN963" i="13" s="1"/>
  <c r="AP963" i="13" a="1"/>
  <c r="AP963" i="13" s="1"/>
  <c r="AQ963" i="13"/>
  <c r="AR963" i="13" a="1"/>
  <c r="AR963" i="13" s="1"/>
  <c r="AS963" i="13" a="1"/>
  <c r="AS963" i="13" s="1"/>
  <c r="BI963" i="13" a="1"/>
  <c r="BI963" i="13" s="1"/>
  <c r="BM963" i="13" a="1"/>
  <c r="BM963" i="13" s="1"/>
  <c r="CA963" i="13"/>
  <c r="CH963" i="13"/>
  <c r="CU963" i="13"/>
  <c r="A964" i="13"/>
  <c r="F964" i="13"/>
  <c r="N964" i="13" a="1"/>
  <c r="N964" i="13" s="1"/>
  <c r="S964" i="13" a="1"/>
  <c r="S964" i="13" s="1"/>
  <c r="AD964" i="13"/>
  <c r="AH964" i="13"/>
  <c r="BI964" i="13" s="1" a="1"/>
  <c r="BI964" i="13" s="1"/>
  <c r="AI964" i="13"/>
  <c r="AJ964" i="13"/>
  <c r="AM964" i="13"/>
  <c r="AN964" i="13" a="1"/>
  <c r="AN964" i="13" s="1"/>
  <c r="AP964" i="13" a="1"/>
  <c r="AP964" i="13" s="1"/>
  <c r="AQ964" i="13"/>
  <c r="AR964" i="13" a="1"/>
  <c r="AR964" i="13" s="1"/>
  <c r="AS964" i="13" a="1"/>
  <c r="AS964" i="13" s="1"/>
  <c r="BM964" i="13" a="1"/>
  <c r="BM964" i="13" s="1"/>
  <c r="BN964" i="13"/>
  <c r="BS964" i="13"/>
  <c r="BW964" i="13"/>
  <c r="CA964" i="13"/>
  <c r="CH964" i="13"/>
  <c r="CM964" i="13"/>
  <c r="CQ964" i="13"/>
  <c r="CU964" i="13"/>
  <c r="A965" i="13"/>
  <c r="F965" i="13"/>
  <c r="N965" i="13" a="1"/>
  <c r="N965" i="13" s="1"/>
  <c r="S965" i="13" a="1"/>
  <c r="S965" i="13" s="1"/>
  <c r="AD965" i="13"/>
  <c r="AH965" i="13"/>
  <c r="BS965" i="13" s="1"/>
  <c r="AI965" i="13"/>
  <c r="AJ965" i="13"/>
  <c r="AM965" i="13"/>
  <c r="AN965" i="13" a="1"/>
  <c r="AN965" i="13" s="1"/>
  <c r="AP965" i="13" a="1"/>
  <c r="AP965" i="13" s="1"/>
  <c r="AQ965" i="13"/>
  <c r="AR965" i="13" a="1"/>
  <c r="AR965" i="13"/>
  <c r="AS965" i="13" a="1"/>
  <c r="AS965" i="13" s="1"/>
  <c r="BI965" i="13" a="1"/>
  <c r="BI965" i="13" s="1"/>
  <c r="BM965" i="13" a="1"/>
  <c r="BM965" i="13" s="1"/>
  <c r="BW965" i="13"/>
  <c r="CA965" i="13"/>
  <c r="CH965" i="13"/>
  <c r="CM965" i="13"/>
  <c r="CQ965" i="13"/>
  <c r="CU965" i="13"/>
  <c r="A966" i="13"/>
  <c r="F966" i="13"/>
  <c r="N966" i="13" a="1"/>
  <c r="N966" i="13" s="1"/>
  <c r="S966" i="13" a="1"/>
  <c r="S966" i="13" s="1"/>
  <c r="AD966" i="13"/>
  <c r="AH966" i="13"/>
  <c r="CU966" i="13" s="1"/>
  <c r="AI966" i="13"/>
  <c r="AJ966" i="13"/>
  <c r="AM966" i="13"/>
  <c r="AN966" i="13" a="1"/>
  <c r="AN966" i="13" s="1"/>
  <c r="AP966" i="13" a="1"/>
  <c r="AP966" i="13" s="1"/>
  <c r="AQ966" i="13"/>
  <c r="AR966" i="13" a="1"/>
  <c r="AR966" i="13"/>
  <c r="AS966" i="13" a="1"/>
  <c r="AS966" i="13" s="1"/>
  <c r="BI966" i="13" a="1"/>
  <c r="BI966" i="13" s="1"/>
  <c r="BM966" i="13" a="1"/>
  <c r="BM966" i="13" s="1"/>
  <c r="BN966" i="13"/>
  <c r="BS966" i="13"/>
  <c r="CA966" i="13"/>
  <c r="CH966" i="13"/>
  <c r="CM966" i="13"/>
  <c r="CQ966" i="13"/>
  <c r="F967" i="13"/>
  <c r="N967" i="13" a="1"/>
  <c r="N967" i="13" s="1"/>
  <c r="S967" i="13" a="1"/>
  <c r="S967" i="13" s="1"/>
  <c r="AD967" i="13"/>
  <c r="AH967" i="13"/>
  <c r="BS967" i="13" s="1"/>
  <c r="AI967" i="13"/>
  <c r="AJ967" i="13"/>
  <c r="AN967" i="13" a="1"/>
  <c r="AN967" i="13" s="1"/>
  <c r="AP967" i="13" a="1"/>
  <c r="AP967" i="13" s="1"/>
  <c r="AQ967" i="13"/>
  <c r="AR967" i="13" a="1"/>
  <c r="AR967" i="13" s="1"/>
  <c r="AS967" i="13" a="1"/>
  <c r="AS967" i="13" s="1"/>
  <c r="BM967" i="13" a="1"/>
  <c r="BM967" i="13" s="1"/>
  <c r="CA967" i="13"/>
  <c r="CH967" i="13"/>
  <c r="F968" i="13"/>
  <c r="N968" i="13" a="1"/>
  <c r="N968" i="13" s="1"/>
  <c r="S968" i="13" a="1"/>
  <c r="S968" i="13" s="1"/>
  <c r="AD968" i="13"/>
  <c r="AH968" i="13"/>
  <c r="BI968" i="13" s="1" a="1"/>
  <c r="AI968" i="13"/>
  <c r="AJ968" i="13"/>
  <c r="AN968" i="13" a="1"/>
  <c r="AN968" i="13" s="1"/>
  <c r="AP968" i="13" a="1"/>
  <c r="AP968" i="13" s="1"/>
  <c r="AQ968" i="13"/>
  <c r="AR968" i="13" a="1"/>
  <c r="AR968" i="13" s="1"/>
  <c r="AS968" i="13" a="1"/>
  <c r="AS968" i="13" s="1"/>
  <c r="BI968" i="13"/>
  <c r="BM968" i="13" a="1"/>
  <c r="BM968" i="13" s="1"/>
  <c r="BW968" i="13"/>
  <c r="CA968" i="13"/>
  <c r="CH968" i="13"/>
  <c r="CQ968" i="13"/>
  <c r="F969" i="13"/>
  <c r="N969" i="13" a="1"/>
  <c r="N969" i="13" s="1"/>
  <c r="S969" i="13" a="1"/>
  <c r="S969" i="13" s="1"/>
  <c r="AD969" i="13"/>
  <c r="AH969" i="13"/>
  <c r="BS969" i="13" s="1"/>
  <c r="AI969" i="13"/>
  <c r="AJ969" i="13"/>
  <c r="AN969" i="13" a="1"/>
  <c r="AN969" i="13"/>
  <c r="AP969" i="13" a="1"/>
  <c r="AP969" i="13" s="1"/>
  <c r="AQ969" i="13"/>
  <c r="AR969" i="13" a="1"/>
  <c r="AR969" i="13"/>
  <c r="AS969" i="13" a="1"/>
  <c r="AS969" i="13" s="1"/>
  <c r="BM969" i="13" a="1"/>
  <c r="BM969" i="13" s="1"/>
  <c r="BW969" i="13"/>
  <c r="CA969" i="13"/>
  <c r="CH969" i="13"/>
  <c r="CM969" i="13"/>
  <c r="CQ969" i="13"/>
  <c r="F970" i="13"/>
  <c r="N970" i="13" a="1"/>
  <c r="N970" i="13" s="1"/>
  <c r="S970" i="13" a="1"/>
  <c r="S970" i="13" s="1"/>
  <c r="AD970" i="13"/>
  <c r="AH970" i="13"/>
  <c r="BI970" i="13" s="1" a="1"/>
  <c r="BI970" i="13" s="1"/>
  <c r="AI970" i="13"/>
  <c r="AJ970" i="13"/>
  <c r="AN970" i="13" a="1"/>
  <c r="AN970" i="13" s="1"/>
  <c r="AP970" i="13" a="1"/>
  <c r="AP970" i="13" s="1"/>
  <c r="AQ970" i="13"/>
  <c r="AR970" i="13" a="1"/>
  <c r="AR970" i="13"/>
  <c r="AS970" i="13" a="1"/>
  <c r="AS970" i="13" s="1"/>
  <c r="BM970" i="13" a="1"/>
  <c r="BM970" i="13" s="1"/>
  <c r="BN970" i="13"/>
  <c r="BS970" i="13"/>
  <c r="CH970" i="13"/>
  <c r="A971" i="13"/>
  <c r="F971" i="13"/>
  <c r="N971" i="13" a="1"/>
  <c r="N971" i="13" s="1"/>
  <c r="S971" i="13" a="1"/>
  <c r="S971" i="13" s="1"/>
  <c r="AD971" i="13"/>
  <c r="AH971" i="13"/>
  <c r="BS971" i="13" s="1"/>
  <c r="AI971" i="13"/>
  <c r="AJ971" i="13"/>
  <c r="AM971" i="13"/>
  <c r="AN971" i="13" a="1"/>
  <c r="AN971" i="13" s="1"/>
  <c r="AP971" i="13" a="1"/>
  <c r="AP971" i="13" s="1"/>
  <c r="AQ971" i="13"/>
  <c r="AR971" i="13" a="1"/>
  <c r="AR971" i="13" s="1"/>
  <c r="AS971" i="13" a="1"/>
  <c r="AS971" i="13" s="1"/>
  <c r="BI971" i="13" a="1"/>
  <c r="BI971" i="13" s="1"/>
  <c r="BM971" i="13" a="1"/>
  <c r="BM971" i="13" s="1"/>
  <c r="CA971" i="13"/>
  <c r="CH971" i="13"/>
  <c r="CQ971" i="13"/>
  <c r="CU971" i="13"/>
  <c r="A972" i="13"/>
  <c r="F972" i="13"/>
  <c r="N972" i="13" a="1"/>
  <c r="N972" i="13" s="1"/>
  <c r="S972" i="13" a="1"/>
  <c r="S972" i="13" s="1"/>
  <c r="AD972" i="13"/>
  <c r="AH972" i="13"/>
  <c r="BI972" i="13" s="1" a="1"/>
  <c r="BI972" i="13" s="1"/>
  <c r="AI972" i="13"/>
  <c r="AJ972" i="13"/>
  <c r="AM972" i="13"/>
  <c r="AN972" i="13" a="1"/>
  <c r="AN972" i="13" s="1"/>
  <c r="AP972" i="13" a="1"/>
  <c r="AP972" i="13" s="1"/>
  <c r="AQ972" i="13"/>
  <c r="AR972" i="13" a="1"/>
  <c r="AR972" i="13" s="1"/>
  <c r="AS972" i="13" a="1"/>
  <c r="AS972" i="13" s="1"/>
  <c r="BM972" i="13" a="1"/>
  <c r="BM972" i="13" s="1"/>
  <c r="BN972" i="13"/>
  <c r="BS972" i="13"/>
  <c r="BW972" i="13"/>
  <c r="CA972" i="13"/>
  <c r="CH972" i="13"/>
  <c r="CM972" i="13"/>
  <c r="CQ972" i="13"/>
  <c r="CU972" i="13"/>
  <c r="A973" i="13"/>
  <c r="F973" i="13"/>
  <c r="N973" i="13" a="1"/>
  <c r="N973" i="13" s="1"/>
  <c r="S973" i="13" a="1"/>
  <c r="S973" i="13" s="1"/>
  <c r="AD973" i="13"/>
  <c r="AH973" i="13"/>
  <c r="BS973" i="13" s="1"/>
  <c r="AI973" i="13"/>
  <c r="AJ973" i="13"/>
  <c r="AM973" i="13"/>
  <c r="AN973" i="13" a="1"/>
  <c r="AN973" i="13" s="1"/>
  <c r="AP973" i="13" a="1"/>
  <c r="AP973" i="13" s="1"/>
  <c r="AQ973" i="13"/>
  <c r="AR973" i="13" a="1"/>
  <c r="AR973" i="13"/>
  <c r="AS973" i="13" a="1"/>
  <c r="AS973" i="13" s="1"/>
  <c r="BI973" i="13" a="1"/>
  <c r="BI973" i="13" s="1"/>
  <c r="BM973" i="13" a="1"/>
  <c r="BM973" i="13" s="1"/>
  <c r="BW973" i="13"/>
  <c r="CA973" i="13"/>
  <c r="CH973" i="13"/>
  <c r="CM973" i="13"/>
  <c r="CQ973" i="13"/>
  <c r="CU973" i="13"/>
  <c r="A974" i="13"/>
  <c r="F974" i="13"/>
  <c r="N974" i="13" a="1"/>
  <c r="N974" i="13" s="1"/>
  <c r="S974" i="13" a="1"/>
  <c r="S974" i="13" s="1"/>
  <c r="AD974" i="13"/>
  <c r="AH974" i="13"/>
  <c r="BI974" i="13" s="1" a="1"/>
  <c r="BI974" i="13" s="1"/>
  <c r="AI974" i="13"/>
  <c r="AJ974" i="13"/>
  <c r="AM974" i="13"/>
  <c r="AN974" i="13" a="1"/>
  <c r="AN974" i="13" s="1"/>
  <c r="AP974" i="13" a="1"/>
  <c r="AP974" i="13" s="1"/>
  <c r="AQ974" i="13"/>
  <c r="AR974" i="13" a="1"/>
  <c r="AR974" i="13"/>
  <c r="AS974" i="13" a="1"/>
  <c r="AS974" i="13" s="1"/>
  <c r="BM974" i="13" a="1"/>
  <c r="BM974" i="13" s="1"/>
  <c r="BN974" i="13"/>
  <c r="BW974" i="13"/>
  <c r="CA974" i="13"/>
  <c r="CM974" i="13"/>
  <c r="CQ974" i="13"/>
  <c r="CU974" i="13"/>
  <c r="A975" i="13"/>
  <c r="F975" i="13"/>
  <c r="N975" i="13" a="1"/>
  <c r="N975" i="13" s="1"/>
  <c r="S975" i="13" a="1"/>
  <c r="S975" i="13" s="1"/>
  <c r="AD975" i="13"/>
  <c r="AH975" i="13"/>
  <c r="BS975" i="13" s="1"/>
  <c r="AI975" i="13"/>
  <c r="AJ975" i="13"/>
  <c r="AM975" i="13"/>
  <c r="AN975" i="13" a="1"/>
  <c r="AN975" i="13"/>
  <c r="AP975" i="13" a="1"/>
  <c r="AP975" i="13" s="1"/>
  <c r="AQ975" i="13"/>
  <c r="AR975" i="13" a="1"/>
  <c r="AR975" i="13"/>
  <c r="AS975" i="13" a="1"/>
  <c r="AS975" i="13" s="1"/>
  <c r="BI975" i="13" a="1"/>
  <c r="BI975" i="13" s="1"/>
  <c r="BM975" i="13" a="1"/>
  <c r="BM975" i="13" s="1"/>
  <c r="CA975" i="13"/>
  <c r="CH975" i="13"/>
  <c r="CM975" i="13"/>
  <c r="CQ975" i="13"/>
  <c r="F976" i="13"/>
  <c r="N976" i="13" a="1"/>
  <c r="N976" i="13" s="1"/>
  <c r="S976" i="13" a="1"/>
  <c r="S976" i="13" s="1"/>
  <c r="AD976" i="13"/>
  <c r="AH976" i="13"/>
  <c r="BI976" i="13" s="1" a="1"/>
  <c r="BI976" i="13" s="1"/>
  <c r="AI976" i="13"/>
  <c r="AJ976" i="13"/>
  <c r="AN976" i="13" a="1"/>
  <c r="AN976" i="13" s="1"/>
  <c r="AP976" i="13" a="1"/>
  <c r="AP976" i="13" s="1"/>
  <c r="AQ976" i="13"/>
  <c r="AR976" i="13" a="1"/>
  <c r="AR976" i="13" s="1"/>
  <c r="AS976" i="13" a="1"/>
  <c r="AS976" i="13" s="1"/>
  <c r="BM976" i="13" a="1"/>
  <c r="BM976" i="13" s="1"/>
  <c r="CH976" i="13"/>
  <c r="CM976" i="13"/>
  <c r="F977" i="13"/>
  <c r="N977" i="13" a="1"/>
  <c r="N977" i="13" s="1"/>
  <c r="S977" i="13" a="1"/>
  <c r="S977" i="13" s="1"/>
  <c r="AD977" i="13"/>
  <c r="AH977" i="13"/>
  <c r="BS977" i="13" s="1"/>
  <c r="AI977" i="13"/>
  <c r="AJ977" i="13"/>
  <c r="AN977" i="13" a="1"/>
  <c r="AN977" i="13" s="1"/>
  <c r="AP977" i="13" a="1"/>
  <c r="AP977" i="13" s="1"/>
  <c r="AQ977" i="13"/>
  <c r="AR977" i="13" a="1"/>
  <c r="AR977" i="13" s="1"/>
  <c r="AS977" i="13" a="1"/>
  <c r="AS977" i="13" s="1"/>
  <c r="BM977" i="13" a="1"/>
  <c r="BM977" i="13" s="1"/>
  <c r="CA977" i="13"/>
  <c r="CH977" i="13"/>
  <c r="F978" i="13"/>
  <c r="N978" i="13" a="1"/>
  <c r="N978" i="13" s="1"/>
  <c r="S978" i="13" a="1"/>
  <c r="S978" i="13" s="1"/>
  <c r="AD978" i="13"/>
  <c r="AH978" i="13"/>
  <c r="BN978" i="13" s="1"/>
  <c r="AI978" i="13"/>
  <c r="AJ978" i="13"/>
  <c r="AN978" i="13" a="1"/>
  <c r="AN978" i="13" s="1"/>
  <c r="AP978" i="13" a="1"/>
  <c r="AP978" i="13" s="1"/>
  <c r="AQ978" i="13"/>
  <c r="AR978" i="13" a="1"/>
  <c r="AR978" i="13" s="1"/>
  <c r="AS978" i="13" a="1"/>
  <c r="AS978" i="13" s="1"/>
  <c r="BI978" i="13" a="1"/>
  <c r="BI978" i="13" s="1"/>
  <c r="BJ978" i="13" s="1"/>
  <c r="BM978" i="13" a="1"/>
  <c r="BM978" i="13" s="1"/>
  <c r="BS978" i="13"/>
  <c r="BW978" i="13"/>
  <c r="CA978" i="13"/>
  <c r="CM978" i="13"/>
  <c r="F979" i="13"/>
  <c r="N979" i="13" a="1"/>
  <c r="N979" i="13" s="1"/>
  <c r="S979" i="13" a="1"/>
  <c r="S979" i="13" s="1"/>
  <c r="AD979" i="13"/>
  <c r="AH979" i="13"/>
  <c r="BS979" i="13" s="1"/>
  <c r="AI979" i="13"/>
  <c r="AJ979" i="13"/>
  <c r="AN979" i="13" a="1"/>
  <c r="AN979" i="13" s="1"/>
  <c r="AP979" i="13" a="1"/>
  <c r="AP979" i="13" s="1"/>
  <c r="AQ979" i="13"/>
  <c r="AR979" i="13" a="1"/>
  <c r="AR979" i="13" s="1"/>
  <c r="AS979" i="13" a="1"/>
  <c r="AS979" i="13" s="1"/>
  <c r="BM979" i="13" a="1"/>
  <c r="BM979" i="13" s="1"/>
  <c r="CH979" i="13"/>
  <c r="A980" i="13"/>
  <c r="F980" i="13"/>
  <c r="N980" i="13" a="1"/>
  <c r="N980" i="13" s="1"/>
  <c r="S980" i="13" a="1"/>
  <c r="S980" i="13" s="1"/>
  <c r="AD980" i="13"/>
  <c r="AH980" i="13"/>
  <c r="BI980" i="13" s="1" a="1"/>
  <c r="BI980" i="13" s="1"/>
  <c r="AI980" i="13"/>
  <c r="AJ980" i="13"/>
  <c r="AM980" i="13"/>
  <c r="AN980" i="13" a="1"/>
  <c r="AN980" i="13" s="1"/>
  <c r="AP980" i="13" a="1"/>
  <c r="AP980" i="13" s="1"/>
  <c r="AQ980" i="13"/>
  <c r="AR980" i="13" a="1"/>
  <c r="AR980" i="13" s="1"/>
  <c r="AS980" i="13" a="1"/>
  <c r="AS980" i="13" s="1"/>
  <c r="BM980" i="13" a="1"/>
  <c r="BM980" i="13" s="1"/>
  <c r="BN980" i="13"/>
  <c r="BS980" i="13"/>
  <c r="BW980" i="13"/>
  <c r="CH980" i="13"/>
  <c r="CM980" i="13"/>
  <c r="CU980" i="13"/>
  <c r="A981" i="13"/>
  <c r="F981" i="13"/>
  <c r="N981" i="13" a="1"/>
  <c r="N981" i="13" s="1"/>
  <c r="S981" i="13" a="1"/>
  <c r="S981" i="13" s="1"/>
  <c r="AD981" i="13"/>
  <c r="AH981" i="13"/>
  <c r="BI981" i="13" s="1" a="1"/>
  <c r="BI981" i="13" s="1"/>
  <c r="AI981" i="13"/>
  <c r="AJ981" i="13"/>
  <c r="AM981" i="13"/>
  <c r="AN981" i="13" a="1"/>
  <c r="AN981" i="13" s="1"/>
  <c r="AP981" i="13" a="1"/>
  <c r="AP981" i="13" s="1"/>
  <c r="AQ981" i="13"/>
  <c r="AR981" i="13" a="1"/>
  <c r="AR981" i="13" s="1"/>
  <c r="AS981" i="13" a="1"/>
  <c r="AS981" i="13" s="1"/>
  <c r="BM981" i="13" a="1"/>
  <c r="BM981" i="13" s="1"/>
  <c r="BW981" i="13"/>
  <c r="CH981" i="13"/>
  <c r="CM981" i="13"/>
  <c r="CU981" i="13"/>
  <c r="A982" i="13"/>
  <c r="F982" i="13"/>
  <c r="N982" i="13" a="1"/>
  <c r="N982" i="13" s="1"/>
  <c r="S982" i="13" a="1"/>
  <c r="S982" i="13" s="1"/>
  <c r="AD982" i="13"/>
  <c r="AH982" i="13"/>
  <c r="BI982" i="13" s="1" a="1"/>
  <c r="BI982" i="13" s="1"/>
  <c r="AI982" i="13"/>
  <c r="AJ982" i="13"/>
  <c r="AM982" i="13"/>
  <c r="AN982" i="13" a="1"/>
  <c r="AN982" i="13" s="1"/>
  <c r="AP982" i="13" a="1"/>
  <c r="AP982" i="13" s="1"/>
  <c r="AQ982" i="13"/>
  <c r="AR982" i="13" a="1"/>
  <c r="AR982" i="13" s="1"/>
  <c r="AS982" i="13" a="1"/>
  <c r="AS982" i="13" s="1"/>
  <c r="BM982" i="13" a="1"/>
  <c r="BM982" i="13" s="1"/>
  <c r="BN982" i="13"/>
  <c r="BS982" i="13"/>
  <c r="BW982" i="13"/>
  <c r="CH982" i="13"/>
  <c r="CM982" i="13"/>
  <c r="CU982" i="13"/>
  <c r="A983" i="13"/>
  <c r="F983" i="13"/>
  <c r="N983" i="13" a="1"/>
  <c r="N983" i="13" s="1"/>
  <c r="S983" i="13" a="1"/>
  <c r="S983" i="13" s="1"/>
  <c r="AD983" i="13"/>
  <c r="AH983" i="13"/>
  <c r="BI983" i="13" s="1" a="1"/>
  <c r="AI983" i="13"/>
  <c r="AJ983" i="13"/>
  <c r="AM983" i="13"/>
  <c r="AN983" i="13" a="1"/>
  <c r="AN983" i="13" s="1"/>
  <c r="AP983" i="13" a="1"/>
  <c r="AP983" i="13" s="1"/>
  <c r="AQ983" i="13"/>
  <c r="AR983" i="13" a="1"/>
  <c r="AR983" i="13" s="1"/>
  <c r="AS983" i="13" a="1"/>
  <c r="AS983" i="13" s="1"/>
  <c r="BI983" i="13"/>
  <c r="BM983" i="13" a="1"/>
  <c r="BM983" i="13" s="1"/>
  <c r="CA983" i="13"/>
  <c r="CH983" i="13"/>
  <c r="CQ983" i="13"/>
  <c r="CU983" i="13"/>
  <c r="A984" i="13"/>
  <c r="F984" i="13"/>
  <c r="N984" i="13" a="1"/>
  <c r="N984" i="13" s="1"/>
  <c r="S984" i="13" a="1"/>
  <c r="S984" i="13" s="1"/>
  <c r="AD984" i="13"/>
  <c r="AH984" i="13"/>
  <c r="BI984" i="13" s="1" a="1"/>
  <c r="AI984" i="13"/>
  <c r="AJ984" i="13"/>
  <c r="AM984" i="13"/>
  <c r="AN984" i="13" a="1"/>
  <c r="AN984" i="13" s="1"/>
  <c r="AP984" i="13" a="1"/>
  <c r="AP984" i="13"/>
  <c r="AQ984" i="13"/>
  <c r="AR984" i="13" a="1"/>
  <c r="AR984" i="13"/>
  <c r="AS984" i="13" a="1"/>
  <c r="AS984" i="13" s="1"/>
  <c r="BI984" i="13"/>
  <c r="BJ984" i="13" s="1"/>
  <c r="BM984" i="13" a="1"/>
  <c r="BM984" i="13" s="1"/>
  <c r="BN984" i="13"/>
  <c r="BS984" i="13"/>
  <c r="BW984" i="13"/>
  <c r="CA984" i="13"/>
  <c r="CH984" i="13"/>
  <c r="CM984" i="13"/>
  <c r="CQ984" i="13"/>
  <c r="CU984" i="13"/>
  <c r="F985" i="13"/>
  <c r="N985" i="13" a="1"/>
  <c r="N985" i="13" s="1"/>
  <c r="S985" i="13" a="1"/>
  <c r="S985" i="13" s="1"/>
  <c r="AD985" i="13"/>
  <c r="AH985" i="13"/>
  <c r="BI985" i="13" s="1" a="1"/>
  <c r="BI985" i="13" s="1"/>
  <c r="AI985" i="13"/>
  <c r="AJ985" i="13"/>
  <c r="AN985" i="13" a="1"/>
  <c r="AN985" i="13" s="1"/>
  <c r="AP985" i="13" a="1"/>
  <c r="AP985" i="13" s="1"/>
  <c r="AQ985" i="13"/>
  <c r="AR985" i="13" a="1"/>
  <c r="AR985" i="13" s="1"/>
  <c r="AS985" i="13" a="1"/>
  <c r="AS985" i="13" s="1"/>
  <c r="BM985" i="13" a="1"/>
  <c r="BM985" i="13" s="1"/>
  <c r="CM985" i="13"/>
  <c r="F986" i="13"/>
  <c r="N986" i="13" a="1"/>
  <c r="N986" i="13" s="1"/>
  <c r="S986" i="13" a="1"/>
  <c r="S986" i="13" s="1"/>
  <c r="AD986" i="13"/>
  <c r="AH986" i="13"/>
  <c r="BI986" i="13" s="1" a="1"/>
  <c r="BI986" i="13" s="1"/>
  <c r="AI986" i="13"/>
  <c r="AJ986" i="13"/>
  <c r="AN986" i="13" a="1"/>
  <c r="AN986" i="13" s="1"/>
  <c r="AP986" i="13" a="1"/>
  <c r="AP986" i="13" s="1"/>
  <c r="AQ986" i="13"/>
  <c r="AR986" i="13" a="1"/>
  <c r="AR986" i="13"/>
  <c r="AS986" i="13" a="1"/>
  <c r="AS986" i="13" s="1"/>
  <c r="BM986" i="13" a="1"/>
  <c r="BM986" i="13" s="1"/>
  <c r="CM986" i="13"/>
  <c r="CQ986" i="13"/>
  <c r="CU986" i="13"/>
  <c r="F987" i="13"/>
  <c r="N987" i="13" a="1"/>
  <c r="N987" i="13" s="1"/>
  <c r="S987" i="13" a="1"/>
  <c r="S987" i="13" s="1"/>
  <c r="AD987" i="13"/>
  <c r="AH987" i="13"/>
  <c r="BI987" i="13" s="1" a="1"/>
  <c r="BI987" i="13" s="1"/>
  <c r="BJ987" i="13" s="1"/>
  <c r="AI987" i="13"/>
  <c r="AJ987" i="13"/>
  <c r="AN987" i="13" a="1"/>
  <c r="AN987" i="13"/>
  <c r="AP987" i="13" a="1"/>
  <c r="AP987" i="13" s="1"/>
  <c r="AQ987" i="13"/>
  <c r="AR987" i="13" a="1"/>
  <c r="AR987" i="13" s="1"/>
  <c r="AS987" i="13" a="1"/>
  <c r="AS987" i="13" s="1"/>
  <c r="BM987" i="13" a="1"/>
  <c r="BM987" i="13" s="1"/>
  <c r="CA987" i="13"/>
  <c r="CH987" i="13"/>
  <c r="CM987" i="13"/>
  <c r="F988" i="13"/>
  <c r="N988" i="13" a="1"/>
  <c r="N988" i="13" s="1"/>
  <c r="S988" i="13" a="1"/>
  <c r="S988" i="13" s="1"/>
  <c r="AD988" i="13"/>
  <c r="AH988" i="13"/>
  <c r="BN988" i="13" s="1"/>
  <c r="AI988" i="13"/>
  <c r="AJ988" i="13"/>
  <c r="AN988" i="13" a="1"/>
  <c r="AN988" i="13" s="1"/>
  <c r="AP988" i="13" a="1"/>
  <c r="AP988" i="13" s="1"/>
  <c r="AQ988" i="13"/>
  <c r="AR988" i="13" a="1"/>
  <c r="AR988" i="13" s="1"/>
  <c r="AS988" i="13" a="1"/>
  <c r="AS988" i="13" s="1"/>
  <c r="BM988" i="13" a="1"/>
  <c r="BM988" i="13" s="1"/>
  <c r="BS988" i="13"/>
  <c r="F989" i="13"/>
  <c r="N989" i="13" a="1"/>
  <c r="N989" i="13" s="1"/>
  <c r="S989" i="13" a="1"/>
  <c r="S989" i="13" s="1"/>
  <c r="AD989" i="13"/>
  <c r="AH989" i="13"/>
  <c r="BN989" i="13" s="1"/>
  <c r="AI989" i="13"/>
  <c r="AJ989" i="13"/>
  <c r="BL989" i="13" s="1"/>
  <c r="AN989" i="13" a="1"/>
  <c r="AN989" i="13"/>
  <c r="AP989" i="13" a="1"/>
  <c r="AP989" i="13" s="1"/>
  <c r="AQ989" i="13"/>
  <c r="AR989" i="13" a="1"/>
  <c r="AR989" i="13" s="1"/>
  <c r="AS989" i="13" a="1"/>
  <c r="AS989" i="13" s="1"/>
  <c r="BI989" i="13" a="1"/>
  <c r="BI989" i="13" s="1"/>
  <c r="BM989" i="13" a="1"/>
  <c r="BM989" i="13"/>
  <c r="CA989" i="13"/>
  <c r="CH989" i="13"/>
  <c r="CM989" i="13"/>
  <c r="CQ989" i="13"/>
  <c r="F990" i="13"/>
  <c r="N990" i="13" a="1"/>
  <c r="N990" i="13" s="1"/>
  <c r="S990" i="13" a="1"/>
  <c r="S990" i="13" s="1"/>
  <c r="AD990" i="13"/>
  <c r="AH990" i="13"/>
  <c r="AM990" i="13" s="1"/>
  <c r="AI990" i="13"/>
  <c r="AJ990" i="13"/>
  <c r="AN990" i="13" a="1"/>
  <c r="AN990" i="13" s="1"/>
  <c r="AP990" i="13" a="1"/>
  <c r="AP990" i="13" s="1"/>
  <c r="AQ990" i="13"/>
  <c r="AR990" i="13" a="1"/>
  <c r="AR990" i="13" s="1"/>
  <c r="AS990" i="13" a="1"/>
  <c r="AS990" i="13" s="1"/>
  <c r="BL990" i="13"/>
  <c r="BM990" i="13" a="1"/>
  <c r="BM990" i="13" s="1"/>
  <c r="CM990" i="13"/>
  <c r="F991" i="13"/>
  <c r="N991" i="13" a="1"/>
  <c r="N991" i="13" s="1"/>
  <c r="S991" i="13" a="1"/>
  <c r="S991" i="13" s="1"/>
  <c r="AD991" i="13"/>
  <c r="AH991" i="13"/>
  <c r="CM991" i="13" s="1"/>
  <c r="AI991" i="13"/>
  <c r="AJ991" i="13"/>
  <c r="BL991" i="13" s="1"/>
  <c r="AN991" i="13" a="1"/>
  <c r="AN991" i="13" s="1"/>
  <c r="AP991" i="13" a="1"/>
  <c r="AP991" i="13" s="1"/>
  <c r="AQ991" i="13"/>
  <c r="AR991" i="13" a="1"/>
  <c r="AR991" i="13"/>
  <c r="AS991" i="13" a="1"/>
  <c r="AS991" i="13"/>
  <c r="BK991" i="13"/>
  <c r="BM991" i="13" a="1"/>
  <c r="BM991" i="13" s="1"/>
  <c r="F992" i="13"/>
  <c r="N992" i="13" a="1"/>
  <c r="N992" i="13" s="1"/>
  <c r="S992" i="13" a="1"/>
  <c r="S992" i="13" s="1"/>
  <c r="AD992" i="13"/>
  <c r="AH992" i="13"/>
  <c r="AM992" i="13" s="1"/>
  <c r="AI992" i="13"/>
  <c r="AJ992" i="13"/>
  <c r="BL992" i="13" s="1"/>
  <c r="AN992" i="13" a="1"/>
  <c r="AN992" i="13" s="1"/>
  <c r="AP992" i="13" a="1"/>
  <c r="AP992" i="13"/>
  <c r="AQ992" i="13"/>
  <c r="AR992" i="13" a="1"/>
  <c r="AR992" i="13" s="1"/>
  <c r="AS992" i="13" a="1"/>
  <c r="AS992" i="13" s="1"/>
  <c r="BM992" i="13" a="1"/>
  <c r="BM992" i="13"/>
  <c r="F993" i="13"/>
  <c r="N993" i="13" a="1"/>
  <c r="N993" i="13" s="1"/>
  <c r="S993" i="13" a="1"/>
  <c r="S993" i="13" s="1"/>
  <c r="AD993" i="13"/>
  <c r="AH993" i="13"/>
  <c r="AI993" i="13"/>
  <c r="AJ993" i="13"/>
  <c r="BL993" i="13" s="1"/>
  <c r="AN993" i="13" a="1"/>
  <c r="AN993" i="13" s="1"/>
  <c r="AP993" i="13" a="1"/>
  <c r="AP993" i="13" s="1"/>
  <c r="AQ993" i="13"/>
  <c r="AR993" i="13" a="1"/>
  <c r="AR993" i="13"/>
  <c r="AS993" i="13" a="1"/>
  <c r="AS993" i="13" s="1"/>
  <c r="BK993" i="13"/>
  <c r="BM993" i="13" a="1"/>
  <c r="BM993" i="13" s="1"/>
  <c r="CM993" i="13"/>
  <c r="F994" i="13"/>
  <c r="N994" i="13" a="1"/>
  <c r="N994" i="13" s="1"/>
  <c r="S994" i="13" a="1"/>
  <c r="S994" i="13" s="1"/>
  <c r="AD994" i="13"/>
  <c r="AH994" i="13"/>
  <c r="AM994" i="13" s="1"/>
  <c r="AI994" i="13"/>
  <c r="AJ994" i="13"/>
  <c r="BL994" i="13" s="1"/>
  <c r="AN994" i="13" a="1"/>
  <c r="AN994" i="13" s="1"/>
  <c r="AP994" i="13" a="1"/>
  <c r="AP994" i="13"/>
  <c r="AQ994" i="13"/>
  <c r="AR994" i="13" a="1"/>
  <c r="AR994" i="13" s="1"/>
  <c r="AS994" i="13" a="1"/>
  <c r="AS994" i="13"/>
  <c r="BK994" i="13"/>
  <c r="BM994" i="13" a="1"/>
  <c r="BM994" i="13"/>
  <c r="F995" i="13"/>
  <c r="N995" i="13" a="1"/>
  <c r="N995" i="13" s="1"/>
  <c r="S995" i="13" a="1"/>
  <c r="S995" i="13" s="1"/>
  <c r="AD995" i="13"/>
  <c r="AH995" i="13"/>
  <c r="BS995" i="13" s="1"/>
  <c r="AI995" i="13"/>
  <c r="AJ995" i="13"/>
  <c r="BL995" i="13" s="1"/>
  <c r="AN995" i="13" a="1"/>
  <c r="AN995" i="13" s="1"/>
  <c r="AP995" i="13" a="1"/>
  <c r="AP995" i="13"/>
  <c r="AQ995" i="13"/>
  <c r="AR995" i="13" a="1"/>
  <c r="AR995" i="13" s="1"/>
  <c r="AS995" i="13" a="1"/>
  <c r="AS995" i="13"/>
  <c r="BM995" i="13" a="1"/>
  <c r="BM995" i="13"/>
  <c r="CM995" i="13"/>
  <c r="F996" i="13"/>
  <c r="N996" i="13" a="1"/>
  <c r="N996" i="13" s="1"/>
  <c r="S996" i="13" a="1"/>
  <c r="S996" i="13" s="1"/>
  <c r="AD996" i="13"/>
  <c r="AH996" i="13"/>
  <c r="AM996" i="13" s="1"/>
  <c r="AI996" i="13"/>
  <c r="AJ996" i="13"/>
  <c r="BL996" i="13" s="1"/>
  <c r="AN996" i="13" a="1"/>
  <c r="AN996" i="13" s="1"/>
  <c r="AP996" i="13" a="1"/>
  <c r="AP996" i="13" s="1"/>
  <c r="AQ996" i="13"/>
  <c r="AR996" i="13" a="1"/>
  <c r="AR996" i="13" s="1"/>
  <c r="AS996" i="13" a="1"/>
  <c r="AS996" i="13"/>
  <c r="BK996" i="13"/>
  <c r="BM996" i="13" a="1"/>
  <c r="BM996" i="13" s="1"/>
  <c r="BN996" i="13"/>
  <c r="CM996" i="13"/>
  <c r="F997" i="13"/>
  <c r="N997" i="13" a="1"/>
  <c r="N997" i="13" s="1"/>
  <c r="S997" i="13" a="1"/>
  <c r="S997" i="13" s="1"/>
  <c r="AD997" i="13"/>
  <c r="AH997" i="13"/>
  <c r="BS997" i="13" s="1"/>
  <c r="AI997" i="13"/>
  <c r="AJ997" i="13"/>
  <c r="BL997" i="13" s="1"/>
  <c r="AN997" i="13" a="1"/>
  <c r="AN997" i="13" s="1"/>
  <c r="AP997" i="13" a="1"/>
  <c r="AP997" i="13"/>
  <c r="AQ997" i="13"/>
  <c r="AR997" i="13" a="1"/>
  <c r="AR997" i="13" s="1"/>
  <c r="AS997" i="13" a="1"/>
  <c r="AS997" i="13"/>
  <c r="BM997" i="13" a="1"/>
  <c r="BM997" i="13"/>
  <c r="CM997" i="13"/>
  <c r="F998" i="13"/>
  <c r="N998" i="13" a="1"/>
  <c r="N998" i="13" s="1"/>
  <c r="S998" i="13" a="1"/>
  <c r="S998" i="13" s="1"/>
  <c r="AD998" i="13"/>
  <c r="AH998" i="13"/>
  <c r="AM998" i="13" s="1"/>
  <c r="AI998" i="13"/>
  <c r="AJ998" i="13"/>
  <c r="AN998" i="13" a="1"/>
  <c r="AN998" i="13" s="1"/>
  <c r="AP998" i="13" a="1"/>
  <c r="AP998" i="13" s="1"/>
  <c r="AQ998" i="13"/>
  <c r="AR998" i="13" a="1"/>
  <c r="AR998" i="13" s="1"/>
  <c r="AS998" i="13" a="1"/>
  <c r="AS998" i="13" s="1"/>
  <c r="BK998" i="13"/>
  <c r="BL998" i="13"/>
  <c r="BM998" i="13" a="1"/>
  <c r="BM998" i="13" s="1"/>
  <c r="BN998" i="13"/>
  <c r="F999" i="13"/>
  <c r="N999" i="13" a="1"/>
  <c r="N999" i="13" s="1"/>
  <c r="S999" i="13" a="1"/>
  <c r="S999" i="13" s="1"/>
  <c r="AD999" i="13"/>
  <c r="AH999" i="13"/>
  <c r="BK999" i="13" s="1"/>
  <c r="AI999" i="13"/>
  <c r="AJ999" i="13"/>
  <c r="BL999" i="13" s="1"/>
  <c r="AN999" i="13" a="1"/>
  <c r="AN999" i="13" s="1"/>
  <c r="AP999" i="13" a="1"/>
  <c r="AP999" i="13" s="1"/>
  <c r="AQ999" i="13"/>
  <c r="AR999" i="13" a="1"/>
  <c r="AR999" i="13"/>
  <c r="AS999" i="13" a="1"/>
  <c r="AS999" i="13" s="1"/>
  <c r="BM999" i="13" a="1"/>
  <c r="BM999" i="13"/>
  <c r="F1000" i="13"/>
  <c r="N1000" i="13" a="1"/>
  <c r="N1000" i="13" s="1"/>
  <c r="S1000" i="13" a="1"/>
  <c r="S1000" i="13" s="1"/>
  <c r="AD1000" i="13"/>
  <c r="AH1000" i="13"/>
  <c r="AM1000" i="13" s="1"/>
  <c r="AI1000" i="13"/>
  <c r="AJ1000" i="13"/>
  <c r="AN1000" i="13" a="1"/>
  <c r="AN1000" i="13" s="1"/>
  <c r="AP1000" i="13" a="1"/>
  <c r="AP1000" i="13"/>
  <c r="AQ1000" i="13"/>
  <c r="AR1000" i="13" a="1"/>
  <c r="AR1000" i="13" s="1"/>
  <c r="AS1000" i="13" a="1"/>
  <c r="AS1000" i="13" s="1"/>
  <c r="BL1000" i="13"/>
  <c r="BM1000" i="13" a="1"/>
  <c r="BM1000" i="13" s="1"/>
  <c r="CM1000" i="13"/>
  <c r="F1001" i="13"/>
  <c r="N1001" i="13" a="1"/>
  <c r="N1001" i="13" s="1"/>
  <c r="S1001" i="13" a="1"/>
  <c r="S1001" i="13" s="1"/>
  <c r="AD1001" i="13"/>
  <c r="AH1001" i="13"/>
  <c r="BS1001" i="13" s="1"/>
  <c r="AI1001" i="13"/>
  <c r="AJ1001" i="13"/>
  <c r="BL1001" i="13" s="1"/>
  <c r="AN1001" i="13" a="1"/>
  <c r="AN1001" i="13" s="1"/>
  <c r="AP1001" i="13" a="1"/>
  <c r="AP1001" i="13" s="1"/>
  <c r="AQ1001" i="13"/>
  <c r="AR1001" i="13" a="1"/>
  <c r="AR1001" i="13"/>
  <c r="AS1001" i="13" a="1"/>
  <c r="AS1001" i="13" s="1"/>
  <c r="BK1001" i="13"/>
  <c r="BM1001" i="13" a="1"/>
  <c r="BM1001" i="13" s="1"/>
  <c r="CM1001" i="13"/>
  <c r="F1002" i="13"/>
  <c r="N1002" i="13" a="1"/>
  <c r="N1002" i="13" s="1"/>
  <c r="S1002" i="13" a="1"/>
  <c r="S1002" i="13" s="1"/>
  <c r="AD1002" i="13"/>
  <c r="AH1002" i="13"/>
  <c r="AM1002" i="13" s="1"/>
  <c r="AI1002" i="13"/>
  <c r="AJ1002" i="13"/>
  <c r="BL1002" i="13" s="1"/>
  <c r="AN1002" i="13" a="1"/>
  <c r="AN1002" i="13" s="1"/>
  <c r="AP1002" i="13" a="1"/>
  <c r="AP1002" i="13"/>
  <c r="AQ1002" i="13"/>
  <c r="AR1002" i="13" a="1"/>
  <c r="AR1002" i="13"/>
  <c r="AS1002" i="13" a="1"/>
  <c r="AS1002" i="13" s="1"/>
  <c r="BM1002" i="13" a="1"/>
  <c r="BM1002" i="13" s="1"/>
  <c r="F1003" i="13"/>
  <c r="N1003" i="13" a="1"/>
  <c r="N1003" i="13" s="1"/>
  <c r="S1003" i="13" a="1"/>
  <c r="S1003" i="13" s="1"/>
  <c r="AD1003" i="13"/>
  <c r="AH1003" i="13"/>
  <c r="CM1003" i="13" s="1"/>
  <c r="AI1003" i="13"/>
  <c r="AJ1003" i="13"/>
  <c r="BL1003" i="13" s="1"/>
  <c r="AN1003" i="13" a="1"/>
  <c r="AN1003" i="13" s="1"/>
  <c r="AP1003" i="13" a="1"/>
  <c r="AP1003" i="13" s="1"/>
  <c r="AQ1003" i="13"/>
  <c r="AR1003" i="13" a="1"/>
  <c r="AR1003" i="13" s="1"/>
  <c r="AS1003" i="13" a="1"/>
  <c r="AS1003" i="13" s="1"/>
  <c r="BM1003" i="13" a="1"/>
  <c r="BM1003" i="13" s="1"/>
  <c r="F1004" i="13"/>
  <c r="N1004" i="13" a="1"/>
  <c r="N1004" i="13" s="1"/>
  <c r="S1004" i="13" a="1"/>
  <c r="S1004" i="13" s="1"/>
  <c r="AD1004" i="13"/>
  <c r="AH1004" i="13"/>
  <c r="AM1004" i="13" s="1"/>
  <c r="AI1004" i="13"/>
  <c r="AJ1004" i="13"/>
  <c r="BL1004" i="13" s="1"/>
  <c r="AN1004" i="13" a="1"/>
  <c r="AN1004" i="13" s="1"/>
  <c r="AP1004" i="13" a="1"/>
  <c r="AP1004" i="13" s="1"/>
  <c r="AQ1004" i="13"/>
  <c r="AR1004" i="13" a="1"/>
  <c r="AR1004" i="13"/>
  <c r="AS1004" i="13" a="1"/>
  <c r="AS1004" i="13" s="1"/>
  <c r="BK1004" i="13"/>
  <c r="BM1004" i="13" a="1"/>
  <c r="BM1004" i="13" s="1"/>
  <c r="BN1004" i="13"/>
  <c r="CM1004" i="13"/>
  <c r="F1005" i="13"/>
  <c r="N1005" i="13" a="1"/>
  <c r="N1005" i="13" s="1"/>
  <c r="S1005" i="13" a="1"/>
  <c r="S1005" i="13" s="1"/>
  <c r="AD1005" i="13"/>
  <c r="AH1005" i="13"/>
  <c r="BS1005" i="13" s="1"/>
  <c r="AI1005" i="13"/>
  <c r="AJ1005" i="13"/>
  <c r="BL1005" i="13" s="1"/>
  <c r="AN1005" i="13" a="1"/>
  <c r="AN1005" i="13" s="1"/>
  <c r="AP1005" i="13" a="1"/>
  <c r="AP1005" i="13" s="1"/>
  <c r="AQ1005" i="13"/>
  <c r="AR1005" i="13" a="1"/>
  <c r="AR1005" i="13" s="1"/>
  <c r="AS1005" i="13" a="1"/>
  <c r="AS1005" i="13"/>
  <c r="BK1005" i="13"/>
  <c r="BM1005" i="13" a="1"/>
  <c r="BM1005" i="13" s="1"/>
  <c r="F1006" i="13"/>
  <c r="N1006" i="13" a="1"/>
  <c r="N1006" i="13" s="1"/>
  <c r="S1006" i="13" a="1"/>
  <c r="S1006" i="13" s="1"/>
  <c r="AD1006" i="13"/>
  <c r="AH1006" i="13"/>
  <c r="AM1006" i="13" s="1"/>
  <c r="AI1006" i="13"/>
  <c r="AJ1006" i="13"/>
  <c r="BL1006" i="13" s="1"/>
  <c r="AN1006" i="13" a="1"/>
  <c r="AN1006" i="13" s="1"/>
  <c r="AP1006" i="13" a="1"/>
  <c r="AP1006" i="13" s="1"/>
  <c r="AQ1006" i="13"/>
  <c r="AR1006" i="13" a="1"/>
  <c r="AR1006" i="13"/>
  <c r="AS1006" i="13" a="1"/>
  <c r="AS1006" i="13" s="1"/>
  <c r="BM1006" i="13" a="1"/>
  <c r="BM1006" i="13" s="1"/>
  <c r="F1007" i="13"/>
  <c r="N1007" i="13" a="1"/>
  <c r="N1007" i="13" s="1"/>
  <c r="S1007" i="13" a="1"/>
  <c r="S1007" i="13" s="1"/>
  <c r="AD1007" i="13"/>
  <c r="AH1007" i="13"/>
  <c r="BS1007" i="13" s="1"/>
  <c r="AI1007" i="13"/>
  <c r="AJ1007" i="13"/>
  <c r="BL1007" i="13" s="1"/>
  <c r="AN1007" i="13" a="1"/>
  <c r="AN1007" i="13" s="1"/>
  <c r="AP1007" i="13" a="1"/>
  <c r="AP1007" i="13" s="1"/>
  <c r="AQ1007" i="13"/>
  <c r="AR1007" i="13" a="1"/>
  <c r="AR1007" i="13" s="1"/>
  <c r="AS1007" i="13" a="1"/>
  <c r="AS1007" i="13" s="1"/>
  <c r="BM1007" i="13" a="1"/>
  <c r="BM1007" i="13" s="1"/>
  <c r="F1008" i="13"/>
  <c r="N1008" i="13" a="1"/>
  <c r="N1008" i="13" s="1"/>
  <c r="S1008" i="13" a="1"/>
  <c r="S1008" i="13" s="1"/>
  <c r="AD1008" i="13"/>
  <c r="AH1008" i="13"/>
  <c r="AM1008" i="13" s="1"/>
  <c r="AI1008" i="13"/>
  <c r="AJ1008" i="13"/>
  <c r="BL1008" i="13" s="1"/>
  <c r="AN1008" i="13" a="1"/>
  <c r="AN1008" i="13" s="1"/>
  <c r="AP1008" i="13" a="1"/>
  <c r="AP1008" i="13" s="1"/>
  <c r="AQ1008" i="13"/>
  <c r="AR1008" i="13" a="1"/>
  <c r="AR1008" i="13" s="1"/>
  <c r="AS1008" i="13" a="1"/>
  <c r="AS1008" i="13"/>
  <c r="BK1008" i="13"/>
  <c r="BM1008" i="13" a="1"/>
  <c r="BM1008" i="13" s="1"/>
  <c r="BN1008" i="13"/>
  <c r="CM1008" i="13"/>
  <c r="F1009" i="13"/>
  <c r="N1009" i="13" a="1"/>
  <c r="N1009" i="13" s="1"/>
  <c r="S1009" i="13" a="1"/>
  <c r="S1009" i="13" s="1"/>
  <c r="AD1009" i="13"/>
  <c r="AH1009" i="13"/>
  <c r="BS1009" i="13" s="1"/>
  <c r="AI1009" i="13"/>
  <c r="AJ1009" i="13"/>
  <c r="BL1009" i="13" s="1"/>
  <c r="AN1009" i="13" a="1"/>
  <c r="AN1009" i="13" s="1"/>
  <c r="AP1009" i="13" a="1"/>
  <c r="AP1009" i="13" s="1"/>
  <c r="AQ1009" i="13"/>
  <c r="AR1009" i="13" a="1"/>
  <c r="AR1009" i="13"/>
  <c r="AS1009" i="13" a="1"/>
  <c r="AS1009" i="13" s="1"/>
  <c r="BK1009" i="13"/>
  <c r="BM1009" i="13" a="1"/>
  <c r="BM1009" i="13" s="1"/>
  <c r="CM1009" i="13"/>
  <c r="F1010" i="13"/>
  <c r="N1010" i="13" a="1"/>
  <c r="N1010" i="13" s="1"/>
  <c r="S1010" i="13" a="1"/>
  <c r="S1010" i="13" s="1"/>
  <c r="AD1010" i="13"/>
  <c r="AH1010" i="13"/>
  <c r="AM1010" i="13" s="1"/>
  <c r="AI1010" i="13"/>
  <c r="AJ1010" i="13"/>
  <c r="BL1010" i="13" s="1"/>
  <c r="AN1010" i="13" a="1"/>
  <c r="AN1010" i="13" s="1"/>
  <c r="AP1010" i="13" a="1"/>
  <c r="AP1010" i="13" s="1"/>
  <c r="AQ1010" i="13"/>
  <c r="AR1010" i="13" a="1"/>
  <c r="AR1010" i="13"/>
  <c r="AS1010" i="13" a="1"/>
  <c r="AS1010" i="13"/>
  <c r="BK1010" i="13"/>
  <c r="BM1010" i="13" a="1"/>
  <c r="BM1010" i="13" s="1"/>
  <c r="BN1010" i="13"/>
  <c r="CM1010" i="13"/>
  <c r="F1011" i="13"/>
  <c r="N1011" i="13" a="1"/>
  <c r="N1011" i="13" s="1"/>
  <c r="S1011" i="13" a="1"/>
  <c r="S1011" i="13" s="1"/>
  <c r="AD1011" i="13"/>
  <c r="AH1011" i="13"/>
  <c r="BS1011" i="13" s="1"/>
  <c r="AI1011" i="13"/>
  <c r="AJ1011" i="13"/>
  <c r="BL1011" i="13" s="1"/>
  <c r="AN1011" i="13" a="1"/>
  <c r="AN1011" i="13" s="1"/>
  <c r="AP1011" i="13" a="1"/>
  <c r="AP1011" i="13" s="1"/>
  <c r="AQ1011" i="13"/>
  <c r="AR1011" i="13" a="1"/>
  <c r="AR1011" i="13"/>
  <c r="AS1011" i="13" a="1"/>
  <c r="AS1011" i="13" s="1"/>
  <c r="BM1011" i="13" a="1"/>
  <c r="BM1011" i="13" s="1"/>
  <c r="F1012" i="13"/>
  <c r="N1012" i="13" a="1"/>
  <c r="N1012" i="13" s="1"/>
  <c r="S1012" i="13" a="1"/>
  <c r="S1012" i="13" s="1"/>
  <c r="AD1012" i="13"/>
  <c r="AH1012" i="13"/>
  <c r="AM1012" i="13" s="1"/>
  <c r="AI1012" i="13"/>
  <c r="AJ1012" i="13"/>
  <c r="BL1012" i="13" s="1"/>
  <c r="AN1012" i="13" a="1"/>
  <c r="AN1012" i="13" s="1"/>
  <c r="AP1012" i="13" a="1"/>
  <c r="AP1012" i="13" s="1"/>
  <c r="AQ1012" i="13"/>
  <c r="AR1012" i="13" a="1"/>
  <c r="AR1012" i="13"/>
  <c r="AS1012" i="13" a="1"/>
  <c r="AS1012" i="13" s="1"/>
  <c r="BM1012" i="13" a="1"/>
  <c r="BM1012" i="13" s="1"/>
  <c r="F1013" i="13"/>
  <c r="N1013" i="13" a="1"/>
  <c r="N1013" i="13" s="1"/>
  <c r="S1013" i="13" a="1"/>
  <c r="S1013" i="13" s="1"/>
  <c r="AD1013" i="13"/>
  <c r="AH1013" i="13"/>
  <c r="BS1013" i="13" s="1"/>
  <c r="AI1013" i="13"/>
  <c r="AJ1013" i="13"/>
  <c r="BL1013" i="13" s="1"/>
  <c r="AN1013" i="13" a="1"/>
  <c r="AN1013" i="13" s="1"/>
  <c r="AP1013" i="13" a="1"/>
  <c r="AP1013" i="13" s="1"/>
  <c r="AQ1013" i="13"/>
  <c r="AR1013" i="13" a="1"/>
  <c r="AR1013" i="13" s="1"/>
  <c r="AS1013" i="13" a="1"/>
  <c r="AS1013" i="13"/>
  <c r="BK1013" i="13"/>
  <c r="BM1013" i="13" a="1"/>
  <c r="BM1013" i="13" s="1"/>
  <c r="CM1013" i="13"/>
  <c r="F1014" i="13"/>
  <c r="N1014" i="13" a="1"/>
  <c r="N1014" i="13" s="1"/>
  <c r="S1014" i="13" a="1"/>
  <c r="S1014" i="13" s="1"/>
  <c r="AD1014" i="13"/>
  <c r="AH1014" i="13"/>
  <c r="AM1014" i="13" s="1"/>
  <c r="AI1014" i="13"/>
  <c r="AJ1014" i="13"/>
  <c r="BL1014" i="13" s="1"/>
  <c r="AN1014" i="13" a="1"/>
  <c r="AN1014" i="13" s="1"/>
  <c r="AP1014" i="13" a="1"/>
  <c r="AP1014" i="13" s="1"/>
  <c r="AQ1014" i="13"/>
  <c r="AR1014" i="13" a="1"/>
  <c r="AR1014" i="13" s="1"/>
  <c r="AS1014" i="13" a="1"/>
  <c r="AS1014" i="13"/>
  <c r="BM1014" i="13" a="1"/>
  <c r="BM1014" i="13" s="1"/>
  <c r="BN1014" i="13"/>
  <c r="CM1014" i="13"/>
  <c r="F1015" i="13"/>
  <c r="N1015" i="13" a="1"/>
  <c r="N1015" i="13" s="1"/>
  <c r="S1015" i="13" a="1"/>
  <c r="S1015" i="13" s="1"/>
  <c r="AD1015" i="13"/>
  <c r="AH1015" i="13"/>
  <c r="BS1015" i="13" s="1"/>
  <c r="AI1015" i="13"/>
  <c r="AJ1015" i="13"/>
  <c r="BL1015" i="13" s="1"/>
  <c r="AN1015" i="13" a="1"/>
  <c r="AN1015" i="13" s="1"/>
  <c r="AP1015" i="13" a="1"/>
  <c r="AP1015" i="13" s="1"/>
  <c r="AQ1015" i="13"/>
  <c r="AR1015" i="13" a="1"/>
  <c r="AR1015" i="13"/>
  <c r="AS1015" i="13" a="1"/>
  <c r="AS1015" i="13"/>
  <c r="BK1015" i="13"/>
  <c r="BM1015" i="13" a="1"/>
  <c r="BM1015" i="13" s="1"/>
  <c r="CM1015" i="13"/>
  <c r="F1016" i="13"/>
  <c r="N1016" i="13" a="1"/>
  <c r="N1016" i="13" s="1"/>
  <c r="S1016" i="13" a="1"/>
  <c r="S1016" i="13" s="1"/>
  <c r="AD1016" i="13"/>
  <c r="AH1016" i="13"/>
  <c r="AM1016" i="13" s="1"/>
  <c r="AI1016" i="13"/>
  <c r="AJ1016" i="13"/>
  <c r="BL1016" i="13" s="1"/>
  <c r="AN1016" i="13" a="1"/>
  <c r="AN1016" i="13" s="1"/>
  <c r="AP1016" i="13" a="1"/>
  <c r="AP1016" i="13" s="1"/>
  <c r="AQ1016" i="13"/>
  <c r="AR1016" i="13" a="1"/>
  <c r="AR1016" i="13" s="1"/>
  <c r="AS1016" i="13" a="1"/>
  <c r="AS1016" i="13"/>
  <c r="BK1016" i="13"/>
  <c r="BM1016" i="13" a="1"/>
  <c r="BM1016" i="13" s="1"/>
  <c r="CM1016" i="13"/>
  <c r="CU1016" i="13"/>
  <c r="F1017" i="13"/>
  <c r="N1017" i="13" a="1"/>
  <c r="N1017" i="13" s="1"/>
  <c r="S1017" i="13" a="1"/>
  <c r="S1017" i="13" s="1"/>
  <c r="AD1017" i="13"/>
  <c r="AH1017" i="13"/>
  <c r="BS1017" i="13" s="1"/>
  <c r="AI1017" i="13"/>
  <c r="AJ1017" i="13"/>
  <c r="BL1017" i="13" s="1"/>
  <c r="AN1017" i="13" a="1"/>
  <c r="AN1017" i="13" s="1"/>
  <c r="AP1017" i="13" a="1"/>
  <c r="AP1017" i="13" s="1"/>
  <c r="AQ1017" i="13"/>
  <c r="AR1017" i="13" a="1"/>
  <c r="AR1017" i="13" s="1"/>
  <c r="AS1017" i="13" a="1"/>
  <c r="AS1017" i="13" s="1"/>
  <c r="BM1017" i="13" a="1"/>
  <c r="BM1017" i="13" s="1"/>
  <c r="F1018" i="13"/>
  <c r="N1018" i="13" a="1"/>
  <c r="N1018" i="13" s="1"/>
  <c r="S1018" i="13" a="1"/>
  <c r="S1018" i="13" s="1"/>
  <c r="AD1018" i="13"/>
  <c r="AH1018" i="13"/>
  <c r="AM1018" i="13" s="1"/>
  <c r="AI1018" i="13"/>
  <c r="AJ1018" i="13"/>
  <c r="BK1018" i="13" s="1"/>
  <c r="AN1018" i="13" a="1"/>
  <c r="AN1018" i="13" s="1"/>
  <c r="AP1018" i="13" a="1"/>
  <c r="AP1018" i="13" s="1"/>
  <c r="AQ1018" i="13"/>
  <c r="AR1018" i="13" a="1"/>
  <c r="AR1018" i="13" s="1"/>
  <c r="AS1018" i="13" a="1"/>
  <c r="AS1018" i="13"/>
  <c r="BM1018" i="13" a="1"/>
  <c r="BM1018" i="13" s="1"/>
  <c r="BN1018" i="13"/>
  <c r="CM1018" i="13"/>
  <c r="CU1018" i="13"/>
  <c r="F1019" i="13"/>
  <c r="N1019" i="13" a="1"/>
  <c r="N1019" i="13" s="1"/>
  <c r="S1019" i="13" a="1"/>
  <c r="S1019" i="13" s="1"/>
  <c r="AD1019" i="13"/>
  <c r="AH1019" i="13"/>
  <c r="BS1019" i="13" s="1"/>
  <c r="AI1019" i="13"/>
  <c r="AJ1019" i="13"/>
  <c r="BL1019" i="13" s="1"/>
  <c r="AN1019" i="13" a="1"/>
  <c r="AN1019" i="13" s="1"/>
  <c r="AP1019" i="13" a="1"/>
  <c r="AP1019" i="13" s="1"/>
  <c r="AQ1019" i="13"/>
  <c r="AR1019" i="13" a="1"/>
  <c r="AR1019" i="13"/>
  <c r="AS1019" i="13" a="1"/>
  <c r="AS1019" i="13" s="1"/>
  <c r="BM1019" i="13" a="1"/>
  <c r="BM1019" i="13" s="1"/>
  <c r="CM1019" i="13"/>
  <c r="F1020" i="13"/>
  <c r="N1020" i="13" a="1"/>
  <c r="N1020" i="13" s="1"/>
  <c r="S1020" i="13" a="1"/>
  <c r="S1020" i="13" s="1"/>
  <c r="AD1020" i="13"/>
  <c r="AH1020" i="13"/>
  <c r="AM1020" i="13" s="1"/>
  <c r="AI1020" i="13"/>
  <c r="AJ1020" i="13"/>
  <c r="BK1020" i="13" s="1"/>
  <c r="AN1020" i="13" a="1"/>
  <c r="AN1020" i="13" s="1"/>
  <c r="AP1020" i="13" a="1"/>
  <c r="AP1020" i="13" s="1"/>
  <c r="AQ1020" i="13"/>
  <c r="AR1020" i="13" a="1"/>
  <c r="AR1020" i="13"/>
  <c r="AS1020" i="13" a="1"/>
  <c r="AS1020" i="13"/>
  <c r="BM1020" i="13" a="1"/>
  <c r="BM1020" i="13" s="1"/>
  <c r="BN1020" i="13"/>
  <c r="CM1020" i="13"/>
  <c r="CU1020" i="13"/>
  <c r="F1021" i="13"/>
  <c r="N1021" i="13" a="1"/>
  <c r="N1021" i="13" s="1"/>
  <c r="S1021" i="13" a="1"/>
  <c r="S1021" i="13" s="1"/>
  <c r="AD1021" i="13"/>
  <c r="AH1021" i="13"/>
  <c r="BS1021" i="13" s="1"/>
  <c r="AI1021" i="13"/>
  <c r="AJ1021" i="13"/>
  <c r="BL1021" i="13" s="1"/>
  <c r="AN1021" i="13" a="1"/>
  <c r="AN1021" i="13" s="1"/>
  <c r="AP1021" i="13" a="1"/>
  <c r="AP1021" i="13" s="1"/>
  <c r="AQ1021" i="13"/>
  <c r="AR1021" i="13" a="1"/>
  <c r="AR1021" i="13"/>
  <c r="AS1021" i="13" a="1"/>
  <c r="AS1021" i="13" s="1"/>
  <c r="BM1021" i="13" a="1"/>
  <c r="BM1021" i="13" s="1"/>
  <c r="F14" i="13" a="1"/>
  <c r="F14" i="13" s="1"/>
  <c r="D5" i="13"/>
  <c r="D4" i="13"/>
  <c r="AD23" i="13"/>
  <c r="AD24" i="13"/>
  <c r="AD25" i="13"/>
  <c r="AD26" i="13"/>
  <c r="AD27" i="13"/>
  <c r="AD28" i="13"/>
  <c r="AD29" i="13"/>
  <c r="AD30" i="13"/>
  <c r="AD31" i="13"/>
  <c r="AD32" i="13"/>
  <c r="AD33" i="13"/>
  <c r="AD34" i="13"/>
  <c r="AD35" i="13"/>
  <c r="AD36" i="13"/>
  <c r="AD37" i="13"/>
  <c r="AD38" i="13"/>
  <c r="AD39" i="13"/>
  <c r="AD40" i="13"/>
  <c r="AD41" i="13"/>
  <c r="AD42" i="13"/>
  <c r="AD43" i="13"/>
  <c r="AD44" i="13"/>
  <c r="AD45" i="13"/>
  <c r="AD46" i="13"/>
  <c r="AD47" i="13"/>
  <c r="AD48" i="13"/>
  <c r="AD49" i="13"/>
  <c r="AD50" i="13"/>
  <c r="AD51" i="13"/>
  <c r="AD52" i="13"/>
  <c r="AD53" i="13"/>
  <c r="AD54" i="13"/>
  <c r="AD55" i="13"/>
  <c r="AD56" i="13"/>
  <c r="AD57" i="13"/>
  <c r="AD58" i="13"/>
  <c r="AD59" i="13"/>
  <c r="AD60" i="13"/>
  <c r="AD61" i="13"/>
  <c r="AD62" i="13"/>
  <c r="AD63" i="13"/>
  <c r="AD64" i="13"/>
  <c r="AD65" i="13"/>
  <c r="AD66" i="13"/>
  <c r="AD67" i="13"/>
  <c r="AD68" i="13"/>
  <c r="AD69" i="13"/>
  <c r="AD70" i="13"/>
  <c r="AD71" i="13"/>
  <c r="AD72" i="13"/>
  <c r="AD73" i="13"/>
  <c r="AD74" i="13"/>
  <c r="AD75" i="13"/>
  <c r="AD76" i="13"/>
  <c r="AD77" i="13"/>
  <c r="AD78" i="13"/>
  <c r="AD79" i="13"/>
  <c r="AD80" i="13"/>
  <c r="AD81" i="13"/>
  <c r="AD82" i="13"/>
  <c r="AD83" i="13"/>
  <c r="AD84" i="13"/>
  <c r="AD85" i="13"/>
  <c r="AD86" i="13"/>
  <c r="AD87" i="13"/>
  <c r="AD88" i="13"/>
  <c r="AD89" i="13"/>
  <c r="AD90" i="13"/>
  <c r="AD91" i="13"/>
  <c r="AD92" i="13"/>
  <c r="AD93" i="13"/>
  <c r="AD94" i="13"/>
  <c r="AD95" i="13"/>
  <c r="AD96" i="13"/>
  <c r="AD97" i="13"/>
  <c r="AD98" i="13"/>
  <c r="AD99" i="13"/>
  <c r="AD100" i="13"/>
  <c r="AD101" i="13"/>
  <c r="AD102" i="13"/>
  <c r="AD103" i="13"/>
  <c r="AD104" i="13"/>
  <c r="AD105" i="13"/>
  <c r="AD106" i="13"/>
  <c r="AD107" i="13"/>
  <c r="AD108" i="13"/>
  <c r="AD109" i="13"/>
  <c r="AD110" i="13"/>
  <c r="AD111" i="13"/>
  <c r="AD112" i="13"/>
  <c r="AD113" i="13"/>
  <c r="AD114" i="13"/>
  <c r="AD115" i="13"/>
  <c r="AD116" i="13"/>
  <c r="AD117" i="13"/>
  <c r="AD118" i="13"/>
  <c r="AD119" i="13"/>
  <c r="AD120" i="13"/>
  <c r="AD121" i="13"/>
  <c r="AD22" i="13"/>
  <c r="F23" i="13"/>
  <c r="F24" i="13"/>
  <c r="F25" i="13"/>
  <c r="F26" i="13"/>
  <c r="F27" i="13"/>
  <c r="F28" i="13"/>
  <c r="F29" i="13"/>
  <c r="F30" i="13"/>
  <c r="F31" i="13"/>
  <c r="F32" i="13"/>
  <c r="F33" i="13"/>
  <c r="F34" i="13"/>
  <c r="F35" i="13"/>
  <c r="F36" i="13"/>
  <c r="F37" i="13"/>
  <c r="F38" i="13"/>
  <c r="F39" i="13"/>
  <c r="F40" i="13"/>
  <c r="F41" i="13"/>
  <c r="F42" i="13"/>
  <c r="F43" i="13"/>
  <c r="F44" i="13"/>
  <c r="F45" i="13"/>
  <c r="F46" i="13"/>
  <c r="F47" i="13"/>
  <c r="F48" i="13"/>
  <c r="F49" i="13"/>
  <c r="F50" i="13"/>
  <c r="F51" i="13"/>
  <c r="F52" i="13"/>
  <c r="F53" i="13"/>
  <c r="F54" i="13"/>
  <c r="F55" i="13"/>
  <c r="F56" i="13"/>
  <c r="F57" i="13"/>
  <c r="F58" i="13"/>
  <c r="F59" i="13"/>
  <c r="F60" i="13"/>
  <c r="F61" i="13"/>
  <c r="F62" i="13"/>
  <c r="F63" i="13"/>
  <c r="F64" i="13"/>
  <c r="F65" i="13"/>
  <c r="F66" i="13"/>
  <c r="F67" i="13"/>
  <c r="F68" i="13"/>
  <c r="F69" i="13"/>
  <c r="F70" i="13"/>
  <c r="F71" i="13"/>
  <c r="F72" i="13"/>
  <c r="F73" i="13"/>
  <c r="F74" i="13"/>
  <c r="F75" i="13"/>
  <c r="F76" i="13"/>
  <c r="F77" i="13"/>
  <c r="F78" i="13"/>
  <c r="F79" i="13"/>
  <c r="F80" i="13"/>
  <c r="F81" i="13"/>
  <c r="F82" i="13"/>
  <c r="F83" i="13"/>
  <c r="F84" i="13"/>
  <c r="F85" i="13"/>
  <c r="F86" i="13"/>
  <c r="F87" i="13"/>
  <c r="F88" i="13"/>
  <c r="F89" i="13"/>
  <c r="F90" i="13"/>
  <c r="F91" i="13"/>
  <c r="F92" i="13"/>
  <c r="F93" i="13"/>
  <c r="F94" i="13"/>
  <c r="F95" i="13"/>
  <c r="F96" i="13"/>
  <c r="F97" i="13"/>
  <c r="F98" i="13"/>
  <c r="F99" i="13"/>
  <c r="F100" i="13"/>
  <c r="F101" i="13"/>
  <c r="F102" i="13"/>
  <c r="F103" i="13"/>
  <c r="F104" i="13"/>
  <c r="F105" i="13"/>
  <c r="F106" i="13"/>
  <c r="F107" i="13"/>
  <c r="F108" i="13"/>
  <c r="F109" i="13"/>
  <c r="F110" i="13"/>
  <c r="F111" i="13"/>
  <c r="F112" i="13"/>
  <c r="F113" i="13"/>
  <c r="F114" i="13"/>
  <c r="F115" i="13"/>
  <c r="F116" i="13"/>
  <c r="F117" i="13"/>
  <c r="F118" i="13"/>
  <c r="F119" i="13"/>
  <c r="F120" i="13"/>
  <c r="F121" i="13"/>
  <c r="F22" i="13"/>
  <c r="BM121" i="13" a="1"/>
  <c r="BM121" i="13" s="1"/>
  <c r="AS121" i="13" a="1"/>
  <c r="AS121" i="13" s="1"/>
  <c r="AR121" i="13" a="1"/>
  <c r="AR121" i="13" s="1"/>
  <c r="AQ121" i="13"/>
  <c r="AP121" i="13" a="1"/>
  <c r="AP121" i="13" s="1"/>
  <c r="AN121" i="13" a="1"/>
  <c r="AN121" i="13" s="1"/>
  <c r="AJ121" i="13"/>
  <c r="BL121" i="13" s="1"/>
  <c r="AI121" i="13"/>
  <c r="AH121" i="13"/>
  <c r="BN121" i="13" s="1"/>
  <c r="S121" i="13" a="1"/>
  <c r="S121" i="13" s="1"/>
  <c r="N121" i="13" a="1"/>
  <c r="N121" i="13" s="1"/>
  <c r="BM120" i="13" a="1"/>
  <c r="BM120" i="13" s="1"/>
  <c r="AS120" i="13" a="1"/>
  <c r="AS120" i="13" s="1"/>
  <c r="AR120" i="13" a="1"/>
  <c r="AR120" i="13" s="1"/>
  <c r="AQ120" i="13"/>
  <c r="AP120" i="13" a="1"/>
  <c r="AP120" i="13" s="1"/>
  <c r="AN120" i="13" a="1"/>
  <c r="AN120" i="13" s="1"/>
  <c r="AJ120" i="13"/>
  <c r="AI120" i="13"/>
  <c r="AH120" i="13"/>
  <c r="CM120" i="13" s="1"/>
  <c r="S120" i="13" a="1"/>
  <c r="S120" i="13" s="1"/>
  <c r="N120" i="13" a="1"/>
  <c r="N120" i="13" s="1"/>
  <c r="BM119" i="13" a="1"/>
  <c r="BM119" i="13" s="1"/>
  <c r="AS119" i="13" a="1"/>
  <c r="AS119" i="13" s="1"/>
  <c r="AR119" i="13" a="1"/>
  <c r="AR119" i="13" s="1"/>
  <c r="AQ119" i="13"/>
  <c r="AP119" i="13" a="1"/>
  <c r="AP119" i="13" s="1"/>
  <c r="AN119" i="13" a="1"/>
  <c r="AN119" i="13" s="1"/>
  <c r="AJ119" i="13"/>
  <c r="BL119" i="13" s="1"/>
  <c r="AI119" i="13"/>
  <c r="AH119" i="13"/>
  <c r="BN119" i="13" s="1"/>
  <c r="S119" i="13" a="1"/>
  <c r="S119" i="13" s="1"/>
  <c r="N119" i="13" a="1"/>
  <c r="N119" i="13" s="1"/>
  <c r="BM118" i="13" a="1"/>
  <c r="BM118" i="13" s="1"/>
  <c r="AS118" i="13" a="1"/>
  <c r="AS118" i="13" s="1"/>
  <c r="AR118" i="13" a="1"/>
  <c r="AR118" i="13" s="1"/>
  <c r="AQ118" i="13"/>
  <c r="AP118" i="13" a="1"/>
  <c r="AP118" i="13" s="1"/>
  <c r="AN118" i="13" a="1"/>
  <c r="AN118" i="13" s="1"/>
  <c r="AJ118" i="13"/>
  <c r="AI118" i="13"/>
  <c r="AH118" i="13"/>
  <c r="CM118" i="13" s="1"/>
  <c r="S118" i="13" a="1"/>
  <c r="S118" i="13" s="1"/>
  <c r="N118" i="13" a="1"/>
  <c r="N118" i="13" s="1"/>
  <c r="BM117" i="13" a="1"/>
  <c r="BM117" i="13" s="1"/>
  <c r="AS117" i="13" a="1"/>
  <c r="AS117" i="13" s="1"/>
  <c r="AR117" i="13" a="1"/>
  <c r="AR117" i="13" s="1"/>
  <c r="AQ117" i="13"/>
  <c r="AP117" i="13" a="1"/>
  <c r="AP117" i="13" s="1"/>
  <c r="AN117" i="13" a="1"/>
  <c r="AN117" i="13" s="1"/>
  <c r="AJ117" i="13"/>
  <c r="BL117" i="13" s="1"/>
  <c r="AI117" i="13"/>
  <c r="AH117" i="13"/>
  <c r="S117" i="13" a="1"/>
  <c r="S117" i="13" s="1"/>
  <c r="N117" i="13" a="1"/>
  <c r="N117" i="13" s="1"/>
  <c r="BN116" i="13"/>
  <c r="BM116" i="13" a="1"/>
  <c r="BM116" i="13" s="1"/>
  <c r="AS116" i="13" a="1"/>
  <c r="AS116" i="13" s="1"/>
  <c r="AR116" i="13" a="1"/>
  <c r="AR116" i="13" s="1"/>
  <c r="AQ116" i="13"/>
  <c r="AP116" i="13" a="1"/>
  <c r="AP116" i="13" s="1"/>
  <c r="AN116" i="13" a="1"/>
  <c r="AN116" i="13" s="1"/>
  <c r="AJ116" i="13"/>
  <c r="AI116" i="13"/>
  <c r="AH116" i="13"/>
  <c r="CM116" i="13" s="1"/>
  <c r="S116" i="13" a="1"/>
  <c r="S116" i="13" s="1"/>
  <c r="N116" i="13" a="1"/>
  <c r="N116" i="13" s="1"/>
  <c r="CA115" i="13"/>
  <c r="BW115" i="13"/>
  <c r="BM115" i="13" a="1"/>
  <c r="BM115" i="13" s="1"/>
  <c r="AS115" i="13" a="1"/>
  <c r="AS115" i="13" s="1"/>
  <c r="AR115" i="13" a="1"/>
  <c r="AR115" i="13" s="1"/>
  <c r="AQ115" i="13"/>
  <c r="AP115" i="13" a="1"/>
  <c r="AP115" i="13" s="1"/>
  <c r="AN115" i="13" a="1"/>
  <c r="AN115" i="13" s="1"/>
  <c r="AJ115" i="13"/>
  <c r="AI115" i="13"/>
  <c r="AH115" i="13"/>
  <c r="BN115" i="13" s="1"/>
  <c r="S115" i="13" a="1"/>
  <c r="S115" i="13" s="1"/>
  <c r="N115" i="13" a="1"/>
  <c r="N115" i="13" s="1"/>
  <c r="CA114" i="13"/>
  <c r="BW114" i="13"/>
  <c r="BM114" i="13" a="1"/>
  <c r="BM114" i="13" s="1"/>
  <c r="AS114" i="13" a="1"/>
  <c r="AS114" i="13" s="1"/>
  <c r="AR114" i="13" a="1"/>
  <c r="AR114" i="13" s="1"/>
  <c r="AQ114" i="13"/>
  <c r="AP114" i="13" a="1"/>
  <c r="AP114" i="13" s="1"/>
  <c r="AN114" i="13" a="1"/>
  <c r="AN114" i="13" s="1"/>
  <c r="AJ114" i="13"/>
  <c r="AI114" i="13"/>
  <c r="AH114" i="13"/>
  <c r="CM114" i="13" s="1"/>
  <c r="S114" i="13" a="1"/>
  <c r="S114" i="13" s="1"/>
  <c r="N114" i="13" a="1"/>
  <c r="N114" i="13" s="1"/>
  <c r="BM113" i="13" a="1"/>
  <c r="BM113" i="13" s="1"/>
  <c r="AS113" i="13" a="1"/>
  <c r="AS113" i="13" s="1"/>
  <c r="AR113" i="13" a="1"/>
  <c r="AR113" i="13" s="1"/>
  <c r="AQ113" i="13"/>
  <c r="AP113" i="13" a="1"/>
  <c r="AP113" i="13" s="1"/>
  <c r="AN113" i="13" a="1"/>
  <c r="AN113" i="13" s="1"/>
  <c r="AJ113" i="13"/>
  <c r="AI113" i="13"/>
  <c r="AH113" i="13"/>
  <c r="BN113" i="13" s="1"/>
  <c r="S113" i="13" a="1"/>
  <c r="S113" i="13" s="1"/>
  <c r="N113" i="13" a="1"/>
  <c r="N113" i="13" s="1"/>
  <c r="BM112" i="13" a="1"/>
  <c r="BM112" i="13" s="1"/>
  <c r="AS112" i="13" a="1"/>
  <c r="AS112" i="13" s="1"/>
  <c r="AR112" i="13" a="1"/>
  <c r="AR112" i="13" s="1"/>
  <c r="AQ112" i="13"/>
  <c r="AP112" i="13" a="1"/>
  <c r="AP112" i="13" s="1"/>
  <c r="AN112" i="13" a="1"/>
  <c r="AN112" i="13" s="1"/>
  <c r="AJ112" i="13"/>
  <c r="AI112" i="13"/>
  <c r="AH112" i="13"/>
  <c r="CM112" i="13" s="1"/>
  <c r="S112" i="13" a="1"/>
  <c r="S112" i="13" s="1"/>
  <c r="N112" i="13" a="1"/>
  <c r="N112" i="13" s="1"/>
  <c r="BM111" i="13" a="1"/>
  <c r="BM111" i="13" s="1"/>
  <c r="AS111" i="13" a="1"/>
  <c r="AS111" i="13" s="1"/>
  <c r="AR111" i="13" a="1"/>
  <c r="AR111" i="13" s="1"/>
  <c r="AQ111" i="13"/>
  <c r="AP111" i="13" a="1"/>
  <c r="AP111" i="13" s="1"/>
  <c r="AN111" i="13" a="1"/>
  <c r="AN111" i="13" s="1"/>
  <c r="AJ111" i="13"/>
  <c r="BL111" i="13" s="1"/>
  <c r="AI111" i="13"/>
  <c r="AH111" i="13"/>
  <c r="CM111" i="13" s="1"/>
  <c r="S111" i="13" a="1"/>
  <c r="S111" i="13" s="1"/>
  <c r="N111" i="13" a="1"/>
  <c r="N111" i="13" s="1"/>
  <c r="BM110" i="13" a="1"/>
  <c r="BM110" i="13" s="1"/>
  <c r="AS110" i="13" a="1"/>
  <c r="AS110" i="13" s="1"/>
  <c r="AR110" i="13" a="1"/>
  <c r="AR110" i="13" s="1"/>
  <c r="AQ110" i="13"/>
  <c r="AP110" i="13" a="1"/>
  <c r="AP110" i="13" s="1"/>
  <c r="AN110" i="13" a="1"/>
  <c r="AN110" i="13" s="1"/>
  <c r="AJ110" i="13"/>
  <c r="AI110" i="13"/>
  <c r="AH110" i="13"/>
  <c r="BS110" i="13" s="1"/>
  <c r="S110" i="13" a="1"/>
  <c r="S110" i="13" s="1"/>
  <c r="N110" i="13" a="1"/>
  <c r="N110" i="13" s="1"/>
  <c r="BM109" i="13" a="1"/>
  <c r="BM109" i="13" s="1"/>
  <c r="AS109" i="13" a="1"/>
  <c r="AS109" i="13" s="1"/>
  <c r="AR109" i="13" a="1"/>
  <c r="AR109" i="13" s="1"/>
  <c r="AQ109" i="13"/>
  <c r="AP109" i="13" a="1"/>
  <c r="AP109" i="13" s="1"/>
  <c r="AN109" i="13" a="1"/>
  <c r="AN109" i="13" s="1"/>
  <c r="AJ109" i="13"/>
  <c r="BL109" i="13" s="1"/>
  <c r="AI109" i="13"/>
  <c r="AH109" i="13"/>
  <c r="A109" i="13" s="1"/>
  <c r="S109" i="13" a="1"/>
  <c r="S109" i="13" s="1"/>
  <c r="N109" i="13" a="1"/>
  <c r="N109" i="13" s="1"/>
  <c r="BM108" i="13" a="1"/>
  <c r="BM108" i="13" s="1"/>
  <c r="AS108" i="13" a="1"/>
  <c r="AS108" i="13" s="1"/>
  <c r="AR108" i="13" a="1"/>
  <c r="AR108" i="13" s="1"/>
  <c r="AQ108" i="13"/>
  <c r="AP108" i="13" a="1"/>
  <c r="AP108" i="13" s="1"/>
  <c r="AN108" i="13" a="1"/>
  <c r="AN108" i="13" s="1"/>
  <c r="AJ108" i="13"/>
  <c r="AI108" i="13"/>
  <c r="AH108" i="13"/>
  <c r="S108" i="13" a="1"/>
  <c r="S108" i="13" s="1"/>
  <c r="N108" i="13" a="1"/>
  <c r="N108" i="13" s="1"/>
  <c r="BM107" i="13" a="1"/>
  <c r="BM107" i="13" s="1"/>
  <c r="AS107" i="13" a="1"/>
  <c r="AS107" i="13" s="1"/>
  <c r="AR107" i="13" a="1"/>
  <c r="AR107" i="13" s="1"/>
  <c r="AQ107" i="13"/>
  <c r="AP107" i="13" a="1"/>
  <c r="AP107" i="13" s="1"/>
  <c r="AN107" i="13" a="1"/>
  <c r="AN107" i="13" s="1"/>
  <c r="AJ107" i="13"/>
  <c r="BL107" i="13" s="1"/>
  <c r="AI107" i="13"/>
  <c r="AH107" i="13"/>
  <c r="S107" i="13" a="1"/>
  <c r="S107" i="13" s="1"/>
  <c r="N107" i="13" a="1"/>
  <c r="N107" i="13" s="1"/>
  <c r="BM106" i="13" a="1"/>
  <c r="BM106" i="13" s="1"/>
  <c r="AS106" i="13" a="1"/>
  <c r="AS106" i="13" s="1"/>
  <c r="AR106" i="13" a="1"/>
  <c r="AR106" i="13" s="1"/>
  <c r="AQ106" i="13"/>
  <c r="AP106" i="13" a="1"/>
  <c r="AP106" i="13" s="1"/>
  <c r="AN106" i="13" a="1"/>
  <c r="AN106" i="13" s="1"/>
  <c r="AJ106" i="13"/>
  <c r="AI106" i="13"/>
  <c r="AH106" i="13"/>
  <c r="BS106" i="13" s="1"/>
  <c r="S106" i="13" a="1"/>
  <c r="S106" i="13" s="1"/>
  <c r="N106" i="13" a="1"/>
  <c r="N106" i="13" s="1"/>
  <c r="A106" i="13"/>
  <c r="BM105" i="13" a="1"/>
  <c r="BM105" i="13" s="1"/>
  <c r="AS105" i="13" a="1"/>
  <c r="AS105" i="13" s="1"/>
  <c r="AR105" i="13" a="1"/>
  <c r="AR105" i="13" s="1"/>
  <c r="AQ105" i="13"/>
  <c r="AP105" i="13" a="1"/>
  <c r="AP105" i="13" s="1"/>
  <c r="AN105" i="13" a="1"/>
  <c r="AN105" i="13" s="1"/>
  <c r="AJ105" i="13"/>
  <c r="AI105" i="13"/>
  <c r="AH105" i="13"/>
  <c r="CU105" i="13" s="1"/>
  <c r="S105" i="13" a="1"/>
  <c r="S105" i="13" s="1"/>
  <c r="N105" i="13" a="1"/>
  <c r="N105" i="13" s="1"/>
  <c r="BM104" i="13" a="1"/>
  <c r="BM104" i="13" s="1"/>
  <c r="AS104" i="13" a="1"/>
  <c r="AS104" i="13" s="1"/>
  <c r="AR104" i="13" a="1"/>
  <c r="AR104" i="13" s="1"/>
  <c r="AQ104" i="13"/>
  <c r="AP104" i="13" a="1"/>
  <c r="AP104" i="13" s="1"/>
  <c r="AN104" i="13" a="1"/>
  <c r="AN104" i="13" s="1"/>
  <c r="AJ104" i="13"/>
  <c r="AI104" i="13"/>
  <c r="AH104" i="13"/>
  <c r="S104" i="13" a="1"/>
  <c r="S104" i="13" s="1"/>
  <c r="N104" i="13" a="1"/>
  <c r="N104" i="13" s="1"/>
  <c r="BM103" i="13" a="1"/>
  <c r="BM103" i="13" s="1"/>
  <c r="AS103" i="13" a="1"/>
  <c r="AS103" i="13" s="1"/>
  <c r="AR103" i="13" a="1"/>
  <c r="AR103" i="13" s="1"/>
  <c r="AQ103" i="13"/>
  <c r="AP103" i="13" a="1"/>
  <c r="AP103" i="13" s="1"/>
  <c r="AN103" i="13" a="1"/>
  <c r="AN103" i="13" s="1"/>
  <c r="AJ103" i="13"/>
  <c r="BL103" i="13" s="1"/>
  <c r="AI103" i="13"/>
  <c r="AH103" i="13"/>
  <c r="S103" i="13" a="1"/>
  <c r="S103" i="13" s="1"/>
  <c r="N103" i="13" a="1"/>
  <c r="N103" i="13" s="1"/>
  <c r="BM102" i="13" a="1"/>
  <c r="BM102" i="13" s="1"/>
  <c r="AS102" i="13" a="1"/>
  <c r="AS102" i="13" s="1"/>
  <c r="AR102" i="13" a="1"/>
  <c r="AR102" i="13" s="1"/>
  <c r="AQ102" i="13"/>
  <c r="AP102" i="13" a="1"/>
  <c r="AP102" i="13" s="1"/>
  <c r="AN102" i="13" a="1"/>
  <c r="AN102" i="13" s="1"/>
  <c r="AJ102" i="13"/>
  <c r="BL102" i="13" s="1"/>
  <c r="AI102" i="13"/>
  <c r="AH102" i="13"/>
  <c r="BS102" i="13" s="1"/>
  <c r="S102" i="13" a="1"/>
  <c r="S102" i="13" s="1"/>
  <c r="N102" i="13" a="1"/>
  <c r="N102" i="13" s="1"/>
  <c r="BM101" i="13" a="1"/>
  <c r="BM101" i="13" s="1"/>
  <c r="AS101" i="13" a="1"/>
  <c r="AS101" i="13" s="1"/>
  <c r="AR101" i="13" a="1"/>
  <c r="AR101" i="13" s="1"/>
  <c r="AQ101" i="13"/>
  <c r="AP101" i="13" a="1"/>
  <c r="AP101" i="13" s="1"/>
  <c r="AN101" i="13" a="1"/>
  <c r="AN101" i="13" s="1"/>
  <c r="AJ101" i="13"/>
  <c r="BL101" i="13" s="1"/>
  <c r="AI101" i="13"/>
  <c r="AH101" i="13"/>
  <c r="CM101" i="13" s="1"/>
  <c r="S101" i="13" a="1"/>
  <c r="S101" i="13" s="1"/>
  <c r="N101" i="13" a="1"/>
  <c r="N101" i="13" s="1"/>
  <c r="BM100" i="13" a="1"/>
  <c r="BM100" i="13" s="1"/>
  <c r="AS100" i="13" a="1"/>
  <c r="AS100" i="13" s="1"/>
  <c r="AR100" i="13" a="1"/>
  <c r="AR100" i="13" s="1"/>
  <c r="AQ100" i="13"/>
  <c r="AP100" i="13" a="1"/>
  <c r="AP100" i="13" s="1"/>
  <c r="AN100" i="13" a="1"/>
  <c r="AN100" i="13" s="1"/>
  <c r="AJ100" i="13"/>
  <c r="AI100" i="13"/>
  <c r="AH100" i="13"/>
  <c r="CQ100" i="13" s="1"/>
  <c r="S100" i="13" a="1"/>
  <c r="S100" i="13" s="1"/>
  <c r="N100" i="13" a="1"/>
  <c r="N100" i="13" s="1"/>
  <c r="CM99" i="13"/>
  <c r="BM99" i="13" a="1"/>
  <c r="BM99" i="13" s="1"/>
  <c r="AS99" i="13" a="1"/>
  <c r="AS99" i="13" s="1"/>
  <c r="AR99" i="13" a="1"/>
  <c r="AR99" i="13" s="1"/>
  <c r="AQ99" i="13"/>
  <c r="AP99" i="13" a="1"/>
  <c r="AP99" i="13" s="1"/>
  <c r="AN99" i="13" a="1"/>
  <c r="AN99" i="13" s="1"/>
  <c r="AJ99" i="13"/>
  <c r="BK99" i="13" s="1"/>
  <c r="AI99" i="13"/>
  <c r="AH99" i="13"/>
  <c r="CU99" i="13" s="1"/>
  <c r="S99" i="13" a="1"/>
  <c r="S99" i="13" s="1"/>
  <c r="N99" i="13" a="1"/>
  <c r="N99" i="13" s="1"/>
  <c r="A99" i="13"/>
  <c r="CU98" i="13"/>
  <c r="BW98" i="13"/>
  <c r="BM98" i="13" a="1"/>
  <c r="BM98" i="13" s="1"/>
  <c r="AS98" i="13" a="1"/>
  <c r="AS98" i="13" s="1"/>
  <c r="AR98" i="13" a="1"/>
  <c r="AR98" i="13" s="1"/>
  <c r="AQ98" i="13"/>
  <c r="AP98" i="13" a="1"/>
  <c r="AP98" i="13" s="1"/>
  <c r="AN98" i="13" a="1"/>
  <c r="AN98" i="13" s="1"/>
  <c r="AJ98" i="13"/>
  <c r="BK98" i="13" s="1"/>
  <c r="AI98" i="13"/>
  <c r="AH98" i="13"/>
  <c r="BN98" i="13" s="1"/>
  <c r="S98" i="13" a="1"/>
  <c r="S98" i="13" s="1"/>
  <c r="N98" i="13" a="1"/>
  <c r="N98" i="13" s="1"/>
  <c r="BM97" i="13" a="1"/>
  <c r="BM97" i="13" s="1"/>
  <c r="AS97" i="13" a="1"/>
  <c r="AS97" i="13" s="1"/>
  <c r="AR97" i="13" a="1"/>
  <c r="AR97" i="13" s="1"/>
  <c r="AQ97" i="13"/>
  <c r="AP97" i="13" a="1"/>
  <c r="AP97" i="13" s="1"/>
  <c r="AN97" i="13" a="1"/>
  <c r="AN97" i="13" s="1"/>
  <c r="AJ97" i="13"/>
  <c r="BL97" i="13" s="1"/>
  <c r="AI97" i="13"/>
  <c r="AH97" i="13"/>
  <c r="S97" i="13" a="1"/>
  <c r="S97" i="13" s="1"/>
  <c r="N97" i="13" a="1"/>
  <c r="N97" i="13" s="1"/>
  <c r="BM96" i="13" a="1"/>
  <c r="BM96" i="13" s="1"/>
  <c r="AS96" i="13" a="1"/>
  <c r="AS96" i="13" s="1"/>
  <c r="AR96" i="13" a="1"/>
  <c r="AR96" i="13" s="1"/>
  <c r="AQ96" i="13"/>
  <c r="AP96" i="13" a="1"/>
  <c r="AP96" i="13" s="1"/>
  <c r="AN96" i="13" a="1"/>
  <c r="AN96" i="13" s="1"/>
  <c r="AJ96" i="13"/>
  <c r="BL96" i="13" s="1"/>
  <c r="AI96" i="13"/>
  <c r="AH96" i="13"/>
  <c r="S96" i="13" a="1"/>
  <c r="S96" i="13" s="1"/>
  <c r="N96" i="13" a="1"/>
  <c r="N96" i="13" s="1"/>
  <c r="BM95" i="13" a="1"/>
  <c r="BM95" i="13" s="1"/>
  <c r="AS95" i="13" a="1"/>
  <c r="AS95" i="13" s="1"/>
  <c r="AR95" i="13" a="1"/>
  <c r="AR95" i="13" s="1"/>
  <c r="AQ95" i="13"/>
  <c r="AP95" i="13" a="1"/>
  <c r="AP95" i="13" s="1"/>
  <c r="AN95" i="13" a="1"/>
  <c r="AN95" i="13" s="1"/>
  <c r="AJ95" i="13"/>
  <c r="BL95" i="13" s="1"/>
  <c r="AI95" i="13"/>
  <c r="AH95" i="13"/>
  <c r="CM95" i="13" s="1"/>
  <c r="S95" i="13" a="1"/>
  <c r="S95" i="13" s="1"/>
  <c r="N95" i="13" a="1"/>
  <c r="N95" i="13" s="1"/>
  <c r="BM94" i="13" a="1"/>
  <c r="BM94" i="13" s="1"/>
  <c r="AS94" i="13" a="1"/>
  <c r="AS94" i="13" s="1"/>
  <c r="AR94" i="13" a="1"/>
  <c r="AR94" i="13" s="1"/>
  <c r="AQ94" i="13"/>
  <c r="AP94" i="13" a="1"/>
  <c r="AP94" i="13" s="1"/>
  <c r="AN94" i="13" a="1"/>
  <c r="AN94" i="13" s="1"/>
  <c r="AJ94" i="13"/>
  <c r="AI94" i="13"/>
  <c r="AH94" i="13"/>
  <c r="CH94" i="13" s="1"/>
  <c r="S94" i="13" a="1"/>
  <c r="S94" i="13" s="1"/>
  <c r="N94" i="13" a="1"/>
  <c r="N94" i="13" s="1"/>
  <c r="CM93" i="13"/>
  <c r="BW93" i="13"/>
  <c r="BM93" i="13" a="1"/>
  <c r="BM93" i="13" s="1"/>
  <c r="AS93" i="13" a="1"/>
  <c r="AS93" i="13" s="1"/>
  <c r="AR93" i="13" a="1"/>
  <c r="AR93" i="13" s="1"/>
  <c r="AQ93" i="13"/>
  <c r="AP93" i="13" a="1"/>
  <c r="AP93" i="13" s="1"/>
  <c r="AN93" i="13" a="1"/>
  <c r="AN93" i="13" s="1"/>
  <c r="AJ93" i="13"/>
  <c r="BL93" i="13" s="1"/>
  <c r="AI93" i="13"/>
  <c r="AH93" i="13"/>
  <c r="BN93" i="13" s="1"/>
  <c r="S93" i="13" a="1"/>
  <c r="S93" i="13" s="1"/>
  <c r="N93" i="13" a="1"/>
  <c r="N93" i="13" s="1"/>
  <c r="A93" i="13"/>
  <c r="BM92" i="13" a="1"/>
  <c r="BM92" i="13" s="1"/>
  <c r="AS92" i="13" a="1"/>
  <c r="AS92" i="13" s="1"/>
  <c r="AR92" i="13" a="1"/>
  <c r="AR92" i="13" s="1"/>
  <c r="AQ92" i="13"/>
  <c r="AP92" i="13" a="1"/>
  <c r="AP92" i="13" s="1"/>
  <c r="AN92" i="13" a="1"/>
  <c r="AN92" i="13" s="1"/>
  <c r="AJ92" i="13"/>
  <c r="AI92" i="13"/>
  <c r="AH92" i="13"/>
  <c r="S92" i="13" a="1"/>
  <c r="S92" i="13" s="1"/>
  <c r="N92" i="13" a="1"/>
  <c r="N92" i="13" s="1"/>
  <c r="BM91" i="13" a="1"/>
  <c r="BM91" i="13" s="1"/>
  <c r="AS91" i="13" a="1"/>
  <c r="AS91" i="13" s="1"/>
  <c r="AR91" i="13" a="1"/>
  <c r="AR91" i="13" s="1"/>
  <c r="AQ91" i="13"/>
  <c r="AP91" i="13" a="1"/>
  <c r="AP91" i="13" s="1"/>
  <c r="AN91" i="13" a="1"/>
  <c r="AN91" i="13" s="1"/>
  <c r="AJ91" i="13"/>
  <c r="BL91" i="13" s="1"/>
  <c r="AI91" i="13"/>
  <c r="AH91" i="13"/>
  <c r="BN91" i="13" s="1"/>
  <c r="S91" i="13" a="1"/>
  <c r="S91" i="13" s="1"/>
  <c r="N91" i="13" a="1"/>
  <c r="N91" i="13" s="1"/>
  <c r="BM90" i="13" a="1"/>
  <c r="BM90" i="13" s="1"/>
  <c r="AS90" i="13" a="1"/>
  <c r="AS90" i="13" s="1"/>
  <c r="AR90" i="13" a="1"/>
  <c r="AR90" i="13" s="1"/>
  <c r="AQ90" i="13"/>
  <c r="AP90" i="13" a="1"/>
  <c r="AP90" i="13" s="1"/>
  <c r="AN90" i="13" a="1"/>
  <c r="AN90" i="13" s="1"/>
  <c r="AJ90" i="13"/>
  <c r="AI90" i="13"/>
  <c r="AH90" i="13"/>
  <c r="CM90" i="13" s="1"/>
  <c r="S90" i="13" a="1"/>
  <c r="S90" i="13" s="1"/>
  <c r="N90" i="13" a="1"/>
  <c r="N90" i="13" s="1"/>
  <c r="BM89" i="13" a="1"/>
  <c r="BM89" i="13" s="1"/>
  <c r="AS89" i="13" a="1"/>
  <c r="AS89" i="13" s="1"/>
  <c r="AR89" i="13" a="1"/>
  <c r="AR89" i="13" s="1"/>
  <c r="AQ89" i="13"/>
  <c r="AP89" i="13" a="1"/>
  <c r="AP89" i="13" s="1"/>
  <c r="AN89" i="13" a="1"/>
  <c r="AN89" i="13" s="1"/>
  <c r="AJ89" i="13"/>
  <c r="BL89" i="13" s="1"/>
  <c r="AI89" i="13"/>
  <c r="AH89" i="13"/>
  <c r="BN89" i="13" s="1"/>
  <c r="S89" i="13" a="1"/>
  <c r="S89" i="13" s="1"/>
  <c r="N89" i="13" a="1"/>
  <c r="N89" i="13" s="1"/>
  <c r="BM88" i="13" a="1"/>
  <c r="BM88" i="13" s="1"/>
  <c r="AS88" i="13" a="1"/>
  <c r="AS88" i="13" s="1"/>
  <c r="AR88" i="13" a="1"/>
  <c r="AR88" i="13" s="1"/>
  <c r="AQ88" i="13"/>
  <c r="AP88" i="13" a="1"/>
  <c r="AP88" i="13" s="1"/>
  <c r="AN88" i="13"/>
  <c r="AN88" i="13" a="1"/>
  <c r="AJ88" i="13"/>
  <c r="AI88" i="13"/>
  <c r="AH88" i="13"/>
  <c r="CM88" i="13" s="1"/>
  <c r="S88" i="13" a="1"/>
  <c r="S88" i="13" s="1"/>
  <c r="N88" i="13" a="1"/>
  <c r="N88" i="13" s="1"/>
  <c r="BM87" i="13" a="1"/>
  <c r="BM87" i="13" s="1"/>
  <c r="AS87" i="13" a="1"/>
  <c r="AS87" i="13" s="1"/>
  <c r="AR87" i="13" a="1"/>
  <c r="AR87" i="13" s="1"/>
  <c r="AQ87" i="13"/>
  <c r="AP87" i="13" a="1"/>
  <c r="AP87" i="13" s="1"/>
  <c r="AN87" i="13" a="1"/>
  <c r="AN87" i="13" s="1"/>
  <c r="AJ87" i="13"/>
  <c r="AI87" i="13"/>
  <c r="AH87" i="13"/>
  <c r="BN87" i="13" s="1"/>
  <c r="S87" i="13" a="1"/>
  <c r="S87" i="13" s="1"/>
  <c r="N87" i="13" a="1"/>
  <c r="N87" i="13" s="1"/>
  <c r="BM86" i="13" a="1"/>
  <c r="BM86" i="13" s="1"/>
  <c r="AS86" i="13" a="1"/>
  <c r="AS86" i="13" s="1"/>
  <c r="AR86" i="13" a="1"/>
  <c r="AR86" i="13" s="1"/>
  <c r="AQ86" i="13"/>
  <c r="AP86" i="13" a="1"/>
  <c r="AP86" i="13" s="1"/>
  <c r="AN86" i="13" a="1"/>
  <c r="AN86" i="13" s="1"/>
  <c r="AJ86" i="13"/>
  <c r="BK86" i="13" s="1"/>
  <c r="AI86" i="13"/>
  <c r="AH86" i="13"/>
  <c r="CM86" i="13" s="1"/>
  <c r="S86" i="13" a="1"/>
  <c r="S86" i="13" s="1"/>
  <c r="N86" i="13" a="1"/>
  <c r="N86" i="13" s="1"/>
  <c r="A86" i="13"/>
  <c r="BM85" i="13" a="1"/>
  <c r="BM85" i="13" s="1"/>
  <c r="AS85" i="13" a="1"/>
  <c r="AS85" i="13" s="1"/>
  <c r="AR85" i="13" a="1"/>
  <c r="AR85" i="13" s="1"/>
  <c r="AQ85" i="13"/>
  <c r="AP85" i="13"/>
  <c r="AP85" i="13" a="1"/>
  <c r="AN85" i="13" a="1"/>
  <c r="AN85" i="13" s="1"/>
  <c r="AJ85" i="13"/>
  <c r="BL85" i="13" s="1"/>
  <c r="AI85" i="13"/>
  <c r="AH85" i="13"/>
  <c r="CM85" i="13" s="1"/>
  <c r="S85" i="13" a="1"/>
  <c r="S85" i="13" s="1"/>
  <c r="N85" i="13" a="1"/>
  <c r="N85" i="13" s="1"/>
  <c r="BM84" i="13" a="1"/>
  <c r="BM84" i="13" s="1"/>
  <c r="AS84" i="13" a="1"/>
  <c r="AS84" i="13" s="1"/>
  <c r="AR84" i="13" a="1"/>
  <c r="AR84" i="13" s="1"/>
  <c r="AQ84" i="13"/>
  <c r="AP84" i="13" a="1"/>
  <c r="AP84" i="13" s="1"/>
  <c r="AN84" i="13" a="1"/>
  <c r="AN84" i="13" s="1"/>
  <c r="AJ84" i="13"/>
  <c r="BL84" i="13" s="1"/>
  <c r="AI84" i="13"/>
  <c r="AH84" i="13"/>
  <c r="S84" i="13" a="1"/>
  <c r="S84" i="13" s="1"/>
  <c r="N84" i="13" a="1"/>
  <c r="N84" i="13" s="1"/>
  <c r="BM83" i="13" a="1"/>
  <c r="BM83" i="13" s="1"/>
  <c r="AS83" i="13" a="1"/>
  <c r="AS83" i="13" s="1"/>
  <c r="AR83" i="13" a="1"/>
  <c r="AR83" i="13" s="1"/>
  <c r="AQ83" i="13"/>
  <c r="AP83" i="13" a="1"/>
  <c r="AP83" i="13" s="1"/>
  <c r="AN83" i="13" a="1"/>
  <c r="AN83" i="13" s="1"/>
  <c r="AJ83" i="13"/>
  <c r="BL83" i="13" s="1"/>
  <c r="AI83" i="13"/>
  <c r="AH83" i="13"/>
  <c r="BS83" i="13" s="1"/>
  <c r="S83" i="13" a="1"/>
  <c r="S83" i="13" s="1"/>
  <c r="N83" i="13" a="1"/>
  <c r="N83" i="13" s="1"/>
  <c r="A83" i="13"/>
  <c r="BM82" i="13" a="1"/>
  <c r="BM82" i="13" s="1"/>
  <c r="AS82" i="13" a="1"/>
  <c r="AS82" i="13" s="1"/>
  <c r="AR82" i="13" a="1"/>
  <c r="AR82" i="13" s="1"/>
  <c r="AQ82" i="13"/>
  <c r="AP82" i="13" a="1"/>
  <c r="AP82" i="13" s="1"/>
  <c r="AN82" i="13" a="1"/>
  <c r="AN82" i="13" s="1"/>
  <c r="AJ82" i="13"/>
  <c r="BL82" i="13" s="1"/>
  <c r="AI82" i="13"/>
  <c r="AH82" i="13"/>
  <c r="CM82" i="13" s="1"/>
  <c r="S82" i="13" a="1"/>
  <c r="S82" i="13" s="1"/>
  <c r="N82" i="13" a="1"/>
  <c r="N82" i="13" s="1"/>
  <c r="BM81" i="13" a="1"/>
  <c r="BM81" i="13" s="1"/>
  <c r="BE81" i="13" a="1"/>
  <c r="BE81" i="13" s="1"/>
  <c r="BD81" i="13" a="1"/>
  <c r="BD81" i="13" s="1"/>
  <c r="BC81" i="13" a="1"/>
  <c r="BC81" i="13" s="1"/>
  <c r="BB81" i="13" a="1"/>
  <c r="BB81" i="13" s="1"/>
  <c r="BA81" i="13" a="1"/>
  <c r="BA81" i="13" s="1"/>
  <c r="AZ81" i="13"/>
  <c r="AY81" i="13"/>
  <c r="AS81" i="13" a="1"/>
  <c r="AS81" i="13" s="1"/>
  <c r="AR81" i="13" a="1"/>
  <c r="AR81" i="13" s="1"/>
  <c r="AQ81" i="13"/>
  <c r="AP81" i="13" a="1"/>
  <c r="AP81" i="13" s="1"/>
  <c r="AN81" i="13" a="1"/>
  <c r="AN81" i="13" s="1"/>
  <c r="AJ81" i="13"/>
  <c r="BL81" i="13" s="1"/>
  <c r="AI81" i="13"/>
  <c r="AH81" i="13"/>
  <c r="CA81" i="13" s="1"/>
  <c r="S81" i="13" a="1"/>
  <c r="S81" i="13" s="1"/>
  <c r="N81" i="13" a="1"/>
  <c r="N81" i="13" s="1"/>
  <c r="BM80" i="13" a="1"/>
  <c r="BM80" i="13" s="1"/>
  <c r="BE80" i="13" a="1"/>
  <c r="BE80" i="13" s="1"/>
  <c r="BD80" i="13" a="1"/>
  <c r="BD80" i="13" s="1"/>
  <c r="BC80" i="13" a="1"/>
  <c r="BC80" i="13" s="1"/>
  <c r="BB80" i="13" a="1"/>
  <c r="BB80" i="13" s="1"/>
  <c r="BA80" i="13" a="1"/>
  <c r="BA80" i="13" s="1"/>
  <c r="AZ80" i="13"/>
  <c r="AY80" i="13"/>
  <c r="AS80" i="13" a="1"/>
  <c r="AS80" i="13" s="1"/>
  <c r="AR80" i="13" a="1"/>
  <c r="AR80" i="13" s="1"/>
  <c r="AQ80" i="13"/>
  <c r="AP80" i="13" a="1"/>
  <c r="AP80" i="13" s="1"/>
  <c r="AN80" i="13" a="1"/>
  <c r="AN80" i="13" s="1"/>
  <c r="AJ80" i="13"/>
  <c r="BL80" i="13" s="1"/>
  <c r="AI80" i="13"/>
  <c r="AH80" i="13"/>
  <c r="CU80" i="13" s="1"/>
  <c r="S80" i="13" a="1"/>
  <c r="S80" i="13" s="1"/>
  <c r="N80" i="13" a="1"/>
  <c r="N80" i="13" s="1"/>
  <c r="BM79" i="13" a="1"/>
  <c r="BM79" i="13" s="1"/>
  <c r="BE79" i="13" a="1"/>
  <c r="BE79" i="13" s="1"/>
  <c r="BD79" i="13" a="1"/>
  <c r="BD79" i="13" s="1"/>
  <c r="BC79" i="13" a="1"/>
  <c r="BC79" i="13" s="1"/>
  <c r="BB79" i="13" a="1"/>
  <c r="BB79" i="13" s="1"/>
  <c r="BA79" i="13" a="1"/>
  <c r="BA79" i="13" s="1"/>
  <c r="AZ79" i="13"/>
  <c r="AY79" i="13"/>
  <c r="AS79" i="13" a="1"/>
  <c r="AS79" i="13" s="1"/>
  <c r="AR79" i="13" a="1"/>
  <c r="AR79" i="13" s="1"/>
  <c r="AQ79" i="13"/>
  <c r="AP79" i="13" a="1"/>
  <c r="AP79" i="13" s="1"/>
  <c r="AN79" i="13" a="1"/>
  <c r="AN79" i="13" s="1"/>
  <c r="AJ79" i="13"/>
  <c r="BL79" i="13" s="1"/>
  <c r="AI79" i="13"/>
  <c r="AH79" i="13"/>
  <c r="CH79" i="13" s="1"/>
  <c r="S79" i="13" a="1"/>
  <c r="S79" i="13" s="1"/>
  <c r="N79" i="13" a="1"/>
  <c r="N79" i="13" s="1"/>
  <c r="BM78" i="13" a="1"/>
  <c r="BM78" i="13" s="1"/>
  <c r="BE78" i="13" a="1"/>
  <c r="BE78" i="13" s="1"/>
  <c r="BD78" i="13" a="1"/>
  <c r="BD78" i="13" s="1"/>
  <c r="BC78" i="13" a="1"/>
  <c r="BC78" i="13" s="1"/>
  <c r="BB78" i="13" a="1"/>
  <c r="BB78" i="13" s="1"/>
  <c r="BA78" i="13" a="1"/>
  <c r="BA78" i="13" s="1"/>
  <c r="AZ78" i="13"/>
  <c r="AY78" i="13"/>
  <c r="AS78" i="13" a="1"/>
  <c r="AS78" i="13" s="1"/>
  <c r="AR78" i="13" a="1"/>
  <c r="AR78" i="13" s="1"/>
  <c r="AQ78" i="13"/>
  <c r="AP78" i="13" a="1"/>
  <c r="AP78" i="13" s="1"/>
  <c r="AN78" i="13" a="1"/>
  <c r="AN78" i="13" s="1"/>
  <c r="AJ78" i="13"/>
  <c r="AI78" i="13"/>
  <c r="AH78" i="13"/>
  <c r="CU78" i="13" s="1"/>
  <c r="S78" i="13" a="1"/>
  <c r="S78" i="13" s="1"/>
  <c r="N78" i="13" a="1"/>
  <c r="N78" i="13" s="1"/>
  <c r="BM77" i="13" a="1"/>
  <c r="BM77" i="13" s="1"/>
  <c r="BE77" i="13" a="1"/>
  <c r="BE77" i="13" s="1"/>
  <c r="BD77" i="13" a="1"/>
  <c r="BD77" i="13" s="1"/>
  <c r="BC77" i="13" a="1"/>
  <c r="BC77" i="13" s="1"/>
  <c r="BB77" i="13" a="1"/>
  <c r="BB77" i="13" s="1"/>
  <c r="BA77" i="13" a="1"/>
  <c r="BA77" i="13" s="1"/>
  <c r="AZ77" i="13"/>
  <c r="AY77" i="13"/>
  <c r="AS77" i="13" a="1"/>
  <c r="AS77" i="13" s="1"/>
  <c r="AR77" i="13" a="1"/>
  <c r="AR77" i="13" s="1"/>
  <c r="AQ77" i="13"/>
  <c r="AP77" i="13" a="1"/>
  <c r="AP77" i="13" s="1"/>
  <c r="AN77" i="13" a="1"/>
  <c r="AN77" i="13" s="1"/>
  <c r="AJ77" i="13"/>
  <c r="AI77" i="13"/>
  <c r="AH77" i="13"/>
  <c r="CU77" i="13" s="1"/>
  <c r="S77" i="13" a="1"/>
  <c r="S77" i="13" s="1"/>
  <c r="N77" i="13" a="1"/>
  <c r="N77" i="13" s="1"/>
  <c r="BM76" i="13" a="1"/>
  <c r="BM76" i="13" s="1"/>
  <c r="BE76" i="13" a="1"/>
  <c r="BE76" i="13" s="1"/>
  <c r="BD76" i="13" a="1"/>
  <c r="BD76" i="13" s="1"/>
  <c r="BC76" i="13" a="1"/>
  <c r="BC76" i="13" s="1"/>
  <c r="BB76" i="13" a="1"/>
  <c r="BB76" i="13" s="1"/>
  <c r="BA76" i="13" a="1"/>
  <c r="BA76" i="13" s="1"/>
  <c r="AZ76" i="13"/>
  <c r="AY76" i="13"/>
  <c r="AS76" i="13" a="1"/>
  <c r="AS76" i="13" s="1"/>
  <c r="AR76" i="13" a="1"/>
  <c r="AR76" i="13" s="1"/>
  <c r="AQ76" i="13"/>
  <c r="AP76" i="13" a="1"/>
  <c r="AP76" i="13" s="1"/>
  <c r="AN76" i="13" a="1"/>
  <c r="AN76" i="13" s="1"/>
  <c r="AJ76" i="13"/>
  <c r="BL76" i="13" s="1"/>
  <c r="AI76" i="13"/>
  <c r="AH76" i="13"/>
  <c r="CU76" i="13" s="1"/>
  <c r="S76" i="13" a="1"/>
  <c r="S76" i="13" s="1"/>
  <c r="N76" i="13" a="1"/>
  <c r="N76" i="13" s="1"/>
  <c r="BM75" i="13" a="1"/>
  <c r="BM75" i="13" s="1"/>
  <c r="BE75" i="13" a="1"/>
  <c r="BE75" i="13" s="1"/>
  <c r="BD75" i="13" a="1"/>
  <c r="BD75" i="13" s="1"/>
  <c r="BC75" i="13" a="1"/>
  <c r="BC75" i="13" s="1"/>
  <c r="BB75" i="13" a="1"/>
  <c r="BB75" i="13" s="1"/>
  <c r="BA75" i="13" a="1"/>
  <c r="BA75" i="13" s="1"/>
  <c r="AZ75" i="13"/>
  <c r="AY75" i="13"/>
  <c r="AS75" i="13" a="1"/>
  <c r="AS75" i="13" s="1"/>
  <c r="AR75" i="13" a="1"/>
  <c r="AR75" i="13" s="1"/>
  <c r="AQ75" i="13"/>
  <c r="AP75" i="13" a="1"/>
  <c r="AP75" i="13" s="1"/>
  <c r="AN75" i="13" a="1"/>
  <c r="AN75" i="13" s="1"/>
  <c r="AJ75" i="13"/>
  <c r="BL75" i="13" s="1"/>
  <c r="AI75" i="13"/>
  <c r="AH75" i="13"/>
  <c r="CA75" i="13" s="1"/>
  <c r="S75" i="13" a="1"/>
  <c r="S75" i="13" s="1"/>
  <c r="N75" i="13" a="1"/>
  <c r="N75" i="13" s="1"/>
  <c r="BM74" i="13" a="1"/>
  <c r="BM74" i="13" s="1"/>
  <c r="BE74" i="13" a="1"/>
  <c r="BE74" i="13" s="1"/>
  <c r="BD74" i="13" a="1"/>
  <c r="BD74" i="13" s="1"/>
  <c r="BC74" i="13" a="1"/>
  <c r="BC74" i="13" s="1"/>
  <c r="BB74" i="13" a="1"/>
  <c r="BB74" i="13" s="1"/>
  <c r="BA74" i="13" a="1"/>
  <c r="BA74" i="13" s="1"/>
  <c r="AZ74" i="13"/>
  <c r="AY74" i="13"/>
  <c r="AS74" i="13" a="1"/>
  <c r="AS74" i="13" s="1"/>
  <c r="AR74" i="13" a="1"/>
  <c r="AR74" i="13" s="1"/>
  <c r="AQ74" i="13"/>
  <c r="AP74" i="13" a="1"/>
  <c r="AP74" i="13" s="1"/>
  <c r="AN74" i="13" a="1"/>
  <c r="AN74" i="13" s="1"/>
  <c r="AJ74" i="13"/>
  <c r="BL74" i="13" s="1"/>
  <c r="AI74" i="13"/>
  <c r="AH74" i="13"/>
  <c r="A74" i="13" s="1"/>
  <c r="S74" i="13" a="1"/>
  <c r="S74" i="13" s="1"/>
  <c r="N74" i="13" a="1"/>
  <c r="N74" i="13" s="1"/>
  <c r="BM73" i="13" a="1"/>
  <c r="BM73" i="13" s="1"/>
  <c r="BE73" i="13" a="1"/>
  <c r="BE73" i="13" s="1"/>
  <c r="BD73" i="13" a="1"/>
  <c r="BD73" i="13" s="1"/>
  <c r="BC73" i="13" a="1"/>
  <c r="BC73" i="13" s="1"/>
  <c r="BB73" i="13" a="1"/>
  <c r="BB73" i="13" s="1"/>
  <c r="BA73" i="13" a="1"/>
  <c r="BA73" i="13" s="1"/>
  <c r="AZ73" i="13"/>
  <c r="AY73" i="13"/>
  <c r="AS73" i="13" a="1"/>
  <c r="AS73" i="13" s="1"/>
  <c r="AR73" i="13" a="1"/>
  <c r="AR73" i="13" s="1"/>
  <c r="AQ73" i="13"/>
  <c r="AP73" i="13" a="1"/>
  <c r="AP73" i="13" s="1"/>
  <c r="AN73" i="13" a="1"/>
  <c r="AN73" i="13" s="1"/>
  <c r="AJ73" i="13"/>
  <c r="BL73" i="13" s="1"/>
  <c r="AI73" i="13"/>
  <c r="AH73" i="13"/>
  <c r="A73" i="13" s="1"/>
  <c r="S73" i="13" a="1"/>
  <c r="S73" i="13" s="1"/>
  <c r="N73" i="13" a="1"/>
  <c r="N73" i="13" s="1"/>
  <c r="BM72" i="13" a="1"/>
  <c r="BM72" i="13" s="1"/>
  <c r="BE72" i="13" a="1"/>
  <c r="BE72" i="13" s="1"/>
  <c r="BD72" i="13" a="1"/>
  <c r="BD72" i="13" s="1"/>
  <c r="BC72" i="13" a="1"/>
  <c r="BC72" i="13" s="1"/>
  <c r="BB72" i="13" a="1"/>
  <c r="BB72" i="13" s="1"/>
  <c r="BA72" i="13" a="1"/>
  <c r="BA72" i="13" s="1"/>
  <c r="AZ72" i="13"/>
  <c r="AY72" i="13"/>
  <c r="AS72" i="13" a="1"/>
  <c r="AS72" i="13" s="1"/>
  <c r="AR72" i="13" a="1"/>
  <c r="AR72" i="13" s="1"/>
  <c r="AQ72" i="13"/>
  <c r="AP72" i="13" a="1"/>
  <c r="AP72" i="13" s="1"/>
  <c r="AN72" i="13" a="1"/>
  <c r="AN72" i="13" s="1"/>
  <c r="AJ72" i="13"/>
  <c r="BL72" i="13" s="1"/>
  <c r="AI72" i="13"/>
  <c r="AH72" i="13"/>
  <c r="CU72" i="13" s="1"/>
  <c r="S72" i="13" a="1"/>
  <c r="S72" i="13" s="1"/>
  <c r="N72" i="13" a="1"/>
  <c r="N72" i="13" s="1"/>
  <c r="BM71" i="13" a="1"/>
  <c r="BM71" i="13" s="1"/>
  <c r="BE71" i="13" a="1"/>
  <c r="BE71" i="13" s="1"/>
  <c r="BD71" i="13" a="1"/>
  <c r="BD71" i="13" s="1"/>
  <c r="BC71" i="13" a="1"/>
  <c r="BC71" i="13" s="1"/>
  <c r="BB71" i="13" a="1"/>
  <c r="BB71" i="13" s="1"/>
  <c r="BA71" i="13" a="1"/>
  <c r="BA71" i="13" s="1"/>
  <c r="AZ71" i="13"/>
  <c r="AY71" i="13"/>
  <c r="AS71" i="13" a="1"/>
  <c r="AS71" i="13" s="1"/>
  <c r="AR71" i="13" a="1"/>
  <c r="AR71" i="13" s="1"/>
  <c r="AQ71" i="13"/>
  <c r="AP71" i="13" a="1"/>
  <c r="AP71" i="13" s="1"/>
  <c r="AN71" i="13" a="1"/>
  <c r="AN71" i="13" s="1"/>
  <c r="AJ71" i="13"/>
  <c r="BL71" i="13" s="1"/>
  <c r="AI71" i="13"/>
  <c r="AH71" i="13"/>
  <c r="CU71" i="13" s="1"/>
  <c r="S71" i="13" a="1"/>
  <c r="S71" i="13" s="1"/>
  <c r="N71" i="13" a="1"/>
  <c r="N71" i="13" s="1"/>
  <c r="BM70" i="13" a="1"/>
  <c r="BM70" i="13" s="1"/>
  <c r="BE70" i="13" a="1"/>
  <c r="BE70" i="13" s="1"/>
  <c r="BD70" i="13" a="1"/>
  <c r="BD70" i="13" s="1"/>
  <c r="BC70" i="13" a="1"/>
  <c r="BC70" i="13" s="1"/>
  <c r="BB70" i="13" a="1"/>
  <c r="BB70" i="13" s="1"/>
  <c r="BA70" i="13" a="1"/>
  <c r="BA70" i="13" s="1"/>
  <c r="AZ70" i="13"/>
  <c r="AY70" i="13"/>
  <c r="AS70" i="13" a="1"/>
  <c r="AS70" i="13" s="1"/>
  <c r="AR70" i="13" a="1"/>
  <c r="AR70" i="13" s="1"/>
  <c r="AQ70" i="13"/>
  <c r="AP70" i="13" a="1"/>
  <c r="AP70" i="13" s="1"/>
  <c r="AN70" i="13" a="1"/>
  <c r="AN70" i="13" s="1"/>
  <c r="AJ70" i="13"/>
  <c r="BL70" i="13" s="1"/>
  <c r="AI70" i="13"/>
  <c r="AH70" i="13"/>
  <c r="CH70" i="13" s="1"/>
  <c r="S70" i="13" a="1"/>
  <c r="S70" i="13" s="1"/>
  <c r="N70" i="13" a="1"/>
  <c r="N70" i="13" s="1"/>
  <c r="BM69" i="13" a="1"/>
  <c r="BM69" i="13" s="1"/>
  <c r="BE69" i="13" a="1"/>
  <c r="BE69" i="13" s="1"/>
  <c r="BD69" i="13" a="1"/>
  <c r="BD69" i="13" s="1"/>
  <c r="BC69" i="13" a="1"/>
  <c r="BC69" i="13" s="1"/>
  <c r="BB69" i="13" a="1"/>
  <c r="BB69" i="13" s="1"/>
  <c r="BA69" i="13" a="1"/>
  <c r="BA69" i="13" s="1"/>
  <c r="AZ69" i="13"/>
  <c r="AY69" i="13"/>
  <c r="AS69" i="13" a="1"/>
  <c r="AS69" i="13" s="1"/>
  <c r="AR69" i="13" a="1"/>
  <c r="AR69" i="13" s="1"/>
  <c r="AQ69" i="13"/>
  <c r="AP69" i="13" a="1"/>
  <c r="AP69" i="13" s="1"/>
  <c r="AN69" i="13" a="1"/>
  <c r="AN69" i="13" s="1"/>
  <c r="AJ69" i="13"/>
  <c r="BL69" i="13" s="1"/>
  <c r="AI69" i="13"/>
  <c r="AH69" i="13"/>
  <c r="S69" i="13" a="1"/>
  <c r="S69" i="13" s="1"/>
  <c r="N69" i="13" a="1"/>
  <c r="N69" i="13" s="1"/>
  <c r="BM68" i="13" a="1"/>
  <c r="BM68" i="13" s="1"/>
  <c r="BE68" i="13" a="1"/>
  <c r="BE68" i="13" s="1"/>
  <c r="BD68" i="13" a="1"/>
  <c r="BD68" i="13" s="1"/>
  <c r="BC68" i="13" a="1"/>
  <c r="BC68" i="13" s="1"/>
  <c r="BB68" i="13" a="1"/>
  <c r="BB68" i="13" s="1"/>
  <c r="BA68" i="13" a="1"/>
  <c r="BA68" i="13" s="1"/>
  <c r="AZ68" i="13"/>
  <c r="AY68" i="13"/>
  <c r="AS68" i="13" a="1"/>
  <c r="AS68" i="13" s="1"/>
  <c r="AR68" i="13" a="1"/>
  <c r="AR68" i="13" s="1"/>
  <c r="AQ68" i="13"/>
  <c r="AP68" i="13" a="1"/>
  <c r="AP68" i="13" s="1"/>
  <c r="AN68" i="13" a="1"/>
  <c r="AN68" i="13" s="1"/>
  <c r="AJ68" i="13"/>
  <c r="BL68" i="13" s="1"/>
  <c r="AI68" i="13"/>
  <c r="AH68" i="13"/>
  <c r="CH68" i="13" s="1"/>
  <c r="S68" i="13" a="1"/>
  <c r="S68" i="13" s="1"/>
  <c r="N68" i="13" a="1"/>
  <c r="N68" i="13" s="1"/>
  <c r="BM67" i="13" a="1"/>
  <c r="BM67" i="13" s="1"/>
  <c r="BE67" i="13" a="1"/>
  <c r="BE67" i="13" s="1"/>
  <c r="BD67" i="13" a="1"/>
  <c r="BD67" i="13" s="1"/>
  <c r="BC67" i="13" a="1"/>
  <c r="BC67" i="13" s="1"/>
  <c r="BB67" i="13" a="1"/>
  <c r="BB67" i="13" s="1"/>
  <c r="BA67" i="13" a="1"/>
  <c r="BA67" i="13" s="1"/>
  <c r="AZ67" i="13"/>
  <c r="AY67" i="13"/>
  <c r="AS67" i="13" a="1"/>
  <c r="AS67" i="13" s="1"/>
  <c r="AR67" i="13" a="1"/>
  <c r="AR67" i="13" s="1"/>
  <c r="AQ67" i="13"/>
  <c r="AP67" i="13" a="1"/>
  <c r="AP67" i="13" s="1"/>
  <c r="AN67" i="13" a="1"/>
  <c r="AN67" i="13" s="1"/>
  <c r="AJ67" i="13"/>
  <c r="BL67" i="13" s="1"/>
  <c r="AI67" i="13"/>
  <c r="AH67" i="13"/>
  <c r="CA67" i="13" s="1"/>
  <c r="S67" i="13" a="1"/>
  <c r="S67" i="13" s="1"/>
  <c r="N67" i="13" a="1"/>
  <c r="N67" i="13" s="1"/>
  <c r="BM66" i="13" a="1"/>
  <c r="BM66" i="13" s="1"/>
  <c r="BE66" i="13" a="1"/>
  <c r="BE66" i="13" s="1"/>
  <c r="BD66" i="13" a="1"/>
  <c r="BD66" i="13" s="1"/>
  <c r="BC66" i="13" a="1"/>
  <c r="BC66" i="13" s="1"/>
  <c r="BB66" i="13" a="1"/>
  <c r="BB66" i="13" s="1"/>
  <c r="BA66" i="13" a="1"/>
  <c r="BA66" i="13" s="1"/>
  <c r="AZ66" i="13"/>
  <c r="AY66" i="13"/>
  <c r="AS66" i="13" a="1"/>
  <c r="AS66" i="13" s="1"/>
  <c r="AR66" i="13" a="1"/>
  <c r="AR66" i="13" s="1"/>
  <c r="AQ66" i="13"/>
  <c r="AP66" i="13" a="1"/>
  <c r="AP66" i="13" s="1"/>
  <c r="AN66" i="13" a="1"/>
  <c r="AN66" i="13" s="1"/>
  <c r="AJ66" i="13"/>
  <c r="BL66" i="13" s="1"/>
  <c r="AI66" i="13"/>
  <c r="AH66" i="13"/>
  <c r="AM66" i="13" s="1"/>
  <c r="S66" i="13" a="1"/>
  <c r="S66" i="13" s="1"/>
  <c r="N66" i="13" a="1"/>
  <c r="N66" i="13" s="1"/>
  <c r="BM65" i="13" a="1"/>
  <c r="BM65" i="13" s="1"/>
  <c r="BE65" i="13" a="1"/>
  <c r="BE65" i="13" s="1"/>
  <c r="BD65" i="13" a="1"/>
  <c r="BD65" i="13" s="1"/>
  <c r="BC65" i="13" a="1"/>
  <c r="BC65" i="13" s="1"/>
  <c r="BB65" i="13" a="1"/>
  <c r="BB65" i="13" s="1"/>
  <c r="BA65" i="13" a="1"/>
  <c r="BA65" i="13" s="1"/>
  <c r="AZ65" i="13"/>
  <c r="AY65" i="13"/>
  <c r="AS65" i="13" a="1"/>
  <c r="AS65" i="13" s="1"/>
  <c r="AR65" i="13" a="1"/>
  <c r="AR65" i="13" s="1"/>
  <c r="AQ65" i="13"/>
  <c r="AP65" i="13" a="1"/>
  <c r="AP65" i="13" s="1"/>
  <c r="AN65" i="13" a="1"/>
  <c r="AN65" i="13" s="1"/>
  <c r="AJ65" i="13"/>
  <c r="BL65" i="13" s="1"/>
  <c r="AI65" i="13"/>
  <c r="AH65" i="13"/>
  <c r="CU65" i="13" s="1"/>
  <c r="S65" i="13" a="1"/>
  <c r="S65" i="13" s="1"/>
  <c r="N65" i="13" a="1"/>
  <c r="N65" i="13" s="1"/>
  <c r="BM64" i="13" a="1"/>
  <c r="BM64" i="13" s="1"/>
  <c r="BE64" i="13" a="1"/>
  <c r="BE64" i="13" s="1"/>
  <c r="BD64" i="13" a="1"/>
  <c r="BD64" i="13" s="1"/>
  <c r="BC64" i="13" a="1"/>
  <c r="BC64" i="13" s="1"/>
  <c r="BB64" i="13" a="1"/>
  <c r="BB64" i="13" s="1"/>
  <c r="BA64" i="13" a="1"/>
  <c r="BA64" i="13" s="1"/>
  <c r="AZ64" i="13"/>
  <c r="AY64" i="13"/>
  <c r="AS64" i="13" a="1"/>
  <c r="AS64" i="13" s="1"/>
  <c r="AR64" i="13" a="1"/>
  <c r="AR64" i="13" s="1"/>
  <c r="AQ64" i="13"/>
  <c r="AP64" i="13" a="1"/>
  <c r="AP64" i="13" s="1"/>
  <c r="AN64" i="13" a="1"/>
  <c r="AN64" i="13" s="1"/>
  <c r="AJ64" i="13"/>
  <c r="BL64" i="13" s="1"/>
  <c r="AI64" i="13"/>
  <c r="AH64" i="13"/>
  <c r="CH64" i="13" s="1"/>
  <c r="S64" i="13" a="1"/>
  <c r="S64" i="13" s="1"/>
  <c r="N64" i="13" a="1"/>
  <c r="N64" i="13" s="1"/>
  <c r="BM63" i="13" a="1"/>
  <c r="BM63" i="13" s="1"/>
  <c r="BE63" i="13" a="1"/>
  <c r="BE63" i="13" s="1"/>
  <c r="BD63" i="13" a="1"/>
  <c r="BD63" i="13" s="1"/>
  <c r="BC63" i="13" a="1"/>
  <c r="BC63" i="13" s="1"/>
  <c r="BB63" i="13" a="1"/>
  <c r="BB63" i="13" s="1"/>
  <c r="BA63" i="13" a="1"/>
  <c r="BA63" i="13" s="1"/>
  <c r="AZ63" i="13"/>
  <c r="AY63" i="13"/>
  <c r="AS63" i="13" a="1"/>
  <c r="AS63" i="13" s="1"/>
  <c r="AR63" i="13" a="1"/>
  <c r="AR63" i="13" s="1"/>
  <c r="AQ63" i="13"/>
  <c r="AP63" i="13" a="1"/>
  <c r="AP63" i="13" s="1"/>
  <c r="AN63" i="13" a="1"/>
  <c r="AN63" i="13" s="1"/>
  <c r="AJ63" i="13"/>
  <c r="BL63" i="13" s="1"/>
  <c r="AI63" i="13"/>
  <c r="AH63" i="13"/>
  <c r="CQ63" i="13" s="1"/>
  <c r="S63" i="13" a="1"/>
  <c r="S63" i="13" s="1"/>
  <c r="N63" i="13" a="1"/>
  <c r="N63" i="13" s="1"/>
  <c r="BM62" i="13" a="1"/>
  <c r="BM62" i="13" s="1"/>
  <c r="BE62" i="13" a="1"/>
  <c r="BE62" i="13" s="1"/>
  <c r="BD62" i="13" a="1"/>
  <c r="BD62" i="13" s="1"/>
  <c r="BC62" i="13" a="1"/>
  <c r="BC62" i="13" s="1"/>
  <c r="BB62" i="13" a="1"/>
  <c r="BB62" i="13" s="1"/>
  <c r="BA62" i="13" a="1"/>
  <c r="BA62" i="13" s="1"/>
  <c r="AZ62" i="13"/>
  <c r="AY62" i="13"/>
  <c r="AS62" i="13" a="1"/>
  <c r="AS62" i="13" s="1"/>
  <c r="AR62" i="13" a="1"/>
  <c r="AR62" i="13" s="1"/>
  <c r="AQ62" i="13"/>
  <c r="AP62" i="13" a="1"/>
  <c r="AP62" i="13" s="1"/>
  <c r="AN62" i="13" a="1"/>
  <c r="AN62" i="13" s="1"/>
  <c r="AJ62" i="13"/>
  <c r="BL62" i="13" s="1"/>
  <c r="AI62" i="13"/>
  <c r="AH62" i="13"/>
  <c r="S62" i="13" a="1"/>
  <c r="S62" i="13" s="1"/>
  <c r="N62" i="13" a="1"/>
  <c r="N62" i="13" s="1"/>
  <c r="BM61" i="13" a="1"/>
  <c r="BM61" i="13" s="1"/>
  <c r="BE61" i="13" a="1"/>
  <c r="BE61" i="13" s="1"/>
  <c r="BD61" i="13" a="1"/>
  <c r="BD61" i="13" s="1"/>
  <c r="BC61" i="13" a="1"/>
  <c r="BC61" i="13" s="1"/>
  <c r="BB61" i="13" a="1"/>
  <c r="BB61" i="13" s="1"/>
  <c r="BA61" i="13" a="1"/>
  <c r="BA61" i="13" s="1"/>
  <c r="AZ61" i="13"/>
  <c r="AY61" i="13"/>
  <c r="AS61" i="13" a="1"/>
  <c r="AS61" i="13" s="1"/>
  <c r="AR61" i="13" a="1"/>
  <c r="AR61" i="13" s="1"/>
  <c r="AQ61" i="13"/>
  <c r="AP61" i="13" a="1"/>
  <c r="AP61" i="13" s="1"/>
  <c r="AN61" i="13" a="1"/>
  <c r="AN61" i="13" s="1"/>
  <c r="AJ61" i="13"/>
  <c r="BL61" i="13" s="1"/>
  <c r="AI61" i="13"/>
  <c r="AH61" i="13"/>
  <c r="A61" i="13" s="1"/>
  <c r="S61" i="13" a="1"/>
  <c r="S61" i="13" s="1"/>
  <c r="N61" i="13" a="1"/>
  <c r="N61" i="13" s="1"/>
  <c r="BM60" i="13" a="1"/>
  <c r="BM60" i="13" s="1"/>
  <c r="BE60" i="13" a="1"/>
  <c r="BE60" i="13" s="1"/>
  <c r="BD60" i="13" a="1"/>
  <c r="BD60" i="13" s="1"/>
  <c r="BC60" i="13" a="1"/>
  <c r="BC60" i="13" s="1"/>
  <c r="BB60" i="13" a="1"/>
  <c r="BB60" i="13" s="1"/>
  <c r="BA60" i="13" a="1"/>
  <c r="BA60" i="13" s="1"/>
  <c r="AZ60" i="13"/>
  <c r="AY60" i="13"/>
  <c r="AS60" i="13" a="1"/>
  <c r="AS60" i="13" s="1"/>
  <c r="AR60" i="13" a="1"/>
  <c r="AR60" i="13" s="1"/>
  <c r="AQ60" i="13"/>
  <c r="AP60" i="13" a="1"/>
  <c r="AP60" i="13" s="1"/>
  <c r="AN60" i="13" a="1"/>
  <c r="AN60" i="13" s="1"/>
  <c r="AJ60" i="13"/>
  <c r="AI60" i="13"/>
  <c r="AH60" i="13"/>
  <c r="CQ60" i="13" s="1"/>
  <c r="S60" i="13" a="1"/>
  <c r="S60" i="13" s="1"/>
  <c r="N60" i="13" a="1"/>
  <c r="N60" i="13" s="1"/>
  <c r="BM59" i="13" a="1"/>
  <c r="BM59" i="13" s="1"/>
  <c r="BE59" i="13" a="1"/>
  <c r="BE59" i="13" s="1"/>
  <c r="BD59" i="13" a="1"/>
  <c r="BD59" i="13" s="1"/>
  <c r="BC59" i="13" a="1"/>
  <c r="BC59" i="13" s="1"/>
  <c r="BB59" i="13" a="1"/>
  <c r="BB59" i="13" s="1"/>
  <c r="BA59" i="13" a="1"/>
  <c r="BA59" i="13" s="1"/>
  <c r="AZ59" i="13"/>
  <c r="AY59" i="13"/>
  <c r="AS59" i="13" a="1"/>
  <c r="AS59" i="13" s="1"/>
  <c r="AR59" i="13" a="1"/>
  <c r="AR59" i="13" s="1"/>
  <c r="AQ59" i="13"/>
  <c r="AP59" i="13" a="1"/>
  <c r="AP59" i="13" s="1"/>
  <c r="AN59" i="13" a="1"/>
  <c r="AN59" i="13" s="1"/>
  <c r="AJ59" i="13"/>
  <c r="AI59" i="13"/>
  <c r="AH59" i="13"/>
  <c r="CH59" i="13" s="1"/>
  <c r="S59" i="13" a="1"/>
  <c r="S59" i="13" s="1"/>
  <c r="N59" i="13" a="1"/>
  <c r="N59" i="13" s="1"/>
  <c r="BM58" i="13" a="1"/>
  <c r="BM58" i="13" s="1"/>
  <c r="BE58" i="13" a="1"/>
  <c r="BE58" i="13" s="1"/>
  <c r="BD58" i="13" a="1"/>
  <c r="BD58" i="13" s="1"/>
  <c r="BC58" i="13" a="1"/>
  <c r="BC58" i="13" s="1"/>
  <c r="BB58" i="13" a="1"/>
  <c r="BB58" i="13" s="1"/>
  <c r="BA58" i="13" a="1"/>
  <c r="BA58" i="13" s="1"/>
  <c r="AZ58" i="13"/>
  <c r="AY58" i="13"/>
  <c r="AS58" i="13" a="1"/>
  <c r="AS58" i="13" s="1"/>
  <c r="AR58" i="13" a="1"/>
  <c r="AR58" i="13" s="1"/>
  <c r="AQ58" i="13"/>
  <c r="AP58" i="13" a="1"/>
  <c r="AP58" i="13" s="1"/>
  <c r="AN58" i="13" a="1"/>
  <c r="AN58" i="13" s="1"/>
  <c r="AJ58" i="13"/>
  <c r="AI58" i="13"/>
  <c r="AH58" i="13"/>
  <c r="CH58" i="13" s="1"/>
  <c r="S58" i="13" a="1"/>
  <c r="S58" i="13" s="1"/>
  <c r="N58" i="13" a="1"/>
  <c r="N58" i="13" s="1"/>
  <c r="BM57" i="13" a="1"/>
  <c r="BM57" i="13" s="1"/>
  <c r="BE57" i="13" a="1"/>
  <c r="BE57" i="13" s="1"/>
  <c r="BD57" i="13" a="1"/>
  <c r="BD57" i="13" s="1"/>
  <c r="BC57" i="13" a="1"/>
  <c r="BC57" i="13" s="1"/>
  <c r="BB57" i="13" a="1"/>
  <c r="BB57" i="13" s="1"/>
  <c r="BA57" i="13" a="1"/>
  <c r="BA57" i="13" s="1"/>
  <c r="AZ57" i="13"/>
  <c r="AY57" i="13"/>
  <c r="AS57" i="13" a="1"/>
  <c r="AS57" i="13" s="1"/>
  <c r="AR57" i="13" a="1"/>
  <c r="AR57" i="13" s="1"/>
  <c r="AQ57" i="13"/>
  <c r="AP57" i="13" a="1"/>
  <c r="AP57" i="13" s="1"/>
  <c r="AN57" i="13" a="1"/>
  <c r="AN57" i="13" s="1"/>
  <c r="AJ57" i="13"/>
  <c r="AI57" i="13"/>
  <c r="AH57" i="13"/>
  <c r="CH57" i="13" s="1"/>
  <c r="S57" i="13" a="1"/>
  <c r="S57" i="13" s="1"/>
  <c r="N57" i="13" a="1"/>
  <c r="N57" i="13" s="1"/>
  <c r="BM56" i="13" a="1"/>
  <c r="BM56" i="13" s="1"/>
  <c r="BE56" i="13" a="1"/>
  <c r="BE56" i="13" s="1"/>
  <c r="BD56" i="13" a="1"/>
  <c r="BD56" i="13" s="1"/>
  <c r="BC56" i="13" a="1"/>
  <c r="BC56" i="13" s="1"/>
  <c r="BB56" i="13" a="1"/>
  <c r="BB56" i="13" s="1"/>
  <c r="BA56" i="13" a="1"/>
  <c r="BA56" i="13" s="1"/>
  <c r="AZ56" i="13"/>
  <c r="AY56" i="13"/>
  <c r="AS56" i="13" a="1"/>
  <c r="AS56" i="13" s="1"/>
  <c r="AR56" i="13" a="1"/>
  <c r="AR56" i="13" s="1"/>
  <c r="AQ56" i="13"/>
  <c r="AP56" i="13" a="1"/>
  <c r="AP56" i="13" s="1"/>
  <c r="AN56" i="13" a="1"/>
  <c r="AN56" i="13" s="1"/>
  <c r="AJ56" i="13"/>
  <c r="AI56" i="13"/>
  <c r="AH56" i="13"/>
  <c r="CH56" i="13" s="1"/>
  <c r="S56" i="13" a="1"/>
  <c r="S56" i="13" s="1"/>
  <c r="N56" i="13" a="1"/>
  <c r="N56" i="13" s="1"/>
  <c r="BM55" i="13" a="1"/>
  <c r="BM55" i="13" s="1"/>
  <c r="BE55" i="13" a="1"/>
  <c r="BE55" i="13" s="1"/>
  <c r="BD55" i="13"/>
  <c r="BD55" i="13" a="1"/>
  <c r="BC55" i="13" a="1"/>
  <c r="BC55" i="13" s="1"/>
  <c r="BB55" i="13" a="1"/>
  <c r="BB55" i="13" s="1"/>
  <c r="BA55" i="13" a="1"/>
  <c r="BA55" i="13" s="1"/>
  <c r="AZ55" i="13"/>
  <c r="AY55" i="13"/>
  <c r="AS55" i="13" a="1"/>
  <c r="AS55" i="13" s="1"/>
  <c r="AR55" i="13"/>
  <c r="AR55" i="13" a="1"/>
  <c r="AQ55" i="13"/>
  <c r="AP55" i="13" a="1"/>
  <c r="AP55" i="13" s="1"/>
  <c r="AN55" i="13" a="1"/>
  <c r="AN55" i="13" s="1"/>
  <c r="AJ55" i="13"/>
  <c r="AI55" i="13"/>
  <c r="AH55" i="13"/>
  <c r="CH55" i="13" s="1"/>
  <c r="S55" i="13" a="1"/>
  <c r="S55" i="13" s="1"/>
  <c r="N55" i="13" a="1"/>
  <c r="N55" i="13" s="1"/>
  <c r="BM54" i="13" a="1"/>
  <c r="BM54" i="13" s="1"/>
  <c r="BE54" i="13" a="1"/>
  <c r="BE54" i="13" s="1"/>
  <c r="BD54" i="13" a="1"/>
  <c r="BD54" i="13" s="1"/>
  <c r="BC54" i="13" a="1"/>
  <c r="BC54" i="13" s="1"/>
  <c r="BB54" i="13" a="1"/>
  <c r="BB54" i="13" s="1"/>
  <c r="BA54" i="13" a="1"/>
  <c r="BA54" i="13" s="1"/>
  <c r="AZ54" i="13"/>
  <c r="AY54" i="13"/>
  <c r="AS54" i="13" a="1"/>
  <c r="AS54" i="13" s="1"/>
  <c r="AR54" i="13" a="1"/>
  <c r="AR54" i="13" s="1"/>
  <c r="AQ54" i="13"/>
  <c r="AP54" i="13" a="1"/>
  <c r="AP54" i="13" s="1"/>
  <c r="AN54" i="13" a="1"/>
  <c r="AN54" i="13" s="1"/>
  <c r="AJ54" i="13"/>
  <c r="AI54" i="13"/>
  <c r="AH54" i="13"/>
  <c r="CH54" i="13" s="1"/>
  <c r="S54" i="13" a="1"/>
  <c r="S54" i="13" s="1"/>
  <c r="N54" i="13" a="1"/>
  <c r="N54" i="13" s="1"/>
  <c r="BM53" i="13" a="1"/>
  <c r="BM53" i="13" s="1"/>
  <c r="BE53" i="13" a="1"/>
  <c r="BE53" i="13" s="1"/>
  <c r="BD53" i="13" a="1"/>
  <c r="BD53" i="13" s="1"/>
  <c r="BC53" i="13" a="1"/>
  <c r="BC53" i="13" s="1"/>
  <c r="BB53" i="13" a="1"/>
  <c r="BB53" i="13" s="1"/>
  <c r="BA53" i="13" a="1"/>
  <c r="BA53" i="13" s="1"/>
  <c r="AZ53" i="13"/>
  <c r="AY53" i="13"/>
  <c r="AS53" i="13" a="1"/>
  <c r="AS53" i="13" s="1"/>
  <c r="AR53" i="13" a="1"/>
  <c r="AR53" i="13" s="1"/>
  <c r="AQ53" i="13"/>
  <c r="AP53" i="13" a="1"/>
  <c r="AP53" i="13" s="1"/>
  <c r="AN53" i="13" a="1"/>
  <c r="AN53" i="13" s="1"/>
  <c r="AJ53" i="13"/>
  <c r="AI53" i="13"/>
  <c r="AH53" i="13"/>
  <c r="BS53" i="13" s="1"/>
  <c r="S53" i="13" a="1"/>
  <c r="S53" i="13" s="1"/>
  <c r="N53" i="13" a="1"/>
  <c r="N53" i="13" s="1"/>
  <c r="BM52" i="13" a="1"/>
  <c r="BM52" i="13" s="1"/>
  <c r="BE52" i="13" a="1"/>
  <c r="BE52" i="13" s="1"/>
  <c r="BD52" i="13" a="1"/>
  <c r="BD52" i="13" s="1"/>
  <c r="BC52" i="13" a="1"/>
  <c r="BC52" i="13" s="1"/>
  <c r="BB52" i="13" a="1"/>
  <c r="BB52" i="13" s="1"/>
  <c r="BA52" i="13" a="1"/>
  <c r="BA52" i="13" s="1"/>
  <c r="AZ52" i="13"/>
  <c r="AY52" i="13"/>
  <c r="AS52" i="13" a="1"/>
  <c r="AS52" i="13" s="1"/>
  <c r="AR52" i="13" a="1"/>
  <c r="AR52" i="13" s="1"/>
  <c r="AQ52" i="13"/>
  <c r="AP52" i="13" a="1"/>
  <c r="AP52" i="13" s="1"/>
  <c r="AN52" i="13" a="1"/>
  <c r="AN52" i="13" s="1"/>
  <c r="AJ52" i="13"/>
  <c r="AI52" i="13"/>
  <c r="AH52" i="13"/>
  <c r="BS52" i="13" s="1"/>
  <c r="S52" i="13" a="1"/>
  <c r="S52" i="13" s="1"/>
  <c r="N52" i="13" a="1"/>
  <c r="N52" i="13" s="1"/>
  <c r="CH51" i="13"/>
  <c r="BM51" i="13" a="1"/>
  <c r="BM51" i="13" s="1"/>
  <c r="BE51" i="13" a="1"/>
  <c r="BE51" i="13" s="1"/>
  <c r="BD51" i="13" a="1"/>
  <c r="BD51" i="13" s="1"/>
  <c r="BC51" i="13" a="1"/>
  <c r="BC51" i="13" s="1"/>
  <c r="BB51" i="13" a="1"/>
  <c r="BB51" i="13" s="1"/>
  <c r="BA51" i="13" a="1"/>
  <c r="BA51" i="13" s="1"/>
  <c r="AZ51" i="13"/>
  <c r="AY51" i="13"/>
  <c r="AS51" i="13" a="1"/>
  <c r="AS51" i="13" s="1"/>
  <c r="AR51" i="13" a="1"/>
  <c r="AR51" i="13" s="1"/>
  <c r="AQ51" i="13"/>
  <c r="AP51" i="13" a="1"/>
  <c r="AP51" i="13" s="1"/>
  <c r="AN51" i="13" a="1"/>
  <c r="AN51" i="13" s="1"/>
  <c r="AJ51" i="13"/>
  <c r="AI51" i="13"/>
  <c r="AH51" i="13"/>
  <c r="BS51" i="13" s="1"/>
  <c r="S51" i="13" a="1"/>
  <c r="S51" i="13" s="1"/>
  <c r="N51" i="13" a="1"/>
  <c r="N51" i="13" s="1"/>
  <c r="BM50" i="13" a="1"/>
  <c r="BM50" i="13" s="1"/>
  <c r="BE50" i="13" a="1"/>
  <c r="BE50" i="13" s="1"/>
  <c r="BD50" i="13" a="1"/>
  <c r="BD50" i="13" s="1"/>
  <c r="BC50" i="13" a="1"/>
  <c r="BC50" i="13" s="1"/>
  <c r="BB50" i="13" a="1"/>
  <c r="BB50" i="13" s="1"/>
  <c r="BA50" i="13" a="1"/>
  <c r="BA50" i="13" s="1"/>
  <c r="AZ50" i="13"/>
  <c r="AY50" i="13"/>
  <c r="AS50" i="13" a="1"/>
  <c r="AS50" i="13" s="1"/>
  <c r="AR50" i="13" a="1"/>
  <c r="AR50" i="13" s="1"/>
  <c r="AQ50" i="13"/>
  <c r="AP50" i="13" a="1"/>
  <c r="AP50" i="13" s="1"/>
  <c r="AN50" i="13" a="1"/>
  <c r="AN50" i="13" s="1"/>
  <c r="AJ50" i="13"/>
  <c r="AI50" i="13"/>
  <c r="AH50" i="13"/>
  <c r="BS50" i="13" s="1"/>
  <c r="S50" i="13" a="1"/>
  <c r="S50" i="13" s="1"/>
  <c r="N50" i="13" a="1"/>
  <c r="N50" i="13" s="1"/>
  <c r="BM49" i="13" a="1"/>
  <c r="BM49" i="13" s="1"/>
  <c r="BE49" i="13" a="1"/>
  <c r="BE49" i="13" s="1"/>
  <c r="BD49" i="13" a="1"/>
  <c r="BD49" i="13" s="1"/>
  <c r="BC49" i="13" a="1"/>
  <c r="BC49" i="13" s="1"/>
  <c r="BB49" i="13" a="1"/>
  <c r="BB49" i="13" s="1"/>
  <c r="BA49" i="13" a="1"/>
  <c r="BA49" i="13" s="1"/>
  <c r="AZ49" i="13"/>
  <c r="AY49" i="13"/>
  <c r="AS49" i="13" a="1"/>
  <c r="AS49" i="13" s="1"/>
  <c r="AR49" i="13" a="1"/>
  <c r="AR49" i="13" s="1"/>
  <c r="AQ49" i="13"/>
  <c r="AP49" i="13" a="1"/>
  <c r="AP49" i="13" s="1"/>
  <c r="AN49" i="13" a="1"/>
  <c r="AN49" i="13" s="1"/>
  <c r="AJ49" i="13"/>
  <c r="AI49" i="13"/>
  <c r="AH49" i="13"/>
  <c r="BS49" i="13" s="1"/>
  <c r="S49" i="13" a="1"/>
  <c r="S49" i="13" s="1"/>
  <c r="N49" i="13" a="1"/>
  <c r="N49" i="13" s="1"/>
  <c r="BM48" i="13" a="1"/>
  <c r="BM48" i="13" s="1"/>
  <c r="BE48" i="13" a="1"/>
  <c r="BE48" i="13" s="1"/>
  <c r="BD48" i="13" a="1"/>
  <c r="BD48" i="13" s="1"/>
  <c r="BC48" i="13" a="1"/>
  <c r="BC48" i="13" s="1"/>
  <c r="BB48" i="13" a="1"/>
  <c r="BB48" i="13" s="1"/>
  <c r="BA48" i="13" a="1"/>
  <c r="BA48" i="13" s="1"/>
  <c r="AZ48" i="13"/>
  <c r="AY48" i="13"/>
  <c r="AS48" i="13" a="1"/>
  <c r="AS48" i="13" s="1"/>
  <c r="AR48" i="13" a="1"/>
  <c r="AR48" i="13" s="1"/>
  <c r="AQ48" i="13"/>
  <c r="AP48" i="13" a="1"/>
  <c r="AP48" i="13" s="1"/>
  <c r="AN48" i="13" a="1"/>
  <c r="AN48" i="13" s="1"/>
  <c r="AM48" i="13"/>
  <c r="AJ48" i="13"/>
  <c r="AI48" i="13"/>
  <c r="AH48" i="13"/>
  <c r="CQ48" i="13" s="1"/>
  <c r="S48" i="13" a="1"/>
  <c r="S48" i="13" s="1"/>
  <c r="N48" i="13" a="1"/>
  <c r="N48" i="13" s="1"/>
  <c r="BM47" i="13" a="1"/>
  <c r="BM47" i="13" s="1"/>
  <c r="BE47" i="13" a="1"/>
  <c r="BE47" i="13" s="1"/>
  <c r="BD47" i="13" a="1"/>
  <c r="BD47" i="13" s="1"/>
  <c r="BC47" i="13" a="1"/>
  <c r="BC47" i="13" s="1"/>
  <c r="BB47" i="13" a="1"/>
  <c r="BB47" i="13" s="1"/>
  <c r="BA47" i="13" a="1"/>
  <c r="BA47" i="13" s="1"/>
  <c r="AZ47" i="13"/>
  <c r="AY47" i="13"/>
  <c r="AS47" i="13" a="1"/>
  <c r="AS47" i="13" s="1"/>
  <c r="AR47" i="13" a="1"/>
  <c r="AR47" i="13" s="1"/>
  <c r="AQ47" i="13"/>
  <c r="AP47" i="13" a="1"/>
  <c r="AP47" i="13" s="1"/>
  <c r="AN47" i="13" a="1"/>
  <c r="AN47" i="13" s="1"/>
  <c r="AJ47" i="13"/>
  <c r="AI47" i="13"/>
  <c r="AH47" i="13"/>
  <c r="BN47" i="13" s="1"/>
  <c r="S47" i="13" a="1"/>
  <c r="S47" i="13" s="1"/>
  <c r="N47" i="13" a="1"/>
  <c r="N47" i="13" s="1"/>
  <c r="BM46" i="13" a="1"/>
  <c r="BM46" i="13" s="1"/>
  <c r="BE46" i="13" a="1"/>
  <c r="BE46" i="13" s="1"/>
  <c r="BD46" i="13" a="1"/>
  <c r="BD46" i="13" s="1"/>
  <c r="BC46" i="13" a="1"/>
  <c r="BC46" i="13" s="1"/>
  <c r="BB46" i="13" a="1"/>
  <c r="BB46" i="13" s="1"/>
  <c r="BA46" i="13" a="1"/>
  <c r="BA46" i="13" s="1"/>
  <c r="AZ46" i="13"/>
  <c r="AY46" i="13"/>
  <c r="AS46" i="13" a="1"/>
  <c r="AS46" i="13" s="1"/>
  <c r="AR46" i="13" a="1"/>
  <c r="AR46" i="13" s="1"/>
  <c r="AQ46" i="13"/>
  <c r="AP46" i="13" a="1"/>
  <c r="AP46" i="13" s="1"/>
  <c r="AN46" i="13" a="1"/>
  <c r="AN46" i="13" s="1"/>
  <c r="AJ46" i="13"/>
  <c r="AI46" i="13"/>
  <c r="AH46" i="13"/>
  <c r="BN46" i="13" s="1"/>
  <c r="S46" i="13" a="1"/>
  <c r="S46" i="13" s="1"/>
  <c r="N46" i="13" a="1"/>
  <c r="N46" i="13" s="1"/>
  <c r="BM45" i="13" a="1"/>
  <c r="BM45" i="13" s="1"/>
  <c r="BE45" i="13" a="1"/>
  <c r="BE45" i="13" s="1"/>
  <c r="BD45" i="13" a="1"/>
  <c r="BD45" i="13" s="1"/>
  <c r="BC45" i="13" a="1"/>
  <c r="BC45" i="13" s="1"/>
  <c r="BB45" i="13" a="1"/>
  <c r="BB45" i="13" s="1"/>
  <c r="BA45" i="13" a="1"/>
  <c r="BA45" i="13" s="1"/>
  <c r="AZ45" i="13"/>
  <c r="AY45" i="13"/>
  <c r="AS45" i="13" a="1"/>
  <c r="AS45" i="13" s="1"/>
  <c r="AR45" i="13" a="1"/>
  <c r="AR45" i="13" s="1"/>
  <c r="AQ45" i="13"/>
  <c r="AP45" i="13" a="1"/>
  <c r="AP45" i="13" s="1"/>
  <c r="AN45" i="13" a="1"/>
  <c r="AN45" i="13" s="1"/>
  <c r="AJ45" i="13"/>
  <c r="AI45" i="13"/>
  <c r="AH45" i="13"/>
  <c r="BN45" i="13" s="1"/>
  <c r="S45" i="13" a="1"/>
  <c r="S45" i="13" s="1"/>
  <c r="N45" i="13" a="1"/>
  <c r="N45" i="13" s="1"/>
  <c r="BM44" i="13" a="1"/>
  <c r="BM44" i="13" s="1"/>
  <c r="BE44" i="13" a="1"/>
  <c r="BE44" i="13" s="1"/>
  <c r="BD44" i="13" a="1"/>
  <c r="BD44" i="13" s="1"/>
  <c r="BC44" i="13" a="1"/>
  <c r="BC44" i="13" s="1"/>
  <c r="BB44" i="13" a="1"/>
  <c r="BB44" i="13" s="1"/>
  <c r="BA44" i="13" a="1"/>
  <c r="BA44" i="13" s="1"/>
  <c r="AZ44" i="13"/>
  <c r="AY44" i="13"/>
  <c r="AS44" i="13" a="1"/>
  <c r="AS44" i="13" s="1"/>
  <c r="AR44" i="13" a="1"/>
  <c r="AR44" i="13" s="1"/>
  <c r="AQ44" i="13"/>
  <c r="AP44" i="13" a="1"/>
  <c r="AP44" i="13" s="1"/>
  <c r="AN44" i="13" a="1"/>
  <c r="AN44" i="13" s="1"/>
  <c r="AJ44" i="13"/>
  <c r="AI44" i="13"/>
  <c r="AH44" i="13"/>
  <c r="BN44" i="13" s="1"/>
  <c r="S44" i="13" a="1"/>
  <c r="S44" i="13" s="1"/>
  <c r="N44" i="13" a="1"/>
  <c r="N44" i="13" s="1"/>
  <c r="BM43" i="13" a="1"/>
  <c r="BM43" i="13" s="1"/>
  <c r="BE43" i="13" a="1"/>
  <c r="BE43" i="13" s="1"/>
  <c r="BD43" i="13" a="1"/>
  <c r="BD43" i="13" s="1"/>
  <c r="BC43" i="13" a="1"/>
  <c r="BC43" i="13" s="1"/>
  <c r="BB43" i="13" a="1"/>
  <c r="BB43" i="13" s="1"/>
  <c r="BA43" i="13" a="1"/>
  <c r="BA43" i="13" s="1"/>
  <c r="AZ43" i="13"/>
  <c r="AY43" i="13"/>
  <c r="AS43" i="13" a="1"/>
  <c r="AS43" i="13" s="1"/>
  <c r="AR43" i="13" a="1"/>
  <c r="AR43" i="13" s="1"/>
  <c r="AQ43" i="13"/>
  <c r="AP43" i="13" a="1"/>
  <c r="AP43" i="13" s="1"/>
  <c r="AN43" i="13" a="1"/>
  <c r="AN43" i="13" s="1"/>
  <c r="AJ43" i="13"/>
  <c r="AI43" i="13"/>
  <c r="AH43" i="13"/>
  <c r="BN43" i="13" s="1"/>
  <c r="S43" i="13" a="1"/>
  <c r="S43" i="13" s="1"/>
  <c r="N43" i="13" a="1"/>
  <c r="N43" i="13" s="1"/>
  <c r="BM42" i="13" a="1"/>
  <c r="BM42" i="13" s="1"/>
  <c r="BE42" i="13" a="1"/>
  <c r="BE42" i="13" s="1"/>
  <c r="BD42" i="13" a="1"/>
  <c r="BD42" i="13" s="1"/>
  <c r="BC42" i="13" a="1"/>
  <c r="BC42" i="13" s="1"/>
  <c r="BB42" i="13" a="1"/>
  <c r="BB42" i="13" s="1"/>
  <c r="BA42" i="13" a="1"/>
  <c r="BA42" i="13" s="1"/>
  <c r="AZ42" i="13"/>
  <c r="AY42" i="13"/>
  <c r="AS42" i="13" a="1"/>
  <c r="AS42" i="13" s="1"/>
  <c r="AR42" i="13" a="1"/>
  <c r="AR42" i="13" s="1"/>
  <c r="AQ42" i="13"/>
  <c r="AP42" i="13" a="1"/>
  <c r="AP42" i="13" s="1"/>
  <c r="AN42" i="13" a="1"/>
  <c r="AN42" i="13" s="1"/>
  <c r="AJ42" i="13"/>
  <c r="AI42" i="13"/>
  <c r="AH42" i="13"/>
  <c r="BN42" i="13" s="1"/>
  <c r="S42" i="13" a="1"/>
  <c r="S42" i="13" s="1"/>
  <c r="N42" i="13" a="1"/>
  <c r="N42" i="13" s="1"/>
  <c r="BM41" i="13" a="1"/>
  <c r="BM41" i="13" s="1"/>
  <c r="BE41" i="13" a="1"/>
  <c r="BE41" i="13" s="1"/>
  <c r="BD41" i="13" a="1"/>
  <c r="BD41" i="13" s="1"/>
  <c r="BC41" i="13" a="1"/>
  <c r="BC41" i="13" s="1"/>
  <c r="BB41" i="13" a="1"/>
  <c r="BB41" i="13" s="1"/>
  <c r="BA41" i="13" a="1"/>
  <c r="BA41" i="13" s="1"/>
  <c r="AZ41" i="13"/>
  <c r="AY41" i="13"/>
  <c r="AS41" i="13" a="1"/>
  <c r="AS41" i="13" s="1"/>
  <c r="AR41" i="13" a="1"/>
  <c r="AR41" i="13" s="1"/>
  <c r="AQ41" i="13"/>
  <c r="AP41" i="13" a="1"/>
  <c r="AP41" i="13" s="1"/>
  <c r="AN41" i="13" a="1"/>
  <c r="AN41" i="13" s="1"/>
  <c r="AJ41" i="13"/>
  <c r="AI41" i="13"/>
  <c r="AH41" i="13"/>
  <c r="BN41" i="13" s="1"/>
  <c r="S41" i="13" a="1"/>
  <c r="S41" i="13" s="1"/>
  <c r="N41" i="13" a="1"/>
  <c r="N41" i="13" s="1"/>
  <c r="BM40" i="13" a="1"/>
  <c r="BM40" i="13" s="1"/>
  <c r="BE40" i="13" a="1"/>
  <c r="BE40" i="13" s="1"/>
  <c r="BD40" i="13" a="1"/>
  <c r="BD40" i="13" s="1"/>
  <c r="BC40" i="13" a="1"/>
  <c r="BC40" i="13" s="1"/>
  <c r="BB40" i="13" a="1"/>
  <c r="BB40" i="13" s="1"/>
  <c r="BA40" i="13" a="1"/>
  <c r="BA40" i="13" s="1"/>
  <c r="AZ40" i="13"/>
  <c r="AY40" i="13"/>
  <c r="AS40" i="13" a="1"/>
  <c r="AS40" i="13" s="1"/>
  <c r="AR40" i="13" a="1"/>
  <c r="AR40" i="13" s="1"/>
  <c r="AQ40" i="13"/>
  <c r="AP40" i="13" a="1"/>
  <c r="AP40" i="13" s="1"/>
  <c r="AN40" i="13" a="1"/>
  <c r="AN40" i="13" s="1"/>
  <c r="AJ40" i="13"/>
  <c r="AI40" i="13"/>
  <c r="AH40" i="13"/>
  <c r="BN40" i="13" s="1"/>
  <c r="S40" i="13" a="1"/>
  <c r="S40" i="13" s="1"/>
  <c r="N40" i="13" a="1"/>
  <c r="N40" i="13" s="1"/>
  <c r="BM39" i="13" a="1"/>
  <c r="BM39" i="13" s="1"/>
  <c r="BE39" i="13" a="1"/>
  <c r="BE39" i="13" s="1"/>
  <c r="BD39" i="13" a="1"/>
  <c r="BD39" i="13" s="1"/>
  <c r="BC39" i="13" a="1"/>
  <c r="BC39" i="13" s="1"/>
  <c r="BB39" i="13" a="1"/>
  <c r="BB39" i="13" s="1"/>
  <c r="BA39" i="13" a="1"/>
  <c r="BA39" i="13" s="1"/>
  <c r="AZ39" i="13"/>
  <c r="AY39" i="13"/>
  <c r="AS39" i="13" a="1"/>
  <c r="AS39" i="13" s="1"/>
  <c r="AR39" i="13" a="1"/>
  <c r="AR39" i="13" s="1"/>
  <c r="AQ39" i="13"/>
  <c r="AP39" i="13" a="1"/>
  <c r="AP39" i="13" s="1"/>
  <c r="AN39" i="13" a="1"/>
  <c r="AN39" i="13" s="1"/>
  <c r="AJ39" i="13"/>
  <c r="AI39" i="13"/>
  <c r="AH39" i="13"/>
  <c r="BN39" i="13" s="1"/>
  <c r="S39" i="13" a="1"/>
  <c r="S39" i="13" s="1"/>
  <c r="N39" i="13" a="1"/>
  <c r="N39" i="13" s="1"/>
  <c r="BM38" i="13" a="1"/>
  <c r="BM38" i="13" s="1"/>
  <c r="BE38" i="13" a="1"/>
  <c r="BE38" i="13" s="1"/>
  <c r="BD38" i="13" a="1"/>
  <c r="BD38" i="13" s="1"/>
  <c r="BC38" i="13" a="1"/>
  <c r="BC38" i="13" s="1"/>
  <c r="BB38" i="13" a="1"/>
  <c r="BB38" i="13" s="1"/>
  <c r="BA38" i="13" a="1"/>
  <c r="BA38" i="13" s="1"/>
  <c r="AZ38" i="13"/>
  <c r="AY38" i="13"/>
  <c r="AS38" i="13" a="1"/>
  <c r="AS38" i="13" s="1"/>
  <c r="AR38" i="13" a="1"/>
  <c r="AR38" i="13" s="1"/>
  <c r="AQ38" i="13"/>
  <c r="AP38" i="13" a="1"/>
  <c r="AP38" i="13" s="1"/>
  <c r="AN38" i="13" a="1"/>
  <c r="AN38" i="13" s="1"/>
  <c r="AJ38" i="13"/>
  <c r="AI38" i="13"/>
  <c r="AH38" i="13"/>
  <c r="BN38" i="13" s="1"/>
  <c r="S38" i="13" a="1"/>
  <c r="S38" i="13" s="1"/>
  <c r="N38" i="13" a="1"/>
  <c r="N38" i="13" s="1"/>
  <c r="BM37" i="13" a="1"/>
  <c r="BM37" i="13" s="1"/>
  <c r="BI37" i="13" a="1"/>
  <c r="BI37" i="13" s="1"/>
  <c r="BJ37" i="13" s="1"/>
  <c r="BE37" i="13" a="1"/>
  <c r="BE37" i="13" s="1"/>
  <c r="BD37" i="13" a="1"/>
  <c r="BD37" i="13" s="1"/>
  <c r="BC37" i="13" a="1"/>
  <c r="BC37" i="13" s="1"/>
  <c r="BB37" i="13" a="1"/>
  <c r="BB37" i="13" s="1"/>
  <c r="BA37" i="13" a="1"/>
  <c r="BA37" i="13" s="1"/>
  <c r="AZ37" i="13"/>
  <c r="AY37" i="13"/>
  <c r="AS37" i="13" a="1"/>
  <c r="AS37" i="13" s="1"/>
  <c r="AR37" i="13" a="1"/>
  <c r="AR37" i="13" s="1"/>
  <c r="AQ37" i="13"/>
  <c r="AP37" i="13" a="1"/>
  <c r="AP37" i="13" s="1"/>
  <c r="AN37" i="13" a="1"/>
  <c r="AN37" i="13" s="1"/>
  <c r="AJ37" i="13"/>
  <c r="AI37" i="13"/>
  <c r="AH37" i="13"/>
  <c r="BN37" i="13" s="1"/>
  <c r="S37" i="13" a="1"/>
  <c r="S37" i="13" s="1"/>
  <c r="N37" i="13" a="1"/>
  <c r="N37" i="13" s="1"/>
  <c r="BM36" i="13" a="1"/>
  <c r="BM36" i="13" s="1"/>
  <c r="BE36" i="13" a="1"/>
  <c r="BE36" i="13" s="1"/>
  <c r="BD36" i="13" a="1"/>
  <c r="BD36" i="13" s="1"/>
  <c r="BC36" i="13" a="1"/>
  <c r="BC36" i="13" s="1"/>
  <c r="BB36" i="13" a="1"/>
  <c r="BB36" i="13" s="1"/>
  <c r="BA36" i="13" a="1"/>
  <c r="BA36" i="13" s="1"/>
  <c r="AZ36" i="13"/>
  <c r="AY36" i="13"/>
  <c r="AS36" i="13" a="1"/>
  <c r="AS36" i="13" s="1"/>
  <c r="AR36" i="13" a="1"/>
  <c r="AR36" i="13" s="1"/>
  <c r="AQ36" i="13"/>
  <c r="AP36" i="13" a="1"/>
  <c r="AP36" i="13" s="1"/>
  <c r="AN36" i="13" a="1"/>
  <c r="AN36" i="13" s="1"/>
  <c r="AJ36" i="13"/>
  <c r="AI36" i="13"/>
  <c r="AH36" i="13"/>
  <c r="BN36" i="13" s="1"/>
  <c r="S36" i="13" a="1"/>
  <c r="S36" i="13" s="1"/>
  <c r="N36" i="13" a="1"/>
  <c r="N36" i="13" s="1"/>
  <c r="BM35" i="13" a="1"/>
  <c r="BM35" i="13" s="1"/>
  <c r="BE35" i="13" a="1"/>
  <c r="BE35" i="13" s="1"/>
  <c r="BD35" i="13" a="1"/>
  <c r="BD35" i="13" s="1"/>
  <c r="BC35" i="13" a="1"/>
  <c r="BC35" i="13" s="1"/>
  <c r="BB35" i="13" a="1"/>
  <c r="BB35" i="13" s="1"/>
  <c r="BA35" i="13" a="1"/>
  <c r="BA35" i="13" s="1"/>
  <c r="AZ35" i="13"/>
  <c r="AY35" i="13"/>
  <c r="AS35" i="13" a="1"/>
  <c r="AS35" i="13" s="1"/>
  <c r="AR35" i="13" a="1"/>
  <c r="AR35" i="13" s="1"/>
  <c r="AQ35" i="13"/>
  <c r="AP35" i="13" a="1"/>
  <c r="AP35" i="13" s="1"/>
  <c r="AN35" i="13" a="1"/>
  <c r="AN35" i="13" s="1"/>
  <c r="AJ35" i="13"/>
  <c r="AI35" i="13"/>
  <c r="AH35" i="13"/>
  <c r="CM35" i="13" s="1"/>
  <c r="S35" i="13" a="1"/>
  <c r="S35" i="13" s="1"/>
  <c r="N35" i="13" a="1"/>
  <c r="N35" i="13" s="1"/>
  <c r="BM34" i="13" a="1"/>
  <c r="BM34" i="13" s="1"/>
  <c r="BE34" i="13" a="1"/>
  <c r="BE34" i="13" s="1"/>
  <c r="BD34" i="13" a="1"/>
  <c r="BD34" i="13" s="1"/>
  <c r="BC34" i="13" a="1"/>
  <c r="BC34" i="13" s="1"/>
  <c r="BB34" i="13" a="1"/>
  <c r="BB34" i="13" s="1"/>
  <c r="BA34" i="13" a="1"/>
  <c r="BA34" i="13" s="1"/>
  <c r="AZ34" i="13"/>
  <c r="AY34" i="13"/>
  <c r="AS34" i="13" a="1"/>
  <c r="AS34" i="13" s="1"/>
  <c r="AR34" i="13" a="1"/>
  <c r="AR34" i="13" s="1"/>
  <c r="AQ34" i="13"/>
  <c r="AP34" i="13" a="1"/>
  <c r="AP34" i="13" s="1"/>
  <c r="AN34" i="13" a="1"/>
  <c r="AN34" i="13" s="1"/>
  <c r="AJ34" i="13"/>
  <c r="AI34" i="13"/>
  <c r="AH34" i="13"/>
  <c r="BN34" i="13" s="1"/>
  <c r="S34" i="13" a="1"/>
  <c r="S34" i="13" s="1"/>
  <c r="N34" i="13" a="1"/>
  <c r="N34" i="13" s="1"/>
  <c r="BM33" i="13" a="1"/>
  <c r="BM33" i="13" s="1"/>
  <c r="BE33" i="13" a="1"/>
  <c r="BE33" i="13" s="1"/>
  <c r="BD33" i="13" a="1"/>
  <c r="BD33" i="13" s="1"/>
  <c r="BC33" i="13" a="1"/>
  <c r="BC33" i="13" s="1"/>
  <c r="BB33" i="13" a="1"/>
  <c r="BB33" i="13" s="1"/>
  <c r="BA33" i="13" a="1"/>
  <c r="BA33" i="13" s="1"/>
  <c r="AZ33" i="13"/>
  <c r="AY33" i="13"/>
  <c r="AS33" i="13" a="1"/>
  <c r="AS33" i="13" s="1"/>
  <c r="AR33" i="13" a="1"/>
  <c r="AR33" i="13" s="1"/>
  <c r="AQ33" i="13"/>
  <c r="AP33" i="13" a="1"/>
  <c r="AP33" i="13" s="1"/>
  <c r="AN33" i="13" a="1"/>
  <c r="AN33" i="13" s="1"/>
  <c r="AJ33" i="13"/>
  <c r="AI33" i="13"/>
  <c r="AH33" i="13"/>
  <c r="BN33" i="13" s="1"/>
  <c r="S33" i="13" a="1"/>
  <c r="S33" i="13" s="1"/>
  <c r="N33" i="13" a="1"/>
  <c r="N33" i="13" s="1"/>
  <c r="BM32" i="13" a="1"/>
  <c r="BM32" i="13" s="1"/>
  <c r="BE32" i="13" a="1"/>
  <c r="BE32" i="13" s="1"/>
  <c r="BD32" i="13"/>
  <c r="BD32" i="13" a="1"/>
  <c r="BC32" i="13" a="1"/>
  <c r="BC32" i="13" s="1"/>
  <c r="BB32" i="13" a="1"/>
  <c r="BB32" i="13" s="1"/>
  <c r="BA32" i="13" a="1"/>
  <c r="BA32" i="13" s="1"/>
  <c r="AZ32" i="13"/>
  <c r="AY32" i="13"/>
  <c r="AS32" i="13" a="1"/>
  <c r="AS32" i="13" s="1"/>
  <c r="AR32" i="13" a="1"/>
  <c r="AR32" i="13" s="1"/>
  <c r="AQ32" i="13"/>
  <c r="AP32" i="13" a="1"/>
  <c r="AP32" i="13" s="1"/>
  <c r="AN32" i="13" a="1"/>
  <c r="AN32" i="13" s="1"/>
  <c r="AJ32" i="13"/>
  <c r="AI32" i="13"/>
  <c r="AH32" i="13"/>
  <c r="BN32" i="13" s="1"/>
  <c r="S32" i="13" a="1"/>
  <c r="S32" i="13" s="1"/>
  <c r="N32" i="13" a="1"/>
  <c r="N32" i="13" s="1"/>
  <c r="BM31" i="13" a="1"/>
  <c r="BM31" i="13" s="1"/>
  <c r="BE31" i="13" a="1"/>
  <c r="BE31" i="13" s="1"/>
  <c r="BD31" i="13" a="1"/>
  <c r="BD31" i="13" s="1"/>
  <c r="BC31" i="13" a="1"/>
  <c r="BC31" i="13" s="1"/>
  <c r="BB31" i="13" a="1"/>
  <c r="BB31" i="13" s="1"/>
  <c r="BA31" i="13" a="1"/>
  <c r="BA31" i="13" s="1"/>
  <c r="AZ31" i="13"/>
  <c r="AY31" i="13"/>
  <c r="AS31" i="13" a="1"/>
  <c r="AS31" i="13" s="1"/>
  <c r="AR31" i="13" a="1"/>
  <c r="AR31" i="13" s="1"/>
  <c r="AQ31" i="13"/>
  <c r="AP31" i="13" a="1"/>
  <c r="AP31" i="13" s="1"/>
  <c r="AN31" i="13" a="1"/>
  <c r="AN31" i="13" s="1"/>
  <c r="AJ31" i="13"/>
  <c r="AI31" i="13"/>
  <c r="AH31" i="13"/>
  <c r="BN31" i="13" s="1"/>
  <c r="S31" i="13" a="1"/>
  <c r="S31" i="13" s="1"/>
  <c r="N31" i="13" a="1"/>
  <c r="N31" i="13" s="1"/>
  <c r="BM30" i="13" a="1"/>
  <c r="BM30" i="13" s="1"/>
  <c r="BE30" i="13" a="1"/>
  <c r="BE30" i="13" s="1"/>
  <c r="BD30" i="13" a="1"/>
  <c r="BD30" i="13" s="1"/>
  <c r="BC30" i="13" a="1"/>
  <c r="BC30" i="13" s="1"/>
  <c r="BB30" i="13" a="1"/>
  <c r="BB30" i="13" s="1"/>
  <c r="BA30" i="13" a="1"/>
  <c r="BA30" i="13" s="1"/>
  <c r="AZ30" i="13"/>
  <c r="AY30" i="13"/>
  <c r="AS30" i="13" a="1"/>
  <c r="AS30" i="13" s="1"/>
  <c r="AR30" i="13" a="1"/>
  <c r="AR30" i="13" s="1"/>
  <c r="AQ30" i="13"/>
  <c r="AP30" i="13" a="1"/>
  <c r="AP30" i="13" s="1"/>
  <c r="AN30" i="13" a="1"/>
  <c r="AN30" i="13" s="1"/>
  <c r="AJ30" i="13"/>
  <c r="AI30" i="13"/>
  <c r="AH30" i="13"/>
  <c r="BN30" i="13" s="1"/>
  <c r="S30" i="13" a="1"/>
  <c r="S30" i="13" s="1"/>
  <c r="N30" i="13" a="1"/>
  <c r="N30" i="13" s="1"/>
  <c r="BM29" i="13" a="1"/>
  <c r="BM29" i="13" s="1"/>
  <c r="BE29" i="13" a="1"/>
  <c r="BE29" i="13" s="1"/>
  <c r="BD29" i="13" a="1"/>
  <c r="BD29" i="13" s="1"/>
  <c r="BC29" i="13" a="1"/>
  <c r="BC29" i="13" s="1"/>
  <c r="BB29" i="13" a="1"/>
  <c r="BB29" i="13" s="1"/>
  <c r="BA29" i="13" a="1"/>
  <c r="BA29" i="13" s="1"/>
  <c r="AZ29" i="13"/>
  <c r="AY29" i="13"/>
  <c r="AS29" i="13" a="1"/>
  <c r="AS29" i="13" s="1"/>
  <c r="AR29" i="13" a="1"/>
  <c r="AR29" i="13" s="1"/>
  <c r="AQ29" i="13"/>
  <c r="AP29" i="13" a="1"/>
  <c r="AP29" i="13" s="1"/>
  <c r="AN29" i="13" a="1"/>
  <c r="AN29" i="13" s="1"/>
  <c r="AJ29" i="13"/>
  <c r="AI29" i="13"/>
  <c r="AH29" i="13"/>
  <c r="BN29" i="13" s="1"/>
  <c r="S29" i="13" a="1"/>
  <c r="S29" i="13" s="1"/>
  <c r="N29" i="13" a="1"/>
  <c r="N29" i="13" s="1"/>
  <c r="BM28" i="13" a="1"/>
  <c r="BM28" i="13" s="1"/>
  <c r="BE28" i="13" a="1"/>
  <c r="BE28" i="13" s="1"/>
  <c r="BD28" i="13" a="1"/>
  <c r="BD28" i="13" s="1"/>
  <c r="BC28" i="13" a="1"/>
  <c r="BC28" i="13" s="1"/>
  <c r="BB28" i="13" a="1"/>
  <c r="BB28" i="13" s="1"/>
  <c r="BA28" i="13" a="1"/>
  <c r="BA28" i="13" s="1"/>
  <c r="AZ28" i="13"/>
  <c r="AY28" i="13"/>
  <c r="AS28" i="13" a="1"/>
  <c r="AS28" i="13" s="1"/>
  <c r="AR28" i="13" a="1"/>
  <c r="AR28" i="13" s="1"/>
  <c r="AQ28" i="13"/>
  <c r="AP28" i="13" a="1"/>
  <c r="AP28" i="13" s="1"/>
  <c r="AN28" i="13" a="1"/>
  <c r="AN28" i="13" s="1"/>
  <c r="AJ28" i="13"/>
  <c r="AI28" i="13"/>
  <c r="AH28" i="13"/>
  <c r="BN28" i="13" s="1"/>
  <c r="S28" i="13" a="1"/>
  <c r="S28" i="13" s="1"/>
  <c r="N28" i="13" a="1"/>
  <c r="N28" i="13" s="1"/>
  <c r="BM27" i="13" a="1"/>
  <c r="BM27" i="13" s="1"/>
  <c r="BE27" i="13" a="1"/>
  <c r="BE27" i="13" s="1"/>
  <c r="BD27" i="13" a="1"/>
  <c r="BD27" i="13" s="1"/>
  <c r="BC27" i="13" a="1"/>
  <c r="BC27" i="13" s="1"/>
  <c r="BB27" i="13" a="1"/>
  <c r="BB27" i="13" s="1"/>
  <c r="BA27" i="13" a="1"/>
  <c r="BA27" i="13" s="1"/>
  <c r="AZ27" i="13"/>
  <c r="AY27" i="13"/>
  <c r="AS27" i="13" a="1"/>
  <c r="AS27" i="13" s="1"/>
  <c r="AR27" i="13" a="1"/>
  <c r="AR27" i="13" s="1"/>
  <c r="AQ27" i="13"/>
  <c r="AP27" i="13" a="1"/>
  <c r="AP27" i="13" s="1"/>
  <c r="AN27" i="13" a="1"/>
  <c r="AN27" i="13" s="1"/>
  <c r="AJ27" i="13"/>
  <c r="AI27" i="13"/>
  <c r="AH27" i="13"/>
  <c r="BN27" i="13" s="1"/>
  <c r="S27" i="13" a="1"/>
  <c r="S27" i="13" s="1"/>
  <c r="N27" i="13" a="1"/>
  <c r="N27" i="13" s="1"/>
  <c r="CA26" i="13"/>
  <c r="BM26" i="13" a="1"/>
  <c r="BM26" i="13" s="1"/>
  <c r="BE26" i="13" a="1"/>
  <c r="BE26" i="13" s="1"/>
  <c r="BD26" i="13" a="1"/>
  <c r="BD26" i="13" s="1"/>
  <c r="BC26" i="13" a="1"/>
  <c r="BC26" i="13" s="1"/>
  <c r="BB26" i="13" a="1"/>
  <c r="BB26" i="13" s="1"/>
  <c r="BA26" i="13" a="1"/>
  <c r="BA26" i="13" s="1"/>
  <c r="AZ26" i="13"/>
  <c r="AY26" i="13"/>
  <c r="AS26" i="13" a="1"/>
  <c r="AS26" i="13" s="1"/>
  <c r="AR26" i="13" a="1"/>
  <c r="AR26" i="13" s="1"/>
  <c r="AQ26" i="13"/>
  <c r="AP26" i="13" a="1"/>
  <c r="AP26" i="13" s="1"/>
  <c r="AN26" i="13" a="1"/>
  <c r="AN26" i="13" s="1"/>
  <c r="AJ26" i="13"/>
  <c r="AI26" i="13"/>
  <c r="AH26" i="13"/>
  <c r="BN26" i="13" s="1"/>
  <c r="S26" i="13" a="1"/>
  <c r="S26" i="13" s="1"/>
  <c r="N26" i="13" a="1"/>
  <c r="N26" i="13" s="1"/>
  <c r="A26" i="13"/>
  <c r="BM25" i="13" a="1"/>
  <c r="BM25" i="13" s="1"/>
  <c r="BE25" i="13" a="1"/>
  <c r="BE25" i="13" s="1"/>
  <c r="BD25" i="13" a="1"/>
  <c r="BD25" i="13" s="1"/>
  <c r="BC25" i="13" a="1"/>
  <c r="BC25" i="13" s="1"/>
  <c r="BB25" i="13" a="1"/>
  <c r="BB25" i="13" s="1"/>
  <c r="BA25" i="13" a="1"/>
  <c r="BA25" i="13" s="1"/>
  <c r="AZ25" i="13"/>
  <c r="AY25" i="13"/>
  <c r="AS25" i="13" a="1"/>
  <c r="AS25" i="13" s="1"/>
  <c r="AR25" i="13" a="1"/>
  <c r="AR25" i="13" s="1"/>
  <c r="AQ25" i="13"/>
  <c r="AP25" i="13" a="1"/>
  <c r="AP25" i="13" s="1"/>
  <c r="AN25" i="13" a="1"/>
  <c r="AN25" i="13" s="1"/>
  <c r="AJ25" i="13"/>
  <c r="AI25" i="13"/>
  <c r="AH25" i="13"/>
  <c r="BN25" i="13" s="1"/>
  <c r="S25" i="13" a="1"/>
  <c r="S25" i="13" s="1"/>
  <c r="N25" i="13" a="1"/>
  <c r="N25" i="13" s="1"/>
  <c r="BE24" i="13" a="1"/>
  <c r="BE24" i="13" s="1"/>
  <c r="BD24" i="13" a="1"/>
  <c r="BD24" i="13" s="1"/>
  <c r="BC24" i="13" a="1"/>
  <c r="BC24" i="13" s="1"/>
  <c r="BB24" i="13" a="1"/>
  <c r="BB24" i="13" s="1"/>
  <c r="BA24" i="13" a="1"/>
  <c r="BA24" i="13" s="1"/>
  <c r="AZ24" i="13"/>
  <c r="AY24" i="13"/>
  <c r="AQ24" i="13"/>
  <c r="AP24" i="13" a="1"/>
  <c r="AP24" i="13" s="1"/>
  <c r="AN24" i="13" a="1"/>
  <c r="AN24" i="13" s="1"/>
  <c r="AJ24" i="13"/>
  <c r="AI24" i="13"/>
  <c r="AH24" i="13"/>
  <c r="BN24" i="13" s="1"/>
  <c r="BE23" i="13" a="1"/>
  <c r="BE23" i="13" s="1"/>
  <c r="BD23" i="13" a="1"/>
  <c r="BD23" i="13" s="1"/>
  <c r="BC23" i="13" a="1"/>
  <c r="BC23" i="13" s="1"/>
  <c r="BB23" i="13" a="1"/>
  <c r="BB23" i="13" s="1"/>
  <c r="BA23" i="13" a="1"/>
  <c r="BA23" i="13" s="1"/>
  <c r="AZ23" i="13"/>
  <c r="AY23" i="13"/>
  <c r="AQ23" i="13"/>
  <c r="AP23" i="13" a="1"/>
  <c r="AP23" i="13" s="1"/>
  <c r="AN23" i="13" a="1"/>
  <c r="AN23" i="13" s="1"/>
  <c r="AJ23" i="13"/>
  <c r="AI23" i="13"/>
  <c r="AH23" i="13"/>
  <c r="BN23" i="13" s="1"/>
  <c r="BE22" i="13" a="1"/>
  <c r="BE22" i="13" s="1"/>
  <c r="BD22" i="13" a="1"/>
  <c r="BD22" i="13" s="1"/>
  <c r="BC22" i="13" a="1"/>
  <c r="BC22" i="13" s="1"/>
  <c r="BB22" i="13" a="1"/>
  <c r="BB22" i="13" s="1"/>
  <c r="BA22" i="13" a="1"/>
  <c r="BA22" i="13" s="1"/>
  <c r="AZ22" i="13"/>
  <c r="AY22" i="13"/>
  <c r="AS22" i="13" a="1"/>
  <c r="AS22" i="13" s="1"/>
  <c r="AR22" i="13" a="1"/>
  <c r="AR22" i="13" s="1"/>
  <c r="AQ22" i="13"/>
  <c r="AN22" i="13" a="1"/>
  <c r="AN22" i="13" s="1"/>
  <c r="AP22" i="13" s="1" a="1"/>
  <c r="AP22" i="13" s="1"/>
  <c r="AJ22" i="13"/>
  <c r="AI22" i="13"/>
  <c r="AH22" i="13"/>
  <c r="BN22" i="13" s="1"/>
  <c r="CH53" i="13" l="1"/>
  <c r="CA112" i="13"/>
  <c r="AM113" i="13"/>
  <c r="A114" i="13"/>
  <c r="CM1017" i="13"/>
  <c r="BK1014" i="13"/>
  <c r="CM1012" i="13"/>
  <c r="CM1007" i="13"/>
  <c r="BK995" i="13"/>
  <c r="CM994" i="13"/>
  <c r="BN992" i="13"/>
  <c r="CU988" i="13"/>
  <c r="BW987" i="13"/>
  <c r="CH986" i="13"/>
  <c r="CA985" i="13"/>
  <c r="CM983" i="13"/>
  <c r="CQ982" i="13"/>
  <c r="CQ981" i="13"/>
  <c r="CQ980" i="13"/>
  <c r="CQ979" i="13"/>
  <c r="CU978" i="13"/>
  <c r="BW976" i="13"/>
  <c r="BW975" i="13"/>
  <c r="CH974" i="13"/>
  <c r="CM971" i="13"/>
  <c r="CQ970" i="13"/>
  <c r="CU969" i="13"/>
  <c r="BI969" i="13" a="1"/>
  <c r="BI969" i="13" s="1"/>
  <c r="AM969" i="13"/>
  <c r="A969" i="13"/>
  <c r="BN968" i="13"/>
  <c r="BW966" i="13"/>
  <c r="CM963" i="13"/>
  <c r="CQ962" i="13"/>
  <c r="CQ961" i="13"/>
  <c r="A960" i="13"/>
  <c r="BS958" i="13"/>
  <c r="CA957" i="13"/>
  <c r="CH956" i="13"/>
  <c r="CM954" i="13"/>
  <c r="BI954" i="13" a="1"/>
  <c r="BI954" i="13" s="1"/>
  <c r="BI953" i="13" a="1"/>
  <c r="BI953" i="13" s="1"/>
  <c r="AM953" i="13"/>
  <c r="A953" i="13"/>
  <c r="AM952" i="13"/>
  <c r="A952" i="13"/>
  <c r="BS950" i="13"/>
  <c r="BW948" i="13"/>
  <c r="CM946" i="13"/>
  <c r="BI946" i="13" a="1"/>
  <c r="BI946" i="13" s="1"/>
  <c r="CU945" i="13"/>
  <c r="BS944" i="13"/>
  <c r="CM942" i="13"/>
  <c r="CH940" i="13"/>
  <c r="BN939" i="13"/>
  <c r="CQ936" i="13"/>
  <c r="AM932" i="13"/>
  <c r="BW932" i="13"/>
  <c r="CQ931" i="13"/>
  <c r="BS931" i="13"/>
  <c r="AM927" i="13"/>
  <c r="AM923" i="13"/>
  <c r="BN917" i="13"/>
  <c r="CH917" i="13"/>
  <c r="A917" i="13"/>
  <c r="AM917" i="13"/>
  <c r="BI917" i="13" a="1"/>
  <c r="BI917" i="13" s="1"/>
  <c r="CM917" i="13"/>
  <c r="CU917" i="13"/>
  <c r="A33" i="13"/>
  <c r="CU41" i="13"/>
  <c r="BI60" i="13" a="1"/>
  <c r="BI60" i="13" s="1"/>
  <c r="AM112" i="13"/>
  <c r="CH112" i="13"/>
  <c r="BN1012" i="13"/>
  <c r="CM1006" i="13"/>
  <c r="CM1002" i="13"/>
  <c r="CM999" i="13"/>
  <c r="BK997" i="13"/>
  <c r="BN994" i="13"/>
  <c r="CQ988" i="13"/>
  <c r="CA986" i="13"/>
  <c r="BW985" i="13"/>
  <c r="CM979" i="13"/>
  <c r="CQ978" i="13"/>
  <c r="AM978" i="13"/>
  <c r="A978" i="13"/>
  <c r="BS976" i="13"/>
  <c r="CM970" i="13"/>
  <c r="CU968" i="13"/>
  <c r="AM968" i="13"/>
  <c r="A968" i="13"/>
  <c r="CM961" i="13"/>
  <c r="CU959" i="13"/>
  <c r="BI959" i="13" a="1"/>
  <c r="BI959" i="13" s="1"/>
  <c r="AM959" i="13"/>
  <c r="A959" i="13"/>
  <c r="BN958" i="13"/>
  <c r="CH954" i="13"/>
  <c r="CU951" i="13"/>
  <c r="BI951" i="13" a="1"/>
  <c r="BI951" i="13" s="1"/>
  <c r="AM951" i="13"/>
  <c r="A951" i="13"/>
  <c r="BN950" i="13"/>
  <c r="AM950" i="13"/>
  <c r="A950" i="13"/>
  <c r="CH946" i="13"/>
  <c r="AM945" i="13"/>
  <c r="A945" i="13"/>
  <c r="BN944" i="13"/>
  <c r="AM938" i="13"/>
  <c r="CU938" i="13"/>
  <c r="BW938" i="13"/>
  <c r="CQ937" i="13"/>
  <c r="BS937" i="13"/>
  <c r="CM936" i="13"/>
  <c r="AM930" i="13"/>
  <c r="BS930" i="13"/>
  <c r="CH929" i="13"/>
  <c r="CU929" i="13"/>
  <c r="BW46" i="13"/>
  <c r="BW106" i="13"/>
  <c r="A113" i="13"/>
  <c r="CM1021" i="13"/>
  <c r="BK1017" i="13"/>
  <c r="CM1011" i="13"/>
  <c r="BK1007" i="13"/>
  <c r="BN1006" i="13"/>
  <c r="BK1003" i="13"/>
  <c r="BN1002" i="13"/>
  <c r="BK1000" i="13"/>
  <c r="CM988" i="13"/>
  <c r="BW986" i="13"/>
  <c r="CU977" i="13"/>
  <c r="BI977" i="13" a="1"/>
  <c r="BI977" i="13" s="1"/>
  <c r="AM977" i="13"/>
  <c r="A977" i="13"/>
  <c r="BN976" i="13"/>
  <c r="AM976" i="13"/>
  <c r="A976" i="13"/>
  <c r="CU967" i="13"/>
  <c r="BI967" i="13" a="1"/>
  <c r="BI967" i="13" s="1"/>
  <c r="AM967" i="13"/>
  <c r="A967" i="13"/>
  <c r="CU958" i="13"/>
  <c r="CU949" i="13"/>
  <c r="BI949" i="13" a="1"/>
  <c r="BI949" i="13" s="1"/>
  <c r="AM949" i="13"/>
  <c r="A949" i="13"/>
  <c r="CU944" i="13"/>
  <c r="A939" i="13"/>
  <c r="CA937" i="13"/>
  <c r="BW936" i="13"/>
  <c r="BW929" i="13"/>
  <c r="AM924" i="13"/>
  <c r="BW924" i="13"/>
  <c r="CU921" i="13"/>
  <c r="BI921" i="13" a="1"/>
  <c r="BI921" i="13" s="1"/>
  <c r="BK921" i="13"/>
  <c r="AM906" i="13"/>
  <c r="CU906" i="13"/>
  <c r="BS906" i="13"/>
  <c r="A906" i="13"/>
  <c r="BW906" i="13"/>
  <c r="CM906" i="13"/>
  <c r="BW905" i="13"/>
  <c r="CH905" i="13"/>
  <c r="A905" i="13"/>
  <c r="AM905" i="13"/>
  <c r="BI905" i="13" a="1"/>
  <c r="BI905" i="13" s="1"/>
  <c r="CQ905" i="13"/>
  <c r="CU905" i="13"/>
  <c r="BN905" i="13"/>
  <c r="BS905" i="13"/>
  <c r="BI902" i="13" a="1"/>
  <c r="BI902" i="13" s="1"/>
  <c r="BJ902" i="13" s="1"/>
  <c r="BS902" i="13"/>
  <c r="CA902" i="13"/>
  <c r="CH902" i="13"/>
  <c r="A902" i="13"/>
  <c r="AM902" i="13"/>
  <c r="CM902" i="13"/>
  <c r="CQ902" i="13"/>
  <c r="CU902" i="13"/>
  <c r="BN902" i="13"/>
  <c r="AM51" i="13"/>
  <c r="CH106" i="13"/>
  <c r="BN1016" i="13"/>
  <c r="BK1012" i="13"/>
  <c r="CM1005" i="13"/>
  <c r="CM998" i="13"/>
  <c r="BK990" i="13"/>
  <c r="CH988" i="13"/>
  <c r="BI988" i="13" a="1"/>
  <c r="BI988" i="13" s="1"/>
  <c r="BJ988" i="13" s="1"/>
  <c r="AM988" i="13"/>
  <c r="A988" i="13"/>
  <c r="BS986" i="13"/>
  <c r="AM985" i="13"/>
  <c r="A985" i="13"/>
  <c r="BW983" i="13"/>
  <c r="CA982" i="13"/>
  <c r="CA981" i="13"/>
  <c r="CA980" i="13"/>
  <c r="CA979" i="13"/>
  <c r="CH978" i="13"/>
  <c r="CQ977" i="13"/>
  <c r="CU976" i="13"/>
  <c r="CU975" i="13"/>
  <c r="BS974" i="13"/>
  <c r="BW971" i="13"/>
  <c r="CA970" i="13"/>
  <c r="CM968" i="13"/>
  <c r="CQ967" i="13"/>
  <c r="BW963" i="13"/>
  <c r="CA962" i="13"/>
  <c r="CA961" i="13"/>
  <c r="CM959" i="13"/>
  <c r="CQ958" i="13"/>
  <c r="AM958" i="13"/>
  <c r="A958" i="13"/>
  <c r="BS956" i="13"/>
  <c r="BW954" i="13"/>
  <c r="CM951" i="13"/>
  <c r="CQ950" i="13"/>
  <c r="CQ949" i="13"/>
  <c r="BK949" i="13"/>
  <c r="BW946" i="13"/>
  <c r="CH945" i="13"/>
  <c r="CQ944" i="13"/>
  <c r="AM944" i="13"/>
  <c r="A944" i="13"/>
  <c r="BW942" i="13"/>
  <c r="CQ939" i="13"/>
  <c r="CQ938" i="13"/>
  <c r="BW937" i="13"/>
  <c r="BS936" i="13"/>
  <c r="BS929" i="13"/>
  <c r="CA927" i="13"/>
  <c r="CQ927" i="13"/>
  <c r="BS923" i="13"/>
  <c r="CH923" i="13"/>
  <c r="AM914" i="13"/>
  <c r="A914" i="13"/>
  <c r="BW914" i="13"/>
  <c r="CM914" i="13"/>
  <c r="CU914" i="13"/>
  <c r="BK911" i="13"/>
  <c r="AM26" i="13"/>
  <c r="BI50" i="13" a="1"/>
  <c r="BI50" i="13" s="1"/>
  <c r="BK1021" i="13"/>
  <c r="BK1011" i="13"/>
  <c r="BK1006" i="13"/>
  <c r="BK1002" i="13"/>
  <c r="BK992" i="13"/>
  <c r="CA988" i="13"/>
  <c r="CU987" i="13"/>
  <c r="AM987" i="13"/>
  <c r="A987" i="13"/>
  <c r="BN986" i="13"/>
  <c r="AM986" i="13"/>
  <c r="A986" i="13"/>
  <c r="BW979" i="13"/>
  <c r="CM977" i="13"/>
  <c r="CQ976" i="13"/>
  <c r="BW970" i="13"/>
  <c r="CM967" i="13"/>
  <c r="CM958" i="13"/>
  <c r="BI958" i="13" a="1"/>
  <c r="BI958" i="13" s="1"/>
  <c r="BS954" i="13"/>
  <c r="CM949" i="13"/>
  <c r="BS946" i="13"/>
  <c r="CM944" i="13"/>
  <c r="BI944" i="13" a="1"/>
  <c r="BI944" i="13" s="1"/>
  <c r="BS942" i="13"/>
  <c r="A942" i="13"/>
  <c r="CM938" i="13"/>
  <c r="BN937" i="13"/>
  <c r="AM934" i="13"/>
  <c r="CM934" i="13"/>
  <c r="BN929" i="13"/>
  <c r="AM928" i="13"/>
  <c r="CU928" i="13"/>
  <c r="BN921" i="13"/>
  <c r="CA921" i="13"/>
  <c r="AM920" i="13"/>
  <c r="CU920" i="13"/>
  <c r="BS920" i="13"/>
  <c r="CM920" i="13"/>
  <c r="BW909" i="13"/>
  <c r="CM33" i="13"/>
  <c r="CQ44" i="13"/>
  <c r="CH52" i="13"/>
  <c r="BW988" i="13"/>
  <c r="CU985" i="13"/>
  <c r="CH958" i="13"/>
  <c r="CH944" i="13"/>
  <c r="AM940" i="13"/>
  <c r="CA940" i="13"/>
  <c r="CQ940" i="13"/>
  <c r="CH939" i="13"/>
  <c r="CU939" i="13"/>
  <c r="CH938" i="13"/>
  <c r="AM922" i="13"/>
  <c r="A922" i="13"/>
  <c r="BS922" i="13"/>
  <c r="CU922" i="13"/>
  <c r="CH921" i="13"/>
  <c r="AM912" i="13"/>
  <c r="CU912" i="13"/>
  <c r="BS912" i="13"/>
  <c r="A912" i="13"/>
  <c r="BW912" i="13"/>
  <c r="CM912" i="13"/>
  <c r="BS911" i="13"/>
  <c r="BW911" i="13"/>
  <c r="CH911" i="13"/>
  <c r="A911" i="13"/>
  <c r="AM911" i="13"/>
  <c r="BI911" i="13" a="1"/>
  <c r="BI911" i="13" s="1"/>
  <c r="CQ911" i="13"/>
  <c r="CU911" i="13"/>
  <c r="BN911" i="13"/>
  <c r="AM936" i="13"/>
  <c r="CH936" i="13"/>
  <c r="CU930" i="13"/>
  <c r="A930" i="13"/>
  <c r="AM929" i="13"/>
  <c r="A929" i="13"/>
  <c r="BW921" i="13"/>
  <c r="AM33" i="13"/>
  <c r="AM36" i="13"/>
  <c r="CH113" i="13"/>
  <c r="BK1019" i="13"/>
  <c r="BN1000" i="13"/>
  <c r="CM992" i="13"/>
  <c r="BN990" i="13"/>
  <c r="CH985" i="13"/>
  <c r="CU979" i="13"/>
  <c r="BI979" i="13" a="1"/>
  <c r="BI979" i="13" s="1"/>
  <c r="AM979" i="13"/>
  <c r="A979" i="13"/>
  <c r="BW977" i="13"/>
  <c r="CA976" i="13"/>
  <c r="CU970" i="13"/>
  <c r="AM970" i="13"/>
  <c r="A970" i="13"/>
  <c r="BS968" i="13"/>
  <c r="BW967" i="13"/>
  <c r="CQ963" i="13"/>
  <c r="CU962" i="13"/>
  <c r="CU961" i="13"/>
  <c r="BI961" i="13" a="1"/>
  <c r="BI961" i="13" s="1"/>
  <c r="AM961" i="13"/>
  <c r="A961" i="13"/>
  <c r="CQ954" i="13"/>
  <c r="AM954" i="13"/>
  <c r="BW950" i="13"/>
  <c r="BW949" i="13"/>
  <c r="CQ946" i="13"/>
  <c r="AM946" i="13"/>
  <c r="BS938" i="13"/>
  <c r="CU937" i="13"/>
  <c r="BK937" i="13"/>
  <c r="CU936" i="13"/>
  <c r="CQ934" i="13"/>
  <c r="CM930" i="13"/>
  <c r="CQ929" i="13"/>
  <c r="BI929" i="13" a="1"/>
  <c r="BI929" i="13" s="1"/>
  <c r="CU909" i="13"/>
  <c r="BS909" i="13"/>
  <c r="CA909" i="13"/>
  <c r="CH909" i="13"/>
  <c r="A909" i="13"/>
  <c r="AM909" i="13"/>
  <c r="BI909" i="13" a="1"/>
  <c r="BI909" i="13" s="1"/>
  <c r="CM909" i="13"/>
  <c r="CQ909" i="13"/>
  <c r="BK923" i="13"/>
  <c r="BS919" i="13"/>
  <c r="BS918" i="13"/>
  <c r="AM915" i="13"/>
  <c r="CA913" i="13"/>
  <c r="CH907" i="13"/>
  <c r="AM903" i="13"/>
  <c r="BW900" i="13"/>
  <c r="BK899" i="13"/>
  <c r="AM898" i="13"/>
  <c r="A898" i="13"/>
  <c r="BN896" i="13"/>
  <c r="CH894" i="13"/>
  <c r="CM893" i="13"/>
  <c r="BS892" i="13"/>
  <c r="A889" i="13"/>
  <c r="CM886" i="13"/>
  <c r="BI886" i="13" a="1"/>
  <c r="BI886" i="13" s="1"/>
  <c r="BK886" i="13"/>
  <c r="CU885" i="13"/>
  <c r="BN882" i="13"/>
  <c r="CQ880" i="13"/>
  <c r="CH878" i="13"/>
  <c r="BI878" i="13" a="1"/>
  <c r="BI878" i="13" s="1"/>
  <c r="BK878" i="13"/>
  <c r="CU877" i="13"/>
  <c r="BN876" i="13"/>
  <c r="CH874" i="13"/>
  <c r="BI874" i="13" a="1"/>
  <c r="BI874" i="13" s="1"/>
  <c r="BK874" i="13"/>
  <c r="CU873" i="13"/>
  <c r="BN872" i="13"/>
  <c r="CH870" i="13"/>
  <c r="BI870" i="13" a="1"/>
  <c r="BI870" i="13" s="1"/>
  <c r="BK870" i="13"/>
  <c r="CU869" i="13"/>
  <c r="BN868" i="13"/>
  <c r="CH866" i="13"/>
  <c r="BI866" i="13" a="1"/>
  <c r="BI866" i="13" s="1"/>
  <c r="BK866" i="13"/>
  <c r="CU865" i="13"/>
  <c r="BS864" i="13"/>
  <c r="CM862" i="13"/>
  <c r="AM862" i="13"/>
  <c r="BS860" i="13"/>
  <c r="CM858" i="13"/>
  <c r="AM858" i="13"/>
  <c r="BS856" i="13"/>
  <c r="CM854" i="13"/>
  <c r="AM854" i="13"/>
  <c r="BS852" i="13"/>
  <c r="CM850" i="13"/>
  <c r="AM850" i="13"/>
  <c r="BK847" i="13"/>
  <c r="CU846" i="13"/>
  <c r="CU842" i="13"/>
  <c r="BN838" i="13"/>
  <c r="BK837" i="13"/>
  <c r="CQ836" i="13"/>
  <c r="CH834" i="13"/>
  <c r="BK834" i="13"/>
  <c r="CM833" i="13"/>
  <c r="BN830" i="13"/>
  <c r="CU828" i="13"/>
  <c r="BW827" i="13"/>
  <c r="BW825" i="13"/>
  <c r="CQ823" i="13"/>
  <c r="CU822" i="13"/>
  <c r="BW821" i="13"/>
  <c r="CM819" i="13"/>
  <c r="BN817" i="13"/>
  <c r="CM815" i="13"/>
  <c r="CM814" i="13"/>
  <c r="BS813" i="13"/>
  <c r="BI811" i="13" a="1"/>
  <c r="BI811" i="13" s="1"/>
  <c r="A811" i="13"/>
  <c r="AM811" i="13"/>
  <c r="CQ811" i="13"/>
  <c r="CM806" i="13"/>
  <c r="AM805" i="13"/>
  <c r="CA799" i="13"/>
  <c r="CA797" i="13"/>
  <c r="BS796" i="13"/>
  <c r="CM796" i="13"/>
  <c r="BW795" i="13"/>
  <c r="BK793" i="13"/>
  <c r="BS788" i="13"/>
  <c r="CM788" i="13"/>
  <c r="CU788" i="13"/>
  <c r="BS900" i="13"/>
  <c r="CM897" i="13"/>
  <c r="CU896" i="13"/>
  <c r="BW893" i="13"/>
  <c r="A893" i="13"/>
  <c r="BN892" i="13"/>
  <c r="CU888" i="13"/>
  <c r="CM885" i="13"/>
  <c r="CU882" i="13"/>
  <c r="CM880" i="13"/>
  <c r="AM880" i="13"/>
  <c r="A880" i="13"/>
  <c r="CM877" i="13"/>
  <c r="CU876" i="13"/>
  <c r="CM873" i="13"/>
  <c r="CU872" i="13"/>
  <c r="CM869" i="13"/>
  <c r="CU868" i="13"/>
  <c r="CM849" i="13"/>
  <c r="CQ846" i="13"/>
  <c r="AM846" i="13"/>
  <c r="A846" i="13"/>
  <c r="CQ842" i="13"/>
  <c r="AM842" i="13"/>
  <c r="A842" i="13"/>
  <c r="CU838" i="13"/>
  <c r="CM836" i="13"/>
  <c r="BI836" i="13" a="1"/>
  <c r="BI836" i="13" s="1"/>
  <c r="AM836" i="13"/>
  <c r="A836" i="13"/>
  <c r="CU830" i="13"/>
  <c r="BS825" i="13"/>
  <c r="BS821" i="13"/>
  <c r="CU817" i="13"/>
  <c r="BW814" i="13"/>
  <c r="A814" i="13"/>
  <c r="BI807" i="13" a="1"/>
  <c r="BI807" i="13" s="1"/>
  <c r="BN807" i="13"/>
  <c r="CA807" i="13"/>
  <c r="BW806" i="13"/>
  <c r="A806" i="13"/>
  <c r="BW799" i="13"/>
  <c r="BS797" i="13"/>
  <c r="BS795" i="13"/>
  <c r="CU919" i="13"/>
  <c r="BS913" i="13"/>
  <c r="BK909" i="13"/>
  <c r="CU908" i="13"/>
  <c r="BW907" i="13"/>
  <c r="BK906" i="13"/>
  <c r="BN900" i="13"/>
  <c r="CQ896" i="13"/>
  <c r="BW894" i="13"/>
  <c r="CU892" i="13"/>
  <c r="CQ888" i="13"/>
  <c r="AM888" i="13"/>
  <c r="A888" i="13"/>
  <c r="BW885" i="13"/>
  <c r="A885" i="13"/>
  <c r="CQ882" i="13"/>
  <c r="CH880" i="13"/>
  <c r="BI880" i="13" a="1"/>
  <c r="BI880" i="13" s="1"/>
  <c r="BK880" i="13"/>
  <c r="BK877" i="13"/>
  <c r="CQ876" i="13"/>
  <c r="BK873" i="13"/>
  <c r="CQ872" i="13"/>
  <c r="BK869" i="13"/>
  <c r="CQ868" i="13"/>
  <c r="CU864" i="13"/>
  <c r="CM846" i="13"/>
  <c r="BI846" i="13" a="1"/>
  <c r="BI846" i="13" s="1"/>
  <c r="BK846" i="13"/>
  <c r="CM842" i="13"/>
  <c r="BI842" i="13" a="1"/>
  <c r="BI842" i="13" s="1"/>
  <c r="BK842" i="13"/>
  <c r="BK839" i="13"/>
  <c r="CQ838" i="13"/>
  <c r="CH836" i="13"/>
  <c r="BK836" i="13"/>
  <c r="BK831" i="13"/>
  <c r="CQ830" i="13"/>
  <c r="CM828" i="13"/>
  <c r="AM828" i="13"/>
  <c r="A828" i="13"/>
  <c r="BN827" i="13"/>
  <c r="AM827" i="13"/>
  <c r="A827" i="13"/>
  <c r="BN825" i="13"/>
  <c r="BW822" i="13"/>
  <c r="A822" i="13"/>
  <c r="BN821" i="13"/>
  <c r="CA819" i="13"/>
  <c r="CQ817" i="13"/>
  <c r="CA815" i="13"/>
  <c r="CU813" i="13"/>
  <c r="AM813" i="13"/>
  <c r="A813" i="13"/>
  <c r="CU802" i="13"/>
  <c r="BS799" i="13"/>
  <c r="BN797" i="13"/>
  <c r="AM795" i="13"/>
  <c r="BI793" i="13" a="1"/>
  <c r="BI793" i="13" s="1"/>
  <c r="A793" i="13"/>
  <c r="CU793" i="13"/>
  <c r="BN793" i="13"/>
  <c r="BW793" i="13"/>
  <c r="BK939" i="13"/>
  <c r="BK929" i="13"/>
  <c r="CM926" i="13"/>
  <c r="BK917" i="13"/>
  <c r="BN913" i="13"/>
  <c r="CM908" i="13"/>
  <c r="BS907" i="13"/>
  <c r="CU900" i="13"/>
  <c r="AM900" i="13"/>
  <c r="A900" i="13"/>
  <c r="BK897" i="13"/>
  <c r="CM896" i="13"/>
  <c r="BI896" i="13" a="1"/>
  <c r="BI896" i="13" s="1"/>
  <c r="AM896" i="13"/>
  <c r="A896" i="13"/>
  <c r="BS894" i="13"/>
  <c r="BK893" i="13"/>
  <c r="CQ892" i="13"/>
  <c r="AM892" i="13"/>
  <c r="A892" i="13"/>
  <c r="CM888" i="13"/>
  <c r="BI888" i="13" a="1"/>
  <c r="BI888" i="13" s="1"/>
  <c r="CU887" i="13"/>
  <c r="BW886" i="13"/>
  <c r="CM882" i="13"/>
  <c r="AM882" i="13"/>
  <c r="A882" i="13"/>
  <c r="CA880" i="13"/>
  <c r="CM879" i="13"/>
  <c r="BS878" i="13"/>
  <c r="CM876" i="13"/>
  <c r="AM876" i="13"/>
  <c r="A876" i="13"/>
  <c r="BS874" i="13"/>
  <c r="CM872" i="13"/>
  <c r="AM872" i="13"/>
  <c r="A872" i="13"/>
  <c r="BS870" i="13"/>
  <c r="CM868" i="13"/>
  <c r="AM868" i="13"/>
  <c r="A868" i="13"/>
  <c r="BK865" i="13"/>
  <c r="BK861" i="13"/>
  <c r="BK857" i="13"/>
  <c r="BK853" i="13"/>
  <c r="BK849" i="13"/>
  <c r="CH846" i="13"/>
  <c r="CH842" i="13"/>
  <c r="CM838" i="13"/>
  <c r="BI838" i="13" a="1"/>
  <c r="BI838" i="13" s="1"/>
  <c r="AM838" i="13"/>
  <c r="A838" i="13"/>
  <c r="CA836" i="13"/>
  <c r="BS834" i="13"/>
  <c r="CM830" i="13"/>
  <c r="BI830" i="13" a="1"/>
  <c r="BI830" i="13" s="1"/>
  <c r="AM830" i="13"/>
  <c r="A830" i="13"/>
  <c r="CH828" i="13"/>
  <c r="BI828" i="13" a="1"/>
  <c r="BI828" i="13" s="1"/>
  <c r="BK828" i="13"/>
  <c r="CU827" i="13"/>
  <c r="CM826" i="13"/>
  <c r="CU825" i="13"/>
  <c r="AM825" i="13"/>
  <c r="A825" i="13"/>
  <c r="CA823" i="13"/>
  <c r="CU821" i="13"/>
  <c r="AM821" i="13"/>
  <c r="A821" i="13"/>
  <c r="BW819" i="13"/>
  <c r="CM817" i="13"/>
  <c r="AM817" i="13"/>
  <c r="A817" i="13"/>
  <c r="BW815" i="13"/>
  <c r="CQ813" i="13"/>
  <c r="BK813" i="13"/>
  <c r="CU812" i="13"/>
  <c r="BS811" i="13"/>
  <c r="BS808" i="13"/>
  <c r="A808" i="13"/>
  <c r="BW808" i="13"/>
  <c r="CH807" i="13"/>
  <c r="BI805" i="13" a="1"/>
  <c r="BI805" i="13" s="1"/>
  <c r="CH805" i="13"/>
  <c r="CU805" i="13"/>
  <c r="AM799" i="13"/>
  <c r="A799" i="13"/>
  <c r="AM797" i="13"/>
  <c r="A797" i="13"/>
  <c r="CM793" i="13"/>
  <c r="BK905" i="13"/>
  <c r="BW901" i="13"/>
  <c r="CQ900" i="13"/>
  <c r="CH896" i="13"/>
  <c r="CM892" i="13"/>
  <c r="BI892" i="13" a="1"/>
  <c r="BI892" i="13" s="1"/>
  <c r="CH882" i="13"/>
  <c r="BI882" i="13" a="1"/>
  <c r="BI882" i="13" s="1"/>
  <c r="BK882" i="13"/>
  <c r="CH876" i="13"/>
  <c r="BI876" i="13" a="1"/>
  <c r="BI876" i="13" s="1"/>
  <c r="BK876" i="13"/>
  <c r="CH872" i="13"/>
  <c r="BI872" i="13" a="1"/>
  <c r="BI872" i="13" s="1"/>
  <c r="BK872" i="13"/>
  <c r="CH868" i="13"/>
  <c r="BI868" i="13" a="1"/>
  <c r="BI868" i="13" s="1"/>
  <c r="BK868" i="13"/>
  <c r="CH838" i="13"/>
  <c r="BK838" i="13"/>
  <c r="BK833" i="13"/>
  <c r="CH830" i="13"/>
  <c r="BK830" i="13"/>
  <c r="CQ825" i="13"/>
  <c r="CQ821" i="13"/>
  <c r="CH817" i="13"/>
  <c r="BI817" i="13" a="1"/>
  <c r="BI817" i="13" s="1"/>
  <c r="BK797" i="13"/>
  <c r="CM900" i="13"/>
  <c r="CA896" i="13"/>
  <c r="CH892" i="13"/>
  <c r="CA882" i="13"/>
  <c r="BS880" i="13"/>
  <c r="CA876" i="13"/>
  <c r="CA872" i="13"/>
  <c r="CA868" i="13"/>
  <c r="CM863" i="13"/>
  <c r="CM859" i="13"/>
  <c r="CM855" i="13"/>
  <c r="CM851" i="13"/>
  <c r="BW846" i="13"/>
  <c r="BW842" i="13"/>
  <c r="CA838" i="13"/>
  <c r="BS836" i="13"/>
  <c r="CA830" i="13"/>
  <c r="BK826" i="13"/>
  <c r="CM825" i="13"/>
  <c r="CM824" i="13"/>
  <c r="CM821" i="13"/>
  <c r="BN819" i="13"/>
  <c r="CA817" i="13"/>
  <c r="BI795" i="13" a="1"/>
  <c r="BI795" i="13" s="1"/>
  <c r="CM795" i="13"/>
  <c r="CQ795" i="13"/>
  <c r="BN795" i="13"/>
  <c r="BS794" i="13"/>
  <c r="CM794" i="13"/>
  <c r="CU794" i="13"/>
  <c r="BS802" i="13"/>
  <c r="A802" i="13"/>
  <c r="BW802" i="13"/>
  <c r="BI799" i="13" a="1"/>
  <c r="BI799" i="13" s="1"/>
  <c r="CM799" i="13"/>
  <c r="BN799" i="13"/>
  <c r="BI797" i="13" a="1"/>
  <c r="BI797" i="13" s="1"/>
  <c r="BW797" i="13"/>
  <c r="CM797" i="13"/>
  <c r="BK913" i="13"/>
  <c r="BS910" i="13"/>
  <c r="BK907" i="13"/>
  <c r="BS904" i="13"/>
  <c r="BK904" i="13"/>
  <c r="CA900" i="13"/>
  <c r="CM894" i="13"/>
  <c r="BN888" i="13"/>
  <c r="CQ886" i="13"/>
  <c r="AM886" i="13"/>
  <c r="BK881" i="13"/>
  <c r="CM878" i="13"/>
  <c r="AM878" i="13"/>
  <c r="CM874" i="13"/>
  <c r="AM874" i="13"/>
  <c r="CM870" i="13"/>
  <c r="AM870" i="13"/>
  <c r="BK863" i="13"/>
  <c r="BK859" i="13"/>
  <c r="BK855" i="13"/>
  <c r="BK851" i="13"/>
  <c r="CM834" i="13"/>
  <c r="BI834" i="13" a="1"/>
  <c r="BI834" i="13" s="1"/>
  <c r="AM834" i="13"/>
  <c r="CA825" i="13"/>
  <c r="A823" i="13"/>
  <c r="CA821" i="13"/>
  <c r="CQ819" i="13"/>
  <c r="BK815" i="13"/>
  <c r="CU814" i="13"/>
  <c r="BW813" i="13"/>
  <c r="CU806" i="13"/>
  <c r="CH799" i="13"/>
  <c r="CH797" i="13"/>
  <c r="A809" i="13"/>
  <c r="A800" i="13"/>
  <c r="AM791" i="13"/>
  <c r="A791" i="13"/>
  <c r="BW789" i="13"/>
  <c r="CM787" i="13"/>
  <c r="CM786" i="13"/>
  <c r="AM785" i="13"/>
  <c r="A785" i="13"/>
  <c r="AM781" i="13"/>
  <c r="A781" i="13"/>
  <c r="CA779" i="13"/>
  <c r="CU777" i="13"/>
  <c r="CM775" i="13"/>
  <c r="BL775" i="13"/>
  <c r="CA773" i="13"/>
  <c r="CU772" i="13"/>
  <c r="BK768" i="13"/>
  <c r="CM767" i="13"/>
  <c r="CA765" i="13"/>
  <c r="CU764" i="13"/>
  <c r="BK760" i="13"/>
  <c r="CM759" i="13"/>
  <c r="CA757" i="13"/>
  <c r="CU756" i="13"/>
  <c r="CM754" i="13"/>
  <c r="CQ752" i="13"/>
  <c r="CM751" i="13"/>
  <c r="BW750" i="13"/>
  <c r="BW748" i="13"/>
  <c r="BW747" i="13"/>
  <c r="CH745" i="13"/>
  <c r="BS744" i="13"/>
  <c r="CM743" i="13"/>
  <c r="CU742" i="13"/>
  <c r="BS740" i="13"/>
  <c r="CM738" i="13"/>
  <c r="BK737" i="13"/>
  <c r="BS736" i="13"/>
  <c r="CH735" i="13"/>
  <c r="CU734" i="13"/>
  <c r="BW733" i="13"/>
  <c r="CH732" i="13"/>
  <c r="BK731" i="13"/>
  <c r="BW730" i="13"/>
  <c r="CM729" i="13"/>
  <c r="AM729" i="13"/>
  <c r="A729" i="13"/>
  <c r="CA727" i="13"/>
  <c r="CQ726" i="13"/>
  <c r="BW724" i="13"/>
  <c r="CH723" i="13"/>
  <c r="CM722" i="13"/>
  <c r="AM721" i="13"/>
  <c r="CU720" i="13"/>
  <c r="BS718" i="13"/>
  <c r="BW716" i="13"/>
  <c r="CH714" i="13"/>
  <c r="CM713" i="13"/>
  <c r="CQ710" i="13"/>
  <c r="AM709" i="13"/>
  <c r="CU708" i="13"/>
  <c r="BN706" i="13"/>
  <c r="BS704" i="13"/>
  <c r="CA701" i="13"/>
  <c r="CA700" i="13"/>
  <c r="CH698" i="13"/>
  <c r="CM697" i="13"/>
  <c r="BK692" i="13"/>
  <c r="BL692" i="13"/>
  <c r="CM691" i="13"/>
  <c r="BK690" i="13"/>
  <c r="BL690" i="13"/>
  <c r="CU780" i="13"/>
  <c r="BW779" i="13"/>
  <c r="CH775" i="13"/>
  <c r="AM775" i="13"/>
  <c r="A775" i="13"/>
  <c r="BS748" i="13"/>
  <c r="CQ742" i="13"/>
  <c r="CQ734" i="13"/>
  <c r="CQ720" i="13"/>
  <c r="BN718" i="13"/>
  <c r="CQ708" i="13"/>
  <c r="CU706" i="13"/>
  <c r="BN704" i="13"/>
  <c r="BK795" i="13"/>
  <c r="CM790" i="13"/>
  <c r="BN789" i="13"/>
  <c r="CA787" i="13"/>
  <c r="CM784" i="13"/>
  <c r="CM780" i="13"/>
  <c r="BS779" i="13"/>
  <c r="AM777" i="13"/>
  <c r="A777" i="13"/>
  <c r="BK770" i="13"/>
  <c r="CM769" i="13"/>
  <c r="BL769" i="13"/>
  <c r="BK762" i="13"/>
  <c r="CM761" i="13"/>
  <c r="BL761" i="13"/>
  <c r="CA759" i="13"/>
  <c r="CA754" i="13"/>
  <c r="CH752" i="13"/>
  <c r="CA751" i="13"/>
  <c r="A751" i="13"/>
  <c r="BN748" i="13"/>
  <c r="BK747" i="13"/>
  <c r="AM747" i="13"/>
  <c r="A747" i="13"/>
  <c r="CU744" i="13"/>
  <c r="CM742" i="13"/>
  <c r="AM741" i="13"/>
  <c r="CU740" i="13"/>
  <c r="CU736" i="13"/>
  <c r="CM734" i="13"/>
  <c r="CM731" i="13"/>
  <c r="AM731" i="13"/>
  <c r="A731" i="13"/>
  <c r="CH726" i="13"/>
  <c r="BI726" i="13" a="1"/>
  <c r="BI726" i="13" s="1"/>
  <c r="BJ726" i="13" s="1"/>
  <c r="AM726" i="13"/>
  <c r="A726" i="13"/>
  <c r="BK725" i="13"/>
  <c r="AM725" i="13"/>
  <c r="A725" i="13"/>
  <c r="BN724" i="13"/>
  <c r="BW723" i="13"/>
  <c r="CA722" i="13"/>
  <c r="CM720" i="13"/>
  <c r="BK719" i="13"/>
  <c r="AM719" i="13"/>
  <c r="CU718" i="13"/>
  <c r="BL717" i="13"/>
  <c r="BN716" i="13"/>
  <c r="CA713" i="13"/>
  <c r="CM708" i="13"/>
  <c r="BI708" i="13" a="1"/>
  <c r="BI708" i="13" s="1"/>
  <c r="AM708" i="13"/>
  <c r="A708" i="13"/>
  <c r="CQ706" i="13"/>
  <c r="BK705" i="13"/>
  <c r="AM705" i="13"/>
  <c r="CU704" i="13"/>
  <c r="BL703" i="13"/>
  <c r="BS700" i="13"/>
  <c r="CA697" i="13"/>
  <c r="CH695" i="13"/>
  <c r="CM692" i="13"/>
  <c r="BN692" i="13"/>
  <c r="BK805" i="13"/>
  <c r="BK799" i="13"/>
  <c r="CU789" i="13"/>
  <c r="AM789" i="13"/>
  <c r="A789" i="13"/>
  <c r="BW787" i="13"/>
  <c r="BN779" i="13"/>
  <c r="BK777" i="13"/>
  <c r="CU776" i="13"/>
  <c r="BW775" i="13"/>
  <c r="CM774" i="13"/>
  <c r="BN773" i="13"/>
  <c r="CQ771" i="13"/>
  <c r="CH769" i="13"/>
  <c r="AM769" i="13"/>
  <c r="A769" i="13"/>
  <c r="BW767" i="13"/>
  <c r="BI767" i="13" a="1"/>
  <c r="BI767" i="13" s="1"/>
  <c r="CM766" i="13"/>
  <c r="BN765" i="13"/>
  <c r="CQ763" i="13"/>
  <c r="CH761" i="13"/>
  <c r="AM761" i="13"/>
  <c r="A761" i="13"/>
  <c r="BW759" i="13"/>
  <c r="BI759" i="13" a="1"/>
  <c r="BI759" i="13" s="1"/>
  <c r="CM758" i="13"/>
  <c r="BN757" i="13"/>
  <c r="BW754" i="13"/>
  <c r="CA752" i="13"/>
  <c r="CU750" i="13"/>
  <c r="AM750" i="13"/>
  <c r="A750" i="13"/>
  <c r="CU748" i="13"/>
  <c r="CQ744" i="13"/>
  <c r="CH742" i="13"/>
  <c r="CQ740" i="13"/>
  <c r="CH737" i="13"/>
  <c r="CQ736" i="13"/>
  <c r="CH734" i="13"/>
  <c r="BK733" i="13"/>
  <c r="CH731" i="13"/>
  <c r="CM725" i="13"/>
  <c r="CU724" i="13"/>
  <c r="CH720" i="13"/>
  <c r="BI720" i="13" a="1"/>
  <c r="BI720" i="13" s="1"/>
  <c r="BJ720" i="13" s="1"/>
  <c r="AM720" i="13"/>
  <c r="A720" i="13"/>
  <c r="CQ718" i="13"/>
  <c r="AM717" i="13"/>
  <c r="CU716" i="13"/>
  <c r="CA711" i="13"/>
  <c r="CH708" i="13"/>
  <c r="CM707" i="13"/>
  <c r="CM706" i="13"/>
  <c r="BI706" i="13" a="1"/>
  <c r="BI706" i="13" s="1"/>
  <c r="AM706" i="13"/>
  <c r="A706" i="13"/>
  <c r="CQ704" i="13"/>
  <c r="AM703" i="13"/>
  <c r="BL701" i="13"/>
  <c r="BN700" i="13"/>
  <c r="CA695" i="13"/>
  <c r="CA693" i="13"/>
  <c r="BW692" i="13"/>
  <c r="BK691" i="13"/>
  <c r="BL691" i="13"/>
  <c r="CQ789" i="13"/>
  <c r="BK789" i="13"/>
  <c r="BS787" i="13"/>
  <c r="BK784" i="13"/>
  <c r="CU779" i="13"/>
  <c r="AM779" i="13"/>
  <c r="A779" i="13"/>
  <c r="BL771" i="13"/>
  <c r="BN754" i="13"/>
  <c r="BW752" i="13"/>
  <c r="CQ750" i="13"/>
  <c r="BI750" i="13" a="1"/>
  <c r="BI750" i="13" s="1"/>
  <c r="BJ750" i="13" s="1"/>
  <c r="CQ748" i="13"/>
  <c r="AM748" i="13"/>
  <c r="A748" i="13"/>
  <c r="CM744" i="13"/>
  <c r="CA742" i="13"/>
  <c r="BI742" i="13" a="1"/>
  <c r="BI742" i="13" s="1"/>
  <c r="BJ742" i="13" s="1"/>
  <c r="AM742" i="13"/>
  <c r="A742" i="13"/>
  <c r="CM740" i="13"/>
  <c r="CM736" i="13"/>
  <c r="CA734" i="13"/>
  <c r="BI734" i="13" a="1"/>
  <c r="BI734" i="13" s="1"/>
  <c r="BJ734" i="13" s="1"/>
  <c r="AM734" i="13"/>
  <c r="A734" i="13"/>
  <c r="AM733" i="13"/>
  <c r="A733" i="13"/>
  <c r="CA731" i="13"/>
  <c r="BL727" i="13"/>
  <c r="CQ724" i="13"/>
  <c r="CA720" i="13"/>
  <c r="CM719" i="13"/>
  <c r="CM718" i="13"/>
  <c r="BI718" i="13" a="1"/>
  <c r="BI718" i="13" s="1"/>
  <c r="BJ718" i="13" s="1"/>
  <c r="AM718" i="13"/>
  <c r="A718" i="13"/>
  <c r="CQ716" i="13"/>
  <c r="BL715" i="13"/>
  <c r="CH706" i="13"/>
  <c r="CM705" i="13"/>
  <c r="CM704" i="13"/>
  <c r="BI704" i="13" a="1"/>
  <c r="BI704" i="13" s="1"/>
  <c r="AM704" i="13"/>
  <c r="A704" i="13"/>
  <c r="AM701" i="13"/>
  <c r="CU700" i="13"/>
  <c r="BL699" i="13"/>
  <c r="BN787" i="13"/>
  <c r="BK780" i="13"/>
  <c r="CQ779" i="13"/>
  <c r="BK779" i="13"/>
  <c r="BN752" i="13"/>
  <c r="CM748" i="13"/>
  <c r="BI748" i="13" a="1"/>
  <c r="BI748" i="13" s="1"/>
  <c r="BJ748" i="13" s="1"/>
  <c r="CH744" i="13"/>
  <c r="BI744" i="13" a="1"/>
  <c r="BI744" i="13" s="1"/>
  <c r="BJ744" i="13" s="1"/>
  <c r="BW742" i="13"/>
  <c r="CH740" i="13"/>
  <c r="BK739" i="13"/>
  <c r="CH736" i="13"/>
  <c r="BW734" i="13"/>
  <c r="CM733" i="13"/>
  <c r="CM724" i="13"/>
  <c r="BL723" i="13"/>
  <c r="CH718" i="13"/>
  <c r="CM717" i="13"/>
  <c r="BL713" i="13"/>
  <c r="CM703" i="13"/>
  <c r="BL697" i="13"/>
  <c r="BI691" i="13" a="1"/>
  <c r="BI691" i="13" s="1"/>
  <c r="AM691" i="13"/>
  <c r="CU787" i="13"/>
  <c r="AM787" i="13"/>
  <c r="A787" i="13"/>
  <c r="CM779" i="13"/>
  <c r="BL779" i="13"/>
  <c r="CU754" i="13"/>
  <c r="AM754" i="13"/>
  <c r="A754" i="13"/>
  <c r="AM752" i="13"/>
  <c r="A752" i="13"/>
  <c r="CU745" i="13"/>
  <c r="CA744" i="13"/>
  <c r="AM744" i="13"/>
  <c r="CA740" i="13"/>
  <c r="BI740" i="13" a="1"/>
  <c r="BI740" i="13" s="1"/>
  <c r="BJ740" i="13" s="1"/>
  <c r="AM740" i="13"/>
  <c r="CA736" i="13"/>
  <c r="BI736" i="13" a="1"/>
  <c r="BI736" i="13" s="1"/>
  <c r="BJ736" i="13" s="1"/>
  <c r="AM736" i="13"/>
  <c r="CH733" i="13"/>
  <c r="BK729" i="13"/>
  <c r="CM727" i="13"/>
  <c r="AM727" i="13"/>
  <c r="A727" i="13"/>
  <c r="CH724" i="13"/>
  <c r="BI724" i="13" a="1"/>
  <c r="BI724" i="13" s="1"/>
  <c r="BJ724" i="13" s="1"/>
  <c r="AM724" i="13"/>
  <c r="AM723" i="13"/>
  <c r="AM713" i="13"/>
  <c r="CM701" i="13"/>
  <c r="AM697" i="13"/>
  <c r="AM695" i="13"/>
  <c r="CA703" i="13"/>
  <c r="BL696" i="13"/>
  <c r="BL694" i="13"/>
  <c r="BL688" i="13"/>
  <c r="BL686" i="13"/>
  <c r="CM683" i="13"/>
  <c r="CA682" i="13"/>
  <c r="BW674" i="13"/>
  <c r="CM668" i="13"/>
  <c r="CH667" i="13"/>
  <c r="BN666" i="13"/>
  <c r="BK663" i="13"/>
  <c r="CU662" i="13"/>
  <c r="CU659" i="13"/>
  <c r="CU655" i="13"/>
  <c r="CM652" i="13"/>
  <c r="BW650" i="13"/>
  <c r="CU645" i="13"/>
  <c r="CM643" i="13"/>
  <c r="BW641" i="13"/>
  <c r="A639" i="13"/>
  <c r="CM636" i="13"/>
  <c r="CU628" i="13"/>
  <c r="CM623" i="13"/>
  <c r="BK619" i="13"/>
  <c r="BN618" i="13"/>
  <c r="CM615" i="13"/>
  <c r="BI615" i="13" a="1"/>
  <c r="BI615" i="13" s="1"/>
  <c r="BL614" i="13"/>
  <c r="CU613" i="13"/>
  <c r="CQ611" i="13"/>
  <c r="BI611" i="13" a="1"/>
  <c r="BI611" i="13" s="1"/>
  <c r="BK611" i="13"/>
  <c r="AM609" i="13"/>
  <c r="BW607" i="13"/>
  <c r="AM605" i="13"/>
  <c r="CM604" i="13"/>
  <c r="CH603" i="13"/>
  <c r="BS602" i="13"/>
  <c r="BS601" i="13"/>
  <c r="CU599" i="13"/>
  <c r="BI599" i="13" a="1"/>
  <c r="BI599" i="13" s="1"/>
  <c r="CA593" i="13"/>
  <c r="A591" i="13"/>
  <c r="CM591" i="13"/>
  <c r="BK587" i="13"/>
  <c r="BW586" i="13"/>
  <c r="BN583" i="13"/>
  <c r="CM579" i="13"/>
  <c r="BW573" i="13"/>
  <c r="CH573" i="13"/>
  <c r="CM573" i="13"/>
  <c r="A540" i="13"/>
  <c r="AM540" i="13"/>
  <c r="BI540" i="13" a="1"/>
  <c r="BI540" i="13" s="1"/>
  <c r="CH540" i="13"/>
  <c r="CM540" i="13"/>
  <c r="CQ540" i="13"/>
  <c r="CU540" i="13"/>
  <c r="BN540" i="13"/>
  <c r="BW540" i="13"/>
  <c r="BK533" i="13"/>
  <c r="BK301" i="13"/>
  <c r="BL301" i="13"/>
  <c r="CH675" i="13"/>
  <c r="BN674" i="13"/>
  <c r="AM670" i="13"/>
  <c r="CA667" i="13"/>
  <c r="CM655" i="13"/>
  <c r="CU638" i="13"/>
  <c r="CM628" i="13"/>
  <c r="CU617" i="13"/>
  <c r="CQ613" i="13"/>
  <c r="BW604" i="13"/>
  <c r="BN601" i="13"/>
  <c r="CQ599" i="13"/>
  <c r="AM599" i="13"/>
  <c r="A597" i="13"/>
  <c r="AM597" i="13"/>
  <c r="BI595" i="13" a="1"/>
  <c r="BI595" i="13" s="1"/>
  <c r="AM595" i="13"/>
  <c r="CM594" i="13"/>
  <c r="BN593" i="13"/>
  <c r="CU580" i="13"/>
  <c r="CM580" i="13"/>
  <c r="CA579" i="13"/>
  <c r="BI570" i="13" a="1"/>
  <c r="BI570" i="13" s="1"/>
  <c r="BJ570" i="13" s="1"/>
  <c r="CA570" i="13"/>
  <c r="CH570" i="13"/>
  <c r="CM570" i="13"/>
  <c r="CQ570" i="13"/>
  <c r="BN570" i="13"/>
  <c r="CM543" i="13"/>
  <c r="CU543" i="13"/>
  <c r="CU531" i="13"/>
  <c r="BK531" i="13"/>
  <c r="CM531" i="13"/>
  <c r="CA683" i="13"/>
  <c r="BN682" i="13"/>
  <c r="AM678" i="13"/>
  <c r="CA675" i="13"/>
  <c r="AM674" i="13"/>
  <c r="CH673" i="13"/>
  <c r="BW667" i="13"/>
  <c r="CA665" i="13"/>
  <c r="CU661" i="13"/>
  <c r="BW659" i="13"/>
  <c r="BW655" i="13"/>
  <c r="BN652" i="13"/>
  <c r="A652" i="13"/>
  <c r="CU649" i="13"/>
  <c r="CM647" i="13"/>
  <c r="BW645" i="13"/>
  <c r="A645" i="13"/>
  <c r="BK641" i="13"/>
  <c r="CM638" i="13"/>
  <c r="BK636" i="13"/>
  <c r="BW635" i="13"/>
  <c r="CM632" i="13"/>
  <c r="BN628" i="13"/>
  <c r="CM627" i="13"/>
  <c r="BK623" i="13"/>
  <c r="BK618" i="13"/>
  <c r="CM617" i="13"/>
  <c r="CA615" i="13"/>
  <c r="CM613" i="13"/>
  <c r="AM613" i="13"/>
  <c r="A613" i="13"/>
  <c r="BN607" i="13"/>
  <c r="BS604" i="13"/>
  <c r="A602" i="13"/>
  <c r="CU595" i="13"/>
  <c r="BW594" i="13"/>
  <c r="CU590" i="13"/>
  <c r="BW590" i="13"/>
  <c r="A587" i="13"/>
  <c r="CH587" i="13"/>
  <c r="BN587" i="13"/>
  <c r="BI583" i="13" a="1"/>
  <c r="BI583" i="13" s="1"/>
  <c r="AM583" i="13"/>
  <c r="CM582" i="13"/>
  <c r="BS579" i="13"/>
  <c r="CU570" i="13"/>
  <c r="CA554" i="13"/>
  <c r="CU548" i="13"/>
  <c r="BL529" i="13"/>
  <c r="BK529" i="13"/>
  <c r="BL472" i="13"/>
  <c r="BK472" i="13"/>
  <c r="BK326" i="13"/>
  <c r="BL326" i="13"/>
  <c r="BW690" i="13"/>
  <c r="CA689" i="13"/>
  <c r="CA688" i="13"/>
  <c r="CA687" i="13"/>
  <c r="BW683" i="13"/>
  <c r="CH681" i="13"/>
  <c r="BW675" i="13"/>
  <c r="CA673" i="13"/>
  <c r="BW669" i="13"/>
  <c r="BN667" i="13"/>
  <c r="BW665" i="13"/>
  <c r="CU664" i="13"/>
  <c r="CM661" i="13"/>
  <c r="BN659" i="13"/>
  <c r="BN655" i="13"/>
  <c r="CM649" i="13"/>
  <c r="BW647" i="13"/>
  <c r="A647" i="13"/>
  <c r="BK645" i="13"/>
  <c r="CU644" i="13"/>
  <c r="BW638" i="13"/>
  <c r="A635" i="13"/>
  <c r="BN632" i="13"/>
  <c r="CM631" i="13"/>
  <c r="BK628" i="13"/>
  <c r="CM621" i="13"/>
  <c r="BW617" i="13"/>
  <c r="BW615" i="13"/>
  <c r="CH613" i="13"/>
  <c r="BI613" i="13" a="1"/>
  <c r="BI613" i="13" s="1"/>
  <c r="BK613" i="13"/>
  <c r="BW612" i="13"/>
  <c r="CU607" i="13"/>
  <c r="AM607" i="13"/>
  <c r="BN603" i="13"/>
  <c r="BK602" i="13"/>
  <c r="CU601" i="13"/>
  <c r="BI601" i="13" a="1"/>
  <c r="BI601" i="13" s="1"/>
  <c r="CH599" i="13"/>
  <c r="BS597" i="13"/>
  <c r="BN591" i="13"/>
  <c r="CU588" i="13"/>
  <c r="CM588" i="13"/>
  <c r="CM587" i="13"/>
  <c r="A585" i="13"/>
  <c r="BS585" i="13"/>
  <c r="BI585" i="13" a="1"/>
  <c r="BI585" i="13" s="1"/>
  <c r="CU585" i="13"/>
  <c r="CU583" i="13"/>
  <c r="BS582" i="13"/>
  <c r="CU558" i="13"/>
  <c r="CH524" i="13"/>
  <c r="A524" i="13"/>
  <c r="AM524" i="13"/>
  <c r="CQ524" i="13"/>
  <c r="BN524" i="13"/>
  <c r="BS524" i="13"/>
  <c r="BW524" i="13"/>
  <c r="BI524" i="13" a="1"/>
  <c r="BI524" i="13" s="1"/>
  <c r="CA524" i="13"/>
  <c r="CM524" i="13"/>
  <c r="BK398" i="13"/>
  <c r="BL398" i="13"/>
  <c r="BN683" i="13"/>
  <c r="CA681" i="13"/>
  <c r="BW673" i="13"/>
  <c r="BW661" i="13"/>
  <c r="CU658" i="13"/>
  <c r="CU657" i="13"/>
  <c r="A655" i="13"/>
  <c r="BW649" i="13"/>
  <c r="A649" i="13"/>
  <c r="CM644" i="13"/>
  <c r="BN638" i="13"/>
  <c r="CU634" i="13"/>
  <c r="CM620" i="13"/>
  <c r="BN617" i="13"/>
  <c r="BS615" i="13"/>
  <c r="CA613" i="13"/>
  <c r="BK607" i="13"/>
  <c r="BW606" i="13"/>
  <c r="CQ601" i="13"/>
  <c r="AM601" i="13"/>
  <c r="CU596" i="13"/>
  <c r="CM596" i="13"/>
  <c r="A595" i="13"/>
  <c r="CH595" i="13"/>
  <c r="CU586" i="13"/>
  <c r="BS586" i="13"/>
  <c r="BK586" i="13"/>
  <c r="BK579" i="13"/>
  <c r="A577" i="13"/>
  <c r="BS577" i="13"/>
  <c r="CA577" i="13"/>
  <c r="CM577" i="13"/>
  <c r="BI577" i="13" a="1"/>
  <c r="BI577" i="13" s="1"/>
  <c r="CU577" i="13"/>
  <c r="BS570" i="13"/>
  <c r="BS569" i="13"/>
  <c r="BW569" i="13"/>
  <c r="CA569" i="13"/>
  <c r="CM569" i="13"/>
  <c r="CU529" i="13"/>
  <c r="CM529" i="13"/>
  <c r="BN690" i="13"/>
  <c r="BN688" i="13"/>
  <c r="CH666" i="13"/>
  <c r="BN661" i="13"/>
  <c r="BW644" i="13"/>
  <c r="BK638" i="13"/>
  <c r="BW637" i="13"/>
  <c r="BK621" i="13"/>
  <c r="BL616" i="13"/>
  <c r="A583" i="13"/>
  <c r="CM583" i="13"/>
  <c r="CU690" i="13"/>
  <c r="BW672" i="13"/>
  <c r="BK669" i="13"/>
  <c r="A654" i="13"/>
  <c r="A644" i="13"/>
  <c r="A637" i="13"/>
  <c r="BN634" i="13"/>
  <c r="BK617" i="13"/>
  <c r="BI616" i="13" a="1"/>
  <c r="BI616" i="13" s="1"/>
  <c r="CU615" i="13"/>
  <c r="AM615" i="13"/>
  <c r="CH601" i="13"/>
  <c r="A593" i="13"/>
  <c r="BS593" i="13"/>
  <c r="BI593" i="13" a="1"/>
  <c r="BI593" i="13" s="1"/>
  <c r="CU593" i="13"/>
  <c r="CA583" i="13"/>
  <c r="A579" i="13"/>
  <c r="CH579" i="13"/>
  <c r="BI579" i="13" a="1"/>
  <c r="BI579" i="13" s="1"/>
  <c r="CU579" i="13"/>
  <c r="BN579" i="13"/>
  <c r="AM570" i="13"/>
  <c r="A570" i="13"/>
  <c r="BW558" i="13"/>
  <c r="CA558" i="13"/>
  <c r="A558" i="13"/>
  <c r="AM558" i="13"/>
  <c r="BI558" i="13" a="1"/>
  <c r="BI558" i="13" s="1"/>
  <c r="BJ558" i="13" s="1"/>
  <c r="CH558" i="13"/>
  <c r="CM558" i="13"/>
  <c r="CQ558" i="13"/>
  <c r="BN558" i="13"/>
  <c r="BW548" i="13"/>
  <c r="CA548" i="13"/>
  <c r="A548" i="13"/>
  <c r="AM548" i="13"/>
  <c r="BI548" i="13" a="1"/>
  <c r="BI548" i="13" s="1"/>
  <c r="CH548" i="13"/>
  <c r="CM548" i="13"/>
  <c r="CQ548" i="13"/>
  <c r="BN548" i="13"/>
  <c r="AM495" i="13"/>
  <c r="A495" i="13"/>
  <c r="BS495" i="13"/>
  <c r="BW495" i="13"/>
  <c r="CM495" i="13"/>
  <c r="CQ495" i="13"/>
  <c r="CU495" i="13"/>
  <c r="BK685" i="13"/>
  <c r="BK684" i="13"/>
  <c r="CU594" i="13"/>
  <c r="BS594" i="13"/>
  <c r="BS583" i="13"/>
  <c r="CU582" i="13"/>
  <c r="BW582" i="13"/>
  <c r="A566" i="13"/>
  <c r="AM566" i="13"/>
  <c r="BI566" i="13" a="1"/>
  <c r="BI566" i="13" s="1"/>
  <c r="BJ566" i="13" s="1"/>
  <c r="CA566" i="13"/>
  <c r="CH566" i="13"/>
  <c r="CM566" i="13"/>
  <c r="CQ566" i="13"/>
  <c r="BN566" i="13"/>
  <c r="A554" i="13"/>
  <c r="AM554" i="13"/>
  <c r="BI554" i="13" a="1"/>
  <c r="BI554" i="13" s="1"/>
  <c r="CH554" i="13"/>
  <c r="CM554" i="13"/>
  <c r="CQ554" i="13"/>
  <c r="CU554" i="13"/>
  <c r="BN554" i="13"/>
  <c r="BW554" i="13"/>
  <c r="BN506" i="13"/>
  <c r="BW506" i="13"/>
  <c r="CA506" i="13"/>
  <c r="A506" i="13"/>
  <c r="AM506" i="13"/>
  <c r="BI506" i="13" a="1"/>
  <c r="BI506" i="13" s="1"/>
  <c r="CH506" i="13"/>
  <c r="CM506" i="13"/>
  <c r="CQ506" i="13"/>
  <c r="BS506" i="13"/>
  <c r="CU506" i="13"/>
  <c r="BW498" i="13"/>
  <c r="A498" i="13"/>
  <c r="AM498" i="13"/>
  <c r="BI498" i="13" a="1"/>
  <c r="BI498" i="13" s="1"/>
  <c r="CH498" i="13"/>
  <c r="CM498" i="13"/>
  <c r="CQ498" i="13"/>
  <c r="CU498" i="13"/>
  <c r="BN498" i="13"/>
  <c r="CA498" i="13"/>
  <c r="BK583" i="13"/>
  <c r="BK578" i="13"/>
  <c r="CH574" i="13"/>
  <c r="BI574" i="13" a="1"/>
  <c r="BI574" i="13" s="1"/>
  <c r="BJ574" i="13" s="1"/>
  <c r="AM574" i="13"/>
  <c r="A574" i="13"/>
  <c r="CA572" i="13"/>
  <c r="CA571" i="13"/>
  <c r="CM568" i="13"/>
  <c r="BI568" i="13" a="1"/>
  <c r="BI568" i="13" s="1"/>
  <c r="BJ568" i="13" s="1"/>
  <c r="AM568" i="13"/>
  <c r="A568" i="13"/>
  <c r="CM565" i="13"/>
  <c r="CA564" i="13"/>
  <c r="BI564" i="13" a="1"/>
  <c r="BI564" i="13" s="1"/>
  <c r="BJ564" i="13" s="1"/>
  <c r="AM564" i="13"/>
  <c r="A564" i="13"/>
  <c r="CM562" i="13"/>
  <c r="BW560" i="13"/>
  <c r="BW557" i="13"/>
  <c r="A557" i="13"/>
  <c r="BN556" i="13"/>
  <c r="BN552" i="13"/>
  <c r="CH550" i="13"/>
  <c r="BI550" i="13" a="1"/>
  <c r="BI550" i="13" s="1"/>
  <c r="AM550" i="13"/>
  <c r="A550" i="13"/>
  <c r="BK547" i="13"/>
  <c r="CH546" i="13"/>
  <c r="BI546" i="13" a="1"/>
  <c r="BI546" i="13" s="1"/>
  <c r="AM546" i="13"/>
  <c r="A546" i="13"/>
  <c r="CU544" i="13"/>
  <c r="CM542" i="13"/>
  <c r="CM539" i="13"/>
  <c r="CU538" i="13"/>
  <c r="CH536" i="13"/>
  <c r="BI536" i="13" a="1"/>
  <c r="BI536" i="13" s="1"/>
  <c r="BJ536" i="13" s="1"/>
  <c r="AM536" i="13"/>
  <c r="A536" i="13"/>
  <c r="BN530" i="13"/>
  <c r="BW530" i="13"/>
  <c r="BS504" i="13"/>
  <c r="CA504" i="13"/>
  <c r="CH504" i="13"/>
  <c r="A504" i="13"/>
  <c r="AM504" i="13"/>
  <c r="BI504" i="13" a="1"/>
  <c r="BI504" i="13" s="1"/>
  <c r="CM504" i="13"/>
  <c r="CQ504" i="13"/>
  <c r="CU504" i="13"/>
  <c r="BN492" i="13"/>
  <c r="BW492" i="13"/>
  <c r="CA492" i="13"/>
  <c r="A492" i="13"/>
  <c r="AM492" i="13"/>
  <c r="BI492" i="13" a="1"/>
  <c r="BI492" i="13" s="1"/>
  <c r="CH492" i="13"/>
  <c r="CM492" i="13"/>
  <c r="CQ492" i="13"/>
  <c r="AM433" i="13"/>
  <c r="BK433" i="13"/>
  <c r="CM433" i="13"/>
  <c r="CA386" i="13"/>
  <c r="CH386" i="13"/>
  <c r="CM386" i="13"/>
  <c r="CU386" i="13"/>
  <c r="BN386" i="13"/>
  <c r="A386" i="13"/>
  <c r="AM386" i="13"/>
  <c r="BS386" i="13"/>
  <c r="BW386" i="13"/>
  <c r="CQ386" i="13"/>
  <c r="BW574" i="13"/>
  <c r="BK571" i="13"/>
  <c r="CA568" i="13"/>
  <c r="CM567" i="13"/>
  <c r="CA565" i="13"/>
  <c r="BS564" i="13"/>
  <c r="CA562" i="13"/>
  <c r="BI562" i="13" a="1"/>
  <c r="BI562" i="13" s="1"/>
  <c r="BJ562" i="13" s="1"/>
  <c r="CQ556" i="13"/>
  <c r="CQ552" i="13"/>
  <c r="BW550" i="13"/>
  <c r="BW546" i="13"/>
  <c r="CM544" i="13"/>
  <c r="CA542" i="13"/>
  <c r="BK542" i="13"/>
  <c r="CU541" i="13"/>
  <c r="CM538" i="13"/>
  <c r="BW536" i="13"/>
  <c r="BK528" i="13"/>
  <c r="BL528" i="13"/>
  <c r="CM527" i="13"/>
  <c r="AM497" i="13"/>
  <c r="CQ497" i="13"/>
  <c r="A497" i="13"/>
  <c r="BS497" i="13"/>
  <c r="BW497" i="13"/>
  <c r="BL430" i="13"/>
  <c r="BK430" i="13"/>
  <c r="BW340" i="13"/>
  <c r="BK340" i="13"/>
  <c r="A340" i="13"/>
  <c r="AM340" i="13"/>
  <c r="BS340" i="13"/>
  <c r="CA340" i="13"/>
  <c r="CM340" i="13"/>
  <c r="BW562" i="13"/>
  <c r="AM562" i="13"/>
  <c r="A562" i="13"/>
  <c r="CM556" i="13"/>
  <c r="AM556" i="13"/>
  <c r="A556" i="13"/>
  <c r="CM552" i="13"/>
  <c r="AM552" i="13"/>
  <c r="A552" i="13"/>
  <c r="BK545" i="13"/>
  <c r="BI544" i="13" a="1"/>
  <c r="BI544" i="13" s="1"/>
  <c r="AM544" i="13"/>
  <c r="A544" i="13"/>
  <c r="CH538" i="13"/>
  <c r="BI538" i="13" a="1"/>
  <c r="BI538" i="13" s="1"/>
  <c r="AM538" i="13"/>
  <c r="A538" i="13"/>
  <c r="BN502" i="13"/>
  <c r="BW502" i="13"/>
  <c r="CA502" i="13"/>
  <c r="A502" i="13"/>
  <c r="AM502" i="13"/>
  <c r="BI502" i="13" a="1"/>
  <c r="BI502" i="13" s="1"/>
  <c r="CH502" i="13"/>
  <c r="CM502" i="13"/>
  <c r="CQ502" i="13"/>
  <c r="BL448" i="13"/>
  <c r="BK448" i="13"/>
  <c r="CU409" i="13"/>
  <c r="BI409" i="13" a="1"/>
  <c r="BI409" i="13" s="1"/>
  <c r="BK409" i="13"/>
  <c r="A409" i="13"/>
  <c r="BS409" i="13"/>
  <c r="BW409" i="13"/>
  <c r="CM409" i="13"/>
  <c r="CQ409" i="13"/>
  <c r="CU407" i="13"/>
  <c r="BS407" i="13"/>
  <c r="BW407" i="13"/>
  <c r="BI407" i="13" a="1"/>
  <c r="BI407" i="13" s="1"/>
  <c r="A407" i="13"/>
  <c r="CM407" i="13"/>
  <c r="CQ407" i="13"/>
  <c r="BN574" i="13"/>
  <c r="BN568" i="13"/>
  <c r="CU564" i="13"/>
  <c r="BS562" i="13"/>
  <c r="CH556" i="13"/>
  <c r="BI556" i="13" a="1"/>
  <c r="BI556" i="13" s="1"/>
  <c r="CH552" i="13"/>
  <c r="BI552" i="13" a="1"/>
  <c r="BI552" i="13" s="1"/>
  <c r="BK552" i="13"/>
  <c r="BN550" i="13"/>
  <c r="BN546" i="13"/>
  <c r="CA544" i="13"/>
  <c r="BK544" i="13"/>
  <c r="CA538" i="13"/>
  <c r="BK538" i="13"/>
  <c r="BN536" i="13"/>
  <c r="BS528" i="13"/>
  <c r="A528" i="13"/>
  <c r="AM528" i="13"/>
  <c r="BI528" i="13" a="1"/>
  <c r="BI528" i="13" s="1"/>
  <c r="CA528" i="13"/>
  <c r="CM528" i="13"/>
  <c r="CU528" i="13"/>
  <c r="BK527" i="13"/>
  <c r="BS514" i="13"/>
  <c r="CA514" i="13"/>
  <c r="CH514" i="13"/>
  <c r="A514" i="13"/>
  <c r="AM514" i="13"/>
  <c r="BI514" i="13" a="1"/>
  <c r="BI514" i="13" s="1"/>
  <c r="CM514" i="13"/>
  <c r="CQ514" i="13"/>
  <c r="CU514" i="13"/>
  <c r="BS508" i="13"/>
  <c r="CA508" i="13"/>
  <c r="CH508" i="13"/>
  <c r="A508" i="13"/>
  <c r="AM508" i="13"/>
  <c r="BI508" i="13" a="1"/>
  <c r="BI508" i="13" s="1"/>
  <c r="CM508" i="13"/>
  <c r="CQ508" i="13"/>
  <c r="CU508" i="13"/>
  <c r="BN464" i="13"/>
  <c r="BW464" i="13"/>
  <c r="BJ395" i="13"/>
  <c r="A592" i="13"/>
  <c r="CQ589" i="13"/>
  <c r="AM589" i="13"/>
  <c r="A584" i="13"/>
  <c r="AM581" i="13"/>
  <c r="BS578" i="13"/>
  <c r="A576" i="13"/>
  <c r="BK573" i="13"/>
  <c r="CQ572" i="13"/>
  <c r="BW567" i="13"/>
  <c r="AM563" i="13"/>
  <c r="BK548" i="13"/>
  <c r="CU536" i="13"/>
  <c r="AM534" i="13"/>
  <c r="CQ530" i="13"/>
  <c r="BI530" i="13" a="1"/>
  <c r="BI530" i="13" s="1"/>
  <c r="BJ530" i="13" s="1"/>
  <c r="AM530" i="13"/>
  <c r="A530" i="13"/>
  <c r="AM521" i="13"/>
  <c r="CU521" i="13"/>
  <c r="A521" i="13"/>
  <c r="BS521" i="13"/>
  <c r="BW521" i="13"/>
  <c r="CH520" i="13"/>
  <c r="A520" i="13"/>
  <c r="AM520" i="13"/>
  <c r="BI520" i="13" a="1"/>
  <c r="BI520" i="13" s="1"/>
  <c r="CQ520" i="13"/>
  <c r="BN520" i="13"/>
  <c r="BS520" i="13"/>
  <c r="BW520" i="13"/>
  <c r="CU492" i="13"/>
  <c r="CU533" i="13"/>
  <c r="CQ527" i="13"/>
  <c r="BS527" i="13"/>
  <c r="BW527" i="13"/>
  <c r="BN440" i="13"/>
  <c r="CM440" i="13"/>
  <c r="BS519" i="13"/>
  <c r="A519" i="13"/>
  <c r="A517" i="13"/>
  <c r="CU512" i="13"/>
  <c r="A511" i="13"/>
  <c r="BN510" i="13"/>
  <c r="CU500" i="13"/>
  <c r="A499" i="13"/>
  <c r="BW496" i="13"/>
  <c r="CH494" i="13"/>
  <c r="BI494" i="13" a="1"/>
  <c r="BI494" i="13" s="1"/>
  <c r="AM494" i="13"/>
  <c r="A494" i="13"/>
  <c r="CU490" i="13"/>
  <c r="CM487" i="13"/>
  <c r="CA486" i="13"/>
  <c r="BK486" i="13"/>
  <c r="CU482" i="13"/>
  <c r="BS481" i="13"/>
  <c r="CM479" i="13"/>
  <c r="CA478" i="13"/>
  <c r="BK478" i="13"/>
  <c r="CM474" i="13"/>
  <c r="CM472" i="13"/>
  <c r="CH471" i="13"/>
  <c r="CQ470" i="13"/>
  <c r="CQ466" i="13"/>
  <c r="CM465" i="13"/>
  <c r="BK453" i="13"/>
  <c r="BN449" i="13"/>
  <c r="BN445" i="13"/>
  <c r="BK439" i="13"/>
  <c r="BK432" i="13"/>
  <c r="CM431" i="13"/>
  <c r="BW430" i="13"/>
  <c r="BK429" i="13"/>
  <c r="CQ428" i="13"/>
  <c r="CH426" i="13"/>
  <c r="BN424" i="13"/>
  <c r="BW422" i="13"/>
  <c r="BS421" i="13"/>
  <c r="BW416" i="13"/>
  <c r="BW414" i="13"/>
  <c r="BK410" i="13"/>
  <c r="BN406" i="13"/>
  <c r="BK404" i="13"/>
  <c r="CU403" i="13"/>
  <c r="BS403" i="13"/>
  <c r="CM402" i="13"/>
  <c r="A401" i="13"/>
  <c r="BS397" i="13"/>
  <c r="CQ394" i="13"/>
  <c r="A373" i="13"/>
  <c r="AM373" i="13"/>
  <c r="CA373" i="13"/>
  <c r="CQ373" i="13"/>
  <c r="BK288" i="13"/>
  <c r="BL288" i="13"/>
  <c r="BK519" i="13"/>
  <c r="BK517" i="13"/>
  <c r="CU510" i="13"/>
  <c r="CQ500" i="13"/>
  <c r="CA494" i="13"/>
  <c r="BK494" i="13"/>
  <c r="CQ490" i="13"/>
  <c r="BW487" i="13"/>
  <c r="BW486" i="13"/>
  <c r="CQ482" i="13"/>
  <c r="BW479" i="13"/>
  <c r="CA470" i="13"/>
  <c r="BK467" i="13"/>
  <c r="CA465" i="13"/>
  <c r="BK441" i="13"/>
  <c r="CM428" i="13"/>
  <c r="BI428" i="13" a="1"/>
  <c r="BI428" i="13" s="1"/>
  <c r="BS416" i="13"/>
  <c r="BK401" i="13"/>
  <c r="BK397" i="13"/>
  <c r="BL397" i="13"/>
  <c r="CM394" i="13"/>
  <c r="BL394" i="13"/>
  <c r="BK394" i="13"/>
  <c r="BI389" i="13" a="1"/>
  <c r="BI389" i="13" s="1"/>
  <c r="BJ389" i="13" s="1"/>
  <c r="CA389" i="13"/>
  <c r="CH389" i="13"/>
  <c r="CQ389" i="13"/>
  <c r="CU389" i="13"/>
  <c r="BN389" i="13"/>
  <c r="BK328" i="13"/>
  <c r="BL328" i="13"/>
  <c r="BS325" i="13"/>
  <c r="CQ325" i="13"/>
  <c r="BI325" i="13" a="1"/>
  <c r="BI325" i="13" s="1"/>
  <c r="BN325" i="13"/>
  <c r="CM512" i="13"/>
  <c r="CQ510" i="13"/>
  <c r="CM500" i="13"/>
  <c r="BN496" i="13"/>
  <c r="BW494" i="13"/>
  <c r="CM490" i="13"/>
  <c r="BS487" i="13"/>
  <c r="CM482" i="13"/>
  <c r="BS479" i="13"/>
  <c r="BK456" i="13"/>
  <c r="BK436" i="13"/>
  <c r="CH428" i="13"/>
  <c r="AM428" i="13"/>
  <c r="A428" i="13"/>
  <c r="BN422" i="13"/>
  <c r="BN416" i="13"/>
  <c r="AM416" i="13"/>
  <c r="BI414" i="13" a="1"/>
  <c r="BI414" i="13" s="1"/>
  <c r="CU410" i="13"/>
  <c r="BN410" i="13"/>
  <c r="BI406" i="13" a="1"/>
  <c r="BI406" i="13" s="1"/>
  <c r="AM404" i="13"/>
  <c r="BS404" i="13"/>
  <c r="BW404" i="13"/>
  <c r="BI401" i="13" a="1"/>
  <c r="BI401" i="13" s="1"/>
  <c r="CQ400" i="13"/>
  <c r="BI397" i="13" a="1"/>
  <c r="BI397" i="13" s="1"/>
  <c r="BS395" i="13"/>
  <c r="CA395" i="13"/>
  <c r="CH395" i="13"/>
  <c r="CM395" i="13"/>
  <c r="BK332" i="13"/>
  <c r="BL332" i="13"/>
  <c r="BS327" i="13"/>
  <c r="CQ327" i="13"/>
  <c r="BI327" i="13" a="1"/>
  <c r="BI327" i="13" s="1"/>
  <c r="BN327" i="13"/>
  <c r="CH500" i="13"/>
  <c r="BI500" i="13" a="1"/>
  <c r="BI500" i="13" s="1"/>
  <c r="AM500" i="13"/>
  <c r="A500" i="13"/>
  <c r="BK492" i="13"/>
  <c r="CH490" i="13"/>
  <c r="BI490" i="13" a="1"/>
  <c r="BI490" i="13" s="1"/>
  <c r="AM490" i="13"/>
  <c r="A490" i="13"/>
  <c r="CU394" i="13"/>
  <c r="A394" i="13"/>
  <c r="AM394" i="13"/>
  <c r="BW394" i="13"/>
  <c r="CU517" i="13"/>
  <c r="CU515" i="13"/>
  <c r="CM513" i="13"/>
  <c r="CU511" i="13"/>
  <c r="CU509" i="13"/>
  <c r="CM507" i="13"/>
  <c r="CM505" i="13"/>
  <c r="CM503" i="13"/>
  <c r="CM501" i="13"/>
  <c r="BK500" i="13"/>
  <c r="CU499" i="13"/>
  <c r="BW493" i="13"/>
  <c r="CM491" i="13"/>
  <c r="BK490" i="13"/>
  <c r="CM483" i="13"/>
  <c r="BK482" i="13"/>
  <c r="BK470" i="13"/>
  <c r="BK469" i="13"/>
  <c r="BK465" i="13"/>
  <c r="BK452" i="13"/>
  <c r="BK440" i="13"/>
  <c r="CM432" i="13"/>
  <c r="BK431" i="13"/>
  <c r="CQ430" i="13"/>
  <c r="BW428" i="13"/>
  <c r="BK424" i="13"/>
  <c r="CQ422" i="13"/>
  <c r="A418" i="13"/>
  <c r="AM418" i="13"/>
  <c r="CM418" i="13"/>
  <c r="BK414" i="13"/>
  <c r="BI412" i="13" a="1"/>
  <c r="BI412" i="13" s="1"/>
  <c r="CQ412" i="13"/>
  <c r="A412" i="13"/>
  <c r="AM412" i="13"/>
  <c r="CU412" i="13"/>
  <c r="BW410" i="13"/>
  <c r="CU405" i="13"/>
  <c r="BS405" i="13"/>
  <c r="CM404" i="13"/>
  <c r="BK402" i="13"/>
  <c r="CQ401" i="13"/>
  <c r="BS400" i="13"/>
  <c r="BW395" i="13"/>
  <c r="CM389" i="13"/>
  <c r="BS329" i="13"/>
  <c r="CQ329" i="13"/>
  <c r="CU329" i="13"/>
  <c r="BI329" i="13" a="1"/>
  <c r="BI329" i="13" s="1"/>
  <c r="BN329" i="13"/>
  <c r="CH416" i="13"/>
  <c r="BI416" i="13" a="1"/>
  <c r="BI416" i="13" s="1"/>
  <c r="CM416" i="13"/>
  <c r="AM406" i="13"/>
  <c r="BS406" i="13"/>
  <c r="BW406" i="13"/>
  <c r="CM401" i="13"/>
  <c r="BS333" i="13"/>
  <c r="CU333" i="13"/>
  <c r="BI333" i="13" a="1"/>
  <c r="BI333" i="13" s="1"/>
  <c r="BN333" i="13"/>
  <c r="CM333" i="13"/>
  <c r="BK303" i="13"/>
  <c r="BL303" i="13"/>
  <c r="BT288" i="13"/>
  <c r="BU288" i="13" s="1"/>
  <c r="CM519" i="13"/>
  <c r="BW517" i="13"/>
  <c r="BW511" i="13"/>
  <c r="CA467" i="13"/>
  <c r="CH430" i="13"/>
  <c r="BI430" i="13" a="1"/>
  <c r="BI430" i="13" s="1"/>
  <c r="AM430" i="13"/>
  <c r="BL426" i="13"/>
  <c r="CH422" i="13"/>
  <c r="AM422" i="13"/>
  <c r="CQ416" i="13"/>
  <c r="BI415" i="13" a="1"/>
  <c r="BI415" i="13" s="1"/>
  <c r="BW415" i="13"/>
  <c r="BN414" i="13"/>
  <c r="BS414" i="13"/>
  <c r="CQ406" i="13"/>
  <c r="AM402" i="13"/>
  <c r="BN402" i="13"/>
  <c r="BS402" i="13"/>
  <c r="BW401" i="13"/>
  <c r="CQ397" i="13"/>
  <c r="BL381" i="13"/>
  <c r="BK381" i="13"/>
  <c r="CM325" i="13"/>
  <c r="BK416" i="13"/>
  <c r="BI399" i="13" a="1"/>
  <c r="BI399" i="13" s="1"/>
  <c r="CH392" i="13"/>
  <c r="CQ387" i="13"/>
  <c r="CH384" i="13"/>
  <c r="CM380" i="13"/>
  <c r="CM378" i="13"/>
  <c r="CH376" i="13"/>
  <c r="BI376" i="13" a="1"/>
  <c r="BI376" i="13" s="1"/>
  <c r="BK376" i="13"/>
  <c r="CM374" i="13"/>
  <c r="BK374" i="13"/>
  <c r="CA372" i="13"/>
  <c r="CU371" i="13"/>
  <c r="AM369" i="13"/>
  <c r="A369" i="13"/>
  <c r="BN368" i="13"/>
  <c r="CM366" i="13"/>
  <c r="AM365" i="13"/>
  <c r="A365" i="13"/>
  <c r="CA363" i="13"/>
  <c r="BS362" i="13"/>
  <c r="BN360" i="13"/>
  <c r="CH358" i="13"/>
  <c r="CH356" i="13"/>
  <c r="AM354" i="13"/>
  <c r="CU353" i="13"/>
  <c r="AM344" i="13"/>
  <c r="A344" i="13"/>
  <c r="BI343" i="13" a="1"/>
  <c r="BI343" i="13" s="1"/>
  <c r="BJ343" i="13" s="1"/>
  <c r="CQ341" i="13"/>
  <c r="BK337" i="13"/>
  <c r="BP337" i="13" s="1"/>
  <c r="AM336" i="13"/>
  <c r="A336" i="13"/>
  <c r="CM331" i="13"/>
  <c r="CA323" i="13"/>
  <c r="BN319" i="13"/>
  <c r="CU312" i="13"/>
  <c r="A311" i="13"/>
  <c r="BN309" i="13"/>
  <c r="A305" i="13"/>
  <c r="CM300" i="13"/>
  <c r="AM299" i="13"/>
  <c r="BS299" i="13"/>
  <c r="BW299" i="13"/>
  <c r="CM295" i="13"/>
  <c r="CA290" i="13"/>
  <c r="BK276" i="13"/>
  <c r="BL276" i="13"/>
  <c r="BI257" i="13" a="1"/>
  <c r="BI257" i="13" s="1"/>
  <c r="CQ257" i="13"/>
  <c r="CU257" i="13"/>
  <c r="A257" i="13"/>
  <c r="AM257" i="13"/>
  <c r="BN257" i="13"/>
  <c r="BS257" i="13"/>
  <c r="BW257" i="13"/>
  <c r="CA257" i="13"/>
  <c r="CH257" i="13"/>
  <c r="BK412" i="13"/>
  <c r="BL400" i="13"/>
  <c r="CQ399" i="13"/>
  <c r="CM398" i="13"/>
  <c r="CM387" i="13"/>
  <c r="AM387" i="13"/>
  <c r="A387" i="13"/>
  <c r="BK386" i="13"/>
  <c r="CA384" i="13"/>
  <c r="BI384" i="13" a="1"/>
  <c r="BI384" i="13" s="1"/>
  <c r="BJ384" i="13" s="1"/>
  <c r="AM384" i="13"/>
  <c r="A384" i="13"/>
  <c r="CH380" i="13"/>
  <c r="AM380" i="13"/>
  <c r="A380" i="13"/>
  <c r="CH378" i="13"/>
  <c r="CH374" i="13"/>
  <c r="CU368" i="13"/>
  <c r="CH366" i="13"/>
  <c r="BI366" i="13" a="1"/>
  <c r="BI366" i="13" s="1"/>
  <c r="BJ366" i="13" s="1"/>
  <c r="CU360" i="13"/>
  <c r="CA358" i="13"/>
  <c r="BI358" i="13" a="1"/>
  <c r="BI358" i="13" s="1"/>
  <c r="BJ358" i="13" s="1"/>
  <c r="CA356" i="13"/>
  <c r="BK354" i="13"/>
  <c r="CQ353" i="13"/>
  <c r="BI353" i="13" a="1"/>
  <c r="BI353" i="13" s="1"/>
  <c r="BJ353" i="13" s="1"/>
  <c r="AM352" i="13"/>
  <c r="A352" i="13"/>
  <c r="BI351" i="13" a="1"/>
  <c r="BI351" i="13" s="1"/>
  <c r="BJ351" i="13" s="1"/>
  <c r="BP351" i="13" s="1"/>
  <c r="BQ351" i="13" s="1"/>
  <c r="AM350" i="13"/>
  <c r="A350" i="13"/>
  <c r="BI349" i="13" a="1"/>
  <c r="BI349" i="13" s="1"/>
  <c r="BJ349" i="13" s="1"/>
  <c r="BP349" i="13" s="1"/>
  <c r="BQ349" i="13" s="1"/>
  <c r="AM348" i="13"/>
  <c r="A348" i="13"/>
  <c r="BI347" i="13" a="1"/>
  <c r="BI347" i="13" s="1"/>
  <c r="BJ347" i="13" s="1"/>
  <c r="BP347" i="13" s="1"/>
  <c r="BQ347" i="13" s="1"/>
  <c r="AM346" i="13"/>
  <c r="A346" i="13"/>
  <c r="BI345" i="13" a="1"/>
  <c r="BI345" i="13" s="1"/>
  <c r="BJ345" i="13" s="1"/>
  <c r="BP345" i="13" s="1"/>
  <c r="BQ345" i="13" s="1"/>
  <c r="BK344" i="13"/>
  <c r="CU343" i="13"/>
  <c r="BK336" i="13"/>
  <c r="BK334" i="13"/>
  <c r="BN331" i="13"/>
  <c r="BW323" i="13"/>
  <c r="A319" i="13"/>
  <c r="BW315" i="13"/>
  <c r="BI314" i="13" a="1"/>
  <c r="BI314" i="13" s="1"/>
  <c r="CQ312" i="13"/>
  <c r="CU304" i="13"/>
  <c r="AM301" i="13"/>
  <c r="A301" i="13"/>
  <c r="BK298" i="13"/>
  <c r="BW295" i="13"/>
  <c r="BW290" i="13"/>
  <c r="BL271" i="13"/>
  <c r="BK271" i="13"/>
  <c r="A160" i="13"/>
  <c r="AM160" i="13"/>
  <c r="BI160" i="13" a="1"/>
  <c r="BI160" i="13" s="1"/>
  <c r="CH160" i="13"/>
  <c r="CM160" i="13"/>
  <c r="CQ160" i="13"/>
  <c r="BN160" i="13"/>
  <c r="BS160" i="13"/>
  <c r="BW160" i="13"/>
  <c r="CA160" i="13"/>
  <c r="CU160" i="13"/>
  <c r="BK387" i="13"/>
  <c r="BK384" i="13"/>
  <c r="CU383" i="13"/>
  <c r="CV383" i="13" s="1"/>
  <c r="CW383" i="13" s="1"/>
  <c r="BK383" i="13"/>
  <c r="CA380" i="13"/>
  <c r="BK380" i="13"/>
  <c r="CA378" i="13"/>
  <c r="BI378" i="13" a="1"/>
  <c r="BI378" i="13" s="1"/>
  <c r="BJ378" i="13" s="1"/>
  <c r="AM378" i="13"/>
  <c r="A378" i="13"/>
  <c r="CQ368" i="13"/>
  <c r="CA366" i="13"/>
  <c r="AM366" i="13"/>
  <c r="A366" i="13"/>
  <c r="CQ360" i="13"/>
  <c r="BW358" i="13"/>
  <c r="AM358" i="13"/>
  <c r="A358" i="13"/>
  <c r="BK355" i="13"/>
  <c r="CU354" i="13"/>
  <c r="CM353" i="13"/>
  <c r="CM352" i="13"/>
  <c r="BK352" i="13"/>
  <c r="CU351" i="13"/>
  <c r="CM350" i="13"/>
  <c r="BK350" i="13"/>
  <c r="CU349" i="13"/>
  <c r="CM348" i="13"/>
  <c r="BK348" i="13"/>
  <c r="CU347" i="13"/>
  <c r="CM346" i="13"/>
  <c r="BK346" i="13"/>
  <c r="CU345" i="13"/>
  <c r="CM344" i="13"/>
  <c r="BK339" i="13"/>
  <c r="BP339" i="13" s="1"/>
  <c r="AM338" i="13"/>
  <c r="A338" i="13"/>
  <c r="BK329" i="13"/>
  <c r="BK327" i="13"/>
  <c r="BK325" i="13"/>
  <c r="BS323" i="13"/>
  <c r="CQ318" i="13"/>
  <c r="BK311" i="13"/>
  <c r="A309" i="13"/>
  <c r="BK302" i="13"/>
  <c r="BI300" i="13" a="1"/>
  <c r="BI300" i="13" s="1"/>
  <c r="BW292" i="13"/>
  <c r="A292" i="13"/>
  <c r="AM292" i="13"/>
  <c r="CA292" i="13"/>
  <c r="BI292" i="13" a="1"/>
  <c r="BI292" i="13" s="1"/>
  <c r="BJ292" i="13" s="1"/>
  <c r="CH292" i="13"/>
  <c r="CM292" i="13"/>
  <c r="BI258" i="13" a="1"/>
  <c r="BI258" i="13" s="1"/>
  <c r="CH258" i="13"/>
  <c r="CM258" i="13"/>
  <c r="A258" i="13"/>
  <c r="AM258" i="13"/>
  <c r="CQ258" i="13"/>
  <c r="CU258" i="13"/>
  <c r="BN258" i="13"/>
  <c r="BS258" i="13"/>
  <c r="BW258" i="13"/>
  <c r="BK320" i="13"/>
  <c r="BP320" i="13" s="1"/>
  <c r="AM305" i="13"/>
  <c r="BN305" i="13"/>
  <c r="BS305" i="13"/>
  <c r="BS298" i="13"/>
  <c r="BI298" i="13" a="1"/>
  <c r="BI298" i="13" s="1"/>
  <c r="BK278" i="13"/>
  <c r="BL278" i="13"/>
  <c r="BK267" i="13"/>
  <c r="CM267" i="13"/>
  <c r="CU267" i="13"/>
  <c r="BW228" i="13"/>
  <c r="CA228" i="13"/>
  <c r="A228" i="13"/>
  <c r="AM228" i="13"/>
  <c r="CH228" i="13"/>
  <c r="BI228" i="13" a="1"/>
  <c r="BI228" i="13" s="1"/>
  <c r="CM228" i="13"/>
  <c r="CQ228" i="13"/>
  <c r="CU228" i="13"/>
  <c r="BN228" i="13"/>
  <c r="BK395" i="13"/>
  <c r="BP395" i="13" s="1"/>
  <c r="BK389" i="13"/>
  <c r="CV386" i="13"/>
  <c r="CW386" i="13" s="1"/>
  <c r="CY386" i="13" s="1" a="1"/>
  <c r="CY386" i="13" s="1"/>
  <c r="CM383" i="13"/>
  <c r="CH368" i="13"/>
  <c r="CM365" i="13"/>
  <c r="CH360" i="13"/>
  <c r="BW354" i="13"/>
  <c r="BP341" i="13"/>
  <c r="CA336" i="13"/>
  <c r="BK331" i="13"/>
  <c r="BW311" i="13"/>
  <c r="AM307" i="13"/>
  <c r="A307" i="13"/>
  <c r="BS302" i="13"/>
  <c r="CM302" i="13"/>
  <c r="CQ302" i="13"/>
  <c r="BK290" i="13"/>
  <c r="BK249" i="13"/>
  <c r="BT249" i="13" s="1"/>
  <c r="BU249" i="13" s="1"/>
  <c r="BL249" i="13"/>
  <c r="CJ249" i="13" s="1"/>
  <c r="CA368" i="13"/>
  <c r="CH365" i="13"/>
  <c r="CA360" i="13"/>
  <c r="BS354" i="13"/>
  <c r="BK333" i="13"/>
  <c r="BK323" i="13"/>
  <c r="CU316" i="13"/>
  <c r="BS311" i="13"/>
  <c r="BW307" i="13"/>
  <c r="CM305" i="13"/>
  <c r="CQ277" i="13"/>
  <c r="BI277" i="13" a="1"/>
  <c r="BI277" i="13" s="1"/>
  <c r="BJ277" i="13" s="1"/>
  <c r="BW277" i="13"/>
  <c r="CA277" i="13"/>
  <c r="CQ248" i="13"/>
  <c r="A248" i="13"/>
  <c r="AM248" i="13"/>
  <c r="BI248" i="13" a="1"/>
  <c r="BI248" i="13" s="1"/>
  <c r="BW248" i="13"/>
  <c r="CA248" i="13"/>
  <c r="CH248" i="13"/>
  <c r="CU369" i="13"/>
  <c r="BN354" i="13"/>
  <c r="BK353" i="13"/>
  <c r="BP343" i="13"/>
  <c r="CA338" i="13"/>
  <c r="CQ316" i="13"/>
  <c r="CQ314" i="13"/>
  <c r="BN311" i="13"/>
  <c r="BW309" i="13"/>
  <c r="BW305" i="13"/>
  <c r="BS304" i="13"/>
  <c r="BI304" i="13" a="1"/>
  <c r="BI304" i="13" s="1"/>
  <c r="CU300" i="13"/>
  <c r="CU298" i="13"/>
  <c r="AM295" i="13"/>
  <c r="A295" i="13"/>
  <c r="BN295" i="13"/>
  <c r="A290" i="13"/>
  <c r="AM290" i="13"/>
  <c r="CH290" i="13"/>
  <c r="CM290" i="13"/>
  <c r="CQ290" i="13"/>
  <c r="CU290" i="13"/>
  <c r="BK300" i="13"/>
  <c r="BW291" i="13"/>
  <c r="BK291" i="13"/>
  <c r="CA289" i="13"/>
  <c r="BK289" i="13"/>
  <c r="CM286" i="13"/>
  <c r="AM286" i="13"/>
  <c r="A286" i="13"/>
  <c r="CQ284" i="13"/>
  <c r="CU283" i="13"/>
  <c r="BN282" i="13"/>
  <c r="CQ280" i="13"/>
  <c r="BW279" i="13"/>
  <c r="CA276" i="13"/>
  <c r="CM274" i="13"/>
  <c r="AM274" i="13"/>
  <c r="A274" i="13"/>
  <c r="BN272" i="13"/>
  <c r="CM270" i="13"/>
  <c r="AM270" i="13"/>
  <c r="A270" i="13"/>
  <c r="CU268" i="13"/>
  <c r="CA266" i="13"/>
  <c r="AM266" i="13"/>
  <c r="A266" i="13"/>
  <c r="CU264" i="13"/>
  <c r="CM262" i="13"/>
  <c r="CA259" i="13"/>
  <c r="CQ255" i="13"/>
  <c r="AM255" i="13"/>
  <c r="A255" i="13"/>
  <c r="BW253" i="13"/>
  <c r="CA250" i="13"/>
  <c r="CH247" i="13"/>
  <c r="BI247" i="13" a="1"/>
  <c r="BI247" i="13" s="1"/>
  <c r="BJ247" i="13" s="1"/>
  <c r="AM247" i="13"/>
  <c r="A247" i="13"/>
  <c r="BI246" i="13" a="1"/>
  <c r="BI246" i="13" s="1"/>
  <c r="AM246" i="13"/>
  <c r="CU245" i="13"/>
  <c r="CA244" i="13"/>
  <c r="CH241" i="13"/>
  <c r="CH237" i="13"/>
  <c r="CM234" i="13"/>
  <c r="BI234" i="13" a="1"/>
  <c r="BI234" i="13" s="1"/>
  <c r="BK233" i="13"/>
  <c r="CU232" i="13"/>
  <c r="CU230" i="13"/>
  <c r="BK227" i="13"/>
  <c r="BL227" i="13"/>
  <c r="BW224" i="13"/>
  <c r="BN222" i="13"/>
  <c r="BN220" i="13"/>
  <c r="BS218" i="13"/>
  <c r="CM218" i="13"/>
  <c r="BK213" i="13"/>
  <c r="BL213" i="13"/>
  <c r="BK209" i="13"/>
  <c r="CM203" i="13"/>
  <c r="BW293" i="13"/>
  <c r="CH286" i="13"/>
  <c r="BK286" i="13"/>
  <c r="CM284" i="13"/>
  <c r="CQ283" i="13"/>
  <c r="AM283" i="13"/>
  <c r="CU282" i="13"/>
  <c r="AM282" i="13"/>
  <c r="A282" i="13"/>
  <c r="CM280" i="13"/>
  <c r="CH274" i="13"/>
  <c r="BK274" i="13"/>
  <c r="CU272" i="13"/>
  <c r="CH270" i="13"/>
  <c r="CQ268" i="13"/>
  <c r="AM268" i="13"/>
  <c r="A268" i="13"/>
  <c r="BW266" i="13"/>
  <c r="CQ264" i="13"/>
  <c r="AM264" i="13"/>
  <c r="A264" i="13"/>
  <c r="CH262" i="13"/>
  <c r="BI262" i="13" a="1"/>
  <c r="BI262" i="13" s="1"/>
  <c r="BJ262" i="13" s="1"/>
  <c r="CM255" i="13"/>
  <c r="CU254" i="13"/>
  <c r="BK254" i="13"/>
  <c r="BS253" i="13"/>
  <c r="CV249" i="13"/>
  <c r="CW249" i="13" s="1"/>
  <c r="CA247" i="13"/>
  <c r="BK247" i="13"/>
  <c r="CU246" i="13"/>
  <c r="CQ245" i="13"/>
  <c r="BS243" i="13"/>
  <c r="CH242" i="13"/>
  <c r="CA241" i="13"/>
  <c r="AM241" i="13"/>
  <c r="A241" i="13"/>
  <c r="BI240" i="13" a="1"/>
  <c r="BI240" i="13" s="1"/>
  <c r="AM240" i="13"/>
  <c r="CH238" i="13"/>
  <c r="CA237" i="13"/>
  <c r="CQ232" i="13"/>
  <c r="BK231" i="13"/>
  <c r="CQ230" i="13"/>
  <c r="AM230" i="13"/>
  <c r="A230" i="13"/>
  <c r="BS224" i="13"/>
  <c r="AM222" i="13"/>
  <c r="A222" i="13"/>
  <c r="AM220" i="13"/>
  <c r="A220" i="13"/>
  <c r="BS219" i="13"/>
  <c r="CU219" i="13"/>
  <c r="CA218" i="13"/>
  <c r="BS212" i="13"/>
  <c r="A212" i="13"/>
  <c r="AM212" i="13"/>
  <c r="CM212" i="13"/>
  <c r="BL204" i="13"/>
  <c r="BK204" i="13"/>
  <c r="BK198" i="13"/>
  <c r="BL133" i="13"/>
  <c r="CA286" i="13"/>
  <c r="CM283" i="13"/>
  <c r="CQ282" i="13"/>
  <c r="CH280" i="13"/>
  <c r="AM280" i="13"/>
  <c r="A280" i="13"/>
  <c r="AM279" i="13"/>
  <c r="CA274" i="13"/>
  <c r="CQ272" i="13"/>
  <c r="AM272" i="13"/>
  <c r="A272" i="13"/>
  <c r="CM268" i="13"/>
  <c r="CM264" i="13"/>
  <c r="CA262" i="13"/>
  <c r="AM262" i="13"/>
  <c r="A262" i="13"/>
  <c r="CH255" i="13"/>
  <c r="CQ254" i="13"/>
  <c r="BI254" i="13" a="1"/>
  <c r="BI254" i="13" s="1"/>
  <c r="BN253" i="13"/>
  <c r="CQ246" i="13"/>
  <c r="CM245" i="13"/>
  <c r="BI241" i="13" a="1"/>
  <c r="BI241" i="13" s="1"/>
  <c r="BJ241" i="13" s="1"/>
  <c r="BK241" i="13"/>
  <c r="CU240" i="13"/>
  <c r="BK240" i="13"/>
  <c r="BL239" i="13"/>
  <c r="BI237" i="13" a="1"/>
  <c r="BI237" i="13" s="1"/>
  <c r="BJ237" i="13" s="1"/>
  <c r="AM237" i="13"/>
  <c r="A237" i="13"/>
  <c r="CM232" i="13"/>
  <c r="BI232" i="13" a="1"/>
  <c r="BI232" i="13" s="1"/>
  <c r="CM230" i="13"/>
  <c r="BI230" i="13" a="1"/>
  <c r="BI230" i="13" s="1"/>
  <c r="CU229" i="13"/>
  <c r="BW227" i="13"/>
  <c r="CU227" i="13"/>
  <c r="BI222" i="13" a="1"/>
  <c r="BI222" i="13" s="1"/>
  <c r="AM215" i="13"/>
  <c r="BI215" i="13" a="1"/>
  <c r="BI215" i="13" s="1"/>
  <c r="CM215" i="13"/>
  <c r="AM209" i="13"/>
  <c r="CM209" i="13"/>
  <c r="CU209" i="13"/>
  <c r="A209" i="13"/>
  <c r="BI209" i="13" a="1"/>
  <c r="BI209" i="13" s="1"/>
  <c r="BK199" i="13"/>
  <c r="BL199" i="13"/>
  <c r="CH164" i="13"/>
  <c r="CJ164" i="13" s="1"/>
  <c r="CK164" i="13" s="1"/>
  <c r="CM164" i="13"/>
  <c r="BW164" i="13"/>
  <c r="BI164" i="13" a="1"/>
  <c r="BI164" i="13" s="1"/>
  <c r="BJ164" i="13" s="1"/>
  <c r="CA164" i="13"/>
  <c r="A164" i="13"/>
  <c r="AM164" i="13"/>
  <c r="CQ164" i="13"/>
  <c r="CU164" i="13"/>
  <c r="BN164" i="13"/>
  <c r="BK292" i="13"/>
  <c r="CR292" i="13" s="1"/>
  <c r="CS292" i="13" s="1"/>
  <c r="CH283" i="13"/>
  <c r="CM282" i="13"/>
  <c r="CA280" i="13"/>
  <c r="BK280" i="13"/>
  <c r="CM272" i="13"/>
  <c r="BK272" i="13"/>
  <c r="CH268" i="13"/>
  <c r="CH264" i="13"/>
  <c r="BK259" i="13"/>
  <c r="AM259" i="13"/>
  <c r="CM254" i="13"/>
  <c r="AM254" i="13"/>
  <c r="CU253" i="13"/>
  <c r="AM253" i="13"/>
  <c r="A253" i="13"/>
  <c r="CH245" i="13"/>
  <c r="BI245" i="13" a="1"/>
  <c r="BI245" i="13" s="1"/>
  <c r="BJ245" i="13" s="1"/>
  <c r="AM245" i="13"/>
  <c r="A245" i="13"/>
  <c r="BI244" i="13" a="1"/>
  <c r="BI244" i="13" s="1"/>
  <c r="AM244" i="13"/>
  <c r="BW241" i="13"/>
  <c r="BX241" i="13" s="1"/>
  <c r="CQ240" i="13"/>
  <c r="BW237" i="13"/>
  <c r="BX237" i="13" s="1"/>
  <c r="BK237" i="13"/>
  <c r="CH232" i="13"/>
  <c r="AM232" i="13"/>
  <c r="CH230" i="13"/>
  <c r="BL216" i="13"/>
  <c r="CQ204" i="13"/>
  <c r="CA204" i="13"/>
  <c r="CQ198" i="13"/>
  <c r="BI198" i="13" a="1"/>
  <c r="BI198" i="13" s="1"/>
  <c r="AM198" i="13"/>
  <c r="CA198" i="13"/>
  <c r="CH198" i="13"/>
  <c r="BS137" i="13"/>
  <c r="BW137" i="13"/>
  <c r="CM137" i="13"/>
  <c r="CQ253" i="13"/>
  <c r="BK253" i="13"/>
  <c r="CA245" i="13"/>
  <c r="BK245" i="13"/>
  <c r="CU244" i="13"/>
  <c r="BL243" i="13"/>
  <c r="BT241" i="13"/>
  <c r="BT237" i="13"/>
  <c r="CM222" i="13"/>
  <c r="BS222" i="13"/>
  <c r="BS220" i="13"/>
  <c r="BI220" i="13" a="1"/>
  <c r="BI220" i="13" s="1"/>
  <c r="CM220" i="13"/>
  <c r="BI203" i="13" a="1"/>
  <c r="BI203" i="13" s="1"/>
  <c r="BJ203" i="13" s="1"/>
  <c r="BN203" i="13"/>
  <c r="BS203" i="13"/>
  <c r="CH203" i="13"/>
  <c r="AM203" i="13"/>
  <c r="CU203" i="13"/>
  <c r="BK191" i="13"/>
  <c r="BX191" i="13" s="1"/>
  <c r="BY191" i="13" s="1"/>
  <c r="BL191" i="13"/>
  <c r="BT146" i="13"/>
  <c r="BU146" i="13" s="1"/>
  <c r="BW268" i="13"/>
  <c r="BW264" i="13"/>
  <c r="BK257" i="13"/>
  <c r="CM253" i="13"/>
  <c r="CQ244" i="13"/>
  <c r="CU241" i="13"/>
  <c r="CV237" i="13"/>
  <c r="BW230" i="13"/>
  <c r="CH222" i="13"/>
  <c r="CH220" i="13"/>
  <c r="BK183" i="13"/>
  <c r="BX239" i="13"/>
  <c r="BN224" i="13"/>
  <c r="A224" i="13"/>
  <c r="AM224" i="13"/>
  <c r="CH224" i="13"/>
  <c r="CA222" i="13"/>
  <c r="CA220" i="13"/>
  <c r="BK218" i="13"/>
  <c r="BL218" i="13"/>
  <c r="BK220" i="13"/>
  <c r="BI211" i="13" a="1"/>
  <c r="BI211" i="13" s="1"/>
  <c r="BJ211" i="13" s="1"/>
  <c r="BI200" i="13" a="1"/>
  <c r="BI200" i="13" s="1"/>
  <c r="CM196" i="13"/>
  <c r="AM196" i="13"/>
  <c r="BI196" i="13" a="1"/>
  <c r="BI196" i="13" s="1"/>
  <c r="AM194" i="13"/>
  <c r="CM194" i="13"/>
  <c r="BW192" i="13"/>
  <c r="CA190" i="13"/>
  <c r="BN189" i="13"/>
  <c r="BI188" i="13" a="1"/>
  <c r="BI188" i="13" s="1"/>
  <c r="AM186" i="13"/>
  <c r="CH183" i="13"/>
  <c r="CU181" i="13"/>
  <c r="BN181" i="13"/>
  <c r="AM179" i="13"/>
  <c r="CH179" i="13"/>
  <c r="AM177" i="13"/>
  <c r="BS175" i="13"/>
  <c r="BK175" i="13"/>
  <c r="CM173" i="13"/>
  <c r="BN171" i="13"/>
  <c r="BS169" i="13"/>
  <c r="CA162" i="13"/>
  <c r="BS156" i="13"/>
  <c r="BL148" i="13"/>
  <c r="BL146" i="13"/>
  <c r="CN146" i="13" s="1"/>
  <c r="CO146" i="13" s="1"/>
  <c r="BL145" i="13"/>
  <c r="CH143" i="13"/>
  <c r="BK142" i="13"/>
  <c r="BL142" i="13"/>
  <c r="CM141" i="13"/>
  <c r="BI141" i="13" a="1"/>
  <c r="BI141" i="13" s="1"/>
  <c r="BN135" i="13"/>
  <c r="BS135" i="13"/>
  <c r="CM132" i="13"/>
  <c r="CU199" i="13"/>
  <c r="BN199" i="13"/>
  <c r="BI191" i="13" a="1"/>
  <c r="BI191" i="13" s="1"/>
  <c r="BJ191" i="13" s="1"/>
  <c r="CA191" i="13"/>
  <c r="BN163" i="13"/>
  <c r="BI163" i="13" a="1"/>
  <c r="BI163" i="13" s="1"/>
  <c r="BJ163" i="13" s="1"/>
  <c r="BW151" i="13"/>
  <c r="CA151" i="13"/>
  <c r="A151" i="13"/>
  <c r="AM151" i="13"/>
  <c r="CH151" i="13"/>
  <c r="CU144" i="13"/>
  <c r="BW133" i="13"/>
  <c r="A133" i="13"/>
  <c r="BN133" i="13"/>
  <c r="BS133" i="13"/>
  <c r="CH132" i="13"/>
  <c r="BK128" i="13"/>
  <c r="BS207" i="13"/>
  <c r="A207" i="13"/>
  <c r="BS199" i="13"/>
  <c r="AM192" i="13"/>
  <c r="CU191" i="13"/>
  <c r="CU188" i="13"/>
  <c r="CU186" i="13"/>
  <c r="BW183" i="13"/>
  <c r="AM167" i="13"/>
  <c r="BS151" i="13"/>
  <c r="BW147" i="13"/>
  <c r="CA147" i="13"/>
  <c r="A147" i="13"/>
  <c r="AM147" i="13"/>
  <c r="CH147" i="13"/>
  <c r="AM142" i="13"/>
  <c r="A142" i="13"/>
  <c r="CQ142" i="13"/>
  <c r="CU142" i="13"/>
  <c r="BN142" i="13"/>
  <c r="CA141" i="13"/>
  <c r="BK140" i="13"/>
  <c r="BL140" i="13"/>
  <c r="BK139" i="13"/>
  <c r="AM132" i="13"/>
  <c r="BS177" i="13"/>
  <c r="BK177" i="13"/>
  <c r="A144" i="13"/>
  <c r="AM144" i="13"/>
  <c r="BW144" i="13"/>
  <c r="CA144" i="13"/>
  <c r="BI144" i="13" a="1"/>
  <c r="BI144" i="13" s="1"/>
  <c r="BJ144" i="13" s="1"/>
  <c r="CH144" i="13"/>
  <c r="CU128" i="13"/>
  <c r="BW128" i="13"/>
  <c r="A128" i="13"/>
  <c r="AM128" i="13"/>
  <c r="BI128" i="13" a="1"/>
  <c r="BI128" i="13" s="1"/>
  <c r="CH128" i="13"/>
  <c r="CM128" i="13"/>
  <c r="CQ128" i="13"/>
  <c r="BW221" i="13"/>
  <c r="BW211" i="13"/>
  <c r="CH201" i="13"/>
  <c r="CH200" i="13"/>
  <c r="CQ191" i="13"/>
  <c r="CH188" i="13"/>
  <c r="BI187" i="13" a="1"/>
  <c r="BI187" i="13" s="1"/>
  <c r="CU187" i="13"/>
  <c r="BN183" i="13"/>
  <c r="CM177" i="13"/>
  <c r="BK171" i="13"/>
  <c r="CU170" i="13"/>
  <c r="BK169" i="13"/>
  <c r="BK162" i="13"/>
  <c r="BL162" i="13"/>
  <c r="CU158" i="13"/>
  <c r="BN158" i="13"/>
  <c r="BS158" i="13"/>
  <c r="BL156" i="13"/>
  <c r="BK156" i="13"/>
  <c r="BN147" i="13"/>
  <c r="BS144" i="13"/>
  <c r="CH142" i="13"/>
  <c r="CU195" i="13"/>
  <c r="AM195" i="13"/>
  <c r="CM195" i="13"/>
  <c r="CH193" i="13"/>
  <c r="CM191" i="13"/>
  <c r="BI189" i="13" a="1"/>
  <c r="BI189" i="13" s="1"/>
  <c r="A189" i="13"/>
  <c r="AM189" i="13"/>
  <c r="CH189" i="13"/>
  <c r="CA177" i="13"/>
  <c r="BW167" i="13"/>
  <c r="BN167" i="13"/>
  <c r="BK164" i="13"/>
  <c r="BL164" i="13"/>
  <c r="CU163" i="13"/>
  <c r="BI151" i="13" a="1"/>
  <c r="BI151" i="13" s="1"/>
  <c r="BJ151" i="13" s="1"/>
  <c r="BN144" i="13"/>
  <c r="A139" i="13"/>
  <c r="CU139" i="13"/>
  <c r="BI132" i="13" a="1"/>
  <c r="BI132" i="13" s="1"/>
  <c r="CA132" i="13"/>
  <c r="BN132" i="13"/>
  <c r="BS132" i="13"/>
  <c r="BW132" i="13"/>
  <c r="CJ205" i="13"/>
  <c r="AM199" i="13"/>
  <c r="CU197" i="13"/>
  <c r="BN197" i="13"/>
  <c r="CA195" i="13"/>
  <c r="CA193" i="13"/>
  <c r="CH191" i="13"/>
  <c r="AM191" i="13"/>
  <c r="BW189" i="13"/>
  <c r="AM183" i="13"/>
  <c r="A183" i="13"/>
  <c r="BN177" i="13"/>
  <c r="CM174" i="13"/>
  <c r="BS173" i="13"/>
  <c r="A173" i="13"/>
  <c r="AM173" i="13"/>
  <c r="CA167" i="13"/>
  <c r="CA163" i="13"/>
  <c r="A162" i="13"/>
  <c r="AM162" i="13"/>
  <c r="CM162" i="13"/>
  <c r="CQ162" i="13"/>
  <c r="BN156" i="13"/>
  <c r="CM156" i="13"/>
  <c r="CQ156" i="13"/>
  <c r="CU156" i="13"/>
  <c r="BI143" i="13" a="1"/>
  <c r="BI143" i="13" s="1"/>
  <c r="AM143" i="13"/>
  <c r="AM141" i="13"/>
  <c r="A141" i="13"/>
  <c r="CU132" i="13"/>
  <c r="BS128" i="13"/>
  <c r="AM124" i="13"/>
  <c r="BK163" i="13"/>
  <c r="CA165" i="13"/>
  <c r="BS152" i="13"/>
  <c r="BW150" i="13"/>
  <c r="CA148" i="13"/>
  <c r="CQ146" i="13"/>
  <c r="BW145" i="13"/>
  <c r="CM136" i="13"/>
  <c r="BN122" i="13"/>
  <c r="BN130" i="13"/>
  <c r="BK123" i="13"/>
  <c r="CM130" i="13"/>
  <c r="AM130" i="13"/>
  <c r="BJ976" i="13"/>
  <c r="BJ982" i="13"/>
  <c r="BJ964" i="13"/>
  <c r="BJ981" i="13"/>
  <c r="BJ980" i="13"/>
  <c r="BJ974" i="13"/>
  <c r="BX974" i="13" s="1"/>
  <c r="BY974" i="13" s="1"/>
  <c r="BJ962" i="13"/>
  <c r="BJ956" i="13"/>
  <c r="BJ986" i="13"/>
  <c r="BJ972" i="13"/>
  <c r="BW1021" i="13"/>
  <c r="A1021" i="13"/>
  <c r="BW1019" i="13"/>
  <c r="A1019" i="13"/>
  <c r="BW1017" i="13"/>
  <c r="A1017" i="13"/>
  <c r="BW1015" i="13"/>
  <c r="A1015" i="13"/>
  <c r="CU1014" i="13"/>
  <c r="BW1013" i="13"/>
  <c r="A1013" i="13"/>
  <c r="CU1012" i="13"/>
  <c r="BW1011" i="13"/>
  <c r="A1011" i="13"/>
  <c r="CU1010" i="13"/>
  <c r="BW1009" i="13"/>
  <c r="A1009" i="13"/>
  <c r="CU1008" i="13"/>
  <c r="BW1007" i="13"/>
  <c r="A1007" i="13"/>
  <c r="CU1006" i="13"/>
  <c r="BW1005" i="13"/>
  <c r="A1005" i="13"/>
  <c r="CU1004" i="13"/>
  <c r="BW1003" i="13"/>
  <c r="A1003" i="13"/>
  <c r="CU1002" i="13"/>
  <c r="BW1001" i="13"/>
  <c r="A1001" i="13"/>
  <c r="CU1000" i="13"/>
  <c r="BW999" i="13"/>
  <c r="A999" i="13"/>
  <c r="CU998" i="13"/>
  <c r="BW997" i="13"/>
  <c r="A997" i="13"/>
  <c r="CU996" i="13"/>
  <c r="BW995" i="13"/>
  <c r="A995" i="13"/>
  <c r="CU994" i="13"/>
  <c r="BW993" i="13"/>
  <c r="A993" i="13"/>
  <c r="CU992" i="13"/>
  <c r="BW991" i="13"/>
  <c r="A991" i="13"/>
  <c r="CU990" i="13"/>
  <c r="BW989" i="13"/>
  <c r="AM989" i="13"/>
  <c r="BK987" i="13"/>
  <c r="BL987" i="13"/>
  <c r="BJ977" i="13"/>
  <c r="BK971" i="13"/>
  <c r="BL971" i="13"/>
  <c r="CB962" i="13"/>
  <c r="CC962" i="13" s="1"/>
  <c r="BL962" i="13"/>
  <c r="BK962" i="13"/>
  <c r="CQ1021" i="13"/>
  <c r="BI1021" i="13" a="1"/>
  <c r="BI1021" i="13" s="1"/>
  <c r="BS1020" i="13"/>
  <c r="BL1020" i="13"/>
  <c r="CQ1019" i="13"/>
  <c r="BI1019" i="13" a="1"/>
  <c r="BI1019" i="13" s="1"/>
  <c r="BS1018" i="13"/>
  <c r="BL1018" i="13"/>
  <c r="CQ1017" i="13"/>
  <c r="BI1017" i="13" a="1"/>
  <c r="BI1017" i="13" s="1"/>
  <c r="BS1016" i="13"/>
  <c r="CQ1015" i="13"/>
  <c r="BI1015" i="13" a="1"/>
  <c r="BI1015" i="13" s="1"/>
  <c r="BS1014" i="13"/>
  <c r="CQ1013" i="13"/>
  <c r="BI1013" i="13" a="1"/>
  <c r="BI1013" i="13" s="1"/>
  <c r="BS1012" i="13"/>
  <c r="CQ1011" i="13"/>
  <c r="BI1011" i="13" a="1"/>
  <c r="BI1011" i="13" s="1"/>
  <c r="BS1010" i="13"/>
  <c r="CQ1009" i="13"/>
  <c r="BI1009" i="13" a="1"/>
  <c r="BI1009" i="13" s="1"/>
  <c r="BS1008" i="13"/>
  <c r="CQ1007" i="13"/>
  <c r="BI1007" i="13" a="1"/>
  <c r="BI1007" i="13" s="1"/>
  <c r="BS1006" i="13"/>
  <c r="CQ1005" i="13"/>
  <c r="BI1005" i="13" a="1"/>
  <c r="BI1005" i="13" s="1"/>
  <c r="BS1004" i="13"/>
  <c r="CQ1003" i="13"/>
  <c r="BI1003" i="13" a="1"/>
  <c r="BI1003" i="13" s="1"/>
  <c r="BS1002" i="13"/>
  <c r="CQ1001" i="13"/>
  <c r="BI1001" i="13" a="1"/>
  <c r="BI1001" i="13" s="1"/>
  <c r="BS1000" i="13"/>
  <c r="CQ999" i="13"/>
  <c r="BI999" i="13" a="1"/>
  <c r="BI999" i="13" s="1"/>
  <c r="BS998" i="13"/>
  <c r="CQ997" i="13"/>
  <c r="BI997" i="13" a="1"/>
  <c r="BI997" i="13" s="1"/>
  <c r="BS996" i="13"/>
  <c r="CQ995" i="13"/>
  <c r="BI995" i="13" a="1"/>
  <c r="BI995" i="13" s="1"/>
  <c r="BS994" i="13"/>
  <c r="CQ993" i="13"/>
  <c r="BI993" i="13" a="1"/>
  <c r="BI993" i="13" s="1"/>
  <c r="BS992" i="13"/>
  <c r="CQ991" i="13"/>
  <c r="BI991" i="13" a="1"/>
  <c r="BI991" i="13" s="1"/>
  <c r="BS990" i="13"/>
  <c r="BL982" i="13"/>
  <c r="BK982" i="13"/>
  <c r="CB982" i="13" s="1"/>
  <c r="CC982" i="13" s="1"/>
  <c r="BK981" i="13"/>
  <c r="BL981" i="13"/>
  <c r="BL978" i="13"/>
  <c r="BK978" i="13"/>
  <c r="BK973" i="13"/>
  <c r="BL973" i="13"/>
  <c r="BJ966" i="13"/>
  <c r="BL964" i="13"/>
  <c r="BK964" i="13"/>
  <c r="BJ959" i="13"/>
  <c r="BJ957" i="13"/>
  <c r="BN1021" i="13"/>
  <c r="BN1019" i="13"/>
  <c r="BN1017" i="13"/>
  <c r="BN1015" i="13"/>
  <c r="BN1013" i="13"/>
  <c r="BN1011" i="13"/>
  <c r="BN1009" i="13"/>
  <c r="BN1007" i="13"/>
  <c r="BN1005" i="13"/>
  <c r="BN1003" i="13"/>
  <c r="BN1001" i="13"/>
  <c r="BN999" i="13"/>
  <c r="BN997" i="13"/>
  <c r="BN995" i="13"/>
  <c r="BN993" i="13"/>
  <c r="BN991" i="13"/>
  <c r="BJ985" i="13"/>
  <c r="BK977" i="13"/>
  <c r="BL977" i="13"/>
  <c r="CN977" i="13" s="1"/>
  <c r="CO977" i="13" s="1"/>
  <c r="BJ968" i="13"/>
  <c r="BL968" i="13"/>
  <c r="CB968" i="13" s="1"/>
  <c r="CC968" i="13" s="1"/>
  <c r="BK968" i="13"/>
  <c r="BL966" i="13"/>
  <c r="BK966" i="13"/>
  <c r="CB966" i="13" s="1"/>
  <c r="CC966" i="13" s="1"/>
  <c r="CE966" i="13" s="1" a="1"/>
  <c r="CE966" i="13" s="1"/>
  <c r="BX962" i="13"/>
  <c r="BY962" i="13" s="1"/>
  <c r="BJ961" i="13"/>
  <c r="BJ952" i="13"/>
  <c r="CH1021" i="13"/>
  <c r="CA1021" i="13"/>
  <c r="AM1021" i="13"/>
  <c r="CH1019" i="13"/>
  <c r="CA1019" i="13"/>
  <c r="AM1019" i="13"/>
  <c r="CH1017" i="13"/>
  <c r="CA1017" i="13"/>
  <c r="AM1017" i="13"/>
  <c r="CH1015" i="13"/>
  <c r="CA1015" i="13"/>
  <c r="AM1015" i="13"/>
  <c r="CH1013" i="13"/>
  <c r="CA1013" i="13"/>
  <c r="AM1013" i="13"/>
  <c r="CH1011" i="13"/>
  <c r="CA1011" i="13"/>
  <c r="AM1011" i="13"/>
  <c r="CH1009" i="13"/>
  <c r="CA1009" i="13"/>
  <c r="AM1009" i="13"/>
  <c r="CH1007" i="13"/>
  <c r="CA1007" i="13"/>
  <c r="AM1007" i="13"/>
  <c r="CH1005" i="13"/>
  <c r="CA1005" i="13"/>
  <c r="AM1005" i="13"/>
  <c r="CH1003" i="13"/>
  <c r="CA1003" i="13"/>
  <c r="AM1003" i="13"/>
  <c r="CH1001" i="13"/>
  <c r="CA1001" i="13"/>
  <c r="AM1001" i="13"/>
  <c r="CH999" i="13"/>
  <c r="CA999" i="13"/>
  <c r="AM999" i="13"/>
  <c r="CH997" i="13"/>
  <c r="CA997" i="13"/>
  <c r="AM997" i="13"/>
  <c r="CH995" i="13"/>
  <c r="CA995" i="13"/>
  <c r="AM995" i="13"/>
  <c r="CH993" i="13"/>
  <c r="CA993" i="13"/>
  <c r="AM993" i="13"/>
  <c r="CH991" i="13"/>
  <c r="CA991" i="13"/>
  <c r="AM991" i="13"/>
  <c r="A989" i="13"/>
  <c r="BK985" i="13"/>
  <c r="BL985" i="13"/>
  <c r="CN981" i="13"/>
  <c r="CO981" i="13" s="1"/>
  <c r="BJ979" i="13"/>
  <c r="BJ970" i="13"/>
  <c r="BL970" i="13"/>
  <c r="CB970" i="13" s="1"/>
  <c r="CC970" i="13" s="1"/>
  <c r="BK970" i="13"/>
  <c r="BX966" i="13"/>
  <c r="BY966" i="13" s="1"/>
  <c r="BX964" i="13"/>
  <c r="BY964" i="13" s="1"/>
  <c r="BJ963" i="13"/>
  <c r="BK959" i="13"/>
  <c r="CV959" i="13" s="1"/>
  <c r="CW959" i="13" s="1"/>
  <c r="BL959" i="13"/>
  <c r="BK957" i="13"/>
  <c r="CN957" i="13" s="1"/>
  <c r="CO957" i="13" s="1"/>
  <c r="BL957" i="13"/>
  <c r="BJ903" i="13"/>
  <c r="BJ900" i="13"/>
  <c r="CU1021" i="13"/>
  <c r="BW1020" i="13"/>
  <c r="A1020" i="13"/>
  <c r="CU1019" i="13"/>
  <c r="BW1018" i="13"/>
  <c r="A1018" i="13"/>
  <c r="CU1017" i="13"/>
  <c r="BW1016" i="13"/>
  <c r="A1016" i="13"/>
  <c r="CU1015" i="13"/>
  <c r="BW1014" i="13"/>
  <c r="A1014" i="13"/>
  <c r="CU1013" i="13"/>
  <c r="BW1012" i="13"/>
  <c r="A1012" i="13"/>
  <c r="CU1011" i="13"/>
  <c r="BW1010" i="13"/>
  <c r="A1010" i="13"/>
  <c r="CU1009" i="13"/>
  <c r="BW1008" i="13"/>
  <c r="A1008" i="13"/>
  <c r="CU1007" i="13"/>
  <c r="BW1006" i="13"/>
  <c r="A1006" i="13"/>
  <c r="CU1005" i="13"/>
  <c r="BW1004" i="13"/>
  <c r="A1004" i="13"/>
  <c r="CU1003" i="13"/>
  <c r="BW1002" i="13"/>
  <c r="A1002" i="13"/>
  <c r="CU1001" i="13"/>
  <c r="BW1000" i="13"/>
  <c r="A1000" i="13"/>
  <c r="CU999" i="13"/>
  <c r="BW998" i="13"/>
  <c r="A998" i="13"/>
  <c r="CU997" i="13"/>
  <c r="BW996" i="13"/>
  <c r="A996" i="13"/>
  <c r="CU995" i="13"/>
  <c r="BW994" i="13"/>
  <c r="A994" i="13"/>
  <c r="CU993" i="13"/>
  <c r="BW992" i="13"/>
  <c r="A992" i="13"/>
  <c r="CU991" i="13"/>
  <c r="BW990" i="13"/>
  <c r="A990" i="13"/>
  <c r="CU989" i="13"/>
  <c r="BK989" i="13"/>
  <c r="CN987" i="13"/>
  <c r="CO987" i="13" s="1"/>
  <c r="BL986" i="13"/>
  <c r="BK986" i="13"/>
  <c r="BL980" i="13"/>
  <c r="BK980" i="13"/>
  <c r="CB978" i="13"/>
  <c r="BJ975" i="13"/>
  <c r="BL972" i="13"/>
  <c r="BK972" i="13"/>
  <c r="BX972" i="13" s="1"/>
  <c r="BY972" i="13" s="1"/>
  <c r="BX968" i="13"/>
  <c r="BY968" i="13" s="1"/>
  <c r="BJ967" i="13"/>
  <c r="BJ965" i="13"/>
  <c r="BK961" i="13"/>
  <c r="CV961" i="13" s="1"/>
  <c r="CW961" i="13" s="1"/>
  <c r="BL961" i="13"/>
  <c r="BJ950" i="13"/>
  <c r="CQ1020" i="13"/>
  <c r="BI1020" i="13" a="1"/>
  <c r="BI1020" i="13" s="1"/>
  <c r="CQ1018" i="13"/>
  <c r="BI1018" i="13" a="1"/>
  <c r="BI1018" i="13" s="1"/>
  <c r="CQ1016" i="13"/>
  <c r="BI1016" i="13" a="1"/>
  <c r="BI1016" i="13" s="1"/>
  <c r="CQ1014" i="13"/>
  <c r="BI1014" i="13" a="1"/>
  <c r="BI1014" i="13" s="1"/>
  <c r="CQ1012" i="13"/>
  <c r="BI1012" i="13" a="1"/>
  <c r="BI1012" i="13" s="1"/>
  <c r="CQ1010" i="13"/>
  <c r="BI1010" i="13" a="1"/>
  <c r="BI1010" i="13" s="1"/>
  <c r="CQ1008" i="13"/>
  <c r="BI1008" i="13" a="1"/>
  <c r="BI1008" i="13" s="1"/>
  <c r="CQ1006" i="13"/>
  <c r="BI1006" i="13" a="1"/>
  <c r="BI1006" i="13" s="1"/>
  <c r="CQ1004" i="13"/>
  <c r="BI1004" i="13" a="1"/>
  <c r="BI1004" i="13" s="1"/>
  <c r="BS1003" i="13"/>
  <c r="CQ1002" i="13"/>
  <c r="BI1002" i="13" a="1"/>
  <c r="BI1002" i="13" s="1"/>
  <c r="CQ1000" i="13"/>
  <c r="BI1000" i="13" a="1"/>
  <c r="BI1000" i="13" s="1"/>
  <c r="BS999" i="13"/>
  <c r="CQ998" i="13"/>
  <c r="BI998" i="13" a="1"/>
  <c r="BI998" i="13" s="1"/>
  <c r="CQ996" i="13"/>
  <c r="BI996" i="13" a="1"/>
  <c r="BI996" i="13" s="1"/>
  <c r="CQ994" i="13"/>
  <c r="BI994" i="13" a="1"/>
  <c r="BI994" i="13" s="1"/>
  <c r="BS993" i="13"/>
  <c r="CQ992" i="13"/>
  <c r="BI992" i="13" a="1"/>
  <c r="BI992" i="13" s="1"/>
  <c r="BS991" i="13"/>
  <c r="CQ990" i="13"/>
  <c r="BI990" i="13" a="1"/>
  <c r="BI990" i="13" s="1"/>
  <c r="BS989" i="13"/>
  <c r="BJ989" i="13"/>
  <c r="CN985" i="13"/>
  <c r="CO985" i="13" s="1"/>
  <c r="BJ983" i="13"/>
  <c r="BK979" i="13"/>
  <c r="CV979" i="13" s="1"/>
  <c r="CW979" i="13" s="1"/>
  <c r="BL979" i="13"/>
  <c r="CV976" i="13"/>
  <c r="CW976" i="13" s="1"/>
  <c r="BL976" i="13"/>
  <c r="BK976" i="13"/>
  <c r="BL974" i="13"/>
  <c r="BK974" i="13"/>
  <c r="BJ969" i="13"/>
  <c r="BK963" i="13"/>
  <c r="BL963" i="13"/>
  <c r="BJ905" i="13"/>
  <c r="BL988" i="13"/>
  <c r="BK988" i="13"/>
  <c r="CV988" i="13" s="1"/>
  <c r="CW988" i="13" s="1"/>
  <c r="BL984" i="13"/>
  <c r="BK984" i="13"/>
  <c r="BK983" i="13"/>
  <c r="CB983" i="13" s="1"/>
  <c r="CC983" i="13" s="1"/>
  <c r="BL983" i="13"/>
  <c r="BK975" i="13"/>
  <c r="CN975" i="13" s="1"/>
  <c r="CO975" i="13" s="1"/>
  <c r="BL975" i="13"/>
  <c r="BJ971" i="13"/>
  <c r="BK967" i="13"/>
  <c r="BL967" i="13"/>
  <c r="BK965" i="13"/>
  <c r="BL965" i="13"/>
  <c r="CN959" i="13"/>
  <c r="CO959" i="13" s="1"/>
  <c r="BJ958" i="13"/>
  <c r="CH1020" i="13"/>
  <c r="CA1020" i="13"/>
  <c r="CH1018" i="13"/>
  <c r="CA1018" i="13"/>
  <c r="CH1016" i="13"/>
  <c r="CA1016" i="13"/>
  <c r="CH1014" i="13"/>
  <c r="CA1014" i="13"/>
  <c r="CH1012" i="13"/>
  <c r="CA1012" i="13"/>
  <c r="CH1010" i="13"/>
  <c r="CA1010" i="13"/>
  <c r="CH1008" i="13"/>
  <c r="CA1008" i="13"/>
  <c r="CH1006" i="13"/>
  <c r="CA1006" i="13"/>
  <c r="CH1004" i="13"/>
  <c r="CA1004" i="13"/>
  <c r="CH1002" i="13"/>
  <c r="CA1002" i="13"/>
  <c r="CH1000" i="13"/>
  <c r="CA1000" i="13"/>
  <c r="CH998" i="13"/>
  <c r="CA998" i="13"/>
  <c r="CH996" i="13"/>
  <c r="CA996" i="13"/>
  <c r="CH994" i="13"/>
  <c r="CA994" i="13"/>
  <c r="CH992" i="13"/>
  <c r="CA992" i="13"/>
  <c r="CH990" i="13"/>
  <c r="CA990" i="13"/>
  <c r="CC978" i="13"/>
  <c r="BJ973" i="13"/>
  <c r="CN973" i="13" s="1"/>
  <c r="CO973" i="13" s="1"/>
  <c r="BK969" i="13"/>
  <c r="BL969" i="13"/>
  <c r="CV962" i="13"/>
  <c r="CW962" i="13" s="1"/>
  <c r="CN961" i="13"/>
  <c r="CO961" i="13" s="1"/>
  <c r="BJ960" i="13"/>
  <c r="BL960" i="13"/>
  <c r="BK960" i="13"/>
  <c r="BL958" i="13"/>
  <c r="BK958" i="13"/>
  <c r="BJ907" i="13"/>
  <c r="BN987" i="13"/>
  <c r="CB987" i="13" s="1"/>
  <c r="CC987" i="13" s="1"/>
  <c r="BN985" i="13"/>
  <c r="BX985" i="13" s="1"/>
  <c r="BY985" i="13" s="1"/>
  <c r="BN983" i="13"/>
  <c r="BN981" i="13"/>
  <c r="BX981" i="13" s="1"/>
  <c r="BY981" i="13" s="1"/>
  <c r="BN979" i="13"/>
  <c r="BN977" i="13"/>
  <c r="BN975" i="13"/>
  <c r="BN973" i="13"/>
  <c r="BX973" i="13" s="1"/>
  <c r="BY973" i="13" s="1"/>
  <c r="BN971" i="13"/>
  <c r="BN969" i="13"/>
  <c r="BN967" i="13"/>
  <c r="BN965" i="13"/>
  <c r="BN963" i="13"/>
  <c r="BX963" i="13" s="1"/>
  <c r="BY963" i="13" s="1"/>
  <c r="BN961" i="13"/>
  <c r="CB961" i="13" s="1"/>
  <c r="CC961" i="13" s="1"/>
  <c r="BN959" i="13"/>
  <c r="CB959" i="13" s="1"/>
  <c r="CC959" i="13" s="1"/>
  <c r="BN957" i="13"/>
  <c r="BK956" i="13"/>
  <c r="CV956" i="13" s="1"/>
  <c r="CW956" i="13" s="1"/>
  <c r="BN955" i="13"/>
  <c r="BK954" i="13"/>
  <c r="BN953" i="13"/>
  <c r="BK952" i="13"/>
  <c r="BN951" i="13"/>
  <c r="BK950" i="13"/>
  <c r="BX950" i="13" s="1"/>
  <c r="BY950" i="13" s="1"/>
  <c r="BN949" i="13"/>
  <c r="BK948" i="13"/>
  <c r="BN947" i="13"/>
  <c r="BK946" i="13"/>
  <c r="BK944" i="13"/>
  <c r="BX944" i="13" s="1"/>
  <c r="BY944" i="13" s="1"/>
  <c r="BK942" i="13"/>
  <c r="BK940" i="13"/>
  <c r="BK938" i="13"/>
  <c r="BK936" i="13"/>
  <c r="BK934" i="13"/>
  <c r="BK932" i="13"/>
  <c r="BK930" i="13"/>
  <c r="BK928" i="13"/>
  <c r="BK926" i="13"/>
  <c r="BK924" i="13"/>
  <c r="BK922" i="13"/>
  <c r="BK920" i="13"/>
  <c r="BK918" i="13"/>
  <c r="BK916" i="13"/>
  <c r="BK914" i="13"/>
  <c r="BK912" i="13"/>
  <c r="BK910" i="13"/>
  <c r="BK908" i="13"/>
  <c r="CU901" i="13"/>
  <c r="BJ896" i="13"/>
  <c r="BS895" i="13"/>
  <c r="AM895" i="13"/>
  <c r="CA895" i="13"/>
  <c r="CH895" i="13"/>
  <c r="BN895" i="13"/>
  <c r="BI895" i="13" a="1"/>
  <c r="BI895" i="13" s="1"/>
  <c r="CQ895" i="13"/>
  <c r="BK892" i="13"/>
  <c r="BL892" i="13"/>
  <c r="BJ840" i="13"/>
  <c r="BJ825" i="13"/>
  <c r="BJ821" i="13"/>
  <c r="BJ797" i="13"/>
  <c r="BJ954" i="13"/>
  <c r="BJ948" i="13"/>
  <c r="BJ946" i="13"/>
  <c r="BJ944" i="13"/>
  <c r="BJ940" i="13"/>
  <c r="BS901" i="13"/>
  <c r="AM901" i="13"/>
  <c r="CA901" i="13"/>
  <c r="CH901" i="13"/>
  <c r="BN901" i="13"/>
  <c r="BI901" i="13" a="1"/>
  <c r="BI901" i="13" s="1"/>
  <c r="CQ901" i="13"/>
  <c r="BJ888" i="13"/>
  <c r="BK883" i="13"/>
  <c r="BL883" i="13"/>
  <c r="BJ846" i="13"/>
  <c r="BJ809" i="13"/>
  <c r="BK896" i="13"/>
  <c r="BL896" i="13"/>
  <c r="BK889" i="13"/>
  <c r="BL889" i="13"/>
  <c r="BK888" i="13"/>
  <c r="BL888" i="13"/>
  <c r="BJ884" i="13"/>
  <c r="BJ830" i="13"/>
  <c r="BS987" i="13"/>
  <c r="BT987" i="13" s="1"/>
  <c r="BU987" i="13" s="1"/>
  <c r="BS985" i="13"/>
  <c r="BS983" i="13"/>
  <c r="BT983" i="13" s="1"/>
  <c r="BU983" i="13" s="1"/>
  <c r="BS981" i="13"/>
  <c r="BT981" i="13" s="1"/>
  <c r="BU981" i="13" s="1"/>
  <c r="BL955" i="13"/>
  <c r="BL953" i="13"/>
  <c r="BL951" i="13"/>
  <c r="BL949" i="13"/>
  <c r="BL947" i="13"/>
  <c r="BL945" i="13"/>
  <c r="BL943" i="13"/>
  <c r="CJ943" i="13" s="1"/>
  <c r="CK943" i="13" s="1"/>
  <c r="CL943" i="13" s="1" a="1"/>
  <c r="CL943" i="13" s="1"/>
  <c r="BI942" i="13" a="1"/>
  <c r="BI942" i="13" s="1"/>
  <c r="BL941" i="13"/>
  <c r="BL939" i="13"/>
  <c r="BI938" i="13" a="1"/>
  <c r="BI938" i="13" s="1"/>
  <c r="BL937" i="13"/>
  <c r="BI936" i="13" a="1"/>
  <c r="BI936" i="13" s="1"/>
  <c r="BL935" i="13"/>
  <c r="BI934" i="13" a="1"/>
  <c r="BI934" i="13" s="1"/>
  <c r="BL933" i="13"/>
  <c r="CQ932" i="13"/>
  <c r="BI932" i="13" a="1"/>
  <c r="BI932" i="13" s="1"/>
  <c r="BL931" i="13"/>
  <c r="CQ930" i="13"/>
  <c r="BI930" i="13" a="1"/>
  <c r="BI930" i="13" s="1"/>
  <c r="BL929" i="13"/>
  <c r="CQ928" i="13"/>
  <c r="BI928" i="13" a="1"/>
  <c r="BI928" i="13" s="1"/>
  <c r="BL927" i="13"/>
  <c r="CQ926" i="13"/>
  <c r="BI926" i="13" a="1"/>
  <c r="BI926" i="13" s="1"/>
  <c r="BL925" i="13"/>
  <c r="CQ924" i="13"/>
  <c r="BI924" i="13" a="1"/>
  <c r="BI924" i="13" s="1"/>
  <c r="BL923" i="13"/>
  <c r="BT923" i="13" s="1"/>
  <c r="BU923" i="13" s="1"/>
  <c r="CQ922" i="13"/>
  <c r="BI922" i="13" a="1"/>
  <c r="BI922" i="13" s="1"/>
  <c r="BL921" i="13"/>
  <c r="CQ920" i="13"/>
  <c r="BI920" i="13" a="1"/>
  <c r="BI920" i="13" s="1"/>
  <c r="BL919" i="13"/>
  <c r="CQ918" i="13"/>
  <c r="BI918" i="13" a="1"/>
  <c r="BI918" i="13" s="1"/>
  <c r="BL917" i="13"/>
  <c r="CQ916" i="13"/>
  <c r="BI916" i="13" a="1"/>
  <c r="BI916" i="13" s="1"/>
  <c r="BL915" i="13"/>
  <c r="CQ914" i="13"/>
  <c r="BI914" i="13" a="1"/>
  <c r="BI914" i="13" s="1"/>
  <c r="BL913" i="13"/>
  <c r="CQ912" i="13"/>
  <c r="BI912" i="13" a="1"/>
  <c r="BI912" i="13" s="1"/>
  <c r="BL911" i="13"/>
  <c r="CQ910" i="13"/>
  <c r="BI910" i="13" a="1"/>
  <c r="BI910" i="13" s="1"/>
  <c r="BL909" i="13"/>
  <c r="CQ908" i="13"/>
  <c r="BI908" i="13" a="1"/>
  <c r="BI908" i="13" s="1"/>
  <c r="BL907" i="13"/>
  <c r="CN907" i="13" s="1"/>
  <c r="CO907" i="13" s="1"/>
  <c r="CQ906" i="13"/>
  <c r="BI906" i="13" a="1"/>
  <c r="BI906" i="13" s="1"/>
  <c r="BL905" i="13"/>
  <c r="CJ905" i="13" s="1"/>
  <c r="CK905" i="13" s="1"/>
  <c r="CL905" i="13" s="1" a="1"/>
  <c r="CL905" i="13" s="1"/>
  <c r="CQ904" i="13"/>
  <c r="BI904" i="13" a="1"/>
  <c r="BI904" i="13" s="1"/>
  <c r="BL903" i="13"/>
  <c r="CJ903" i="13" s="1"/>
  <c r="CK903" i="13" s="1"/>
  <c r="CL903" i="13" s="1" a="1"/>
  <c r="CL903" i="13" s="1"/>
  <c r="BK902" i="13"/>
  <c r="BL902" i="13"/>
  <c r="BS899" i="13"/>
  <c r="AM899" i="13"/>
  <c r="CA899" i="13"/>
  <c r="CH899" i="13"/>
  <c r="BN899" i="13"/>
  <c r="BI899" i="13" a="1"/>
  <c r="BI899" i="13" s="1"/>
  <c r="CQ899" i="13"/>
  <c r="BW897" i="13"/>
  <c r="BJ894" i="13"/>
  <c r="BS893" i="13"/>
  <c r="AM893" i="13"/>
  <c r="CA893" i="13"/>
  <c r="CH893" i="13"/>
  <c r="BN893" i="13"/>
  <c r="BI893" i="13" a="1"/>
  <c r="BI893" i="13" s="1"/>
  <c r="CQ893" i="13"/>
  <c r="BJ842" i="13"/>
  <c r="BJ832" i="13"/>
  <c r="BJ828" i="13"/>
  <c r="CJ828" i="13" s="1"/>
  <c r="CK828" i="13" s="1"/>
  <c r="CL828" i="13" s="1" a="1"/>
  <c r="CL828" i="13" s="1"/>
  <c r="CV828" i="13"/>
  <c r="CW828" i="13" s="1"/>
  <c r="CN828" i="13"/>
  <c r="CO828" i="13" s="1"/>
  <c r="BJ815" i="13"/>
  <c r="BJ795" i="13"/>
  <c r="BN938" i="13"/>
  <c r="BN936" i="13"/>
  <c r="BN934" i="13"/>
  <c r="BN932" i="13"/>
  <c r="BN930" i="13"/>
  <c r="BN928" i="13"/>
  <c r="BN926" i="13"/>
  <c r="BN924" i="13"/>
  <c r="BN922" i="13"/>
  <c r="BN920" i="13"/>
  <c r="BN918" i="13"/>
  <c r="BN916" i="13"/>
  <c r="BN914" i="13"/>
  <c r="BN912" i="13"/>
  <c r="BN910" i="13"/>
  <c r="BN908" i="13"/>
  <c r="BN906" i="13"/>
  <c r="BN904" i="13"/>
  <c r="CU897" i="13"/>
  <c r="CM895" i="13"/>
  <c r="BK895" i="13"/>
  <c r="BW891" i="13"/>
  <c r="BJ890" i="13"/>
  <c r="BJ834" i="13"/>
  <c r="BJ955" i="13"/>
  <c r="BJ953" i="13"/>
  <c r="BJ951" i="13"/>
  <c r="BJ949" i="13"/>
  <c r="BJ947" i="13"/>
  <c r="BJ945" i="13"/>
  <c r="BJ943" i="13"/>
  <c r="BJ941" i="13"/>
  <c r="BX941" i="13" s="1"/>
  <c r="BY941" i="13" s="1"/>
  <c r="BJ939" i="13"/>
  <c r="BJ937" i="13"/>
  <c r="CA936" i="13"/>
  <c r="BJ935" i="13"/>
  <c r="CH934" i="13"/>
  <c r="CA934" i="13"/>
  <c r="BJ933" i="13"/>
  <c r="CH932" i="13"/>
  <c r="CA932" i="13"/>
  <c r="BJ931" i="13"/>
  <c r="CH930" i="13"/>
  <c r="CA930" i="13"/>
  <c r="BJ929" i="13"/>
  <c r="CH928" i="13"/>
  <c r="CA928" i="13"/>
  <c r="BJ927" i="13"/>
  <c r="CH926" i="13"/>
  <c r="CA926" i="13"/>
  <c r="BJ925" i="13"/>
  <c r="CH924" i="13"/>
  <c r="CA924" i="13"/>
  <c r="BJ923" i="13"/>
  <c r="CH922" i="13"/>
  <c r="CA922" i="13"/>
  <c r="BJ921" i="13"/>
  <c r="CH920" i="13"/>
  <c r="CA920" i="13"/>
  <c r="BJ919" i="13"/>
  <c r="CH918" i="13"/>
  <c r="CA918" i="13"/>
  <c r="BJ917" i="13"/>
  <c r="BP917" i="13" s="1"/>
  <c r="BQ917" i="13" s="1"/>
  <c r="BR917" i="13" s="1" a="1"/>
  <c r="BR917" i="13" s="1"/>
  <c r="CH916" i="13"/>
  <c r="CA916" i="13"/>
  <c r="BJ915" i="13"/>
  <c r="CH914" i="13"/>
  <c r="CA914" i="13"/>
  <c r="BJ913" i="13"/>
  <c r="CH912" i="13"/>
  <c r="CA912" i="13"/>
  <c r="BJ911" i="13"/>
  <c r="CH910" i="13"/>
  <c r="CA910" i="13"/>
  <c r="BJ909" i="13"/>
  <c r="CH908" i="13"/>
  <c r="CA908" i="13"/>
  <c r="CH906" i="13"/>
  <c r="CA906" i="13"/>
  <c r="CH904" i="13"/>
  <c r="CA904" i="13"/>
  <c r="CM901" i="13"/>
  <c r="BK901" i="13"/>
  <c r="BK900" i="13"/>
  <c r="BL900" i="13"/>
  <c r="BS897" i="13"/>
  <c r="AM897" i="13"/>
  <c r="CA897" i="13"/>
  <c r="CH897" i="13"/>
  <c r="BN897" i="13"/>
  <c r="BI897" i="13" a="1"/>
  <c r="BI897" i="13" s="1"/>
  <c r="CQ897" i="13"/>
  <c r="BK894" i="13"/>
  <c r="BL894" i="13"/>
  <c r="CU891" i="13"/>
  <c r="BK890" i="13"/>
  <c r="CB890" i="13" s="1"/>
  <c r="CC890" i="13" s="1"/>
  <c r="BL890" i="13"/>
  <c r="BJ882" i="13"/>
  <c r="BJ836" i="13"/>
  <c r="BJ898" i="13"/>
  <c r="CN896" i="13"/>
  <c r="CO896" i="13" s="1"/>
  <c r="BJ892" i="13"/>
  <c r="CV892" i="13" s="1"/>
  <c r="CW892" i="13" s="1"/>
  <c r="BS891" i="13"/>
  <c r="AM891" i="13"/>
  <c r="CA891" i="13"/>
  <c r="CH891" i="13"/>
  <c r="BN891" i="13"/>
  <c r="BI891" i="13" a="1"/>
  <c r="BI891" i="13" s="1"/>
  <c r="CQ891" i="13"/>
  <c r="BK885" i="13"/>
  <c r="BL885" i="13"/>
  <c r="BJ844" i="13"/>
  <c r="BT844" i="13"/>
  <c r="BU844" i="13" s="1"/>
  <c r="CN844" i="13"/>
  <c r="CO844" i="13" s="1"/>
  <c r="BJ838" i="13"/>
  <c r="BT828" i="13"/>
  <c r="BU828" i="13" s="1"/>
  <c r="BJ827" i="13"/>
  <c r="BJ807" i="13"/>
  <c r="BJ789" i="13"/>
  <c r="CQ987" i="13"/>
  <c r="CR987" i="13" s="1"/>
  <c r="CS987" i="13" s="1"/>
  <c r="CT987" i="13" s="1" a="1"/>
  <c r="CT987" i="13" s="1"/>
  <c r="CQ985" i="13"/>
  <c r="CR985" i="13" s="1"/>
  <c r="CS985" i="13" s="1"/>
  <c r="CT985" i="13" s="1" a="1"/>
  <c r="CT985" i="13" s="1"/>
  <c r="BK898" i="13"/>
  <c r="BL898" i="13"/>
  <c r="BX896" i="13"/>
  <c r="BY896" i="13" s="1"/>
  <c r="BK887" i="13"/>
  <c r="BL887" i="13"/>
  <c r="BJ886" i="13"/>
  <c r="CN838" i="13"/>
  <c r="CO838" i="13" s="1"/>
  <c r="BJ813" i="13"/>
  <c r="CQ889" i="13"/>
  <c r="BI889" i="13" a="1"/>
  <c r="BI889" i="13" s="1"/>
  <c r="CQ887" i="13"/>
  <c r="BI887" i="13" a="1"/>
  <c r="BI887" i="13" s="1"/>
  <c r="BL886" i="13"/>
  <c r="CB886" i="13" s="1"/>
  <c r="CC886" i="13" s="1"/>
  <c r="CQ885" i="13"/>
  <c r="BI885" i="13" a="1"/>
  <c r="BI885" i="13" s="1"/>
  <c r="BL884" i="13"/>
  <c r="CQ883" i="13"/>
  <c r="BI883" i="13" a="1"/>
  <c r="BI883" i="13" s="1"/>
  <c r="BL882" i="13"/>
  <c r="CR882" i="13" s="1"/>
  <c r="CS882" i="13" s="1"/>
  <c r="CQ881" i="13"/>
  <c r="BI881" i="13" a="1"/>
  <c r="BI881" i="13" s="1"/>
  <c r="BL880" i="13"/>
  <c r="BT880" i="13" s="1"/>
  <c r="BU880" i="13" s="1"/>
  <c r="CQ879" i="13"/>
  <c r="BI879" i="13" a="1"/>
  <c r="BI879" i="13" s="1"/>
  <c r="BL878" i="13"/>
  <c r="CQ877" i="13"/>
  <c r="BI877" i="13" a="1"/>
  <c r="BI877" i="13" s="1"/>
  <c r="BL876" i="13"/>
  <c r="CQ875" i="13"/>
  <c r="BI875" i="13" a="1"/>
  <c r="BI875" i="13" s="1"/>
  <c r="BL874" i="13"/>
  <c r="CQ873" i="13"/>
  <c r="BI873" i="13" a="1"/>
  <c r="BI873" i="13" s="1"/>
  <c r="BL872" i="13"/>
  <c r="CQ871" i="13"/>
  <c r="BI871" i="13" a="1"/>
  <c r="BI871" i="13" s="1"/>
  <c r="BL870" i="13"/>
  <c r="CQ869" i="13"/>
  <c r="BI869" i="13" a="1"/>
  <c r="BI869" i="13" s="1"/>
  <c r="BL868" i="13"/>
  <c r="CV868" i="13" s="1"/>
  <c r="CW868" i="13" s="1"/>
  <c r="CQ867" i="13"/>
  <c r="BI867" i="13" a="1"/>
  <c r="BI867" i="13" s="1"/>
  <c r="BL866" i="13"/>
  <c r="CQ865" i="13"/>
  <c r="BI865" i="13" a="1"/>
  <c r="BI865" i="13" s="1"/>
  <c r="BL864" i="13"/>
  <c r="CQ863" i="13"/>
  <c r="BI863" i="13" a="1"/>
  <c r="BI863" i="13" s="1"/>
  <c r="BL862" i="13"/>
  <c r="CB862" i="13" s="1"/>
  <c r="CC862" i="13" s="1"/>
  <c r="CE862" i="13" s="1" a="1"/>
  <c r="CE862" i="13" s="1"/>
  <c r="CQ861" i="13"/>
  <c r="BI861" i="13" a="1"/>
  <c r="BI861" i="13" s="1"/>
  <c r="BL860" i="13"/>
  <c r="CQ859" i="13"/>
  <c r="BI859" i="13" a="1"/>
  <c r="BI859" i="13" s="1"/>
  <c r="BL858" i="13"/>
  <c r="CQ857" i="13"/>
  <c r="BI857" i="13" a="1"/>
  <c r="BI857" i="13" s="1"/>
  <c r="BL856" i="13"/>
  <c r="CQ855" i="13"/>
  <c r="BI855" i="13" a="1"/>
  <c r="BI855" i="13" s="1"/>
  <c r="BL854" i="13"/>
  <c r="CQ853" i="13"/>
  <c r="BI853" i="13" a="1"/>
  <c r="BI853" i="13" s="1"/>
  <c r="BL852" i="13"/>
  <c r="CV852" i="13" s="1"/>
  <c r="CW852" i="13" s="1"/>
  <c r="CQ851" i="13"/>
  <c r="BI851" i="13" a="1"/>
  <c r="BI851" i="13" s="1"/>
  <c r="BL850" i="13"/>
  <c r="CQ849" i="13"/>
  <c r="BI849" i="13" a="1"/>
  <c r="BI849" i="13" s="1"/>
  <c r="BL848" i="13"/>
  <c r="CQ847" i="13"/>
  <c r="BI847" i="13" a="1"/>
  <c r="BI847" i="13" s="1"/>
  <c r="BL846" i="13"/>
  <c r="BT846" i="13" s="1"/>
  <c r="BU846" i="13" s="1"/>
  <c r="CQ845" i="13"/>
  <c r="BI845" i="13" a="1"/>
  <c r="BI845" i="13" s="1"/>
  <c r="BL844" i="13"/>
  <c r="CJ844" i="13" s="1"/>
  <c r="CK844" i="13" s="1"/>
  <c r="CL844" i="13" s="1" a="1"/>
  <c r="CL844" i="13" s="1"/>
  <c r="CQ843" i="13"/>
  <c r="BI843" i="13" a="1"/>
  <c r="BI843" i="13" s="1"/>
  <c r="BL842" i="13"/>
  <c r="CV842" i="13" s="1"/>
  <c r="CW842" i="13" s="1"/>
  <c r="CQ841" i="13"/>
  <c r="BI841" i="13" a="1"/>
  <c r="BI841" i="13" s="1"/>
  <c r="BL840" i="13"/>
  <c r="CQ839" i="13"/>
  <c r="BI839" i="13" a="1"/>
  <c r="BI839" i="13" s="1"/>
  <c r="BL838" i="13"/>
  <c r="CR838" i="13" s="1"/>
  <c r="CS838" i="13" s="1"/>
  <c r="CQ837" i="13"/>
  <c r="BI837" i="13" a="1"/>
  <c r="BI837" i="13" s="1"/>
  <c r="BL836" i="13"/>
  <c r="CJ836" i="13" s="1"/>
  <c r="CK836" i="13" s="1"/>
  <c r="CL836" i="13" s="1" a="1"/>
  <c r="CL836" i="13" s="1"/>
  <c r="CQ835" i="13"/>
  <c r="BI835" i="13" a="1"/>
  <c r="BI835" i="13" s="1"/>
  <c r="BL834" i="13"/>
  <c r="CN834" i="13" s="1"/>
  <c r="CO834" i="13" s="1"/>
  <c r="CQ833" i="13"/>
  <c r="BI833" i="13" a="1"/>
  <c r="BI833" i="13" s="1"/>
  <c r="BL832" i="13"/>
  <c r="CJ832" i="13" s="1"/>
  <c r="CK832" i="13" s="1"/>
  <c r="CL832" i="13" s="1" a="1"/>
  <c r="CL832" i="13" s="1"/>
  <c r="CQ831" i="13"/>
  <c r="BI831" i="13" a="1"/>
  <c r="BI831" i="13" s="1"/>
  <c r="BL830" i="13"/>
  <c r="BT830" i="13" s="1"/>
  <c r="BU830" i="13" s="1"/>
  <c r="CQ829" i="13"/>
  <c r="BI829" i="13" a="1"/>
  <c r="BI829" i="13" s="1"/>
  <c r="BW826" i="13"/>
  <c r="BK825" i="13"/>
  <c r="BL825" i="13"/>
  <c r="BK814" i="13"/>
  <c r="BL814" i="13"/>
  <c r="BK808" i="13"/>
  <c r="BL808" i="13"/>
  <c r="BK794" i="13"/>
  <c r="BL794" i="13"/>
  <c r="BN889" i="13"/>
  <c r="BN887" i="13"/>
  <c r="BN885" i="13"/>
  <c r="BN883" i="13"/>
  <c r="BN881" i="13"/>
  <c r="BN879" i="13"/>
  <c r="BN877" i="13"/>
  <c r="BN875" i="13"/>
  <c r="BN873" i="13"/>
  <c r="BN871" i="13"/>
  <c r="BN869" i="13"/>
  <c r="BN867" i="13"/>
  <c r="BN865" i="13"/>
  <c r="BN863" i="13"/>
  <c r="BN861" i="13"/>
  <c r="BN859" i="13"/>
  <c r="BN857" i="13"/>
  <c r="BN855" i="13"/>
  <c r="BN853" i="13"/>
  <c r="BN851" i="13"/>
  <c r="BN849" i="13"/>
  <c r="BN847" i="13"/>
  <c r="BN845" i="13"/>
  <c r="BN843" i="13"/>
  <c r="BN841" i="13"/>
  <c r="BN839" i="13"/>
  <c r="BN837" i="13"/>
  <c r="BN835" i="13"/>
  <c r="BN833" i="13"/>
  <c r="BN831" i="13"/>
  <c r="BN829" i="13"/>
  <c r="CU826" i="13"/>
  <c r="CH889" i="13"/>
  <c r="CA889" i="13"/>
  <c r="AM889" i="13"/>
  <c r="CH887" i="13"/>
  <c r="CA887" i="13"/>
  <c r="AM887" i="13"/>
  <c r="CH885" i="13"/>
  <c r="CA885" i="13"/>
  <c r="AM885" i="13"/>
  <c r="CH883" i="13"/>
  <c r="CA883" i="13"/>
  <c r="AM883" i="13"/>
  <c r="CH881" i="13"/>
  <c r="CA881" i="13"/>
  <c r="AM881" i="13"/>
  <c r="BJ880" i="13"/>
  <c r="CJ880" i="13" s="1"/>
  <c r="CK880" i="13" s="1"/>
  <c r="CL880" i="13" s="1" a="1"/>
  <c r="CL880" i="13" s="1"/>
  <c r="CH879" i="13"/>
  <c r="CA879" i="13"/>
  <c r="AM879" i="13"/>
  <c r="BJ878" i="13"/>
  <c r="CH877" i="13"/>
  <c r="CA877" i="13"/>
  <c r="AM877" i="13"/>
  <c r="BJ876" i="13"/>
  <c r="BP876" i="13" s="1"/>
  <c r="BQ876" i="13" s="1"/>
  <c r="BR876" i="13" s="1" a="1"/>
  <c r="BR876" i="13" s="1"/>
  <c r="CH875" i="13"/>
  <c r="CA875" i="13"/>
  <c r="AM875" i="13"/>
  <c r="BJ874" i="13"/>
  <c r="CH873" i="13"/>
  <c r="CA873" i="13"/>
  <c r="AM873" i="13"/>
  <c r="BJ872" i="13"/>
  <c r="CH871" i="13"/>
  <c r="CA871" i="13"/>
  <c r="AM871" i="13"/>
  <c r="BJ870" i="13"/>
  <c r="CH869" i="13"/>
  <c r="CA869" i="13"/>
  <c r="AM869" i="13"/>
  <c r="BJ868" i="13"/>
  <c r="CH867" i="13"/>
  <c r="CA867" i="13"/>
  <c r="AM867" i="13"/>
  <c r="BJ866" i="13"/>
  <c r="CH865" i="13"/>
  <c r="CA865" i="13"/>
  <c r="AM865" i="13"/>
  <c r="BJ864" i="13"/>
  <c r="CH863" i="13"/>
  <c r="CA863" i="13"/>
  <c r="AM863" i="13"/>
  <c r="BJ862" i="13"/>
  <c r="BT862" i="13" s="1"/>
  <c r="BU862" i="13" s="1"/>
  <c r="CH861" i="13"/>
  <c r="CA861" i="13"/>
  <c r="AM861" i="13"/>
  <c r="BJ860" i="13"/>
  <c r="CH859" i="13"/>
  <c r="CA859" i="13"/>
  <c r="AM859" i="13"/>
  <c r="BJ858" i="13"/>
  <c r="CH857" i="13"/>
  <c r="CA857" i="13"/>
  <c r="AM857" i="13"/>
  <c r="BJ856" i="13"/>
  <c r="CH855" i="13"/>
  <c r="CA855" i="13"/>
  <c r="AM855" i="13"/>
  <c r="BJ854" i="13"/>
  <c r="CV854" i="13" s="1"/>
  <c r="CW854" i="13" s="1"/>
  <c r="CH853" i="13"/>
  <c r="CA853" i="13"/>
  <c r="AM853" i="13"/>
  <c r="BJ852" i="13"/>
  <c r="CH851" i="13"/>
  <c r="CA851" i="13"/>
  <c r="AM851" i="13"/>
  <c r="BJ850" i="13"/>
  <c r="CH849" i="13"/>
  <c r="CA849" i="13"/>
  <c r="AM849" i="13"/>
  <c r="BJ848" i="13"/>
  <c r="BX848" i="13" s="1"/>
  <c r="BY848" i="13" s="1"/>
  <c r="CH847" i="13"/>
  <c r="CA847" i="13"/>
  <c r="AM847" i="13"/>
  <c r="CH845" i="13"/>
  <c r="CA845" i="13"/>
  <c r="AM845" i="13"/>
  <c r="CH843" i="13"/>
  <c r="CA843" i="13"/>
  <c r="AM843" i="13"/>
  <c r="CH841" i="13"/>
  <c r="CA841" i="13"/>
  <c r="AM841" i="13"/>
  <c r="CH839" i="13"/>
  <c r="CA839" i="13"/>
  <c r="AM839" i="13"/>
  <c r="CH837" i="13"/>
  <c r="CA837" i="13"/>
  <c r="AM837" i="13"/>
  <c r="CH835" i="13"/>
  <c r="CA835" i="13"/>
  <c r="AM835" i="13"/>
  <c r="CH833" i="13"/>
  <c r="CA833" i="13"/>
  <c r="AM833" i="13"/>
  <c r="CH831" i="13"/>
  <c r="CA831" i="13"/>
  <c r="AM831" i="13"/>
  <c r="CH829" i="13"/>
  <c r="CA829" i="13"/>
  <c r="AM829" i="13"/>
  <c r="BS826" i="13"/>
  <c r="AM826" i="13"/>
  <c r="CA826" i="13"/>
  <c r="CH826" i="13"/>
  <c r="BN826" i="13"/>
  <c r="BI826" i="13" a="1"/>
  <c r="BI826" i="13" s="1"/>
  <c r="CQ826" i="13"/>
  <c r="BK822" i="13"/>
  <c r="BL822" i="13"/>
  <c r="BK821" i="13"/>
  <c r="BL821" i="13"/>
  <c r="BX821" i="13" s="1"/>
  <c r="BY821" i="13" s="1"/>
  <c r="BK816" i="13"/>
  <c r="BL816" i="13"/>
  <c r="BK812" i="13"/>
  <c r="BL812" i="13"/>
  <c r="BK806" i="13"/>
  <c r="BL806" i="13"/>
  <c r="BJ787" i="13"/>
  <c r="CU863" i="13"/>
  <c r="CU861" i="13"/>
  <c r="CU859" i="13"/>
  <c r="CU857" i="13"/>
  <c r="CU855" i="13"/>
  <c r="CU853" i="13"/>
  <c r="CU851" i="13"/>
  <c r="CU849" i="13"/>
  <c r="CU847" i="13"/>
  <c r="CU845" i="13"/>
  <c r="CU843" i="13"/>
  <c r="CU841" i="13"/>
  <c r="CU839" i="13"/>
  <c r="CU837" i="13"/>
  <c r="CU835" i="13"/>
  <c r="CU833" i="13"/>
  <c r="CU831" i="13"/>
  <c r="CU829" i="13"/>
  <c r="BK796" i="13"/>
  <c r="BL796" i="13"/>
  <c r="CR779" i="13"/>
  <c r="CS779" i="13" s="1"/>
  <c r="BL881" i="13"/>
  <c r="BL879" i="13"/>
  <c r="BS877" i="13"/>
  <c r="BL877" i="13"/>
  <c r="BS875" i="13"/>
  <c r="BL875" i="13"/>
  <c r="BS873" i="13"/>
  <c r="BL873" i="13"/>
  <c r="BS871" i="13"/>
  <c r="BL871" i="13"/>
  <c r="BS869" i="13"/>
  <c r="BL869" i="13"/>
  <c r="BS867" i="13"/>
  <c r="BL867" i="13"/>
  <c r="BS865" i="13"/>
  <c r="BS863" i="13"/>
  <c r="BS861" i="13"/>
  <c r="BS859" i="13"/>
  <c r="BS857" i="13"/>
  <c r="BS855" i="13"/>
  <c r="BS853" i="13"/>
  <c r="BS851" i="13"/>
  <c r="BS849" i="13"/>
  <c r="BS847" i="13"/>
  <c r="BS845" i="13"/>
  <c r="BS843" i="13"/>
  <c r="BS841" i="13"/>
  <c r="BS839" i="13"/>
  <c r="BS837" i="13"/>
  <c r="BS835" i="13"/>
  <c r="BS833" i="13"/>
  <c r="BS831" i="13"/>
  <c r="BK827" i="13"/>
  <c r="BL827" i="13"/>
  <c r="BK818" i="13"/>
  <c r="BL818" i="13"/>
  <c r="BJ817" i="13"/>
  <c r="BK798" i="13"/>
  <c r="BL798" i="13"/>
  <c r="BK824" i="13"/>
  <c r="BL824" i="13"/>
  <c r="BJ823" i="13"/>
  <c r="BK823" i="13"/>
  <c r="BX823" i="13" s="1"/>
  <c r="BY823" i="13" s="1"/>
  <c r="BL823" i="13"/>
  <c r="BK817" i="13"/>
  <c r="BX817" i="13" s="1"/>
  <c r="BY817" i="13" s="1"/>
  <c r="BL817" i="13"/>
  <c r="BK810" i="13"/>
  <c r="BL810" i="13"/>
  <c r="BK800" i="13"/>
  <c r="BL800" i="13"/>
  <c r="BJ799" i="13"/>
  <c r="BJ791" i="13"/>
  <c r="BK790" i="13"/>
  <c r="BL790" i="13"/>
  <c r="BJ785" i="13"/>
  <c r="BJ779" i="13"/>
  <c r="CN779" i="13" s="1"/>
  <c r="CO779" i="13" s="1"/>
  <c r="CB825" i="13"/>
  <c r="CC825" i="13" s="1"/>
  <c r="BJ811" i="13"/>
  <c r="BJ805" i="13"/>
  <c r="BK804" i="13"/>
  <c r="BL804" i="13"/>
  <c r="BJ803" i="13"/>
  <c r="BK802" i="13"/>
  <c r="BL802" i="13"/>
  <c r="BJ801" i="13"/>
  <c r="BK792" i="13"/>
  <c r="BL792" i="13"/>
  <c r="CB779" i="13"/>
  <c r="CC779" i="13" s="1"/>
  <c r="BJ739" i="13"/>
  <c r="BW877" i="13"/>
  <c r="BW875" i="13"/>
  <c r="BW873" i="13"/>
  <c r="BW871" i="13"/>
  <c r="BW869" i="13"/>
  <c r="BW867" i="13"/>
  <c r="BW865" i="13"/>
  <c r="BW863" i="13"/>
  <c r="BW861" i="13"/>
  <c r="BW859" i="13"/>
  <c r="BW857" i="13"/>
  <c r="BW855" i="13"/>
  <c r="BW853" i="13"/>
  <c r="BW851" i="13"/>
  <c r="BW849" i="13"/>
  <c r="BW847" i="13"/>
  <c r="BW845" i="13"/>
  <c r="BW843" i="13"/>
  <c r="BW841" i="13"/>
  <c r="BW839" i="13"/>
  <c r="BW837" i="13"/>
  <c r="BW835" i="13"/>
  <c r="BW833" i="13"/>
  <c r="BW831" i="13"/>
  <c r="BW829" i="13"/>
  <c r="BK820" i="13"/>
  <c r="BL820" i="13"/>
  <c r="BJ819" i="13"/>
  <c r="BK819" i="13"/>
  <c r="BL819" i="13"/>
  <c r="BJ793" i="13"/>
  <c r="BJ781" i="13"/>
  <c r="BX779" i="13"/>
  <c r="BY779" i="13" s="1"/>
  <c r="A796" i="13"/>
  <c r="BW794" i="13"/>
  <c r="A794" i="13"/>
  <c r="BW792" i="13"/>
  <c r="A792" i="13"/>
  <c r="BW790" i="13"/>
  <c r="A790" i="13"/>
  <c r="BW788" i="13"/>
  <c r="A788" i="13"/>
  <c r="BW786" i="13"/>
  <c r="A786" i="13"/>
  <c r="BW784" i="13"/>
  <c r="A784" i="13"/>
  <c r="BW782" i="13"/>
  <c r="A782" i="13"/>
  <c r="BW780" i="13"/>
  <c r="A780" i="13"/>
  <c r="BW778" i="13"/>
  <c r="A778" i="13"/>
  <c r="BW776" i="13"/>
  <c r="A776" i="13"/>
  <c r="BW774" i="13"/>
  <c r="A774" i="13"/>
  <c r="BW772" i="13"/>
  <c r="A772" i="13"/>
  <c r="BW770" i="13"/>
  <c r="A770" i="13"/>
  <c r="BW768" i="13"/>
  <c r="A768" i="13"/>
  <c r="BW766" i="13"/>
  <c r="A766" i="13"/>
  <c r="BW764" i="13"/>
  <c r="A764" i="13"/>
  <c r="BW762" i="13"/>
  <c r="A762" i="13"/>
  <c r="BW760" i="13"/>
  <c r="A760" i="13"/>
  <c r="BW758" i="13"/>
  <c r="A758" i="13"/>
  <c r="BW756" i="13"/>
  <c r="A756" i="13"/>
  <c r="BW751" i="13"/>
  <c r="BK751" i="13"/>
  <c r="CU749" i="13"/>
  <c r="BW745" i="13"/>
  <c r="BK745" i="13"/>
  <c r="BI743" i="13" a="1"/>
  <c r="BI743" i="13" s="1"/>
  <c r="CQ743" i="13"/>
  <c r="BS743" i="13"/>
  <c r="BN743" i="13"/>
  <c r="CN739" i="13"/>
  <c r="CO739" i="13" s="1"/>
  <c r="CN727" i="13"/>
  <c r="CO727" i="13" s="1"/>
  <c r="BJ709" i="13"/>
  <c r="BJ701" i="13"/>
  <c r="BJ689" i="13"/>
  <c r="CQ824" i="13"/>
  <c r="BI824" i="13" a="1"/>
  <c r="BI824" i="13" s="1"/>
  <c r="CQ822" i="13"/>
  <c r="BI822" i="13" a="1"/>
  <c r="BI822" i="13" s="1"/>
  <c r="CQ820" i="13"/>
  <c r="BI820" i="13" a="1"/>
  <c r="BI820" i="13" s="1"/>
  <c r="CQ818" i="13"/>
  <c r="BI818" i="13" a="1"/>
  <c r="BI818" i="13" s="1"/>
  <c r="CQ816" i="13"/>
  <c r="BI816" i="13" a="1"/>
  <c r="BI816" i="13" s="1"/>
  <c r="BL815" i="13"/>
  <c r="BT815" i="13" s="1"/>
  <c r="BU815" i="13" s="1"/>
  <c r="CQ814" i="13"/>
  <c r="BI814" i="13" a="1"/>
  <c r="BI814" i="13" s="1"/>
  <c r="BL813" i="13"/>
  <c r="CQ812" i="13"/>
  <c r="BI812" i="13" a="1"/>
  <c r="BI812" i="13" s="1"/>
  <c r="BL811" i="13"/>
  <c r="CB811" i="13" s="1"/>
  <c r="CC811" i="13" s="1"/>
  <c r="CQ810" i="13"/>
  <c r="BI810" i="13" a="1"/>
  <c r="BI810" i="13" s="1"/>
  <c r="BL809" i="13"/>
  <c r="CB809" i="13" s="1"/>
  <c r="CC809" i="13" s="1"/>
  <c r="CQ808" i="13"/>
  <c r="BI808" i="13" a="1"/>
  <c r="BI808" i="13" s="1"/>
  <c r="BL807" i="13"/>
  <c r="CR807" i="13" s="1"/>
  <c r="CS807" i="13" s="1"/>
  <c r="CQ806" i="13"/>
  <c r="BI806" i="13" a="1"/>
  <c r="BI806" i="13" s="1"/>
  <c r="BL805" i="13"/>
  <c r="CQ804" i="13"/>
  <c r="BI804" i="13" a="1"/>
  <c r="BI804" i="13" s="1"/>
  <c r="BL803" i="13"/>
  <c r="CR803" i="13" s="1"/>
  <c r="CS803" i="13" s="1"/>
  <c r="CQ802" i="13"/>
  <c r="BI802" i="13" a="1"/>
  <c r="BI802" i="13" s="1"/>
  <c r="BL801" i="13"/>
  <c r="CQ800" i="13"/>
  <c r="BI800" i="13" a="1"/>
  <c r="BI800" i="13" s="1"/>
  <c r="BL799" i="13"/>
  <c r="CJ799" i="13" s="1"/>
  <c r="CK799" i="13" s="1"/>
  <c r="CL799" i="13" s="1" a="1"/>
  <c r="CL799" i="13" s="1"/>
  <c r="CQ798" i="13"/>
  <c r="BI798" i="13" a="1"/>
  <c r="BI798" i="13" s="1"/>
  <c r="BL797" i="13"/>
  <c r="CQ796" i="13"/>
  <c r="BI796" i="13" a="1"/>
  <c r="BI796" i="13" s="1"/>
  <c r="BL795" i="13"/>
  <c r="CR795" i="13" s="1"/>
  <c r="CS795" i="13" s="1"/>
  <c r="CQ794" i="13"/>
  <c r="BI794" i="13" a="1"/>
  <c r="BI794" i="13" s="1"/>
  <c r="BL793" i="13"/>
  <c r="CQ792" i="13"/>
  <c r="BI792" i="13" a="1"/>
  <c r="BI792" i="13" s="1"/>
  <c r="BL791" i="13"/>
  <c r="CV791" i="13" s="1"/>
  <c r="CW791" i="13" s="1"/>
  <c r="CQ790" i="13"/>
  <c r="BI790" i="13" a="1"/>
  <c r="BI790" i="13" s="1"/>
  <c r="BL789" i="13"/>
  <c r="CQ788" i="13"/>
  <c r="BI788" i="13" a="1"/>
  <c r="BI788" i="13" s="1"/>
  <c r="BL787" i="13"/>
  <c r="CV787" i="13" s="1"/>
  <c r="CW787" i="13" s="1"/>
  <c r="CQ786" i="13"/>
  <c r="BI786" i="13" a="1"/>
  <c r="BI786" i="13" s="1"/>
  <c r="BL785" i="13"/>
  <c r="CQ784" i="13"/>
  <c r="BI784" i="13" a="1"/>
  <c r="BI784" i="13" s="1"/>
  <c r="BL783" i="13"/>
  <c r="CQ782" i="13"/>
  <c r="BI782" i="13" a="1"/>
  <c r="BI782" i="13" s="1"/>
  <c r="BL781" i="13"/>
  <c r="CQ780" i="13"/>
  <c r="BI780" i="13" a="1"/>
  <c r="BI780" i="13" s="1"/>
  <c r="CQ778" i="13"/>
  <c r="BI778" i="13" a="1"/>
  <c r="BI778" i="13" s="1"/>
  <c r="CQ776" i="13"/>
  <c r="BI776" i="13" a="1"/>
  <c r="BI776" i="13" s="1"/>
  <c r="CQ774" i="13"/>
  <c r="BI774" i="13" a="1"/>
  <c r="BI774" i="13" s="1"/>
  <c r="CQ772" i="13"/>
  <c r="BI772" i="13" a="1"/>
  <c r="BI772" i="13" s="1"/>
  <c r="CQ770" i="13"/>
  <c r="BI770" i="13" a="1"/>
  <c r="BI770" i="13" s="1"/>
  <c r="CQ768" i="13"/>
  <c r="BI768" i="13" a="1"/>
  <c r="BI768" i="13" s="1"/>
  <c r="CQ766" i="13"/>
  <c r="BI766" i="13" a="1"/>
  <c r="BI766" i="13" s="1"/>
  <c r="CQ764" i="13"/>
  <c r="BI764" i="13" a="1"/>
  <c r="BI764" i="13" s="1"/>
  <c r="CQ762" i="13"/>
  <c r="BI762" i="13" a="1"/>
  <c r="BI762" i="13" s="1"/>
  <c r="CQ760" i="13"/>
  <c r="BI760" i="13" a="1"/>
  <c r="BI760" i="13" s="1"/>
  <c r="CQ758" i="13"/>
  <c r="BI758" i="13" a="1"/>
  <c r="BI758" i="13" s="1"/>
  <c r="CQ756" i="13"/>
  <c r="BI756" i="13" a="1"/>
  <c r="BI756" i="13" s="1"/>
  <c r="AM753" i="13"/>
  <c r="BL750" i="13"/>
  <c r="BK750" i="13"/>
  <c r="CB750" i="13" s="1"/>
  <c r="CC750" i="13" s="1"/>
  <c r="CH749" i="13"/>
  <c r="BJ717" i="13"/>
  <c r="BJ706" i="13"/>
  <c r="BJ698" i="13"/>
  <c r="BJ693" i="13"/>
  <c r="CN693" i="13" s="1"/>
  <c r="CO693" i="13" s="1"/>
  <c r="BJ692" i="13"/>
  <c r="CN692" i="13" s="1"/>
  <c r="CO692" i="13" s="1"/>
  <c r="BJ686" i="13"/>
  <c r="CR686" i="13" s="1"/>
  <c r="CS686" i="13" s="1"/>
  <c r="BN824" i="13"/>
  <c r="BN822" i="13"/>
  <c r="BN820" i="13"/>
  <c r="BN818" i="13"/>
  <c r="BN816" i="13"/>
  <c r="BN814" i="13"/>
  <c r="BN812" i="13"/>
  <c r="BN810" i="13"/>
  <c r="BN808" i="13"/>
  <c r="BN806" i="13"/>
  <c r="BN804" i="13"/>
  <c r="BN802" i="13"/>
  <c r="BN800" i="13"/>
  <c r="BN798" i="13"/>
  <c r="BN796" i="13"/>
  <c r="BN794" i="13"/>
  <c r="BN792" i="13"/>
  <c r="BN790" i="13"/>
  <c r="BN788" i="13"/>
  <c r="BN786" i="13"/>
  <c r="BN784" i="13"/>
  <c r="BN782" i="13"/>
  <c r="BN780" i="13"/>
  <c r="CT779" i="13" a="1"/>
  <c r="CT779" i="13" s="1"/>
  <c r="BN778" i="13"/>
  <c r="BN776" i="13"/>
  <c r="BN774" i="13"/>
  <c r="BN772" i="13"/>
  <c r="BN770" i="13"/>
  <c r="BN768" i="13"/>
  <c r="BN766" i="13"/>
  <c r="BN764" i="13"/>
  <c r="BN762" i="13"/>
  <c r="BN760" i="13"/>
  <c r="BN758" i="13"/>
  <c r="BN756" i="13"/>
  <c r="BW749" i="13"/>
  <c r="BK749" i="13"/>
  <c r="BI747" i="13" a="1"/>
  <c r="BI747" i="13" s="1"/>
  <c r="CQ747" i="13"/>
  <c r="BS747" i="13"/>
  <c r="BN747" i="13"/>
  <c r="BI741" i="13" a="1"/>
  <c r="BI741" i="13" s="1"/>
  <c r="CQ741" i="13"/>
  <c r="BS741" i="13"/>
  <c r="CU741" i="13"/>
  <c r="BN741" i="13"/>
  <c r="CN731" i="13"/>
  <c r="CO731" i="13" s="1"/>
  <c r="BJ723" i="13"/>
  <c r="CN723" i="13" s="1"/>
  <c r="CO723" i="13" s="1"/>
  <c r="CP723" i="13" s="1" a="1"/>
  <c r="CP723" i="13" s="1"/>
  <c r="BJ707" i="13"/>
  <c r="CN707" i="13" s="1"/>
  <c r="CO707" i="13" s="1"/>
  <c r="BJ699" i="13"/>
  <c r="CN699" i="13" s="1"/>
  <c r="CO699" i="13" s="1"/>
  <c r="CV692" i="13"/>
  <c r="CW692" i="13" s="1"/>
  <c r="CB692" i="13"/>
  <c r="CC692" i="13" s="1"/>
  <c r="CJ692" i="13"/>
  <c r="CK692" i="13" s="1"/>
  <c r="BP692" i="13"/>
  <c r="BQ692" i="13" s="1"/>
  <c r="BR692" i="13" s="1" a="1"/>
  <c r="BR692" i="13" s="1"/>
  <c r="BX692" i="13"/>
  <c r="BY692" i="13" s="1"/>
  <c r="BJ687" i="13"/>
  <c r="CN687" i="13" s="1"/>
  <c r="CO687" i="13" s="1"/>
  <c r="CN686" i="13"/>
  <c r="CO686" i="13" s="1"/>
  <c r="CV686" i="13"/>
  <c r="CW686" i="13" s="1"/>
  <c r="CB686" i="13"/>
  <c r="CC686" i="13" s="1"/>
  <c r="CJ686" i="13"/>
  <c r="CK686" i="13" s="1"/>
  <c r="BP686" i="13"/>
  <c r="BQ686" i="13" s="1"/>
  <c r="BR686" i="13" s="1" a="1"/>
  <c r="BR686" i="13" s="1"/>
  <c r="CH824" i="13"/>
  <c r="CA824" i="13"/>
  <c r="AM824" i="13"/>
  <c r="CH822" i="13"/>
  <c r="CA822" i="13"/>
  <c r="AM822" i="13"/>
  <c r="CH820" i="13"/>
  <c r="CA820" i="13"/>
  <c r="AM820" i="13"/>
  <c r="CH818" i="13"/>
  <c r="CA818" i="13"/>
  <c r="AM818" i="13"/>
  <c r="CH816" i="13"/>
  <c r="CA816" i="13"/>
  <c r="AM816" i="13"/>
  <c r="CH814" i="13"/>
  <c r="CA814" i="13"/>
  <c r="AM814" i="13"/>
  <c r="CH812" i="13"/>
  <c r="CA812" i="13"/>
  <c r="AM812" i="13"/>
  <c r="CH810" i="13"/>
  <c r="CA810" i="13"/>
  <c r="AM810" i="13"/>
  <c r="CH808" i="13"/>
  <c r="CA808" i="13"/>
  <c r="AM808" i="13"/>
  <c r="CH806" i="13"/>
  <c r="CA806" i="13"/>
  <c r="AM806" i="13"/>
  <c r="CH804" i="13"/>
  <c r="CA804" i="13"/>
  <c r="AM804" i="13"/>
  <c r="CH802" i="13"/>
  <c r="CA802" i="13"/>
  <c r="AM802" i="13"/>
  <c r="CH800" i="13"/>
  <c r="CA800" i="13"/>
  <c r="AM800" i="13"/>
  <c r="CH798" i="13"/>
  <c r="CA798" i="13"/>
  <c r="AM798" i="13"/>
  <c r="CH796" i="13"/>
  <c r="CA796" i="13"/>
  <c r="AM796" i="13"/>
  <c r="CH794" i="13"/>
  <c r="CA794" i="13"/>
  <c r="AM794" i="13"/>
  <c r="CH792" i="13"/>
  <c r="CA792" i="13"/>
  <c r="AM792" i="13"/>
  <c r="CY791" i="13" a="1"/>
  <c r="CY791" i="13" s="1"/>
  <c r="CH790" i="13"/>
  <c r="CA790" i="13"/>
  <c r="AM790" i="13"/>
  <c r="CH788" i="13"/>
  <c r="CA788" i="13"/>
  <c r="AM788" i="13"/>
  <c r="CY787" i="13" a="1"/>
  <c r="CY787" i="13" s="1"/>
  <c r="CH786" i="13"/>
  <c r="CA786" i="13"/>
  <c r="AM786" i="13"/>
  <c r="CH784" i="13"/>
  <c r="CA784" i="13"/>
  <c r="AM784" i="13"/>
  <c r="BJ783" i="13"/>
  <c r="CH782" i="13"/>
  <c r="CA782" i="13"/>
  <c r="AM782" i="13"/>
  <c r="CH780" i="13"/>
  <c r="CA780" i="13"/>
  <c r="AM780" i="13"/>
  <c r="CH778" i="13"/>
  <c r="CA778" i="13"/>
  <c r="AM778" i="13"/>
  <c r="BJ777" i="13"/>
  <c r="CH776" i="13"/>
  <c r="CA776" i="13"/>
  <c r="AM776" i="13"/>
  <c r="BJ775" i="13"/>
  <c r="CH774" i="13"/>
  <c r="CA774" i="13"/>
  <c r="AM774" i="13"/>
  <c r="BJ773" i="13"/>
  <c r="CH772" i="13"/>
  <c r="CA772" i="13"/>
  <c r="AM772" i="13"/>
  <c r="BJ771" i="13"/>
  <c r="CH770" i="13"/>
  <c r="CA770" i="13"/>
  <c r="AM770" i="13"/>
  <c r="BJ769" i="13"/>
  <c r="CH768" i="13"/>
  <c r="CA768" i="13"/>
  <c r="AM768" i="13"/>
  <c r="BJ767" i="13"/>
  <c r="CH766" i="13"/>
  <c r="CA766" i="13"/>
  <c r="AM766" i="13"/>
  <c r="BJ765" i="13"/>
  <c r="CH764" i="13"/>
  <c r="CA764" i="13"/>
  <c r="AM764" i="13"/>
  <c r="BJ763" i="13"/>
  <c r="CR763" i="13" s="1"/>
  <c r="CS763" i="13" s="1"/>
  <c r="CH762" i="13"/>
  <c r="CA762" i="13"/>
  <c r="AM762" i="13"/>
  <c r="BJ761" i="13"/>
  <c r="CR761" i="13" s="1"/>
  <c r="CS761" i="13" s="1"/>
  <c r="CH760" i="13"/>
  <c r="CA760" i="13"/>
  <c r="AM760" i="13"/>
  <c r="BJ759" i="13"/>
  <c r="CH758" i="13"/>
  <c r="CA758" i="13"/>
  <c r="AM758" i="13"/>
  <c r="BJ757" i="13"/>
  <c r="CH756" i="13"/>
  <c r="CA756" i="13"/>
  <c r="AM756" i="13"/>
  <c r="BJ755" i="13"/>
  <c r="CR755" i="13" s="1"/>
  <c r="CS755" i="13" s="1"/>
  <c r="CM753" i="13"/>
  <c r="CA753" i="13"/>
  <c r="CU747" i="13"/>
  <c r="AM745" i="13"/>
  <c r="BL744" i="13"/>
  <c r="BK744" i="13"/>
  <c r="CM741" i="13"/>
  <c r="BL736" i="13"/>
  <c r="CB736" i="13" s="1"/>
  <c r="CC736" i="13" s="1"/>
  <c r="CE736" i="13" s="1" a="1"/>
  <c r="CE736" i="13" s="1"/>
  <c r="BK736" i="13"/>
  <c r="BJ733" i="13"/>
  <c r="BJ725" i="13"/>
  <c r="CN725" i="13" s="1"/>
  <c r="CO725" i="13" s="1"/>
  <c r="BJ713" i="13"/>
  <c r="CN713" i="13" s="1"/>
  <c r="CO713" i="13"/>
  <c r="BJ704" i="13"/>
  <c r="CW696" i="13"/>
  <c r="BJ696" i="13"/>
  <c r="CR696" i="13" s="1"/>
  <c r="CS696" i="13" s="1"/>
  <c r="CR765" i="13"/>
  <c r="CS765" i="13" s="1"/>
  <c r="CR757" i="13"/>
  <c r="CS757" i="13" s="1"/>
  <c r="BI753" i="13" a="1"/>
  <c r="BI753" i="13" s="1"/>
  <c r="CQ753" i="13"/>
  <c r="BS753" i="13"/>
  <c r="BN753" i="13"/>
  <c r="AM749" i="13"/>
  <c r="BL748" i="13"/>
  <c r="BK748" i="13"/>
  <c r="CN735" i="13"/>
  <c r="CO735" i="13" s="1"/>
  <c r="BJ719" i="13"/>
  <c r="CN719" i="13" s="1"/>
  <c r="CO719" i="13" s="1"/>
  <c r="BJ705" i="13"/>
  <c r="CN705" i="13" s="1"/>
  <c r="CO705" i="13" s="1"/>
  <c r="BJ697" i="13"/>
  <c r="CN697" i="13" s="1"/>
  <c r="CO697" i="13" s="1"/>
  <c r="CN696" i="13"/>
  <c r="CO696" i="13" s="1"/>
  <c r="CV696" i="13"/>
  <c r="CB696" i="13"/>
  <c r="CC696" i="13" s="1"/>
  <c r="CJ696" i="13"/>
  <c r="CK696" i="13" s="1"/>
  <c r="CL696" i="13" s="1" a="1"/>
  <c r="CL696" i="13" s="1"/>
  <c r="BP696" i="13"/>
  <c r="BQ696" i="13" s="1"/>
  <c r="BR696" i="13" s="1" a="1"/>
  <c r="BR696" i="13" s="1"/>
  <c r="BX696" i="13"/>
  <c r="BY696" i="13" s="1"/>
  <c r="BZ696" i="13" s="1" a="1"/>
  <c r="BZ696" i="13" s="1"/>
  <c r="BT692" i="13"/>
  <c r="BU692" i="13" s="1"/>
  <c r="BT686" i="13"/>
  <c r="BU686" i="13" s="1"/>
  <c r="BV686" i="13" s="1" a="1"/>
  <c r="BV686" i="13" s="1"/>
  <c r="BL788" i="13"/>
  <c r="BL786" i="13"/>
  <c r="BL784" i="13"/>
  <c r="BL782" i="13"/>
  <c r="BL780" i="13"/>
  <c r="BL778" i="13"/>
  <c r="BL776" i="13"/>
  <c r="BL774" i="13"/>
  <c r="BL772" i="13"/>
  <c r="BL770" i="13"/>
  <c r="BL768" i="13"/>
  <c r="BL766" i="13"/>
  <c r="BL764" i="13"/>
  <c r="BL762" i="13"/>
  <c r="BL760" i="13"/>
  <c r="BL758" i="13"/>
  <c r="BL756" i="13"/>
  <c r="CU753" i="13"/>
  <c r="BI751" i="13" a="1"/>
  <c r="BI751" i="13" s="1"/>
  <c r="CQ751" i="13"/>
  <c r="BS751" i="13"/>
  <c r="BN751" i="13"/>
  <c r="BL738" i="13"/>
  <c r="BK738" i="13"/>
  <c r="CB738" i="13" s="1"/>
  <c r="CC738" i="13" s="1"/>
  <c r="CN729" i="13"/>
  <c r="CO729" i="13"/>
  <c r="BJ710" i="13"/>
  <c r="BJ702" i="13"/>
  <c r="BJ694" i="13"/>
  <c r="BT694" i="13" s="1"/>
  <c r="BU694" i="13" s="1"/>
  <c r="BJ691" i="13"/>
  <c r="CN691" i="13" s="1"/>
  <c r="CO691" i="13" s="1"/>
  <c r="BJ690" i="13"/>
  <c r="BT690" i="13" s="1"/>
  <c r="BU690" i="13" s="1"/>
  <c r="BL754" i="13"/>
  <c r="BK754" i="13"/>
  <c r="CH753" i="13"/>
  <c r="CM749" i="13"/>
  <c r="CA749" i="13"/>
  <c r="BI745" i="13" a="1"/>
  <c r="BI745" i="13" s="1"/>
  <c r="CQ745" i="13"/>
  <c r="BS745" i="13"/>
  <c r="BN745" i="13"/>
  <c r="CN737" i="13"/>
  <c r="CO737" i="13" s="1"/>
  <c r="BJ715" i="13"/>
  <c r="CN715" i="13" s="1"/>
  <c r="CO715" i="13" s="1"/>
  <c r="BJ711" i="13"/>
  <c r="CN711" i="13" s="1"/>
  <c r="CO711" i="13" s="1"/>
  <c r="BJ703" i="13"/>
  <c r="CN703" i="13" s="1"/>
  <c r="CO703" i="13" s="1"/>
  <c r="BJ695" i="13"/>
  <c r="CN695" i="13" s="1"/>
  <c r="CO695" i="13" s="1"/>
  <c r="CB694" i="13"/>
  <c r="CC694" i="13" s="1"/>
  <c r="CJ694" i="13"/>
  <c r="CK694" i="13" s="1"/>
  <c r="CL694" i="13" s="1" a="1"/>
  <c r="CL694" i="13" s="1"/>
  <c r="BL752" i="13"/>
  <c r="BK752" i="13"/>
  <c r="BI749" i="13" a="1"/>
  <c r="BI749" i="13" s="1"/>
  <c r="CQ749" i="13"/>
  <c r="BS749" i="13"/>
  <c r="BN749" i="13"/>
  <c r="BL746" i="13"/>
  <c r="BK746" i="13"/>
  <c r="BL742" i="13"/>
  <c r="BK742" i="13"/>
  <c r="BL740" i="13"/>
  <c r="BK740" i="13"/>
  <c r="CN733" i="13"/>
  <c r="CO733" i="13" s="1"/>
  <c r="BJ721" i="13"/>
  <c r="CN721" i="13" s="1"/>
  <c r="CO721" i="13" s="1"/>
  <c r="CN717" i="13"/>
  <c r="CO717" i="13" s="1"/>
  <c r="CN709" i="13"/>
  <c r="CO709" i="13" s="1"/>
  <c r="BJ708" i="13"/>
  <c r="CN701" i="13"/>
  <c r="CO701" i="13" s="1"/>
  <c r="BJ700" i="13"/>
  <c r="BT696" i="13"/>
  <c r="BU696" i="13" s="1"/>
  <c r="BV696" i="13" s="1" a="1"/>
  <c r="BV696" i="13" s="1"/>
  <c r="CR692" i="13"/>
  <c r="CS692" i="13" s="1"/>
  <c r="CN689" i="13"/>
  <c r="CO689" i="13" s="1"/>
  <c r="BJ688" i="13"/>
  <c r="CR688" i="13" s="1"/>
  <c r="CS688" i="13" s="1"/>
  <c r="CJ739" i="13"/>
  <c r="CK739" i="13" s="1"/>
  <c r="CP739" i="13" s="1" a="1"/>
  <c r="CP739" i="13" s="1"/>
  <c r="BN739" i="13"/>
  <c r="BX739" i="13" s="1"/>
  <c r="BY739" i="13" s="1"/>
  <c r="CJ737" i="13"/>
  <c r="CK737" i="13" s="1"/>
  <c r="CL737" i="13" s="1" a="1"/>
  <c r="CL737" i="13" s="1"/>
  <c r="BN737" i="13"/>
  <c r="BX737" i="13" s="1"/>
  <c r="BY737" i="13" s="1"/>
  <c r="CJ735" i="13"/>
  <c r="CK735" i="13" s="1"/>
  <c r="CL735" i="13" s="1" a="1"/>
  <c r="CL735" i="13" s="1"/>
  <c r="BN735" i="13"/>
  <c r="BX735" i="13" s="1"/>
  <c r="BY735" i="13" s="1"/>
  <c r="BK734" i="13"/>
  <c r="CJ733" i="13"/>
  <c r="CK733" i="13" s="1"/>
  <c r="CL733" i="13" s="1" a="1"/>
  <c r="CL733" i="13" s="1"/>
  <c r="BN733" i="13"/>
  <c r="BX733" i="13" s="1"/>
  <c r="BY733" i="13" s="1"/>
  <c r="BK732" i="13"/>
  <c r="CJ731" i="13"/>
  <c r="CK731" i="13" s="1"/>
  <c r="CL731" i="13" s="1" a="1"/>
  <c r="CL731" i="13" s="1"/>
  <c r="BN731" i="13"/>
  <c r="BX731" i="13" s="1"/>
  <c r="BY731" i="13" s="1"/>
  <c r="BK730" i="13"/>
  <c r="CB730" i="13" s="1"/>
  <c r="CC730" i="13" s="1"/>
  <c r="CJ729" i="13"/>
  <c r="CK729" i="13" s="1"/>
  <c r="CL729" i="13" s="1" a="1"/>
  <c r="CL729" i="13" s="1"/>
  <c r="BN729" i="13"/>
  <c r="BK728" i="13"/>
  <c r="CJ727" i="13"/>
  <c r="CK727" i="13" s="1"/>
  <c r="CL727" i="13" s="1" a="1"/>
  <c r="CL727" i="13" s="1"/>
  <c r="BN727" i="13"/>
  <c r="BX727" i="13" s="1"/>
  <c r="BY727" i="13" s="1"/>
  <c r="BK726" i="13"/>
  <c r="CR726" i="13" s="1"/>
  <c r="CS726" i="13" s="1"/>
  <c r="CJ725" i="13"/>
  <c r="CK725" i="13" s="1"/>
  <c r="CL725" i="13" s="1" a="1"/>
  <c r="CL725" i="13" s="1"/>
  <c r="BN725" i="13"/>
  <c r="CB725" i="13" s="1"/>
  <c r="CC725" i="13" s="1"/>
  <c r="BK724" i="13"/>
  <c r="CJ723" i="13"/>
  <c r="CK723" i="13" s="1"/>
  <c r="CL723" i="13" s="1" a="1"/>
  <c r="CL723" i="13" s="1"/>
  <c r="BN723" i="13"/>
  <c r="BK722" i="13"/>
  <c r="CR722" i="13" s="1"/>
  <c r="CS722" i="13" s="1"/>
  <c r="CJ721" i="13"/>
  <c r="CK721" i="13" s="1"/>
  <c r="CL721" i="13" s="1" a="1"/>
  <c r="CL721" i="13" s="1"/>
  <c r="BN721" i="13"/>
  <c r="BP721" i="13" s="1"/>
  <c r="BQ721" i="13" s="1"/>
  <c r="BR721" i="13" s="1" a="1"/>
  <c r="BR721" i="13" s="1"/>
  <c r="BK720" i="13"/>
  <c r="CB720" i="13" s="1"/>
  <c r="CC720" i="13" s="1"/>
  <c r="CJ719" i="13"/>
  <c r="CK719" i="13" s="1"/>
  <c r="CL719" i="13" s="1" a="1"/>
  <c r="CL719" i="13" s="1"/>
  <c r="BN719" i="13"/>
  <c r="BP719" i="13" s="1"/>
  <c r="BQ719" i="13" s="1"/>
  <c r="BR719" i="13" s="1" a="1"/>
  <c r="BR719" i="13" s="1"/>
  <c r="BK718" i="13"/>
  <c r="CJ717" i="13"/>
  <c r="CK717" i="13" s="1"/>
  <c r="CL717" i="13" s="1" a="1"/>
  <c r="CL717" i="13" s="1"/>
  <c r="BN717" i="13"/>
  <c r="CB717" i="13" s="1"/>
  <c r="CC717" i="13" s="1"/>
  <c r="BK716" i="13"/>
  <c r="CB716" i="13" s="1"/>
  <c r="CC716" i="13" s="1"/>
  <c r="CJ715" i="13"/>
  <c r="CK715" i="13" s="1"/>
  <c r="CL715" i="13" s="1" a="1"/>
  <c r="CL715" i="13" s="1"/>
  <c r="BN715" i="13"/>
  <c r="BP715" i="13" s="1"/>
  <c r="BQ715" i="13" s="1"/>
  <c r="BR715" i="13" s="1" a="1"/>
  <c r="BR715" i="13" s="1"/>
  <c r="BK714" i="13"/>
  <c r="CB714" i="13" s="1"/>
  <c r="CC714" i="13" s="1"/>
  <c r="CJ713" i="13"/>
  <c r="CK713" i="13" s="1"/>
  <c r="CL713" i="13" s="1" a="1"/>
  <c r="CL713" i="13" s="1"/>
  <c r="BN713" i="13"/>
  <c r="BP713" i="13" s="1"/>
  <c r="BQ713" i="13" s="1"/>
  <c r="BR713" i="13" s="1" a="1"/>
  <c r="BR713" i="13" s="1"/>
  <c r="BK712" i="13"/>
  <c r="CJ711" i="13"/>
  <c r="CK711" i="13" s="1"/>
  <c r="CL711" i="13" s="1" a="1"/>
  <c r="CL711" i="13" s="1"/>
  <c r="BN711" i="13"/>
  <c r="CB711" i="13" s="1"/>
  <c r="CC711" i="13" s="1"/>
  <c r="BK710" i="13"/>
  <c r="CB710" i="13" s="1"/>
  <c r="CC710" i="13" s="1"/>
  <c r="CJ709" i="13"/>
  <c r="CK709" i="13" s="1"/>
  <c r="CL709" i="13" s="1" a="1"/>
  <c r="CL709" i="13" s="1"/>
  <c r="BN709" i="13"/>
  <c r="CB709" i="13" s="1"/>
  <c r="CC709" i="13" s="1"/>
  <c r="BK708" i="13"/>
  <c r="CJ707" i="13"/>
  <c r="CK707" i="13" s="1"/>
  <c r="CL707" i="13" s="1" a="1"/>
  <c r="CL707" i="13" s="1"/>
  <c r="BN707" i="13"/>
  <c r="CB707" i="13" s="1"/>
  <c r="CC707" i="13" s="1"/>
  <c r="BK706" i="13"/>
  <c r="CJ705" i="13"/>
  <c r="CK705" i="13" s="1"/>
  <c r="CL705" i="13" s="1" a="1"/>
  <c r="CL705" i="13" s="1"/>
  <c r="BN705" i="13"/>
  <c r="CB705" i="13" s="1"/>
  <c r="CC705" i="13" s="1"/>
  <c r="BK704" i="13"/>
  <c r="CJ703" i="13"/>
  <c r="CK703" i="13" s="1"/>
  <c r="CL703" i="13" s="1" a="1"/>
  <c r="CL703" i="13" s="1"/>
  <c r="BN703" i="13"/>
  <c r="BP703" i="13" s="1"/>
  <c r="BQ703" i="13" s="1"/>
  <c r="BR703" i="13" s="1" a="1"/>
  <c r="BR703" i="13" s="1"/>
  <c r="BK702" i="13"/>
  <c r="CB702" i="13" s="1"/>
  <c r="CC702" i="13" s="1"/>
  <c r="CJ701" i="13"/>
  <c r="CK701" i="13" s="1"/>
  <c r="BN701" i="13"/>
  <c r="CB701" i="13" s="1"/>
  <c r="CC701" i="13" s="1"/>
  <c r="BK700" i="13"/>
  <c r="CJ699" i="13"/>
  <c r="CK699" i="13" s="1"/>
  <c r="CL699" i="13" s="1" a="1"/>
  <c r="CL699" i="13" s="1"/>
  <c r="BN699" i="13"/>
  <c r="CB699" i="13" s="1"/>
  <c r="CC699" i="13" s="1"/>
  <c r="BK698" i="13"/>
  <c r="CJ697" i="13"/>
  <c r="CK697" i="13" s="1"/>
  <c r="CL697" i="13" s="1" a="1"/>
  <c r="CL697" i="13" s="1"/>
  <c r="BN697" i="13"/>
  <c r="BN695" i="13"/>
  <c r="CJ693" i="13"/>
  <c r="CK693" i="13" s="1"/>
  <c r="BN693" i="13"/>
  <c r="CB693" i="13" s="1"/>
  <c r="CC693" i="13" s="1"/>
  <c r="CJ691" i="13"/>
  <c r="CK691" i="13" s="1"/>
  <c r="CL691" i="13" s="1" a="1"/>
  <c r="CL691" i="13" s="1"/>
  <c r="BN691" i="13"/>
  <c r="CB691" i="13" s="1"/>
  <c r="CC691" i="13" s="1"/>
  <c r="CJ689" i="13"/>
  <c r="CK689" i="13" s="1"/>
  <c r="CL689" i="13" s="1" a="1"/>
  <c r="CL689" i="13" s="1"/>
  <c r="BN689" i="13"/>
  <c r="CB689" i="13" s="1"/>
  <c r="CC689" i="13" s="1"/>
  <c r="CJ687" i="13"/>
  <c r="CK687" i="13" s="1"/>
  <c r="CL687" i="13" s="1" a="1"/>
  <c r="CL687" i="13" s="1"/>
  <c r="BN687" i="13"/>
  <c r="CB687" i="13" s="1"/>
  <c r="CC687" i="13" s="1"/>
  <c r="CU683" i="13"/>
  <c r="BS682" i="13"/>
  <c r="BI682" i="13" a="1"/>
  <c r="BI682" i="13" s="1"/>
  <c r="CQ682" i="13"/>
  <c r="A682" i="13"/>
  <c r="AM681" i="13"/>
  <c r="CM680" i="13"/>
  <c r="BK680" i="13"/>
  <c r="CA678" i="13"/>
  <c r="CU675" i="13"/>
  <c r="BS674" i="13"/>
  <c r="BI674" i="13" a="1"/>
  <c r="BI674" i="13" s="1"/>
  <c r="CQ674" i="13"/>
  <c r="A674" i="13"/>
  <c r="AM673" i="13"/>
  <c r="CM672" i="13"/>
  <c r="BK672" i="13"/>
  <c r="CA670" i="13"/>
  <c r="CU667" i="13"/>
  <c r="BS666" i="13"/>
  <c r="BI666" i="13" a="1"/>
  <c r="BI666" i="13" s="1"/>
  <c r="CQ666" i="13"/>
  <c r="A666" i="13"/>
  <c r="AM665" i="13"/>
  <c r="BN662" i="13"/>
  <c r="AM661" i="13"/>
  <c r="CA661" i="13"/>
  <c r="CH661" i="13"/>
  <c r="BI661" i="13" a="1"/>
  <c r="BI661" i="13" s="1"/>
  <c r="CQ661" i="13"/>
  <c r="BS661" i="13"/>
  <c r="CM660" i="13"/>
  <c r="BK660" i="13"/>
  <c r="BN654" i="13"/>
  <c r="CU653" i="13"/>
  <c r="AM651" i="13"/>
  <c r="CA651" i="13"/>
  <c r="CH651" i="13"/>
  <c r="BN651" i="13"/>
  <c r="BI651" i="13" a="1"/>
  <c r="BI651" i="13" s="1"/>
  <c r="CQ651" i="13"/>
  <c r="BS651" i="13"/>
  <c r="BK649" i="13"/>
  <c r="BL649" i="13"/>
  <c r="BK648" i="13"/>
  <c r="BL648" i="13"/>
  <c r="BK646" i="13"/>
  <c r="BL646" i="13"/>
  <c r="BI679" i="13" a="1"/>
  <c r="BI679" i="13" s="1"/>
  <c r="CQ679" i="13"/>
  <c r="BS679" i="13"/>
  <c r="A679" i="13"/>
  <c r="BI671" i="13" a="1"/>
  <c r="BI671" i="13" s="1"/>
  <c r="CQ671" i="13"/>
  <c r="BS671" i="13"/>
  <c r="A671" i="13"/>
  <c r="BS658" i="13"/>
  <c r="AM658" i="13"/>
  <c r="CA658" i="13"/>
  <c r="CH658" i="13"/>
  <c r="BI658" i="13" a="1"/>
  <c r="BI658" i="13" s="1"/>
  <c r="CQ658" i="13"/>
  <c r="BK652" i="13"/>
  <c r="BL652" i="13"/>
  <c r="BK650" i="13"/>
  <c r="BL650" i="13"/>
  <c r="BJ612" i="13"/>
  <c r="CU739" i="13"/>
  <c r="CV739" i="13" s="1"/>
  <c r="CW739" i="13" s="1"/>
  <c r="CU737" i="13"/>
  <c r="CV737" i="13" s="1"/>
  <c r="CW737" i="13" s="1"/>
  <c r="CU735" i="13"/>
  <c r="CV735" i="13" s="1"/>
  <c r="CW735" i="13" s="1"/>
  <c r="CU733" i="13"/>
  <c r="CV733" i="13" s="1"/>
  <c r="CW733" i="13" s="1"/>
  <c r="CU731" i="13"/>
  <c r="CV731" i="13" s="1"/>
  <c r="CW731" i="13" s="1"/>
  <c r="CU729" i="13"/>
  <c r="CV729" i="13" s="1"/>
  <c r="CW729" i="13" s="1"/>
  <c r="CU727" i="13"/>
  <c r="CV727" i="13" s="1"/>
  <c r="CW727" i="13" s="1"/>
  <c r="CU725" i="13"/>
  <c r="CV725" i="13" s="1"/>
  <c r="CW725" i="13" s="1"/>
  <c r="CU723" i="13"/>
  <c r="CV723" i="13" s="1"/>
  <c r="CW723" i="13" s="1"/>
  <c r="CU721" i="13"/>
  <c r="CV721" i="13" s="1"/>
  <c r="CW721" i="13" s="1"/>
  <c r="CU719" i="13"/>
  <c r="CV719" i="13" s="1"/>
  <c r="CW719" i="13" s="1"/>
  <c r="CU717" i="13"/>
  <c r="CV717" i="13" s="1"/>
  <c r="CW717" i="13" s="1"/>
  <c r="CU715" i="13"/>
  <c r="CV715" i="13" s="1"/>
  <c r="CW715" i="13" s="1"/>
  <c r="CU713" i="13"/>
  <c r="CV713" i="13" s="1"/>
  <c r="CW713" i="13" s="1"/>
  <c r="CU711" i="13"/>
  <c r="CV711" i="13" s="1"/>
  <c r="CW711" i="13" s="1"/>
  <c r="CU709" i="13"/>
  <c r="CV709" i="13" s="1"/>
  <c r="CW709" i="13" s="1"/>
  <c r="CU707" i="13"/>
  <c r="CV707" i="13" s="1"/>
  <c r="CW707" i="13" s="1"/>
  <c r="CU705" i="13"/>
  <c r="CV705" i="13" s="1"/>
  <c r="CW705" i="13" s="1"/>
  <c r="CU703" i="13"/>
  <c r="CV703" i="13" s="1"/>
  <c r="CW703" i="13" s="1"/>
  <c r="CU701" i="13"/>
  <c r="CV701" i="13" s="1"/>
  <c r="CW701" i="13" s="1"/>
  <c r="CU699" i="13"/>
  <c r="CV699" i="13" s="1"/>
  <c r="CW699" i="13" s="1"/>
  <c r="CU697" i="13"/>
  <c r="CV697" i="13" s="1"/>
  <c r="CW697" i="13" s="1"/>
  <c r="CU695" i="13"/>
  <c r="CV695" i="13" s="1"/>
  <c r="CW695" i="13" s="1"/>
  <c r="CU693" i="13"/>
  <c r="CV693" i="13" s="1"/>
  <c r="CW693" i="13" s="1"/>
  <c r="CU691" i="13"/>
  <c r="CV691" i="13" s="1"/>
  <c r="CW691" i="13" s="1"/>
  <c r="CU689" i="13"/>
  <c r="CV689" i="13" s="1"/>
  <c r="CW689" i="13" s="1"/>
  <c r="BW688" i="13"/>
  <c r="BX688" i="13" s="1"/>
  <c r="BY688" i="13" s="1"/>
  <c r="CU687" i="13"/>
  <c r="CV687" i="13" s="1"/>
  <c r="CW687" i="13" s="1"/>
  <c r="CL686" i="13" a="1"/>
  <c r="CL686" i="13" s="1"/>
  <c r="BW686" i="13"/>
  <c r="BX686" i="13" s="1"/>
  <c r="BY686" i="13" s="1"/>
  <c r="BZ686" i="13" s="1" a="1"/>
  <c r="BZ686" i="13" s="1"/>
  <c r="CU685" i="13"/>
  <c r="BS684" i="13"/>
  <c r="BI684" i="13" a="1"/>
  <c r="BI684" i="13" s="1"/>
  <c r="CQ684" i="13"/>
  <c r="A684" i="13"/>
  <c r="CM682" i="13"/>
  <c r="BK682" i="13"/>
  <c r="CH678" i="13"/>
  <c r="CU677" i="13"/>
  <c r="BS676" i="13"/>
  <c r="BI676" i="13" a="1"/>
  <c r="BI676" i="13" s="1"/>
  <c r="CQ676" i="13"/>
  <c r="A676" i="13"/>
  <c r="CM674" i="13"/>
  <c r="BK674" i="13"/>
  <c r="CH670" i="13"/>
  <c r="CU669" i="13"/>
  <c r="BS668" i="13"/>
  <c r="BI668" i="13" a="1"/>
  <c r="BI668" i="13" s="1"/>
  <c r="CQ668" i="13"/>
  <c r="A668" i="13"/>
  <c r="CM666" i="13"/>
  <c r="BK666" i="13"/>
  <c r="BN664" i="13"/>
  <c r="AM663" i="13"/>
  <c r="CA663" i="13"/>
  <c r="CH663" i="13"/>
  <c r="BI663" i="13" a="1"/>
  <c r="BI663" i="13" s="1"/>
  <c r="CQ663" i="13"/>
  <c r="BS663" i="13"/>
  <c r="BK662" i="13"/>
  <c r="BW657" i="13"/>
  <c r="BN656" i="13"/>
  <c r="AM655" i="13"/>
  <c r="CA655" i="13"/>
  <c r="CH655" i="13"/>
  <c r="BI655" i="13" a="1"/>
  <c r="BI655" i="13" s="1"/>
  <c r="CQ655" i="13"/>
  <c r="BS655" i="13"/>
  <c r="BK654" i="13"/>
  <c r="BJ617" i="13"/>
  <c r="CB617" i="13" s="1"/>
  <c r="CC617" i="13" s="1"/>
  <c r="BJ616" i="13"/>
  <c r="BJ613" i="13"/>
  <c r="BP613" i="13" s="1"/>
  <c r="BQ613" i="13" s="1"/>
  <c r="BR613" i="13" s="1" a="1"/>
  <c r="BR613" i="13" s="1"/>
  <c r="BI754" i="13" a="1"/>
  <c r="BI754" i="13" s="1"/>
  <c r="BI752" i="13" a="1"/>
  <c r="BI752" i="13" s="1"/>
  <c r="BS739" i="13"/>
  <c r="BT739" i="13" s="1"/>
  <c r="BU739" i="13" s="1"/>
  <c r="BS737" i="13"/>
  <c r="BT737" i="13" s="1"/>
  <c r="BU737" i="13" s="1"/>
  <c r="BS735" i="13"/>
  <c r="BT735" i="13" s="1"/>
  <c r="BU735" i="13" s="1"/>
  <c r="BS733" i="13"/>
  <c r="BT733" i="13" s="1"/>
  <c r="BU733" i="13" s="1"/>
  <c r="BS731" i="13"/>
  <c r="BS729" i="13"/>
  <c r="BT729" i="13" s="1"/>
  <c r="BU729" i="13" s="1"/>
  <c r="BS727" i="13"/>
  <c r="BT727" i="13" s="1"/>
  <c r="BU727" i="13" s="1"/>
  <c r="BS725" i="13"/>
  <c r="BT725" i="13" s="1"/>
  <c r="BU725" i="13" s="1"/>
  <c r="BS723" i="13"/>
  <c r="BT723" i="13" s="1"/>
  <c r="BU723" i="13" s="1"/>
  <c r="BS721" i="13"/>
  <c r="BS719" i="13"/>
  <c r="BT719" i="13" s="1"/>
  <c r="BU719" i="13" s="1"/>
  <c r="BV719" i="13" s="1" a="1"/>
  <c r="BV719" i="13" s="1"/>
  <c r="BS717" i="13"/>
  <c r="BT717" i="13" s="1"/>
  <c r="BU717" i="13" s="1"/>
  <c r="BS715" i="13"/>
  <c r="BT715" i="13" s="1"/>
  <c r="BU715" i="13" s="1"/>
  <c r="BS713" i="13"/>
  <c r="BT713" i="13" s="1"/>
  <c r="BU713" i="13" s="1"/>
  <c r="BS711" i="13"/>
  <c r="BT711" i="13" s="1"/>
  <c r="BU711" i="13" s="1"/>
  <c r="BS709" i="13"/>
  <c r="BT709" i="13" s="1"/>
  <c r="BU709" i="13" s="1"/>
  <c r="BS707" i="13"/>
  <c r="BT707" i="13" s="1"/>
  <c r="BU707" i="13" s="1"/>
  <c r="BS705" i="13"/>
  <c r="BS703" i="13"/>
  <c r="BT703" i="13" s="1"/>
  <c r="BU703" i="13" s="1"/>
  <c r="BV703" i="13" s="1" a="1"/>
  <c r="BV703" i="13" s="1"/>
  <c r="BS701" i="13"/>
  <c r="BT701" i="13" s="1"/>
  <c r="BU701" i="13" s="1"/>
  <c r="BS699" i="13"/>
  <c r="BT699" i="13" s="1"/>
  <c r="BU699" i="13" s="1"/>
  <c r="BS697" i="13"/>
  <c r="BT697" i="13" s="1"/>
  <c r="BU697" i="13" s="1"/>
  <c r="BS695" i="13"/>
  <c r="BT695" i="13" s="1"/>
  <c r="BU695" i="13" s="1"/>
  <c r="BS693" i="13"/>
  <c r="BS691" i="13"/>
  <c r="BT691" i="13" s="1"/>
  <c r="BU691" i="13" s="1"/>
  <c r="BS689" i="13"/>
  <c r="BT689" i="13" s="1"/>
  <c r="BU689" i="13" s="1"/>
  <c r="BS687" i="13"/>
  <c r="BT687" i="13" s="1"/>
  <c r="BU687" i="13" s="1"/>
  <c r="BI681" i="13" a="1"/>
  <c r="BI681" i="13" s="1"/>
  <c r="CQ681" i="13"/>
  <c r="BS681" i="13"/>
  <c r="A681" i="13"/>
  <c r="CM679" i="13"/>
  <c r="BK679" i="13"/>
  <c r="BI673" i="13" a="1"/>
  <c r="BI673" i="13" s="1"/>
  <c r="CQ673" i="13"/>
  <c r="BS673" i="13"/>
  <c r="A673" i="13"/>
  <c r="CM671" i="13"/>
  <c r="BK671" i="13"/>
  <c r="BI665" i="13" a="1"/>
  <c r="BI665" i="13" s="1"/>
  <c r="CQ665" i="13"/>
  <c r="BS665" i="13"/>
  <c r="A665" i="13"/>
  <c r="BS660" i="13"/>
  <c r="AM660" i="13"/>
  <c r="CA660" i="13"/>
  <c r="CH660" i="13"/>
  <c r="BI660" i="13" a="1"/>
  <c r="BI660" i="13" s="1"/>
  <c r="CQ660" i="13"/>
  <c r="BK659" i="13"/>
  <c r="BK653" i="13"/>
  <c r="CB613" i="13"/>
  <c r="CC613" i="13" s="1"/>
  <c r="BJ608" i="13"/>
  <c r="CE709" i="13" a="1"/>
  <c r="CE709" i="13" s="1"/>
  <c r="CE701" i="13" a="1"/>
  <c r="CE701" i="13" s="1"/>
  <c r="CE689" i="13" a="1"/>
  <c r="CE689" i="13" s="1"/>
  <c r="CU679" i="13"/>
  <c r="BS678" i="13"/>
  <c r="BI678" i="13" a="1"/>
  <c r="BI678" i="13" s="1"/>
  <c r="CQ678" i="13"/>
  <c r="A678" i="13"/>
  <c r="CU671" i="13"/>
  <c r="BS670" i="13"/>
  <c r="BI670" i="13" a="1"/>
  <c r="BI670" i="13" s="1"/>
  <c r="CQ670" i="13"/>
  <c r="A670" i="13"/>
  <c r="CM664" i="13"/>
  <c r="BK664" i="13"/>
  <c r="BN658" i="13"/>
  <c r="AM657" i="13"/>
  <c r="CA657" i="13"/>
  <c r="CH657" i="13"/>
  <c r="BI657" i="13" a="1"/>
  <c r="BI657" i="13" s="1"/>
  <c r="CQ657" i="13"/>
  <c r="BS657" i="13"/>
  <c r="BK644" i="13"/>
  <c r="BL644" i="13"/>
  <c r="CY709" i="13" a="1"/>
  <c r="CY709" i="13" s="1"/>
  <c r="CY701" i="13" a="1"/>
  <c r="CY701" i="13" s="1"/>
  <c r="CY689" i="13" a="1"/>
  <c r="CY689" i="13" s="1"/>
  <c r="BI683" i="13" a="1"/>
  <c r="BI683" i="13" s="1"/>
  <c r="CQ683" i="13"/>
  <c r="BS683" i="13"/>
  <c r="A683" i="13"/>
  <c r="CM681" i="13"/>
  <c r="BK681" i="13"/>
  <c r="CA679" i="13"/>
  <c r="CH677" i="13"/>
  <c r="BI675" i="13" a="1"/>
  <c r="BI675" i="13" s="1"/>
  <c r="CQ675" i="13"/>
  <c r="BS675" i="13"/>
  <c r="A675" i="13"/>
  <c r="CM673" i="13"/>
  <c r="BK673" i="13"/>
  <c r="CA671" i="13"/>
  <c r="CH669" i="13"/>
  <c r="BI667" i="13" a="1"/>
  <c r="BI667" i="13" s="1"/>
  <c r="CQ667" i="13"/>
  <c r="BS667" i="13"/>
  <c r="A667" i="13"/>
  <c r="CM665" i="13"/>
  <c r="BK665" i="13"/>
  <c r="BW664" i="13"/>
  <c r="BS662" i="13"/>
  <c r="AM662" i="13"/>
  <c r="CA662" i="13"/>
  <c r="CH662" i="13"/>
  <c r="BI662" i="13" a="1"/>
  <c r="BI662" i="13" s="1"/>
  <c r="CQ662" i="13"/>
  <c r="BW656" i="13"/>
  <c r="BS654" i="13"/>
  <c r="AM654" i="13"/>
  <c r="CA654" i="13"/>
  <c r="CH654" i="13"/>
  <c r="BI654" i="13" a="1"/>
  <c r="BI654" i="13" s="1"/>
  <c r="CQ654" i="13"/>
  <c r="CM653" i="13"/>
  <c r="BK651" i="13"/>
  <c r="BJ615" i="13"/>
  <c r="BT613" i="13"/>
  <c r="BU613" i="13" s="1"/>
  <c r="BV613" i="13" s="1" a="1"/>
  <c r="BV613" i="13" s="1"/>
  <c r="A723" i="13"/>
  <c r="BW721" i="13"/>
  <c r="BX721" i="13" s="1"/>
  <c r="BY721" i="13" s="1"/>
  <c r="A721" i="13"/>
  <c r="BW719" i="13"/>
  <c r="BX719" i="13" s="1"/>
  <c r="BY719" i="13" s="1"/>
  <c r="A719" i="13"/>
  <c r="BW717" i="13"/>
  <c r="BX717" i="13" s="1"/>
  <c r="BY717" i="13" s="1"/>
  <c r="BZ717" i="13" s="1" a="1"/>
  <c r="BZ717" i="13" s="1"/>
  <c r="A717" i="13"/>
  <c r="BW715" i="13"/>
  <c r="BX715" i="13" s="1"/>
  <c r="BY715" i="13" s="1"/>
  <c r="BZ715" i="13" s="1" a="1"/>
  <c r="BZ715" i="13" s="1"/>
  <c r="A715" i="13"/>
  <c r="BW713" i="13"/>
  <c r="BX713" i="13" s="1"/>
  <c r="BY713" i="13" s="1"/>
  <c r="BZ713" i="13" s="1" a="1"/>
  <c r="BZ713" i="13" s="1"/>
  <c r="A713" i="13"/>
  <c r="BW711" i="13"/>
  <c r="BX711" i="13" s="1"/>
  <c r="BY711" i="13" s="1"/>
  <c r="A711" i="13"/>
  <c r="BW709" i="13"/>
  <c r="BX709" i="13" s="1"/>
  <c r="BY709" i="13" s="1"/>
  <c r="CD709" i="13" s="1" a="1"/>
  <c r="CD709" i="13" s="1"/>
  <c r="A709" i="13"/>
  <c r="BW707" i="13"/>
  <c r="BX707" i="13" s="1"/>
  <c r="BY707" i="13" s="1"/>
  <c r="BZ707" i="13" s="1" a="1"/>
  <c r="BZ707" i="13" s="1"/>
  <c r="A707" i="13"/>
  <c r="BW705" i="13"/>
  <c r="BX705" i="13" s="1"/>
  <c r="BY705" i="13" s="1"/>
  <c r="A705" i="13"/>
  <c r="BW703" i="13"/>
  <c r="BX703" i="13" s="1"/>
  <c r="BY703" i="13" s="1"/>
  <c r="A703" i="13"/>
  <c r="CL701" i="13" a="1"/>
  <c r="CL701" i="13" s="1"/>
  <c r="BW701" i="13"/>
  <c r="BX701" i="13" s="1"/>
  <c r="BY701" i="13" s="1"/>
  <c r="CD701" i="13" s="1" a="1"/>
  <c r="CD701" i="13" s="1"/>
  <c r="A701" i="13"/>
  <c r="BW699" i="13"/>
  <c r="BX699" i="13" s="1"/>
  <c r="BY699" i="13" s="1"/>
  <c r="BZ699" i="13" s="1" a="1"/>
  <c r="BZ699" i="13" s="1"/>
  <c r="A699" i="13"/>
  <c r="BW697" i="13"/>
  <c r="BX697" i="13" s="1"/>
  <c r="BY697" i="13" s="1"/>
  <c r="BZ697" i="13" s="1" a="1"/>
  <c r="BZ697" i="13" s="1"/>
  <c r="A697" i="13"/>
  <c r="BW695" i="13"/>
  <c r="BX695" i="13" s="1"/>
  <c r="BY695" i="13" s="1"/>
  <c r="A695" i="13"/>
  <c r="CL693" i="13" a="1"/>
  <c r="CL693" i="13" s="1"/>
  <c r="BW693" i="13"/>
  <c r="BX693" i="13" s="1"/>
  <c r="BY693" i="13" s="1"/>
  <c r="A693" i="13"/>
  <c r="BW691" i="13"/>
  <c r="BX691" i="13" s="1"/>
  <c r="BY691" i="13" s="1"/>
  <c r="BZ691" i="13" s="1" a="1"/>
  <c r="BZ691" i="13" s="1"/>
  <c r="A691" i="13"/>
  <c r="BW689" i="13"/>
  <c r="BX689" i="13" s="1"/>
  <c r="BY689" i="13" s="1"/>
  <c r="CD689" i="13" s="1" a="1"/>
  <c r="CD689" i="13" s="1"/>
  <c r="A689" i="13"/>
  <c r="BW687" i="13"/>
  <c r="BX687" i="13" s="1"/>
  <c r="BY687" i="13" s="1"/>
  <c r="A687" i="13"/>
  <c r="BW685" i="13"/>
  <c r="CU681" i="13"/>
  <c r="BS680" i="13"/>
  <c r="BI680" i="13" a="1"/>
  <c r="BI680" i="13" s="1"/>
  <c r="CQ680" i="13"/>
  <c r="A680" i="13"/>
  <c r="AM679" i="13"/>
  <c r="CM678" i="13"/>
  <c r="BK678" i="13"/>
  <c r="CU673" i="13"/>
  <c r="BS672" i="13"/>
  <c r="BI672" i="13" a="1"/>
  <c r="BI672" i="13" s="1"/>
  <c r="CQ672" i="13"/>
  <c r="A672" i="13"/>
  <c r="AM671" i="13"/>
  <c r="CM670" i="13"/>
  <c r="BK670" i="13"/>
  <c r="CU665" i="13"/>
  <c r="BN660" i="13"/>
  <c r="AM659" i="13"/>
  <c r="CA659" i="13"/>
  <c r="CH659" i="13"/>
  <c r="BI659" i="13" a="1"/>
  <c r="BI659" i="13" s="1"/>
  <c r="CQ659" i="13"/>
  <c r="BS659" i="13"/>
  <c r="CM658" i="13"/>
  <c r="BK658" i="13"/>
  <c r="AM653" i="13"/>
  <c r="CA653" i="13"/>
  <c r="CH653" i="13"/>
  <c r="BN653" i="13"/>
  <c r="BI653" i="13" a="1"/>
  <c r="BI653" i="13" s="1"/>
  <c r="CQ653" i="13"/>
  <c r="BS653" i="13"/>
  <c r="BX617" i="13"/>
  <c r="BY617" i="13" s="1"/>
  <c r="CQ739" i="13"/>
  <c r="CR739" i="13" s="1"/>
  <c r="CS739" i="13" s="1"/>
  <c r="CT739" i="13" s="1" a="1"/>
  <c r="CT739" i="13" s="1"/>
  <c r="CQ737" i="13"/>
  <c r="CR737" i="13" s="1"/>
  <c r="CS737" i="13" s="1"/>
  <c r="CT737" i="13" s="1" a="1"/>
  <c r="CT737" i="13" s="1"/>
  <c r="CQ735" i="13"/>
  <c r="CR735" i="13" s="1"/>
  <c r="CS735" i="13" s="1"/>
  <c r="CQ733" i="13"/>
  <c r="CR733" i="13" s="1"/>
  <c r="CS733" i="13" s="1"/>
  <c r="CQ731" i="13"/>
  <c r="CR731" i="13" s="1"/>
  <c r="CS731" i="13" s="1"/>
  <c r="CT731" i="13" s="1" a="1"/>
  <c r="CT731" i="13" s="1"/>
  <c r="CQ729" i="13"/>
  <c r="CR729" i="13" s="1"/>
  <c r="CS729" i="13" s="1"/>
  <c r="CT729" i="13" s="1" a="1"/>
  <c r="CT729" i="13" s="1"/>
  <c r="CQ727" i="13"/>
  <c r="CR727" i="13" s="1"/>
  <c r="CS727" i="13" s="1"/>
  <c r="CT727" i="13" s="1" a="1"/>
  <c r="CT727" i="13" s="1"/>
  <c r="CQ725" i="13"/>
  <c r="CR725" i="13" s="1"/>
  <c r="CS725" i="13" s="1"/>
  <c r="CT725" i="13" s="1" a="1"/>
  <c r="CT725" i="13" s="1"/>
  <c r="CQ723" i="13"/>
  <c r="CR723" i="13" s="1"/>
  <c r="CS723" i="13" s="1"/>
  <c r="CQ721" i="13"/>
  <c r="CR721" i="13" s="1"/>
  <c r="CS721" i="13" s="1"/>
  <c r="CT721" i="13" s="1" a="1"/>
  <c r="CT721" i="13" s="1"/>
  <c r="CQ719" i="13"/>
  <c r="CR719" i="13" s="1"/>
  <c r="CS719" i="13" s="1"/>
  <c r="CT719" i="13" s="1" a="1"/>
  <c r="CT719" i="13" s="1"/>
  <c r="CQ717" i="13"/>
  <c r="CR717" i="13" s="1"/>
  <c r="CS717" i="13" s="1"/>
  <c r="CT717" i="13" s="1" a="1"/>
  <c r="CT717" i="13" s="1"/>
  <c r="CQ715" i="13"/>
  <c r="CR715" i="13" s="1"/>
  <c r="CS715" i="13" s="1"/>
  <c r="CT715" i="13" s="1" a="1"/>
  <c r="CT715" i="13" s="1"/>
  <c r="CQ713" i="13"/>
  <c r="CR713" i="13" s="1"/>
  <c r="CS713" i="13" s="1"/>
  <c r="CT713" i="13" s="1" a="1"/>
  <c r="CT713" i="13" s="1"/>
  <c r="CQ711" i="13"/>
  <c r="CR711" i="13" s="1"/>
  <c r="CS711" i="13" s="1"/>
  <c r="CT711" i="13" s="1" a="1"/>
  <c r="CT711" i="13" s="1"/>
  <c r="CQ709" i="13"/>
  <c r="CR709" i="13" s="1"/>
  <c r="CS709" i="13" s="1"/>
  <c r="CT709" i="13" s="1" a="1"/>
  <c r="CT709" i="13" s="1"/>
  <c r="CQ707" i="13"/>
  <c r="CR707" i="13" s="1"/>
  <c r="CS707" i="13" s="1"/>
  <c r="CT707" i="13" s="1" a="1"/>
  <c r="CT707" i="13" s="1"/>
  <c r="CQ705" i="13"/>
  <c r="CR705" i="13" s="1"/>
  <c r="CS705" i="13" s="1"/>
  <c r="CQ703" i="13"/>
  <c r="CR703" i="13" s="1"/>
  <c r="CS703" i="13" s="1"/>
  <c r="CT703" i="13" s="1" a="1"/>
  <c r="CT703" i="13" s="1"/>
  <c r="CQ701" i="13"/>
  <c r="CR701" i="13" s="1"/>
  <c r="CS701" i="13" s="1"/>
  <c r="CT701" i="13" s="1" a="1"/>
  <c r="CT701" i="13" s="1"/>
  <c r="CQ699" i="13"/>
  <c r="CR699" i="13" s="1"/>
  <c r="CS699" i="13" s="1"/>
  <c r="CQ697" i="13"/>
  <c r="CR697" i="13" s="1"/>
  <c r="CS697" i="13" s="1"/>
  <c r="CT697" i="13" s="1" a="1"/>
  <c r="CT697" i="13" s="1"/>
  <c r="CQ695" i="13"/>
  <c r="CR695" i="13" s="1"/>
  <c r="CS695" i="13" s="1"/>
  <c r="CT695" i="13" s="1" a="1"/>
  <c r="CT695" i="13" s="1"/>
  <c r="CQ693" i="13"/>
  <c r="CR693" i="13" s="1"/>
  <c r="CS693" i="13" s="1"/>
  <c r="CT693" i="13" s="1" a="1"/>
  <c r="CT693" i="13" s="1"/>
  <c r="CQ691" i="13"/>
  <c r="CR691" i="13" s="1"/>
  <c r="CS691" i="13" s="1"/>
  <c r="CT691" i="13" s="1" a="1"/>
  <c r="CT691" i="13" s="1"/>
  <c r="CQ689" i="13"/>
  <c r="CR689" i="13" s="1"/>
  <c r="CS689" i="13" s="1"/>
  <c r="CT689" i="13" s="1" a="1"/>
  <c r="CT689" i="13" s="1"/>
  <c r="CQ687" i="13"/>
  <c r="CR687" i="13" s="1"/>
  <c r="CS687" i="13" s="1"/>
  <c r="CT687" i="13" s="1" a="1"/>
  <c r="CT687" i="13" s="1"/>
  <c r="BI685" i="13" a="1"/>
  <c r="BI685" i="13" s="1"/>
  <c r="BS685" i="13"/>
  <c r="A685" i="13"/>
  <c r="CH679" i="13"/>
  <c r="CU678" i="13"/>
  <c r="BI677" i="13" a="1"/>
  <c r="BI677" i="13" s="1"/>
  <c r="CQ677" i="13"/>
  <c r="BS677" i="13"/>
  <c r="A677" i="13"/>
  <c r="BK675" i="13"/>
  <c r="CH671" i="13"/>
  <c r="CU670" i="13"/>
  <c r="BI669" i="13" a="1"/>
  <c r="BI669" i="13" s="1"/>
  <c r="CQ669" i="13"/>
  <c r="BS669" i="13"/>
  <c r="A669" i="13"/>
  <c r="BK667" i="13"/>
  <c r="BS664" i="13"/>
  <c r="AM664" i="13"/>
  <c r="CA664" i="13"/>
  <c r="CH664" i="13"/>
  <c r="BI664" i="13" a="1"/>
  <c r="BI664" i="13" s="1"/>
  <c r="CQ664" i="13"/>
  <c r="BW658" i="13"/>
  <c r="BN657" i="13"/>
  <c r="BS656" i="13"/>
  <c r="AM656" i="13"/>
  <c r="CA656" i="13"/>
  <c r="CH656" i="13"/>
  <c r="BI656" i="13" a="1"/>
  <c r="BI656" i="13" s="1"/>
  <c r="CQ656" i="13"/>
  <c r="CV613" i="13"/>
  <c r="CW613" i="13" s="1"/>
  <c r="CQ652" i="13"/>
  <c r="BI652" i="13" a="1"/>
  <c r="BI652" i="13" s="1"/>
  <c r="CQ650" i="13"/>
  <c r="BI650" i="13" a="1"/>
  <c r="BI650" i="13" s="1"/>
  <c r="BS649" i="13"/>
  <c r="CQ648" i="13"/>
  <c r="BI648" i="13" a="1"/>
  <c r="BI648" i="13" s="1"/>
  <c r="BS647" i="13"/>
  <c r="BL647" i="13"/>
  <c r="CQ646" i="13"/>
  <c r="BI646" i="13" a="1"/>
  <c r="BI646" i="13" s="1"/>
  <c r="BS645" i="13"/>
  <c r="BL645" i="13"/>
  <c r="CQ644" i="13"/>
  <c r="BI644" i="13" a="1"/>
  <c r="BI644" i="13" s="1"/>
  <c r="BS643" i="13"/>
  <c r="BL643" i="13"/>
  <c r="CQ642" i="13"/>
  <c r="BI642" i="13" a="1"/>
  <c r="BI642" i="13" s="1"/>
  <c r="BS641" i="13"/>
  <c r="CQ640" i="13"/>
  <c r="BI640" i="13" a="1"/>
  <c r="BI640" i="13" s="1"/>
  <c r="BS639" i="13"/>
  <c r="CQ638" i="13"/>
  <c r="BI638" i="13" a="1"/>
  <c r="BI638" i="13" s="1"/>
  <c r="BS637" i="13"/>
  <c r="CQ636" i="13"/>
  <c r="BI636" i="13" a="1"/>
  <c r="BI636" i="13" s="1"/>
  <c r="BS635" i="13"/>
  <c r="CQ634" i="13"/>
  <c r="BI634" i="13" a="1"/>
  <c r="BI634" i="13" s="1"/>
  <c r="BS633" i="13"/>
  <c r="CQ632" i="13"/>
  <c r="BI632" i="13" a="1"/>
  <c r="BI632" i="13" s="1"/>
  <c r="BS631" i="13"/>
  <c r="CQ630" i="13"/>
  <c r="BI630" i="13" a="1"/>
  <c r="BI630" i="13" s="1"/>
  <c r="BS629" i="13"/>
  <c r="CQ628" i="13"/>
  <c r="BI628" i="13" a="1"/>
  <c r="BI628" i="13" s="1"/>
  <c r="BS627" i="13"/>
  <c r="CQ626" i="13"/>
  <c r="BI626" i="13" a="1"/>
  <c r="BI626" i="13" s="1"/>
  <c r="BS625" i="13"/>
  <c r="CQ624" i="13"/>
  <c r="BI624" i="13" a="1"/>
  <c r="BI624" i="13" s="1"/>
  <c r="BS623" i="13"/>
  <c r="CQ622" i="13"/>
  <c r="BI622" i="13" a="1"/>
  <c r="BI622" i="13" s="1"/>
  <c r="BS621" i="13"/>
  <c r="CQ620" i="13"/>
  <c r="BI620" i="13" a="1"/>
  <c r="BI620" i="13" s="1"/>
  <c r="BS619" i="13"/>
  <c r="CQ618" i="13"/>
  <c r="BI618" i="13" a="1"/>
  <c r="BI618" i="13" s="1"/>
  <c r="BS617" i="13"/>
  <c r="BT617" i="13" s="1"/>
  <c r="BU617" i="13" s="1"/>
  <c r="A617" i="13"/>
  <c r="CN613" i="13"/>
  <c r="CO613" i="13" s="1"/>
  <c r="CQ612" i="13"/>
  <c r="BL607" i="13"/>
  <c r="BX607" i="13" s="1"/>
  <c r="BY607" i="13" s="1"/>
  <c r="CM606" i="13"/>
  <c r="BK606" i="13"/>
  <c r="CU602" i="13"/>
  <c r="AM602" i="13"/>
  <c r="CA602" i="13"/>
  <c r="CH602" i="13"/>
  <c r="BN602" i="13"/>
  <c r="BI602" i="13" a="1"/>
  <c r="BI602" i="13" s="1"/>
  <c r="CQ602" i="13"/>
  <c r="BK601" i="13"/>
  <c r="BL601" i="13"/>
  <c r="AM614" i="13"/>
  <c r="CA614" i="13"/>
  <c r="CH614" i="13"/>
  <c r="BN614" i="13"/>
  <c r="CU610" i="13"/>
  <c r="AM610" i="13"/>
  <c r="CA610" i="13"/>
  <c r="CH610" i="13"/>
  <c r="BN610" i="13"/>
  <c r="A610" i="13"/>
  <c r="BJ607" i="13"/>
  <c r="CR607" i="13" s="1"/>
  <c r="CS607" i="13" s="1"/>
  <c r="BK589" i="13"/>
  <c r="BL589" i="13"/>
  <c r="BJ587" i="13"/>
  <c r="BJ579" i="13"/>
  <c r="CH652" i="13"/>
  <c r="CA652" i="13"/>
  <c r="AM652" i="13"/>
  <c r="CH650" i="13"/>
  <c r="CA650" i="13"/>
  <c r="AM650" i="13"/>
  <c r="CH648" i="13"/>
  <c r="CA648" i="13"/>
  <c r="AM648" i="13"/>
  <c r="CH646" i="13"/>
  <c r="CA646" i="13"/>
  <c r="AM646" i="13"/>
  <c r="CH644" i="13"/>
  <c r="CA644" i="13"/>
  <c r="AM644" i="13"/>
  <c r="CH642" i="13"/>
  <c r="CA642" i="13"/>
  <c r="AM642" i="13"/>
  <c r="CH640" i="13"/>
  <c r="CA640" i="13"/>
  <c r="AM640" i="13"/>
  <c r="CH638" i="13"/>
  <c r="CA638" i="13"/>
  <c r="AM638" i="13"/>
  <c r="CH636" i="13"/>
  <c r="CA636" i="13"/>
  <c r="AM636" i="13"/>
  <c r="CH634" i="13"/>
  <c r="CA634" i="13"/>
  <c r="AM634" i="13"/>
  <c r="CH632" i="13"/>
  <c r="CA632" i="13"/>
  <c r="AM632" i="13"/>
  <c r="CH630" i="13"/>
  <c r="CA630" i="13"/>
  <c r="AM630" i="13"/>
  <c r="CH628" i="13"/>
  <c r="CA628" i="13"/>
  <c r="AM628" i="13"/>
  <c r="CH626" i="13"/>
  <c r="CA626" i="13"/>
  <c r="AM626" i="13"/>
  <c r="CH624" i="13"/>
  <c r="CA624" i="13"/>
  <c r="AM624" i="13"/>
  <c r="CH622" i="13"/>
  <c r="CA622" i="13"/>
  <c r="AM622" i="13"/>
  <c r="CH620" i="13"/>
  <c r="CA620" i="13"/>
  <c r="AM620" i="13"/>
  <c r="CH618" i="13"/>
  <c r="CA618" i="13"/>
  <c r="AM618" i="13"/>
  <c r="CU614" i="13"/>
  <c r="CM614" i="13"/>
  <c r="CQ610" i="13"/>
  <c r="BJ605" i="13"/>
  <c r="CU600" i="13"/>
  <c r="AM600" i="13"/>
  <c r="CA600" i="13"/>
  <c r="CH600" i="13"/>
  <c r="BN600" i="13"/>
  <c r="BI600" i="13" a="1"/>
  <c r="BI600" i="13" s="1"/>
  <c r="CQ600" i="13"/>
  <c r="A631" i="13"/>
  <c r="BW629" i="13"/>
  <c r="A629" i="13"/>
  <c r="BW627" i="13"/>
  <c r="A627" i="13"/>
  <c r="BW625" i="13"/>
  <c r="A625" i="13"/>
  <c r="CU624" i="13"/>
  <c r="BW623" i="13"/>
  <c r="A623" i="13"/>
  <c r="CU622" i="13"/>
  <c r="BW621" i="13"/>
  <c r="A621" i="13"/>
  <c r="CU620" i="13"/>
  <c r="BW619" i="13"/>
  <c r="A619" i="13"/>
  <c r="CU618" i="13"/>
  <c r="CQ616" i="13"/>
  <c r="BS614" i="13"/>
  <c r="A614" i="13"/>
  <c r="CR613" i="13"/>
  <c r="CS613" i="13" s="1"/>
  <c r="CU608" i="13"/>
  <c r="AM608" i="13"/>
  <c r="CA608" i="13"/>
  <c r="CH608" i="13"/>
  <c r="BN608" i="13"/>
  <c r="A608" i="13"/>
  <c r="CU606" i="13"/>
  <c r="AM606" i="13"/>
  <c r="CA606" i="13"/>
  <c r="CH606" i="13"/>
  <c r="BN606" i="13"/>
  <c r="BI606" i="13" a="1"/>
  <c r="BI606" i="13" s="1"/>
  <c r="BJ599" i="13"/>
  <c r="BJ597" i="13"/>
  <c r="BJ595" i="13"/>
  <c r="BJ593" i="13"/>
  <c r="BJ591" i="13"/>
  <c r="BJ585" i="13"/>
  <c r="BJ577" i="13"/>
  <c r="CQ649" i="13"/>
  <c r="BI649" i="13" a="1"/>
  <c r="BI649" i="13" s="1"/>
  <c r="CQ647" i="13"/>
  <c r="BI647" i="13" a="1"/>
  <c r="BI647" i="13" s="1"/>
  <c r="CQ645" i="13"/>
  <c r="BI645" i="13" a="1"/>
  <c r="BI645" i="13" s="1"/>
  <c r="CQ643" i="13"/>
  <c r="BI643" i="13" a="1"/>
  <c r="BI643" i="13" s="1"/>
  <c r="BL642" i="13"/>
  <c r="CQ641" i="13"/>
  <c r="BI641" i="13" a="1"/>
  <c r="BI641" i="13" s="1"/>
  <c r="BL640" i="13"/>
  <c r="CQ639" i="13"/>
  <c r="BI639" i="13" a="1"/>
  <c r="BI639" i="13" s="1"/>
  <c r="BS638" i="13"/>
  <c r="BL638" i="13"/>
  <c r="CQ637" i="13"/>
  <c r="BI637" i="13" a="1"/>
  <c r="BI637" i="13" s="1"/>
  <c r="BS636" i="13"/>
  <c r="BL636" i="13"/>
  <c r="CQ635" i="13"/>
  <c r="BI635" i="13" a="1"/>
  <c r="BI635" i="13" s="1"/>
  <c r="BS634" i="13"/>
  <c r="BL634" i="13"/>
  <c r="CQ633" i="13"/>
  <c r="BI633" i="13" a="1"/>
  <c r="BI633" i="13" s="1"/>
  <c r="BS632" i="13"/>
  <c r="BL632" i="13"/>
  <c r="CQ631" i="13"/>
  <c r="BI631" i="13" a="1"/>
  <c r="BI631" i="13" s="1"/>
  <c r="BS630" i="13"/>
  <c r="BL630" i="13"/>
  <c r="CQ629" i="13"/>
  <c r="BI629" i="13" a="1"/>
  <c r="BI629" i="13" s="1"/>
  <c r="BS628" i="13"/>
  <c r="BL628" i="13"/>
  <c r="CQ627" i="13"/>
  <c r="BI627" i="13" a="1"/>
  <c r="BI627" i="13" s="1"/>
  <c r="BS626" i="13"/>
  <c r="BL626" i="13"/>
  <c r="CQ625" i="13"/>
  <c r="BI625" i="13" a="1"/>
  <c r="BI625" i="13" s="1"/>
  <c r="BS624" i="13"/>
  <c r="CQ623" i="13"/>
  <c r="BI623" i="13" a="1"/>
  <c r="BI623" i="13" s="1"/>
  <c r="BS622" i="13"/>
  <c r="CQ621" i="13"/>
  <c r="BI621" i="13" a="1"/>
  <c r="BI621" i="13" s="1"/>
  <c r="BS620" i="13"/>
  <c r="CQ619" i="13"/>
  <c r="BI619" i="13" a="1"/>
  <c r="BI619" i="13" s="1"/>
  <c r="BS618" i="13"/>
  <c r="CQ617" i="13"/>
  <c r="BP617" i="13"/>
  <c r="BQ617" i="13" s="1"/>
  <c r="AM617" i="13"/>
  <c r="BL611" i="13"/>
  <c r="CB611" i="13" s="1"/>
  <c r="CC611" i="13" s="1"/>
  <c r="CM610" i="13"/>
  <c r="CQ608" i="13"/>
  <c r="BK605" i="13"/>
  <c r="BL605" i="13"/>
  <c r="CV605" i="13" s="1"/>
  <c r="CW605" i="13" s="1"/>
  <c r="BJ603" i="13"/>
  <c r="BN649" i="13"/>
  <c r="BN647" i="13"/>
  <c r="BN645" i="13"/>
  <c r="BN643" i="13"/>
  <c r="BN641" i="13"/>
  <c r="BN639" i="13"/>
  <c r="BN637" i="13"/>
  <c r="BN635" i="13"/>
  <c r="BN633" i="13"/>
  <c r="BN631" i="13"/>
  <c r="BN629" i="13"/>
  <c r="BN627" i="13"/>
  <c r="BN625" i="13"/>
  <c r="BN623" i="13"/>
  <c r="BN621" i="13"/>
  <c r="BN619" i="13"/>
  <c r="AM616" i="13"/>
  <c r="CA616" i="13"/>
  <c r="CB616" i="13" s="1"/>
  <c r="CC616" i="13" s="1"/>
  <c r="CH616" i="13"/>
  <c r="CJ616" i="13" s="1"/>
  <c r="CK616" i="13" s="1"/>
  <c r="BN616" i="13"/>
  <c r="BP616" i="13" s="1"/>
  <c r="BQ616" i="13" s="1"/>
  <c r="BL615" i="13"/>
  <c r="BP615" i="13" s="1"/>
  <c r="BQ615" i="13" s="1"/>
  <c r="BR615" i="13" s="1" a="1"/>
  <c r="BR615" i="13" s="1"/>
  <c r="BI614" i="13" a="1"/>
  <c r="BI614" i="13" s="1"/>
  <c r="CR611" i="13"/>
  <c r="CS611" i="13" s="1"/>
  <c r="BJ611" i="13"/>
  <c r="BW610" i="13"/>
  <c r="BK610" i="13"/>
  <c r="BK599" i="13"/>
  <c r="CV599" i="13" s="1"/>
  <c r="CW599" i="13" s="1"/>
  <c r="BL599" i="13"/>
  <c r="BK597" i="13"/>
  <c r="CV597" i="13" s="1"/>
  <c r="CW597" i="13" s="1"/>
  <c r="BL597" i="13"/>
  <c r="BK595" i="13"/>
  <c r="CV595" i="13" s="1"/>
  <c r="CW595" i="13" s="1"/>
  <c r="BL595" i="13"/>
  <c r="BK593" i="13"/>
  <c r="BL593" i="13"/>
  <c r="BK591" i="13"/>
  <c r="BL591" i="13"/>
  <c r="BJ583" i="13"/>
  <c r="BJ572" i="13"/>
  <c r="CH649" i="13"/>
  <c r="CA649" i="13"/>
  <c r="CH647" i="13"/>
  <c r="CA647" i="13"/>
  <c r="CH645" i="13"/>
  <c r="CA645" i="13"/>
  <c r="CH643" i="13"/>
  <c r="CA643" i="13"/>
  <c r="CH641" i="13"/>
  <c r="CA641" i="13"/>
  <c r="CH639" i="13"/>
  <c r="CA639" i="13"/>
  <c r="AM639" i="13"/>
  <c r="CH637" i="13"/>
  <c r="CA637" i="13"/>
  <c r="AM637" i="13"/>
  <c r="CH635" i="13"/>
  <c r="CA635" i="13"/>
  <c r="AM635" i="13"/>
  <c r="CH633" i="13"/>
  <c r="CA633" i="13"/>
  <c r="AM633" i="13"/>
  <c r="CH631" i="13"/>
  <c r="CA631" i="13"/>
  <c r="AM631" i="13"/>
  <c r="CH629" i="13"/>
  <c r="CA629" i="13"/>
  <c r="AM629" i="13"/>
  <c r="CH627" i="13"/>
  <c r="CA627" i="13"/>
  <c r="AM627" i="13"/>
  <c r="CH625" i="13"/>
  <c r="CA625" i="13"/>
  <c r="AM625" i="13"/>
  <c r="CH623" i="13"/>
  <c r="CA623" i="13"/>
  <c r="AM623" i="13"/>
  <c r="CH621" i="13"/>
  <c r="CA621" i="13"/>
  <c r="AM621" i="13"/>
  <c r="CH619" i="13"/>
  <c r="CA619" i="13"/>
  <c r="AM619" i="13"/>
  <c r="CH617" i="13"/>
  <c r="CV617" i="13" s="1"/>
  <c r="CW617" i="13" s="1"/>
  <c r="CU616" i="13"/>
  <c r="CV616" i="13" s="1"/>
  <c r="CW616" i="13" s="1"/>
  <c r="CM616" i="13"/>
  <c r="BX613" i="13"/>
  <c r="BY613" i="13" s="1"/>
  <c r="BZ613" i="13" s="1" a="1"/>
  <c r="BZ613" i="13" s="1"/>
  <c r="BL609" i="13"/>
  <c r="CM608" i="13"/>
  <c r="CQ606" i="13"/>
  <c r="CU604" i="13"/>
  <c r="AM604" i="13"/>
  <c r="CA604" i="13"/>
  <c r="CH604" i="13"/>
  <c r="BN604" i="13"/>
  <c r="BI604" i="13" a="1"/>
  <c r="BI604" i="13" s="1"/>
  <c r="CQ604" i="13"/>
  <c r="BK603" i="13"/>
  <c r="BL603" i="13"/>
  <c r="BJ601" i="13"/>
  <c r="CR601" i="13" s="1"/>
  <c r="CS601" i="13" s="1"/>
  <c r="BW636" i="13"/>
  <c r="BW634" i="13"/>
  <c r="BW632" i="13"/>
  <c r="BW630" i="13"/>
  <c r="BW628" i="13"/>
  <c r="BW626" i="13"/>
  <c r="BW624" i="13"/>
  <c r="BW622" i="13"/>
  <c r="BW620" i="13"/>
  <c r="BW618" i="13"/>
  <c r="BS616" i="13"/>
  <c r="BT616" i="13" s="1"/>
  <c r="BU616" i="13" s="1"/>
  <c r="A616" i="13"/>
  <c r="CQ614" i="13"/>
  <c r="CU612" i="13"/>
  <c r="CV612" i="13" s="1"/>
  <c r="CW612" i="13" s="1"/>
  <c r="AM612" i="13"/>
  <c r="CA612" i="13"/>
  <c r="CH612" i="13"/>
  <c r="CN612" i="13" s="1"/>
  <c r="CO612" i="13" s="1"/>
  <c r="BN612" i="13"/>
  <c r="BT612" i="13" s="1"/>
  <c r="BU612" i="13" s="1"/>
  <c r="A612" i="13"/>
  <c r="BS610" i="13"/>
  <c r="BI610" i="13" a="1"/>
  <c r="BI610" i="13" s="1"/>
  <c r="BJ609" i="13"/>
  <c r="CR609" i="13" s="1"/>
  <c r="CS609" i="13" s="1"/>
  <c r="BW608" i="13"/>
  <c r="BX608" i="13" s="1"/>
  <c r="BY608" i="13" s="1"/>
  <c r="BK608" i="13"/>
  <c r="CV607" i="13"/>
  <c r="CW607" i="13" s="1"/>
  <c r="BK600" i="13"/>
  <c r="BJ589" i="13"/>
  <c r="CV589" i="13" s="1"/>
  <c r="CW589" i="13" s="1"/>
  <c r="BJ581" i="13"/>
  <c r="AM577" i="13"/>
  <c r="BN573" i="13"/>
  <c r="BI573" i="13" a="1"/>
  <c r="BI573" i="13" s="1"/>
  <c r="CQ573" i="13"/>
  <c r="A573" i="13"/>
  <c r="BN565" i="13"/>
  <c r="BI565" i="13" a="1"/>
  <c r="BI565" i="13" s="1"/>
  <c r="CQ565" i="13"/>
  <c r="BS565" i="13"/>
  <c r="BK562" i="13"/>
  <c r="CN562" i="13" s="1"/>
  <c r="CO562" i="13" s="1"/>
  <c r="BL562" i="13"/>
  <c r="CH561" i="13"/>
  <c r="CM559" i="13"/>
  <c r="CA559" i="13"/>
  <c r="BK556" i="13"/>
  <c r="BL556" i="13"/>
  <c r="BJ550" i="13"/>
  <c r="AM549" i="13"/>
  <c r="CA549" i="13"/>
  <c r="CH549" i="13"/>
  <c r="BN549" i="13"/>
  <c r="BI549" i="13" a="1"/>
  <c r="BI549" i="13" s="1"/>
  <c r="CQ549" i="13"/>
  <c r="A549" i="13"/>
  <c r="BW549" i="13"/>
  <c r="BS549" i="13"/>
  <c r="CM545" i="13"/>
  <c r="BJ540" i="13"/>
  <c r="BJ538" i="13"/>
  <c r="CU575" i="13"/>
  <c r="CM575" i="13"/>
  <c r="BK575" i="13"/>
  <c r="BW561" i="13"/>
  <c r="BK561" i="13"/>
  <c r="BN559" i="13"/>
  <c r="BI559" i="13" a="1"/>
  <c r="BI559" i="13" s="1"/>
  <c r="CQ559" i="13"/>
  <c r="BS559" i="13"/>
  <c r="BJ546" i="13"/>
  <c r="BK541" i="13"/>
  <c r="BL541" i="13"/>
  <c r="BK539" i="13"/>
  <c r="BL539" i="13"/>
  <c r="BJ527" i="13"/>
  <c r="CQ598" i="13"/>
  <c r="BI598" i="13" a="1"/>
  <c r="BI598" i="13" s="1"/>
  <c r="CQ596" i="13"/>
  <c r="BI596" i="13" a="1"/>
  <c r="BI596" i="13" s="1"/>
  <c r="CQ594" i="13"/>
  <c r="BI594" i="13" a="1"/>
  <c r="BI594" i="13" s="1"/>
  <c r="CQ592" i="13"/>
  <c r="BI592" i="13" a="1"/>
  <c r="BI592" i="13" s="1"/>
  <c r="CQ590" i="13"/>
  <c r="BI590" i="13" a="1"/>
  <c r="BI590" i="13" s="1"/>
  <c r="CQ588" i="13"/>
  <c r="BI588" i="13" a="1"/>
  <c r="BI588" i="13" s="1"/>
  <c r="BL587" i="13"/>
  <c r="BP587" i="13" s="1"/>
  <c r="BQ587" i="13" s="1"/>
  <c r="BR587" i="13" s="1" a="1"/>
  <c r="BR587" i="13" s="1"/>
  <c r="CQ586" i="13"/>
  <c r="BI586" i="13" a="1"/>
  <c r="BI586" i="13" s="1"/>
  <c r="BL585" i="13"/>
  <c r="CB585" i="13" s="1"/>
  <c r="CC585" i="13" s="1"/>
  <c r="CQ584" i="13"/>
  <c r="BI584" i="13" a="1"/>
  <c r="BI584" i="13" s="1"/>
  <c r="BL583" i="13"/>
  <c r="CR583" i="13" s="1"/>
  <c r="CS583" i="13" s="1"/>
  <c r="CQ582" i="13"/>
  <c r="BI582" i="13" a="1"/>
  <c r="BI582" i="13" s="1"/>
  <c r="BL581" i="13"/>
  <c r="CR581" i="13" s="1"/>
  <c r="CS581" i="13" s="1"/>
  <c r="CQ580" i="13"/>
  <c r="BI580" i="13" a="1"/>
  <c r="BI580" i="13" s="1"/>
  <c r="BL579" i="13"/>
  <c r="CV579" i="13" s="1"/>
  <c r="CW579" i="13" s="1"/>
  <c r="CQ578" i="13"/>
  <c r="BI578" i="13" a="1"/>
  <c r="BI578" i="13" s="1"/>
  <c r="BL577" i="13"/>
  <c r="CQ576" i="13"/>
  <c r="BI576" i="13" a="1"/>
  <c r="BI576" i="13" s="1"/>
  <c r="CA575" i="13"/>
  <c r="BS575" i="13"/>
  <c r="BK574" i="13"/>
  <c r="CB574" i="13" s="1"/>
  <c r="CC574" i="13" s="1"/>
  <c r="BL574" i="13"/>
  <c r="BL573" i="13"/>
  <c r="BN571" i="13"/>
  <c r="BI571" i="13" a="1"/>
  <c r="BI571" i="13" s="1"/>
  <c r="CQ571" i="13"/>
  <c r="A571" i="13"/>
  <c r="BK566" i="13"/>
  <c r="BL566" i="13"/>
  <c r="CU559" i="13"/>
  <c r="CM555" i="13"/>
  <c r="BK555" i="13"/>
  <c r="BJ552" i="13"/>
  <c r="AM551" i="13"/>
  <c r="CA551" i="13"/>
  <c r="CH551" i="13"/>
  <c r="BN551" i="13"/>
  <c r="BI551" i="13" a="1"/>
  <c r="BI551" i="13" s="1"/>
  <c r="CQ551" i="13"/>
  <c r="A551" i="13"/>
  <c r="BW551" i="13"/>
  <c r="BS551" i="13"/>
  <c r="AM545" i="13"/>
  <c r="CA545" i="13"/>
  <c r="CH545" i="13"/>
  <c r="BN545" i="13"/>
  <c r="BI545" i="13" a="1"/>
  <c r="BI545" i="13" s="1"/>
  <c r="CQ545" i="13"/>
  <c r="A545" i="13"/>
  <c r="BW545" i="13"/>
  <c r="BS545" i="13"/>
  <c r="BJ520" i="13"/>
  <c r="BN598" i="13"/>
  <c r="BN596" i="13"/>
  <c r="BN594" i="13"/>
  <c r="BN592" i="13"/>
  <c r="BN590" i="13"/>
  <c r="BN588" i="13"/>
  <c r="BN586" i="13"/>
  <c r="BN584" i="13"/>
  <c r="BN582" i="13"/>
  <c r="BN580" i="13"/>
  <c r="BN578" i="13"/>
  <c r="BN576" i="13"/>
  <c r="AM575" i="13"/>
  <c r="BW571" i="13"/>
  <c r="BW565" i="13"/>
  <c r="BK565" i="13"/>
  <c r="BN563" i="13"/>
  <c r="BI563" i="13" a="1"/>
  <c r="BI563" i="13" s="1"/>
  <c r="CQ563" i="13"/>
  <c r="BS563" i="13"/>
  <c r="AM561" i="13"/>
  <c r="BK560" i="13"/>
  <c r="CN560" i="13" s="1"/>
  <c r="CO560" i="13" s="1"/>
  <c r="BL560" i="13"/>
  <c r="CH559" i="13"/>
  <c r="AM557" i="13"/>
  <c r="BN557" i="13"/>
  <c r="BI557" i="13" a="1"/>
  <c r="BI557" i="13" s="1"/>
  <c r="CQ557" i="13"/>
  <c r="BS557" i="13"/>
  <c r="CM551" i="13"/>
  <c r="CH598" i="13"/>
  <c r="CA598" i="13"/>
  <c r="AM598" i="13"/>
  <c r="CH596" i="13"/>
  <c r="CA596" i="13"/>
  <c r="AM596" i="13"/>
  <c r="CH594" i="13"/>
  <c r="CA594" i="13"/>
  <c r="AM594" i="13"/>
  <c r="CH592" i="13"/>
  <c r="CA592" i="13"/>
  <c r="AM592" i="13"/>
  <c r="CH590" i="13"/>
  <c r="CA590" i="13"/>
  <c r="AM590" i="13"/>
  <c r="CH588" i="13"/>
  <c r="CA588" i="13"/>
  <c r="AM588" i="13"/>
  <c r="CH586" i="13"/>
  <c r="CA586" i="13"/>
  <c r="AM586" i="13"/>
  <c r="CH584" i="13"/>
  <c r="CA584" i="13"/>
  <c r="AM584" i="13"/>
  <c r="CH582" i="13"/>
  <c r="CA582" i="13"/>
  <c r="AM582" i="13"/>
  <c r="CH580" i="13"/>
  <c r="CA580" i="13"/>
  <c r="AM580" i="13"/>
  <c r="CH578" i="13"/>
  <c r="CA578" i="13"/>
  <c r="AM578" i="13"/>
  <c r="CH576" i="13"/>
  <c r="CA576" i="13"/>
  <c r="AM576" i="13"/>
  <c r="CA573" i="13"/>
  <c r="BS573" i="13"/>
  <c r="BK572" i="13"/>
  <c r="BL572" i="13"/>
  <c r="BL571" i="13"/>
  <c r="BN569" i="13"/>
  <c r="BI569" i="13" a="1"/>
  <c r="BI569" i="13" s="1"/>
  <c r="CQ569" i="13"/>
  <c r="A569" i="13"/>
  <c r="CU563" i="13"/>
  <c r="BW559" i="13"/>
  <c r="BK559" i="13"/>
  <c r="BW555" i="13"/>
  <c r="BJ554" i="13"/>
  <c r="AM553" i="13"/>
  <c r="CA553" i="13"/>
  <c r="CH553" i="13"/>
  <c r="BN553" i="13"/>
  <c r="BI553" i="13" a="1"/>
  <c r="BI553" i="13" s="1"/>
  <c r="CQ553" i="13"/>
  <c r="A553" i="13"/>
  <c r="BW553" i="13"/>
  <c r="BS553" i="13"/>
  <c r="BJ544" i="13"/>
  <c r="BW603" i="13"/>
  <c r="BX603" i="13" s="1"/>
  <c r="BY603" i="13" s="1"/>
  <c r="BW601" i="13"/>
  <c r="BW599" i="13"/>
  <c r="BX599" i="13" s="1"/>
  <c r="BY599" i="13" s="1"/>
  <c r="BW597" i="13"/>
  <c r="BX597" i="13" s="1"/>
  <c r="BY597" i="13" s="1"/>
  <c r="BW595" i="13"/>
  <c r="BX595" i="13" s="1"/>
  <c r="BY595" i="13" s="1"/>
  <c r="BW593" i="13"/>
  <c r="BW591" i="13"/>
  <c r="BX591" i="13" s="1"/>
  <c r="BY591" i="13" s="1"/>
  <c r="BW589" i="13"/>
  <c r="BW587" i="13"/>
  <c r="BX587" i="13" s="1"/>
  <c r="BY587" i="13" s="1"/>
  <c r="BW585" i="13"/>
  <c r="BX585" i="13" s="1"/>
  <c r="BY585" i="13" s="1"/>
  <c r="BW583" i="13"/>
  <c r="BX583" i="13" s="1"/>
  <c r="BY583" i="13" s="1"/>
  <c r="BW581" i="13"/>
  <c r="BX581" i="13" s="1"/>
  <c r="BY581" i="13" s="1"/>
  <c r="BW579" i="13"/>
  <c r="BX579" i="13" s="1"/>
  <c r="BY579" i="13" s="1"/>
  <c r="BW577" i="13"/>
  <c r="BX577" i="13" s="1"/>
  <c r="BY577" i="13" s="1"/>
  <c r="AM573" i="13"/>
  <c r="CU571" i="13"/>
  <c r="CM571" i="13"/>
  <c r="BN567" i="13"/>
  <c r="BI567" i="13" a="1"/>
  <c r="BI567" i="13" s="1"/>
  <c r="CQ567" i="13"/>
  <c r="AM565" i="13"/>
  <c r="BK564" i="13"/>
  <c r="BL564" i="13"/>
  <c r="CH563" i="13"/>
  <c r="CM561" i="13"/>
  <c r="CA561" i="13"/>
  <c r="CU557" i="13"/>
  <c r="CU549" i="13"/>
  <c r="BK549" i="13"/>
  <c r="CM547" i="13"/>
  <c r="CU545" i="13"/>
  <c r="AM543" i="13"/>
  <c r="CA543" i="13"/>
  <c r="CH543" i="13"/>
  <c r="BN543" i="13"/>
  <c r="BI543" i="13" a="1"/>
  <c r="BI543" i="13" s="1"/>
  <c r="CQ543" i="13"/>
  <c r="A543" i="13"/>
  <c r="BW543" i="13"/>
  <c r="BS543" i="13"/>
  <c r="BJ516" i="13"/>
  <c r="BN575" i="13"/>
  <c r="BI575" i="13" a="1"/>
  <c r="BI575" i="13" s="1"/>
  <c r="CQ575" i="13"/>
  <c r="A575" i="13"/>
  <c r="BK570" i="13"/>
  <c r="BL570" i="13"/>
  <c r="BN561" i="13"/>
  <c r="BI561" i="13" a="1"/>
  <c r="BI561" i="13" s="1"/>
  <c r="CQ561" i="13"/>
  <c r="BS561" i="13"/>
  <c r="BK558" i="13"/>
  <c r="CB558" i="13" s="1"/>
  <c r="CC558" i="13" s="1"/>
  <c r="BL558" i="13"/>
  <c r="BJ556" i="13"/>
  <c r="CN556" i="13" s="1"/>
  <c r="CO556" i="13" s="1"/>
  <c r="AM555" i="13"/>
  <c r="CA555" i="13"/>
  <c r="CH555" i="13"/>
  <c r="BN555" i="13"/>
  <c r="BI555" i="13" a="1"/>
  <c r="BI555" i="13" s="1"/>
  <c r="CQ555" i="13"/>
  <c r="A555" i="13"/>
  <c r="BS555" i="13"/>
  <c r="BJ548" i="13"/>
  <c r="BJ514" i="13"/>
  <c r="BW575" i="13"/>
  <c r="AM571" i="13"/>
  <c r="CN570" i="13"/>
  <c r="CO570" i="13" s="1"/>
  <c r="BK568" i="13"/>
  <c r="CN568" i="13" s="1"/>
  <c r="CO568" i="13" s="1"/>
  <c r="BL568" i="13"/>
  <c r="CU561" i="13"/>
  <c r="BK557" i="13"/>
  <c r="AM547" i="13"/>
  <c r="CA547" i="13"/>
  <c r="CH547" i="13"/>
  <c r="BN547" i="13"/>
  <c r="BI547" i="13" a="1"/>
  <c r="BI547" i="13" s="1"/>
  <c r="CQ547" i="13"/>
  <c r="A547" i="13"/>
  <c r="BW547" i="13"/>
  <c r="BS547" i="13"/>
  <c r="BJ542" i="13"/>
  <c r="BJ524" i="13"/>
  <c r="BS541" i="13"/>
  <c r="BS539" i="13"/>
  <c r="BS537" i="13"/>
  <c r="BL537" i="13"/>
  <c r="BS535" i="13"/>
  <c r="BL535" i="13"/>
  <c r="BS533" i="13"/>
  <c r="BS531" i="13"/>
  <c r="BS529" i="13"/>
  <c r="BL523" i="13"/>
  <c r="BK516" i="13"/>
  <c r="BL516" i="13"/>
  <c r="BJ504" i="13"/>
  <c r="BL499" i="13"/>
  <c r="BK499" i="13"/>
  <c r="BJ492" i="13"/>
  <c r="BK524" i="13"/>
  <c r="CB524" i="13" s="1"/>
  <c r="CC524" i="13" s="1"/>
  <c r="BL524" i="13"/>
  <c r="BJ522" i="13"/>
  <c r="BK518" i="13"/>
  <c r="CR518" i="13" s="1"/>
  <c r="CS518" i="13" s="1"/>
  <c r="BL518" i="13"/>
  <c r="BK510" i="13"/>
  <c r="BL510" i="13"/>
  <c r="BL509" i="13"/>
  <c r="BK509" i="13"/>
  <c r="BL497" i="13"/>
  <c r="BK497" i="13"/>
  <c r="BJ474" i="13"/>
  <c r="BJ528" i="13"/>
  <c r="BP528" i="13" s="1"/>
  <c r="BQ528" i="13" s="1"/>
  <c r="BR528" i="13" s="1" a="1"/>
  <c r="BR528" i="13" s="1"/>
  <c r="BJ526" i="13"/>
  <c r="BK520" i="13"/>
  <c r="BL520" i="13"/>
  <c r="BX520" i="13" s="1"/>
  <c r="BY520" i="13" s="1"/>
  <c r="BJ508" i="13"/>
  <c r="BK504" i="13"/>
  <c r="CB504" i="13" s="1"/>
  <c r="CC504" i="13" s="1"/>
  <c r="BL504" i="13"/>
  <c r="BL503" i="13"/>
  <c r="BK503" i="13"/>
  <c r="BL495" i="13"/>
  <c r="BK495" i="13"/>
  <c r="BJ466" i="13"/>
  <c r="BW541" i="13"/>
  <c r="A541" i="13"/>
  <c r="BW539" i="13"/>
  <c r="A539" i="13"/>
  <c r="BW537" i="13"/>
  <c r="A537" i="13"/>
  <c r="BW535" i="13"/>
  <c r="A535" i="13"/>
  <c r="BW533" i="13"/>
  <c r="A533" i="13"/>
  <c r="BW531" i="13"/>
  <c r="A531" i="13"/>
  <c r="BW529" i="13"/>
  <c r="A529" i="13"/>
  <c r="BK522" i="13"/>
  <c r="BL522" i="13"/>
  <c r="BL513" i="13"/>
  <c r="BK513" i="13"/>
  <c r="BJ502" i="13"/>
  <c r="BL493" i="13"/>
  <c r="BK493" i="13"/>
  <c r="BL554" i="13"/>
  <c r="BT554" i="13" s="1"/>
  <c r="BU554" i="13" s="1"/>
  <c r="BL552" i="13"/>
  <c r="CB552" i="13" s="1"/>
  <c r="CC552" i="13" s="1"/>
  <c r="BL550" i="13"/>
  <c r="CB550" i="13" s="1"/>
  <c r="CC550" i="13" s="1"/>
  <c r="BL548" i="13"/>
  <c r="CB548" i="13" s="1"/>
  <c r="CC548" i="13" s="1"/>
  <c r="BL546" i="13"/>
  <c r="BL544" i="13"/>
  <c r="CJ544" i="13" s="1"/>
  <c r="CK544" i="13" s="1"/>
  <c r="CL544" i="13" s="1" a="1"/>
  <c r="CL544" i="13" s="1"/>
  <c r="BL542" i="13"/>
  <c r="CJ542" i="13" s="1"/>
  <c r="CK542" i="13" s="1"/>
  <c r="CL542" i="13" s="1" a="1"/>
  <c r="CL542" i="13" s="1"/>
  <c r="CQ541" i="13"/>
  <c r="BI541" i="13" a="1"/>
  <c r="BI541" i="13" s="1"/>
  <c r="BL540" i="13"/>
  <c r="BT540" i="13" s="1"/>
  <c r="BU540" i="13" s="1"/>
  <c r="CQ539" i="13"/>
  <c r="BI539" i="13" a="1"/>
  <c r="BI539" i="13" s="1"/>
  <c r="BL538" i="13"/>
  <c r="CB538" i="13" s="1"/>
  <c r="CC538" i="13" s="1"/>
  <c r="CQ537" i="13"/>
  <c r="BI537" i="13" a="1"/>
  <c r="BI537" i="13" s="1"/>
  <c r="BL536" i="13"/>
  <c r="BP536" i="13" s="1"/>
  <c r="BQ536" i="13" s="1"/>
  <c r="BR536" i="13" s="1" a="1"/>
  <c r="BR536" i="13" s="1"/>
  <c r="CQ535" i="13"/>
  <c r="BI535" i="13" a="1"/>
  <c r="BI535" i="13" s="1"/>
  <c r="BL534" i="13"/>
  <c r="BT534" i="13" s="1"/>
  <c r="BU534" i="13" s="1"/>
  <c r="CQ533" i="13"/>
  <c r="BI533" i="13" a="1"/>
  <c r="BI533" i="13" s="1"/>
  <c r="BL532" i="13"/>
  <c r="CV532" i="13" s="1"/>
  <c r="CW532" i="13" s="1"/>
  <c r="CQ531" i="13"/>
  <c r="BI531" i="13" a="1"/>
  <c r="BI531" i="13" s="1"/>
  <c r="BL530" i="13"/>
  <c r="CV530" i="13" s="1"/>
  <c r="CW530" i="13" s="1"/>
  <c r="CQ529" i="13"/>
  <c r="BI529" i="13" a="1"/>
  <c r="BI529" i="13" s="1"/>
  <c r="CJ528" i="13"/>
  <c r="CK528" i="13" s="1"/>
  <c r="CL528" i="13" s="1" a="1"/>
  <c r="CL528" i="13" s="1"/>
  <c r="AM527" i="13"/>
  <c r="CA527" i="13"/>
  <c r="CH527" i="13"/>
  <c r="BN527" i="13"/>
  <c r="BX516" i="13"/>
  <c r="BY516" i="13" s="1"/>
  <c r="BL515" i="13"/>
  <c r="BJ512" i="13"/>
  <c r="BK508" i="13"/>
  <c r="BL508" i="13"/>
  <c r="BL507" i="13"/>
  <c r="BK507" i="13"/>
  <c r="BN541" i="13"/>
  <c r="BN539" i="13"/>
  <c r="BN537" i="13"/>
  <c r="BN535" i="13"/>
  <c r="BN533" i="13"/>
  <c r="BN531" i="13"/>
  <c r="BN529" i="13"/>
  <c r="BL527" i="13"/>
  <c r="BP527" i="13" s="1"/>
  <c r="BQ527" i="13" s="1"/>
  <c r="A527" i="13"/>
  <c r="BK526" i="13"/>
  <c r="BL526" i="13"/>
  <c r="AM525" i="13"/>
  <c r="CA525" i="13"/>
  <c r="CH525" i="13"/>
  <c r="BN525" i="13"/>
  <c r="BI525" i="13" a="1"/>
  <c r="BI525" i="13" s="1"/>
  <c r="CQ525" i="13"/>
  <c r="A525" i="13"/>
  <c r="CB522" i="13"/>
  <c r="CC522" i="13" s="1"/>
  <c r="BL517" i="13"/>
  <c r="BJ506" i="13"/>
  <c r="BK502" i="13"/>
  <c r="CB502" i="13" s="1"/>
  <c r="CC502" i="13" s="1"/>
  <c r="BL502" i="13"/>
  <c r="BL501" i="13"/>
  <c r="BK501" i="13"/>
  <c r="BJ500" i="13"/>
  <c r="BJ498" i="13"/>
  <c r="BJ462" i="13"/>
  <c r="CH541" i="13"/>
  <c r="CA541" i="13"/>
  <c r="CH539" i="13"/>
  <c r="CA539" i="13"/>
  <c r="CH537" i="13"/>
  <c r="CA537" i="13"/>
  <c r="CH535" i="13"/>
  <c r="CA535" i="13"/>
  <c r="CH533" i="13"/>
  <c r="CA533" i="13"/>
  <c r="CH531" i="13"/>
  <c r="CA531" i="13"/>
  <c r="AM531" i="13"/>
  <c r="CH529" i="13"/>
  <c r="CA529" i="13"/>
  <c r="AM529" i="13"/>
  <c r="BX528" i="13"/>
  <c r="BY528" i="13" s="1"/>
  <c r="BL519" i="13"/>
  <c r="BK512" i="13"/>
  <c r="BL512" i="13"/>
  <c r="BL511" i="13"/>
  <c r="BK511" i="13"/>
  <c r="BJ496" i="13"/>
  <c r="BX522" i="13"/>
  <c r="BY522" i="13" s="1"/>
  <c r="BJ518" i="13"/>
  <c r="BK514" i="13"/>
  <c r="BL514" i="13"/>
  <c r="BX510" i="13"/>
  <c r="BY510" i="13" s="1"/>
  <c r="BJ510" i="13"/>
  <c r="BK506" i="13"/>
  <c r="BL506" i="13"/>
  <c r="BL505" i="13"/>
  <c r="BK505" i="13"/>
  <c r="BJ494" i="13"/>
  <c r="BK491" i="13"/>
  <c r="BK489" i="13"/>
  <c r="BK487" i="13"/>
  <c r="BK485" i="13"/>
  <c r="BK483" i="13"/>
  <c r="BK481" i="13"/>
  <c r="BK479" i="13"/>
  <c r="BK477" i="13"/>
  <c r="CA475" i="13"/>
  <c r="A475" i="13"/>
  <c r="CH473" i="13"/>
  <c r="BS473" i="13"/>
  <c r="BK473" i="13"/>
  <c r="BW468" i="13"/>
  <c r="CU467" i="13"/>
  <c r="CM467" i="13"/>
  <c r="BN467" i="13"/>
  <c r="BI465" i="13" a="1"/>
  <c r="BI465" i="13" s="1"/>
  <c r="CQ465" i="13"/>
  <c r="A465" i="13"/>
  <c r="BW465" i="13"/>
  <c r="CQ464" i="13"/>
  <c r="BK462" i="13"/>
  <c r="CA459" i="13"/>
  <c r="AM453" i="13"/>
  <c r="CA453" i="13"/>
  <c r="CH453" i="13"/>
  <c r="BI453" i="13" a="1"/>
  <c r="BI453" i="13" s="1"/>
  <c r="CQ453" i="13"/>
  <c r="A453" i="13"/>
  <c r="BW453" i="13"/>
  <c r="BS453" i="13"/>
  <c r="CU453" i="13"/>
  <c r="BN451" i="13"/>
  <c r="AM445" i="13"/>
  <c r="CA445" i="13"/>
  <c r="CH445" i="13"/>
  <c r="BI445" i="13" a="1"/>
  <c r="BI445" i="13" s="1"/>
  <c r="CQ445" i="13"/>
  <c r="A445" i="13"/>
  <c r="BW445" i="13"/>
  <c r="BS445" i="13"/>
  <c r="CU445" i="13"/>
  <c r="AM441" i="13"/>
  <c r="CA441" i="13"/>
  <c r="CH441" i="13"/>
  <c r="BN441" i="13"/>
  <c r="BI441" i="13" a="1"/>
  <c r="BI441" i="13" s="1"/>
  <c r="CQ441" i="13"/>
  <c r="A441" i="13"/>
  <c r="BW441" i="13"/>
  <c r="BS441" i="13"/>
  <c r="CU441" i="13"/>
  <c r="BJ409" i="13"/>
  <c r="BS468" i="13"/>
  <c r="AM468" i="13"/>
  <c r="CA468" i="13"/>
  <c r="CH468" i="13"/>
  <c r="BI463" i="13" a="1"/>
  <c r="BI463" i="13" s="1"/>
  <c r="CQ463" i="13"/>
  <c r="A463" i="13"/>
  <c r="BW463" i="13"/>
  <c r="BS454" i="13"/>
  <c r="CU454" i="13"/>
  <c r="AM454" i="13"/>
  <c r="CA454" i="13"/>
  <c r="CH454" i="13"/>
  <c r="BI454" i="13" a="1"/>
  <c r="BI454" i="13" s="1"/>
  <c r="CQ454" i="13"/>
  <c r="A454" i="13"/>
  <c r="BW454" i="13"/>
  <c r="BS446" i="13"/>
  <c r="CU446" i="13"/>
  <c r="AM446" i="13"/>
  <c r="CA446" i="13"/>
  <c r="CH446" i="13"/>
  <c r="BI446" i="13" a="1"/>
  <c r="BI446" i="13" s="1"/>
  <c r="CQ446" i="13"/>
  <c r="A446" i="13"/>
  <c r="BW446" i="13"/>
  <c r="BJ424" i="13"/>
  <c r="CB424" i="13" s="1"/>
  <c r="CC424" i="13" s="1"/>
  <c r="CH470" i="13"/>
  <c r="A470" i="13"/>
  <c r="CM468" i="13"/>
  <c r="BK468" i="13"/>
  <c r="A468" i="13"/>
  <c r="CH467" i="13"/>
  <c r="CM464" i="13"/>
  <c r="BI464" i="13" a="1"/>
  <c r="BI464" i="13" s="1"/>
  <c r="CM463" i="13"/>
  <c r="BN463" i="13"/>
  <c r="BS460" i="13"/>
  <c r="CU460" i="13"/>
  <c r="AM460" i="13"/>
  <c r="CA460" i="13"/>
  <c r="CH460" i="13"/>
  <c r="BI460" i="13" a="1"/>
  <c r="BI460" i="13" s="1"/>
  <c r="CQ460" i="13"/>
  <c r="CM459" i="13"/>
  <c r="BK459" i="13"/>
  <c r="AM455" i="13"/>
  <c r="CA455" i="13"/>
  <c r="CH455" i="13"/>
  <c r="BI455" i="13" a="1"/>
  <c r="BI455" i="13" s="1"/>
  <c r="CQ455" i="13"/>
  <c r="A455" i="13"/>
  <c r="BW455" i="13"/>
  <c r="BS455" i="13"/>
  <c r="CU455" i="13"/>
  <c r="CM452" i="13"/>
  <c r="AM447" i="13"/>
  <c r="CA447" i="13"/>
  <c r="CH447" i="13"/>
  <c r="BI447" i="13" a="1"/>
  <c r="BI447" i="13" s="1"/>
  <c r="CQ447" i="13"/>
  <c r="A447" i="13"/>
  <c r="BW447" i="13"/>
  <c r="BS447" i="13"/>
  <c r="CU447" i="13"/>
  <c r="BJ427" i="13"/>
  <c r="CQ523" i="13"/>
  <c r="BI523" i="13" a="1"/>
  <c r="BI523" i="13" s="1"/>
  <c r="CQ521" i="13"/>
  <c r="BI521" i="13" a="1"/>
  <c r="BI521" i="13" s="1"/>
  <c r="CQ519" i="13"/>
  <c r="BI519" i="13" a="1"/>
  <c r="BI519" i="13" s="1"/>
  <c r="CQ517" i="13"/>
  <c r="BI517" i="13" a="1"/>
  <c r="BI517" i="13" s="1"/>
  <c r="CQ515" i="13"/>
  <c r="BI515" i="13" a="1"/>
  <c r="BI515" i="13" s="1"/>
  <c r="CQ513" i="13"/>
  <c r="BI513" i="13" a="1"/>
  <c r="BI513" i="13" s="1"/>
  <c r="CQ511" i="13"/>
  <c r="BI511" i="13" a="1"/>
  <c r="BI511" i="13" s="1"/>
  <c r="CQ509" i="13"/>
  <c r="BI509" i="13" a="1"/>
  <c r="BI509" i="13" s="1"/>
  <c r="CQ507" i="13"/>
  <c r="BI507" i="13" a="1"/>
  <c r="BI507" i="13" s="1"/>
  <c r="CQ505" i="13"/>
  <c r="BI505" i="13" a="1"/>
  <c r="BI505" i="13" s="1"/>
  <c r="CQ503" i="13"/>
  <c r="BI503" i="13" a="1"/>
  <c r="BI503" i="13" s="1"/>
  <c r="CQ501" i="13"/>
  <c r="BI501" i="13" a="1"/>
  <c r="BI501" i="13" s="1"/>
  <c r="BL500" i="13"/>
  <c r="CV500" i="13" s="1"/>
  <c r="CW500" i="13" s="1"/>
  <c r="CQ499" i="13"/>
  <c r="BI499" i="13" a="1"/>
  <c r="BI499" i="13" s="1"/>
  <c r="BL498" i="13"/>
  <c r="BI497" i="13" a="1"/>
  <c r="BI497" i="13" s="1"/>
  <c r="BL496" i="13"/>
  <c r="BI495" i="13" a="1"/>
  <c r="BI495" i="13" s="1"/>
  <c r="BL494" i="13"/>
  <c r="BT494" i="13" s="1"/>
  <c r="BU494" i="13" s="1"/>
  <c r="BI493" i="13" a="1"/>
  <c r="BI493" i="13" s="1"/>
  <c r="BL492" i="13"/>
  <c r="CN492" i="13" s="1"/>
  <c r="CO492" i="13" s="1"/>
  <c r="CQ491" i="13"/>
  <c r="BI491" i="13" a="1"/>
  <c r="BI491" i="13" s="1"/>
  <c r="BL490" i="13"/>
  <c r="BI489" i="13" a="1"/>
  <c r="BI489" i="13" s="1"/>
  <c r="BL488" i="13"/>
  <c r="CR488" i="13" s="1"/>
  <c r="CS488" i="13" s="1"/>
  <c r="BI487" i="13" a="1"/>
  <c r="BI487" i="13" s="1"/>
  <c r="BL486" i="13"/>
  <c r="CV486" i="13" s="1"/>
  <c r="CW486" i="13" s="1"/>
  <c r="BI485" i="13" a="1"/>
  <c r="BI485" i="13" s="1"/>
  <c r="BL484" i="13"/>
  <c r="BI483" i="13" a="1"/>
  <c r="BI483" i="13" s="1"/>
  <c r="BL482" i="13"/>
  <c r="BI481" i="13" a="1"/>
  <c r="BI481" i="13" s="1"/>
  <c r="BL480" i="13"/>
  <c r="BI479" i="13" a="1"/>
  <c r="BI479" i="13" s="1"/>
  <c r="BL478" i="13"/>
  <c r="BI477" i="13" a="1"/>
  <c r="BI477" i="13" s="1"/>
  <c r="BL476" i="13"/>
  <c r="BK474" i="13"/>
  <c r="CU473" i="13"/>
  <c r="AM473" i="13"/>
  <c r="CH472" i="13"/>
  <c r="A472" i="13"/>
  <c r="CU468" i="13"/>
  <c r="BP466" i="13"/>
  <c r="BQ466" i="13" s="1"/>
  <c r="CH465" i="13"/>
  <c r="CU463" i="13"/>
  <c r="CM462" i="13"/>
  <c r="BI461" i="13" a="1"/>
  <c r="BI461" i="13" s="1"/>
  <c r="CQ461" i="13"/>
  <c r="A461" i="13"/>
  <c r="BW461" i="13"/>
  <c r="CM460" i="13"/>
  <c r="AM459" i="13"/>
  <c r="BS456" i="13"/>
  <c r="CU456" i="13"/>
  <c r="AM456" i="13"/>
  <c r="CA456" i="13"/>
  <c r="CH456" i="13"/>
  <c r="BI456" i="13" a="1"/>
  <c r="BI456" i="13" s="1"/>
  <c r="CQ456" i="13"/>
  <c r="A456" i="13"/>
  <c r="BW456" i="13"/>
  <c r="BN454" i="13"/>
  <c r="CM453" i="13"/>
  <c r="BS448" i="13"/>
  <c r="CU448" i="13"/>
  <c r="AM448" i="13"/>
  <c r="CA448" i="13"/>
  <c r="CH448" i="13"/>
  <c r="BI448" i="13" a="1"/>
  <c r="BI448" i="13" s="1"/>
  <c r="CQ448" i="13"/>
  <c r="A448" i="13"/>
  <c r="BW448" i="13"/>
  <c r="BN446" i="13"/>
  <c r="CM445" i="13"/>
  <c r="AM439" i="13"/>
  <c r="CA439" i="13"/>
  <c r="CH439" i="13"/>
  <c r="BN439" i="13"/>
  <c r="BI439" i="13" a="1"/>
  <c r="BI439" i="13" s="1"/>
  <c r="CQ439" i="13"/>
  <c r="A439" i="13"/>
  <c r="BW439" i="13"/>
  <c r="BS439" i="13"/>
  <c r="CU439" i="13"/>
  <c r="BN523" i="13"/>
  <c r="BN521" i="13"/>
  <c r="BN519" i="13"/>
  <c r="BN517" i="13"/>
  <c r="BN515" i="13"/>
  <c r="BN513" i="13"/>
  <c r="BN511" i="13"/>
  <c r="BN509" i="13"/>
  <c r="BN507" i="13"/>
  <c r="BN505" i="13"/>
  <c r="BN503" i="13"/>
  <c r="BN501" i="13"/>
  <c r="BN499" i="13"/>
  <c r="BN497" i="13"/>
  <c r="BN495" i="13"/>
  <c r="BN493" i="13"/>
  <c r="BN491" i="13"/>
  <c r="BN489" i="13"/>
  <c r="BN487" i="13"/>
  <c r="BN485" i="13"/>
  <c r="BN483" i="13"/>
  <c r="BN481" i="13"/>
  <c r="BN479" i="13"/>
  <c r="BN477" i="13"/>
  <c r="CU475" i="13"/>
  <c r="AM475" i="13"/>
  <c r="CH474" i="13"/>
  <c r="A474" i="13"/>
  <c r="CM473" i="13"/>
  <c r="BW473" i="13"/>
  <c r="BI470" i="13" a="1"/>
  <c r="BI470" i="13" s="1"/>
  <c r="BI469" i="13" a="1"/>
  <c r="BI469" i="13" s="1"/>
  <c r="CQ469" i="13"/>
  <c r="BX466" i="13"/>
  <c r="BY466" i="13" s="1"/>
  <c r="BL465" i="13"/>
  <c r="CH463" i="13"/>
  <c r="CU461" i="13"/>
  <c r="CH459" i="13"/>
  <c r="AM457" i="13"/>
  <c r="CA457" i="13"/>
  <c r="CH457" i="13"/>
  <c r="BI457" i="13" a="1"/>
  <c r="BI457" i="13" s="1"/>
  <c r="CQ457" i="13"/>
  <c r="A457" i="13"/>
  <c r="BW457" i="13"/>
  <c r="BS457" i="13"/>
  <c r="CU457" i="13"/>
  <c r="BN455" i="13"/>
  <c r="CM454" i="13"/>
  <c r="AM449" i="13"/>
  <c r="CA449" i="13"/>
  <c r="CH449" i="13"/>
  <c r="BI449" i="13" a="1"/>
  <c r="BI449" i="13" s="1"/>
  <c r="CQ449" i="13"/>
  <c r="A449" i="13"/>
  <c r="BW449" i="13"/>
  <c r="BS449" i="13"/>
  <c r="CU449" i="13"/>
  <c r="BN447" i="13"/>
  <c r="CM446" i="13"/>
  <c r="BJ421" i="13"/>
  <c r="CH523" i="13"/>
  <c r="CA523" i="13"/>
  <c r="CH521" i="13"/>
  <c r="CA521" i="13"/>
  <c r="CH519" i="13"/>
  <c r="CA519" i="13"/>
  <c r="CH517" i="13"/>
  <c r="CA517" i="13"/>
  <c r="CH515" i="13"/>
  <c r="CA515" i="13"/>
  <c r="CH513" i="13"/>
  <c r="CA513" i="13"/>
  <c r="CH511" i="13"/>
  <c r="CA511" i="13"/>
  <c r="CH509" i="13"/>
  <c r="CA509" i="13"/>
  <c r="CH507" i="13"/>
  <c r="CA507" i="13"/>
  <c r="CH505" i="13"/>
  <c r="CA505" i="13"/>
  <c r="CH503" i="13"/>
  <c r="CA503" i="13"/>
  <c r="CH501" i="13"/>
  <c r="CA501" i="13"/>
  <c r="CH499" i="13"/>
  <c r="CA499" i="13"/>
  <c r="CH497" i="13"/>
  <c r="CA497" i="13"/>
  <c r="CH495" i="13"/>
  <c r="CA495" i="13"/>
  <c r="CH493" i="13"/>
  <c r="CA493" i="13"/>
  <c r="CH491" i="13"/>
  <c r="CA491" i="13"/>
  <c r="BJ490" i="13"/>
  <c r="CH489" i="13"/>
  <c r="CA489" i="13"/>
  <c r="BJ488" i="13"/>
  <c r="CH487" i="13"/>
  <c r="CA487" i="13"/>
  <c r="CY486" i="13" a="1"/>
  <c r="CY486" i="13" s="1"/>
  <c r="BJ486" i="13"/>
  <c r="CH485" i="13"/>
  <c r="CA485" i="13"/>
  <c r="BJ484" i="13"/>
  <c r="CH483" i="13"/>
  <c r="CA483" i="13"/>
  <c r="BJ482" i="13"/>
  <c r="CH481" i="13"/>
  <c r="CA481" i="13"/>
  <c r="BJ480" i="13"/>
  <c r="CH479" i="13"/>
  <c r="CA479" i="13"/>
  <c r="BJ478" i="13"/>
  <c r="CH477" i="13"/>
  <c r="CA477" i="13"/>
  <c r="BJ476" i="13"/>
  <c r="CM475" i="13"/>
  <c r="BW475" i="13"/>
  <c r="BI472" i="13" a="1"/>
  <c r="BI472" i="13" s="1"/>
  <c r="BI471" i="13" a="1"/>
  <c r="BI471" i="13" s="1"/>
  <c r="CQ471" i="13"/>
  <c r="CU470" i="13"/>
  <c r="CM470" i="13"/>
  <c r="BW470" i="13"/>
  <c r="BI468" i="13" a="1"/>
  <c r="BI468" i="13" s="1"/>
  <c r="BS466" i="13"/>
  <c r="BT466" i="13" s="1"/>
  <c r="BU466" i="13" s="1"/>
  <c r="CU466" i="13"/>
  <c r="AM466" i="13"/>
  <c r="CA466" i="13"/>
  <c r="CB466" i="13" s="1"/>
  <c r="CC466" i="13" s="1"/>
  <c r="CH466" i="13"/>
  <c r="A466" i="13"/>
  <c r="AM465" i="13"/>
  <c r="CH461" i="13"/>
  <c r="BW460" i="13"/>
  <c r="BK460" i="13"/>
  <c r="BS458" i="13"/>
  <c r="CU458" i="13"/>
  <c r="AM458" i="13"/>
  <c r="CA458" i="13"/>
  <c r="CH458" i="13"/>
  <c r="BI458" i="13" a="1"/>
  <c r="BI458" i="13" s="1"/>
  <c r="CQ458" i="13"/>
  <c r="A458" i="13"/>
  <c r="BW458" i="13"/>
  <c r="BN456" i="13"/>
  <c r="CM455" i="13"/>
  <c r="BS450" i="13"/>
  <c r="CU450" i="13"/>
  <c r="AM450" i="13"/>
  <c r="CA450" i="13"/>
  <c r="CH450" i="13"/>
  <c r="BI450" i="13" a="1"/>
  <c r="BI450" i="13" s="1"/>
  <c r="CQ450" i="13"/>
  <c r="A450" i="13"/>
  <c r="BW450" i="13"/>
  <c r="BN448" i="13"/>
  <c r="CM447" i="13"/>
  <c r="AM443" i="13"/>
  <c r="CA443" i="13"/>
  <c r="CH443" i="13"/>
  <c r="BN443" i="13"/>
  <c r="BI443" i="13" a="1"/>
  <c r="BI443" i="13" s="1"/>
  <c r="CQ443" i="13"/>
  <c r="A443" i="13"/>
  <c r="BW443" i="13"/>
  <c r="BS443" i="13"/>
  <c r="CU443" i="13"/>
  <c r="BX430" i="13"/>
  <c r="BY430" i="13" s="1"/>
  <c r="BT424" i="13"/>
  <c r="BU424" i="13" s="1"/>
  <c r="BI473" i="13" a="1"/>
  <c r="BI473" i="13" s="1"/>
  <c r="CQ473" i="13"/>
  <c r="BN470" i="13"/>
  <c r="AM470" i="13"/>
  <c r="BS464" i="13"/>
  <c r="CU464" i="13"/>
  <c r="AM464" i="13"/>
  <c r="CA464" i="13"/>
  <c r="CH464" i="13"/>
  <c r="A464" i="13"/>
  <c r="BK463" i="13"/>
  <c r="AM463" i="13"/>
  <c r="BL461" i="13"/>
  <c r="BI459" i="13" a="1"/>
  <c r="BI459" i="13" s="1"/>
  <c r="CQ459" i="13"/>
  <c r="A459" i="13"/>
  <c r="BW459" i="13"/>
  <c r="BS459" i="13"/>
  <c r="BK454" i="13"/>
  <c r="AM451" i="13"/>
  <c r="CA451" i="13"/>
  <c r="CH451" i="13"/>
  <c r="BI451" i="13" a="1"/>
  <c r="BI451" i="13" s="1"/>
  <c r="CQ451" i="13"/>
  <c r="A451" i="13"/>
  <c r="BW451" i="13"/>
  <c r="BS451" i="13"/>
  <c r="CU451" i="13"/>
  <c r="BK446" i="13"/>
  <c r="BJ430" i="13"/>
  <c r="CR430" i="13" s="1"/>
  <c r="CS430" i="13"/>
  <c r="BJ417" i="13"/>
  <c r="BJ407" i="13"/>
  <c r="BI475" i="13" a="1"/>
  <c r="BI475" i="13" s="1"/>
  <c r="CQ475" i="13"/>
  <c r="CN474" i="13"/>
  <c r="CO474" i="13" s="1"/>
  <c r="CA473" i="13"/>
  <c r="A473" i="13"/>
  <c r="CQ468" i="13"/>
  <c r="BI467" i="13" a="1"/>
  <c r="BI467" i="13" s="1"/>
  <c r="CQ467" i="13"/>
  <c r="A467" i="13"/>
  <c r="BW467" i="13"/>
  <c r="BK464" i="13"/>
  <c r="BS462" i="13"/>
  <c r="BT462" i="13" s="1"/>
  <c r="BU462" i="13" s="1"/>
  <c r="CU462" i="13"/>
  <c r="AM462" i="13"/>
  <c r="CA462" i="13"/>
  <c r="CB462" i="13" s="1"/>
  <c r="CC462" i="13" s="1"/>
  <c r="CH462" i="13"/>
  <c r="A462" i="13"/>
  <c r="BN459" i="13"/>
  <c r="BS452" i="13"/>
  <c r="CU452" i="13"/>
  <c r="AM452" i="13"/>
  <c r="CA452" i="13"/>
  <c r="CH452" i="13"/>
  <c r="BI452" i="13" a="1"/>
  <c r="BI452" i="13" s="1"/>
  <c r="CQ452" i="13"/>
  <c r="A452" i="13"/>
  <c r="BW452" i="13"/>
  <c r="CB430" i="13"/>
  <c r="CC430" i="13" s="1"/>
  <c r="CJ430" i="13"/>
  <c r="CK430" i="13" s="1"/>
  <c r="CL430" i="13" s="1" a="1"/>
  <c r="CL430" i="13" s="1"/>
  <c r="BJ420" i="13"/>
  <c r="BJ415" i="13"/>
  <c r="BJ413" i="13"/>
  <c r="BW444" i="13"/>
  <c r="A444" i="13"/>
  <c r="BW442" i="13"/>
  <c r="A442" i="13"/>
  <c r="BW440" i="13"/>
  <c r="A440" i="13"/>
  <c r="BW438" i="13"/>
  <c r="A438" i="13"/>
  <c r="CU437" i="13"/>
  <c r="BW436" i="13"/>
  <c r="A436" i="13"/>
  <c r="CU435" i="13"/>
  <c r="BW434" i="13"/>
  <c r="A434" i="13"/>
  <c r="CU433" i="13"/>
  <c r="BW432" i="13"/>
  <c r="A432" i="13"/>
  <c r="CU431" i="13"/>
  <c r="AM427" i="13"/>
  <c r="CA427" i="13"/>
  <c r="CH427" i="13"/>
  <c r="BN427" i="13"/>
  <c r="A427" i="13"/>
  <c r="BS419" i="13"/>
  <c r="BI419" i="13" a="1"/>
  <c r="BI419" i="13" s="1"/>
  <c r="BJ418" i="13"/>
  <c r="CU413" i="13"/>
  <c r="AM413" i="13"/>
  <c r="CA413" i="13"/>
  <c r="CH413" i="13"/>
  <c r="BN413" i="13"/>
  <c r="A413" i="13"/>
  <c r="BS411" i="13"/>
  <c r="BI411" i="13" a="1"/>
  <c r="BI411" i="13" s="1"/>
  <c r="BJ401" i="13"/>
  <c r="BJ397" i="13"/>
  <c r="BX389" i="13"/>
  <c r="CV389" i="13"/>
  <c r="CW389" i="13" s="1"/>
  <c r="CB387" i="13"/>
  <c r="CQ444" i="13"/>
  <c r="BI444" i="13" a="1"/>
  <c r="BI444" i="13" s="1"/>
  <c r="CQ442" i="13"/>
  <c r="BI442" i="13" a="1"/>
  <c r="BI442" i="13" s="1"/>
  <c r="CQ440" i="13"/>
  <c r="BI440" i="13" a="1"/>
  <c r="BI440" i="13" s="1"/>
  <c r="CQ438" i="13"/>
  <c r="BI438" i="13" a="1"/>
  <c r="BI438" i="13" s="1"/>
  <c r="BS437" i="13"/>
  <c r="CQ436" i="13"/>
  <c r="BI436" i="13" a="1"/>
  <c r="BI436" i="13" s="1"/>
  <c r="BS435" i="13"/>
  <c r="CQ434" i="13"/>
  <c r="BI434" i="13" a="1"/>
  <c r="BI434" i="13" s="1"/>
  <c r="BS433" i="13"/>
  <c r="CQ432" i="13"/>
  <c r="BI432" i="13" a="1"/>
  <c r="BI432" i="13" s="1"/>
  <c r="BS431" i="13"/>
  <c r="BP430" i="13"/>
  <c r="BQ430" i="13" s="1"/>
  <c r="BR430" i="13" s="1" a="1"/>
  <c r="BR430" i="13" s="1"/>
  <c r="AM421" i="13"/>
  <c r="CA421" i="13"/>
  <c r="CH421" i="13"/>
  <c r="BN421" i="13"/>
  <c r="CM415" i="13"/>
  <c r="BJ400" i="13"/>
  <c r="BP400" i="13"/>
  <c r="BQ400" i="13" s="1"/>
  <c r="BJ399" i="13"/>
  <c r="BJ398" i="13"/>
  <c r="BP398" i="13" s="1"/>
  <c r="BQ398" i="13" s="1"/>
  <c r="AM429" i="13"/>
  <c r="CA429" i="13"/>
  <c r="CH429" i="13"/>
  <c r="BN429" i="13"/>
  <c r="BJ425" i="13"/>
  <c r="CV424" i="13"/>
  <c r="CW424" i="13" s="1"/>
  <c r="CX424" i="13" s="1" a="1"/>
  <c r="CX424" i="13" s="1"/>
  <c r="CU419" i="13"/>
  <c r="AM419" i="13"/>
  <c r="CA419" i="13"/>
  <c r="CH419" i="13"/>
  <c r="BN419" i="13"/>
  <c r="A419" i="13"/>
  <c r="BJ416" i="13"/>
  <c r="CJ416" i="13" s="1"/>
  <c r="CK416" i="13" s="1"/>
  <c r="CL416" i="13" s="1" a="1"/>
  <c r="CL416" i="13" s="1"/>
  <c r="CU411" i="13"/>
  <c r="AM411" i="13"/>
  <c r="CA411" i="13"/>
  <c r="CH411" i="13"/>
  <c r="BN411" i="13"/>
  <c r="A411" i="13"/>
  <c r="CH444" i="13"/>
  <c r="CA444" i="13"/>
  <c r="AM444" i="13"/>
  <c r="CH442" i="13"/>
  <c r="CA442" i="13"/>
  <c r="AM442" i="13"/>
  <c r="CH440" i="13"/>
  <c r="CA440" i="13"/>
  <c r="AM440" i="13"/>
  <c r="CH438" i="13"/>
  <c r="CA438" i="13"/>
  <c r="AM438" i="13"/>
  <c r="CH436" i="13"/>
  <c r="CA436" i="13"/>
  <c r="AM436" i="13"/>
  <c r="CH434" i="13"/>
  <c r="CA434" i="13"/>
  <c r="AM434" i="13"/>
  <c r="CH432" i="13"/>
  <c r="CA432" i="13"/>
  <c r="AM432" i="13"/>
  <c r="CV430" i="13"/>
  <c r="CW430" i="13" s="1"/>
  <c r="BL429" i="13"/>
  <c r="A429" i="13"/>
  <c r="BW427" i="13"/>
  <c r="BL427" i="13"/>
  <c r="CN426" i="13"/>
  <c r="CO426" i="13" s="1"/>
  <c r="BJ426" i="13"/>
  <c r="BX426" i="13" s="1"/>
  <c r="BY426" i="13" s="1"/>
  <c r="AM423" i="13"/>
  <c r="CA423" i="13"/>
  <c r="CH423" i="13"/>
  <c r="BN423" i="13"/>
  <c r="A423" i="13"/>
  <c r="BW421" i="13"/>
  <c r="BL421" i="13"/>
  <c r="CV421" i="13" s="1"/>
  <c r="CW421" i="13" s="1"/>
  <c r="CY421" i="13" s="1" a="1"/>
  <c r="CY421" i="13" s="1"/>
  <c r="CQ419" i="13"/>
  <c r="BL414" i="13"/>
  <c r="CM413" i="13"/>
  <c r="CQ411" i="13"/>
  <c r="CU444" i="13"/>
  <c r="CU442" i="13"/>
  <c r="CU440" i="13"/>
  <c r="CU438" i="13"/>
  <c r="BW437" i="13"/>
  <c r="A437" i="13"/>
  <c r="CU436" i="13"/>
  <c r="BW435" i="13"/>
  <c r="A435" i="13"/>
  <c r="CU434" i="13"/>
  <c r="BW433" i="13"/>
  <c r="A433" i="13"/>
  <c r="CU432" i="13"/>
  <c r="BW431" i="13"/>
  <c r="A431" i="13"/>
  <c r="BT430" i="13"/>
  <c r="BU430" i="13" s="1"/>
  <c r="BV430" i="13" s="1" a="1"/>
  <c r="BV430" i="13" s="1"/>
  <c r="CU429" i="13"/>
  <c r="CM429" i="13"/>
  <c r="BT426" i="13"/>
  <c r="BU426" i="13" s="1"/>
  <c r="CR424" i="13"/>
  <c r="CS424" i="13" s="1"/>
  <c r="CJ424" i="13"/>
  <c r="CK424" i="13" s="1"/>
  <c r="CL424" i="13" s="1" a="1"/>
  <c r="CL424" i="13" s="1"/>
  <c r="BL420" i="13"/>
  <c r="CR420" i="13" s="1"/>
  <c r="CS420" i="13" s="1"/>
  <c r="CU417" i="13"/>
  <c r="AM417" i="13"/>
  <c r="CA417" i="13"/>
  <c r="CH417" i="13"/>
  <c r="BN417" i="13"/>
  <c r="BT417" i="13" s="1"/>
  <c r="BU417" i="13" s="1"/>
  <c r="A417" i="13"/>
  <c r="BS415" i="13"/>
  <c r="BJ414" i="13"/>
  <c r="CR414" i="13" s="1"/>
  <c r="CS414" i="13" s="1"/>
  <c r="BW413" i="13"/>
  <c r="BK413" i="13"/>
  <c r="CR408" i="13"/>
  <c r="CS408" i="13" s="1"/>
  <c r="CC408" i="13"/>
  <c r="CE408" i="13" s="1" a="1"/>
  <c r="CE408" i="13" s="1"/>
  <c r="BJ408" i="13"/>
  <c r="BJ404" i="13"/>
  <c r="BP404" i="13" s="1"/>
  <c r="BQ404" i="13" s="1"/>
  <c r="BR404" i="13" s="1" a="1"/>
  <c r="BR404" i="13" s="1"/>
  <c r="BS444" i="13"/>
  <c r="BS442" i="13"/>
  <c r="BS440" i="13"/>
  <c r="BS438" i="13"/>
  <c r="CQ437" i="13"/>
  <c r="BI437" i="13" a="1"/>
  <c r="BI437" i="13" s="1"/>
  <c r="BS436" i="13"/>
  <c r="CQ435" i="13"/>
  <c r="BI435" i="13" a="1"/>
  <c r="BI435" i="13" s="1"/>
  <c r="BS434" i="13"/>
  <c r="CQ433" i="13"/>
  <c r="BI433" i="13" a="1"/>
  <c r="BI433" i="13" s="1"/>
  <c r="BS432" i="13"/>
  <c r="CQ431" i="13"/>
  <c r="BI431" i="13" a="1"/>
  <c r="BI431" i="13" s="1"/>
  <c r="BS429" i="13"/>
  <c r="BL428" i="13"/>
  <c r="CQ427" i="13"/>
  <c r="CR427" i="13" s="1"/>
  <c r="CS427" i="13" s="1"/>
  <c r="CV426" i="13"/>
  <c r="CW426" i="13" s="1"/>
  <c r="CB426" i="13"/>
  <c r="CC426" i="13" s="1"/>
  <c r="AM425" i="13"/>
  <c r="CA425" i="13"/>
  <c r="CH425" i="13"/>
  <c r="CR425" i="13" s="1"/>
  <c r="CS425" i="13" s="1"/>
  <c r="BN425" i="13"/>
  <c r="BX425" i="13" s="1"/>
  <c r="BY425" i="13" s="1"/>
  <c r="A425" i="13"/>
  <c r="BW423" i="13"/>
  <c r="BL422" i="13"/>
  <c r="CQ421" i="13"/>
  <c r="CM419" i="13"/>
  <c r="CQ417" i="13"/>
  <c r="CN416" i="13"/>
  <c r="CO416" i="13" s="1"/>
  <c r="CP416" i="13" s="1" a="1"/>
  <c r="CP416" i="13" s="1"/>
  <c r="BL412" i="13"/>
  <c r="CV412" i="13" s="1"/>
  <c r="CW412" i="13" s="1"/>
  <c r="CM411" i="13"/>
  <c r="CB408" i="13"/>
  <c r="BP408" i="13"/>
  <c r="BQ408" i="13" s="1"/>
  <c r="BR408" i="13" s="1" a="1"/>
  <c r="BR408" i="13" s="1"/>
  <c r="BJ403" i="13"/>
  <c r="BT400" i="13"/>
  <c r="BU400" i="13" s="1"/>
  <c r="BT398" i="13"/>
  <c r="BU398" i="13" s="1"/>
  <c r="BN437" i="13"/>
  <c r="BN435" i="13"/>
  <c r="BN433" i="13"/>
  <c r="BN431" i="13"/>
  <c r="BJ428" i="13"/>
  <c r="BX424" i="13"/>
  <c r="BY424" i="13" s="1"/>
  <c r="CD424" i="13" s="1" a="1"/>
  <c r="CD424" i="13" s="1"/>
  <c r="CY424" i="13" a="1"/>
  <c r="CY424" i="13" s="1"/>
  <c r="CE424" i="13" a="1"/>
  <c r="CE424" i="13" s="1"/>
  <c r="BJ422" i="13"/>
  <c r="BX422" i="13" s="1"/>
  <c r="BY422" i="13" s="1"/>
  <c r="BW419" i="13"/>
  <c r="BK419" i="13"/>
  <c r="CU415" i="13"/>
  <c r="AM415" i="13"/>
  <c r="CA415" i="13"/>
  <c r="CH415" i="13"/>
  <c r="CJ415" i="13" s="1"/>
  <c r="CK415" i="13" s="1"/>
  <c r="BN415" i="13"/>
  <c r="BP415" i="13" s="1"/>
  <c r="BQ415" i="13" s="1"/>
  <c r="A415" i="13"/>
  <c r="BT413" i="13"/>
  <c r="BU413" i="13" s="1"/>
  <c r="BJ412" i="13"/>
  <c r="BW411" i="13"/>
  <c r="BK411" i="13"/>
  <c r="BL410" i="13"/>
  <c r="CR410" i="13" s="1"/>
  <c r="CS410" i="13" s="1"/>
  <c r="BX408" i="13"/>
  <c r="BY408" i="13" s="1"/>
  <c r="CH437" i="13"/>
  <c r="CA437" i="13"/>
  <c r="CH435" i="13"/>
  <c r="CA435" i="13"/>
  <c r="CH433" i="13"/>
  <c r="CA433" i="13"/>
  <c r="CH431" i="13"/>
  <c r="CA431" i="13"/>
  <c r="BI429" i="13" a="1"/>
  <c r="BI429" i="13" s="1"/>
  <c r="CR426" i="13"/>
  <c r="CS426" i="13" s="1"/>
  <c r="CT426" i="13" s="1" a="1"/>
  <c r="CT426" i="13" s="1"/>
  <c r="CJ426" i="13"/>
  <c r="CK426" i="13" s="1"/>
  <c r="CL426" i="13" s="1" a="1"/>
  <c r="CL426" i="13" s="1"/>
  <c r="BJ423" i="13"/>
  <c r="BT423" i="13" s="1"/>
  <c r="BU423" i="13" s="1"/>
  <c r="BL418" i="13"/>
  <c r="BT418" i="13" s="1"/>
  <c r="BU418" i="13" s="1"/>
  <c r="CQ415" i="13"/>
  <c r="BJ410" i="13"/>
  <c r="BJ406" i="13"/>
  <c r="BJ402" i="13"/>
  <c r="BX402" i="13" s="1"/>
  <c r="BY402" i="13" s="1"/>
  <c r="BP402" i="13"/>
  <c r="BQ402" i="13" s="1"/>
  <c r="BR402" i="13" s="1" a="1"/>
  <c r="BR402" i="13" s="1"/>
  <c r="BT396" i="13"/>
  <c r="BU396" i="13" s="1"/>
  <c r="BX387" i="13"/>
  <c r="CV387" i="13"/>
  <c r="CW387" i="13" s="1"/>
  <c r="CH406" i="13"/>
  <c r="CA406" i="13"/>
  <c r="BJ405" i="13"/>
  <c r="CH404" i="13"/>
  <c r="CJ404" i="13" s="1"/>
  <c r="CK404" i="13" s="1"/>
  <c r="CL404" i="13" s="1" a="1"/>
  <c r="CL404" i="13" s="1"/>
  <c r="CA404" i="13"/>
  <c r="CH402" i="13"/>
  <c r="CV402" i="13" s="1"/>
  <c r="CW402" i="13" s="1"/>
  <c r="CA402" i="13"/>
  <c r="CB402" i="13" s="1"/>
  <c r="CC402" i="13" s="1"/>
  <c r="CE402" i="13" s="1" a="1"/>
  <c r="CE402" i="13" s="1"/>
  <c r="CH400" i="13"/>
  <c r="CJ400" i="13" s="1"/>
  <c r="CK400" i="13" s="1"/>
  <c r="CA400" i="13"/>
  <c r="CB400" i="13" s="1"/>
  <c r="CC400" i="13" s="1"/>
  <c r="AM400" i="13"/>
  <c r="CH398" i="13"/>
  <c r="CN398" i="13" s="1"/>
  <c r="CO398" i="13" s="1"/>
  <c r="CA398" i="13"/>
  <c r="CB398" i="13" s="1"/>
  <c r="CC398" i="13" s="1"/>
  <c r="AM398" i="13"/>
  <c r="BN394" i="13"/>
  <c r="BI394" i="13" a="1"/>
  <c r="BI394" i="13" s="1"/>
  <c r="BN392" i="13"/>
  <c r="BI392" i="13" a="1"/>
  <c r="BI392" i="13" s="1"/>
  <c r="CQ392" i="13"/>
  <c r="A392" i="13"/>
  <c r="BW392" i="13"/>
  <c r="BS392" i="13"/>
  <c r="BN390" i="13"/>
  <c r="BI390" i="13" a="1"/>
  <c r="BI390" i="13" s="1"/>
  <c r="CQ390" i="13"/>
  <c r="A390" i="13"/>
  <c r="BW390" i="13"/>
  <c r="BS390" i="13"/>
  <c r="BQ389" i="13"/>
  <c r="BR389" i="13" s="1" a="1"/>
  <c r="BR389" i="13" s="1"/>
  <c r="CN389" i="13"/>
  <c r="BP389" i="13"/>
  <c r="BN388" i="13"/>
  <c r="BI388" i="13" a="1"/>
  <c r="BI388" i="13" s="1"/>
  <c r="CQ388" i="13"/>
  <c r="A388" i="13"/>
  <c r="BW388" i="13"/>
  <c r="BS388" i="13"/>
  <c r="CN387" i="13"/>
  <c r="BP387" i="13"/>
  <c r="BQ387" i="13" s="1"/>
  <c r="BR387" i="13" s="1" a="1"/>
  <c r="BR387" i="13" s="1"/>
  <c r="BJ385" i="13"/>
  <c r="BJ377" i="13"/>
  <c r="CV377" i="13" s="1"/>
  <c r="CW377" i="13" s="1"/>
  <c r="CB374" i="13"/>
  <c r="A399" i="13"/>
  <c r="BW397" i="13"/>
  <c r="A397" i="13"/>
  <c r="CJ395" i="13"/>
  <c r="CK395" i="13" s="1"/>
  <c r="CL395" i="13" s="1" a="1"/>
  <c r="CL395" i="13" s="1"/>
  <c r="BL406" i="13"/>
  <c r="CV406" i="13" s="1"/>
  <c r="CW406" i="13" s="1"/>
  <c r="BJ381" i="13"/>
  <c r="BX380" i="13"/>
  <c r="BJ379" i="13"/>
  <c r="BT374" i="13"/>
  <c r="BU374" i="13" s="1"/>
  <c r="BV374" i="13" s="1" a="1"/>
  <c r="BV374" i="13" s="1"/>
  <c r="BN409" i="13"/>
  <c r="BP409" i="13" s="1"/>
  <c r="BQ409" i="13" s="1"/>
  <c r="BN407" i="13"/>
  <c r="BP407" i="13" s="1"/>
  <c r="BQ407" i="13" s="1"/>
  <c r="BN405" i="13"/>
  <c r="BN403" i="13"/>
  <c r="BP403" i="13" s="1"/>
  <c r="BQ403" i="13" s="1"/>
  <c r="BN401" i="13"/>
  <c r="BP401" i="13" s="1"/>
  <c r="BQ401" i="13" s="1"/>
  <c r="BN399" i="13"/>
  <c r="BP399" i="13" s="1"/>
  <c r="BQ399" i="13" s="1"/>
  <c r="BN397" i="13"/>
  <c r="BP397" i="13" s="1"/>
  <c r="BQ397" i="13" s="1"/>
  <c r="CV395" i="13"/>
  <c r="CW395" i="13" s="1"/>
  <c r="BK392" i="13"/>
  <c r="BK390" i="13"/>
  <c r="BK388" i="13"/>
  <c r="BY380" i="13"/>
  <c r="BJ380" i="13"/>
  <c r="CB380" i="13" s="1"/>
  <c r="CC380" i="13" s="1"/>
  <c r="BL378" i="13"/>
  <c r="BX378" i="13" s="1"/>
  <c r="BY378" i="13" s="1"/>
  <c r="CH409" i="13"/>
  <c r="CV409" i="13" s="1"/>
  <c r="CW409" i="13" s="1"/>
  <c r="CA409" i="13"/>
  <c r="AM409" i="13"/>
  <c r="CH407" i="13"/>
  <c r="CJ407" i="13" s="1"/>
  <c r="CK407" i="13" s="1"/>
  <c r="CA407" i="13"/>
  <c r="CB407" i="13" s="1"/>
  <c r="CC407" i="13" s="1"/>
  <c r="AM407" i="13"/>
  <c r="CH405" i="13"/>
  <c r="CA405" i="13"/>
  <c r="AM405" i="13"/>
  <c r="CH403" i="13"/>
  <c r="CN403" i="13" s="1"/>
  <c r="CO403" i="13" s="1"/>
  <c r="CA403" i="13"/>
  <c r="CB403" i="13" s="1"/>
  <c r="CC403" i="13" s="1"/>
  <c r="AM403" i="13"/>
  <c r="CH401" i="13"/>
  <c r="CN401" i="13" s="1"/>
  <c r="CO401" i="13" s="1"/>
  <c r="CA401" i="13"/>
  <c r="AM401" i="13"/>
  <c r="CH399" i="13"/>
  <c r="CN399" i="13" s="1"/>
  <c r="CO399" i="13" s="1"/>
  <c r="CA399" i="13"/>
  <c r="AM399" i="13"/>
  <c r="CH397" i="13"/>
  <c r="CN397" i="13" s="1"/>
  <c r="CO397" i="13" s="1"/>
  <c r="CA397" i="13"/>
  <c r="AM397" i="13"/>
  <c r="BL396" i="13"/>
  <c r="CR396" i="13" s="1"/>
  <c r="CS396" i="13" s="1"/>
  <c r="CN395" i="13"/>
  <c r="CO395" i="13" s="1"/>
  <c r="BQ395" i="13"/>
  <c r="CA394" i="13"/>
  <c r="BS394" i="13"/>
  <c r="CJ389" i="13"/>
  <c r="CJ387" i="13"/>
  <c r="CK387" i="13" s="1"/>
  <c r="CL387" i="13" s="1" a="1"/>
  <c r="CL387" i="13" s="1"/>
  <c r="CJ386" i="13"/>
  <c r="BT386" i="13"/>
  <c r="BU386" i="13" s="1"/>
  <c r="BJ375" i="13"/>
  <c r="CV374" i="13"/>
  <c r="CW374" i="13" s="1"/>
  <c r="BW400" i="13"/>
  <c r="BX400" i="13" s="1"/>
  <c r="BY400" i="13" s="1"/>
  <c r="BW398" i="13"/>
  <c r="BX398" i="13" s="1"/>
  <c r="BY398" i="13" s="1"/>
  <c r="BZ398" i="13" s="1" a="1"/>
  <c r="BZ398" i="13" s="1"/>
  <c r="BK393" i="13"/>
  <c r="BL393" i="13"/>
  <c r="AM392" i="13"/>
  <c r="CH390" i="13"/>
  <c r="AM390" i="13"/>
  <c r="CR389" i="13"/>
  <c r="CS389" i="13" s="1"/>
  <c r="CH388" i="13"/>
  <c r="AM388" i="13"/>
  <c r="CR387" i="13"/>
  <c r="CS387" i="13" s="1"/>
  <c r="BL384" i="13"/>
  <c r="BP384" i="13" s="1"/>
  <c r="BQ384" i="13" s="1"/>
  <c r="BR384" i="13" s="1" a="1"/>
  <c r="BR384" i="13" s="1"/>
  <c r="CS383" i="13"/>
  <c r="CJ383" i="13"/>
  <c r="CK383" i="13" s="1"/>
  <c r="CL383" i="13" s="1" a="1"/>
  <c r="CL383" i="13" s="1"/>
  <c r="CR383" i="13"/>
  <c r="CN377" i="13"/>
  <c r="CO377" i="13" s="1"/>
  <c r="BL375" i="13"/>
  <c r="BK375" i="13"/>
  <c r="BX374" i="13"/>
  <c r="BT389" i="13"/>
  <c r="BU389" i="13" s="1"/>
  <c r="BV389" i="13" s="1" a="1"/>
  <c r="BV389" i="13" s="1"/>
  <c r="BY389" i="13"/>
  <c r="CO389" i="13"/>
  <c r="CK389" i="13"/>
  <c r="CL389" i="13" s="1" a="1"/>
  <c r="CL389" i="13" s="1"/>
  <c r="BT387" i="13"/>
  <c r="BU387" i="13" s="1"/>
  <c r="BY387" i="13"/>
  <c r="CO387" i="13"/>
  <c r="CC387" i="13"/>
  <c r="CE387" i="13" s="1" a="1"/>
  <c r="CE387" i="13" s="1"/>
  <c r="BJ382" i="13"/>
  <c r="CN374" i="13"/>
  <c r="CO374" i="13" s="1"/>
  <c r="CR374" i="13"/>
  <c r="CY389" i="13" a="1"/>
  <c r="CY389" i="13" s="1"/>
  <c r="CY387" i="13" a="1"/>
  <c r="CY387" i="13" s="1"/>
  <c r="CB386" i="13"/>
  <c r="CR386" i="13"/>
  <c r="CS386" i="13" s="1"/>
  <c r="CN383" i="13"/>
  <c r="CO383" i="13" s="1"/>
  <c r="CP383" i="13" s="1" a="1"/>
  <c r="CP383" i="13" s="1"/>
  <c r="BK382" i="13"/>
  <c r="CB382" i="13" s="1"/>
  <c r="CC382" i="13" s="1"/>
  <c r="BL382" i="13"/>
  <c r="CV378" i="13"/>
  <c r="CW378" i="13" s="1"/>
  <c r="CJ378" i="13"/>
  <c r="CK378" i="13" s="1"/>
  <c r="CL378" i="13" s="1" a="1"/>
  <c r="CL378" i="13" s="1"/>
  <c r="BT378" i="13"/>
  <c r="BU378" i="13" s="1"/>
  <c r="CB378" i="13"/>
  <c r="CC378" i="13" s="1"/>
  <c r="CN378" i="13"/>
  <c r="CO378" i="13" s="1"/>
  <c r="CJ377" i="13"/>
  <c r="CK377" i="13" s="1"/>
  <c r="CR377" i="13"/>
  <c r="CS377" i="13" s="1"/>
  <c r="BJ376" i="13"/>
  <c r="CL386" i="13" a="1"/>
  <c r="CL386" i="13" s="1"/>
  <c r="CC386" i="13"/>
  <c r="CK386" i="13"/>
  <c r="BS381" i="13"/>
  <c r="BN381" i="13"/>
  <c r="BP381" i="13" s="1"/>
  <c r="BQ381" i="13" s="1"/>
  <c r="A381" i="13"/>
  <c r="CL377" i="13" a="1"/>
  <c r="CL377" i="13" s="1"/>
  <c r="BS375" i="13"/>
  <c r="BN375" i="13"/>
  <c r="A375" i="13"/>
  <c r="CS374" i="13"/>
  <c r="CT374" i="13" s="1" a="1"/>
  <c r="CT374" i="13" s="1"/>
  <c r="CH373" i="13"/>
  <c r="BW371" i="13"/>
  <c r="BK371" i="13"/>
  <c r="CM369" i="13"/>
  <c r="BW367" i="13"/>
  <c r="BK367" i="13"/>
  <c r="BL364" i="13"/>
  <c r="BK364" i="13"/>
  <c r="CU363" i="13"/>
  <c r="BK363" i="13"/>
  <c r="CM359" i="13"/>
  <c r="BP376" i="13"/>
  <c r="BQ376" i="13" s="1"/>
  <c r="BR376" i="13" s="1" a="1"/>
  <c r="BR376" i="13" s="1"/>
  <c r="CC374" i="13"/>
  <c r="CE374" i="13" s="1" a="1"/>
  <c r="CE374" i="13" s="1"/>
  <c r="BY374" i="13"/>
  <c r="BI373" i="13" a="1"/>
  <c r="BI373" i="13" s="1"/>
  <c r="BS373" i="13"/>
  <c r="BN373" i="13"/>
  <c r="CH363" i="13"/>
  <c r="BW363" i="13"/>
  <c r="BI361" i="13" a="1"/>
  <c r="BI361" i="13" s="1"/>
  <c r="CQ361" i="13"/>
  <c r="A361" i="13"/>
  <c r="BW361" i="13"/>
  <c r="BS361" i="13"/>
  <c r="CU361" i="13"/>
  <c r="AM361" i="13"/>
  <c r="CA361" i="13"/>
  <c r="CH361" i="13"/>
  <c r="BN361" i="13"/>
  <c r="BI355" i="13" a="1"/>
  <c r="BI355" i="13" s="1"/>
  <c r="CQ355" i="13"/>
  <c r="A355" i="13"/>
  <c r="BW355" i="13"/>
  <c r="BS355" i="13"/>
  <c r="CU355" i="13"/>
  <c r="AM355" i="13"/>
  <c r="CA355" i="13"/>
  <c r="CH355" i="13"/>
  <c r="BN355" i="13"/>
  <c r="BS385" i="13"/>
  <c r="BN385" i="13"/>
  <c r="A385" i="13"/>
  <c r="BS379" i="13"/>
  <c r="BN379" i="13"/>
  <c r="A379" i="13"/>
  <c r="CJ374" i="13"/>
  <c r="CK374" i="13" s="1"/>
  <c r="CL374" i="13" s="1" a="1"/>
  <c r="CL374" i="13" s="1"/>
  <c r="BW373" i="13"/>
  <c r="BL370" i="13"/>
  <c r="BK370" i="13"/>
  <c r="BI369" i="13" a="1"/>
  <c r="BI369" i="13" s="1"/>
  <c r="CQ369" i="13"/>
  <c r="BS369" i="13"/>
  <c r="BN369" i="13"/>
  <c r="BK359" i="13"/>
  <c r="BP353" i="13"/>
  <c r="BX353" i="13"/>
  <c r="BP386" i="13"/>
  <c r="BQ386" i="13" s="1"/>
  <c r="BR386" i="13" s="1" a="1"/>
  <c r="BR386" i="13" s="1"/>
  <c r="CM385" i="13"/>
  <c r="BK385" i="13"/>
  <c r="CR385" i="13" s="1"/>
  <c r="CS385" i="13" s="1"/>
  <c r="CB381" i="13"/>
  <c r="CC381" i="13" s="1"/>
  <c r="BP380" i="13"/>
  <c r="BQ380" i="13" s="1"/>
  <c r="BR380" i="13" s="1" a="1"/>
  <c r="BR380" i="13" s="1"/>
  <c r="CM379" i="13"/>
  <c r="BK379" i="13"/>
  <c r="CA375" i="13"/>
  <c r="BK373" i="13"/>
  <c r="AM371" i="13"/>
  <c r="CH369" i="13"/>
  <c r="AM367" i="13"/>
  <c r="BL366" i="13"/>
  <c r="BK366" i="13"/>
  <c r="BI365" i="13" a="1"/>
  <c r="BI365" i="13" s="1"/>
  <c r="CQ365" i="13"/>
  <c r="BS365" i="13"/>
  <c r="BN365" i="13"/>
  <c r="AM363" i="13"/>
  <c r="CM361" i="13"/>
  <c r="BL391" i="13"/>
  <c r="CB391" i="13" s="1"/>
  <c r="CC391" i="13" s="1"/>
  <c r="CX386" i="13" a="1"/>
  <c r="CX386" i="13" s="1"/>
  <c r="CU385" i="13"/>
  <c r="CU379" i="13"/>
  <c r="CY378" i="13" a="1"/>
  <c r="CY378" i="13" s="1"/>
  <c r="BL376" i="13"/>
  <c r="CV376" i="13" s="1"/>
  <c r="CW376" i="13" s="1"/>
  <c r="BP374" i="13"/>
  <c r="BQ374" i="13" s="1"/>
  <c r="BR374" i="13" s="1" a="1"/>
  <c r="BR374" i="13" s="1"/>
  <c r="CM373" i="13"/>
  <c r="CM371" i="13"/>
  <c r="CA371" i="13"/>
  <c r="BW369" i="13"/>
  <c r="BK369" i="13"/>
  <c r="CM367" i="13"/>
  <c r="CA367" i="13"/>
  <c r="BJ360" i="13"/>
  <c r="BK357" i="13"/>
  <c r="CN386" i="13"/>
  <c r="CO386" i="13" s="1"/>
  <c r="CA385" i="13"/>
  <c r="BS383" i="13"/>
  <c r="BN383" i="13"/>
  <c r="CB383" i="13" s="1"/>
  <c r="CC383" i="13" s="1"/>
  <c r="A383" i="13"/>
  <c r="CH381" i="13"/>
  <c r="CR381" i="13" s="1"/>
  <c r="CS381" i="13" s="1"/>
  <c r="AM381" i="13"/>
  <c r="BR381" i="13" s="1" a="1"/>
  <c r="BR381" i="13" s="1"/>
  <c r="CA379" i="13"/>
  <c r="BS377" i="13"/>
  <c r="BN377" i="13"/>
  <c r="CB377" i="13" s="1"/>
  <c r="CC377" i="13" s="1"/>
  <c r="A377" i="13"/>
  <c r="CH375" i="13"/>
  <c r="CR375" i="13" s="1"/>
  <c r="CS375" i="13" s="1"/>
  <c r="AM375" i="13"/>
  <c r="CU373" i="13"/>
  <c r="BW365" i="13"/>
  <c r="BK365" i="13"/>
  <c r="BK361" i="13"/>
  <c r="BL372" i="13"/>
  <c r="BK372" i="13"/>
  <c r="BI371" i="13" a="1"/>
  <c r="BI371" i="13" s="1"/>
  <c r="CQ371" i="13"/>
  <c r="BS371" i="13"/>
  <c r="BN371" i="13"/>
  <c r="BL368" i="13"/>
  <c r="BK368" i="13"/>
  <c r="BX368" i="13" s="1"/>
  <c r="BY368" i="13" s="1"/>
  <c r="BI367" i="13" a="1"/>
  <c r="BI367" i="13" s="1"/>
  <c r="CQ367" i="13"/>
  <c r="BS367" i="13"/>
  <c r="BN367" i="13"/>
  <c r="BI363" i="13" a="1"/>
  <c r="BI363" i="13" s="1"/>
  <c r="CQ363" i="13"/>
  <c r="BS363" i="13"/>
  <c r="BN363" i="13"/>
  <c r="BI359" i="13" a="1"/>
  <c r="BI359" i="13" s="1"/>
  <c r="CQ359" i="13"/>
  <c r="A359" i="13"/>
  <c r="BW359" i="13"/>
  <c r="BS359" i="13"/>
  <c r="CU359" i="13"/>
  <c r="AM359" i="13"/>
  <c r="CA359" i="13"/>
  <c r="CH359" i="13"/>
  <c r="BN359" i="13"/>
  <c r="BJ356" i="13"/>
  <c r="BY347" i="13"/>
  <c r="CH371" i="13"/>
  <c r="CH367" i="13"/>
  <c r="BI357" i="13" a="1"/>
  <c r="BI357" i="13" s="1"/>
  <c r="CQ357" i="13"/>
  <c r="A357" i="13"/>
  <c r="BW357" i="13"/>
  <c r="BS357" i="13"/>
  <c r="CU357" i="13"/>
  <c r="AM357" i="13"/>
  <c r="CA357" i="13"/>
  <c r="CH357" i="13"/>
  <c r="BN357" i="13"/>
  <c r="BJ354" i="13"/>
  <c r="BK362" i="13"/>
  <c r="BK360" i="13"/>
  <c r="BK358" i="13"/>
  <c r="BK356" i="13"/>
  <c r="CM354" i="13"/>
  <c r="BY353" i="13"/>
  <c r="BQ353" i="13"/>
  <c r="BN344" i="13"/>
  <c r="BN342" i="13"/>
  <c r="BN340" i="13"/>
  <c r="BN338" i="13"/>
  <c r="BN336" i="13"/>
  <c r="CM334" i="13"/>
  <c r="BS334" i="13"/>
  <c r="BJ289" i="13"/>
  <c r="BK284" i="13"/>
  <c r="BL284" i="13"/>
  <c r="BJ272" i="13"/>
  <c r="CN351" i="13"/>
  <c r="CO351" i="13" s="1"/>
  <c r="CP351" i="13" s="1" a="1"/>
  <c r="CP351" i="13" s="1"/>
  <c r="CN345" i="13"/>
  <c r="CO345" i="13" s="1"/>
  <c r="BL354" i="13"/>
  <c r="BP354" i="13" s="1"/>
  <c r="BQ354" i="13" s="1"/>
  <c r="BR354" i="13" s="1" a="1"/>
  <c r="BR354" i="13" s="1"/>
  <c r="CH342" i="13"/>
  <c r="CH340" i="13"/>
  <c r="CH338" i="13"/>
  <c r="CH336" i="13"/>
  <c r="BJ329" i="13"/>
  <c r="BJ314" i="13"/>
  <c r="CQ354" i="13"/>
  <c r="CA354" i="13"/>
  <c r="CB354" i="13" s="1"/>
  <c r="CC354" i="13" s="1"/>
  <c r="BS353" i="13"/>
  <c r="BT353" i="13" s="1"/>
  <c r="AM353" i="13"/>
  <c r="CA353" i="13"/>
  <c r="CB353" i="13" s="1"/>
  <c r="CC353" i="13" s="1"/>
  <c r="CH353" i="13"/>
  <c r="CJ353" i="13" s="1"/>
  <c r="CK353" i="13" s="1"/>
  <c r="A353" i="13"/>
  <c r="BS351" i="13"/>
  <c r="BT351" i="13" s="1"/>
  <c r="BU351" i="13" s="1"/>
  <c r="BV351" i="13" s="1" a="1"/>
  <c r="BV351" i="13" s="1"/>
  <c r="AM351" i="13"/>
  <c r="CA351" i="13"/>
  <c r="CB351" i="13" s="1"/>
  <c r="CC351" i="13" s="1"/>
  <c r="CH351" i="13"/>
  <c r="CJ351" i="13" s="1"/>
  <c r="CK351" i="13" s="1"/>
  <c r="A351" i="13"/>
  <c r="BW351" i="13"/>
  <c r="BX351" i="13" s="1"/>
  <c r="BY351" i="13" s="1"/>
  <c r="BS349" i="13"/>
  <c r="BT349" i="13" s="1"/>
  <c r="AM349" i="13"/>
  <c r="CA349" i="13"/>
  <c r="CB349" i="13" s="1"/>
  <c r="CC349" i="13" s="1"/>
  <c r="CH349" i="13"/>
  <c r="CJ349" i="13" s="1"/>
  <c r="CK349" i="13" s="1"/>
  <c r="CL349" i="13" s="1" a="1"/>
  <c r="CL349" i="13" s="1"/>
  <c r="A349" i="13"/>
  <c r="BW349" i="13"/>
  <c r="BX349" i="13" s="1"/>
  <c r="BY349" i="13" s="1"/>
  <c r="BS347" i="13"/>
  <c r="BT347" i="13" s="1"/>
  <c r="AM347" i="13"/>
  <c r="CA347" i="13"/>
  <c r="CB347" i="13" s="1"/>
  <c r="CC347" i="13" s="1"/>
  <c r="CH347" i="13"/>
  <c r="CJ347" i="13" s="1"/>
  <c r="CK347" i="13" s="1"/>
  <c r="A347" i="13"/>
  <c r="BW347" i="13"/>
  <c r="BX347" i="13" s="1"/>
  <c r="CK345" i="13"/>
  <c r="BS345" i="13"/>
  <c r="BT345" i="13" s="1"/>
  <c r="BU345" i="13" s="1"/>
  <c r="BV345" i="13" s="1" a="1"/>
  <c r="BV345" i="13" s="1"/>
  <c r="AM345" i="13"/>
  <c r="CA345" i="13"/>
  <c r="CB345" i="13" s="1"/>
  <c r="CC345" i="13" s="1"/>
  <c r="CH345" i="13"/>
  <c r="CJ345" i="13" s="1"/>
  <c r="A345" i="13"/>
  <c r="BW345" i="13"/>
  <c r="BX345" i="13" s="1"/>
  <c r="BY345" i="13" s="1"/>
  <c r="CV343" i="13"/>
  <c r="CW343" i="13" s="1"/>
  <c r="CK343" i="13"/>
  <c r="CL343" i="13" s="1" a="1"/>
  <c r="CL343" i="13" s="1"/>
  <c r="BS343" i="13"/>
  <c r="BT343" i="13" s="1"/>
  <c r="BU343" i="13" s="1"/>
  <c r="AM343" i="13"/>
  <c r="CA343" i="13"/>
  <c r="CB343" i="13" s="1"/>
  <c r="CC343" i="13" s="1"/>
  <c r="CE343" i="13" s="1" a="1"/>
  <c r="CE343" i="13" s="1"/>
  <c r="CH343" i="13"/>
  <c r="CJ343" i="13" s="1"/>
  <c r="A343" i="13"/>
  <c r="BW343" i="13"/>
  <c r="BX343" i="13" s="1"/>
  <c r="BY343" i="13" s="1"/>
  <c r="CV341" i="13"/>
  <c r="CW341" i="13" s="1"/>
  <c r="CK341" i="13"/>
  <c r="CL341" i="13" s="1" a="1"/>
  <c r="CL341" i="13" s="1"/>
  <c r="BS341" i="13"/>
  <c r="BT341" i="13" s="1"/>
  <c r="BU341" i="13" s="1"/>
  <c r="BV341" i="13" s="1" a="1"/>
  <c r="BV341" i="13" s="1"/>
  <c r="AM341" i="13"/>
  <c r="BR341" i="13" s="1" a="1"/>
  <c r="BR341" i="13" s="1"/>
  <c r="CA341" i="13"/>
  <c r="CB341" i="13" s="1"/>
  <c r="CC341" i="13" s="1"/>
  <c r="CH341" i="13"/>
  <c r="CJ341" i="13" s="1"/>
  <c r="A341" i="13"/>
  <c r="BW341" i="13"/>
  <c r="BX341" i="13" s="1"/>
  <c r="BY341" i="13" s="1"/>
  <c r="CV339" i="13"/>
  <c r="CW339" i="13" s="1"/>
  <c r="BS339" i="13"/>
  <c r="BT339" i="13" s="1"/>
  <c r="AM339" i="13"/>
  <c r="BR339" i="13" s="1" a="1"/>
  <c r="BR339" i="13" s="1"/>
  <c r="CA339" i="13"/>
  <c r="CB339" i="13" s="1"/>
  <c r="CC339" i="13" s="1"/>
  <c r="CH339" i="13"/>
  <c r="CJ339" i="13" s="1"/>
  <c r="CK339" i="13" s="1"/>
  <c r="A339" i="13"/>
  <c r="BW339" i="13"/>
  <c r="BX339" i="13" s="1"/>
  <c r="BY339" i="13" s="1"/>
  <c r="BS337" i="13"/>
  <c r="BT337" i="13" s="1"/>
  <c r="AM337" i="13"/>
  <c r="BR337" i="13" s="1" a="1"/>
  <c r="BR337" i="13" s="1"/>
  <c r="CA337" i="13"/>
  <c r="CB337" i="13" s="1"/>
  <c r="CC337" i="13" s="1"/>
  <c r="CH337" i="13"/>
  <c r="CJ337" i="13" s="1"/>
  <c r="CK337" i="13" s="1"/>
  <c r="CL337" i="13" s="1" a="1"/>
  <c r="CL337" i="13" s="1"/>
  <c r="A337" i="13"/>
  <c r="BW337" i="13"/>
  <c r="BX337" i="13" s="1"/>
  <c r="BY337" i="13" s="1"/>
  <c r="BJ331" i="13"/>
  <c r="BK306" i="13"/>
  <c r="BL306" i="13"/>
  <c r="BJ333" i="13"/>
  <c r="BJ325" i="13"/>
  <c r="BP325" i="13" s="1"/>
  <c r="BQ325" i="13" s="1"/>
  <c r="BJ316" i="13"/>
  <c r="CV353" i="13"/>
  <c r="CW353" i="13" s="1"/>
  <c r="BL310" i="13"/>
  <c r="BK310" i="13"/>
  <c r="BU353" i="13"/>
  <c r="BV353" i="13" s="1" a="1"/>
  <c r="BV353" i="13" s="1"/>
  <c r="CR347" i="13"/>
  <c r="CS347" i="13" s="1"/>
  <c r="CR345" i="13"/>
  <c r="CS345" i="13" s="1"/>
  <c r="CR343" i="13"/>
  <c r="CS343" i="13" s="1"/>
  <c r="CR341" i="13"/>
  <c r="CS341" i="13" s="1"/>
  <c r="BV339" i="13" a="1"/>
  <c r="BV339" i="13" s="1"/>
  <c r="CR335" i="13"/>
  <c r="CS335" i="13" s="1"/>
  <c r="BK335" i="13"/>
  <c r="CV335" i="13" s="1"/>
  <c r="CW335" i="13" s="1"/>
  <c r="BL335" i="13"/>
  <c r="AM332" i="13"/>
  <c r="CA332" i="13"/>
  <c r="CH332" i="13"/>
  <c r="BN332" i="13"/>
  <c r="BI332" i="13" a="1"/>
  <c r="BI332" i="13" s="1"/>
  <c r="CQ332" i="13"/>
  <c r="A332" i="13"/>
  <c r="BW332" i="13"/>
  <c r="CU332" i="13"/>
  <c r="BP329" i="13"/>
  <c r="BQ329" i="13" s="1"/>
  <c r="BT329" i="13"/>
  <c r="BU329" i="13" s="1"/>
  <c r="A354" i="13"/>
  <c r="BI352" i="13" a="1"/>
  <c r="BI352" i="13" s="1"/>
  <c r="CQ352" i="13"/>
  <c r="CU352" i="13"/>
  <c r="BI350" i="13" a="1"/>
  <c r="BI350" i="13" s="1"/>
  <c r="CQ350" i="13"/>
  <c r="CU350" i="13"/>
  <c r="BU349" i="13"/>
  <c r="BV349" i="13" s="1" a="1"/>
  <c r="BV349" i="13" s="1"/>
  <c r="BI348" i="13" a="1"/>
  <c r="BI348" i="13" s="1"/>
  <c r="CQ348" i="13"/>
  <c r="CU348" i="13"/>
  <c r="BU347" i="13"/>
  <c r="BI346" i="13" a="1"/>
  <c r="BI346" i="13" s="1"/>
  <c r="CQ346" i="13"/>
  <c r="CU346" i="13"/>
  <c r="BI344" i="13" a="1"/>
  <c r="BI344" i="13" s="1"/>
  <c r="CQ344" i="13"/>
  <c r="CU344" i="13"/>
  <c r="BQ343" i="13"/>
  <c r="BI342" i="13" a="1"/>
  <c r="BI342" i="13" s="1"/>
  <c r="CQ342" i="13"/>
  <c r="CU342" i="13"/>
  <c r="BQ341" i="13"/>
  <c r="BI340" i="13" a="1"/>
  <c r="BI340" i="13" s="1"/>
  <c r="CQ340" i="13"/>
  <c r="CU340" i="13"/>
  <c r="BU339" i="13"/>
  <c r="BQ339" i="13"/>
  <c r="BI338" i="13" a="1"/>
  <c r="BI338" i="13" s="1"/>
  <c r="CQ338" i="13"/>
  <c r="CU338" i="13"/>
  <c r="BU337" i="13"/>
  <c r="BV337" i="13" s="1" a="1"/>
  <c r="BV337" i="13" s="1"/>
  <c r="BQ337" i="13"/>
  <c r="BI336" i="13" a="1"/>
  <c r="BI336" i="13" s="1"/>
  <c r="CQ336" i="13"/>
  <c r="CU336" i="13"/>
  <c r="AM334" i="13"/>
  <c r="CA334" i="13"/>
  <c r="CH334" i="13"/>
  <c r="BN334" i="13"/>
  <c r="BI334" i="13" a="1"/>
  <c r="BI334" i="13" s="1"/>
  <c r="CQ334" i="13"/>
  <c r="A334" i="13"/>
  <c r="CU334" i="13"/>
  <c r="BJ327" i="13"/>
  <c r="BP327" i="13" s="1"/>
  <c r="BQ327" i="13" s="1"/>
  <c r="BS322" i="13"/>
  <c r="AM322" i="13"/>
  <c r="CA322" i="13"/>
  <c r="CH322" i="13"/>
  <c r="CQ322" i="13"/>
  <c r="BI322" i="13" a="1"/>
  <c r="BI322" i="13" s="1"/>
  <c r="CU322" i="13"/>
  <c r="A322" i="13"/>
  <c r="BK322" i="13"/>
  <c r="CM322" i="13"/>
  <c r="BN322" i="13"/>
  <c r="BW322" i="13"/>
  <c r="BW335" i="13"/>
  <c r="BX335" i="13" s="1"/>
  <c r="BY335" i="13" s="1"/>
  <c r="A335" i="13"/>
  <c r="BW333" i="13"/>
  <c r="A333" i="13"/>
  <c r="BW331" i="13"/>
  <c r="A331" i="13"/>
  <c r="CU330" i="13"/>
  <c r="BW329" i="13"/>
  <c r="BX329" i="13" s="1"/>
  <c r="BY329" i="13" s="1"/>
  <c r="A329" i="13"/>
  <c r="CU328" i="13"/>
  <c r="BW327" i="13"/>
  <c r="A327" i="13"/>
  <c r="CU326" i="13"/>
  <c r="BW325" i="13"/>
  <c r="BX325" i="13" s="1"/>
  <c r="BY325" i="13" s="1"/>
  <c r="A325" i="13"/>
  <c r="CU321" i="13"/>
  <c r="CM321" i="13"/>
  <c r="BK321" i="13"/>
  <c r="BS320" i="13"/>
  <c r="BT320" i="13" s="1"/>
  <c r="BU320" i="13" s="1"/>
  <c r="AM320" i="13"/>
  <c r="CA320" i="13"/>
  <c r="CB320" i="13" s="1"/>
  <c r="CH320" i="13"/>
  <c r="CJ320" i="13" s="1"/>
  <c r="CK320" i="13" s="1"/>
  <c r="A320" i="13"/>
  <c r="BW320" i="13"/>
  <c r="BX320" i="13" s="1"/>
  <c r="BY320" i="13" s="1"/>
  <c r="BZ320" i="13" s="1" a="1"/>
  <c r="BZ320" i="13" s="1"/>
  <c r="BK314" i="13"/>
  <c r="BI312" i="13" a="1"/>
  <c r="BI312" i="13" s="1"/>
  <c r="CV292" i="13"/>
  <c r="BJ291" i="13"/>
  <c r="BT291" i="13" s="1"/>
  <c r="BU291" i="13" s="1"/>
  <c r="CR288" i="13"/>
  <c r="CS288" i="13" s="1"/>
  <c r="BS324" i="13"/>
  <c r="AM324" i="13"/>
  <c r="BS318" i="13"/>
  <c r="AM318" i="13"/>
  <c r="CA318" i="13"/>
  <c r="CH318" i="13"/>
  <c r="A318" i="13"/>
  <c r="BW318" i="13"/>
  <c r="BS308" i="13"/>
  <c r="AM308" i="13"/>
  <c r="CA308" i="13"/>
  <c r="CH308" i="13"/>
  <c r="BN308" i="13"/>
  <c r="A308" i="13"/>
  <c r="BW308" i="13"/>
  <c r="BJ284" i="13"/>
  <c r="CV278" i="13"/>
  <c r="CJ278" i="13"/>
  <c r="CH335" i="13"/>
  <c r="CA335" i="13"/>
  <c r="AM335" i="13"/>
  <c r="CH333" i="13"/>
  <c r="CA333" i="13"/>
  <c r="AM333" i="13"/>
  <c r="CH331" i="13"/>
  <c r="CA331" i="13"/>
  <c r="AM331" i="13"/>
  <c r="CH329" i="13"/>
  <c r="CN329" i="13" s="1"/>
  <c r="CO329" i="13" s="1"/>
  <c r="CA329" i="13"/>
  <c r="CB329" i="13" s="1"/>
  <c r="CC329" i="13" s="1"/>
  <c r="CE329" i="13" s="1" a="1"/>
  <c r="CE329" i="13" s="1"/>
  <c r="AM329" i="13"/>
  <c r="BR329" i="13" s="1" a="1"/>
  <c r="BR329" i="13" s="1"/>
  <c r="CH327" i="13"/>
  <c r="CN327" i="13" s="1"/>
  <c r="CO327" i="13" s="1"/>
  <c r="CA327" i="13"/>
  <c r="AM327" i="13"/>
  <c r="CH325" i="13"/>
  <c r="CN325" i="13" s="1"/>
  <c r="CO325" i="13" s="1"/>
  <c r="CA325" i="13"/>
  <c r="AM325" i="13"/>
  <c r="CQ324" i="13"/>
  <c r="CA324" i="13"/>
  <c r="BK324" i="13"/>
  <c r="A324" i="13"/>
  <c r="CH321" i="13"/>
  <c r="CR320" i="13"/>
  <c r="CS320" i="13" s="1"/>
  <c r="CT320" i="13" s="1" a="1"/>
  <c r="CT320" i="13" s="1"/>
  <c r="BN318" i="13"/>
  <c r="CM317" i="13"/>
  <c r="BS310" i="13"/>
  <c r="AM310" i="13"/>
  <c r="CA310" i="13"/>
  <c r="CH310" i="13"/>
  <c r="BN310" i="13"/>
  <c r="A310" i="13"/>
  <c r="BW310" i="13"/>
  <c r="BJ304" i="13"/>
  <c r="BJ302" i="13"/>
  <c r="CR291" i="13"/>
  <c r="CS291" i="13" s="1"/>
  <c r="BW330" i="13"/>
  <c r="A330" i="13"/>
  <c r="BW328" i="13"/>
  <c r="A328" i="13"/>
  <c r="CU327" i="13"/>
  <c r="BW326" i="13"/>
  <c r="A326" i="13"/>
  <c r="CU325" i="13"/>
  <c r="CH324" i="13"/>
  <c r="BI321" i="13" a="1"/>
  <c r="BI321" i="13" s="1"/>
  <c r="CQ321" i="13"/>
  <c r="BQ320" i="13"/>
  <c r="BW317" i="13"/>
  <c r="BS316" i="13"/>
  <c r="BT316" i="13" s="1"/>
  <c r="BU316" i="13" s="1"/>
  <c r="AM316" i="13"/>
  <c r="CA316" i="13"/>
  <c r="CH316" i="13"/>
  <c r="CN316" i="13" s="1"/>
  <c r="CO316" i="13" s="1"/>
  <c r="A316" i="13"/>
  <c r="BW316" i="13"/>
  <c r="BS312" i="13"/>
  <c r="AM312" i="13"/>
  <c r="CA312" i="13"/>
  <c r="CH312" i="13"/>
  <c r="BN312" i="13"/>
  <c r="A312" i="13"/>
  <c r="BW312" i="13"/>
  <c r="BJ300" i="13"/>
  <c r="BT290" i="13"/>
  <c r="BU290" i="13" s="1"/>
  <c r="CN288" i="13"/>
  <c r="CO288" i="13" s="1"/>
  <c r="CB284" i="13"/>
  <c r="CC284" i="13" s="1"/>
  <c r="BX278" i="13"/>
  <c r="BL333" i="13"/>
  <c r="BL331" i="13"/>
  <c r="BP331" i="13" s="1"/>
  <c r="BQ331" i="13" s="1"/>
  <c r="CQ330" i="13"/>
  <c r="BI330" i="13" a="1"/>
  <c r="BI330" i="13" s="1"/>
  <c r="CQ328" i="13"/>
  <c r="BI328" i="13" a="1"/>
  <c r="BI328" i="13" s="1"/>
  <c r="CQ326" i="13"/>
  <c r="BI326" i="13" a="1"/>
  <c r="BI326" i="13" s="1"/>
  <c r="BI323" i="13" a="1"/>
  <c r="BI323" i="13" s="1"/>
  <c r="CQ323" i="13"/>
  <c r="A323" i="13"/>
  <c r="BW321" i="13"/>
  <c r="CC320" i="13"/>
  <c r="CE320" i="13" s="1" a="1"/>
  <c r="CE320" i="13" s="1"/>
  <c r="AM319" i="13"/>
  <c r="CA319" i="13"/>
  <c r="CH319" i="13"/>
  <c r="BI319" i="13" a="1"/>
  <c r="BI319" i="13" s="1"/>
  <c r="CQ319" i="13"/>
  <c r="CU319" i="13"/>
  <c r="CM318" i="13"/>
  <c r="BK318" i="13"/>
  <c r="BK317" i="13"/>
  <c r="BN316" i="13"/>
  <c r="BS314" i="13"/>
  <c r="BT314" i="13" s="1"/>
  <c r="BU314" i="13" s="1"/>
  <c r="AM314" i="13"/>
  <c r="CA314" i="13"/>
  <c r="CH314" i="13"/>
  <c r="BN314" i="13"/>
  <c r="A314" i="13"/>
  <c r="BW314" i="13"/>
  <c r="CU308" i="13"/>
  <c r="BK308" i="13"/>
  <c r="BK304" i="13"/>
  <c r="BL304" i="13"/>
  <c r="BJ298" i="13"/>
  <c r="BP292" i="13"/>
  <c r="BX292" i="13"/>
  <c r="BY292" i="13" s="1"/>
  <c r="BZ292" i="13" s="1" a="1"/>
  <c r="BZ292" i="13" s="1"/>
  <c r="BT292" i="13"/>
  <c r="BU292" i="13" s="1"/>
  <c r="CB292" i="13"/>
  <c r="CC292" i="13" s="1"/>
  <c r="CJ292" i="13"/>
  <c r="CK292" i="13" s="1"/>
  <c r="CL292" i="13" s="1" a="1"/>
  <c r="CL292" i="13" s="1"/>
  <c r="BX284" i="13"/>
  <c r="BY284" i="13" s="1"/>
  <c r="BN330" i="13"/>
  <c r="BN328" i="13"/>
  <c r="BN326" i="13"/>
  <c r="BI324" i="13" a="1"/>
  <c r="BI324" i="13" s="1"/>
  <c r="CN320" i="13"/>
  <c r="CO320" i="13" s="1"/>
  <c r="CP320" i="13" s="1" a="1"/>
  <c r="CP320" i="13" s="1"/>
  <c r="BI318" i="13" a="1"/>
  <c r="BI318" i="13" s="1"/>
  <c r="BI308" i="13" a="1"/>
  <c r="BI308" i="13" s="1"/>
  <c r="BJ296" i="13"/>
  <c r="BJ285" i="13"/>
  <c r="CH330" i="13"/>
  <c r="CA330" i="13"/>
  <c r="CH328" i="13"/>
  <c r="CA328" i="13"/>
  <c r="CH326" i="13"/>
  <c r="CA326" i="13"/>
  <c r="CU324" i="13"/>
  <c r="CM324" i="13"/>
  <c r="BW324" i="13"/>
  <c r="AM317" i="13"/>
  <c r="CA317" i="13"/>
  <c r="CH317" i="13"/>
  <c r="BI317" i="13" a="1"/>
  <c r="BI317" i="13" s="1"/>
  <c r="CQ317" i="13"/>
  <c r="CU317" i="13"/>
  <c r="BK316" i="13"/>
  <c r="BK312" i="13"/>
  <c r="BJ310" i="13"/>
  <c r="CQ308" i="13"/>
  <c r="BJ306" i="13"/>
  <c r="BJ294" i="13"/>
  <c r="BJ281" i="13"/>
  <c r="BJ268" i="13"/>
  <c r="CU315" i="13"/>
  <c r="CU313" i="13"/>
  <c r="CU311" i="13"/>
  <c r="CU309" i="13"/>
  <c r="CU307" i="13"/>
  <c r="BW306" i="13"/>
  <c r="A306" i="13"/>
  <c r="CU305" i="13"/>
  <c r="BW304" i="13"/>
  <c r="A304" i="13"/>
  <c r="CU303" i="13"/>
  <c r="BW302" i="13"/>
  <c r="A302" i="13"/>
  <c r="CU301" i="13"/>
  <c r="BW300" i="13"/>
  <c r="A300" i="13"/>
  <c r="CU299" i="13"/>
  <c r="BW298" i="13"/>
  <c r="A298" i="13"/>
  <c r="CU297" i="13"/>
  <c r="BW296" i="13"/>
  <c r="A296" i="13"/>
  <c r="CU295" i="13"/>
  <c r="BW294" i="13"/>
  <c r="A294" i="13"/>
  <c r="CU293" i="13"/>
  <c r="BL290" i="13"/>
  <c r="BK287" i="13"/>
  <c r="BK283" i="13"/>
  <c r="CN283" i="13" s="1"/>
  <c r="CO283" i="13" s="1"/>
  <c r="BJ282" i="13"/>
  <c r="BK282" i="13"/>
  <c r="CV282" i="13" s="1"/>
  <c r="CW282" i="13" s="1"/>
  <c r="BL282" i="13"/>
  <c r="CR278" i="13"/>
  <c r="CN278" i="13"/>
  <c r="CO278" i="13" s="1"/>
  <c r="BJ271" i="13"/>
  <c r="BI261" i="13" a="1"/>
  <c r="BI261" i="13" s="1"/>
  <c r="CQ261" i="13"/>
  <c r="A261" i="13"/>
  <c r="BS261" i="13"/>
  <c r="CU261" i="13"/>
  <c r="BN261" i="13"/>
  <c r="AM261" i="13"/>
  <c r="BK261" i="13"/>
  <c r="CA261" i="13"/>
  <c r="CH261" i="13"/>
  <c r="BW261" i="13"/>
  <c r="BN306" i="13"/>
  <c r="BN304" i="13"/>
  <c r="BN302" i="13"/>
  <c r="BN300" i="13"/>
  <c r="BN298" i="13"/>
  <c r="BN296" i="13"/>
  <c r="BN294" i="13"/>
  <c r="BP294" i="13" s="1"/>
  <c r="BQ294" i="13" s="1"/>
  <c r="CW292" i="13"/>
  <c r="CY292" i="13" s="1" a="1"/>
  <c r="CY292" i="13" s="1"/>
  <c r="CB291" i="13"/>
  <c r="CC291" i="13" s="1"/>
  <c r="CE291" i="13" s="1" a="1"/>
  <c r="CE291" i="13" s="1"/>
  <c r="BX288" i="13"/>
  <c r="BY288" i="13" s="1"/>
  <c r="BZ288" i="13" s="1" a="1"/>
  <c r="BZ288" i="13" s="1"/>
  <c r="BP288" i="13"/>
  <c r="BQ288" i="13" s="1"/>
  <c r="BR288" i="13" s="1" a="1"/>
  <c r="BR288" i="13" s="1"/>
  <c r="CJ288" i="13"/>
  <c r="CK288" i="13" s="1"/>
  <c r="CP288" i="13" s="1" a="1"/>
  <c r="CP288" i="13" s="1"/>
  <c r="BS285" i="13"/>
  <c r="BT285" i="13" s="1"/>
  <c r="BU285" i="13" s="1"/>
  <c r="BN285" i="13"/>
  <c r="CB285" i="13" s="1"/>
  <c r="CC285" i="13" s="1"/>
  <c r="CU285" i="13"/>
  <c r="CQ285" i="13"/>
  <c r="A285" i="13"/>
  <c r="BS273" i="13"/>
  <c r="BN273" i="13"/>
  <c r="A273" i="13"/>
  <c r="CA273" i="13"/>
  <c r="CM273" i="13"/>
  <c r="AM273" i="13"/>
  <c r="BI273" i="13" a="1"/>
  <c r="BI273" i="13" s="1"/>
  <c r="CQ273" i="13"/>
  <c r="CU273" i="13"/>
  <c r="BX272" i="13"/>
  <c r="BY272" i="13" s="1"/>
  <c r="CH306" i="13"/>
  <c r="CV306" i="13" s="1"/>
  <c r="CW306" i="13" s="1"/>
  <c r="CA306" i="13"/>
  <c r="AM306" i="13"/>
  <c r="CH304" i="13"/>
  <c r="CA304" i="13"/>
  <c r="CB304" i="13" s="1"/>
  <c r="CC304" i="13" s="1"/>
  <c r="AM304" i="13"/>
  <c r="CH302" i="13"/>
  <c r="CA302" i="13"/>
  <c r="AM302" i="13"/>
  <c r="CH300" i="13"/>
  <c r="CA300" i="13"/>
  <c r="AM300" i="13"/>
  <c r="CH298" i="13"/>
  <c r="CA298" i="13"/>
  <c r="AM298" i="13"/>
  <c r="CH296" i="13"/>
  <c r="CA296" i="13"/>
  <c r="AM296" i="13"/>
  <c r="CH294" i="13"/>
  <c r="CR294" i="13" s="1"/>
  <c r="CS294" i="13" s="1"/>
  <c r="CA294" i="13"/>
  <c r="AM294" i="13"/>
  <c r="BR294" i="13" s="1" a="1"/>
  <c r="BR294" i="13" s="1"/>
  <c r="BT278" i="13"/>
  <c r="BU278" i="13" s="1"/>
  <c r="CH275" i="13"/>
  <c r="AM275" i="13"/>
  <c r="BT272" i="13"/>
  <c r="BU272" i="13" s="1"/>
  <c r="BJ243" i="13"/>
  <c r="CU294" i="13"/>
  <c r="CV294" i="13" s="1"/>
  <c r="CW294" i="13" s="1"/>
  <c r="CV288" i="13"/>
  <c r="CW288" i="13" s="1"/>
  <c r="CT288" i="13" a="1"/>
  <c r="CT288" i="13" s="1"/>
  <c r="BL286" i="13"/>
  <c r="CJ286" i="13" s="1"/>
  <c r="CK286" i="13" s="1"/>
  <c r="CL286" i="13" s="1" a="1"/>
  <c r="CL286" i="13" s="1"/>
  <c r="BX285" i="13"/>
  <c r="BY285" i="13" s="1"/>
  <c r="BZ285" i="13" s="1" a="1"/>
  <c r="BZ285" i="13" s="1"/>
  <c r="BP285" i="13"/>
  <c r="BQ285" i="13" s="1"/>
  <c r="BJ276" i="13"/>
  <c r="BT274" i="13"/>
  <c r="BU274" i="13"/>
  <c r="BV274" i="13" s="1" a="1"/>
  <c r="BV274" i="13" s="1"/>
  <c r="BJ274" i="13"/>
  <c r="BJ248" i="13"/>
  <c r="CQ315" i="13"/>
  <c r="BI315" i="13" a="1"/>
  <c r="BI315" i="13" s="1"/>
  <c r="CQ313" i="13"/>
  <c r="BI313" i="13" a="1"/>
  <c r="BI313" i="13" s="1"/>
  <c r="CQ311" i="13"/>
  <c r="BI311" i="13" a="1"/>
  <c r="BI311" i="13" s="1"/>
  <c r="CQ309" i="13"/>
  <c r="BI309" i="13" a="1"/>
  <c r="BI309" i="13" s="1"/>
  <c r="CQ307" i="13"/>
  <c r="BI307" i="13" a="1"/>
  <c r="BI307" i="13" s="1"/>
  <c r="CQ305" i="13"/>
  <c r="BI305" i="13" a="1"/>
  <c r="BI305" i="13" s="1"/>
  <c r="CQ303" i="13"/>
  <c r="BI303" i="13" a="1"/>
  <c r="BI303" i="13" s="1"/>
  <c r="BL302" i="13"/>
  <c r="CQ301" i="13"/>
  <c r="BI301" i="13" a="1"/>
  <c r="BI301" i="13" s="1"/>
  <c r="BL300" i="13"/>
  <c r="CV300" i="13" s="1"/>
  <c r="CW300" i="13" s="1"/>
  <c r="CQ299" i="13"/>
  <c r="BI299" i="13" a="1"/>
  <c r="BI299" i="13" s="1"/>
  <c r="BL298" i="13"/>
  <c r="BT298" i="13" s="1"/>
  <c r="BU298" i="13" s="1"/>
  <c r="CQ297" i="13"/>
  <c r="BI297" i="13" a="1"/>
  <c r="BI297" i="13" s="1"/>
  <c r="BL296" i="13"/>
  <c r="BP296" i="13" s="1"/>
  <c r="BQ296" i="13" s="1"/>
  <c r="BR296" i="13" s="1" a="1"/>
  <c r="BR296" i="13" s="1"/>
  <c r="CQ295" i="13"/>
  <c r="BI295" i="13" a="1"/>
  <c r="BI295" i="13" s="1"/>
  <c r="CQ293" i="13"/>
  <c r="BI293" i="13" a="1"/>
  <c r="BI293" i="13" s="1"/>
  <c r="BQ292" i="13"/>
  <c r="BR292" i="13" s="1" a="1"/>
  <c r="BR292" i="13" s="1"/>
  <c r="CJ290" i="13"/>
  <c r="CK290" i="13" s="1"/>
  <c r="CL290" i="13" s="1" a="1"/>
  <c r="CL290" i="13" s="1"/>
  <c r="BJ286" i="13"/>
  <c r="CH285" i="13"/>
  <c r="CJ285" i="13" s="1"/>
  <c r="CK285" i="13" s="1"/>
  <c r="BW273" i="13"/>
  <c r="BI269" i="13" a="1"/>
  <c r="BI269" i="13" s="1"/>
  <c r="CQ269" i="13"/>
  <c r="BS269" i="13"/>
  <c r="BN269" i="13"/>
  <c r="A269" i="13"/>
  <c r="CH269" i="13"/>
  <c r="AM269" i="13"/>
  <c r="BW269" i="13"/>
  <c r="CM269" i="13"/>
  <c r="CA269" i="13"/>
  <c r="CU269" i="13"/>
  <c r="CJ291" i="13"/>
  <c r="CK291" i="13" s="1"/>
  <c r="CL291" i="13" s="1" a="1"/>
  <c r="CL291" i="13" s="1"/>
  <c r="BT286" i="13"/>
  <c r="BU286" i="13" s="1"/>
  <c r="CV276" i="13"/>
  <c r="CW276" i="13" s="1"/>
  <c r="BS275" i="13"/>
  <c r="BN275" i="13"/>
  <c r="BW275" i="13"/>
  <c r="CQ275" i="13"/>
  <c r="BI275" i="13" a="1"/>
  <c r="BI275" i="13" s="1"/>
  <c r="CA275" i="13"/>
  <c r="CM275" i="13"/>
  <c r="CB272" i="13"/>
  <c r="CC272" i="13" s="1"/>
  <c r="BL270" i="13"/>
  <c r="BK270" i="13"/>
  <c r="CH315" i="13"/>
  <c r="CA315" i="13"/>
  <c r="CH313" i="13"/>
  <c r="CA313" i="13"/>
  <c r="CH311" i="13"/>
  <c r="CA311" i="13"/>
  <c r="CH309" i="13"/>
  <c r="CA309" i="13"/>
  <c r="CH307" i="13"/>
  <c r="CA307" i="13"/>
  <c r="CH305" i="13"/>
  <c r="CA305" i="13"/>
  <c r="CH303" i="13"/>
  <c r="CA303" i="13"/>
  <c r="CH301" i="13"/>
  <c r="CA301" i="13"/>
  <c r="CH299" i="13"/>
  <c r="CA299" i="13"/>
  <c r="CH297" i="13"/>
  <c r="CA297" i="13"/>
  <c r="CH295" i="13"/>
  <c r="CA295" i="13"/>
  <c r="CH293" i="13"/>
  <c r="CA293" i="13"/>
  <c r="CV291" i="13"/>
  <c r="CW291" i="13" s="1"/>
  <c r="CN291" i="13"/>
  <c r="CO291" i="13" s="1"/>
  <c r="BL289" i="13"/>
  <c r="CR289" i="13" s="1"/>
  <c r="CS289" i="13" s="1"/>
  <c r="CL288" i="13" a="1"/>
  <c r="CL288" i="13" s="1"/>
  <c r="CB288" i="13"/>
  <c r="CC288" i="13" s="1"/>
  <c r="CE288" i="13" s="1" a="1"/>
  <c r="CE288" i="13" s="1"/>
  <c r="AM285" i="13"/>
  <c r="CR283" i="13"/>
  <c r="CS283" i="13" s="1"/>
  <c r="BJ280" i="13"/>
  <c r="CR280" i="13" s="1"/>
  <c r="CS280" i="13" s="1"/>
  <c r="CB278" i="13"/>
  <c r="CU275" i="13"/>
  <c r="CN272" i="13"/>
  <c r="CO272" i="13" s="1"/>
  <c r="BS281" i="13"/>
  <c r="BN281" i="13"/>
  <c r="BX281" i="13" s="1"/>
  <c r="BY281" i="13" s="1"/>
  <c r="A281" i="13"/>
  <c r="BP276" i="13"/>
  <c r="BQ276" i="13" s="1"/>
  <c r="BR276" i="13" s="1" a="1"/>
  <c r="BR276" i="13" s="1"/>
  <c r="BK275" i="13"/>
  <c r="BP274" i="13"/>
  <c r="BQ274" i="13" s="1"/>
  <c r="BR274" i="13" s="1" a="1"/>
  <c r="BR274" i="13" s="1"/>
  <c r="CQ271" i="13"/>
  <c r="CV270" i="13"/>
  <c r="CW270" i="13" s="1"/>
  <c r="CY270" i="13" s="1" a="1"/>
  <c r="CY270" i="13" s="1"/>
  <c r="BL268" i="13"/>
  <c r="BK268" i="13"/>
  <c r="BI267" i="13" a="1"/>
  <c r="BI267" i="13" s="1"/>
  <c r="CQ267" i="13"/>
  <c r="BS267" i="13"/>
  <c r="BN267" i="13"/>
  <c r="BJ264" i="13"/>
  <c r="BJ258" i="13"/>
  <c r="BS287" i="13"/>
  <c r="BN287" i="13"/>
  <c r="A287" i="13"/>
  <c r="CU281" i="13"/>
  <c r="BS279" i="13"/>
  <c r="BN279" i="13"/>
  <c r="A279" i="13"/>
  <c r="CS278" i="13"/>
  <c r="CT278" i="13" s="1" a="1"/>
  <c r="CT278" i="13" s="1"/>
  <c r="CH277" i="13"/>
  <c r="AM277" i="13"/>
  <c r="BK273" i="13"/>
  <c r="CA267" i="13"/>
  <c r="BI265" i="13" a="1"/>
  <c r="BI265" i="13" s="1"/>
  <c r="CQ265" i="13"/>
  <c r="BS265" i="13"/>
  <c r="CU265" i="13"/>
  <c r="BN265" i="13"/>
  <c r="BL264" i="13"/>
  <c r="BK264" i="13"/>
  <c r="AM263" i="13"/>
  <c r="BJ257" i="13"/>
  <c r="CB249" i="13"/>
  <c r="BX249" i="13"/>
  <c r="CL249" i="13" a="1"/>
  <c r="CL249" i="13" s="1"/>
  <c r="BX245" i="13"/>
  <c r="CA281" i="13"/>
  <c r="BK279" i="13"/>
  <c r="CC278" i="13"/>
  <c r="CK278" i="13"/>
  <c r="CL278" i="13" s="1" a="1"/>
  <c r="CL278" i="13" s="1"/>
  <c r="BY278" i="13"/>
  <c r="BZ278" i="13" s="1" a="1"/>
  <c r="BZ278" i="13" s="1"/>
  <c r="CN276" i="13"/>
  <c r="CO276" i="13" s="1"/>
  <c r="CV272" i="13"/>
  <c r="CW272" i="13" s="1"/>
  <c r="CM271" i="13"/>
  <c r="CA271" i="13"/>
  <c r="BJ253" i="13"/>
  <c r="BL252" i="13"/>
  <c r="BK252" i="13"/>
  <c r="CR252" i="13" s="1"/>
  <c r="CS252" i="13" s="1"/>
  <c r="CY249" i="13" a="1"/>
  <c r="CY249" i="13" s="1"/>
  <c r="BS271" i="13"/>
  <c r="BN271" i="13"/>
  <c r="BP271" i="13" s="1"/>
  <c r="BQ271" i="13" s="1"/>
  <c r="BR271" i="13" s="1" a="1"/>
  <c r="BR271" i="13" s="1"/>
  <c r="BJ259" i="13"/>
  <c r="CN259" i="13" s="1"/>
  <c r="CO259" i="13" s="1"/>
  <c r="BX243" i="13"/>
  <c r="BY243" i="13" s="1"/>
  <c r="BJ240" i="13"/>
  <c r="CH281" i="13"/>
  <c r="CJ281" i="13" s="1"/>
  <c r="CK281" i="13" s="1"/>
  <c r="AM281" i="13"/>
  <c r="BS277" i="13"/>
  <c r="BN277" i="13"/>
  <c r="A277" i="13"/>
  <c r="CB276" i="13"/>
  <c r="CC276" i="13" s="1"/>
  <c r="CE276" i="13" s="1" a="1"/>
  <c r="CE276" i="13" s="1"/>
  <c r="BT276" i="13"/>
  <c r="BU276" i="13" s="1"/>
  <c r="BP272" i="13"/>
  <c r="BQ272" i="13" s="1"/>
  <c r="BR272" i="13" s="1" a="1"/>
  <c r="BR272" i="13" s="1"/>
  <c r="CU271" i="13"/>
  <c r="BK269" i="13"/>
  <c r="BW267" i="13"/>
  <c r="AM267" i="13"/>
  <c r="BI263" i="13" a="1"/>
  <c r="BI263" i="13" s="1"/>
  <c r="CQ263" i="13"/>
  <c r="BS263" i="13"/>
  <c r="CU263" i="13"/>
  <c r="BN263" i="13"/>
  <c r="CW254" i="13"/>
  <c r="CY254" i="13" s="1" a="1"/>
  <c r="CY254" i="13" s="1"/>
  <c r="BJ254" i="13"/>
  <c r="CV254" i="13" s="1"/>
  <c r="CR249" i="13"/>
  <c r="CS249" i="13" s="1"/>
  <c r="CN249" i="13"/>
  <c r="CO249" i="13" s="1"/>
  <c r="BI287" i="13" a="1"/>
  <c r="BI287" i="13" s="1"/>
  <c r="BS283" i="13"/>
  <c r="BN283" i="13"/>
  <c r="CB283" i="13" s="1"/>
  <c r="CC283" i="13" s="1"/>
  <c r="A283" i="13"/>
  <c r="CQ281" i="13"/>
  <c r="BI279" i="13" a="1"/>
  <c r="BI279" i="13" s="1"/>
  <c r="CW278" i="13"/>
  <c r="CY278" i="13" s="1" a="1"/>
  <c r="CY278" i="13" s="1"/>
  <c r="BP278" i="13"/>
  <c r="BQ278" i="13" s="1"/>
  <c r="CM277" i="13"/>
  <c r="BK277" i="13"/>
  <c r="CR276" i="13"/>
  <c r="CS276" i="13" s="1"/>
  <c r="CT276" i="13" s="1" a="1"/>
  <c r="CT276" i="13" s="1"/>
  <c r="CR272" i="13"/>
  <c r="CS272" i="13" s="1"/>
  <c r="CJ272" i="13"/>
  <c r="CK272" i="13" s="1"/>
  <c r="CL272" i="13" s="1" a="1"/>
  <c r="CL272" i="13" s="1"/>
  <c r="CH271" i="13"/>
  <c r="CJ271" i="13" s="1"/>
  <c r="CK271" i="13" s="1"/>
  <c r="CL271" i="13" s="1" a="1"/>
  <c r="CL271" i="13" s="1"/>
  <c r="BW271" i="13"/>
  <c r="CH267" i="13"/>
  <c r="A267" i="13"/>
  <c r="CH263" i="13"/>
  <c r="BT247" i="13"/>
  <c r="CV243" i="13"/>
  <c r="CW243" i="13" s="1"/>
  <c r="BK242" i="13"/>
  <c r="BL242" i="13"/>
  <c r="BL266" i="13"/>
  <c r="BK266" i="13"/>
  <c r="BL262" i="13"/>
  <c r="BK262" i="13"/>
  <c r="BK255" i="13"/>
  <c r="BL255" i="13"/>
  <c r="BK260" i="13"/>
  <c r="CV260" i="13" s="1"/>
  <c r="CW260" i="13" s="1"/>
  <c r="CJ259" i="13"/>
  <c r="CK259" i="13" s="1"/>
  <c r="CL259" i="13" s="1" a="1"/>
  <c r="CL259" i="13" s="1"/>
  <c r="BN259" i="13"/>
  <c r="BK258" i="13"/>
  <c r="CU256" i="13"/>
  <c r="BS254" i="13"/>
  <c r="BN254" i="13"/>
  <c r="BP254" i="13" s="1"/>
  <c r="BQ254" i="13" s="1"/>
  <c r="A254" i="13"/>
  <c r="CU250" i="13"/>
  <c r="BP249" i="13"/>
  <c r="BQ249" i="13" s="1"/>
  <c r="BR249" i="13" s="1" a="1"/>
  <c r="BR249" i="13" s="1"/>
  <c r="CU248" i="13"/>
  <c r="CN247" i="13"/>
  <c r="CB247" i="13"/>
  <c r="CC247" i="13" s="1"/>
  <c r="CJ247" i="13"/>
  <c r="BP247" i="13"/>
  <c r="BQ247" i="13" s="1"/>
  <c r="BR247" i="13" s="1" a="1"/>
  <c r="BR247" i="13" s="1"/>
  <c r="BK246" i="13"/>
  <c r="BL246" i="13"/>
  <c r="CR242" i="13"/>
  <c r="CS242" i="13" s="1"/>
  <c r="BJ242" i="13"/>
  <c r="CR241" i="13"/>
  <c r="CS241" i="13" s="1"/>
  <c r="CN239" i="13"/>
  <c r="CO239" i="13" s="1"/>
  <c r="BJ238" i="13"/>
  <c r="AM233" i="13"/>
  <c r="CA233" i="13"/>
  <c r="CH233" i="13"/>
  <c r="BN233" i="13"/>
  <c r="BI233" i="13" a="1"/>
  <c r="BI233" i="13" s="1"/>
  <c r="CQ233" i="13"/>
  <c r="BS233" i="13"/>
  <c r="BW233" i="13"/>
  <c r="CM233" i="13"/>
  <c r="BJ230" i="13"/>
  <c r="BK230" i="13"/>
  <c r="BX230" i="13" s="1"/>
  <c r="BY230" i="13" s="1"/>
  <c r="BL230" i="13"/>
  <c r="CU259" i="13"/>
  <c r="BL257" i="13"/>
  <c r="BI256" i="13" a="1"/>
  <c r="BI256" i="13" s="1"/>
  <c r="BL251" i="13"/>
  <c r="CV251" i="13" s="1"/>
  <c r="CW251" i="13" s="1"/>
  <c r="BI250" i="13" a="1"/>
  <c r="BI250" i="13" s="1"/>
  <c r="CX249" i="13" a="1"/>
  <c r="CX249" i="13" s="1"/>
  <c r="BK248" i="13"/>
  <c r="CN248" i="13" s="1"/>
  <c r="CO248" i="13" s="1"/>
  <c r="CV247" i="13"/>
  <c r="BT243" i="13"/>
  <c r="BU243" i="13" s="1"/>
  <c r="CB243" i="13"/>
  <c r="CC243" i="13" s="1"/>
  <c r="CJ243" i="13"/>
  <c r="CK243" i="13" s="1"/>
  <c r="CL243" i="13" s="1" a="1"/>
  <c r="CL243" i="13" s="1"/>
  <c r="BP243" i="13"/>
  <c r="BQ243" i="13" s="1"/>
  <c r="BR243" i="13" s="1" a="1"/>
  <c r="BR243" i="13" s="1"/>
  <c r="BT239" i="13"/>
  <c r="BU239" i="13" s="1"/>
  <c r="BV239" i="13" s="1" a="1"/>
  <c r="BV239" i="13" s="1"/>
  <c r="CB239" i="13"/>
  <c r="CJ239" i="13"/>
  <c r="BP239" i="13"/>
  <c r="BQ239" i="13" s="1"/>
  <c r="BR239" i="13" s="1" a="1"/>
  <c r="BR239" i="13" s="1"/>
  <c r="CR239" i="13"/>
  <c r="CS239" i="13" s="1"/>
  <c r="CN236" i="13"/>
  <c r="CO236" i="13" s="1"/>
  <c r="BJ234" i="13"/>
  <c r="BK234" i="13"/>
  <c r="BL234" i="13"/>
  <c r="BK225" i="13"/>
  <c r="BS259" i="13"/>
  <c r="CH256" i="13"/>
  <c r="AM256" i="13"/>
  <c r="BS252" i="13"/>
  <c r="BN252" i="13"/>
  <c r="CB252" i="13" s="1"/>
  <c r="CC252" i="13" s="1"/>
  <c r="A252" i="13"/>
  <c r="CH250" i="13"/>
  <c r="AM250" i="13"/>
  <c r="CN237" i="13"/>
  <c r="CO237" i="13" s="1"/>
  <c r="CT237" i="13" s="1" a="1"/>
  <c r="CT237" i="13" s="1"/>
  <c r="CB237" i="13"/>
  <c r="CJ237" i="13"/>
  <c r="BP237" i="13"/>
  <c r="BQ237" i="13" s="1"/>
  <c r="BR237" i="13" s="1" a="1"/>
  <c r="BR237" i="13" s="1"/>
  <c r="CR237" i="13"/>
  <c r="CS237" i="13" s="1"/>
  <c r="BJ236" i="13"/>
  <c r="BJ215" i="13"/>
  <c r="CV245" i="13"/>
  <c r="BU245" i="13"/>
  <c r="CW245" i="13"/>
  <c r="BY245" i="13"/>
  <c r="BJ244" i="13"/>
  <c r="CV239" i="13"/>
  <c r="BK229" i="13"/>
  <c r="AM225" i="13"/>
  <c r="CA225" i="13"/>
  <c r="CH225" i="13"/>
  <c r="BN225" i="13"/>
  <c r="BI225" i="13" a="1"/>
  <c r="BI225" i="13" s="1"/>
  <c r="CQ225" i="13"/>
  <c r="BS225" i="13"/>
  <c r="BW225" i="13"/>
  <c r="CM225" i="13"/>
  <c r="CC249" i="13"/>
  <c r="CE249" i="13" s="1" a="1"/>
  <c r="CE249" i="13" s="1"/>
  <c r="CK249" i="13"/>
  <c r="BY249" i="13"/>
  <c r="CR247" i="13"/>
  <c r="CS247" i="13" s="1"/>
  <c r="BT245" i="13"/>
  <c r="BK244" i="13"/>
  <c r="BL244" i="13"/>
  <c r="CV241" i="13"/>
  <c r="CW241" i="13" s="1"/>
  <c r="CX241" i="13" s="1" a="1"/>
  <c r="CX241" i="13" s="1"/>
  <c r="BU241" i="13"/>
  <c r="BY241" i="13"/>
  <c r="BZ241" i="13" s="1" a="1"/>
  <c r="BZ241" i="13" s="1"/>
  <c r="CR230" i="13"/>
  <c r="CS230" i="13" s="1"/>
  <c r="BK221" i="13"/>
  <c r="BL221" i="13"/>
  <c r="BW259" i="13"/>
  <c r="A259" i="13"/>
  <c r="BS256" i="13"/>
  <c r="BN256" i="13"/>
  <c r="A256" i="13"/>
  <c r="BS250" i="13"/>
  <c r="BN250" i="13"/>
  <c r="A250" i="13"/>
  <c r="BU247" i="13"/>
  <c r="CW247" i="13"/>
  <c r="CY247" i="13" s="1" a="1"/>
  <c r="CY247" i="13" s="1"/>
  <c r="CK247" i="13"/>
  <c r="CL247" i="13" s="1" a="1"/>
  <c r="CL247" i="13" s="1"/>
  <c r="CB245" i="13"/>
  <c r="CC245" i="13" s="1"/>
  <c r="CJ245" i="13"/>
  <c r="CK245" i="13" s="1"/>
  <c r="CL245" i="13" s="1" a="1"/>
  <c r="CL245" i="13" s="1"/>
  <c r="BP245" i="13"/>
  <c r="BQ245" i="13" s="1"/>
  <c r="BR245" i="13" s="1" a="1"/>
  <c r="BR245" i="13" s="1"/>
  <c r="AM229" i="13"/>
  <c r="CA229" i="13"/>
  <c r="CH229" i="13"/>
  <c r="BN229" i="13"/>
  <c r="BI229" i="13" a="1"/>
  <c r="BI229" i="13" s="1"/>
  <c r="CQ229" i="13"/>
  <c r="BS229" i="13"/>
  <c r="BW229" i="13"/>
  <c r="CM229" i="13"/>
  <c r="BJ226" i="13"/>
  <c r="BK226" i="13"/>
  <c r="BL226" i="13"/>
  <c r="CB226" i="13" s="1"/>
  <c r="CC226" i="13" s="1"/>
  <c r="BK222" i="13"/>
  <c r="BL222" i="13"/>
  <c r="CV222" i="13" s="1"/>
  <c r="CW222" i="13" s="1"/>
  <c r="CQ259" i="13"/>
  <c r="CM256" i="13"/>
  <c r="BK256" i="13"/>
  <c r="BL253" i="13"/>
  <c r="BP251" i="13"/>
  <c r="BQ251" i="13" s="1"/>
  <c r="BR251" i="13" s="1" a="1"/>
  <c r="BR251" i="13" s="1"/>
  <c r="CM250" i="13"/>
  <c r="BK250" i="13"/>
  <c r="BS248" i="13"/>
  <c r="BN248" i="13"/>
  <c r="CO247" i="13"/>
  <c r="BJ246" i="13"/>
  <c r="CR245" i="13"/>
  <c r="CS245" i="13" s="1"/>
  <c r="CB241" i="13"/>
  <c r="CC241" i="13" s="1"/>
  <c r="CJ241" i="13"/>
  <c r="CK241" i="13" s="1"/>
  <c r="CL241" i="13" s="1" a="1"/>
  <c r="CL241" i="13" s="1"/>
  <c r="BP241" i="13"/>
  <c r="BQ241" i="13" s="1"/>
  <c r="BR241" i="13" s="1" a="1"/>
  <c r="BR241" i="13" s="1"/>
  <c r="CU225" i="13"/>
  <c r="BN246" i="13"/>
  <c r="BN244" i="13"/>
  <c r="BN242" i="13"/>
  <c r="BN240" i="13"/>
  <c r="BY239" i="13"/>
  <c r="BN238" i="13"/>
  <c r="BY237" i="13"/>
  <c r="BZ237" i="13" s="1" a="1"/>
  <c r="BZ237" i="13" s="1"/>
  <c r="CA235" i="13"/>
  <c r="BW223" i="13"/>
  <c r="BK223" i="13"/>
  <c r="BK215" i="13"/>
  <c r="CR215" i="13" s="1"/>
  <c r="CS215" i="13" s="1"/>
  <c r="BL215" i="13"/>
  <c r="BT215" i="13" s="1"/>
  <c r="BU215" i="13" s="1"/>
  <c r="BJ214" i="13"/>
  <c r="BJ208" i="13"/>
  <c r="BJ232" i="13"/>
  <c r="BJ228" i="13"/>
  <c r="BJ224" i="13"/>
  <c r="BJ219" i="13"/>
  <c r="BK211" i="13"/>
  <c r="BL211" i="13"/>
  <c r="BJ209" i="13"/>
  <c r="BS246" i="13"/>
  <c r="BS244" i="13"/>
  <c r="BS242" i="13"/>
  <c r="BT242" i="13" s="1"/>
  <c r="BU242" i="13" s="1"/>
  <c r="BS240" i="13"/>
  <c r="BL240" i="13"/>
  <c r="CJ240" i="13" s="1"/>
  <c r="CK240" i="13" s="1"/>
  <c r="CL240" i="13" s="1" a="1"/>
  <c r="CL240" i="13" s="1"/>
  <c r="CK239" i="13"/>
  <c r="CL239" i="13" s="1" a="1"/>
  <c r="CL239" i="13" s="1"/>
  <c r="CC239" i="13"/>
  <c r="CE239" i="13" s="1" a="1"/>
  <c r="CE239" i="13" s="1"/>
  <c r="BS238" i="13"/>
  <c r="BL238" i="13"/>
  <c r="CJ238" i="13" s="1"/>
  <c r="CK238" i="13" s="1"/>
  <c r="CL238" i="13" s="1" a="1"/>
  <c r="CL238" i="13" s="1"/>
  <c r="CK237" i="13"/>
  <c r="CL237" i="13" s="1" a="1"/>
  <c r="CL237" i="13" s="1"/>
  <c r="CC237" i="13"/>
  <c r="CE237" i="13" s="1" a="1"/>
  <c r="CE237" i="13" s="1"/>
  <c r="BL236" i="13"/>
  <c r="BL233" i="13"/>
  <c r="BL229" i="13"/>
  <c r="BL225" i="13"/>
  <c r="BJ221" i="13"/>
  <c r="BJ196" i="13"/>
  <c r="CW239" i="13"/>
  <c r="CX239" i="13" s="1" a="1"/>
  <c r="CX239" i="13" s="1"/>
  <c r="CW237" i="13"/>
  <c r="CY237" i="13" s="1" a="1"/>
  <c r="CY237" i="13" s="1"/>
  <c r="AM223" i="13"/>
  <c r="CA223" i="13"/>
  <c r="CH223" i="13"/>
  <c r="BN223" i="13"/>
  <c r="BI223" i="13" a="1"/>
  <c r="BI223" i="13" s="1"/>
  <c r="CQ223" i="13"/>
  <c r="BU237" i="13"/>
  <c r="BV237" i="13" s="1" a="1"/>
  <c r="BV237" i="13" s="1"/>
  <c r="BN235" i="13"/>
  <c r="BI235" i="13" a="1"/>
  <c r="BI235" i="13" s="1"/>
  <c r="A235" i="13"/>
  <c r="BK232" i="13"/>
  <c r="BL232" i="13"/>
  <c r="AM231" i="13"/>
  <c r="CA231" i="13"/>
  <c r="CH231" i="13"/>
  <c r="BN231" i="13"/>
  <c r="BI231" i="13" a="1"/>
  <c r="BI231" i="13" s="1"/>
  <c r="CQ231" i="13"/>
  <c r="A231" i="13"/>
  <c r="BK228" i="13"/>
  <c r="BL228" i="13"/>
  <c r="AM227" i="13"/>
  <c r="CA227" i="13"/>
  <c r="CH227" i="13"/>
  <c r="BN227" i="13"/>
  <c r="BI227" i="13" a="1"/>
  <c r="BI227" i="13" s="1"/>
  <c r="CQ227" i="13"/>
  <c r="A227" i="13"/>
  <c r="BK224" i="13"/>
  <c r="BL224" i="13"/>
  <c r="CU223" i="13"/>
  <c r="BJ220" i="13"/>
  <c r="CN220" i="13" s="1"/>
  <c r="CO220" i="13" s="1"/>
  <c r="BJ216" i="13"/>
  <c r="BT216" i="13" s="1"/>
  <c r="BU216" i="13" s="1"/>
  <c r="BJ212" i="13"/>
  <c r="BT212" i="13" s="1"/>
  <c r="BU212" i="13" s="1"/>
  <c r="BW244" i="13"/>
  <c r="BW242" i="13"/>
  <c r="BW240" i="13"/>
  <c r="BW238" i="13"/>
  <c r="BX232" i="13"/>
  <c r="BY232" i="13" s="1"/>
  <c r="BX228" i="13"/>
  <c r="BY228" i="13" s="1"/>
  <c r="BJ222" i="13"/>
  <c r="BJ210" i="13"/>
  <c r="CB210" i="13" s="1"/>
  <c r="CC210" i="13" s="1"/>
  <c r="CQ221" i="13"/>
  <c r="AM219" i="13"/>
  <c r="CA219" i="13"/>
  <c r="CH219" i="13"/>
  <c r="BN219" i="13"/>
  <c r="BJ218" i="13"/>
  <c r="CJ218" i="13" s="1"/>
  <c r="CK218" i="13" s="1"/>
  <c r="CL218" i="13" s="1" a="1"/>
  <c r="CL218" i="13" s="1"/>
  <c r="CV211" i="13"/>
  <c r="CW211" i="13" s="1"/>
  <c r="BL209" i="13"/>
  <c r="BL208" i="13"/>
  <c r="BP208" i="13" s="1"/>
  <c r="BQ208" i="13" s="1"/>
  <c r="BR208" i="13" s="1" a="1"/>
  <c r="BR208" i="13" s="1"/>
  <c r="CA206" i="13"/>
  <c r="A202" i="13"/>
  <c r="BW202" i="13"/>
  <c r="BS202" i="13"/>
  <c r="CU202" i="13"/>
  <c r="BN202" i="13"/>
  <c r="BK202" i="13"/>
  <c r="CM202" i="13"/>
  <c r="CQ202" i="13"/>
  <c r="AM202" i="13"/>
  <c r="BJ200" i="13"/>
  <c r="CA221" i="13"/>
  <c r="CB221" i="13" s="1"/>
  <c r="CC221" i="13" s="1"/>
  <c r="BS221" i="13"/>
  <c r="BL219" i="13"/>
  <c r="CN219" i="13" s="1"/>
  <c r="CO219" i="13" s="1"/>
  <c r="A219" i="13"/>
  <c r="BL214" i="13"/>
  <c r="CB214" i="13" s="1"/>
  <c r="CC214" i="13" s="1"/>
  <c r="AM207" i="13"/>
  <c r="BI206" i="13" a="1"/>
  <c r="BI206" i="13" s="1"/>
  <c r="CA202" i="13"/>
  <c r="CH221" i="13"/>
  <c r="CV219" i="13"/>
  <c r="CW219" i="13" s="1"/>
  <c r="CY219" i="13" s="1" a="1"/>
  <c r="CY219" i="13" s="1"/>
  <c r="AM217" i="13"/>
  <c r="CA217" i="13"/>
  <c r="CH217" i="13"/>
  <c r="CN217" i="13" s="1"/>
  <c r="CO217" i="13" s="1"/>
  <c r="BN217" i="13"/>
  <c r="BT217" i="13" s="1"/>
  <c r="BU217" i="13" s="1"/>
  <c r="BX216" i="13"/>
  <c r="BY216" i="13" s="1"/>
  <c r="BZ216" i="13" s="1" a="1"/>
  <c r="BZ216" i="13" s="1"/>
  <c r="CJ185" i="13"/>
  <c r="CV185" i="13"/>
  <c r="CW185" i="13" s="1"/>
  <c r="CY185" i="13" s="1" a="1"/>
  <c r="CY185" i="13" s="1"/>
  <c r="CN185" i="13"/>
  <c r="CO185" i="13" s="1"/>
  <c r="CP185" i="13" s="1" a="1"/>
  <c r="CP185" i="13" s="1"/>
  <c r="CU221" i="13"/>
  <c r="BL210" i="13"/>
  <c r="CJ210" i="13" s="1"/>
  <c r="CK210" i="13" s="1"/>
  <c r="CL210" i="13" s="1" a="1"/>
  <c r="CL210" i="13" s="1"/>
  <c r="CB205" i="13"/>
  <c r="CC205" i="13" s="1"/>
  <c r="BX205" i="13"/>
  <c r="CN200" i="13"/>
  <c r="CO200" i="13" s="1"/>
  <c r="CJ214" i="13"/>
  <c r="CK214" i="13" s="1"/>
  <c r="CL214" i="13" s="1" a="1"/>
  <c r="CL214" i="13" s="1"/>
  <c r="BI207" i="13" a="1"/>
  <c r="BI207" i="13" s="1"/>
  <c r="BW207" i="13"/>
  <c r="BK207" i="13"/>
  <c r="CM207" i="13"/>
  <c r="CA207" i="13"/>
  <c r="CH207" i="13"/>
  <c r="BN207" i="13"/>
  <c r="A206" i="13"/>
  <c r="BS206" i="13"/>
  <c r="BN206" i="13"/>
  <c r="BW206" i="13"/>
  <c r="AM206" i="13"/>
  <c r="CH206" i="13"/>
  <c r="CU206" i="13"/>
  <c r="BK206" i="13"/>
  <c r="CM206" i="13"/>
  <c r="CN203" i="13"/>
  <c r="CO203" i="13" s="1"/>
  <c r="CJ203" i="13"/>
  <c r="CB203" i="13"/>
  <c r="CC203" i="13" s="1"/>
  <c r="CE203" i="13" s="1" a="1"/>
  <c r="CE203" i="13" s="1"/>
  <c r="BJ202" i="13"/>
  <c r="AM221" i="13"/>
  <c r="BN221" i="13"/>
  <c r="BX208" i="13"/>
  <c r="BY208" i="13" s="1"/>
  <c r="CQ207" i="13"/>
  <c r="BT205" i="13"/>
  <c r="BU205" i="13" s="1"/>
  <c r="CV203" i="13"/>
  <c r="CW203" i="13" s="1"/>
  <c r="CY203" i="13" s="1" a="1"/>
  <c r="CY203" i="13" s="1"/>
  <c r="BN215" i="13"/>
  <c r="BN213" i="13"/>
  <c r="BT213" i="13" s="1"/>
  <c r="BU213" i="13" s="1"/>
  <c r="BN211" i="13"/>
  <c r="BX211" i="13" s="1"/>
  <c r="BY211" i="13" s="1"/>
  <c r="BN209" i="13"/>
  <c r="BT209" i="13" s="1"/>
  <c r="BU209" i="13" s="1"/>
  <c r="BP203" i="13"/>
  <c r="A198" i="13"/>
  <c r="BW198" i="13"/>
  <c r="BS198" i="13"/>
  <c r="CU198" i="13"/>
  <c r="BN198" i="13"/>
  <c r="CQ194" i="13"/>
  <c r="BK194" i="13"/>
  <c r="BJ190" i="13"/>
  <c r="CV190" i="13" s="1"/>
  <c r="CW190" i="13" s="1"/>
  <c r="CH215" i="13"/>
  <c r="CV215" i="13" s="1"/>
  <c r="CW215" i="13" s="1"/>
  <c r="CA215" i="13"/>
  <c r="CH213" i="13"/>
  <c r="CN213" i="13" s="1"/>
  <c r="CO213" i="13" s="1"/>
  <c r="CA213" i="13"/>
  <c r="CH211" i="13"/>
  <c r="CA211" i="13"/>
  <c r="CH209" i="13"/>
  <c r="CA209" i="13"/>
  <c r="CV205" i="13"/>
  <c r="CW205" i="13" s="1"/>
  <c r="CH204" i="13"/>
  <c r="BI204" i="13" a="1"/>
  <c r="BI204" i="13" s="1"/>
  <c r="CA200" i="13"/>
  <c r="BI194" i="13" a="1"/>
  <c r="BI194" i="13" s="1"/>
  <c r="AM204" i="13"/>
  <c r="BT203" i="13"/>
  <c r="BU203" i="13" s="1"/>
  <c r="BV203" i="13" s="1" a="1"/>
  <c r="BV203" i="13" s="1"/>
  <c r="CR200" i="13"/>
  <c r="CS200" i="13" s="1"/>
  <c r="CJ200" i="13"/>
  <c r="CK200" i="13" s="1"/>
  <c r="CL200" i="13" s="1" a="1"/>
  <c r="CL200" i="13" s="1"/>
  <c r="A196" i="13"/>
  <c r="BW196" i="13"/>
  <c r="BS196" i="13"/>
  <c r="CU196" i="13"/>
  <c r="BN196" i="13"/>
  <c r="BX185" i="13"/>
  <c r="BL182" i="13"/>
  <c r="BK182" i="13"/>
  <c r="BP205" i="13"/>
  <c r="BQ205" i="13" s="1"/>
  <c r="BR205" i="13" s="1" a="1"/>
  <c r="BR205" i="13" s="1"/>
  <c r="CK203" i="13"/>
  <c r="BQ203" i="13"/>
  <c r="BR203" i="13" s="1" a="1"/>
  <c r="BR203" i="13" s="1"/>
  <c r="A194" i="13"/>
  <c r="BW194" i="13"/>
  <c r="BS194" i="13"/>
  <c r="CU194" i="13"/>
  <c r="BN194" i="13"/>
  <c r="BT191" i="13"/>
  <c r="BU191" i="13" s="1"/>
  <c r="BV191" i="13" s="1" a="1"/>
  <c r="BV191" i="13" s="1"/>
  <c r="CV191" i="13"/>
  <c r="CW191" i="13" s="1"/>
  <c r="BK190" i="13"/>
  <c r="A204" i="13"/>
  <c r="BW204" i="13"/>
  <c r="BS204" i="13"/>
  <c r="CU204" i="13"/>
  <c r="BN204" i="13"/>
  <c r="CL203" i="13" a="1"/>
  <c r="CL203" i="13" s="1"/>
  <c r="BJ198" i="13"/>
  <c r="CR198" i="13" s="1"/>
  <c r="CS198" i="13" s="1"/>
  <c r="CA196" i="13"/>
  <c r="CO205" i="13"/>
  <c r="CK205" i="13"/>
  <c r="CL205" i="13" s="1" a="1"/>
  <c r="CL205" i="13" s="1"/>
  <c r="BY205" i="13"/>
  <c r="CM204" i="13"/>
  <c r="A200" i="13"/>
  <c r="BW200" i="13"/>
  <c r="BS200" i="13"/>
  <c r="CU200" i="13"/>
  <c r="CV200" i="13" s="1"/>
  <c r="CW200" i="13" s="1"/>
  <c r="BN200" i="13"/>
  <c r="BP200" i="13" s="1"/>
  <c r="BQ200" i="13" s="1"/>
  <c r="BR200" i="13" s="1" a="1"/>
  <c r="BR200" i="13" s="1"/>
  <c r="CQ196" i="13"/>
  <c r="CR196" i="13" s="1"/>
  <c r="CS196" i="13" s="1"/>
  <c r="BK196" i="13"/>
  <c r="CM193" i="13"/>
  <c r="BI192" i="13" a="1"/>
  <c r="BI192" i="13" s="1"/>
  <c r="CQ192" i="13"/>
  <c r="BS192" i="13"/>
  <c r="A192" i="13"/>
  <c r="BL174" i="13"/>
  <c r="BK174" i="13"/>
  <c r="BL172" i="13"/>
  <c r="BK172" i="13"/>
  <c r="A205" i="13"/>
  <c r="BW203" i="13"/>
  <c r="BX203" i="13" s="1"/>
  <c r="BY203" i="13" s="1"/>
  <c r="A203" i="13"/>
  <c r="BW201" i="13"/>
  <c r="A201" i="13"/>
  <c r="BW199" i="13"/>
  <c r="A199" i="13"/>
  <c r="BW197" i="13"/>
  <c r="A197" i="13"/>
  <c r="BW195" i="13"/>
  <c r="A195" i="13"/>
  <c r="BW193" i="13"/>
  <c r="AM193" i="13"/>
  <c r="CM192" i="13"/>
  <c r="BK192" i="13"/>
  <c r="CM190" i="13"/>
  <c r="CN190" i="13" s="1"/>
  <c r="CO190" i="13" s="1"/>
  <c r="BJ189" i="13"/>
  <c r="CB189" i="13" s="1"/>
  <c r="CC189" i="13" s="1"/>
  <c r="BN188" i="13"/>
  <c r="A188" i="13"/>
  <c r="BW188" i="13"/>
  <c r="BS188" i="13"/>
  <c r="CQ188" i="13"/>
  <c r="CR188" i="13" s="1"/>
  <c r="CS188" i="13" s="1"/>
  <c r="BN186" i="13"/>
  <c r="A186" i="13"/>
  <c r="BW186" i="13"/>
  <c r="BS186" i="13"/>
  <c r="BI186" i="13" a="1"/>
  <c r="BI186" i="13" s="1"/>
  <c r="CQ186" i="13"/>
  <c r="BP185" i="13"/>
  <c r="BQ185" i="13" s="1"/>
  <c r="CR182" i="13"/>
  <c r="CS182" i="13" s="1"/>
  <c r="BS172" i="13"/>
  <c r="AM172" i="13"/>
  <c r="CA172" i="13"/>
  <c r="CH172" i="13"/>
  <c r="A172" i="13"/>
  <c r="BW172" i="13"/>
  <c r="BI172" i="13" a="1"/>
  <c r="BI172" i="13" s="1"/>
  <c r="CQ172" i="13"/>
  <c r="BN172" i="13"/>
  <c r="CQ205" i="13"/>
  <c r="CR205" i="13" s="1"/>
  <c r="CS205" i="13" s="1"/>
  <c r="CT205" i="13" s="1" a="1"/>
  <c r="CT205" i="13" s="1"/>
  <c r="CQ203" i="13"/>
  <c r="CR203" i="13" s="1"/>
  <c r="CS203" i="13" s="1"/>
  <c r="CQ201" i="13"/>
  <c r="BI201" i="13" a="1"/>
  <c r="BI201" i="13" s="1"/>
  <c r="CQ199" i="13"/>
  <c r="BI199" i="13" a="1"/>
  <c r="BI199" i="13" s="1"/>
  <c r="CQ197" i="13"/>
  <c r="BI197" i="13" a="1"/>
  <c r="BI197" i="13" s="1"/>
  <c r="CQ195" i="13"/>
  <c r="BI195" i="13" a="1"/>
  <c r="BI195" i="13" s="1"/>
  <c r="CQ193" i="13"/>
  <c r="BN193" i="13"/>
  <c r="CU192" i="13"/>
  <c r="BJ184" i="13"/>
  <c r="CN182" i="13"/>
  <c r="CO182" i="13" s="1"/>
  <c r="BL180" i="13"/>
  <c r="BK180" i="13"/>
  <c r="A193" i="13"/>
  <c r="BP191" i="13"/>
  <c r="BQ191" i="13" s="1"/>
  <c r="BR191" i="13" s="1" a="1"/>
  <c r="BR191" i="13" s="1"/>
  <c r="BR185" i="13" a="1"/>
  <c r="BR185" i="13" s="1"/>
  <c r="BL184" i="13"/>
  <c r="CN184" i="13" s="1"/>
  <c r="CO184" i="13" s="1"/>
  <c r="BK184" i="13"/>
  <c r="BS178" i="13"/>
  <c r="AM178" i="13"/>
  <c r="CA178" i="13"/>
  <c r="CH178" i="13"/>
  <c r="A178" i="13"/>
  <c r="BI178" i="13" a="1"/>
  <c r="BI178" i="13" s="1"/>
  <c r="CU178" i="13"/>
  <c r="BN178" i="13"/>
  <c r="BW178" i="13"/>
  <c r="CM178" i="13"/>
  <c r="CQ178" i="13"/>
  <c r="CU193" i="13"/>
  <c r="BK193" i="13"/>
  <c r="CH192" i="13"/>
  <c r="CN191" i="13"/>
  <c r="CO191" i="13" s="1"/>
  <c r="BN190" i="13"/>
  <c r="A190" i="13"/>
  <c r="BW190" i="13"/>
  <c r="BS190" i="13"/>
  <c r="CQ190" i="13"/>
  <c r="BJ188" i="13"/>
  <c r="BJ187" i="13"/>
  <c r="CV187" i="13" s="1"/>
  <c r="CW187" i="13"/>
  <c r="CY187" i="13" s="1" a="1"/>
  <c r="CY187" i="13" s="1"/>
  <c r="BK186" i="13"/>
  <c r="BN180" i="13"/>
  <c r="A180" i="13"/>
  <c r="BW180" i="13"/>
  <c r="BS180" i="13"/>
  <c r="AM180" i="13"/>
  <c r="BI180" i="13" a="1"/>
  <c r="BI180" i="13" s="1"/>
  <c r="CH180" i="13"/>
  <c r="BL176" i="13"/>
  <c r="BK176" i="13"/>
  <c r="BS166" i="13"/>
  <c r="AM166" i="13"/>
  <c r="CA166" i="13"/>
  <c r="CH166" i="13"/>
  <c r="A166" i="13"/>
  <c r="BW166" i="13"/>
  <c r="CM166" i="13"/>
  <c r="BI166" i="13" a="1"/>
  <c r="BI166" i="13" s="1"/>
  <c r="CQ166" i="13"/>
  <c r="CU166" i="13"/>
  <c r="CB185" i="13"/>
  <c r="CB182" i="13"/>
  <c r="CC182" i="13" s="1"/>
  <c r="CE182" i="13" s="1" a="1"/>
  <c r="CE182" i="13" s="1"/>
  <c r="A191" i="13"/>
  <c r="BT185" i="13"/>
  <c r="BU185" i="13" s="1"/>
  <c r="BS179" i="13"/>
  <c r="BS170" i="13"/>
  <c r="AM170" i="13"/>
  <c r="CA170" i="13"/>
  <c r="CH170" i="13"/>
  <c r="A170" i="13"/>
  <c r="BW170" i="13"/>
  <c r="BI170" i="13" a="1"/>
  <c r="BI170" i="13" s="1"/>
  <c r="CQ170" i="13"/>
  <c r="BY185" i="13"/>
  <c r="BZ185" i="13" s="1" a="1"/>
  <c r="BZ185" i="13" s="1"/>
  <c r="CC185" i="13"/>
  <c r="CE185" i="13" s="1" a="1"/>
  <c r="CE185" i="13" s="1"/>
  <c r="CK185" i="13"/>
  <c r="CL185" i="13" s="1" a="1"/>
  <c r="CL185" i="13" s="1"/>
  <c r="BN184" i="13"/>
  <c r="A184" i="13"/>
  <c r="BW184" i="13"/>
  <c r="BS184" i="13"/>
  <c r="BK179" i="13"/>
  <c r="BS176" i="13"/>
  <c r="AM176" i="13"/>
  <c r="CA176" i="13"/>
  <c r="CH176" i="13"/>
  <c r="A176" i="13"/>
  <c r="BW176" i="13"/>
  <c r="BI176" i="13" a="1"/>
  <c r="BI176" i="13" s="1"/>
  <c r="CQ176" i="13"/>
  <c r="BS168" i="13"/>
  <c r="AM168" i="13"/>
  <c r="CA168" i="13"/>
  <c r="CH168" i="13"/>
  <c r="A168" i="13"/>
  <c r="BW168" i="13"/>
  <c r="CM168" i="13"/>
  <c r="BI168" i="13" a="1"/>
  <c r="BI168" i="13" s="1"/>
  <c r="CQ168" i="13"/>
  <c r="BJ162" i="13"/>
  <c r="BT162" i="13" s="1"/>
  <c r="BU162" i="13" s="1"/>
  <c r="CU159" i="13"/>
  <c r="AM159" i="13"/>
  <c r="CA159" i="13"/>
  <c r="CH159" i="13"/>
  <c r="BN159" i="13"/>
  <c r="BI159" i="13" a="1"/>
  <c r="BI159" i="13" s="1"/>
  <c r="CQ159" i="13"/>
  <c r="BS159" i="13"/>
  <c r="CM159" i="13"/>
  <c r="A159" i="13"/>
  <c r="BK159" i="13"/>
  <c r="BW159" i="13"/>
  <c r="A179" i="13"/>
  <c r="CM179" i="13"/>
  <c r="CU179" i="13"/>
  <c r="BI179" i="13" a="1"/>
  <c r="BI179" i="13" s="1"/>
  <c r="CQ179" i="13"/>
  <c r="BT187" i="13"/>
  <c r="BU187" i="13" s="1"/>
  <c r="CQ184" i="13"/>
  <c r="BN182" i="13"/>
  <c r="A182" i="13"/>
  <c r="BW182" i="13"/>
  <c r="BS182" i="13"/>
  <c r="BT182" i="13" s="1"/>
  <c r="BU182" i="13" s="1"/>
  <c r="CM176" i="13"/>
  <c r="BS174" i="13"/>
  <c r="AM174" i="13"/>
  <c r="CA174" i="13"/>
  <c r="CH174" i="13"/>
  <c r="A174" i="13"/>
  <c r="BW174" i="13"/>
  <c r="BI174" i="13" a="1"/>
  <c r="BI174" i="13" s="1"/>
  <c r="CQ174" i="13"/>
  <c r="BN170" i="13"/>
  <c r="CQ189" i="13"/>
  <c r="CQ187" i="13"/>
  <c r="CQ185" i="13"/>
  <c r="CR185" i="13" s="1"/>
  <c r="CS185" i="13" s="1"/>
  <c r="CQ183" i="13"/>
  <c r="BI183" i="13" a="1"/>
  <c r="BI183" i="13" s="1"/>
  <c r="CQ181" i="13"/>
  <c r="BI181" i="13" a="1"/>
  <c r="BI181" i="13" s="1"/>
  <c r="CH177" i="13"/>
  <c r="BW177" i="13"/>
  <c r="CH175" i="13"/>
  <c r="BW175" i="13"/>
  <c r="CH173" i="13"/>
  <c r="BW173" i="13"/>
  <c r="CH171" i="13"/>
  <c r="CH169" i="13"/>
  <c r="CH167" i="13"/>
  <c r="CL164" i="13" a="1"/>
  <c r="CL164" i="13" s="1"/>
  <c r="BK165" i="13"/>
  <c r="BX164" i="13"/>
  <c r="BY164" i="13" s="1"/>
  <c r="BZ164" i="13" s="1" a="1"/>
  <c r="BZ164" i="13" s="1"/>
  <c r="BP163" i="13"/>
  <c r="BQ163" i="13" s="1"/>
  <c r="BK170" i="13"/>
  <c r="BK168" i="13"/>
  <c r="BK166" i="13"/>
  <c r="CV164" i="13"/>
  <c r="CW164" i="13" s="1"/>
  <c r="CY164" i="13" s="1" a="1"/>
  <c r="CY164" i="13" s="1"/>
  <c r="BY163" i="13"/>
  <c r="BJ141" i="13"/>
  <c r="CN141" i="13" s="1"/>
  <c r="CO141" i="13" s="1"/>
  <c r="BK161" i="13"/>
  <c r="BL161" i="13"/>
  <c r="BJ143" i="13"/>
  <c r="BI177" i="13" a="1"/>
  <c r="BI177" i="13" s="1"/>
  <c r="CQ177" i="13"/>
  <c r="CU177" i="13"/>
  <c r="BI175" i="13" a="1"/>
  <c r="BI175" i="13" s="1"/>
  <c r="CQ175" i="13"/>
  <c r="CU175" i="13"/>
  <c r="BI173" i="13" a="1"/>
  <c r="BI173" i="13" s="1"/>
  <c r="CQ173" i="13"/>
  <c r="CU173" i="13"/>
  <c r="BI171" i="13" a="1"/>
  <c r="BI171" i="13" s="1"/>
  <c r="CQ171" i="13"/>
  <c r="CU171" i="13"/>
  <c r="BI169" i="13" a="1"/>
  <c r="BI169" i="13" s="1"/>
  <c r="CQ169" i="13"/>
  <c r="CU169" i="13"/>
  <c r="BI167" i="13" a="1"/>
  <c r="BI167" i="13" s="1"/>
  <c r="CQ167" i="13"/>
  <c r="CU167" i="13"/>
  <c r="BT164" i="13"/>
  <c r="BU164" i="13" s="1"/>
  <c r="CN164" i="13"/>
  <c r="CO164" i="13" s="1"/>
  <c r="BX156" i="13"/>
  <c r="BY156" i="13" s="1"/>
  <c r="BJ160" i="13"/>
  <c r="BK158" i="13"/>
  <c r="BL158" i="13"/>
  <c r="BP156" i="13"/>
  <c r="BQ156" i="13" s="1"/>
  <c r="BR156" i="13" s="1" a="1"/>
  <c r="BR156" i="13" s="1"/>
  <c r="CV156" i="13"/>
  <c r="CW156" i="13" s="1"/>
  <c r="BK155" i="13"/>
  <c r="BL155" i="13"/>
  <c r="AM161" i="13"/>
  <c r="CA161" i="13"/>
  <c r="CH161" i="13"/>
  <c r="BN161" i="13"/>
  <c r="BI161" i="13" a="1"/>
  <c r="BI161" i="13" s="1"/>
  <c r="CQ161" i="13"/>
  <c r="A161" i="13"/>
  <c r="CU157" i="13"/>
  <c r="AM157" i="13"/>
  <c r="CA157" i="13"/>
  <c r="CH157" i="13"/>
  <c r="BN157" i="13"/>
  <c r="BI157" i="13" a="1"/>
  <c r="BI157" i="13" s="1"/>
  <c r="CQ157" i="13"/>
  <c r="CB163" i="13"/>
  <c r="CC163" i="13" s="1"/>
  <c r="CE163" i="13" s="1" a="1"/>
  <c r="CE163" i="13" s="1"/>
  <c r="CQ163" i="13"/>
  <c r="CH163" i="13"/>
  <c r="CV163" i="13" s="1"/>
  <c r="CW163" i="13" s="1"/>
  <c r="BS163" i="13"/>
  <c r="BT163" i="13" s="1"/>
  <c r="BU163" i="13" s="1"/>
  <c r="BV163" i="13" s="1" a="1"/>
  <c r="BV163" i="13" s="1"/>
  <c r="A163" i="13"/>
  <c r="CR156" i="13"/>
  <c r="CS156" i="13" s="1"/>
  <c r="CV149" i="13"/>
  <c r="BP149" i="13"/>
  <c r="CB149" i="13"/>
  <c r="CC149" i="13" s="1"/>
  <c r="CE149" i="13" s="1" a="1"/>
  <c r="CE149" i="13" s="1"/>
  <c r="BK160" i="13"/>
  <c r="BL160" i="13"/>
  <c r="BJ158" i="13"/>
  <c r="BJ155" i="13"/>
  <c r="CM163" i="13"/>
  <c r="CN163" i="13" s="1"/>
  <c r="CO163" i="13" s="1"/>
  <c r="BW163" i="13"/>
  <c r="BX163" i="13" s="1"/>
  <c r="AM163" i="13"/>
  <c r="BT156" i="13"/>
  <c r="BU156" i="13" s="1"/>
  <c r="BX147" i="13"/>
  <c r="BY147" i="13" s="1"/>
  <c r="BN154" i="13"/>
  <c r="BI154" i="13" a="1"/>
  <c r="BI154" i="13" s="1"/>
  <c r="CQ154" i="13"/>
  <c r="BK153" i="13"/>
  <c r="CR153" i="13" s="1"/>
  <c r="CS153" i="13" s="1"/>
  <c r="BL153" i="13"/>
  <c r="CH152" i="13"/>
  <c r="CM150" i="13"/>
  <c r="CR149" i="13"/>
  <c r="CV146" i="13"/>
  <c r="CW146" i="13" s="1"/>
  <c r="CU154" i="13"/>
  <c r="CM154" i="13"/>
  <c r="BK154" i="13"/>
  <c r="CV153" i="13"/>
  <c r="CW153" i="13" s="1"/>
  <c r="BN152" i="13"/>
  <c r="BI152" i="13" a="1"/>
  <c r="BI152" i="13" s="1"/>
  <c r="CQ152" i="13"/>
  <c r="CU152" i="13"/>
  <c r="BK151" i="13"/>
  <c r="BL151" i="13"/>
  <c r="CH150" i="13"/>
  <c r="A150" i="13"/>
  <c r="BK144" i="13"/>
  <c r="BT144" i="13" s="1"/>
  <c r="BU144" i="13" s="1"/>
  <c r="BL144" i="13"/>
  <c r="BX144" i="13" s="1"/>
  <c r="BY144" i="13" s="1"/>
  <c r="CA154" i="13"/>
  <c r="BS154" i="13"/>
  <c r="CR146" i="13"/>
  <c r="CS146" i="13" s="1"/>
  <c r="BP146" i="13"/>
  <c r="BQ146" i="13" s="1"/>
  <c r="BV146" i="13" s="1" a="1"/>
  <c r="BV146" i="13" s="1"/>
  <c r="BJ130" i="13"/>
  <c r="CB156" i="13"/>
  <c r="CC156" i="13" s="1"/>
  <c r="CV151" i="13"/>
  <c r="CW151" i="13" s="1"/>
  <c r="CY151" i="13" s="1" a="1"/>
  <c r="CY151" i="13" s="1"/>
  <c r="BN150" i="13"/>
  <c r="BI150" i="13" a="1"/>
  <c r="BI150" i="13" s="1"/>
  <c r="CQ150" i="13"/>
  <c r="CU150" i="13"/>
  <c r="CW149" i="13"/>
  <c r="CY149" i="13" s="1" a="1"/>
  <c r="CY149" i="13" s="1"/>
  <c r="BX149" i="13"/>
  <c r="BY149" i="13" s="1"/>
  <c r="CJ156" i="13"/>
  <c r="CK156" i="13" s="1"/>
  <c r="CL156" i="13" s="1" a="1"/>
  <c r="CL156" i="13" s="1"/>
  <c r="CH154" i="13"/>
  <c r="AM154" i="13"/>
  <c r="CN149" i="13"/>
  <c r="CO149" i="13" s="1"/>
  <c r="CP149" i="13" s="1" a="1"/>
  <c r="CP149" i="13" s="1"/>
  <c r="CJ149" i="13"/>
  <c r="CK149" i="13" s="1"/>
  <c r="CL149" i="13" s="1" a="1"/>
  <c r="CL149" i="13" s="1"/>
  <c r="CS149" i="13"/>
  <c r="BQ149" i="13"/>
  <c r="BR149" i="13" s="1" a="1"/>
  <c r="BR149" i="13" s="1"/>
  <c r="BK147" i="13"/>
  <c r="BL147" i="13"/>
  <c r="BX146" i="13"/>
  <c r="BY146" i="13" s="1"/>
  <c r="BZ146" i="13" s="1" a="1"/>
  <c r="BZ146" i="13" s="1"/>
  <c r="BJ145" i="13"/>
  <c r="CR145" i="13" s="1"/>
  <c r="CS145" i="13"/>
  <c r="BT149" i="13"/>
  <c r="BU149" i="13" s="1"/>
  <c r="BJ148" i="13"/>
  <c r="BX148" i="13" s="1"/>
  <c r="BY148" i="13" s="1"/>
  <c r="CJ145" i="13"/>
  <c r="CK145" i="13" s="1"/>
  <c r="CL145" i="13" s="1" a="1"/>
  <c r="CL145" i="13" s="1"/>
  <c r="CN145" i="13"/>
  <c r="CO145" i="13" s="1"/>
  <c r="BP145" i="13"/>
  <c r="BQ145" i="13" s="1"/>
  <c r="BT142" i="13"/>
  <c r="BU142" i="13" s="1"/>
  <c r="CV144" i="13"/>
  <c r="CW144" i="13" s="1"/>
  <c r="CY144" i="13" s="1" a="1"/>
  <c r="CY144" i="13" s="1"/>
  <c r="BJ142" i="13"/>
  <c r="CB142" i="13" s="1"/>
  <c r="CC142" i="13" s="1"/>
  <c r="CJ146" i="13"/>
  <c r="CK146" i="13" s="1"/>
  <c r="CL146" i="13" s="1" a="1"/>
  <c r="CL146" i="13" s="1"/>
  <c r="BJ126" i="13"/>
  <c r="BP142" i="13"/>
  <c r="BQ142" i="13" s="1"/>
  <c r="BR142" i="13" s="1" a="1"/>
  <c r="BR142" i="13" s="1"/>
  <c r="BL134" i="13"/>
  <c r="AM139" i="13"/>
  <c r="CA139" i="13"/>
  <c r="CH139" i="13"/>
  <c r="CQ139" i="13"/>
  <c r="BI139" i="13" a="1"/>
  <c r="BI139" i="13" s="1"/>
  <c r="BW139" i="13"/>
  <c r="CM139" i="13"/>
  <c r="BJ134" i="13"/>
  <c r="BX130" i="13"/>
  <c r="BY130" i="13" s="1"/>
  <c r="CB146" i="13"/>
  <c r="CC146" i="13" s="1"/>
  <c r="CE146" i="13" s="1" a="1"/>
  <c r="CE146" i="13" s="1"/>
  <c r="BN143" i="13"/>
  <c r="A143" i="13"/>
  <c r="CQ143" i="13"/>
  <c r="BK143" i="13"/>
  <c r="CM143" i="13"/>
  <c r="CU143" i="13"/>
  <c r="CN142" i="13"/>
  <c r="CO142" i="13" s="1"/>
  <c r="CQ148" i="13"/>
  <c r="CH148" i="13"/>
  <c r="CN148" i="13" s="1"/>
  <c r="CO148" i="13" s="1"/>
  <c r="BS148" i="13"/>
  <c r="A148" i="13"/>
  <c r="CB147" i="13"/>
  <c r="CC147" i="13" s="1"/>
  <c r="CA143" i="13"/>
  <c r="BS139" i="13"/>
  <c r="BJ135" i="13"/>
  <c r="BT135" i="13" s="1"/>
  <c r="BU135" i="13" s="1"/>
  <c r="AM125" i="13"/>
  <c r="CA125" i="13"/>
  <c r="CH125" i="13"/>
  <c r="BN125" i="13"/>
  <c r="BI125" i="13" a="1"/>
  <c r="BI125" i="13" s="1"/>
  <c r="CQ125" i="13"/>
  <c r="A125" i="13"/>
  <c r="BW125" i="13"/>
  <c r="BS125" i="13"/>
  <c r="CM125" i="13"/>
  <c r="CU125" i="13"/>
  <c r="BN139" i="13"/>
  <c r="AM138" i="13"/>
  <c r="CA138" i="13"/>
  <c r="CH138" i="13"/>
  <c r="A138" i="13"/>
  <c r="BK138" i="13"/>
  <c r="CM138" i="13"/>
  <c r="CU138" i="13"/>
  <c r="BI138" i="13" a="1"/>
  <c r="BI138" i="13" s="1"/>
  <c r="BN138" i="13"/>
  <c r="CQ138" i="13"/>
  <c r="BX145" i="13"/>
  <c r="BY145" i="13" s="1"/>
  <c r="BZ145" i="13" s="1" a="1"/>
  <c r="BZ145" i="13" s="1"/>
  <c r="A145" i="13"/>
  <c r="AM140" i="13"/>
  <c r="BW140" i="13"/>
  <c r="A140" i="13"/>
  <c r="CM140" i="13"/>
  <c r="CA140" i="13"/>
  <c r="CH140" i="13"/>
  <c r="CR136" i="13"/>
  <c r="CS136" i="13" s="1"/>
  <c r="CT136" i="13" s="1" a="1"/>
  <c r="CT136" i="13" s="1"/>
  <c r="AM134" i="13"/>
  <c r="CA134" i="13"/>
  <c r="CH134" i="13"/>
  <c r="A134" i="13"/>
  <c r="BW134" i="13"/>
  <c r="BX134" i="13" s="1"/>
  <c r="BY134" i="13" s="1"/>
  <c r="BN134" i="13"/>
  <c r="CU134" i="13"/>
  <c r="CQ134" i="13"/>
  <c r="BJ128" i="13"/>
  <c r="CA145" i="13"/>
  <c r="CB145" i="13" s="1"/>
  <c r="CC145" i="13" s="1"/>
  <c r="BS145" i="13"/>
  <c r="BT145" i="13" s="1"/>
  <c r="BU145" i="13" s="1"/>
  <c r="CR142" i="13"/>
  <c r="CS142" i="13" s="1"/>
  <c r="CT142" i="13" s="1" a="1"/>
  <c r="CT142" i="13" s="1"/>
  <c r="CU141" i="13"/>
  <c r="CV141" i="13" s="1"/>
  <c r="CW141" i="13" s="1"/>
  <c r="BN141" i="13"/>
  <c r="BI140" i="13" a="1"/>
  <c r="BI140" i="13" s="1"/>
  <c r="CU137" i="13"/>
  <c r="AM137" i="13"/>
  <c r="CA137" i="13"/>
  <c r="CH137" i="13"/>
  <c r="BI137" i="13" a="1"/>
  <c r="BI137" i="13" s="1"/>
  <c r="BK137" i="13"/>
  <c r="CQ137" i="13"/>
  <c r="BN137" i="13"/>
  <c r="A137" i="13"/>
  <c r="BJ136" i="13"/>
  <c r="BP136" i="13" s="1"/>
  <c r="BQ136" i="13" s="1"/>
  <c r="CU135" i="13"/>
  <c r="AM135" i="13"/>
  <c r="CA135" i="13"/>
  <c r="CH135" i="13"/>
  <c r="A135" i="13"/>
  <c r="BI133" i="13" a="1"/>
  <c r="BI133" i="13" s="1"/>
  <c r="CQ133" i="13"/>
  <c r="CU133" i="13"/>
  <c r="AM133" i="13"/>
  <c r="CA133" i="13"/>
  <c r="CH133" i="13"/>
  <c r="BJ122" i="13"/>
  <c r="BP122" i="13" s="1"/>
  <c r="BQ122" i="13" s="1"/>
  <c r="BR122" i="13" s="1" a="1"/>
  <c r="BR122" i="13" s="1"/>
  <c r="AM136" i="13"/>
  <c r="BR136" i="13" s="1" a="1"/>
  <c r="BR136" i="13" s="1"/>
  <c r="CA136" i="13"/>
  <c r="CB136" i="13" s="1"/>
  <c r="CC136" i="13" s="1"/>
  <c r="CH136" i="13"/>
  <c r="CN136" i="13" s="1"/>
  <c r="CO136" i="13" s="1"/>
  <c r="A136" i="13"/>
  <c r="BW136" i="13"/>
  <c r="BX136" i="13" s="1"/>
  <c r="BY136" i="13" s="1"/>
  <c r="BL129" i="13"/>
  <c r="BK129" i="13"/>
  <c r="BL127" i="13"/>
  <c r="BK127" i="13"/>
  <c r="BJ132" i="13"/>
  <c r="BP132" i="13" s="1"/>
  <c r="BQ132" i="13" s="1"/>
  <c r="BR132" i="13" s="1" a="1"/>
  <c r="BR132" i="13" s="1"/>
  <c r="BL131" i="13"/>
  <c r="BK131" i="13"/>
  <c r="AM129" i="13"/>
  <c r="CA129" i="13"/>
  <c r="CH129" i="13"/>
  <c r="BN129" i="13"/>
  <c r="BI129" i="13" a="1"/>
  <c r="BI129" i="13" s="1"/>
  <c r="CQ129" i="13"/>
  <c r="A129" i="13"/>
  <c r="BW129" i="13"/>
  <c r="BS129" i="13"/>
  <c r="CU129" i="13"/>
  <c r="CM129" i="13"/>
  <c r="AM127" i="13"/>
  <c r="CA127" i="13"/>
  <c r="CH127" i="13"/>
  <c r="BN127" i="13"/>
  <c r="BI127" i="13" a="1"/>
  <c r="BI127" i="13" s="1"/>
  <c r="CQ127" i="13"/>
  <c r="A127" i="13"/>
  <c r="BW127" i="13"/>
  <c r="BS127" i="13"/>
  <c r="CM127" i="13"/>
  <c r="CU127" i="13"/>
  <c r="BK125" i="13"/>
  <c r="AM131" i="13"/>
  <c r="CA131" i="13"/>
  <c r="CH131" i="13"/>
  <c r="BN131" i="13"/>
  <c r="BI131" i="13" a="1"/>
  <c r="BI131" i="13" s="1"/>
  <c r="CQ131" i="13"/>
  <c r="A131" i="13"/>
  <c r="BW131" i="13"/>
  <c r="BS131" i="13"/>
  <c r="BJ124" i="13"/>
  <c r="BT124" i="13"/>
  <c r="BU124" i="13" s="1"/>
  <c r="BV124" i="13" s="1" a="1"/>
  <c r="BV124" i="13" s="1"/>
  <c r="AM123" i="13"/>
  <c r="CA123" i="13"/>
  <c r="CH123" i="13"/>
  <c r="BN123" i="13"/>
  <c r="BI123" i="13" a="1"/>
  <c r="BI123" i="13" s="1"/>
  <c r="CQ123" i="13"/>
  <c r="A123" i="13"/>
  <c r="BW123" i="13"/>
  <c r="BS123" i="13"/>
  <c r="CR124" i="13"/>
  <c r="CS124" i="13" s="1"/>
  <c r="BL132" i="13"/>
  <c r="BL130" i="13"/>
  <c r="BP130" i="13" s="1"/>
  <c r="BQ130" i="13" s="1"/>
  <c r="BR130" i="13" s="1" a="1"/>
  <c r="BR130" i="13" s="1"/>
  <c r="BL128" i="13"/>
  <c r="BP128" i="13" s="1"/>
  <c r="BQ128" i="13" s="1"/>
  <c r="BR128" i="13" s="1" a="1"/>
  <c r="BR128" i="13" s="1"/>
  <c r="BL126" i="13"/>
  <c r="BP126" i="13" s="1"/>
  <c r="BQ126" i="13" s="1"/>
  <c r="BR126" i="13" s="1" a="1"/>
  <c r="BR126" i="13" s="1"/>
  <c r="BL124" i="13"/>
  <c r="BP124" i="13" s="1"/>
  <c r="BQ124" i="13" s="1"/>
  <c r="BR124" i="13" s="1" a="1"/>
  <c r="BR124" i="13" s="1"/>
  <c r="BL122" i="13"/>
  <c r="CH25" i="13"/>
  <c r="AM45" i="13"/>
  <c r="CA45" i="13"/>
  <c r="AM46" i="13"/>
  <c r="AM50" i="13"/>
  <c r="CA52" i="13"/>
  <c r="BI91" i="13" a="1"/>
  <c r="BI91" i="13" s="1"/>
  <c r="AM116" i="13"/>
  <c r="BS116" i="13"/>
  <c r="BN118" i="13"/>
  <c r="CA33" i="13"/>
  <c r="AM34" i="13"/>
  <c r="CU37" i="13"/>
  <c r="CH45" i="13"/>
  <c r="BI49" i="13" a="1"/>
  <c r="BI49" i="13" s="1"/>
  <c r="AM118" i="13"/>
  <c r="BS118" i="13"/>
  <c r="AM25" i="13"/>
  <c r="CQ45" i="13"/>
  <c r="BS91" i="13"/>
  <c r="CA118" i="13"/>
  <c r="CM30" i="13"/>
  <c r="A24" i="13"/>
  <c r="BM24" i="13" a="1"/>
  <c r="BM24" i="13" s="1"/>
  <c r="CQ33" i="13"/>
  <c r="AM49" i="13"/>
  <c r="AM86" i="13"/>
  <c r="BS86" i="13"/>
  <c r="CU90" i="13"/>
  <c r="BW91" i="13"/>
  <c r="BS99" i="13"/>
  <c r="CA110" i="13"/>
  <c r="BN112" i="13"/>
  <c r="BW113" i="13"/>
  <c r="AM114" i="13"/>
  <c r="CU22" i="13"/>
  <c r="A25" i="13"/>
  <c r="BI36" i="13" a="1"/>
  <c r="BI36" i="13" s="1"/>
  <c r="BI48" i="13" a="1"/>
  <c r="BI48" i="13" s="1"/>
  <c r="BJ48" i="13" s="1"/>
  <c r="BW53" i="13"/>
  <c r="A71" i="13"/>
  <c r="BN85" i="13"/>
  <c r="A91" i="13"/>
  <c r="CQ91" i="13"/>
  <c r="A22" i="13"/>
  <c r="CQ22" i="13"/>
  <c r="CA23" i="13"/>
  <c r="BI25" i="13" a="1"/>
  <c r="BI25" i="13" s="1"/>
  <c r="BI26" i="13" a="1"/>
  <c r="BI26" i="13" s="1"/>
  <c r="BJ26" i="13" s="1"/>
  <c r="CH30" i="13"/>
  <c r="CU32" i="13"/>
  <c r="CU34" i="13"/>
  <c r="CQ41" i="13"/>
  <c r="A43" i="13"/>
  <c r="CU43" i="13"/>
  <c r="BI46" i="13" a="1"/>
  <c r="BI46" i="13" s="1"/>
  <c r="BJ46" i="13" s="1"/>
  <c r="BI51" i="13" a="1"/>
  <c r="BI51" i="13" s="1"/>
  <c r="BW52" i="13"/>
  <c r="BW82" i="13"/>
  <c r="CH83" i="13"/>
  <c r="CU93" i="13"/>
  <c r="CM98" i="13"/>
  <c r="BK63" i="13"/>
  <c r="CA24" i="13"/>
  <c r="CQ25" i="13"/>
  <c r="CM26" i="13"/>
  <c r="BW36" i="13"/>
  <c r="CA39" i="13"/>
  <c r="BI41" i="13" a="1"/>
  <c r="BI41" i="13" s="1"/>
  <c r="BJ41" i="13" s="1"/>
  <c r="CU45" i="13"/>
  <c r="CA46" i="13"/>
  <c r="AM47" i="13"/>
  <c r="CH47" i="13"/>
  <c r="A49" i="13"/>
  <c r="BW49" i="13"/>
  <c r="CH50" i="13"/>
  <c r="A52" i="13"/>
  <c r="CU52" i="13"/>
  <c r="CU53" i="13"/>
  <c r="AM56" i="13"/>
  <c r="BS56" i="13"/>
  <c r="BS57" i="13"/>
  <c r="AM59" i="13"/>
  <c r="A60" i="13"/>
  <c r="BW60" i="13"/>
  <c r="BI77" i="13" a="1"/>
  <c r="BI77" i="13" s="1"/>
  <c r="CU81" i="13"/>
  <c r="CU85" i="13"/>
  <c r="BW86" i="13"/>
  <c r="BI87" i="13" a="1"/>
  <c r="BI87" i="13" s="1"/>
  <c r="BJ87" i="13" s="1"/>
  <c r="BN120" i="13"/>
  <c r="BI58" i="13" a="1"/>
  <c r="BI58" i="13" s="1"/>
  <c r="BJ58" i="13" s="1"/>
  <c r="CU28" i="13"/>
  <c r="BW39" i="13"/>
  <c r="BI22" i="13" a="1"/>
  <c r="BI22" i="13" s="1"/>
  <c r="BJ22" i="13" s="1"/>
  <c r="CU26" i="13"/>
  <c r="BI30" i="13" a="1"/>
  <c r="BI30" i="13" s="1"/>
  <c r="BJ30" i="13" s="1"/>
  <c r="BS32" i="13"/>
  <c r="BI33" i="13" a="1"/>
  <c r="BI33" i="13" s="1"/>
  <c r="BJ33" i="13" s="1"/>
  <c r="CU36" i="13"/>
  <c r="CH39" i="13"/>
  <c r="CH46" i="13"/>
  <c r="CQ47" i="13"/>
  <c r="CQ49" i="13"/>
  <c r="A53" i="13"/>
  <c r="CQ55" i="13"/>
  <c r="BW56" i="13"/>
  <c r="CQ57" i="13"/>
  <c r="AM58" i="13"/>
  <c r="BW58" i="13"/>
  <c r="BN63" i="13"/>
  <c r="CA74" i="13"/>
  <c r="A76" i="13"/>
  <c r="CA86" i="13"/>
  <c r="AM87" i="13"/>
  <c r="BK88" i="13"/>
  <c r="BI88" i="13" a="1"/>
  <c r="BI88" i="13" s="1"/>
  <c r="BJ88" i="13" s="1"/>
  <c r="BW89" i="13"/>
  <c r="BI98" i="13" a="1"/>
  <c r="BI98" i="13" s="1"/>
  <c r="BJ98" i="13" s="1"/>
  <c r="A115" i="13"/>
  <c r="CU115" i="13"/>
  <c r="BW116" i="13"/>
  <c r="BS120" i="13"/>
  <c r="BM22" i="13" a="1"/>
  <c r="BM22" i="13" s="1"/>
  <c r="BI29" i="13" a="1"/>
  <c r="BI29" i="13" s="1"/>
  <c r="AM30" i="13"/>
  <c r="BW32" i="13"/>
  <c r="CU39" i="13"/>
  <c r="CA40" i="13"/>
  <c r="AM41" i="13"/>
  <c r="BI44" i="13" a="1"/>
  <c r="BI44" i="13" s="1"/>
  <c r="BJ44" i="13" s="1"/>
  <c r="BI45" i="13" a="1"/>
  <c r="BI45" i="13" s="1"/>
  <c r="BJ45" i="13" s="1"/>
  <c r="CQ46" i="13"/>
  <c r="A56" i="13"/>
  <c r="A57" i="13"/>
  <c r="CU57" i="13"/>
  <c r="CQ58" i="13"/>
  <c r="AM63" i="13"/>
  <c r="CH74" i="13"/>
  <c r="CH86" i="13"/>
  <c r="BW87" i="13"/>
  <c r="AM88" i="13"/>
  <c r="BS94" i="13"/>
  <c r="BL98" i="13"/>
  <c r="CU102" i="13"/>
  <c r="A105" i="13"/>
  <c r="A116" i="13"/>
  <c r="CA116" i="13"/>
  <c r="CA120" i="13"/>
  <c r="AM22" i="13"/>
  <c r="BW22" i="13"/>
  <c r="AM24" i="13"/>
  <c r="A32" i="13"/>
  <c r="CH32" i="13"/>
  <c r="BS33" i="13"/>
  <c r="A39" i="13"/>
  <c r="A40" i="13"/>
  <c r="CQ40" i="13"/>
  <c r="BW41" i="13"/>
  <c r="BI42" i="13" a="1"/>
  <c r="BI42" i="13" s="1"/>
  <c r="AM43" i="13"/>
  <c r="BW43" i="13"/>
  <c r="A55" i="13"/>
  <c r="A58" i="13"/>
  <c r="CU86" i="13"/>
  <c r="CQ87" i="13"/>
  <c r="BS88" i="13"/>
  <c r="A95" i="13"/>
  <c r="BL99" i="13"/>
  <c r="CH116" i="13"/>
  <c r="CU120" i="13"/>
  <c r="BI121" i="13" a="1"/>
  <c r="BI121" i="13" s="1"/>
  <c r="CA22" i="13"/>
  <c r="AR24" i="13" a="1"/>
  <c r="AR24" i="13" s="1"/>
  <c r="CU27" i="13"/>
  <c r="CQ29" i="13"/>
  <c r="BW30" i="13"/>
  <c r="CM32" i="13"/>
  <c r="BW33" i="13"/>
  <c r="CA34" i="13"/>
  <c r="CU40" i="13"/>
  <c r="CH41" i="13"/>
  <c r="CH43" i="13"/>
  <c r="BI53" i="13" a="1"/>
  <c r="BI53" i="13" s="1"/>
  <c r="A63" i="13"/>
  <c r="AM83" i="13"/>
  <c r="BN83" i="13"/>
  <c r="A88" i="13"/>
  <c r="CU88" i="13"/>
  <c r="BI90" i="13" a="1"/>
  <c r="BI90" i="13" s="1"/>
  <c r="A120" i="13"/>
  <c r="A23" i="13"/>
  <c r="CQ23" i="13"/>
  <c r="BW25" i="13"/>
  <c r="A30" i="13"/>
  <c r="CQ30" i="13"/>
  <c r="CA31" i="13"/>
  <c r="CA32" i="13"/>
  <c r="CH33" i="13"/>
  <c r="CM34" i="13"/>
  <c r="BI35" i="13" a="1"/>
  <c r="BI35" i="13" s="1"/>
  <c r="BJ35" i="13" s="1"/>
  <c r="CU35" i="13"/>
  <c r="BW38" i="13"/>
  <c r="CQ39" i="13"/>
  <c r="AM40" i="13"/>
  <c r="BI40" i="13" a="1"/>
  <c r="BI40" i="13" s="1"/>
  <c r="BJ40" i="13" s="1"/>
  <c r="A41" i="13"/>
  <c r="A45" i="13"/>
  <c r="A46" i="13"/>
  <c r="CU46" i="13"/>
  <c r="BI47" i="13" a="1"/>
  <c r="BI47" i="13" s="1"/>
  <c r="BJ47" i="13" s="1"/>
  <c r="CU47" i="13"/>
  <c r="CA49" i="13"/>
  <c r="CU50" i="13"/>
  <c r="BW51" i="13"/>
  <c r="CQ52" i="13"/>
  <c r="AM53" i="13"/>
  <c r="CQ54" i="13"/>
  <c r="AM55" i="13"/>
  <c r="BI55" i="13" a="1"/>
  <c r="BI55" i="13" s="1"/>
  <c r="CQ56" i="13"/>
  <c r="AM57" i="13"/>
  <c r="BS58" i="13"/>
  <c r="CQ59" i="13"/>
  <c r="AM60" i="13"/>
  <c r="BK111" i="13"/>
  <c r="BN117" i="13"/>
  <c r="CU117" i="13"/>
  <c r="CH117" i="13"/>
  <c r="A117" i="13"/>
  <c r="CA117" i="13"/>
  <c r="BW117" i="13"/>
  <c r="AM117" i="13"/>
  <c r="CU23" i="13"/>
  <c r="BW24" i="13"/>
  <c r="CA25" i="13"/>
  <c r="BW26" i="13"/>
  <c r="BW27" i="13"/>
  <c r="BW28" i="13"/>
  <c r="CU30" i="13"/>
  <c r="AM31" i="13"/>
  <c r="CH31" i="13"/>
  <c r="BI34" i="13" a="1"/>
  <c r="BI34" i="13" s="1"/>
  <c r="BJ34" i="13" s="1"/>
  <c r="CQ34" i="13"/>
  <c r="AM35" i="13"/>
  <c r="A36" i="13"/>
  <c r="CA38" i="13"/>
  <c r="BW42" i="13"/>
  <c r="A47" i="13"/>
  <c r="A48" i="13"/>
  <c r="CH49" i="13"/>
  <c r="A51" i="13"/>
  <c r="CA51" i="13"/>
  <c r="CU54" i="13"/>
  <c r="CU56" i="13"/>
  <c r="BI57" i="13" a="1"/>
  <c r="BI57" i="13" s="1"/>
  <c r="CU59" i="13"/>
  <c r="BI23" i="13" a="1"/>
  <c r="BI23" i="13" s="1"/>
  <c r="BJ23" i="13" s="1"/>
  <c r="CA27" i="13"/>
  <c r="CA28" i="13"/>
  <c r="BW29" i="13"/>
  <c r="A31" i="13"/>
  <c r="BI31" i="13" a="1"/>
  <c r="BI31" i="13" s="1"/>
  <c r="BJ31" i="13" s="1"/>
  <c r="CM31" i="13"/>
  <c r="BW37" i="13"/>
  <c r="CH38" i="13"/>
  <c r="CA42" i="13"/>
  <c r="CM92" i="13"/>
  <c r="CU92" i="13"/>
  <c r="A92" i="13"/>
  <c r="CQ92" i="13"/>
  <c r="CH92" i="13"/>
  <c r="AM92" i="13"/>
  <c r="CA92" i="13"/>
  <c r="BI92" i="13" a="1"/>
  <c r="BI92" i="13" s="1"/>
  <c r="BJ92" i="13" s="1"/>
  <c r="BW92" i="13"/>
  <c r="BN92" i="13"/>
  <c r="CH96" i="13"/>
  <c r="CQ96" i="13"/>
  <c r="BW96" i="13"/>
  <c r="A96" i="13"/>
  <c r="BS96" i="13"/>
  <c r="BN96" i="13"/>
  <c r="CU96" i="13"/>
  <c r="BI96" i="13" a="1"/>
  <c r="BI96" i="13" s="1"/>
  <c r="BJ96" i="13" s="1"/>
  <c r="CM104" i="13"/>
  <c r="BS104" i="13"/>
  <c r="BI104" i="13" a="1"/>
  <c r="BI104" i="13" s="1"/>
  <c r="CH24" i="13"/>
  <c r="CM25" i="13"/>
  <c r="CH26" i="13"/>
  <c r="CH27" i="13"/>
  <c r="CH28" i="13"/>
  <c r="CA29" i="13"/>
  <c r="BS30" i="13"/>
  <c r="CQ31" i="13"/>
  <c r="AM32" i="13"/>
  <c r="BI32" i="13" a="1"/>
  <c r="BI32" i="13" s="1"/>
  <c r="BJ32" i="13" s="1"/>
  <c r="CQ32" i="13"/>
  <c r="CU33" i="13"/>
  <c r="A35" i="13"/>
  <c r="BS35" i="13"/>
  <c r="CA36" i="13"/>
  <c r="CA37" i="13"/>
  <c r="CQ38" i="13"/>
  <c r="AM39" i="13"/>
  <c r="BI39" i="13" a="1"/>
  <c r="BI39" i="13" s="1"/>
  <c r="BJ39" i="13" s="1"/>
  <c r="BW40" i="13"/>
  <c r="CA41" i="13"/>
  <c r="CH42" i="13"/>
  <c r="CA43" i="13"/>
  <c r="BW44" i="13"/>
  <c r="BW45" i="13"/>
  <c r="BW48" i="13"/>
  <c r="CU49" i="13"/>
  <c r="CQ51" i="13"/>
  <c r="AM52" i="13"/>
  <c r="BI52" i="13" a="1"/>
  <c r="BI52" i="13" s="1"/>
  <c r="BJ52" i="13" s="1"/>
  <c r="CA53" i="13"/>
  <c r="BW55" i="13"/>
  <c r="BI56" i="13" a="1"/>
  <c r="BI56" i="13" s="1"/>
  <c r="BJ56" i="13" s="1"/>
  <c r="CU58" i="13"/>
  <c r="BS108" i="13"/>
  <c r="CU108" i="13"/>
  <c r="CH108" i="13"/>
  <c r="A108" i="13"/>
  <c r="CA108" i="13"/>
  <c r="BW108" i="13"/>
  <c r="AM108" i="13"/>
  <c r="BN108" i="13"/>
  <c r="BM23" i="13" a="1"/>
  <c r="BM23" i="13" s="1"/>
  <c r="CQ24" i="13"/>
  <c r="CM27" i="13"/>
  <c r="CM28" i="13"/>
  <c r="CH29" i="13"/>
  <c r="CU31" i="13"/>
  <c r="A34" i="13"/>
  <c r="BS34" i="13"/>
  <c r="BW35" i="13"/>
  <c r="CH36" i="13"/>
  <c r="CH37" i="13"/>
  <c r="CU38" i="13"/>
  <c r="CQ42" i="13"/>
  <c r="CA44" i="13"/>
  <c r="BW47" i="13"/>
  <c r="CA48" i="13"/>
  <c r="A50" i="13"/>
  <c r="BW50" i="13"/>
  <c r="CU51" i="13"/>
  <c r="A59" i="13"/>
  <c r="BI59" i="13" a="1"/>
  <c r="BI59" i="13" s="1"/>
  <c r="BJ59" i="13" s="1"/>
  <c r="CV59" i="13" s="1"/>
  <c r="CW59" i="13" s="1"/>
  <c r="CY59" i="13" s="1" a="1"/>
  <c r="CY59" i="13" s="1"/>
  <c r="CH22" i="13"/>
  <c r="AM23" i="13"/>
  <c r="BW23" i="13"/>
  <c r="BI24" i="13" a="1"/>
  <c r="BI24" i="13" s="1"/>
  <c r="BJ24" i="13" s="1"/>
  <c r="CU24" i="13"/>
  <c r="CU25" i="13"/>
  <c r="CQ26" i="13"/>
  <c r="AM27" i="13"/>
  <c r="BI27" i="13" a="1"/>
  <c r="BI27" i="13" s="1"/>
  <c r="CQ27" i="13"/>
  <c r="AM28" i="13"/>
  <c r="BI28" i="13" a="1"/>
  <c r="BI28" i="13" s="1"/>
  <c r="BJ28" i="13" s="1"/>
  <c r="CQ28" i="13"/>
  <c r="AM29" i="13"/>
  <c r="CM29" i="13"/>
  <c r="CA30" i="13"/>
  <c r="BW34" i="13"/>
  <c r="CA35" i="13"/>
  <c r="CQ36" i="13"/>
  <c r="AM37" i="13"/>
  <c r="CQ37" i="13"/>
  <c r="AM38" i="13"/>
  <c r="BI38" i="13" a="1"/>
  <c r="BI38" i="13" s="1"/>
  <c r="CH40" i="13"/>
  <c r="AM42" i="13"/>
  <c r="CU42" i="13"/>
  <c r="BI43" i="13" a="1"/>
  <c r="BI43" i="13" s="1"/>
  <c r="BJ43" i="13" s="1"/>
  <c r="CQ43" i="13"/>
  <c r="AM44" i="13"/>
  <c r="CH44" i="13"/>
  <c r="CA47" i="13"/>
  <c r="CH48" i="13"/>
  <c r="CA50" i="13"/>
  <c r="CQ53" i="13"/>
  <c r="AM54" i="13"/>
  <c r="BI54" i="13" a="1"/>
  <c r="BI54" i="13" s="1"/>
  <c r="BJ54" i="13" s="1"/>
  <c r="CU55" i="13"/>
  <c r="BW57" i="13"/>
  <c r="BS92" i="13"/>
  <c r="BS31" i="13"/>
  <c r="CH35" i="13"/>
  <c r="CH23" i="13"/>
  <c r="A27" i="13"/>
  <c r="A28" i="13"/>
  <c r="A29" i="13"/>
  <c r="CU29" i="13"/>
  <c r="BW31" i="13"/>
  <c r="CH34" i="13"/>
  <c r="CQ35" i="13"/>
  <c r="A37" i="13"/>
  <c r="A38" i="13"/>
  <c r="A42" i="13"/>
  <c r="A44" i="13"/>
  <c r="CU44" i="13"/>
  <c r="CQ50" i="13"/>
  <c r="A54" i="13"/>
  <c r="BW54" i="13"/>
  <c r="BW59" i="13"/>
  <c r="CU62" i="13"/>
  <c r="CA62" i="13"/>
  <c r="A62" i="13"/>
  <c r="A72" i="13"/>
  <c r="CU74" i="13"/>
  <c r="CA78" i="13"/>
  <c r="A80" i="13"/>
  <c r="A81" i="13"/>
  <c r="CA83" i="13"/>
  <c r="CA85" i="13"/>
  <c r="CU87" i="13"/>
  <c r="A89" i="13"/>
  <c r="BS89" i="13"/>
  <c r="CQ90" i="13"/>
  <c r="CH93" i="13"/>
  <c r="BI94" i="13" a="1"/>
  <c r="BI94" i="13" s="1"/>
  <c r="CQ98" i="13"/>
  <c r="CQ102" i="13"/>
  <c r="CA106" i="13"/>
  <c r="BW110" i="13"/>
  <c r="CU112" i="13"/>
  <c r="CA113" i="13"/>
  <c r="CH115" i="13"/>
  <c r="A118" i="13"/>
  <c r="BW118" i="13"/>
  <c r="BW120" i="13"/>
  <c r="CH63" i="13"/>
  <c r="AM65" i="13"/>
  <c r="BN72" i="13"/>
  <c r="CA76" i="13"/>
  <c r="AM78" i="13"/>
  <c r="CU83" i="13"/>
  <c r="CQ89" i="13"/>
  <c r="AM90" i="13"/>
  <c r="CQ93" i="13"/>
  <c r="BN94" i="13"/>
  <c r="CU106" i="13"/>
  <c r="CH110" i="13"/>
  <c r="CU113" i="13"/>
  <c r="BN114" i="13"/>
  <c r="CH118" i="13"/>
  <c r="AM119" i="13"/>
  <c r="CH120" i="13"/>
  <c r="AM121" i="13"/>
  <c r="CQ64" i="13"/>
  <c r="BN67" i="13"/>
  <c r="CA72" i="13"/>
  <c r="CU89" i="13"/>
  <c r="BK92" i="13"/>
  <c r="BI102" i="13" a="1"/>
  <c r="BI102" i="13" s="1"/>
  <c r="BJ102" i="13" s="1"/>
  <c r="BI110" i="13" a="1"/>
  <c r="BI110" i="13" s="1"/>
  <c r="CU110" i="13"/>
  <c r="BW111" i="13"/>
  <c r="CU118" i="13"/>
  <c r="BW119" i="13"/>
  <c r="A64" i="13"/>
  <c r="A65" i="13"/>
  <c r="CA65" i="13"/>
  <c r="A67" i="13"/>
  <c r="CU67" i="13"/>
  <c r="CH72" i="13"/>
  <c r="A78" i="13"/>
  <c r="BW88" i="13"/>
  <c r="BI89" i="13" a="1"/>
  <c r="BI89" i="13" s="1"/>
  <c r="BJ89" i="13" s="1"/>
  <c r="A90" i="13"/>
  <c r="BS90" i="13"/>
  <c r="BI93" i="13" a="1"/>
  <c r="BI93" i="13" s="1"/>
  <c r="A94" i="13"/>
  <c r="BW94" i="13"/>
  <c r="BS95" i="13"/>
  <c r="BK102" i="13"/>
  <c r="A111" i="13"/>
  <c r="A119" i="13"/>
  <c r="CA119" i="13"/>
  <c r="A121" i="13"/>
  <c r="BW121" i="13"/>
  <c r="CH65" i="13"/>
  <c r="BN70" i="13"/>
  <c r="BK72" i="13"/>
  <c r="BN74" i="13"/>
  <c r="BK82" i="13"/>
  <c r="A87" i="13"/>
  <c r="CA88" i="13"/>
  <c r="BW90" i="13"/>
  <c r="CU91" i="13"/>
  <c r="BL92" i="13"/>
  <c r="CQ94" i="13"/>
  <c r="A98" i="13"/>
  <c r="CQ99" i="13"/>
  <c r="BW105" i="13"/>
  <c r="AM106" i="13"/>
  <c r="AM110" i="13"/>
  <c r="A112" i="13"/>
  <c r="BW112" i="13"/>
  <c r="CH114" i="13"/>
  <c r="AM115" i="13"/>
  <c r="CU116" i="13"/>
  <c r="CH119" i="13"/>
  <c r="AM120" i="13"/>
  <c r="AM85" i="13"/>
  <c r="CH88" i="13"/>
  <c r="CA90" i="13"/>
  <c r="BS93" i="13"/>
  <c r="CU94" i="13"/>
  <c r="BN102" i="13"/>
  <c r="BN106" i="13"/>
  <c r="A110" i="13"/>
  <c r="CU114" i="13"/>
  <c r="CU119" i="13"/>
  <c r="BN78" i="13"/>
  <c r="CH90" i="13"/>
  <c r="BN110" i="13"/>
  <c r="AR23" i="13" a="1"/>
  <c r="AR23" i="13" s="1"/>
  <c r="BJ36" i="13"/>
  <c r="BJ38" i="13"/>
  <c r="BL23" i="13"/>
  <c r="BK23" i="13"/>
  <c r="AS23" i="13" a="1"/>
  <c r="AS23" i="13" s="1"/>
  <c r="BJ25" i="13"/>
  <c r="BL29" i="13"/>
  <c r="BK29" i="13"/>
  <c r="BJ60" i="13"/>
  <c r="BJ27" i="13"/>
  <c r="BL31" i="13"/>
  <c r="BK31" i="13"/>
  <c r="BL59" i="13"/>
  <c r="BK59" i="13"/>
  <c r="AS24" i="13" a="1"/>
  <c r="AS24" i="13" s="1"/>
  <c r="BL25" i="13"/>
  <c r="BK25" i="13"/>
  <c r="BJ29" i="13"/>
  <c r="BL32" i="13"/>
  <c r="BK32" i="13"/>
  <c r="BJ50" i="13"/>
  <c r="BL30" i="13"/>
  <c r="BK30" i="13"/>
  <c r="BL24" i="13"/>
  <c r="BK24" i="13"/>
  <c r="BL26" i="13"/>
  <c r="BK26" i="13"/>
  <c r="BL33" i="13"/>
  <c r="BK33" i="13"/>
  <c r="BL34" i="13"/>
  <c r="BK34" i="13"/>
  <c r="BL35" i="13"/>
  <c r="BK35" i="13"/>
  <c r="BL27" i="13"/>
  <c r="BK27" i="13"/>
  <c r="BL44" i="13"/>
  <c r="CB44" i="13" s="1"/>
  <c r="CC44" i="13" s="1"/>
  <c r="BK44" i="13"/>
  <c r="BJ42" i="13"/>
  <c r="BL22" i="13"/>
  <c r="BK22" i="13"/>
  <c r="BL28" i="13"/>
  <c r="BK28" i="13"/>
  <c r="BL38" i="13"/>
  <c r="BK38" i="13"/>
  <c r="BL42" i="13"/>
  <c r="BK42" i="13"/>
  <c r="BX42" i="13" s="1"/>
  <c r="BY42" i="13" s="1"/>
  <c r="BL45" i="13"/>
  <c r="BK45" i="13"/>
  <c r="BL39" i="13"/>
  <c r="BK39" i="13"/>
  <c r="BL41" i="13"/>
  <c r="BK41" i="13"/>
  <c r="BL43" i="13"/>
  <c r="BK43" i="13"/>
  <c r="BJ49" i="13"/>
  <c r="BL57" i="13"/>
  <c r="BK57" i="13"/>
  <c r="CM22" i="13"/>
  <c r="CM23" i="13"/>
  <c r="CM24" i="13"/>
  <c r="BL46" i="13"/>
  <c r="BK46" i="13"/>
  <c r="BS22" i="13"/>
  <c r="BS23" i="13"/>
  <c r="BS24" i="13"/>
  <c r="BS25" i="13"/>
  <c r="BS26" i="13"/>
  <c r="BS27" i="13"/>
  <c r="BS28" i="13"/>
  <c r="BS29" i="13"/>
  <c r="BL37" i="13"/>
  <c r="BK37" i="13"/>
  <c r="BL47" i="13"/>
  <c r="BK47" i="13"/>
  <c r="BL48" i="13"/>
  <c r="BK48" i="13"/>
  <c r="BL51" i="13"/>
  <c r="BK51" i="13"/>
  <c r="BL52" i="13"/>
  <c r="BK52" i="13"/>
  <c r="BL36" i="13"/>
  <c r="BK36" i="13"/>
  <c r="BL40" i="13"/>
  <c r="BK40" i="13"/>
  <c r="BL49" i="13"/>
  <c r="BK49" i="13"/>
  <c r="BJ51" i="13"/>
  <c r="BL53" i="13"/>
  <c r="BK53" i="13"/>
  <c r="BL55" i="13"/>
  <c r="BK55" i="13"/>
  <c r="BN35" i="13"/>
  <c r="BL50" i="13"/>
  <c r="BK50" i="13"/>
  <c r="BJ77" i="13"/>
  <c r="CM36" i="13"/>
  <c r="CM37" i="13"/>
  <c r="CM38" i="13"/>
  <c r="CM39" i="13"/>
  <c r="CM40" i="13"/>
  <c r="CM41" i="13"/>
  <c r="CM42" i="13"/>
  <c r="CM43" i="13"/>
  <c r="CM44" i="13"/>
  <c r="CM45" i="13"/>
  <c r="CM46" i="13"/>
  <c r="CM47" i="13"/>
  <c r="CM48" i="13"/>
  <c r="CU48" i="13"/>
  <c r="BL54" i="13"/>
  <c r="BK54" i="13"/>
  <c r="CA61" i="13"/>
  <c r="BS36" i="13"/>
  <c r="BS37" i="13"/>
  <c r="BS38" i="13"/>
  <c r="BS39" i="13"/>
  <c r="BS40" i="13"/>
  <c r="BS41" i="13"/>
  <c r="BS42" i="13"/>
  <c r="BS43" i="13"/>
  <c r="BS44" i="13"/>
  <c r="BS45" i="13"/>
  <c r="BS46" i="13"/>
  <c r="BS47" i="13"/>
  <c r="BS48" i="13"/>
  <c r="BJ57" i="13"/>
  <c r="BJ53" i="13"/>
  <c r="BJ55" i="13"/>
  <c r="BL56" i="13"/>
  <c r="BK56" i="13"/>
  <c r="BL58" i="13"/>
  <c r="BK58" i="13"/>
  <c r="BS68" i="13"/>
  <c r="CM68" i="13"/>
  <c r="AM68" i="13"/>
  <c r="BW68" i="13"/>
  <c r="CQ68" i="13"/>
  <c r="BI68" i="13" a="1"/>
  <c r="BI68" i="13" s="1"/>
  <c r="CU68" i="13"/>
  <c r="CA68" i="13"/>
  <c r="BN68" i="13"/>
  <c r="A68" i="13"/>
  <c r="BS75" i="13"/>
  <c r="CM75" i="13"/>
  <c r="AM75" i="13"/>
  <c r="BW75" i="13"/>
  <c r="CQ75" i="13"/>
  <c r="BI75" i="13" a="1"/>
  <c r="BI75" i="13" s="1"/>
  <c r="A75" i="13"/>
  <c r="BN75" i="13"/>
  <c r="CU75" i="13"/>
  <c r="CH75" i="13"/>
  <c r="BL60" i="13"/>
  <c r="BK60" i="13"/>
  <c r="CQ61" i="13"/>
  <c r="BI61" i="13" a="1"/>
  <c r="BI61" i="13" s="1"/>
  <c r="BS61" i="13"/>
  <c r="BN61" i="13"/>
  <c r="BW61" i="13"/>
  <c r="AM61" i="13"/>
  <c r="CM61" i="13"/>
  <c r="CU61" i="13"/>
  <c r="CH61" i="13"/>
  <c r="CQ62" i="13"/>
  <c r="BI62" i="13" a="1"/>
  <c r="BI62" i="13" s="1"/>
  <c r="BS62" i="13"/>
  <c r="CH62" i="13"/>
  <c r="BN62" i="13"/>
  <c r="BW62" i="13"/>
  <c r="AM62" i="13"/>
  <c r="CM62" i="13"/>
  <c r="BS69" i="13"/>
  <c r="CM69" i="13"/>
  <c r="AM69" i="13"/>
  <c r="BW69" i="13"/>
  <c r="CQ69" i="13"/>
  <c r="BI69" i="13" a="1"/>
  <c r="BI69" i="13" s="1"/>
  <c r="CH69" i="13"/>
  <c r="BN69" i="13"/>
  <c r="A69" i="13"/>
  <c r="CU69" i="13"/>
  <c r="CA69" i="13"/>
  <c r="BN48" i="13"/>
  <c r="BN49" i="13"/>
  <c r="BN50" i="13"/>
  <c r="BN51" i="13"/>
  <c r="BN52" i="13"/>
  <c r="BN53" i="13"/>
  <c r="BN54" i="13"/>
  <c r="BN55" i="13"/>
  <c r="BN56" i="13"/>
  <c r="BN57" i="13"/>
  <c r="BN58" i="13"/>
  <c r="BN59" i="13"/>
  <c r="BN60" i="13"/>
  <c r="CM63" i="13"/>
  <c r="BI63" i="13" a="1"/>
  <c r="BI63" i="13" s="1"/>
  <c r="BS63" i="13"/>
  <c r="CA63" i="13"/>
  <c r="CU63" i="13"/>
  <c r="AM64" i="13"/>
  <c r="CA64" i="13"/>
  <c r="BS79" i="13"/>
  <c r="CM79" i="13"/>
  <c r="AM79" i="13"/>
  <c r="BW79" i="13"/>
  <c r="CQ79" i="13"/>
  <c r="BI79" i="13" a="1"/>
  <c r="BI79" i="13" s="1"/>
  <c r="CU79" i="13"/>
  <c r="CA79" i="13"/>
  <c r="BN79" i="13"/>
  <c r="A79" i="13"/>
  <c r="BK62" i="13"/>
  <c r="BI64" i="13" a="1"/>
  <c r="BI64" i="13" s="1"/>
  <c r="BS66" i="13"/>
  <c r="CM66" i="13"/>
  <c r="BW66" i="13"/>
  <c r="CQ66" i="13"/>
  <c r="BI66" i="13" a="1"/>
  <c r="BI66" i="13" s="1"/>
  <c r="CU66" i="13"/>
  <c r="CA66" i="13"/>
  <c r="A66" i="13"/>
  <c r="BS70" i="13"/>
  <c r="CM70" i="13"/>
  <c r="AM70" i="13"/>
  <c r="BW70" i="13"/>
  <c r="CQ70" i="13"/>
  <c r="BI70" i="13" a="1"/>
  <c r="BI70" i="13" s="1"/>
  <c r="CU70" i="13"/>
  <c r="CA70" i="13"/>
  <c r="A70" i="13"/>
  <c r="BS71" i="13"/>
  <c r="CM71" i="13"/>
  <c r="AM71" i="13"/>
  <c r="BW71" i="13"/>
  <c r="CQ71" i="13"/>
  <c r="BI71" i="13" a="1"/>
  <c r="BI71" i="13" s="1"/>
  <c r="CH71" i="13"/>
  <c r="BN71" i="13"/>
  <c r="CM49" i="13"/>
  <c r="CM50" i="13"/>
  <c r="CM51" i="13"/>
  <c r="CM52" i="13"/>
  <c r="CM53" i="13"/>
  <c r="CM54" i="13"/>
  <c r="CM55" i="13"/>
  <c r="CM56" i="13"/>
  <c r="CM57" i="13"/>
  <c r="CN57" i="13" s="1"/>
  <c r="CO57" i="13" s="1"/>
  <c r="CM58" i="13"/>
  <c r="CM59" i="13"/>
  <c r="CM60" i="13"/>
  <c r="CU60" i="13"/>
  <c r="BK61" i="13"/>
  <c r="BW63" i="13"/>
  <c r="CH66" i="13"/>
  <c r="CA71" i="13"/>
  <c r="BS54" i="13"/>
  <c r="BS55" i="13"/>
  <c r="BS59" i="13"/>
  <c r="BS60" i="13"/>
  <c r="BS64" i="13"/>
  <c r="CM64" i="13"/>
  <c r="BW64" i="13"/>
  <c r="BN64" i="13"/>
  <c r="CU64" i="13"/>
  <c r="BK71" i="13"/>
  <c r="BS73" i="13"/>
  <c r="CM73" i="13"/>
  <c r="AM73" i="13"/>
  <c r="BW73" i="13"/>
  <c r="CQ73" i="13"/>
  <c r="BI73" i="13" a="1"/>
  <c r="BI73" i="13" s="1"/>
  <c r="CU73" i="13"/>
  <c r="CA73" i="13"/>
  <c r="CH73" i="13"/>
  <c r="BN73" i="13"/>
  <c r="BJ93" i="13"/>
  <c r="BS67" i="13"/>
  <c r="CM67" i="13"/>
  <c r="AM67" i="13"/>
  <c r="BW67" i="13"/>
  <c r="CQ67" i="13"/>
  <c r="BI67" i="13" a="1"/>
  <c r="BI67" i="13" s="1"/>
  <c r="CA54" i="13"/>
  <c r="CA55" i="13"/>
  <c r="CA56" i="13"/>
  <c r="CA57" i="13"/>
  <c r="CA58" i="13"/>
  <c r="CA59" i="13"/>
  <c r="CA60" i="13"/>
  <c r="CH60" i="13"/>
  <c r="BK64" i="13"/>
  <c r="BN66" i="13"/>
  <c r="CH67" i="13"/>
  <c r="BK73" i="13"/>
  <c r="BK74" i="13"/>
  <c r="BS76" i="13"/>
  <c r="CM76" i="13"/>
  <c r="BK76" i="13"/>
  <c r="AM76" i="13"/>
  <c r="BW76" i="13"/>
  <c r="CQ76" i="13"/>
  <c r="BI76" i="13" a="1"/>
  <c r="BI76" i="13" s="1"/>
  <c r="BN76" i="13"/>
  <c r="CH76" i="13"/>
  <c r="A77" i="13"/>
  <c r="BW77" i="13"/>
  <c r="CQ84" i="13"/>
  <c r="BI84" i="13" a="1"/>
  <c r="BI84" i="13" s="1"/>
  <c r="BN84" i="13"/>
  <c r="CH84" i="13"/>
  <c r="CA84" i="13"/>
  <c r="AM84" i="13"/>
  <c r="CU84" i="13"/>
  <c r="BS84" i="13"/>
  <c r="BW84" i="13"/>
  <c r="A84" i="13"/>
  <c r="CM84" i="13"/>
  <c r="BK84" i="13"/>
  <c r="BS72" i="13"/>
  <c r="CM72" i="13"/>
  <c r="AM72" i="13"/>
  <c r="BW72" i="13"/>
  <c r="CQ72" i="13"/>
  <c r="BI72" i="13" a="1"/>
  <c r="BI72" i="13" s="1"/>
  <c r="BK75" i="13"/>
  <c r="BL78" i="13"/>
  <c r="BK78" i="13"/>
  <c r="BS65" i="13"/>
  <c r="CM65" i="13"/>
  <c r="BW65" i="13"/>
  <c r="CQ65" i="13"/>
  <c r="BI65" i="13" a="1"/>
  <c r="BI65" i="13" s="1"/>
  <c r="BN65" i="13"/>
  <c r="BS74" i="13"/>
  <c r="CM74" i="13"/>
  <c r="AM74" i="13"/>
  <c r="BW74" i="13"/>
  <c r="CQ74" i="13"/>
  <c r="BI74" i="13" a="1"/>
  <c r="BI74" i="13" s="1"/>
  <c r="CM77" i="13"/>
  <c r="BN77" i="13"/>
  <c r="AM77" i="13"/>
  <c r="CQ77" i="13"/>
  <c r="CA77" i="13"/>
  <c r="CH77" i="13"/>
  <c r="BS77" i="13"/>
  <c r="BK90" i="13"/>
  <c r="BL90" i="13"/>
  <c r="CA80" i="13"/>
  <c r="CQ82" i="13"/>
  <c r="BI82" i="13" a="1"/>
  <c r="BI82" i="13" s="1"/>
  <c r="BN82" i="13"/>
  <c r="CH82" i="13"/>
  <c r="CA82" i="13"/>
  <c r="AM82" i="13"/>
  <c r="CU82" i="13"/>
  <c r="BS82" i="13"/>
  <c r="BL87" i="13"/>
  <c r="BK87" i="13"/>
  <c r="BK77" i="13"/>
  <c r="BL77" i="13"/>
  <c r="BS81" i="13"/>
  <c r="CM81" i="13"/>
  <c r="AM81" i="13"/>
  <c r="BW81" i="13"/>
  <c r="CQ81" i="13"/>
  <c r="BI81" i="13" a="1"/>
  <c r="BI81" i="13" s="1"/>
  <c r="BN81" i="13"/>
  <c r="CH81" i="13"/>
  <c r="A82" i="13"/>
  <c r="CH103" i="13"/>
  <c r="CA103" i="13"/>
  <c r="AM103" i="13"/>
  <c r="CU103" i="13"/>
  <c r="CQ103" i="13"/>
  <c r="BK103" i="13"/>
  <c r="BS103" i="13"/>
  <c r="BI103" i="13" a="1"/>
  <c r="BI103" i="13" s="1"/>
  <c r="CM103" i="13"/>
  <c r="BW103" i="13"/>
  <c r="BN103" i="13"/>
  <c r="A103" i="13"/>
  <c r="BK65" i="13"/>
  <c r="BK66" i="13"/>
  <c r="BK67" i="13"/>
  <c r="BK68" i="13"/>
  <c r="BK69" i="13"/>
  <c r="BK70" i="13"/>
  <c r="BS78" i="13"/>
  <c r="CM78" i="13"/>
  <c r="CQ78" i="13"/>
  <c r="BI78" i="13" a="1"/>
  <c r="BI78" i="13" s="1"/>
  <c r="CH78" i="13"/>
  <c r="BS80" i="13"/>
  <c r="CM80" i="13"/>
  <c r="AM80" i="13"/>
  <c r="BW80" i="13"/>
  <c r="CQ80" i="13"/>
  <c r="BI80" i="13" a="1"/>
  <c r="BI80" i="13" s="1"/>
  <c r="BN80" i="13"/>
  <c r="CH80" i="13"/>
  <c r="BW78" i="13"/>
  <c r="BK94" i="13"/>
  <c r="BL94" i="13"/>
  <c r="BJ94" i="13"/>
  <c r="BL100" i="13"/>
  <c r="BK100" i="13"/>
  <c r="BI83" i="13" a="1"/>
  <c r="BI83" i="13" s="1"/>
  <c r="CQ83" i="13"/>
  <c r="BI85" i="13" a="1"/>
  <c r="BI85" i="13" s="1"/>
  <c r="BL88" i="13"/>
  <c r="BW83" i="13"/>
  <c r="A85" i="13"/>
  <c r="BW85" i="13"/>
  <c r="CH101" i="13"/>
  <c r="CA101" i="13"/>
  <c r="AM101" i="13"/>
  <c r="CU101" i="13"/>
  <c r="BW101" i="13"/>
  <c r="CQ101" i="13"/>
  <c r="BK101" i="13"/>
  <c r="BS101" i="13"/>
  <c r="BI101" i="13" a="1"/>
  <c r="BI101" i="13" s="1"/>
  <c r="BN101" i="13"/>
  <c r="BW97" i="13"/>
  <c r="A97" i="13"/>
  <c r="CQ97" i="13"/>
  <c r="BI97" i="13" a="1"/>
  <c r="BI97" i="13" s="1"/>
  <c r="BN97" i="13"/>
  <c r="CH97" i="13"/>
  <c r="CA97" i="13"/>
  <c r="AM97" i="13"/>
  <c r="CM97" i="13"/>
  <c r="BS97" i="13"/>
  <c r="CU97" i="13"/>
  <c r="A101" i="13"/>
  <c r="BK79" i="13"/>
  <c r="BK80" i="13"/>
  <c r="BK81" i="13"/>
  <c r="BK83" i="13"/>
  <c r="CM83" i="13"/>
  <c r="BK85" i="13"/>
  <c r="CH85" i="13"/>
  <c r="CQ85" i="13"/>
  <c r="BJ91" i="13"/>
  <c r="BS85" i="13"/>
  <c r="BL86" i="13"/>
  <c r="BK97" i="13"/>
  <c r="BN86" i="13"/>
  <c r="CM87" i="13"/>
  <c r="BN88" i="13"/>
  <c r="BK89" i="13"/>
  <c r="CM89" i="13"/>
  <c r="BN90" i="13"/>
  <c r="BK91" i="13"/>
  <c r="CM91" i="13"/>
  <c r="BK93" i="13"/>
  <c r="BW95" i="13"/>
  <c r="CQ95" i="13"/>
  <c r="BI95" i="13" a="1"/>
  <c r="BI95" i="13" s="1"/>
  <c r="BN95" i="13"/>
  <c r="CH95" i="13"/>
  <c r="CA95" i="13"/>
  <c r="AM95" i="13"/>
  <c r="BI86" i="13" a="1"/>
  <c r="BI86" i="13" s="1"/>
  <c r="CQ86" i="13"/>
  <c r="BS87" i="13"/>
  <c r="CQ88" i="13"/>
  <c r="BL110" i="13"/>
  <c r="BK110" i="13"/>
  <c r="BK95" i="13"/>
  <c r="BL104" i="13"/>
  <c r="BK104" i="13"/>
  <c r="BJ104" i="13"/>
  <c r="BL105" i="13"/>
  <c r="BK105" i="13"/>
  <c r="CA87" i="13"/>
  <c r="CH87" i="13"/>
  <c r="AM89" i="13"/>
  <c r="CA89" i="13"/>
  <c r="CH89" i="13"/>
  <c r="BJ90" i="13"/>
  <c r="AM91" i="13"/>
  <c r="CA91" i="13"/>
  <c r="CH91" i="13"/>
  <c r="AM93" i="13"/>
  <c r="CA93" i="13"/>
  <c r="CU95" i="13"/>
  <c r="CH100" i="13"/>
  <c r="CA100" i="13"/>
  <c r="AM100" i="13"/>
  <c r="BN100" i="13"/>
  <c r="BW100" i="13"/>
  <c r="BL106" i="13"/>
  <c r="BK106" i="13"/>
  <c r="CQ109" i="13"/>
  <c r="BI109" i="13" a="1"/>
  <c r="BI109" i="13" s="1"/>
  <c r="BN109" i="13"/>
  <c r="CH109" i="13"/>
  <c r="CA109" i="13"/>
  <c r="AM109" i="13"/>
  <c r="BS109" i="13"/>
  <c r="CM109" i="13"/>
  <c r="BK109" i="13"/>
  <c r="BW109" i="13"/>
  <c r="CU109" i="13"/>
  <c r="BI100" i="13" a="1"/>
  <c r="BI100" i="13" s="1"/>
  <c r="CM94" i="13"/>
  <c r="BK96" i="13"/>
  <c r="CM96" i="13"/>
  <c r="CH98" i="13"/>
  <c r="CA98" i="13"/>
  <c r="BS98" i="13"/>
  <c r="CH99" i="13"/>
  <c r="CA99" i="13"/>
  <c r="AM99" i="13"/>
  <c r="BN99" i="13"/>
  <c r="BW99" i="13"/>
  <c r="BS100" i="13"/>
  <c r="CU100" i="13"/>
  <c r="CM100" i="13"/>
  <c r="BJ121" i="13"/>
  <c r="BW102" i="13"/>
  <c r="A102" i="13"/>
  <c r="CH102" i="13"/>
  <c r="CA102" i="13"/>
  <c r="AM102" i="13"/>
  <c r="CM102" i="13"/>
  <c r="AM94" i="13"/>
  <c r="CA94" i="13"/>
  <c r="AM96" i="13"/>
  <c r="CA96" i="13"/>
  <c r="AM98" i="13"/>
  <c r="BI99" i="13" a="1"/>
  <c r="BI99" i="13" s="1"/>
  <c r="A100" i="13"/>
  <c r="CU104" i="13"/>
  <c r="BW104" i="13"/>
  <c r="A104" i="13"/>
  <c r="CQ104" i="13"/>
  <c r="BN104" i="13"/>
  <c r="CH104" i="13"/>
  <c r="CA104" i="13"/>
  <c r="AM104" i="13"/>
  <c r="CQ107" i="13"/>
  <c r="BI107" i="13" a="1"/>
  <c r="BI107" i="13" s="1"/>
  <c r="BN107" i="13"/>
  <c r="CH107" i="13"/>
  <c r="CA107" i="13"/>
  <c r="AM107" i="13"/>
  <c r="BS107" i="13"/>
  <c r="CM107" i="13"/>
  <c r="BW107" i="13"/>
  <c r="CU107" i="13"/>
  <c r="A107" i="13"/>
  <c r="BL108" i="13"/>
  <c r="BK108" i="13"/>
  <c r="CQ105" i="13"/>
  <c r="BI105" i="13" a="1"/>
  <c r="BI105" i="13" s="1"/>
  <c r="BN105" i="13"/>
  <c r="CH105" i="13"/>
  <c r="CA105" i="13"/>
  <c r="AM105" i="13"/>
  <c r="BS105" i="13"/>
  <c r="BJ110" i="13"/>
  <c r="CQ111" i="13"/>
  <c r="BI111" i="13" a="1"/>
  <c r="BI111" i="13" s="1"/>
  <c r="BN111" i="13"/>
  <c r="CH111" i="13"/>
  <c r="CA111" i="13"/>
  <c r="AM111" i="13"/>
  <c r="CU111" i="13"/>
  <c r="BS111" i="13"/>
  <c r="BK114" i="13"/>
  <c r="BL114" i="13"/>
  <c r="BK107" i="13"/>
  <c r="CM105" i="13"/>
  <c r="BK116" i="13"/>
  <c r="BL116" i="13"/>
  <c r="BI106" i="13" a="1"/>
  <c r="BI106" i="13" s="1"/>
  <c r="CQ106" i="13"/>
  <c r="BI108" i="13" a="1"/>
  <c r="BI108" i="13" s="1"/>
  <c r="CQ108" i="13"/>
  <c r="CQ110" i="13"/>
  <c r="BK118" i="13"/>
  <c r="BL118" i="13"/>
  <c r="BL113" i="13"/>
  <c r="BK113" i="13"/>
  <c r="CM106" i="13"/>
  <c r="CM108" i="13"/>
  <c r="CM110" i="13"/>
  <c r="BK112" i="13"/>
  <c r="BL112" i="13"/>
  <c r="BL115" i="13"/>
  <c r="BK115" i="13"/>
  <c r="BK120" i="13"/>
  <c r="BL120" i="13"/>
  <c r="BS112" i="13"/>
  <c r="BI113" i="13" a="1"/>
  <c r="BI113" i="13" s="1"/>
  <c r="CQ113" i="13"/>
  <c r="BS114" i="13"/>
  <c r="BI115" i="13" a="1"/>
  <c r="BI115" i="13" s="1"/>
  <c r="CQ115" i="13"/>
  <c r="BI117" i="13" a="1"/>
  <c r="BI117" i="13" s="1"/>
  <c r="CQ117" i="13"/>
  <c r="BI119" i="13" a="1"/>
  <c r="BI119" i="13" s="1"/>
  <c r="CQ119" i="13"/>
  <c r="CQ121" i="13"/>
  <c r="CM113" i="13"/>
  <c r="CM115" i="13"/>
  <c r="BK117" i="13"/>
  <c r="CM117" i="13"/>
  <c r="BK119" i="13"/>
  <c r="CM119" i="13"/>
  <c r="BK121" i="13"/>
  <c r="CM121" i="13"/>
  <c r="BI112" i="13" a="1"/>
  <c r="BI112" i="13" s="1"/>
  <c r="CQ112" i="13"/>
  <c r="BS113" i="13"/>
  <c r="BI114" i="13" a="1"/>
  <c r="BI114" i="13" s="1"/>
  <c r="CQ114" i="13"/>
  <c r="BS115" i="13"/>
  <c r="BI116" i="13" a="1"/>
  <c r="BI116" i="13" s="1"/>
  <c r="CQ116" i="13"/>
  <c r="BS117" i="13"/>
  <c r="BI118" i="13" a="1"/>
  <c r="BI118" i="13" s="1"/>
  <c r="CQ118" i="13"/>
  <c r="BS119" i="13"/>
  <c r="BI120" i="13" a="1"/>
  <c r="BI120" i="13" s="1"/>
  <c r="CQ120" i="13"/>
  <c r="BS121" i="13"/>
  <c r="CU121" i="13"/>
  <c r="CA121" i="13"/>
  <c r="CH121" i="13"/>
  <c r="CD189" i="13" l="1" a="1"/>
  <c r="CD189" i="13" s="1"/>
  <c r="CE189" i="13" a="1"/>
  <c r="CE189" i="13" s="1"/>
  <c r="BZ144" i="13" a="1"/>
  <c r="BZ144" i="13" s="1"/>
  <c r="BV156" i="13" a="1"/>
  <c r="BV156" i="13" s="1"/>
  <c r="CY190" i="13" a="1"/>
  <c r="CY190" i="13" s="1"/>
  <c r="CP249" i="13" a="1"/>
  <c r="CP249" i="13" s="1"/>
  <c r="CT249" i="13" a="1"/>
  <c r="CT249" i="13" s="1"/>
  <c r="CD149" i="13" a="1"/>
  <c r="CD149" i="13" s="1"/>
  <c r="BZ149" i="13" a="1"/>
  <c r="BZ149" i="13" s="1"/>
  <c r="CY383" i="13" a="1"/>
  <c r="CY383" i="13" s="1"/>
  <c r="CX383" i="13" a="1"/>
  <c r="CX383" i="13" s="1"/>
  <c r="BX143" i="13"/>
  <c r="BY143" i="13" s="1"/>
  <c r="CT145" i="13" a="1"/>
  <c r="CT145" i="13" s="1"/>
  <c r="BP189" i="13"/>
  <c r="BQ189" i="13" s="1"/>
  <c r="BR189" i="13" s="1" a="1"/>
  <c r="BR189" i="13" s="1"/>
  <c r="BP220" i="13"/>
  <c r="BQ220" i="13" s="1"/>
  <c r="BR220" i="13" s="1" a="1"/>
  <c r="BR220" i="13" s="1"/>
  <c r="BZ239" i="13" a="1"/>
  <c r="BZ239" i="13" s="1"/>
  <c r="CV220" i="13"/>
  <c r="CW220" i="13" s="1"/>
  <c r="BT220" i="13"/>
  <c r="BU220" i="13" s="1"/>
  <c r="CX245" i="13" a="1"/>
  <c r="CX245" i="13" s="1"/>
  <c r="BR302" i="13" a="1"/>
  <c r="BR302" i="13" s="1"/>
  <c r="CB289" i="13"/>
  <c r="CC289" i="13" s="1"/>
  <c r="CN306" i="13"/>
  <c r="CO306" i="13" s="1"/>
  <c r="BV343" i="13" a="1"/>
  <c r="BV343" i="13" s="1"/>
  <c r="BZ349" i="13" a="1"/>
  <c r="BZ349" i="13" s="1"/>
  <c r="BZ347" i="13" a="1"/>
  <c r="BZ347" i="13" s="1"/>
  <c r="CV380" i="13"/>
  <c r="CW380" i="13" s="1"/>
  <c r="BZ378" i="13" a="1"/>
  <c r="BZ378" i="13" s="1"/>
  <c r="CR384" i="13"/>
  <c r="CS384" i="13" s="1"/>
  <c r="CR616" i="13"/>
  <c r="CS616" i="13" s="1"/>
  <c r="CT699" i="13" a="1"/>
  <c r="CT699" i="13" s="1"/>
  <c r="CX689" i="13" a="1"/>
  <c r="CX689" i="13" s="1"/>
  <c r="CP725" i="13" a="1"/>
  <c r="CP725" i="13" s="1"/>
  <c r="CP686" i="13" a="1"/>
  <c r="CP686" i="13" s="1"/>
  <c r="CR813" i="13"/>
  <c r="CS813" i="13" s="1"/>
  <c r="BP850" i="13"/>
  <c r="BQ850" i="13" s="1"/>
  <c r="BR850" i="13" s="1" a="1"/>
  <c r="BR850" i="13" s="1"/>
  <c r="CR866" i="13"/>
  <c r="CS866" i="13" s="1"/>
  <c r="CV836" i="13"/>
  <c r="CW836" i="13" s="1"/>
  <c r="CB921" i="13"/>
  <c r="CC921" i="13" s="1"/>
  <c r="BP939" i="13"/>
  <c r="BQ939" i="13" s="1"/>
  <c r="BR939" i="13" s="1" a="1"/>
  <c r="BR939" i="13" s="1"/>
  <c r="BP953" i="13"/>
  <c r="BQ953" i="13" s="1"/>
  <c r="BR953" i="13" s="1" a="1"/>
  <c r="BR953" i="13" s="1"/>
  <c r="CV952" i="13"/>
  <c r="CW952" i="13" s="1"/>
  <c r="BX979" i="13"/>
  <c r="BY979" i="13" s="1"/>
  <c r="BX975" i="13"/>
  <c r="BY975" i="13" s="1"/>
  <c r="CV980" i="13"/>
  <c r="CW980" i="13" s="1"/>
  <c r="CV968" i="13"/>
  <c r="CW968" i="13" s="1"/>
  <c r="CN245" i="13"/>
  <c r="CO245" i="13" s="1"/>
  <c r="CB58" i="13"/>
  <c r="CC58" i="13" s="1"/>
  <c r="CN130" i="13"/>
  <c r="CO130" i="13" s="1"/>
  <c r="BT141" i="13"/>
  <c r="BU141" i="13" s="1"/>
  <c r="BV141" i="13" s="1" a="1"/>
  <c r="BV141" i="13" s="1"/>
  <c r="CJ141" i="13"/>
  <c r="CK141" i="13" s="1"/>
  <c r="CL141" i="13" s="1" a="1"/>
  <c r="CL141" i="13" s="1"/>
  <c r="CR143" i="13"/>
  <c r="CS143" i="13" s="1"/>
  <c r="BT143" i="13"/>
  <c r="BU143" i="13" s="1"/>
  <c r="BR146" i="13" a="1"/>
  <c r="BR146" i="13" s="1"/>
  <c r="BT189" i="13"/>
  <c r="BU189" i="13" s="1"/>
  <c r="BX189" i="13"/>
  <c r="BY189" i="13" s="1"/>
  <c r="CX203" i="13" a="1"/>
  <c r="CX203" i="13" s="1"/>
  <c r="CB209" i="13"/>
  <c r="CC209" i="13" s="1"/>
  <c r="BX220" i="13"/>
  <c r="BY220" i="13" s="1"/>
  <c r="CB220" i="13"/>
  <c r="CC220" i="13" s="1"/>
  <c r="CE220" i="13" s="1" a="1"/>
  <c r="CE220" i="13" s="1"/>
  <c r="BT244" i="13"/>
  <c r="BU244" i="13" s="1"/>
  <c r="CB240" i="13"/>
  <c r="CC240" i="13" s="1"/>
  <c r="BV245" i="13" a="1"/>
  <c r="BV245" i="13" s="1"/>
  <c r="CR234" i="13"/>
  <c r="CS234" i="13" s="1"/>
  <c r="BV278" i="13" a="1"/>
  <c r="BV278" i="13" s="1"/>
  <c r="CV280" i="13"/>
  <c r="CW280" i="13" s="1"/>
  <c r="CD292" i="13" a="1"/>
  <c r="CD292" i="13" s="1"/>
  <c r="BZ374" i="13" a="1"/>
  <c r="BZ374" i="13" s="1"/>
  <c r="CP387" i="13" a="1"/>
  <c r="CP387" i="13" s="1"/>
  <c r="BR398" i="13" a="1"/>
  <c r="BR398" i="13" s="1"/>
  <c r="CR480" i="13"/>
  <c r="CS480" i="13" s="1"/>
  <c r="CR526" i="13"/>
  <c r="CS526" i="13" s="1"/>
  <c r="CN572" i="13"/>
  <c r="CO572" i="13" s="1"/>
  <c r="CV603" i="13"/>
  <c r="CW603" i="13" s="1"/>
  <c r="CR605" i="13"/>
  <c r="CS605" i="13" s="1"/>
  <c r="CV593" i="13"/>
  <c r="CW593" i="13" s="1"/>
  <c r="CT733" i="13" a="1"/>
  <c r="CT733" i="13" s="1"/>
  <c r="CX739" i="13" a="1"/>
  <c r="CX739" i="13" s="1"/>
  <c r="CT692" i="13" a="1"/>
  <c r="CT692" i="13" s="1"/>
  <c r="CR720" i="13"/>
  <c r="CS720" i="13" s="1"/>
  <c r="BX819" i="13"/>
  <c r="BY819" i="13" s="1"/>
  <c r="CV840" i="13"/>
  <c r="CW840" i="13" s="1"/>
  <c r="CN856" i="13"/>
  <c r="CO856" i="13" s="1"/>
  <c r="BT872" i="13"/>
  <c r="BU872" i="13" s="1"/>
  <c r="BT836" i="13"/>
  <c r="BU836" i="13" s="1"/>
  <c r="BX828" i="13"/>
  <c r="BY828" i="13" s="1"/>
  <c r="BZ828" i="13" s="1" a="1"/>
  <c r="BZ828" i="13" s="1"/>
  <c r="BT911" i="13"/>
  <c r="BU911" i="13" s="1"/>
  <c r="BP927" i="13"/>
  <c r="BQ927" i="13" s="1"/>
  <c r="BR927" i="13" s="1" a="1"/>
  <c r="BR927" i="13" s="1"/>
  <c r="BP941" i="13"/>
  <c r="BQ941" i="13" s="1"/>
  <c r="BR941" i="13" s="1" a="1"/>
  <c r="BR941" i="13" s="1"/>
  <c r="BP955" i="13"/>
  <c r="BQ955" i="13" s="1"/>
  <c r="BR955" i="13" s="1" a="1"/>
  <c r="BR955" i="13" s="1"/>
  <c r="CB888" i="13"/>
  <c r="CC888" i="13" s="1"/>
  <c r="CR191" i="13"/>
  <c r="CS191" i="13" s="1"/>
  <c r="CR395" i="13"/>
  <c r="CS395" i="13" s="1"/>
  <c r="CT395" i="13" s="1" a="1"/>
  <c r="CT395" i="13" s="1"/>
  <c r="CB389" i="13"/>
  <c r="CC389" i="13" s="1"/>
  <c r="CN55" i="13"/>
  <c r="CO55" i="13" s="1"/>
  <c r="BT102" i="13"/>
  <c r="BU102" i="13" s="1"/>
  <c r="CV132" i="13"/>
  <c r="CW132" i="13" s="1"/>
  <c r="CN124" i="13"/>
  <c r="CO124" i="13" s="1"/>
  <c r="CJ132" i="13"/>
  <c r="CK132" i="13" s="1"/>
  <c r="CL132" i="13" s="1" a="1"/>
  <c r="CL132" i="13" s="1"/>
  <c r="CN135" i="13"/>
  <c r="CO135" i="13" s="1"/>
  <c r="BP141" i="13"/>
  <c r="BQ141" i="13" s="1"/>
  <c r="BR141" i="13" s="1" a="1"/>
  <c r="BR141" i="13" s="1"/>
  <c r="BT148" i="13"/>
  <c r="BU148" i="13" s="1"/>
  <c r="BZ148" i="13" s="1" a="1"/>
  <c r="BZ148" i="13" s="1"/>
  <c r="BT134" i="13"/>
  <c r="BU134" i="13" s="1"/>
  <c r="CR163" i="13"/>
  <c r="CS163" i="13" s="1"/>
  <c r="CR162" i="13"/>
  <c r="CS162" i="13" s="1"/>
  <c r="BX182" i="13"/>
  <c r="BY182" i="13" s="1"/>
  <c r="BZ182" i="13" s="1" a="1"/>
  <c r="BZ182" i="13" s="1"/>
  <c r="CB190" i="13"/>
  <c r="CC190" i="13" s="1"/>
  <c r="CJ189" i="13"/>
  <c r="CK189" i="13" s="1"/>
  <c r="CL189" i="13" s="1" a="1"/>
  <c r="CL189" i="13" s="1"/>
  <c r="CN196" i="13"/>
  <c r="CO196" i="13" s="1"/>
  <c r="BZ205" i="13" a="1"/>
  <c r="BZ205" i="13" s="1"/>
  <c r="CN209" i="13"/>
  <c r="CO209" i="13" s="1"/>
  <c r="CR220" i="13"/>
  <c r="CS220" i="13" s="1"/>
  <c r="BT246" i="13"/>
  <c r="BU246" i="13" s="1"/>
  <c r="CR222" i="13"/>
  <c r="CS222" i="13" s="1"/>
  <c r="CN221" i="13"/>
  <c r="CO221" i="13" s="1"/>
  <c r="CD249" i="13" a="1"/>
  <c r="CD249" i="13" s="1"/>
  <c r="CB254" i="13"/>
  <c r="CC254" i="13" s="1"/>
  <c r="CN246" i="13"/>
  <c r="CO246" i="13" s="1"/>
  <c r="CB242" i="13"/>
  <c r="CC242" i="13" s="1"/>
  <c r="CY245" i="13" a="1"/>
  <c r="CY245" i="13" s="1"/>
  <c r="CR248" i="13"/>
  <c r="CS248" i="13" s="1"/>
  <c r="CD278" i="13" a="1"/>
  <c r="CD278" i="13" s="1"/>
  <c r="BP286" i="13"/>
  <c r="BQ286" i="13" s="1"/>
  <c r="BR286" i="13" s="1" a="1"/>
  <c r="BR286" i="13" s="1"/>
  <c r="BP302" i="13"/>
  <c r="BQ302" i="13" s="1"/>
  <c r="BV288" i="13" a="1"/>
  <c r="BV288" i="13" s="1"/>
  <c r="CB282" i="13"/>
  <c r="CC282" i="13" s="1"/>
  <c r="BV292" i="13" a="1"/>
  <c r="BV292" i="13" s="1"/>
  <c r="BX314" i="13"/>
  <c r="BY314" i="13" s="1"/>
  <c r="CR286" i="13"/>
  <c r="CS286" i="13" s="1"/>
  <c r="BX354" i="13"/>
  <c r="BY354" i="13" s="1"/>
  <c r="CR337" i="13"/>
  <c r="CS337" i="13" s="1"/>
  <c r="CR351" i="13"/>
  <c r="CS351" i="13" s="1"/>
  <c r="BR351" i="13" a="1"/>
  <c r="BR351" i="13" s="1"/>
  <c r="CR354" i="13"/>
  <c r="CS354" i="13" s="1"/>
  <c r="CP345" i="13" a="1"/>
  <c r="CP345" i="13" s="1"/>
  <c r="CD386" i="13" a="1"/>
  <c r="CD386" i="13" s="1"/>
  <c r="CR378" i="13"/>
  <c r="CS378" i="13" s="1"/>
  <c r="CN402" i="13"/>
  <c r="CO402" i="13" s="1"/>
  <c r="BV398" i="13" a="1"/>
  <c r="BV398" i="13" s="1"/>
  <c r="CN430" i="13"/>
  <c r="CO430" i="13" s="1"/>
  <c r="CR496" i="13"/>
  <c r="CS496" i="13" s="1"/>
  <c r="CB518" i="13"/>
  <c r="CC518" i="13" s="1"/>
  <c r="CB520" i="13"/>
  <c r="CC520" i="13" s="1"/>
  <c r="CR528" i="13"/>
  <c r="CS528" i="13" s="1"/>
  <c r="BX601" i="13"/>
  <c r="BY601" i="13" s="1"/>
  <c r="CV577" i="13"/>
  <c r="CW577" i="13" s="1"/>
  <c r="CV556" i="13"/>
  <c r="CW556" i="13" s="1"/>
  <c r="CV601" i="13"/>
  <c r="CW601" i="13" s="1"/>
  <c r="BV617" i="13" a="1"/>
  <c r="BV617" i="13" s="1"/>
  <c r="BZ695" i="13" a="1"/>
  <c r="BZ695" i="13" s="1"/>
  <c r="BT731" i="13"/>
  <c r="BU731" i="13" s="1"/>
  <c r="BZ731" i="13" s="1" a="1"/>
  <c r="BZ731" i="13" s="1"/>
  <c r="CX709" i="13" a="1"/>
  <c r="CX709" i="13" s="1"/>
  <c r="CV694" i="13"/>
  <c r="CW694" i="13" s="1"/>
  <c r="BX862" i="13"/>
  <c r="BY862" i="13" s="1"/>
  <c r="CR878" i="13"/>
  <c r="CS878" i="13" s="1"/>
  <c r="CN890" i="13"/>
  <c r="CO890" i="13" s="1"/>
  <c r="BP828" i="13"/>
  <c r="BQ828" i="13" s="1"/>
  <c r="BR828" i="13" s="1" a="1"/>
  <c r="BR828" i="13" s="1"/>
  <c r="CN917" i="13"/>
  <c r="CO917" i="13" s="1"/>
  <c r="BT933" i="13"/>
  <c r="BU933" i="13" s="1"/>
  <c r="BX888" i="13"/>
  <c r="BY888" i="13" s="1"/>
  <c r="BX954" i="13"/>
  <c r="BY954" i="13" s="1"/>
  <c r="BX983" i="13"/>
  <c r="BY983" i="13" s="1"/>
  <c r="BZ983" i="13" s="1" a="1"/>
  <c r="BZ983" i="13" s="1"/>
  <c r="CB960" i="13"/>
  <c r="CC960" i="13" s="1"/>
  <c r="CB965" i="13"/>
  <c r="CC965" i="13" s="1"/>
  <c r="CB986" i="13"/>
  <c r="CC986" i="13" s="1"/>
  <c r="CV966" i="13"/>
  <c r="CW966" i="13" s="1"/>
  <c r="BP164" i="13"/>
  <c r="BQ164" i="13" s="1"/>
  <c r="BR164" i="13" s="1" a="1"/>
  <c r="BR164" i="13" s="1"/>
  <c r="BX247" i="13"/>
  <c r="BY247" i="13" s="1"/>
  <c r="BZ247" i="13" s="1" a="1"/>
  <c r="BZ247" i="13" s="1"/>
  <c r="CB395" i="13"/>
  <c r="CC395" i="13" s="1"/>
  <c r="CE395" i="13" s="1" a="1"/>
  <c r="CE395" i="13" s="1"/>
  <c r="CP141" i="13" a="1"/>
  <c r="CP141" i="13" s="1"/>
  <c r="CT182" i="13" a="1"/>
  <c r="CT182" i="13" s="1"/>
  <c r="CT245" i="13" a="1"/>
  <c r="CT245" i="13" s="1"/>
  <c r="BV347" i="13" a="1"/>
  <c r="BV347" i="13" s="1"/>
  <c r="CR327" i="13"/>
  <c r="CS327" i="13" s="1"/>
  <c r="BZ341" i="13" a="1"/>
  <c r="BZ341" i="13" s="1"/>
  <c r="BZ345" i="13" a="1"/>
  <c r="BZ345" i="13" s="1"/>
  <c r="BV387" i="13" a="1"/>
  <c r="BV387" i="13" s="1"/>
  <c r="BX410" i="13"/>
  <c r="BY410" i="13" s="1"/>
  <c r="BV400" i="13" a="1"/>
  <c r="BV400" i="13" s="1"/>
  <c r="CN425" i="13"/>
  <c r="CO425" i="13" s="1"/>
  <c r="CT425" i="13" s="1" a="1"/>
  <c r="CT425" i="13" s="1"/>
  <c r="CP426" i="13" a="1"/>
  <c r="CP426" i="13" s="1"/>
  <c r="CT705" i="13" a="1"/>
  <c r="CT705" i="13" s="1"/>
  <c r="CB721" i="13"/>
  <c r="CC721" i="13" s="1"/>
  <c r="BT395" i="13"/>
  <c r="BU395" i="13" s="1"/>
  <c r="BV395" i="13" s="1" a="1"/>
  <c r="BV395" i="13" s="1"/>
  <c r="BX386" i="13"/>
  <c r="BY386" i="13" s="1"/>
  <c r="BZ386" i="13" s="1" a="1"/>
  <c r="BZ386" i="13" s="1"/>
  <c r="BX58" i="13"/>
  <c r="BY58" i="13" s="1"/>
  <c r="CV51" i="13"/>
  <c r="CW51" i="13" s="1"/>
  <c r="CY51" i="13" s="1" a="1"/>
  <c r="CY51" i="13" s="1"/>
  <c r="CB132" i="13"/>
  <c r="CC132" i="13" s="1"/>
  <c r="CR148" i="13"/>
  <c r="CS148" i="13" s="1"/>
  <c r="CT146" i="13" a="1"/>
  <c r="CT146" i="13" s="1"/>
  <c r="CV155" i="13"/>
  <c r="CW155" i="13" s="1"/>
  <c r="CT185" i="13" a="1"/>
  <c r="CT185" i="13" s="1"/>
  <c r="CP205" i="13" a="1"/>
  <c r="CP205" i="13" s="1"/>
  <c r="BP198" i="13"/>
  <c r="BQ198" i="13" s="1"/>
  <c r="BR198" i="13" s="1" a="1"/>
  <c r="BR198" i="13" s="1"/>
  <c r="BP209" i="13"/>
  <c r="BQ209" i="13" s="1"/>
  <c r="BR209" i="13" s="1" a="1"/>
  <c r="BR209" i="13" s="1"/>
  <c r="CJ208" i="13"/>
  <c r="CK208" i="13" s="1"/>
  <c r="CL208" i="13" s="1" a="1"/>
  <c r="CL208" i="13" s="1"/>
  <c r="CN212" i="13"/>
  <c r="CO212" i="13" s="1"/>
  <c r="BP216" i="13"/>
  <c r="BQ216" i="13" s="1"/>
  <c r="BR216" i="13" s="1" a="1"/>
  <c r="BR216" i="13" s="1"/>
  <c r="BX242" i="13"/>
  <c r="BY242" i="13" s="1"/>
  <c r="BZ242" i="13" s="1" a="1"/>
  <c r="BZ242" i="13" s="1"/>
  <c r="CR216" i="13"/>
  <c r="CS216" i="13" s="1"/>
  <c r="BX224" i="13"/>
  <c r="BY224" i="13" s="1"/>
  <c r="CB246" i="13"/>
  <c r="CC246" i="13" s="1"/>
  <c r="CR246" i="13"/>
  <c r="CS246" i="13" s="1"/>
  <c r="CT246" i="13" s="1" a="1"/>
  <c r="CT246" i="13" s="1"/>
  <c r="BX226" i="13"/>
  <c r="BY226" i="13" s="1"/>
  <c r="CN252" i="13"/>
  <c r="CO252" i="13" s="1"/>
  <c r="CY239" i="13" a="1"/>
  <c r="CY239" i="13" s="1"/>
  <c r="BT254" i="13"/>
  <c r="BU254" i="13" s="1"/>
  <c r="CN280" i="13"/>
  <c r="CO280" i="13" s="1"/>
  <c r="BP280" i="13"/>
  <c r="BQ280" i="13" s="1"/>
  <c r="BR280" i="13" s="1" a="1"/>
  <c r="BR280" i="13" s="1"/>
  <c r="BX282" i="13"/>
  <c r="BY282" i="13" s="1"/>
  <c r="CV316" i="13"/>
  <c r="CW316" i="13" s="1"/>
  <c r="CR316" i="13"/>
  <c r="CS316" i="13" s="1"/>
  <c r="CE292" i="13" a="1"/>
  <c r="CE292" i="13" s="1"/>
  <c r="CD320" i="13" a="1"/>
  <c r="CD320" i="13" s="1"/>
  <c r="BV329" i="13" a="1"/>
  <c r="BV329" i="13" s="1"/>
  <c r="CR339" i="13"/>
  <c r="CS339" i="13" s="1"/>
  <c r="BT327" i="13"/>
  <c r="BU327" i="13" s="1"/>
  <c r="BZ339" i="13" a="1"/>
  <c r="BZ339" i="13" s="1"/>
  <c r="CL347" i="13" a="1"/>
  <c r="CL347" i="13" s="1"/>
  <c r="BR349" i="13" a="1"/>
  <c r="BR349" i="13" s="1"/>
  <c r="CV379" i="13"/>
  <c r="CW379" i="13" s="1"/>
  <c r="CN385" i="13"/>
  <c r="CO385" i="13" s="1"/>
  <c r="CT385" i="13" s="1" a="1"/>
  <c r="CT385" i="13" s="1"/>
  <c r="CJ380" i="13"/>
  <c r="CK380" i="13" s="1"/>
  <c r="CL380" i="13" s="1" a="1"/>
  <c r="CL380" i="13" s="1"/>
  <c r="CV354" i="13"/>
  <c r="CW354" i="13" s="1"/>
  <c r="BT376" i="13"/>
  <c r="BU376" i="13" s="1"/>
  <c r="CT386" i="13" a="1"/>
  <c r="CT386" i="13" s="1"/>
  <c r="BZ400" i="13" a="1"/>
  <c r="BZ400" i="13" s="1"/>
  <c r="CJ402" i="13"/>
  <c r="CK402" i="13" s="1"/>
  <c r="CL402" i="13" s="1" a="1"/>
  <c r="CL402" i="13" s="1"/>
  <c r="CV425" i="13"/>
  <c r="CW425" i="13" s="1"/>
  <c r="CR421" i="13"/>
  <c r="CS421" i="13" s="1"/>
  <c r="CN417" i="13"/>
  <c r="CO417" i="13" s="1"/>
  <c r="BX421" i="13"/>
  <c r="BY421" i="13" s="1"/>
  <c r="CR498" i="13"/>
  <c r="CS498" i="13" s="1"/>
  <c r="CB506" i="13"/>
  <c r="CC506" i="13" s="1"/>
  <c r="BX526" i="13"/>
  <c r="BY526" i="13" s="1"/>
  <c r="BX589" i="13"/>
  <c r="BY589" i="13" s="1"/>
  <c r="BV616" i="13" a="1"/>
  <c r="BV616" i="13" s="1"/>
  <c r="CJ609" i="13"/>
  <c r="CK609" i="13" s="1"/>
  <c r="CL609" i="13" s="1" a="1"/>
  <c r="CL609" i="13" s="1"/>
  <c r="BX605" i="13"/>
  <c r="BY605" i="13" s="1"/>
  <c r="CT723" i="13" a="1"/>
  <c r="CT723" i="13" s="1"/>
  <c r="CR700" i="13"/>
  <c r="CS700" i="13" s="1"/>
  <c r="CP701" i="13" a="1"/>
  <c r="CP701" i="13" s="1"/>
  <c r="CB722" i="13"/>
  <c r="CC722" i="13" s="1"/>
  <c r="CE722" i="13" s="1" a="1"/>
  <c r="CE722" i="13" s="1"/>
  <c r="CP703" i="13" a="1"/>
  <c r="CP703" i="13" s="1"/>
  <c r="BV692" i="13" a="1"/>
  <c r="BV692" i="13" s="1"/>
  <c r="CT686" i="13" a="1"/>
  <c r="CT686" i="13" s="1"/>
  <c r="CR827" i="13"/>
  <c r="CS827" i="13" s="1"/>
  <c r="CN821" i="13"/>
  <c r="CO821" i="13" s="1"/>
  <c r="BT858" i="13"/>
  <c r="BU858" i="13" s="1"/>
  <c r="BT874" i="13"/>
  <c r="BU874" i="13" s="1"/>
  <c r="CB836" i="13"/>
  <c r="CC836" i="13" s="1"/>
  <c r="CV844" i="13"/>
  <c r="CW844" i="13" s="1"/>
  <c r="BX898" i="13"/>
  <c r="BY898" i="13" s="1"/>
  <c r="BX890" i="13"/>
  <c r="BY890" i="13" s="1"/>
  <c r="CB828" i="13"/>
  <c r="CC828" i="13" s="1"/>
  <c r="BX902" i="13"/>
  <c r="BY902" i="13" s="1"/>
  <c r="BP913" i="13"/>
  <c r="BQ913" i="13" s="1"/>
  <c r="BR913" i="13" s="1" a="1"/>
  <c r="BR913" i="13" s="1"/>
  <c r="BP929" i="13"/>
  <c r="BQ929" i="13" s="1"/>
  <c r="BR929" i="13" s="1" a="1"/>
  <c r="BR929" i="13" s="1"/>
  <c r="CV935" i="13"/>
  <c r="CW935" i="13" s="1"/>
  <c r="BX945" i="13"/>
  <c r="BY945" i="13" s="1"/>
  <c r="BT985" i="13"/>
  <c r="BU985" i="13" s="1"/>
  <c r="BX948" i="13"/>
  <c r="BY948" i="13" s="1"/>
  <c r="CB971" i="13"/>
  <c r="CC971" i="13" s="1"/>
  <c r="CV967" i="13"/>
  <c r="CW967" i="13" s="1"/>
  <c r="BX984" i="13"/>
  <c r="BY984" i="13" s="1"/>
  <c r="BX970" i="13"/>
  <c r="BY970" i="13" s="1"/>
  <c r="CV986" i="13"/>
  <c r="CW986" i="13" s="1"/>
  <c r="CV977" i="13"/>
  <c r="CW977" i="13" s="1"/>
  <c r="CJ191" i="13"/>
  <c r="CK191" i="13" s="1"/>
  <c r="CL191" i="13" s="1" a="1"/>
  <c r="CL191" i="13" s="1"/>
  <c r="CR164" i="13"/>
  <c r="CS164" i="13" s="1"/>
  <c r="CT164" i="13" s="1" a="1"/>
  <c r="CT164" i="13" s="1"/>
  <c r="CN241" i="13"/>
  <c r="CO241" i="13" s="1"/>
  <c r="CT241" i="13" s="1" a="1"/>
  <c r="CT241" i="13" s="1"/>
  <c r="BX93" i="13"/>
  <c r="BY93" i="13" s="1"/>
  <c r="CV122" i="13"/>
  <c r="CW122" i="13" s="1"/>
  <c r="CN122" i="13"/>
  <c r="CO122" i="13" s="1"/>
  <c r="BX124" i="13"/>
  <c r="BY124" i="13" s="1"/>
  <c r="BZ124" i="13" s="1" a="1"/>
  <c r="BZ124" i="13" s="1"/>
  <c r="CB141" i="13"/>
  <c r="CC141" i="13" s="1"/>
  <c r="BT136" i="13"/>
  <c r="BU136" i="13" s="1"/>
  <c r="BZ136" i="13" s="1" a="1"/>
  <c r="BZ136" i="13" s="1"/>
  <c r="BV164" i="13" a="1"/>
  <c r="BV164" i="13" s="1"/>
  <c r="CR187" i="13"/>
  <c r="CS187" i="13" s="1"/>
  <c r="CX187" i="13" s="1" a="1"/>
  <c r="CX187" i="13" s="1"/>
  <c r="CR184" i="13"/>
  <c r="CS184" i="13" s="1"/>
  <c r="CT184" i="13" s="1" a="1"/>
  <c r="CT184" i="13" s="1"/>
  <c r="BT193" i="13"/>
  <c r="BU193" i="13" s="1"/>
  <c r="BP187" i="13"/>
  <c r="BQ187" i="13" s="1"/>
  <c r="BR187" i="13" s="1" a="1"/>
  <c r="BR187" i="13" s="1"/>
  <c r="CB208" i="13"/>
  <c r="CC208" i="13" s="1"/>
  <c r="CN216" i="13"/>
  <c r="CO216" i="13" s="1"/>
  <c r="CV217" i="13"/>
  <c r="CW217" i="13" s="1"/>
  <c r="BP212" i="13"/>
  <c r="BQ212" i="13" s="1"/>
  <c r="BR212" i="13" s="1" a="1"/>
  <c r="BR212" i="13" s="1"/>
  <c r="CP247" i="13" a="1"/>
  <c r="CP247" i="13" s="1"/>
  <c r="CT247" i="13" a="1"/>
  <c r="CT247" i="13" s="1"/>
  <c r="BT259" i="13"/>
  <c r="BU259" i="13" s="1"/>
  <c r="CV262" i="13"/>
  <c r="CW262" i="13" s="1"/>
  <c r="CR281" i="13"/>
  <c r="CS281" i="13" s="1"/>
  <c r="CV264" i="13"/>
  <c r="CW264" i="13" s="1"/>
  <c r="CT283" i="13" a="1"/>
  <c r="CT283" i="13" s="1"/>
  <c r="BR278" i="13" a="1"/>
  <c r="BR278" i="13" s="1"/>
  <c r="CR314" i="13"/>
  <c r="CS314" i="13" s="1"/>
  <c r="CN314" i="13"/>
  <c r="CO314" i="13" s="1"/>
  <c r="CV327" i="13"/>
  <c r="CW327" i="13" s="1"/>
  <c r="BV320" i="13" a="1"/>
  <c r="BV320" i="13" s="1"/>
  <c r="CN310" i="13"/>
  <c r="CO310" i="13" s="1"/>
  <c r="CB385" i="13"/>
  <c r="CC385" i="13" s="1"/>
  <c r="CV385" i="13"/>
  <c r="CW385" i="13" s="1"/>
  <c r="CN376" i="13"/>
  <c r="CO376" i="13" s="1"/>
  <c r="BP378" i="13"/>
  <c r="BQ378" i="13" s="1"/>
  <c r="BR378" i="13" s="1" a="1"/>
  <c r="BR378" i="13" s="1"/>
  <c r="BR409" i="13" a="1"/>
  <c r="BR409" i="13" s="1"/>
  <c r="CV384" i="13"/>
  <c r="CW384" i="13" s="1"/>
  <c r="CY384" i="13" s="1" a="1"/>
  <c r="CY384" i="13" s="1"/>
  <c r="CV420" i="13"/>
  <c r="CW420" i="13" s="1"/>
  <c r="BX428" i="13"/>
  <c r="BY428" i="13" s="1"/>
  <c r="CB422" i="13"/>
  <c r="CC422" i="13" s="1"/>
  <c r="CB417" i="13"/>
  <c r="CC417" i="13" s="1"/>
  <c r="CR476" i="13"/>
  <c r="CS476" i="13" s="1"/>
  <c r="CR484" i="13"/>
  <c r="CS484" i="13" s="1"/>
  <c r="CV527" i="13"/>
  <c r="CW527" i="13" s="1"/>
  <c r="CB516" i="13"/>
  <c r="CC516" i="13" s="1"/>
  <c r="CB607" i="13"/>
  <c r="CC607" i="13" s="1"/>
  <c r="CE607" i="13" s="1" a="1"/>
  <c r="CE607" i="13" s="1"/>
  <c r="CT613" i="13" a="1"/>
  <c r="CT613" i="13" s="1"/>
  <c r="BZ617" i="13" a="1"/>
  <c r="BZ617" i="13" s="1"/>
  <c r="BZ705" i="13" a="1"/>
  <c r="BZ705" i="13" s="1"/>
  <c r="BT705" i="13"/>
  <c r="BU705" i="13" s="1"/>
  <c r="BT721" i="13"/>
  <c r="BU721" i="13" s="1"/>
  <c r="BZ721" i="13" s="1" a="1"/>
  <c r="BZ721" i="13" s="1"/>
  <c r="CB695" i="13"/>
  <c r="CC695" i="13" s="1"/>
  <c r="CD717" i="13" a="1"/>
  <c r="CD717" i="13" s="1"/>
  <c r="BZ727" i="13" a="1"/>
  <c r="BZ727" i="13" s="1"/>
  <c r="BZ739" i="13" a="1"/>
  <c r="BZ739" i="13" s="1"/>
  <c r="CB703" i="13"/>
  <c r="CC703" i="13" s="1"/>
  <c r="CP719" i="13" a="1"/>
  <c r="CP719" i="13" s="1"/>
  <c r="BT848" i="13"/>
  <c r="BU848" i="13" s="1"/>
  <c r="BP864" i="13"/>
  <c r="BQ864" i="13" s="1"/>
  <c r="BR864" i="13" s="1" a="1"/>
  <c r="BR864" i="13" s="1"/>
  <c r="BP880" i="13"/>
  <c r="BQ880" i="13" s="1"/>
  <c r="BR880" i="13" s="1" a="1"/>
  <c r="BR880" i="13" s="1"/>
  <c r="BX834" i="13"/>
  <c r="BY834" i="13" s="1"/>
  <c r="BT919" i="13"/>
  <c r="BU919" i="13" s="1"/>
  <c r="BT947" i="13"/>
  <c r="BU947" i="13" s="1"/>
  <c r="CB957" i="13"/>
  <c r="CC957" i="13" s="1"/>
  <c r="CB950" i="13"/>
  <c r="CC950" i="13" s="1"/>
  <c r="BT967" i="13"/>
  <c r="BU967" i="13" s="1"/>
  <c r="CB972" i="13"/>
  <c r="CC972" i="13" s="1"/>
  <c r="CB191" i="13"/>
  <c r="CC191" i="13" s="1"/>
  <c r="CV88" i="13"/>
  <c r="CW88" i="13" s="1"/>
  <c r="CY88" i="13" s="1" a="1"/>
  <c r="CY88" i="13" s="1"/>
  <c r="CV124" i="13"/>
  <c r="CW124" i="13" s="1"/>
  <c r="CY124" i="13" s="1" a="1"/>
  <c r="CY124" i="13" s="1"/>
  <c r="CB143" i="13"/>
  <c r="CC143" i="13" s="1"/>
  <c r="CE143" i="13" s="1" a="1"/>
  <c r="CE143" i="13" s="1"/>
  <c r="CV158" i="13"/>
  <c r="CW158" i="13" s="1"/>
  <c r="CX164" i="13" a="1"/>
  <c r="CX164" i="13" s="1"/>
  <c r="CR189" i="13"/>
  <c r="CS189" i="13" s="1"/>
  <c r="CX185" i="13" a="1"/>
  <c r="CX185" i="13" s="1"/>
  <c r="BT184" i="13"/>
  <c r="BU184" i="13" s="1"/>
  <c r="CR190" i="13"/>
  <c r="CS190" i="13" s="1"/>
  <c r="CT190" i="13" s="1" a="1"/>
  <c r="CT190" i="13" s="1"/>
  <c r="CV189" i="13"/>
  <c r="CW189" i="13" s="1"/>
  <c r="CY189" i="13" s="1" a="1"/>
  <c r="CY189" i="13" s="1"/>
  <c r="CP203" i="13" a="1"/>
  <c r="CP203" i="13" s="1"/>
  <c r="BT210" i="13"/>
  <c r="BU210" i="13" s="1"/>
  <c r="CJ212" i="13"/>
  <c r="CK212" i="13" s="1"/>
  <c r="CL212" i="13" s="1" a="1"/>
  <c r="CL212" i="13" s="1"/>
  <c r="CJ216" i="13"/>
  <c r="CK216" i="13" s="1"/>
  <c r="CL216" i="13" s="1" a="1"/>
  <c r="CL216" i="13" s="1"/>
  <c r="CR213" i="13"/>
  <c r="CS213" i="13" s="1"/>
  <c r="BX214" i="13"/>
  <c r="BY214" i="13" s="1"/>
  <c r="CB248" i="13"/>
  <c r="CC248" i="13" s="1"/>
  <c r="CR259" i="13"/>
  <c r="CS259" i="13" s="1"/>
  <c r="CT259" i="13" s="1" a="1"/>
  <c r="CT259" i="13" s="1"/>
  <c r="BV247" i="13" a="1"/>
  <c r="BV247" i="13" s="1"/>
  <c r="BZ249" i="13" a="1"/>
  <c r="BZ249" i="13" s="1"/>
  <c r="CN244" i="13"/>
  <c r="CO244" i="13" s="1"/>
  <c r="CV257" i="13"/>
  <c r="CW257" i="13" s="1"/>
  <c r="CV268" i="13"/>
  <c r="CW268" i="13" s="1"/>
  <c r="CL285" i="13" a="1"/>
  <c r="CL285" i="13" s="1"/>
  <c r="CR304" i="13"/>
  <c r="CS304" i="13" s="1"/>
  <c r="CB335" i="13"/>
  <c r="CC335" i="13" s="1"/>
  <c r="BZ337" i="13" a="1"/>
  <c r="BZ337" i="13" s="1"/>
  <c r="CL339" i="13" a="1"/>
  <c r="CL339" i="13" s="1"/>
  <c r="BR347" i="13" a="1"/>
  <c r="BR347" i="13" s="1"/>
  <c r="BZ351" i="13" a="1"/>
  <c r="BZ351" i="13" s="1"/>
  <c r="CB379" i="13"/>
  <c r="CC379" i="13" s="1"/>
  <c r="CP386" i="13" a="1"/>
  <c r="CP386" i="13" s="1"/>
  <c r="BT380" i="13"/>
  <c r="BU380" i="13" s="1"/>
  <c r="BZ380" i="13" s="1" a="1"/>
  <c r="BZ380" i="13" s="1"/>
  <c r="CP389" i="13" a="1"/>
  <c r="CP389" i="13" s="1"/>
  <c r="CB409" i="13"/>
  <c r="CC409" i="13" s="1"/>
  <c r="CR412" i="13"/>
  <c r="CS412" i="13" s="1"/>
  <c r="CB510" i="13"/>
  <c r="CC510" i="13" s="1"/>
  <c r="BX508" i="13"/>
  <c r="BY508" i="13" s="1"/>
  <c r="CB546" i="13"/>
  <c r="CC546" i="13" s="1"/>
  <c r="CV516" i="13"/>
  <c r="CW516" i="13" s="1"/>
  <c r="BX570" i="13"/>
  <c r="BY570" i="13" s="1"/>
  <c r="CN564" i="13"/>
  <c r="CO564" i="13" s="1"/>
  <c r="BX593" i="13"/>
  <c r="BY593" i="13" s="1"/>
  <c r="CV566" i="13"/>
  <c r="CW566" i="13" s="1"/>
  <c r="CN616" i="13"/>
  <c r="CO616" i="13" s="1"/>
  <c r="CP616" i="13" s="1" a="1"/>
  <c r="CP616" i="13" s="1"/>
  <c r="CN607" i="13"/>
  <c r="CO607" i="13" s="1"/>
  <c r="CX701" i="13" a="1"/>
  <c r="CX701" i="13" s="1"/>
  <c r="CX717" i="13" a="1"/>
  <c r="CX717" i="13" s="1"/>
  <c r="CJ695" i="13"/>
  <c r="CK695" i="13" s="1"/>
  <c r="CL695" i="13" s="1" a="1"/>
  <c r="CL695" i="13" s="1"/>
  <c r="BZ733" i="13" a="1"/>
  <c r="BZ733" i="13" s="1"/>
  <c r="CB690" i="13"/>
  <c r="CC690" i="13" s="1"/>
  <c r="CP715" i="13" a="1"/>
  <c r="CP715" i="13" s="1"/>
  <c r="BZ848" i="13" a="1"/>
  <c r="BZ848" i="13" s="1"/>
  <c r="BX852" i="13"/>
  <c r="BY852" i="13" s="1"/>
  <c r="CT838" i="13" a="1"/>
  <c r="CT838" i="13" s="1"/>
  <c r="CJ854" i="13"/>
  <c r="CK854" i="13" s="1"/>
  <c r="CL854" i="13" s="1" a="1"/>
  <c r="CL854" i="13" s="1"/>
  <c r="CJ870" i="13"/>
  <c r="CK870" i="13" s="1"/>
  <c r="CL870" i="13" s="1" a="1"/>
  <c r="CL870" i="13" s="1"/>
  <c r="CN886" i="13"/>
  <c r="CO886" i="13" s="1"/>
  <c r="CV838" i="13"/>
  <c r="CW838" i="13" s="1"/>
  <c r="BX846" i="13"/>
  <c r="BY846" i="13" s="1"/>
  <c r="CN909" i="13"/>
  <c r="CO909" i="13" s="1"/>
  <c r="CR925" i="13"/>
  <c r="CS925" i="13" s="1"/>
  <c r="BP937" i="13"/>
  <c r="BQ937" i="13" s="1"/>
  <c r="BR937" i="13" s="1" a="1"/>
  <c r="BR937" i="13" s="1"/>
  <c r="BX949" i="13"/>
  <c r="BY949" i="13" s="1"/>
  <c r="CN971" i="13"/>
  <c r="CO971" i="13" s="1"/>
  <c r="CB974" i="13"/>
  <c r="CC974" i="13" s="1"/>
  <c r="CR989" i="13"/>
  <c r="CS989" i="13" s="1"/>
  <c r="BX987" i="13"/>
  <c r="BY987" i="13" s="1"/>
  <c r="BZ987" i="13" s="1" a="1"/>
  <c r="BZ987" i="13" s="1"/>
  <c r="CN292" i="13"/>
  <c r="CO292" i="13" s="1"/>
  <c r="CT292" i="13" s="1" a="1"/>
  <c r="CT292" i="13" s="1"/>
  <c r="BZ134" i="13" a="1"/>
  <c r="BZ134" i="13" s="1"/>
  <c r="CB31" i="13"/>
  <c r="CC31" i="13" s="1"/>
  <c r="BT121" i="13"/>
  <c r="BU121" i="13" s="1"/>
  <c r="CR130" i="13"/>
  <c r="CS130" i="13" s="1"/>
  <c r="CT130" i="13" s="1" a="1"/>
  <c r="CT130" i="13" s="1"/>
  <c r="BX132" i="13"/>
  <c r="BY132" i="13" s="1"/>
  <c r="CD136" i="13" a="1"/>
  <c r="CD136" i="13" s="1"/>
  <c r="CJ128" i="13"/>
  <c r="CK128" i="13" s="1"/>
  <c r="CL128" i="13" s="1" a="1"/>
  <c r="CL128" i="13" s="1"/>
  <c r="CN143" i="13"/>
  <c r="CO143" i="13" s="1"/>
  <c r="CB148" i="13"/>
  <c r="CC148" i="13" s="1"/>
  <c r="BV149" i="13" a="1"/>
  <c r="BV149" i="13" s="1"/>
  <c r="CV148" i="13"/>
  <c r="CW148" i="13" s="1"/>
  <c r="CY148" i="13" s="1" a="1"/>
  <c r="CY148" i="13" s="1"/>
  <c r="BX184" i="13"/>
  <c r="BY184" i="13" s="1"/>
  <c r="BV185" i="13" a="1"/>
  <c r="BV185" i="13" s="1"/>
  <c r="CB188" i="13"/>
  <c r="CC188" i="13" s="1"/>
  <c r="CJ198" i="13"/>
  <c r="CK198" i="13" s="1"/>
  <c r="CL198" i="13" s="1" a="1"/>
  <c r="CL198" i="13" s="1"/>
  <c r="CT200" i="13" a="1"/>
  <c r="CT200" i="13" s="1"/>
  <c r="CB215" i="13"/>
  <c r="CC215" i="13" s="1"/>
  <c r="BX212" i="13"/>
  <c r="BY212" i="13" s="1"/>
  <c r="CV221" i="13"/>
  <c r="CW221" i="13" s="1"/>
  <c r="CB212" i="13"/>
  <c r="CC212" i="13" s="1"/>
  <c r="BX222" i="13"/>
  <c r="BY222" i="13" s="1"/>
  <c r="CJ220" i="13"/>
  <c r="CK220" i="13" s="1"/>
  <c r="CL220" i="13" s="1" a="1"/>
  <c r="CL220" i="13" s="1"/>
  <c r="CV236" i="13"/>
  <c r="CW236" i="13" s="1"/>
  <c r="BT248" i="13"/>
  <c r="BU248" i="13" s="1"/>
  <c r="CN214" i="13"/>
  <c r="CO214" i="13" s="1"/>
  <c r="BV241" i="13" a="1"/>
  <c r="BV241" i="13" s="1"/>
  <c r="BZ245" i="13" a="1"/>
  <c r="BZ245" i="13" s="1"/>
  <c r="CV259" i="13"/>
  <c r="CW259" i="13" s="1"/>
  <c r="CB259" i="13"/>
  <c r="CC259" i="13" s="1"/>
  <c r="CB277" i="13"/>
  <c r="CC277" i="13" s="1"/>
  <c r="BT251" i="13"/>
  <c r="BU251" i="13" s="1"/>
  <c r="BP300" i="13"/>
  <c r="BQ300" i="13" s="1"/>
  <c r="BR300" i="13" s="1" a="1"/>
  <c r="BR300" i="13" s="1"/>
  <c r="BV285" i="13" a="1"/>
  <c r="BV285" i="13" s="1"/>
  <c r="BX296" i="13"/>
  <c r="BY296" i="13" s="1"/>
  <c r="CV296" i="13"/>
  <c r="CW296" i="13" s="1"/>
  <c r="CR333" i="13"/>
  <c r="CS333" i="13" s="1"/>
  <c r="BX310" i="13"/>
  <c r="BY310" i="13" s="1"/>
  <c r="CB325" i="13"/>
  <c r="CC325" i="13" s="1"/>
  <c r="BR343" i="13" a="1"/>
  <c r="BR343" i="13" s="1"/>
  <c r="BR345" i="13" a="1"/>
  <c r="BR345" i="13" s="1"/>
  <c r="BT354" i="13"/>
  <c r="BU354" i="13" s="1"/>
  <c r="CN381" i="13"/>
  <c r="CO381" i="13" s="1"/>
  <c r="CT381" i="13" s="1" a="1"/>
  <c r="CT381" i="13" s="1"/>
  <c r="CD387" i="13" a="1"/>
  <c r="CD387" i="13" s="1"/>
  <c r="BZ389" i="13" a="1"/>
  <c r="BZ389" i="13" s="1"/>
  <c r="CV478" i="13"/>
  <c r="CW478" i="13" s="1"/>
  <c r="CY478" i="13" s="1" a="1"/>
  <c r="CY478" i="13" s="1"/>
  <c r="BT693" i="13"/>
  <c r="BU693" i="13" s="1"/>
  <c r="BZ693" i="13" s="1" a="1"/>
  <c r="BZ693" i="13" s="1"/>
  <c r="BP697" i="13"/>
  <c r="BQ697" i="13" s="1"/>
  <c r="BR697" i="13" s="1" a="1"/>
  <c r="BR697" i="13" s="1"/>
  <c r="CV690" i="13"/>
  <c r="CW690" i="13" s="1"/>
  <c r="CN748" i="13"/>
  <c r="CO748" i="13" s="1"/>
  <c r="CV817" i="13"/>
  <c r="CW817" i="13" s="1"/>
  <c r="BT860" i="13"/>
  <c r="BU860" i="13" s="1"/>
  <c r="CN876" i="13"/>
  <c r="CO876" i="13" s="1"/>
  <c r="CB854" i="13"/>
  <c r="CC854" i="13" s="1"/>
  <c r="CE854" i="13" s="1" a="1"/>
  <c r="CE854" i="13" s="1"/>
  <c r="BX836" i="13"/>
  <c r="BY836" i="13" s="1"/>
  <c r="BZ836" i="13" s="1" a="1"/>
  <c r="BZ836" i="13" s="1"/>
  <c r="BX882" i="13"/>
  <c r="BY882" i="13" s="1"/>
  <c r="CN894" i="13"/>
  <c r="CO894" i="13" s="1"/>
  <c r="CN915" i="13"/>
  <c r="CO915" i="13" s="1"/>
  <c r="CN931" i="13"/>
  <c r="CO931" i="13" s="1"/>
  <c r="CV951" i="13"/>
  <c r="CW951" i="13" s="1"/>
  <c r="BX940" i="13"/>
  <c r="BY940" i="13" s="1"/>
  <c r="CV958" i="13"/>
  <c r="CW958" i="13" s="1"/>
  <c r="CN156" i="13"/>
  <c r="CO156" i="13" s="1"/>
  <c r="CT156" i="13" s="1" a="1"/>
  <c r="CT156" i="13" s="1"/>
  <c r="CB164" i="13"/>
  <c r="CC164" i="13" s="1"/>
  <c r="CE164" i="13" s="1" a="1"/>
  <c r="CE164" i="13" s="1"/>
  <c r="BX395" i="13"/>
  <c r="BY395" i="13" s="1"/>
  <c r="CD395" i="13" s="1" a="1"/>
  <c r="CD395" i="13" s="1"/>
  <c r="CF292" i="13"/>
  <c r="R292" i="13" s="1"/>
  <c r="BV142" i="13" a="1"/>
  <c r="BV142" i="13" s="1"/>
  <c r="CY132" i="13" a="1"/>
  <c r="CY132" i="13" s="1"/>
  <c r="BV145" i="13" a="1"/>
  <c r="BV145" i="13" s="1"/>
  <c r="BR145" i="13" a="1"/>
  <c r="BR145" i="13" s="1"/>
  <c r="CT124" i="13" a="1"/>
  <c r="CT124" i="13" s="1"/>
  <c r="CX124" i="13" a="1"/>
  <c r="CX124" i="13" s="1"/>
  <c r="BV135" i="13" a="1"/>
  <c r="BV135" i="13" s="1"/>
  <c r="CT148" i="13" a="1"/>
  <c r="CT148" i="13" s="1"/>
  <c r="CT163" i="13" a="1"/>
  <c r="CT163" i="13" s="1"/>
  <c r="CD132" i="13" a="1"/>
  <c r="CD132" i="13" s="1"/>
  <c r="CE132" i="13" a="1"/>
  <c r="CE132" i="13" s="1"/>
  <c r="CY155" i="13" a="1"/>
  <c r="CY155" i="13" s="1"/>
  <c r="CY122" i="13" a="1"/>
  <c r="CY122" i="13" s="1"/>
  <c r="BV136" i="13" a="1"/>
  <c r="BV136" i="13" s="1"/>
  <c r="CE145" i="13" a="1"/>
  <c r="CE145" i="13" s="1"/>
  <c r="CD145" i="13" a="1"/>
  <c r="CD145" i="13" s="1"/>
  <c r="CY158" i="13" a="1"/>
  <c r="CY158" i="13" s="1"/>
  <c r="CE148" i="13" a="1"/>
  <c r="CE148" i="13" s="1"/>
  <c r="CD148" i="13" a="1"/>
  <c r="CD148" i="13" s="1"/>
  <c r="CE142" i="13" a="1"/>
  <c r="CE142" i="13" s="1"/>
  <c r="CT149" i="13" a="1"/>
  <c r="CT149" i="13" s="1"/>
  <c r="CX148" i="13" a="1"/>
  <c r="CX148" i="13" s="1"/>
  <c r="CE147" i="13" a="1"/>
  <c r="CE147" i="13" s="1"/>
  <c r="CD147" i="13" a="1"/>
  <c r="CD147" i="13" s="1"/>
  <c r="CD156" i="13" a="1"/>
  <c r="CD156" i="13" s="1"/>
  <c r="CE156" i="13" a="1"/>
  <c r="CE156" i="13" s="1"/>
  <c r="CB128" i="13"/>
  <c r="CC128" i="13" s="1"/>
  <c r="CN128" i="13"/>
  <c r="CO128" i="13" s="1"/>
  <c r="CP128" i="13" s="1" a="1"/>
  <c r="CP128" i="13" s="1"/>
  <c r="BT126" i="13"/>
  <c r="BU126" i="13" s="1"/>
  <c r="BV126" i="13" s="1" a="1"/>
  <c r="BV126" i="13" s="1"/>
  <c r="BT128" i="13"/>
  <c r="BU128" i="13" s="1"/>
  <c r="BV128" i="13" s="1" a="1"/>
  <c r="BV128" i="13" s="1"/>
  <c r="CJ135" i="13"/>
  <c r="CK135" i="13" s="1"/>
  <c r="CP135" i="13" s="1" a="1"/>
  <c r="CP135" i="13" s="1"/>
  <c r="CR134" i="13"/>
  <c r="CS134" i="13" s="1"/>
  <c r="BP135" i="13"/>
  <c r="BQ135" i="13" s="1"/>
  <c r="CV142" i="13"/>
  <c r="CW142" i="13" s="1"/>
  <c r="CY141" i="13" a="1"/>
  <c r="CY141" i="13" s="1"/>
  <c r="BP134" i="13"/>
  <c r="BQ134" i="13" s="1"/>
  <c r="BV134" i="13" s="1" a="1"/>
  <c r="BV134" i="13" s="1"/>
  <c r="CJ148" i="13"/>
  <c r="CK148" i="13" s="1"/>
  <c r="CL148" i="13" s="1" a="1"/>
  <c r="CL148" i="13" s="1"/>
  <c r="CV145" i="13"/>
  <c r="CW145" i="13" s="1"/>
  <c r="BJ154" i="13"/>
  <c r="CJ154" i="13" s="1"/>
  <c r="CK154" i="13" s="1"/>
  <c r="CL154" i="13" s="1" a="1"/>
  <c r="CL154" i="13" s="1"/>
  <c r="CP146" i="13" a="1"/>
  <c r="CP146" i="13" s="1"/>
  <c r="BJ161" i="13"/>
  <c r="BP165" i="13"/>
  <c r="BQ165" i="13" s="1"/>
  <c r="BR165" i="13" s="1" a="1"/>
  <c r="BR165" i="13" s="1"/>
  <c r="CV165" i="13"/>
  <c r="CW165" i="13" s="1"/>
  <c r="CR165" i="13"/>
  <c r="CS165" i="13" s="1"/>
  <c r="CJ165" i="13"/>
  <c r="CK165" i="13" s="1"/>
  <c r="CL165" i="13" s="1" a="1"/>
  <c r="CL165" i="13" s="1"/>
  <c r="CB165" i="13"/>
  <c r="CC165" i="13" s="1"/>
  <c r="CN165" i="13"/>
  <c r="CO165" i="13" s="1"/>
  <c r="CP165" i="13" s="1" a="1"/>
  <c r="CP165" i="13" s="1"/>
  <c r="BX165" i="13"/>
  <c r="BY165" i="13" s="1"/>
  <c r="BT165" i="13"/>
  <c r="BU165" i="13" s="1"/>
  <c r="CD163" i="13" a="1"/>
  <c r="CD163" i="13" s="1"/>
  <c r="BJ168" i="13"/>
  <c r="CD185" i="13" a="1"/>
  <c r="CD185" i="13" s="1"/>
  <c r="CE188" i="13" a="1"/>
  <c r="CE188" i="13" s="1"/>
  <c r="CY200" i="13" a="1"/>
  <c r="CY200" i="13" s="1"/>
  <c r="CX200" i="13" a="1"/>
  <c r="CX200" i="13" s="1"/>
  <c r="CE209" i="13" a="1"/>
  <c r="CE209" i="13" s="1"/>
  <c r="CY211" i="13" a="1"/>
  <c r="CY211" i="13" s="1"/>
  <c r="CE240" i="13" a="1"/>
  <c r="CE240" i="13" s="1"/>
  <c r="CD241" i="13" a="1"/>
  <c r="CD241" i="13" s="1"/>
  <c r="CE241" i="13" a="1"/>
  <c r="CE241" i="13" s="1"/>
  <c r="BV249" i="13" a="1"/>
  <c r="BV249" i="13" s="1"/>
  <c r="CY260" i="13" a="1"/>
  <c r="CY260" i="13" s="1"/>
  <c r="BV276" i="13" a="1"/>
  <c r="BV276" i="13" s="1"/>
  <c r="BZ243" i="13" a="1"/>
  <c r="BZ243" i="13" s="1"/>
  <c r="CX280" i="13" a="1"/>
  <c r="CX280" i="13" s="1"/>
  <c r="CY280" i="13" a="1"/>
  <c r="CY280" i="13" s="1"/>
  <c r="BZ272" i="13" a="1"/>
  <c r="BZ272" i="13" s="1"/>
  <c r="CE284" i="13" a="1"/>
  <c r="CE284" i="13" s="1"/>
  <c r="CD284" i="13" a="1"/>
  <c r="CD284" i="13" s="1"/>
  <c r="BR327" i="13" a="1"/>
  <c r="BR327" i="13" s="1"/>
  <c r="BZ329" i="13" a="1"/>
  <c r="BZ329" i="13" s="1"/>
  <c r="CD337" i="13" a="1"/>
  <c r="CD337" i="13" s="1"/>
  <c r="CE337" i="13" a="1"/>
  <c r="CE337" i="13" s="1"/>
  <c r="CD351" i="13" a="1"/>
  <c r="CD351" i="13" s="1"/>
  <c r="CE351" i="13" a="1"/>
  <c r="CE351" i="13" s="1"/>
  <c r="CD354" i="13" a="1"/>
  <c r="CD354" i="13" s="1"/>
  <c r="CE354" i="13" a="1"/>
  <c r="CE354" i="13" s="1"/>
  <c r="CE382" i="13" a="1"/>
  <c r="CE382" i="13" s="1"/>
  <c r="CT387" i="13" a="1"/>
  <c r="CT387" i="13" s="1"/>
  <c r="CX387" i="13" a="1"/>
  <c r="CX387" i="13" s="1"/>
  <c r="CY402" i="13" a="1"/>
  <c r="CY402" i="13" s="1"/>
  <c r="BZ430" i="13" a="1"/>
  <c r="BZ430" i="13" s="1"/>
  <c r="CJ130" i="13"/>
  <c r="CK130" i="13" s="1"/>
  <c r="CL130" i="13" s="1" a="1"/>
  <c r="CL130" i="13" s="1"/>
  <c r="CV130" i="13"/>
  <c r="CW130" i="13" s="1"/>
  <c r="CB130" i="13"/>
  <c r="CC130" i="13" s="1"/>
  <c r="CJ124" i="13"/>
  <c r="CK124" i="13" s="1"/>
  <c r="CL124" i="13" s="1" a="1"/>
  <c r="CL124" i="13" s="1"/>
  <c r="BT130" i="13"/>
  <c r="BU130" i="13" s="1"/>
  <c r="BV130" i="13" s="1" a="1"/>
  <c r="BV130" i="13" s="1"/>
  <c r="BJ127" i="13"/>
  <c r="CR127" i="13" s="1"/>
  <c r="CS127" i="13" s="1"/>
  <c r="BX128" i="13"/>
  <c r="BY128" i="13" s="1"/>
  <c r="BJ140" i="13"/>
  <c r="BX140" i="13" s="1"/>
  <c r="BY140" i="13" s="1"/>
  <c r="CV134" i="13"/>
  <c r="CW134" i="13" s="1"/>
  <c r="BX135" i="13"/>
  <c r="BY135" i="13" s="1"/>
  <c r="BZ135" i="13" s="1" a="1"/>
  <c r="BZ135" i="13" s="1"/>
  <c r="CV136" i="13"/>
  <c r="CW136" i="13" s="1"/>
  <c r="CJ136" i="13"/>
  <c r="CK136" i="13" s="1"/>
  <c r="BX141" i="13"/>
  <c r="BY141" i="13" s="1"/>
  <c r="BZ141" i="13" s="1" a="1"/>
  <c r="BZ141" i="13" s="1"/>
  <c r="CJ147" i="13"/>
  <c r="CK147" i="13" s="1"/>
  <c r="CL147" i="13" s="1" a="1"/>
  <c r="CL147" i="13" s="1"/>
  <c r="CR147" i="13"/>
  <c r="CS147" i="13" s="1"/>
  <c r="BT147" i="13"/>
  <c r="BU147" i="13" s="1"/>
  <c r="CN147" i="13"/>
  <c r="CO147" i="13" s="1"/>
  <c r="BP147" i="13"/>
  <c r="BQ147" i="13" s="1"/>
  <c r="BR147" i="13" s="1" a="1"/>
  <c r="BR147" i="13" s="1"/>
  <c r="CV147" i="13"/>
  <c r="CW147" i="13" s="1"/>
  <c r="BR134" i="13" a="1"/>
  <c r="BR134" i="13" s="1"/>
  <c r="CN144" i="13"/>
  <c r="CO144" i="13" s="1"/>
  <c r="CP144" i="13" s="1" a="1"/>
  <c r="CP144" i="13" s="1"/>
  <c r="CJ144" i="13"/>
  <c r="CK144" i="13" s="1"/>
  <c r="CL144" i="13" s="1" a="1"/>
  <c r="CL144" i="13" s="1"/>
  <c r="CB144" i="13"/>
  <c r="CC144" i="13" s="1"/>
  <c r="BP144" i="13"/>
  <c r="BQ144" i="13" s="1"/>
  <c r="BR144" i="13" s="1" a="1"/>
  <c r="BR144" i="13" s="1"/>
  <c r="CR144" i="13"/>
  <c r="CS144" i="13" s="1"/>
  <c r="CD146" i="13" a="1"/>
  <c r="CD146" i="13" s="1"/>
  <c r="CJ188" i="13"/>
  <c r="CK188" i="13" s="1"/>
  <c r="CL188" i="13" s="1" a="1"/>
  <c r="CL188" i="13" s="1"/>
  <c r="CN188" i="13"/>
  <c r="CO188" i="13" s="1"/>
  <c r="CP188" i="13" s="1" a="1"/>
  <c r="CP188" i="13" s="1"/>
  <c r="BP188" i="13"/>
  <c r="BQ188" i="13" s="1"/>
  <c r="BR188" i="13" s="1" a="1"/>
  <c r="BR188" i="13" s="1"/>
  <c r="CV188" i="13"/>
  <c r="CW188" i="13" s="1"/>
  <c r="CX191" i="13" a="1"/>
  <c r="CX191" i="13" s="1"/>
  <c r="CY191" i="13" a="1"/>
  <c r="CY191" i="13" s="1"/>
  <c r="CE210" i="13" a="1"/>
  <c r="CE210" i="13" s="1"/>
  <c r="CE205" i="13" a="1"/>
  <c r="CE205" i="13" s="1"/>
  <c r="CD205" i="13" a="1"/>
  <c r="CD205" i="13" s="1"/>
  <c r="CD245" i="13" a="1"/>
  <c r="CD245" i="13" s="1"/>
  <c r="CE245" i="13" a="1"/>
  <c r="CE245" i="13" s="1"/>
  <c r="CP245" i="13" a="1"/>
  <c r="CP245" i="13" s="1"/>
  <c r="CZ245" i="13" s="1"/>
  <c r="Z245" i="13" s="1"/>
  <c r="CE254" i="13" a="1"/>
  <c r="CE254" i="13" s="1"/>
  <c r="CD242" i="13" a="1"/>
  <c r="CD242" i="13" s="1"/>
  <c r="CE242" i="13" a="1"/>
  <c r="CE242" i="13" s="1"/>
  <c r="CT248" i="13" a="1"/>
  <c r="CT248" i="13" s="1"/>
  <c r="CE282" i="13" a="1"/>
  <c r="CE282" i="13" s="1"/>
  <c r="CD282" i="13" a="1"/>
  <c r="CD282" i="13" s="1"/>
  <c r="BZ314" i="13" a="1"/>
  <c r="BZ314" i="13" s="1"/>
  <c r="CX339" i="13" a="1"/>
  <c r="CX339" i="13" s="1"/>
  <c r="CY339" i="13" a="1"/>
  <c r="CY339" i="13" s="1"/>
  <c r="CX341" i="13" a="1"/>
  <c r="CX341" i="13" s="1"/>
  <c r="CY341" i="13" a="1"/>
  <c r="CY341" i="13" s="1"/>
  <c r="CY343" i="13" a="1"/>
  <c r="CY343" i="13" s="1"/>
  <c r="CX343" i="13" a="1"/>
  <c r="CX343" i="13" s="1"/>
  <c r="CF351" i="13"/>
  <c r="R351" i="13" s="1"/>
  <c r="CE383" i="13" a="1"/>
  <c r="CE383" i="13" s="1"/>
  <c r="CY376" i="13" a="1"/>
  <c r="CY376" i="13" s="1"/>
  <c r="CE381" i="13" a="1"/>
  <c r="CE381" i="13" s="1"/>
  <c r="BZ387" i="13" a="1"/>
  <c r="BZ387" i="13" s="1"/>
  <c r="BV380" i="13" a="1"/>
  <c r="BV380" i="13" s="1"/>
  <c r="BZ426" i="13" a="1"/>
  <c r="BZ426" i="13" s="1"/>
  <c r="CE430" i="13" a="1"/>
  <c r="CE430" i="13" s="1"/>
  <c r="CF430" i="13" s="1"/>
  <c r="R430" i="13" s="1"/>
  <c r="CD430" i="13" a="1"/>
  <c r="CD430" i="13" s="1"/>
  <c r="CN132" i="13"/>
  <c r="CO132" i="13" s="1"/>
  <c r="CP132" i="13" s="1" a="1"/>
  <c r="CP132" i="13" s="1"/>
  <c r="CJ127" i="13"/>
  <c r="CK127" i="13" s="1"/>
  <c r="CL127" i="13" s="1" a="1"/>
  <c r="CL127" i="13" s="1"/>
  <c r="BP127" i="13"/>
  <c r="BQ127" i="13" s="1"/>
  <c r="BR127" i="13" s="1" a="1"/>
  <c r="BR127" i="13" s="1"/>
  <c r="CR132" i="13"/>
  <c r="CS132" i="13" s="1"/>
  <c r="CB135" i="13"/>
  <c r="CC135" i="13" s="1"/>
  <c r="CB126" i="13"/>
  <c r="CC126" i="13" s="1"/>
  <c r="CR135" i="13"/>
  <c r="CS135" i="13" s="1"/>
  <c r="CT135" i="13" s="1" a="1"/>
  <c r="CT135" i="13" s="1"/>
  <c r="BU138" i="13"/>
  <c r="BJ138" i="13"/>
  <c r="BT138" i="13" s="1"/>
  <c r="CX146" i="13" a="1"/>
  <c r="CX146" i="13" s="1"/>
  <c r="CY146" i="13" a="1"/>
  <c r="CY146" i="13" s="1"/>
  <c r="BR135" i="13" a="1"/>
  <c r="BR135" i="13" s="1"/>
  <c r="CF149" i="13"/>
  <c r="R149" i="13" s="1"/>
  <c r="CV154" i="13"/>
  <c r="CW154" i="13" s="1"/>
  <c r="CF146" i="13"/>
  <c r="R146" i="13" s="1"/>
  <c r="CJ168" i="13"/>
  <c r="CK168" i="13" s="1"/>
  <c r="CL168" i="13" s="1" a="1"/>
  <c r="CL168" i="13" s="1"/>
  <c r="BP168" i="13"/>
  <c r="BQ168" i="13" s="1"/>
  <c r="BR168" i="13" s="1" a="1"/>
  <c r="BR168" i="13" s="1"/>
  <c r="CV168" i="13"/>
  <c r="CW168" i="13" s="1"/>
  <c r="CX189" i="13" a="1"/>
  <c r="CX189" i="13" s="1"/>
  <c r="BR254" i="13" a="1"/>
  <c r="BR254" i="13" s="1"/>
  <c r="BV254" i="13" a="1"/>
  <c r="BV254" i="13" s="1"/>
  <c r="CP259" i="13" a="1"/>
  <c r="CP259" i="13" s="1"/>
  <c r="CT280" i="13" a="1"/>
  <c r="CT280" i="13" s="1"/>
  <c r="CP291" i="13" a="1"/>
  <c r="CP291" i="13" s="1"/>
  <c r="CT291" i="13" a="1"/>
  <c r="CT291" i="13" s="1"/>
  <c r="BZ343" i="13" a="1"/>
  <c r="BZ343" i="13" s="1"/>
  <c r="CD343" i="13" a="1"/>
  <c r="CD343" i="13" s="1"/>
  <c r="CE349" i="13" a="1"/>
  <c r="CE349" i="13" s="1"/>
  <c r="CD349" i="13" a="1"/>
  <c r="CD349" i="13" s="1"/>
  <c r="CE377" i="13" a="1"/>
  <c r="CE377" i="13" s="1"/>
  <c r="CE407" i="13" a="1"/>
  <c r="CE407" i="13" s="1"/>
  <c r="CD398" i="13" a="1"/>
  <c r="CD398" i="13" s="1"/>
  <c r="CE398" i="13" a="1"/>
  <c r="CE398" i="13" s="1"/>
  <c r="BJ123" i="13"/>
  <c r="CN123" i="13" s="1"/>
  <c r="CO123" i="13" s="1"/>
  <c r="CV127" i="13"/>
  <c r="CW127" i="13" s="1"/>
  <c r="BJ137" i="13"/>
  <c r="BP137" i="13" s="1"/>
  <c r="BQ137" i="13" s="1"/>
  <c r="BR137" i="13" s="1" a="1"/>
  <c r="BR137" i="13" s="1"/>
  <c r="CE136" i="13" a="1"/>
  <c r="CE136" i="13" s="1"/>
  <c r="CJ134" i="13"/>
  <c r="CK134" i="13" s="1"/>
  <c r="CL134" i="13" s="1" a="1"/>
  <c r="CL134" i="13" s="1"/>
  <c r="CP145" i="13" a="1"/>
  <c r="CP145" i="13" s="1"/>
  <c r="BT154" i="13"/>
  <c r="BU154" i="13" s="1"/>
  <c r="BJ152" i="13"/>
  <c r="CR152" i="13" s="1"/>
  <c r="CS152" i="13" s="1"/>
  <c r="CD208" i="13" a="1"/>
  <c r="CD208" i="13" s="1"/>
  <c r="CE208" i="13" a="1"/>
  <c r="CE208" i="13" s="1"/>
  <c r="CE221" i="13" a="1"/>
  <c r="CE221" i="13" s="1"/>
  <c r="CE246" i="13" a="1"/>
  <c r="CE246" i="13" s="1"/>
  <c r="CY251" i="13" a="1"/>
  <c r="CY251" i="13" s="1"/>
  <c r="CY243" i="13" a="1"/>
  <c r="CY243" i="13" s="1"/>
  <c r="CY282" i="13" a="1"/>
  <c r="CY282" i="13" s="1"/>
  <c r="CX291" i="13" a="1"/>
  <c r="CX291" i="13" s="1"/>
  <c r="CY291" i="13" a="1"/>
  <c r="CY291" i="13" s="1"/>
  <c r="CY288" i="13" a="1"/>
  <c r="CY288" i="13" s="1"/>
  <c r="CX288" i="13" a="1"/>
  <c r="CX288" i="13" s="1"/>
  <c r="CY316" i="13" a="1"/>
  <c r="CY316" i="13" s="1"/>
  <c r="CX316" i="13" a="1"/>
  <c r="CX316" i="13" s="1"/>
  <c r="CT316" i="13" a="1"/>
  <c r="CT316" i="13" s="1"/>
  <c r="BV327" i="13" a="1"/>
  <c r="BV327" i="13" s="1"/>
  <c r="CY379" i="13" a="1"/>
  <c r="CY379" i="13" s="1"/>
  <c r="CX354" i="13" a="1"/>
  <c r="CX354" i="13" s="1"/>
  <c r="BV376" i="13" a="1"/>
  <c r="BV376" i="13" s="1"/>
  <c r="CP377" i="13" a="1"/>
  <c r="CP377" i="13" s="1"/>
  <c r="CT377" i="13" a="1"/>
  <c r="CT377" i="13" s="1"/>
  <c r="CX425" i="13" a="1"/>
  <c r="CX425" i="13" s="1"/>
  <c r="CY425" i="13" a="1"/>
  <c r="CY425" i="13" s="1"/>
  <c r="CD426" i="13" a="1"/>
  <c r="CD426" i="13" s="1"/>
  <c r="CE426" i="13" a="1"/>
  <c r="CE426" i="13" s="1"/>
  <c r="CB122" i="13"/>
  <c r="CC122" i="13" s="1"/>
  <c r="CJ122" i="13"/>
  <c r="CK122" i="13" s="1"/>
  <c r="CL122" i="13" s="1" a="1"/>
  <c r="CL122" i="13" s="1"/>
  <c r="CR122" i="13"/>
  <c r="CS122" i="13" s="1"/>
  <c r="CT122" i="13" s="1" a="1"/>
  <c r="CT122" i="13" s="1"/>
  <c r="BT122" i="13"/>
  <c r="BU122" i="13" s="1"/>
  <c r="BV122" i="13" s="1" a="1"/>
  <c r="BV122" i="13" s="1"/>
  <c r="CN126" i="13"/>
  <c r="CO126" i="13" s="1"/>
  <c r="CN127" i="13"/>
  <c r="CO127" i="13" s="1"/>
  <c r="CP127" i="13" s="1" a="1"/>
  <c r="CP127" i="13" s="1"/>
  <c r="CB127" i="13"/>
  <c r="CC127" i="13" s="1"/>
  <c r="CV128" i="13"/>
  <c r="CW128" i="13" s="1"/>
  <c r="BT132" i="13"/>
  <c r="BU132" i="13" s="1"/>
  <c r="BV132" i="13" s="1" a="1"/>
  <c r="BV132" i="13" s="1"/>
  <c r="CV135" i="13"/>
  <c r="CW135" i="13" s="1"/>
  <c r="BJ125" i="13"/>
  <c r="BT125" i="13" s="1"/>
  <c r="BU125" i="13" s="1"/>
  <c r="CV143" i="13"/>
  <c r="CW143" i="13" s="1"/>
  <c r="BJ139" i="13"/>
  <c r="CJ139" i="13" s="1"/>
  <c r="CK139" i="13" s="1"/>
  <c r="CL139" i="13" s="1" a="1"/>
  <c r="CL139" i="13" s="1"/>
  <c r="CN134" i="13"/>
  <c r="CO134" i="13" s="1"/>
  <c r="CD143" i="13" a="1"/>
  <c r="CD143" i="13" s="1"/>
  <c r="CB154" i="13"/>
  <c r="CC154" i="13" s="1"/>
  <c r="CX149" i="13" a="1"/>
  <c r="CX149" i="13" s="1"/>
  <c r="BT152" i="13"/>
  <c r="BU152" i="13" s="1"/>
  <c r="CN152" i="13"/>
  <c r="CO152" i="13" s="1"/>
  <c r="BP148" i="13"/>
  <c r="BQ148" i="13" s="1"/>
  <c r="BR148" i="13" s="1" a="1"/>
  <c r="BR148" i="13" s="1"/>
  <c r="BZ184" i="13" a="1"/>
  <c r="BZ184" i="13" s="1"/>
  <c r="CT188" i="13" a="1"/>
  <c r="CT188" i="13" s="1"/>
  <c r="BV205" i="13" a="1"/>
  <c r="BV205" i="13" s="1"/>
  <c r="BZ212" i="13" a="1"/>
  <c r="BZ212" i="13" s="1"/>
  <c r="CP200" i="13" a="1"/>
  <c r="CP200" i="13" s="1"/>
  <c r="CZ200" i="13" s="1"/>
  <c r="Z200" i="13" s="1"/>
  <c r="CY217" i="13" a="1"/>
  <c r="CY217" i="13" s="1"/>
  <c r="CE243" i="13" a="1"/>
  <c r="CE243" i="13" s="1"/>
  <c r="CD243" i="13" a="1"/>
  <c r="CD243" i="13" s="1"/>
  <c r="CT239" i="13" a="1"/>
  <c r="CT239" i="13" s="1"/>
  <c r="CP239" i="13" a="1"/>
  <c r="CP239" i="13" s="1"/>
  <c r="CD247" i="13" a="1"/>
  <c r="CD247" i="13" s="1"/>
  <c r="CE247" i="13" a="1"/>
  <c r="CE247" i="13" s="1"/>
  <c r="CY262" i="13" a="1"/>
  <c r="CY262" i="13" s="1"/>
  <c r="CT272" i="13" a="1"/>
  <c r="CT272" i="13" s="1"/>
  <c r="CY264" i="13" a="1"/>
  <c r="CY264" i="13" s="1"/>
  <c r="CY300" i="13" a="1"/>
  <c r="CY300" i="13" s="1"/>
  <c r="CX327" i="13" a="1"/>
  <c r="CX327" i="13" s="1"/>
  <c r="CY327" i="13" a="1"/>
  <c r="CY327" i="13" s="1"/>
  <c r="CT327" i="13" a="1"/>
  <c r="CT327" i="13" s="1"/>
  <c r="CD347" i="13" a="1"/>
  <c r="CD347" i="13" s="1"/>
  <c r="CE347" i="13" a="1"/>
  <c r="CE347" i="13" s="1"/>
  <c r="CE385" i="13" a="1"/>
  <c r="CE385" i="13" s="1"/>
  <c r="CX385" i="13" a="1"/>
  <c r="CX385" i="13" s="1"/>
  <c r="CY385" i="13" a="1"/>
  <c r="CY385" i="13" s="1"/>
  <c r="CP374" i="13" a="1"/>
  <c r="CP374" i="13" s="1"/>
  <c r="CT389" i="13" a="1"/>
  <c r="CT389" i="13" s="1"/>
  <c r="CX389" i="13" a="1"/>
  <c r="CX389" i="13" s="1"/>
  <c r="CX374" i="13" a="1"/>
  <c r="CX374" i="13" s="1"/>
  <c r="CY374" i="13" a="1"/>
  <c r="CY374" i="13" s="1"/>
  <c r="CE403" i="13" a="1"/>
  <c r="CE403" i="13" s="1"/>
  <c r="CL400" i="13" a="1"/>
  <c r="CL400" i="13" s="1"/>
  <c r="CY420" i="13" a="1"/>
  <c r="CY420" i="13" s="1"/>
  <c r="CX420" i="13" a="1"/>
  <c r="CX420" i="13" s="1"/>
  <c r="CD422" i="13" a="1"/>
  <c r="CD422" i="13" s="1"/>
  <c r="CE422" i="13" a="1"/>
  <c r="CE422" i="13" s="1"/>
  <c r="CX412" i="13" a="1"/>
  <c r="CX412" i="13" s="1"/>
  <c r="CY412" i="13" a="1"/>
  <c r="CY412" i="13" s="1"/>
  <c r="CE417" i="13" a="1"/>
  <c r="CE417" i="13" s="1"/>
  <c r="BT127" i="13"/>
  <c r="BU127" i="13" s="1"/>
  <c r="BV127" i="13" s="1" a="1"/>
  <c r="BV127" i="13" s="1"/>
  <c r="CR126" i="13"/>
  <c r="CS126" i="13" s="1"/>
  <c r="CT126" i="13" s="1" a="1"/>
  <c r="CT126" i="13" s="1"/>
  <c r="CB137" i="13"/>
  <c r="CC137" i="13" s="1"/>
  <c r="CB140" i="13"/>
  <c r="CC140" i="13" s="1"/>
  <c r="BZ147" i="13" a="1"/>
  <c r="BZ147" i="13" s="1"/>
  <c r="CE141" i="13" a="1"/>
  <c r="CE141" i="13" s="1"/>
  <c r="CR139" i="13"/>
  <c r="CS139" i="13" s="1"/>
  <c r="CJ142" i="13"/>
  <c r="CK142" i="13" s="1"/>
  <c r="CL142" i="13" s="1" a="1"/>
  <c r="CL142" i="13" s="1"/>
  <c r="BX142" i="13"/>
  <c r="BY142" i="13" s="1"/>
  <c r="BZ142" i="13" s="1" a="1"/>
  <c r="BZ142" i="13" s="1"/>
  <c r="CC150" i="13"/>
  <c r="BJ150" i="13"/>
  <c r="CB150" i="13" s="1"/>
  <c r="CJ150" i="13"/>
  <c r="CK150" i="13" s="1"/>
  <c r="CL150" i="13" s="1" a="1"/>
  <c r="CL150" i="13" s="1"/>
  <c r="CR141" i="13"/>
  <c r="CS141" i="13" s="1"/>
  <c r="CT141" i="13" s="1" a="1"/>
  <c r="CT141" i="13" s="1"/>
  <c r="CR158" i="13"/>
  <c r="CS158" i="13" s="1"/>
  <c r="BX158" i="13"/>
  <c r="BY158" i="13" s="1"/>
  <c r="CT162" i="13" a="1"/>
  <c r="CT162" i="13" s="1"/>
  <c r="BJ167" i="13"/>
  <c r="CN167" i="13" s="1"/>
  <c r="CO167" i="13" s="1"/>
  <c r="BZ163" i="13" a="1"/>
  <c r="BZ163" i="13" s="1"/>
  <c r="CJ162" i="13"/>
  <c r="CK162" i="13" s="1"/>
  <c r="CL162" i="13" s="1" a="1"/>
  <c r="CL162" i="13" s="1"/>
  <c r="CN162" i="13"/>
  <c r="CO162" i="13" s="1"/>
  <c r="CB162" i="13"/>
  <c r="CC162" i="13" s="1"/>
  <c r="CV162" i="13"/>
  <c r="CW162" i="13" s="1"/>
  <c r="BX162" i="13"/>
  <c r="BY162" i="13" s="1"/>
  <c r="BZ162" i="13" s="1" a="1"/>
  <c r="BZ162" i="13" s="1"/>
  <c r="BP162" i="13"/>
  <c r="BQ162" i="13" s="1"/>
  <c r="BR162" i="13" s="1" a="1"/>
  <c r="BR162" i="13" s="1"/>
  <c r="BJ170" i="13"/>
  <c r="BT170" i="13" s="1"/>
  <c r="BU170" i="13" s="1"/>
  <c r="CD203" i="13" a="1"/>
  <c r="CD203" i="13" s="1"/>
  <c r="BZ203" i="13" a="1"/>
  <c r="BZ203" i="13" s="1"/>
  <c r="CF205" i="13"/>
  <c r="R205" i="13" s="1"/>
  <c r="CY221" i="13" a="1"/>
  <c r="CY221" i="13" s="1"/>
  <c r="BZ220" i="13" a="1"/>
  <c r="BZ220" i="13" s="1"/>
  <c r="CT213" i="13" a="1"/>
  <c r="CT213" i="13" s="1"/>
  <c r="BV209" i="13" a="1"/>
  <c r="BV209" i="13" s="1"/>
  <c r="CE226" i="13" a="1"/>
  <c r="CE226" i="13" s="1"/>
  <c r="CD226" i="13" a="1"/>
  <c r="CD226" i="13" s="1"/>
  <c r="CE248" i="13" a="1"/>
  <c r="CE248" i="13" s="1"/>
  <c r="CY222" i="13" a="1"/>
  <c r="CY222" i="13" s="1"/>
  <c r="CX222" i="13" a="1"/>
  <c r="CX222" i="13" s="1"/>
  <c r="BV243" i="13" a="1"/>
  <c r="BV243" i="13" s="1"/>
  <c r="CF243" i="13" s="1"/>
  <c r="R243" i="13" s="1"/>
  <c r="CY257" i="13" a="1"/>
  <c r="CY257" i="13" s="1"/>
  <c r="CY272" i="13" a="1"/>
  <c r="CY272" i="13" s="1"/>
  <c r="CX272" i="13" a="1"/>
  <c r="CX272" i="13" s="1"/>
  <c r="CY268" i="13" a="1"/>
  <c r="CY268" i="13" s="1"/>
  <c r="CX294" i="13" a="1"/>
  <c r="CX294" i="13" s="1"/>
  <c r="CY294" i="13" a="1"/>
  <c r="CY294" i="13" s="1"/>
  <c r="CE285" i="13" a="1"/>
  <c r="CE285" i="13" s="1"/>
  <c r="CD285" i="13" a="1"/>
  <c r="CD285" i="13" s="1"/>
  <c r="BR325" i="13" a="1"/>
  <c r="BR325" i="13" s="1"/>
  <c r="CE335" i="13" a="1"/>
  <c r="CE335" i="13" s="1"/>
  <c r="CD335" i="13" a="1"/>
  <c r="CD335" i="13" s="1"/>
  <c r="CD341" i="13" a="1"/>
  <c r="CD341" i="13" s="1"/>
  <c r="CE341" i="13" a="1"/>
  <c r="CE341" i="13" s="1"/>
  <c r="CE345" i="13" a="1"/>
  <c r="CE345" i="13" s="1"/>
  <c r="CD345" i="13" a="1"/>
  <c r="CD345" i="13" s="1"/>
  <c r="CF347" i="13"/>
  <c r="R347" i="13" s="1"/>
  <c r="CE379" i="13" a="1"/>
  <c r="CE379" i="13" s="1"/>
  <c r="CX377" i="13" a="1"/>
  <c r="CX377" i="13" s="1"/>
  <c r="CY377" i="13" a="1"/>
  <c r="CY377" i="13" s="1"/>
  <c r="CD400" i="13" a="1"/>
  <c r="CD400" i="13" s="1"/>
  <c r="CE400" i="13" a="1"/>
  <c r="CE400" i="13" s="1"/>
  <c r="CX426" i="13" a="1"/>
  <c r="CX426" i="13" s="1"/>
  <c r="CY426" i="13" a="1"/>
  <c r="CY426" i="13" s="1"/>
  <c r="CB124" i="13"/>
  <c r="CC124" i="13" s="1"/>
  <c r="CJ126" i="13"/>
  <c r="CK126" i="13" s="1"/>
  <c r="CL126" i="13" s="1" a="1"/>
  <c r="CL126" i="13" s="1"/>
  <c r="CB123" i="13"/>
  <c r="CC123" i="13" s="1"/>
  <c r="BJ131" i="13"/>
  <c r="CV131" i="13" s="1"/>
  <c r="CW131" i="13" s="1"/>
  <c r="BX127" i="13"/>
  <c r="BY127" i="13" s="1"/>
  <c r="BJ129" i="13"/>
  <c r="CJ129" i="13" s="1"/>
  <c r="CK129" i="13" s="1"/>
  <c r="CL129" i="13" s="1" a="1"/>
  <c r="CL129" i="13" s="1"/>
  <c r="CR128" i="13"/>
  <c r="CS128" i="13" s="1"/>
  <c r="CT128" i="13" s="1" a="1"/>
  <c r="CT128" i="13" s="1"/>
  <c r="BX126" i="13"/>
  <c r="BY126" i="13" s="1"/>
  <c r="BZ126" i="13" s="1" a="1"/>
  <c r="BZ126" i="13" s="1"/>
  <c r="BJ133" i="13"/>
  <c r="CB134" i="13"/>
  <c r="CC134" i="13" s="1"/>
  <c r="BX122" i="13"/>
  <c r="BY122" i="13" s="1"/>
  <c r="BZ122" i="13" s="1" a="1"/>
  <c r="BZ122" i="13" s="1"/>
  <c r="CN140" i="13"/>
  <c r="CO140" i="13" s="1"/>
  <c r="BT137" i="13"/>
  <c r="BU137" i="13" s="1"/>
  <c r="CV138" i="13"/>
  <c r="CW138" i="13" s="1"/>
  <c r="CV125" i="13"/>
  <c r="CW125" i="13" s="1"/>
  <c r="CJ143" i="13"/>
  <c r="CK143" i="13" s="1"/>
  <c r="CL143" i="13" s="1" a="1"/>
  <c r="CL143" i="13" s="1"/>
  <c r="BP143" i="13"/>
  <c r="BQ143" i="13" s="1"/>
  <c r="BR143" i="13" s="1" a="1"/>
  <c r="BR143" i="13" s="1"/>
  <c r="BX150" i="13"/>
  <c r="BY150" i="13" s="1"/>
  <c r="CN153" i="13"/>
  <c r="CO153" i="13" s="1"/>
  <c r="CP153" i="13" s="1" a="1"/>
  <c r="CP153" i="13" s="1"/>
  <c r="BX153" i="13"/>
  <c r="BY153" i="13" s="1"/>
  <c r="CJ153" i="13"/>
  <c r="CK153" i="13" s="1"/>
  <c r="CL153" i="13" s="1" a="1"/>
  <c r="CL153" i="13" s="1"/>
  <c r="CB153" i="13"/>
  <c r="CC153" i="13" s="1"/>
  <c r="BP153" i="13"/>
  <c r="BQ153" i="13" s="1"/>
  <c r="BR153" i="13" s="1" a="1"/>
  <c r="BR153" i="13" s="1"/>
  <c r="BT153" i="13"/>
  <c r="BU153" i="13" s="1"/>
  <c r="BT150" i="13"/>
  <c r="BU150" i="13" s="1"/>
  <c r="BP150" i="13"/>
  <c r="BQ150" i="13" s="1"/>
  <c r="BR150" i="13" s="1" a="1"/>
  <c r="BR150" i="13" s="1"/>
  <c r="BZ156" i="13" a="1"/>
  <c r="BZ156" i="13" s="1"/>
  <c r="CF156" i="13" s="1"/>
  <c r="R156" i="13" s="1"/>
  <c r="BJ173" i="13"/>
  <c r="BJ181" i="13"/>
  <c r="CB168" i="13"/>
  <c r="CC168" i="13" s="1"/>
  <c r="CE190" i="13" a="1"/>
  <c r="CE190" i="13" s="1"/>
  <c r="CT203" i="13" a="1"/>
  <c r="CT203" i="13" s="1"/>
  <c r="CT196" i="13" a="1"/>
  <c r="CT196" i="13" s="1"/>
  <c r="CE215" i="13" a="1"/>
  <c r="CE215" i="13" s="1"/>
  <c r="CD212" i="13" a="1"/>
  <c r="CD212" i="13" s="1"/>
  <c r="CE212" i="13" a="1"/>
  <c r="CE212" i="13" s="1"/>
  <c r="CT220" i="13" a="1"/>
  <c r="CT220" i="13" s="1"/>
  <c r="CY236" i="13" a="1"/>
  <c r="CY236" i="13" s="1"/>
  <c r="CP214" i="13" a="1"/>
  <c r="CP214" i="13" s="1"/>
  <c r="CY259" i="13" a="1"/>
  <c r="CY259" i="13" s="1"/>
  <c r="CX259" i="13" a="1"/>
  <c r="CX259" i="13" s="1"/>
  <c r="CE259" i="13" a="1"/>
  <c r="CE259" i="13" s="1"/>
  <c r="CE277" i="13" a="1"/>
  <c r="CE277" i="13" s="1"/>
  <c r="CE283" i="13" a="1"/>
  <c r="CE283" i="13" s="1"/>
  <c r="BV251" i="13" a="1"/>
  <c r="BV251" i="13" s="1"/>
  <c r="CY296" i="13" a="1"/>
  <c r="CY296" i="13" s="1"/>
  <c r="CD325" i="13" a="1"/>
  <c r="CD325" i="13" s="1"/>
  <c r="CE325" i="13" a="1"/>
  <c r="CE325" i="13" s="1"/>
  <c r="CE339" i="13" a="1"/>
  <c r="CE339" i="13" s="1"/>
  <c r="CD339" i="13" a="1"/>
  <c r="CD339" i="13" s="1"/>
  <c r="CF341" i="13"/>
  <c r="R341" i="13" s="1"/>
  <c r="CF343" i="13"/>
  <c r="R343" i="13" s="1"/>
  <c r="CF345" i="13"/>
  <c r="R345" i="13" s="1"/>
  <c r="BV354" i="13" a="1"/>
  <c r="BV354" i="13" s="1"/>
  <c r="CE391" i="13" a="1"/>
  <c r="CE391" i="13" s="1"/>
  <c r="CT383" i="13" a="1"/>
  <c r="CT383" i="13" s="1"/>
  <c r="CZ383" i="13" s="1"/>
  <c r="Z383" i="13" s="1"/>
  <c r="CE380" i="13" a="1"/>
  <c r="CE380" i="13" s="1"/>
  <c r="CD380" i="13" a="1"/>
  <c r="CD380" i="13" s="1"/>
  <c r="CY409" i="13" a="1"/>
  <c r="CY409" i="13" s="1"/>
  <c r="CY406" i="13" a="1"/>
  <c r="CY406" i="13" s="1"/>
  <c r="CV126" i="13"/>
  <c r="CW126" i="13" s="1"/>
  <c r="BT123" i="13"/>
  <c r="BU123" i="13" s="1"/>
  <c r="CV137" i="13"/>
  <c r="CW137" i="13" s="1"/>
  <c r="CR138" i="13"/>
  <c r="CS138" i="13" s="1"/>
  <c r="CN138" i="13"/>
  <c r="CO138" i="13" s="1"/>
  <c r="CN125" i="13"/>
  <c r="CO125" i="13" s="1"/>
  <c r="CB125" i="13"/>
  <c r="CC125" i="13" s="1"/>
  <c r="CB139" i="13"/>
  <c r="CC139" i="13" s="1"/>
  <c r="CN151" i="13"/>
  <c r="CO151" i="13" s="1"/>
  <c r="CP151" i="13" s="1" a="1"/>
  <c r="CP151" i="13" s="1"/>
  <c r="BX151" i="13"/>
  <c r="BY151" i="13" s="1"/>
  <c r="CJ151" i="13"/>
  <c r="CK151" i="13" s="1"/>
  <c r="CL151" i="13" s="1" a="1"/>
  <c r="CL151" i="13" s="1"/>
  <c r="BP151" i="13"/>
  <c r="BQ151" i="13" s="1"/>
  <c r="BR151" i="13" s="1" a="1"/>
  <c r="BR151" i="13" s="1"/>
  <c r="BT151" i="13"/>
  <c r="BU151" i="13" s="1"/>
  <c r="BV151" i="13" s="1" a="1"/>
  <c r="BV151" i="13" s="1"/>
  <c r="CB151" i="13"/>
  <c r="CC151" i="13" s="1"/>
  <c r="CX153" i="13" a="1"/>
  <c r="CX153" i="13" s="1"/>
  <c r="CY153" i="13" a="1"/>
  <c r="CY153" i="13" s="1"/>
  <c r="CR154" i="13"/>
  <c r="CS154" i="13" s="1"/>
  <c r="CY156" i="13" a="1"/>
  <c r="CY156" i="13" s="1"/>
  <c r="CX156" i="13" a="1"/>
  <c r="CX156" i="13" s="1"/>
  <c r="CR151" i="13"/>
  <c r="CS151" i="13" s="1"/>
  <c r="CN160" i="13"/>
  <c r="CO160" i="13" s="1"/>
  <c r="BP160" i="13"/>
  <c r="BQ160" i="13" s="1"/>
  <c r="BR160" i="13" s="1" a="1"/>
  <c r="BR160" i="13" s="1"/>
  <c r="BT160" i="13"/>
  <c r="BU160" i="13" s="1"/>
  <c r="BV160" i="13" s="1" a="1"/>
  <c r="BV160" i="13" s="1"/>
  <c r="CV160" i="13"/>
  <c r="CW160" i="13" s="1"/>
  <c r="CJ160" i="13"/>
  <c r="CK160" i="13" s="1"/>
  <c r="CL160" i="13" s="1" a="1"/>
  <c r="CL160" i="13" s="1"/>
  <c r="CR160" i="13"/>
  <c r="CS160" i="13" s="1"/>
  <c r="BX160" i="13"/>
  <c r="BY160" i="13" s="1"/>
  <c r="CB160" i="13"/>
  <c r="CC160" i="13" s="1"/>
  <c r="CX163" i="13" a="1"/>
  <c r="CX163" i="13" s="1"/>
  <c r="CY163" i="13" a="1"/>
  <c r="CY163" i="13" s="1"/>
  <c r="CR161" i="13"/>
  <c r="CS161" i="13" s="1"/>
  <c r="BP155" i="13"/>
  <c r="BQ155" i="13" s="1"/>
  <c r="BR155" i="13" s="1" a="1"/>
  <c r="BR155" i="13" s="1"/>
  <c r="CN155" i="13"/>
  <c r="CO155" i="13" s="1"/>
  <c r="CP155" i="13" s="1" a="1"/>
  <c r="CP155" i="13" s="1"/>
  <c r="BT155" i="13"/>
  <c r="BU155" i="13" s="1"/>
  <c r="CJ155" i="13"/>
  <c r="CK155" i="13" s="1"/>
  <c r="CL155" i="13" s="1" a="1"/>
  <c r="CL155" i="13" s="1"/>
  <c r="CR155" i="13"/>
  <c r="CS155" i="13" s="1"/>
  <c r="BX155" i="13"/>
  <c r="BY155" i="13" s="1"/>
  <c r="BZ155" i="13" s="1" a="1"/>
  <c r="BZ155" i="13" s="1"/>
  <c r="CB155" i="13"/>
  <c r="CC155" i="13" s="1"/>
  <c r="CR181" i="13"/>
  <c r="CS181" i="13" s="1"/>
  <c r="CZ185" i="13"/>
  <c r="Z185" i="13" s="1"/>
  <c r="CE191" i="13" a="1"/>
  <c r="CE191" i="13" s="1"/>
  <c r="CD191" i="13" a="1"/>
  <c r="CD191" i="13" s="1"/>
  <c r="CY205" i="13" a="1"/>
  <c r="CY205" i="13" s="1"/>
  <c r="CX205" i="13" a="1"/>
  <c r="CX205" i="13" s="1"/>
  <c r="CX215" i="13" a="1"/>
  <c r="CX215" i="13" s="1"/>
  <c r="CY215" i="13" a="1"/>
  <c r="CY215" i="13" s="1"/>
  <c r="CE214" i="13" a="1"/>
  <c r="CE214" i="13" s="1"/>
  <c r="CD214" i="13" a="1"/>
  <c r="CD214" i="13" s="1"/>
  <c r="CX220" i="13" a="1"/>
  <c r="CX220" i="13" s="1"/>
  <c r="CY220" i="13" a="1"/>
  <c r="CY220" i="13" s="1"/>
  <c r="BV220" i="13" a="1"/>
  <c r="BV220" i="13" s="1"/>
  <c r="CP241" i="13" a="1"/>
  <c r="CP241" i="13" s="1"/>
  <c r="CE252" i="13" a="1"/>
  <c r="CE252" i="13" s="1"/>
  <c r="CF249" i="13"/>
  <c r="R249" i="13" s="1"/>
  <c r="CT252" i="13" a="1"/>
  <c r="CT252" i="13" s="1"/>
  <c r="CP272" i="13" a="1"/>
  <c r="CP272" i="13" s="1"/>
  <c r="CZ272" i="13" s="1"/>
  <c r="Z272" i="13" s="1"/>
  <c r="CD272" i="13" a="1"/>
  <c r="CD272" i="13" s="1"/>
  <c r="CE272" i="13" a="1"/>
  <c r="CE272" i="13" s="1"/>
  <c r="CY276" i="13" a="1"/>
  <c r="CY276" i="13" s="1"/>
  <c r="CX276" i="13" a="1"/>
  <c r="CX276" i="13" s="1"/>
  <c r="BV272" i="13" a="1"/>
  <c r="BV272" i="13" s="1"/>
  <c r="CY306" i="13" a="1"/>
  <c r="CY306" i="13" s="1"/>
  <c r="CE289" i="13" a="1"/>
  <c r="CE289" i="13" s="1"/>
  <c r="CX335" i="13" a="1"/>
  <c r="CX335" i="13" s="1"/>
  <c r="CY335" i="13" a="1"/>
  <c r="CY335" i="13" s="1"/>
  <c r="CZ374" i="13"/>
  <c r="Z374" i="13" s="1"/>
  <c r="CD378" i="13" a="1"/>
  <c r="CD378" i="13" s="1"/>
  <c r="CE378" i="13" a="1"/>
  <c r="CE378" i="13" s="1"/>
  <c r="CY380" i="13" a="1"/>
  <c r="CY380" i="13" s="1"/>
  <c r="CY430" i="13" a="1"/>
  <c r="CY430" i="13" s="1"/>
  <c r="CX430" i="13" a="1"/>
  <c r="CX430" i="13" s="1"/>
  <c r="CB161" i="13"/>
  <c r="CC161" i="13" s="1"/>
  <c r="BJ175" i="13"/>
  <c r="BX175" i="13"/>
  <c r="BY175" i="13" s="1"/>
  <c r="BJ174" i="13"/>
  <c r="CN174" i="13" s="1"/>
  <c r="CO174" i="13" s="1"/>
  <c r="CJ167" i="13"/>
  <c r="CK167" i="13" s="1"/>
  <c r="CL167" i="13" s="1" a="1"/>
  <c r="CL167" i="13" s="1"/>
  <c r="CV193" i="13"/>
  <c r="CW193" i="13" s="1"/>
  <c r="CJ184" i="13"/>
  <c r="CK184" i="13" s="1"/>
  <c r="CL184" i="13" s="1" a="1"/>
  <c r="CL184" i="13" s="1"/>
  <c r="BP184" i="13"/>
  <c r="BQ184" i="13" s="1"/>
  <c r="BR184" i="13" s="1" a="1"/>
  <c r="BR184" i="13" s="1"/>
  <c r="CB184" i="13"/>
  <c r="CC184" i="13" s="1"/>
  <c r="CN187" i="13"/>
  <c r="CO187" i="13" s="1"/>
  <c r="BJ172" i="13"/>
  <c r="BP172" i="13" s="1"/>
  <c r="BQ172" i="13" s="1"/>
  <c r="BR172" i="13" s="1" a="1"/>
  <c r="BR172" i="13" s="1"/>
  <c r="CB196" i="13"/>
  <c r="CC196" i="13" s="1"/>
  <c r="BT196" i="13"/>
  <c r="BU196" i="13" s="1"/>
  <c r="CB213" i="13"/>
  <c r="CC213" i="13" s="1"/>
  <c r="BX198" i="13"/>
  <c r="BY198" i="13" s="1"/>
  <c r="BJ207" i="13"/>
  <c r="CB207" i="13" s="1"/>
  <c r="CC207" i="13" s="1"/>
  <c r="CV213" i="13"/>
  <c r="CW213" i="13" s="1"/>
  <c r="BX202" i="13"/>
  <c r="BY202" i="13" s="1"/>
  <c r="CR208" i="13"/>
  <c r="CS208" i="13" s="1"/>
  <c r="BX217" i="13"/>
  <c r="BY217" i="13" s="1"/>
  <c r="BZ217" i="13" s="1" a="1"/>
  <c r="BZ217" i="13" s="1"/>
  <c r="BX238" i="13"/>
  <c r="BY238" i="13" s="1"/>
  <c r="CV208" i="13"/>
  <c r="CW208" i="13" s="1"/>
  <c r="CN232" i="13"/>
  <c r="CO232" i="13" s="1"/>
  <c r="CJ232" i="13"/>
  <c r="CK232" i="13" s="1"/>
  <c r="CL232" i="13" s="1" a="1"/>
  <c r="CL232" i="13" s="1"/>
  <c r="CR232" i="13"/>
  <c r="CS232" i="13" s="1"/>
  <c r="BP232" i="13"/>
  <c r="BQ232" i="13" s="1"/>
  <c r="BR232" i="13" s="1" a="1"/>
  <c r="BR232" i="13" s="1"/>
  <c r="CB232" i="13"/>
  <c r="CC232" i="13" s="1"/>
  <c r="BT232" i="13"/>
  <c r="BU232" i="13" s="1"/>
  <c r="BZ232" i="13" s="1" a="1"/>
  <c r="BZ232" i="13" s="1"/>
  <c r="CJ217" i="13"/>
  <c r="CK217" i="13" s="1"/>
  <c r="CP217" i="13" s="1" a="1"/>
  <c r="CP217" i="13" s="1"/>
  <c r="BX234" i="13"/>
  <c r="BY234" i="13" s="1"/>
  <c r="CJ215" i="13"/>
  <c r="CK215" i="13" s="1"/>
  <c r="CL215" i="13" s="1" a="1"/>
  <c r="CL215" i="13" s="1"/>
  <c r="BX215" i="13"/>
  <c r="BY215" i="13" s="1"/>
  <c r="BZ215" i="13" s="1" a="1"/>
  <c r="BZ215" i="13" s="1"/>
  <c r="BP215" i="13"/>
  <c r="BQ215" i="13" s="1"/>
  <c r="BR215" i="13" s="1" a="1"/>
  <c r="BR215" i="13" s="1"/>
  <c r="CN215" i="13"/>
  <c r="CO215" i="13" s="1"/>
  <c r="CN222" i="13"/>
  <c r="CO222" i="13" s="1"/>
  <c r="CP222" i="13" s="1" a="1"/>
  <c r="CP222" i="13" s="1"/>
  <c r="CJ222" i="13"/>
  <c r="CK222" i="13" s="1"/>
  <c r="CL222" i="13" s="1" a="1"/>
  <c r="CL222" i="13" s="1"/>
  <c r="BP222" i="13"/>
  <c r="BQ222" i="13" s="1"/>
  <c r="BR222" i="13" s="1" a="1"/>
  <c r="BR222" i="13" s="1"/>
  <c r="CB222" i="13"/>
  <c r="CC222" i="13" s="1"/>
  <c r="BT222" i="13"/>
  <c r="BU222" i="13" s="1"/>
  <c r="CD237" i="13" a="1"/>
  <c r="CD237" i="13" s="1"/>
  <c r="CF237" i="13" s="1"/>
  <c r="R237" i="13" s="1"/>
  <c r="BX236" i="13"/>
  <c r="BY236" i="13" s="1"/>
  <c r="CR226" i="13"/>
  <c r="CS226" i="13" s="1"/>
  <c r="CY241" i="13" a="1"/>
  <c r="CY241" i="13" s="1"/>
  <c r="CR236" i="13"/>
  <c r="CS236" i="13" s="1"/>
  <c r="CT236" i="13" s="1" a="1"/>
  <c r="CT236" i="13" s="1"/>
  <c r="BX246" i="13"/>
  <c r="BY246" i="13" s="1"/>
  <c r="BZ246" i="13" s="1" a="1"/>
  <c r="BZ246" i="13" s="1"/>
  <c r="CV248" i="13"/>
  <c r="CW248" i="13" s="1"/>
  <c r="BJ279" i="13"/>
  <c r="BJ287" i="13"/>
  <c r="CN287" i="13" s="1"/>
  <c r="CO287" i="13" s="1"/>
  <c r="BP238" i="13"/>
  <c r="BQ238" i="13" s="1"/>
  <c r="BR238" i="13" s="1" a="1"/>
  <c r="BR238" i="13" s="1"/>
  <c r="CJ254" i="13"/>
  <c r="CK254" i="13" s="1"/>
  <c r="CL254" i="13" s="1" a="1"/>
  <c r="CL254" i="13" s="1"/>
  <c r="CB251" i="13"/>
  <c r="CC251" i="13" s="1"/>
  <c r="CZ288" i="13"/>
  <c r="Z288" i="13" s="1"/>
  <c r="CP278" i="13" a="1"/>
  <c r="CP278" i="13" s="1"/>
  <c r="CV274" i="13"/>
  <c r="CW274" i="13" s="1"/>
  <c r="CJ274" i="13"/>
  <c r="CK274" i="13" s="1"/>
  <c r="CL274" i="13" s="1" a="1"/>
  <c r="CL274" i="13" s="1"/>
  <c r="CB274" i="13"/>
  <c r="CC274" i="13" s="1"/>
  <c r="CB296" i="13"/>
  <c r="CC296" i="13" s="1"/>
  <c r="CN285" i="13"/>
  <c r="CO285" i="13" s="1"/>
  <c r="CP285" i="13" s="1" a="1"/>
  <c r="CP285" i="13" s="1"/>
  <c r="CN257" i="13"/>
  <c r="CO257" i="13" s="1"/>
  <c r="BP282" i="13"/>
  <c r="BQ282" i="13" s="1"/>
  <c r="BR282" i="13" s="1" a="1"/>
  <c r="BR282" i="13" s="1"/>
  <c r="CJ282" i="13"/>
  <c r="CK282" i="13" s="1"/>
  <c r="CL282" i="13" s="1" a="1"/>
  <c r="CL282" i="13" s="1"/>
  <c r="CN282" i="13"/>
  <c r="CO282" i="13" s="1"/>
  <c r="CP282" i="13" s="1" a="1"/>
  <c r="CP282" i="13" s="1"/>
  <c r="CR282" i="13"/>
  <c r="CS282" i="13" s="1"/>
  <c r="CJ287" i="13"/>
  <c r="CK287" i="13" s="1"/>
  <c r="CL287" i="13" s="1" a="1"/>
  <c r="CL287" i="13" s="1"/>
  <c r="BP287" i="13"/>
  <c r="BQ287" i="13" s="1"/>
  <c r="BR287" i="13" s="1" a="1"/>
  <c r="BR287" i="13" s="1"/>
  <c r="CR287" i="13"/>
  <c r="CS287" i="13" s="1"/>
  <c r="BX304" i="13"/>
  <c r="BY304" i="13" s="1"/>
  <c r="CR296" i="13"/>
  <c r="CS296" i="13" s="1"/>
  <c r="CJ300" i="13"/>
  <c r="CK300" i="13" s="1"/>
  <c r="CL300" i="13" s="1" a="1"/>
  <c r="CL300" i="13" s="1"/>
  <c r="BJ323" i="13"/>
  <c r="CR306" i="13"/>
  <c r="CS306" i="13" s="1"/>
  <c r="CT306" i="13" s="1" a="1"/>
  <c r="CT306" i="13" s="1"/>
  <c r="CP292" i="13" a="1"/>
  <c r="CP292" i="13" s="1"/>
  <c r="BT294" i="13"/>
  <c r="BU294" i="13" s="1"/>
  <c r="BV294" i="13" s="1" a="1"/>
  <c r="BV294" i="13" s="1"/>
  <c r="CB310" i="13"/>
  <c r="CC310" i="13" s="1"/>
  <c r="CB333" i="13"/>
  <c r="CC333" i="13" s="1"/>
  <c r="CN296" i="13"/>
  <c r="CO296" i="13" s="1"/>
  <c r="CV320" i="13"/>
  <c r="CW320" i="13" s="1"/>
  <c r="BX327" i="13"/>
  <c r="BY327" i="13" s="1"/>
  <c r="BZ327" i="13" s="1" a="1"/>
  <c r="BZ327" i="13" s="1"/>
  <c r="BX333" i="13"/>
  <c r="BY333" i="13" s="1"/>
  <c r="BT331" i="13"/>
  <c r="BU331" i="13" s="1"/>
  <c r="BV331" i="13" s="1" a="1"/>
  <c r="BV331" i="13" s="1"/>
  <c r="BJ336" i="13"/>
  <c r="BJ352" i="13"/>
  <c r="BJ332" i="13"/>
  <c r="CN332" i="13" s="1"/>
  <c r="CO332" i="13" s="1"/>
  <c r="CL345" i="13" a="1"/>
  <c r="CL345" i="13" s="1"/>
  <c r="CV347" i="13"/>
  <c r="CW347" i="13" s="1"/>
  <c r="CJ327" i="13"/>
  <c r="CK327" i="13" s="1"/>
  <c r="CP327" i="13" s="1" a="1"/>
  <c r="CP327" i="13" s="1"/>
  <c r="CN343" i="13"/>
  <c r="CO343" i="13" s="1"/>
  <c r="CP343" i="13" s="1" a="1"/>
  <c r="CP343" i="13" s="1"/>
  <c r="CN358" i="13"/>
  <c r="CO358" i="13" s="1"/>
  <c r="CP358" i="13" s="1" a="1"/>
  <c r="CP358" i="13" s="1"/>
  <c r="BT358" i="13"/>
  <c r="BU358" i="13" s="1"/>
  <c r="BP358" i="13"/>
  <c r="BQ358" i="13" s="1"/>
  <c r="BR358" i="13" s="1" a="1"/>
  <c r="BR358" i="13" s="1"/>
  <c r="CR358" i="13"/>
  <c r="CS358" i="13" s="1"/>
  <c r="BX358" i="13"/>
  <c r="BY358" i="13" s="1"/>
  <c r="CV358" i="13"/>
  <c r="CW358" i="13" s="1"/>
  <c r="CJ358" i="13"/>
  <c r="CK358" i="13" s="1"/>
  <c r="CL358" i="13" s="1" a="1"/>
  <c r="CL358" i="13" s="1"/>
  <c r="CY354" i="13" a="1"/>
  <c r="CY354" i="13" s="1"/>
  <c r="CB375" i="13"/>
  <c r="CC375" i="13" s="1"/>
  <c r="BJ369" i="13"/>
  <c r="CB369" i="13" s="1"/>
  <c r="CC369" i="13" s="1"/>
  <c r="BT385" i="13"/>
  <c r="BU385" i="13" s="1"/>
  <c r="CZ377" i="13"/>
  <c r="Z377" i="13" s="1"/>
  <c r="CJ375" i="13"/>
  <c r="CK375" i="13" s="1"/>
  <c r="CV375" i="13"/>
  <c r="CW375" i="13" s="1"/>
  <c r="BX375" i="13"/>
  <c r="BY375" i="13" s="1"/>
  <c r="BP375" i="13"/>
  <c r="BQ375" i="13" s="1"/>
  <c r="BR375" i="13" s="1" a="1"/>
  <c r="BR375" i="13" s="1"/>
  <c r="CD374" i="13" a="1"/>
  <c r="CD374" i="13" s="1"/>
  <c r="CF374" i="13" s="1"/>
  <c r="R374" i="13" s="1"/>
  <c r="AF374" i="13" s="1"/>
  <c r="CJ391" i="13"/>
  <c r="CK391" i="13" s="1"/>
  <c r="CL391" i="13" s="1" a="1"/>
  <c r="CL391" i="13" s="1"/>
  <c r="CB396" i="13"/>
  <c r="CC396" i="13" s="1"/>
  <c r="CB405" i="13"/>
  <c r="CC405" i="13" s="1"/>
  <c r="CN380" i="13"/>
  <c r="CO380" i="13" s="1"/>
  <c r="CP380" i="13" s="1" a="1"/>
  <c r="CP380" i="13" s="1"/>
  <c r="CR380" i="13"/>
  <c r="CS380" i="13" s="1"/>
  <c r="BX381" i="13"/>
  <c r="BY381" i="13" s="1"/>
  <c r="BP405" i="13"/>
  <c r="BQ405" i="13" s="1"/>
  <c r="BR405" i="13" s="1" a="1"/>
  <c r="BR405" i="13" s="1"/>
  <c r="BJ388" i="13"/>
  <c r="CV388" i="13" s="1"/>
  <c r="CW388" i="13" s="1"/>
  <c r="CV403" i="13"/>
  <c r="CW403" i="13" s="1"/>
  <c r="CN414" i="13"/>
  <c r="CO414" i="13" s="1"/>
  <c r="CT414" i="13" s="1" a="1"/>
  <c r="CT414" i="13" s="1"/>
  <c r="CL415" i="13" a="1"/>
  <c r="CL415" i="13" s="1"/>
  <c r="CJ423" i="13"/>
  <c r="CK423" i="13" s="1"/>
  <c r="CL423" i="13" s="1" a="1"/>
  <c r="CL423" i="13" s="1"/>
  <c r="CR406" i="13"/>
  <c r="CS406" i="13" s="1"/>
  <c r="BP417" i="13"/>
  <c r="BQ417" i="13" s="1"/>
  <c r="BR417" i="13" s="1" a="1"/>
  <c r="BR417" i="13" s="1"/>
  <c r="CB425" i="13"/>
  <c r="CC425" i="13" s="1"/>
  <c r="CN428" i="13"/>
  <c r="CO428" i="13" s="1"/>
  <c r="CP428" i="13" s="1" a="1"/>
  <c r="CP428" i="13" s="1"/>
  <c r="BP428" i="13"/>
  <c r="BQ428" i="13" s="1"/>
  <c r="BR428" i="13" s="1" a="1"/>
  <c r="BR428" i="13" s="1"/>
  <c r="CJ428" i="13"/>
  <c r="CK428" i="13" s="1"/>
  <c r="CL428" i="13" s="1" a="1"/>
  <c r="CL428" i="13" s="1"/>
  <c r="CR428" i="13"/>
  <c r="CS428" i="13" s="1"/>
  <c r="BT428" i="13"/>
  <c r="BU428" i="13" s="1"/>
  <c r="BZ428" i="13" s="1" a="1"/>
  <c r="BZ428" i="13" s="1"/>
  <c r="BP418" i="13"/>
  <c r="BQ418" i="13" s="1"/>
  <c r="BR418" i="13" s="1" a="1"/>
  <c r="BR418" i="13" s="1"/>
  <c r="CN396" i="13"/>
  <c r="CO396" i="13" s="1"/>
  <c r="CT396" i="13" s="1" a="1"/>
  <c r="CT396" i="13" s="1"/>
  <c r="CR423" i="13"/>
  <c r="CS423" i="13" s="1"/>
  <c r="CN427" i="13"/>
  <c r="CO427" i="13" s="1"/>
  <c r="CT427" i="13" s="1" a="1"/>
  <c r="CT427" i="13" s="1"/>
  <c r="BP427" i="13"/>
  <c r="BQ427" i="13" s="1"/>
  <c r="BR427" i="13" s="1" a="1"/>
  <c r="BR427" i="13" s="1"/>
  <c r="BT427" i="13"/>
  <c r="BU427" i="13" s="1"/>
  <c r="CJ427" i="13"/>
  <c r="CK427" i="13" s="1"/>
  <c r="CL427" i="13" s="1" a="1"/>
  <c r="CL427" i="13" s="1"/>
  <c r="CV397" i="13"/>
  <c r="CW397" i="13" s="1"/>
  <c r="BR403" i="13" a="1"/>
  <c r="BR403" i="13" s="1"/>
  <c r="BX415" i="13"/>
  <c r="BY415" i="13" s="1"/>
  <c r="CR401" i="13"/>
  <c r="CS401" i="13" s="1"/>
  <c r="CT401" i="13" s="1" a="1"/>
  <c r="CT401" i="13" s="1"/>
  <c r="BP406" i="13"/>
  <c r="BQ406" i="13" s="1"/>
  <c r="BR406" i="13" s="1" a="1"/>
  <c r="BR406" i="13" s="1"/>
  <c r="BR415" i="13" a="1"/>
  <c r="BR415" i="13" s="1"/>
  <c r="CX421" i="13" a="1"/>
  <c r="CX421" i="13" s="1"/>
  <c r="CN420" i="13"/>
  <c r="CO420" i="13" s="1"/>
  <c r="BJ452" i="13"/>
  <c r="BP452" i="13" s="1"/>
  <c r="BQ452" i="13" s="1"/>
  <c r="BR452" i="13" s="1" a="1"/>
  <c r="BR452" i="13" s="1"/>
  <c r="CV462" i="13"/>
  <c r="CW462" i="13" s="1"/>
  <c r="BR466" i="13" a="1"/>
  <c r="BR466" i="13" s="1"/>
  <c r="CR462" i="13"/>
  <c r="CS462" i="13" s="1"/>
  <c r="CE552" i="13" a="1"/>
  <c r="CE552" i="13" s="1"/>
  <c r="CY612" i="13" a="1"/>
  <c r="CY612" i="13" s="1"/>
  <c r="CY603" i="13" a="1"/>
  <c r="CY603" i="13" s="1"/>
  <c r="CY593" i="13" a="1"/>
  <c r="CY593" i="13" s="1"/>
  <c r="CL616" i="13" a="1"/>
  <c r="CL616" i="13" s="1"/>
  <c r="CE611" i="13" a="1"/>
  <c r="CE611" i="13" s="1"/>
  <c r="BZ687" i="13" a="1"/>
  <c r="BZ687" i="13" s="1"/>
  <c r="BV697" i="13" a="1"/>
  <c r="BV697" i="13" s="1"/>
  <c r="BV713" i="13" a="1"/>
  <c r="BV713" i="13" s="1"/>
  <c r="CX691" i="13" a="1"/>
  <c r="CX691" i="13" s="1"/>
  <c r="CY691" i="13" a="1"/>
  <c r="CY691" i="13" s="1"/>
  <c r="CX707" i="13" a="1"/>
  <c r="CX707" i="13" s="1"/>
  <c r="CY707" i="13" a="1"/>
  <c r="CY707" i="13" s="1"/>
  <c r="CX723" i="13" a="1"/>
  <c r="CX723" i="13" s="1"/>
  <c r="CY723" i="13" a="1"/>
  <c r="CY723" i="13" s="1"/>
  <c r="CD691" i="13" a="1"/>
  <c r="CD691" i="13" s="1"/>
  <c r="CE691" i="13" a="1"/>
  <c r="CE691" i="13" s="1"/>
  <c r="CE714" i="13" a="1"/>
  <c r="CE714" i="13" s="1"/>
  <c r="BZ735" i="13" a="1"/>
  <c r="BZ735" i="13" s="1"/>
  <c r="CE738" i="13" a="1"/>
  <c r="CE738" i="13" s="1"/>
  <c r="CE694" i="13" a="1"/>
  <c r="CE694" i="13" s="1"/>
  <c r="CP687" i="13" a="1"/>
  <c r="CP687" i="13" s="1"/>
  <c r="CJ170" i="13"/>
  <c r="CK170" i="13" s="1"/>
  <c r="CL170" i="13" s="1" a="1"/>
  <c r="CL170" i="13" s="1"/>
  <c r="BP170" i="13"/>
  <c r="BQ170" i="13" s="1"/>
  <c r="BR170" i="13" s="1" a="1"/>
  <c r="BR170" i="13" s="1"/>
  <c r="BX174" i="13"/>
  <c r="BY174" i="13" s="1"/>
  <c r="BV187" i="13" a="1"/>
  <c r="BV187" i="13" s="1"/>
  <c r="BJ159" i="13"/>
  <c r="CJ159" i="13" s="1"/>
  <c r="CK159" i="13" s="1"/>
  <c r="CL159" i="13" s="1" a="1"/>
  <c r="CL159" i="13" s="1"/>
  <c r="CR168" i="13"/>
  <c r="CS168" i="13" s="1"/>
  <c r="BX168" i="13"/>
  <c r="BY168" i="13" s="1"/>
  <c r="BJ176" i="13"/>
  <c r="CN176" i="13" s="1"/>
  <c r="CO176" i="13" s="1"/>
  <c r="CN170" i="13"/>
  <c r="CO170" i="13" s="1"/>
  <c r="CP170" i="13" s="1" a="1"/>
  <c r="CP170" i="13" s="1"/>
  <c r="CV170" i="13"/>
  <c r="CW170" i="13" s="1"/>
  <c r="BT190" i="13"/>
  <c r="BU190" i="13" s="1"/>
  <c r="BJ201" i="13"/>
  <c r="CV184" i="13"/>
  <c r="CW184" i="13" s="1"/>
  <c r="BJ192" i="13"/>
  <c r="CB192" i="13" s="1"/>
  <c r="CC192" i="13" s="1"/>
  <c r="BX196" i="13"/>
  <c r="BY196" i="13" s="1"/>
  <c r="BZ196" i="13" s="1" a="1"/>
  <c r="BZ196" i="13" s="1"/>
  <c r="BJ204" i="13"/>
  <c r="CR204" i="13" s="1"/>
  <c r="CS204" i="13" s="1"/>
  <c r="CJ209" i="13"/>
  <c r="CK209" i="13" s="1"/>
  <c r="CL209" i="13" s="1" a="1"/>
  <c r="CL209" i="13" s="1"/>
  <c r="CB217" i="13"/>
  <c r="CC217" i="13" s="1"/>
  <c r="BX210" i="13"/>
  <c r="BY210" i="13" s="1"/>
  <c r="BZ210" i="13" s="1" a="1"/>
  <c r="BZ210" i="13" s="1"/>
  <c r="BX219" i="13"/>
  <c r="BY219" i="13" s="1"/>
  <c r="BP219" i="13"/>
  <c r="BQ219" i="13" s="1"/>
  <c r="BX209" i="13"/>
  <c r="BY209" i="13" s="1"/>
  <c r="BZ209" i="13" s="1" a="1"/>
  <c r="BZ209" i="13" s="1"/>
  <c r="CP216" i="13" a="1"/>
  <c r="CP216" i="13" s="1"/>
  <c r="BP218" i="13"/>
  <c r="BQ218" i="13" s="1"/>
  <c r="BR218" i="13" s="1" a="1"/>
  <c r="BR218" i="13" s="1"/>
  <c r="BX240" i="13"/>
  <c r="BY240" i="13" s="1"/>
  <c r="BJ231" i="13"/>
  <c r="BX231" i="13" s="1"/>
  <c r="BY231" i="13" s="1"/>
  <c r="BT214" i="13"/>
  <c r="BU214" i="13" s="1"/>
  <c r="BZ214" i="13" s="1" a="1"/>
  <c r="BZ214" i="13" s="1"/>
  <c r="BP240" i="13"/>
  <c r="BQ240" i="13" s="1"/>
  <c r="BR240" i="13" s="1" a="1"/>
  <c r="BR240" i="13" s="1"/>
  <c r="CN240" i="13"/>
  <c r="CO240" i="13" s="1"/>
  <c r="CP240" i="13" s="1" a="1"/>
  <c r="CP240" i="13" s="1"/>
  <c r="BX253" i="13"/>
  <c r="BY253" i="13" s="1"/>
  <c r="CR253" i="13"/>
  <c r="CS253" i="13" s="1"/>
  <c r="CV232" i="13"/>
  <c r="CW232" i="13" s="1"/>
  <c r="CX237" i="13" a="1"/>
  <c r="CX237" i="13" s="1"/>
  <c r="BP236" i="13"/>
  <c r="BQ236" i="13" s="1"/>
  <c r="BR236" i="13" s="1" a="1"/>
  <c r="BR236" i="13" s="1"/>
  <c r="CR240" i="13"/>
  <c r="CS240" i="13" s="1"/>
  <c r="CN242" i="13"/>
  <c r="CO242" i="13" s="1"/>
  <c r="CJ248" i="13"/>
  <c r="CK248" i="13" s="1"/>
  <c r="CL248" i="13" s="1" a="1"/>
  <c r="CL248" i="13" s="1"/>
  <c r="BP248" i="13"/>
  <c r="BQ248" i="13" s="1"/>
  <c r="BR248" i="13" s="1" a="1"/>
  <c r="BR248" i="13" s="1"/>
  <c r="CN254" i="13"/>
  <c r="CO254" i="13" s="1"/>
  <c r="CP254" i="13" s="1" a="1"/>
  <c r="CP254" i="13" s="1"/>
  <c r="CR254" i="13"/>
  <c r="CS254" i="13" s="1"/>
  <c r="CB281" i="13"/>
  <c r="CC281" i="13" s="1"/>
  <c r="BT253" i="13"/>
  <c r="BU253" i="13" s="1"/>
  <c r="BP270" i="13"/>
  <c r="BQ270" i="13" s="1"/>
  <c r="BR270" i="13" s="1" a="1"/>
  <c r="BR270" i="13" s="1"/>
  <c r="CN270" i="13"/>
  <c r="CO270" i="13" s="1"/>
  <c r="CP270" i="13" s="1" a="1"/>
  <c r="CP270" i="13" s="1"/>
  <c r="BX270" i="13"/>
  <c r="BY270" i="13" s="1"/>
  <c r="CJ270" i="13"/>
  <c r="CK270" i="13" s="1"/>
  <c r="CL270" i="13" s="1" a="1"/>
  <c r="CL270" i="13" s="1"/>
  <c r="CR270" i="13"/>
  <c r="CS270" i="13" s="1"/>
  <c r="CB270" i="13"/>
  <c r="CC270" i="13" s="1"/>
  <c r="CL281" i="13" a="1"/>
  <c r="CL281" i="13" s="1"/>
  <c r="BJ295" i="13"/>
  <c r="BJ307" i="13"/>
  <c r="BJ315" i="13"/>
  <c r="CJ276" i="13"/>
  <c r="CK276" i="13" s="1"/>
  <c r="CL276" i="13" s="1" a="1"/>
  <c r="CL276" i="13" s="1"/>
  <c r="BX276" i="13"/>
  <c r="BY276" i="13" s="1"/>
  <c r="BZ276" i="13" s="1" a="1"/>
  <c r="BZ276" i="13" s="1"/>
  <c r="CJ289" i="13"/>
  <c r="CK289" i="13" s="1"/>
  <c r="CL289" i="13" s="1" a="1"/>
  <c r="CL289" i="13" s="1"/>
  <c r="BX286" i="13"/>
  <c r="BY286" i="13" s="1"/>
  <c r="BZ286" i="13" s="1" a="1"/>
  <c r="BZ286" i="13" s="1"/>
  <c r="CB306" i="13"/>
  <c r="CC306" i="13" s="1"/>
  <c r="CR285" i="13"/>
  <c r="CS285" i="13" s="1"/>
  <c r="CT285" i="13" s="1" a="1"/>
  <c r="CT285" i="13" s="1"/>
  <c r="BX294" i="13"/>
  <c r="BY294" i="13" s="1"/>
  <c r="BZ294" i="13" s="1" a="1"/>
  <c r="BZ294" i="13" s="1"/>
  <c r="CN300" i="13"/>
  <c r="CO300" i="13" s="1"/>
  <c r="CP300" i="13" s="1" a="1"/>
  <c r="CP300" i="13" s="1"/>
  <c r="CJ302" i="13"/>
  <c r="CK302" i="13" s="1"/>
  <c r="CL302" i="13" s="1" a="1"/>
  <c r="CL302" i="13" s="1"/>
  <c r="BJ326" i="13"/>
  <c r="BT326" i="13" s="1"/>
  <c r="BU326" i="13" s="1"/>
  <c r="BJ330" i="13"/>
  <c r="BP330" i="13" s="1"/>
  <c r="BQ330" i="13" s="1"/>
  <c r="BR330" i="13" s="1" a="1"/>
  <c r="BR330" i="13" s="1"/>
  <c r="BP289" i="13"/>
  <c r="BQ289" i="13" s="1"/>
  <c r="BR289" i="13" s="1" a="1"/>
  <c r="BR289" i="13" s="1"/>
  <c r="BJ321" i="13"/>
  <c r="CR321" i="13" s="1"/>
  <c r="CS321" i="13" s="1"/>
  <c r="CV302" i="13"/>
  <c r="CW302" i="13" s="1"/>
  <c r="CB327" i="13"/>
  <c r="CC327" i="13" s="1"/>
  <c r="BT296" i="13"/>
  <c r="BU296" i="13" s="1"/>
  <c r="BV296" i="13" s="1" a="1"/>
  <c r="BV296" i="13" s="1"/>
  <c r="CE304" i="13" a="1"/>
  <c r="CE304" i="13" s="1"/>
  <c r="BJ312" i="13"/>
  <c r="BT312" i="13" s="1"/>
  <c r="BU312" i="13" s="1"/>
  <c r="CR331" i="13"/>
  <c r="CS331" i="13" s="1"/>
  <c r="BJ346" i="13"/>
  <c r="CR346" i="13" s="1"/>
  <c r="CS346" i="13" s="1"/>
  <c r="CJ329" i="13"/>
  <c r="CK329" i="13" s="1"/>
  <c r="CL329" i="13" s="1" a="1"/>
  <c r="CL329" i="13" s="1"/>
  <c r="CR325" i="13"/>
  <c r="CS325" i="13" s="1"/>
  <c r="CT325" i="13" s="1" a="1"/>
  <c r="CT325" i="13" s="1"/>
  <c r="CV349" i="13"/>
  <c r="CW349" i="13" s="1"/>
  <c r="CR329" i="13"/>
  <c r="CS329" i="13" s="1"/>
  <c r="CT329" i="13" s="1" a="1"/>
  <c r="CT329" i="13" s="1"/>
  <c r="CN337" i="13"/>
  <c r="CO337" i="13" s="1"/>
  <c r="CP337" i="13" s="1" a="1"/>
  <c r="CP337" i="13" s="1"/>
  <c r="CD329" i="13" a="1"/>
  <c r="CD329" i="13" s="1"/>
  <c r="CF329" i="13" s="1"/>
  <c r="R329" i="13" s="1"/>
  <c r="CV329" i="13"/>
  <c r="CW329" i="13" s="1"/>
  <c r="BJ363" i="13"/>
  <c r="CR363" i="13" s="1"/>
  <c r="CS363" i="13" s="1"/>
  <c r="CL375" i="13" a="1"/>
  <c r="CL375" i="13" s="1"/>
  <c r="CJ379" i="13"/>
  <c r="CK379" i="13" s="1"/>
  <c r="CL379" i="13" s="1" a="1"/>
  <c r="CL379" i="13" s="1"/>
  <c r="BP379" i="13"/>
  <c r="BQ379" i="13" s="1"/>
  <c r="BR379" i="13" s="1" a="1"/>
  <c r="BR379" i="13" s="1"/>
  <c r="BT379" i="13"/>
  <c r="BU379" i="13" s="1"/>
  <c r="BP363" i="13"/>
  <c r="BQ363" i="13" s="1"/>
  <c r="BR363" i="13" s="1" a="1"/>
  <c r="BR363" i="13" s="1"/>
  <c r="CJ363" i="13"/>
  <c r="CK363" i="13" s="1"/>
  <c r="CL363" i="13" s="1" a="1"/>
  <c r="CL363" i="13" s="1"/>
  <c r="BP377" i="13"/>
  <c r="BQ377" i="13" s="1"/>
  <c r="BR377" i="13" s="1" a="1"/>
  <c r="BR377" i="13" s="1"/>
  <c r="CB401" i="13"/>
  <c r="CC401" i="13" s="1"/>
  <c r="CN405" i="13"/>
  <c r="CO405" i="13" s="1"/>
  <c r="CR405" i="13"/>
  <c r="CS405" i="13" s="1"/>
  <c r="CV381" i="13"/>
  <c r="CW381" i="13" s="1"/>
  <c r="CN384" i="13"/>
  <c r="CO384" i="13" s="1"/>
  <c r="CB368" i="13"/>
  <c r="CC368" i="13" s="1"/>
  <c r="BJ390" i="13"/>
  <c r="CN390" i="13" s="1"/>
  <c r="CO390" i="13" s="1"/>
  <c r="BX404" i="13"/>
  <c r="BY404" i="13" s="1"/>
  <c r="BR395" i="13" a="1"/>
  <c r="BR395" i="13" s="1"/>
  <c r="CV415" i="13"/>
  <c r="CW415" i="13" s="1"/>
  <c r="BP396" i="13"/>
  <c r="BQ396" i="13" s="1"/>
  <c r="BR396" i="13" s="1" a="1"/>
  <c r="BR396" i="13" s="1"/>
  <c r="BP412" i="13"/>
  <c r="BQ412" i="13" s="1"/>
  <c r="BR412" i="13" s="1" a="1"/>
  <c r="BR412" i="13" s="1"/>
  <c r="CB412" i="13"/>
  <c r="CC412" i="13" s="1"/>
  <c r="CN412" i="13"/>
  <c r="CO412" i="13" s="1"/>
  <c r="CJ412" i="13"/>
  <c r="CK412" i="13" s="1"/>
  <c r="CL412" i="13" s="1" a="1"/>
  <c r="CL412" i="13" s="1"/>
  <c r="CR417" i="13"/>
  <c r="CS417" i="13" s="1"/>
  <c r="CT417" i="13" s="1" a="1"/>
  <c r="CT417" i="13" s="1"/>
  <c r="BT397" i="13"/>
  <c r="BU397" i="13" s="1"/>
  <c r="BV397" i="13" s="1" a="1"/>
  <c r="BV397" i="13" s="1"/>
  <c r="CV404" i="13"/>
  <c r="CW404" i="13" s="1"/>
  <c r="BT408" i="13"/>
  <c r="BU408" i="13" s="1"/>
  <c r="BV408" i="13" s="1" a="1"/>
  <c r="BV408" i="13" s="1"/>
  <c r="CN408" i="13"/>
  <c r="CO408" i="13" s="1"/>
  <c r="CR398" i="13"/>
  <c r="CS398" i="13" s="1"/>
  <c r="CT398" i="13" s="1" a="1"/>
  <c r="CT398" i="13" s="1"/>
  <c r="CB418" i="13"/>
  <c r="CC418" i="13" s="1"/>
  <c r="BX420" i="13"/>
  <c r="BY420" i="13" s="1"/>
  <c r="CB423" i="13"/>
  <c r="CC423" i="13" s="1"/>
  <c r="BX427" i="13"/>
  <c r="BY427" i="13" s="1"/>
  <c r="BZ427" i="13" s="1" a="1"/>
  <c r="BZ427" i="13" s="1"/>
  <c r="CR397" i="13"/>
  <c r="CS397" i="13" s="1"/>
  <c r="CT397" i="13" s="1" a="1"/>
  <c r="CT397" i="13" s="1"/>
  <c r="CJ398" i="13"/>
  <c r="CK398" i="13" s="1"/>
  <c r="CL398" i="13" s="1" a="1"/>
  <c r="CL398" i="13" s="1"/>
  <c r="BT403" i="13"/>
  <c r="BU403" i="13" s="1"/>
  <c r="BV403" i="13" s="1" a="1"/>
  <c r="BV403" i="13" s="1"/>
  <c r="CB421" i="13"/>
  <c r="CC421" i="13" s="1"/>
  <c r="CJ399" i="13"/>
  <c r="CK399" i="13" s="1"/>
  <c r="CP399" i="13" s="1" a="1"/>
  <c r="CP399" i="13" s="1"/>
  <c r="CJ406" i="13"/>
  <c r="CK406" i="13" s="1"/>
  <c r="CL406" i="13" s="1" a="1"/>
  <c r="CL406" i="13" s="1"/>
  <c r="CB428" i="13"/>
  <c r="CC428" i="13" s="1"/>
  <c r="BJ451" i="13"/>
  <c r="CR451" i="13" s="1"/>
  <c r="CS451" i="13" s="1"/>
  <c r="CE518" i="13" a="1"/>
  <c r="CE518" i="13" s="1"/>
  <c r="CE520" i="13" a="1"/>
  <c r="CE520" i="13" s="1"/>
  <c r="CD520" i="13" a="1"/>
  <c r="CD520" i="13" s="1"/>
  <c r="CY530" i="13" a="1"/>
  <c r="CY530" i="13" s="1"/>
  <c r="CY577" i="13" a="1"/>
  <c r="CY577" i="13" s="1"/>
  <c r="CY556" i="13" a="1"/>
  <c r="CY556" i="13" s="1"/>
  <c r="CX601" i="13" a="1"/>
  <c r="CX601" i="13" s="1"/>
  <c r="CY601" i="13" a="1"/>
  <c r="CY601" i="13" s="1"/>
  <c r="CX613" i="13" a="1"/>
  <c r="CX613" i="13" s="1"/>
  <c r="CY613" i="13" a="1"/>
  <c r="CY613" i="13" s="1"/>
  <c r="CY693" i="13" a="1"/>
  <c r="CY693" i="13" s="1"/>
  <c r="CX693" i="13" a="1"/>
  <c r="CX693" i="13" s="1"/>
  <c r="CX725" i="13" a="1"/>
  <c r="CX725" i="13" s="1"/>
  <c r="CY725" i="13" a="1"/>
  <c r="CY725" i="13" s="1"/>
  <c r="CD699" i="13" a="1"/>
  <c r="CD699" i="13" s="1"/>
  <c r="CE699" i="13" a="1"/>
  <c r="CE699" i="13" s="1"/>
  <c r="CE720" i="13" a="1"/>
  <c r="CE720" i="13" s="1"/>
  <c r="CE725" i="13" a="1"/>
  <c r="CE725" i="13" s="1"/>
  <c r="CE730" i="13" a="1"/>
  <c r="CE730" i="13" s="1"/>
  <c r="CP721" i="13" a="1"/>
  <c r="CP721" i="13" s="1"/>
  <c r="CY694" i="13" a="1"/>
  <c r="CY694" i="13" s="1"/>
  <c r="CP696" i="13" a="1"/>
  <c r="CP696" i="13" s="1"/>
  <c r="CT696" i="13" a="1"/>
  <c r="CT696" i="13" s="1"/>
  <c r="CP707" i="13" a="1"/>
  <c r="CP707" i="13" s="1"/>
  <c r="CP156" i="13" a="1"/>
  <c r="CP156" i="13" s="1"/>
  <c r="BJ157" i="13"/>
  <c r="BP157" i="13" s="1"/>
  <c r="BQ157" i="13" s="1"/>
  <c r="BR157" i="13" s="1" a="1"/>
  <c r="BR157" i="13" s="1"/>
  <c r="CN158" i="13"/>
  <c r="CO158" i="13" s="1"/>
  <c r="BT158" i="13"/>
  <c r="BU158" i="13" s="1"/>
  <c r="BV158" i="13" s="1" a="1"/>
  <c r="BV158" i="13" s="1"/>
  <c r="CJ158" i="13"/>
  <c r="CK158" i="13" s="1"/>
  <c r="CL158" i="13" s="1" a="1"/>
  <c r="CL158" i="13" s="1"/>
  <c r="CB158" i="13"/>
  <c r="CC158" i="13" s="1"/>
  <c r="BP158" i="13"/>
  <c r="BQ158" i="13" s="1"/>
  <c r="BR158" i="13" s="1" a="1"/>
  <c r="BR158" i="13" s="1"/>
  <c r="CV167" i="13"/>
  <c r="CW167" i="13" s="1"/>
  <c r="BJ171" i="13"/>
  <c r="CN171" i="13" s="1"/>
  <c r="CO171" i="13" s="1"/>
  <c r="CJ163" i="13"/>
  <c r="CK163" i="13" s="1"/>
  <c r="CL163" i="13" s="1" a="1"/>
  <c r="CL163" i="13" s="1"/>
  <c r="BJ179" i="13"/>
  <c r="CJ179" i="13" s="1"/>
  <c r="CK179" i="13" s="1"/>
  <c r="CL179" i="13" s="1" a="1"/>
  <c r="CL179" i="13" s="1"/>
  <c r="BX176" i="13"/>
  <c r="BY176" i="13" s="1"/>
  <c r="CR170" i="13"/>
  <c r="CS170" i="13" s="1"/>
  <c r="CT170" i="13" s="1" a="1"/>
  <c r="CT170" i="13" s="1"/>
  <c r="CB170" i="13"/>
  <c r="CC170" i="13" s="1"/>
  <c r="BX190" i="13"/>
  <c r="BY190" i="13" s="1"/>
  <c r="BZ190" i="13" s="1" a="1"/>
  <c r="BZ190" i="13" s="1"/>
  <c r="CR193" i="13"/>
  <c r="CS193" i="13" s="1"/>
  <c r="CR201" i="13"/>
  <c r="CS201" i="13" s="1"/>
  <c r="BX172" i="13"/>
  <c r="BY172" i="13" s="1"/>
  <c r="BX193" i="13"/>
  <c r="BY193" i="13" s="1"/>
  <c r="BZ193" i="13" s="1" a="1"/>
  <c r="BZ193" i="13" s="1"/>
  <c r="CN193" i="13"/>
  <c r="CO193" i="13" s="1"/>
  <c r="CN198" i="13"/>
  <c r="CO198" i="13" s="1"/>
  <c r="CP198" i="13" s="1" a="1"/>
  <c r="CP198" i="13" s="1"/>
  <c r="CZ203" i="13"/>
  <c r="Z203" i="13" s="1"/>
  <c r="CB187" i="13"/>
  <c r="CC187" i="13" s="1"/>
  <c r="CR207" i="13"/>
  <c r="CS207" i="13" s="1"/>
  <c r="CL217" i="13" a="1"/>
  <c r="CL217" i="13" s="1"/>
  <c r="CR202" i="13"/>
  <c r="CS202" i="13" s="1"/>
  <c r="CR209" i="13"/>
  <c r="CS209" i="13" s="1"/>
  <c r="CT209" i="13" s="1" a="1"/>
  <c r="CT209" i="13" s="1"/>
  <c r="BT218" i="13"/>
  <c r="BU218" i="13" s="1"/>
  <c r="BV218" i="13" s="1" a="1"/>
  <c r="BV218" i="13" s="1"/>
  <c r="CR221" i="13"/>
  <c r="CS221" i="13" s="1"/>
  <c r="CT221" i="13" s="1" a="1"/>
  <c r="CT221" i="13" s="1"/>
  <c r="CN218" i="13"/>
  <c r="CO218" i="13" s="1"/>
  <c r="CP218" i="13" s="1" a="1"/>
  <c r="CP218" i="13" s="1"/>
  <c r="CJ219" i="13"/>
  <c r="CK219" i="13" s="1"/>
  <c r="CL219" i="13" s="1" a="1"/>
  <c r="CL219" i="13" s="1"/>
  <c r="BT240" i="13"/>
  <c r="BU240" i="13" s="1"/>
  <c r="BV240" i="13" s="1" a="1"/>
  <c r="BV240" i="13" s="1"/>
  <c r="CJ211" i="13"/>
  <c r="CK211" i="13" s="1"/>
  <c r="CL211" i="13" s="1" a="1"/>
  <c r="CL211" i="13" s="1"/>
  <c r="CN211" i="13"/>
  <c r="CO211" i="13" s="1"/>
  <c r="BT211" i="13"/>
  <c r="BU211" i="13" s="1"/>
  <c r="BP211" i="13"/>
  <c r="BQ211" i="13" s="1"/>
  <c r="BR211" i="13" s="1" a="1"/>
  <c r="BR211" i="13" s="1"/>
  <c r="CN208" i="13"/>
  <c r="CO208" i="13" s="1"/>
  <c r="CP208" i="13" s="1" a="1"/>
  <c r="CP208" i="13" s="1"/>
  <c r="CR217" i="13"/>
  <c r="CS217" i="13" s="1"/>
  <c r="CT217" i="13" s="1" a="1"/>
  <c r="CT217" i="13" s="1"/>
  <c r="CR212" i="13"/>
  <c r="CS212" i="13" s="1"/>
  <c r="CT212" i="13" s="1" a="1"/>
  <c r="CT212" i="13" s="1"/>
  <c r="CJ231" i="13"/>
  <c r="CK231" i="13" s="1"/>
  <c r="CL231" i="13" s="1" a="1"/>
  <c r="CL231" i="13" s="1"/>
  <c r="CN230" i="13"/>
  <c r="CO230" i="13" s="1"/>
  <c r="CT230" i="13" s="1" a="1"/>
  <c r="CT230" i="13" s="1"/>
  <c r="BT230" i="13"/>
  <c r="BU230" i="13" s="1"/>
  <c r="CJ230" i="13"/>
  <c r="CK230" i="13" s="1"/>
  <c r="CL230" i="13" s="1" a="1"/>
  <c r="CL230" i="13" s="1"/>
  <c r="BP230" i="13"/>
  <c r="BQ230" i="13" s="1"/>
  <c r="BR230" i="13" s="1" a="1"/>
  <c r="BR230" i="13" s="1"/>
  <c r="CV230" i="13"/>
  <c r="CW230" i="13" s="1"/>
  <c r="BJ233" i="13"/>
  <c r="CV233" i="13" s="1"/>
  <c r="CW233" i="13" s="1"/>
  <c r="CR238" i="13"/>
  <c r="CS238" i="13" s="1"/>
  <c r="CX254" i="13" a="1"/>
  <c r="CX254" i="13" s="1"/>
  <c r="BP255" i="13"/>
  <c r="BQ255" i="13" s="1"/>
  <c r="BR255" i="13" s="1" a="1"/>
  <c r="BR255" i="13" s="1"/>
  <c r="CR255" i="13"/>
  <c r="CS255" i="13" s="1"/>
  <c r="BT255" i="13"/>
  <c r="BU255" i="13" s="1"/>
  <c r="BV255" i="13" s="1" a="1"/>
  <c r="BV255" i="13" s="1"/>
  <c r="CB255" i="13"/>
  <c r="CC255" i="13" s="1"/>
  <c r="CN255" i="13"/>
  <c r="CO255" i="13" s="1"/>
  <c r="CP255" i="13" s="1" a="1"/>
  <c r="CP255" i="13" s="1"/>
  <c r="BX255" i="13"/>
  <c r="BY255" i="13" s="1"/>
  <c r="CJ255" i="13"/>
  <c r="CK255" i="13" s="1"/>
  <c r="CL255" i="13" s="1" a="1"/>
  <c r="CL255" i="13" s="1"/>
  <c r="CN266" i="13"/>
  <c r="CO266" i="13" s="1"/>
  <c r="BP266" i="13"/>
  <c r="BQ266" i="13" s="1"/>
  <c r="BR266" i="13" s="1" a="1"/>
  <c r="BR266" i="13" s="1"/>
  <c r="BT266" i="13"/>
  <c r="BU266" i="13" s="1"/>
  <c r="CR266" i="13"/>
  <c r="CS266" i="13" s="1"/>
  <c r="CT266" i="13" s="1" a="1"/>
  <c r="CT266" i="13" s="1"/>
  <c r="CJ266" i="13"/>
  <c r="CK266" i="13" s="1"/>
  <c r="CL266" i="13" s="1" a="1"/>
  <c r="CL266" i="13" s="1"/>
  <c r="CB266" i="13"/>
  <c r="CC266" i="13" s="1"/>
  <c r="CB253" i="13"/>
  <c r="CC253" i="13" s="1"/>
  <c r="BT277" i="13"/>
  <c r="BU277" i="13" s="1"/>
  <c r="BX257" i="13"/>
  <c r="BY257" i="13" s="1"/>
  <c r="CB271" i="13"/>
  <c r="CC271" i="13" s="1"/>
  <c r="CV253" i="13"/>
  <c r="CW253" i="13" s="1"/>
  <c r="CR271" i="13"/>
  <c r="CS271" i="13" s="1"/>
  <c r="BT289" i="13"/>
  <c r="BU289" i="13" s="1"/>
  <c r="BV289" i="13" s="1" a="1"/>
  <c r="BV289" i="13" s="1"/>
  <c r="CE278" i="13" a="1"/>
  <c r="CE278" i="13" s="1"/>
  <c r="BX266" i="13"/>
  <c r="BY266" i="13" s="1"/>
  <c r="CD288" i="13" a="1"/>
  <c r="CD288" i="13" s="1"/>
  <c r="CF288" i="13" s="1"/>
  <c r="R288" i="13" s="1"/>
  <c r="AF288" i="13" s="1"/>
  <c r="CR295" i="13"/>
  <c r="CS295" i="13" s="1"/>
  <c r="BJ301" i="13"/>
  <c r="CN301" i="13" s="1"/>
  <c r="CO301" i="13" s="1"/>
  <c r="CR307" i="13"/>
  <c r="CS307" i="13" s="1"/>
  <c r="CR315" i="13"/>
  <c r="CS315" i="13" s="1"/>
  <c r="CB300" i="13"/>
  <c r="CC300" i="13" s="1"/>
  <c r="CV285" i="13"/>
  <c r="CW285" i="13" s="1"/>
  <c r="CJ283" i="13"/>
  <c r="CK283" i="13" s="1"/>
  <c r="CL283" i="13" s="1" a="1"/>
  <c r="CL283" i="13" s="1"/>
  <c r="BP283" i="13"/>
  <c r="BQ283" i="13" s="1"/>
  <c r="BR283" i="13" s="1" a="1"/>
  <c r="BR283" i="13" s="1"/>
  <c r="CV283" i="13"/>
  <c r="CW283" i="13" s="1"/>
  <c r="BX283" i="13"/>
  <c r="BY283" i="13" s="1"/>
  <c r="CD283" i="13" s="1" a="1"/>
  <c r="CD283" i="13" s="1"/>
  <c r="CV295" i="13"/>
  <c r="CW295" i="13" s="1"/>
  <c r="BX300" i="13"/>
  <c r="BY300" i="13" s="1"/>
  <c r="CJ298" i="13"/>
  <c r="CK298" i="13" s="1"/>
  <c r="BU317" i="13"/>
  <c r="BJ317" i="13"/>
  <c r="BT317" i="13" s="1"/>
  <c r="CN330" i="13"/>
  <c r="CO330" i="13" s="1"/>
  <c r="CV310" i="13"/>
  <c r="CW310" i="13" s="1"/>
  <c r="BJ318" i="13"/>
  <c r="CV318" i="13" s="1"/>
  <c r="CW318" i="13" s="1"/>
  <c r="CN302" i="13"/>
  <c r="CO302" i="13" s="1"/>
  <c r="CP302" i="13" s="1" a="1"/>
  <c r="CP302" i="13" s="1"/>
  <c r="CB314" i="13"/>
  <c r="CC314" i="13" s="1"/>
  <c r="CN318" i="13"/>
  <c r="CO318" i="13" s="1"/>
  <c r="BP326" i="13"/>
  <c r="BQ326" i="13" s="1"/>
  <c r="BR326" i="13" s="1" a="1"/>
  <c r="BR326" i="13" s="1"/>
  <c r="BT270" i="13"/>
  <c r="BU270" i="13" s="1"/>
  <c r="BV270" i="13" s="1" a="1"/>
  <c r="BV270" i="13" s="1"/>
  <c r="BX289" i="13"/>
  <c r="BY289" i="13" s="1"/>
  <c r="BZ289" i="13" s="1" a="1"/>
  <c r="BZ289" i="13" s="1"/>
  <c r="CB316" i="13"/>
  <c r="CC316" i="13" s="1"/>
  <c r="BT310" i="13"/>
  <c r="BU310" i="13" s="1"/>
  <c r="CN317" i="13"/>
  <c r="CO317" i="13" s="1"/>
  <c r="BT318" i="13"/>
  <c r="BU318" i="13" s="1"/>
  <c r="BT300" i="13"/>
  <c r="BU300" i="13" s="1"/>
  <c r="BV300" i="13" s="1" a="1"/>
  <c r="BV300" i="13" s="1"/>
  <c r="CN321" i="13"/>
  <c r="CO321" i="13" s="1"/>
  <c r="BJ340" i="13"/>
  <c r="CV340" i="13" s="1"/>
  <c r="CW340" i="13" s="1"/>
  <c r="CJ325" i="13"/>
  <c r="CK325" i="13" s="1"/>
  <c r="CP325" i="13" s="1" a="1"/>
  <c r="CP325" i="13" s="1"/>
  <c r="CV331" i="13"/>
  <c r="CW331" i="13" s="1"/>
  <c r="CT347" i="13" a="1"/>
  <c r="CT347" i="13" s="1"/>
  <c r="CT351" i="13" a="1"/>
  <c r="CT351" i="13" s="1"/>
  <c r="BR320" i="13" a="1"/>
  <c r="BR320" i="13" s="1"/>
  <c r="CF320" i="13" s="1"/>
  <c r="R320" i="13" s="1"/>
  <c r="CJ306" i="13"/>
  <c r="CK306" i="13" s="1"/>
  <c r="CL306" i="13" s="1" a="1"/>
  <c r="CL306" i="13" s="1"/>
  <c r="BP306" i="13"/>
  <c r="BQ306" i="13" s="1"/>
  <c r="BR306" i="13" s="1" a="1"/>
  <c r="BR306" i="13" s="1"/>
  <c r="BT306" i="13"/>
  <c r="BU306" i="13" s="1"/>
  <c r="CV351" i="13"/>
  <c r="CW351" i="13" s="1"/>
  <c r="BZ353" i="13" a="1"/>
  <c r="BZ353" i="13" s="1"/>
  <c r="CJ330" i="13"/>
  <c r="CK330" i="13" s="1"/>
  <c r="CL330" i="13" s="1" a="1"/>
  <c r="CL330" i="13" s="1"/>
  <c r="CN347" i="13"/>
  <c r="CO347" i="13" s="1"/>
  <c r="CP347" i="13" s="1" a="1"/>
  <c r="CP347" i="13" s="1"/>
  <c r="CN354" i="13"/>
  <c r="CO354" i="13" s="1"/>
  <c r="CJ376" i="13"/>
  <c r="CK376" i="13" s="1"/>
  <c r="CL376" i="13" s="1" a="1"/>
  <c r="CL376" i="13" s="1"/>
  <c r="BJ367" i="13"/>
  <c r="CR367" i="13" s="1"/>
  <c r="CS367" i="13" s="1"/>
  <c r="CL351" i="13" a="1"/>
  <c r="CL351" i="13" s="1"/>
  <c r="BJ365" i="13"/>
  <c r="CN365" i="13" s="1"/>
  <c r="CO365" i="13" s="1"/>
  <c r="CN379" i="13"/>
  <c r="CO379" i="13" s="1"/>
  <c r="CP379" i="13" s="1" a="1"/>
  <c r="CP379" i="13" s="1"/>
  <c r="CJ331" i="13"/>
  <c r="CK331" i="13" s="1"/>
  <c r="CL331" i="13" s="1" a="1"/>
  <c r="CL331" i="13" s="1"/>
  <c r="BX367" i="13"/>
  <c r="BY367" i="13" s="1"/>
  <c r="BP383" i="13"/>
  <c r="BQ383" i="13" s="1"/>
  <c r="BR383" i="13" s="1" a="1"/>
  <c r="BR383" i="13" s="1"/>
  <c r="CL407" i="13" a="1"/>
  <c r="CL407" i="13" s="1"/>
  <c r="CX384" i="13" a="1"/>
  <c r="CX384" i="13" s="1"/>
  <c r="CB384" i="13"/>
  <c r="CC384" i="13" s="1"/>
  <c r="BJ392" i="13"/>
  <c r="CN392" i="13" s="1"/>
  <c r="CO392" i="13" s="1"/>
  <c r="CB404" i="13"/>
  <c r="CC404" i="13" s="1"/>
  <c r="CJ401" i="13"/>
  <c r="CK401" i="13" s="1"/>
  <c r="CL401" i="13" s="1" a="1"/>
  <c r="CL401" i="13" s="1"/>
  <c r="CR415" i="13"/>
  <c r="CS415" i="13" s="1"/>
  <c r="CT415" i="13" s="1" a="1"/>
  <c r="CT415" i="13" s="1"/>
  <c r="BJ429" i="13"/>
  <c r="CN429" i="13" s="1"/>
  <c r="CO429" i="13" s="1"/>
  <c r="BX396" i="13"/>
  <c r="BY396" i="13" s="1"/>
  <c r="BZ396" i="13" s="1" a="1"/>
  <c r="BZ396" i="13" s="1"/>
  <c r="BT410" i="13"/>
  <c r="BU410" i="13" s="1"/>
  <c r="CN410" i="13"/>
  <c r="CO410" i="13" s="1"/>
  <c r="CV396" i="13"/>
  <c r="CW396" i="13" s="1"/>
  <c r="BR401" i="13" a="1"/>
  <c r="BR401" i="13" s="1"/>
  <c r="CD402" i="13" a="1"/>
  <c r="CD402" i="13" s="1"/>
  <c r="CJ408" i="13"/>
  <c r="CK408" i="13" s="1"/>
  <c r="CL408" i="13" s="1" a="1"/>
  <c r="CL408" i="13" s="1"/>
  <c r="BX412" i="13"/>
  <c r="BY412" i="13" s="1"/>
  <c r="CN422" i="13"/>
  <c r="CO422" i="13" s="1"/>
  <c r="CP422" i="13" s="1" a="1"/>
  <c r="CP422" i="13" s="1"/>
  <c r="BP422" i="13"/>
  <c r="BQ422" i="13" s="1"/>
  <c r="BR422" i="13" s="1" a="1"/>
  <c r="BR422" i="13" s="1"/>
  <c r="CJ422" i="13"/>
  <c r="CK422" i="13" s="1"/>
  <c r="CL422" i="13" s="1" a="1"/>
  <c r="CL422" i="13" s="1"/>
  <c r="CR422" i="13"/>
  <c r="CS422" i="13" s="1"/>
  <c r="BJ431" i="13"/>
  <c r="BP431" i="13" s="1"/>
  <c r="BQ431" i="13" s="1"/>
  <c r="BR431" i="13" s="1" a="1"/>
  <c r="BR431" i="13" s="1"/>
  <c r="BJ435" i="13"/>
  <c r="BP435" i="13" s="1"/>
  <c r="BQ435" i="13" s="1"/>
  <c r="BR435" i="13" s="1" a="1"/>
  <c r="BR435" i="13" s="1"/>
  <c r="BX399" i="13"/>
  <c r="BY399" i="13" s="1"/>
  <c r="CV405" i="13"/>
  <c r="CW405" i="13" s="1"/>
  <c r="CV399" i="13"/>
  <c r="CW399" i="13" s="1"/>
  <c r="CN413" i="13"/>
  <c r="CO413" i="13" s="1"/>
  <c r="CN418" i="13"/>
  <c r="CO418" i="13" s="1"/>
  <c r="BT421" i="13"/>
  <c r="BU421" i="13" s="1"/>
  <c r="CJ421" i="13"/>
  <c r="CK421" i="13" s="1"/>
  <c r="CL421" i="13" s="1" a="1"/>
  <c r="CL421" i="13" s="1"/>
  <c r="CN434" i="13"/>
  <c r="CV390" i="13"/>
  <c r="CW390" i="13" s="1"/>
  <c r="CV398" i="13"/>
  <c r="CW398" i="13" s="1"/>
  <c r="CD408" i="13" a="1"/>
  <c r="CD408" i="13" s="1"/>
  <c r="BX384" i="13"/>
  <c r="BY384" i="13" s="1"/>
  <c r="CN415" i="13"/>
  <c r="CO415" i="13" s="1"/>
  <c r="CP415" i="13" s="1" a="1"/>
  <c r="CP415" i="13" s="1"/>
  <c r="BJ434" i="13"/>
  <c r="BP434" i="13" s="1"/>
  <c r="CO434" i="13"/>
  <c r="BQ434" i="13"/>
  <c r="BR434" i="13" s="1" a="1"/>
  <c r="BR434" i="13" s="1"/>
  <c r="BJ442" i="13"/>
  <c r="BP442" i="13" s="1"/>
  <c r="BQ442" i="13" s="1"/>
  <c r="BR442" i="13" s="1" a="1"/>
  <c r="BR442" i="13" s="1"/>
  <c r="CJ452" i="13"/>
  <c r="CK452" i="13" s="1"/>
  <c r="CL452" i="13" s="1" a="1"/>
  <c r="CL452" i="13" s="1"/>
  <c r="BJ473" i="13"/>
  <c r="CR473" i="13" s="1"/>
  <c r="CS473" i="13" s="1"/>
  <c r="BP426" i="13"/>
  <c r="BQ426" i="13" s="1"/>
  <c r="BR426" i="13" s="1" a="1"/>
  <c r="BR426" i="13" s="1"/>
  <c r="BV466" i="13" a="1"/>
  <c r="BV466" i="13" s="1"/>
  <c r="BZ466" i="13" a="1"/>
  <c r="BZ466" i="13" s="1"/>
  <c r="CV482" i="13"/>
  <c r="CW482" i="13" s="1"/>
  <c r="CY589" i="13" a="1"/>
  <c r="CY589" i="13" s="1"/>
  <c r="CY595" i="13" a="1"/>
  <c r="CY595" i="13" s="1"/>
  <c r="CX605" i="13" a="1"/>
  <c r="CX605" i="13" s="1"/>
  <c r="CY605" i="13" a="1"/>
  <c r="CY605" i="13" s="1"/>
  <c r="BZ703" i="13" a="1"/>
  <c r="BZ703" i="13" s="1"/>
  <c r="BZ711" i="13" a="1"/>
  <c r="BZ711" i="13" s="1"/>
  <c r="BZ719" i="13" a="1"/>
  <c r="BZ719" i="13" s="1"/>
  <c r="CE613" i="13" a="1"/>
  <c r="CE613" i="13" s="1"/>
  <c r="CD613" i="13" a="1"/>
  <c r="CD613" i="13" s="1"/>
  <c r="CE617" i="13" a="1"/>
  <c r="CE617" i="13" s="1"/>
  <c r="CD617" i="13" a="1"/>
  <c r="CD617" i="13" s="1"/>
  <c r="CX695" i="13" a="1"/>
  <c r="CX695" i="13" s="1"/>
  <c r="CY695" i="13" a="1"/>
  <c r="CY695" i="13" s="1"/>
  <c r="CX711" i="13" a="1"/>
  <c r="CX711" i="13" s="1"/>
  <c r="CY711" i="13" a="1"/>
  <c r="CY711" i="13" s="1"/>
  <c r="CD693" i="13" a="1"/>
  <c r="CD693" i="13" s="1"/>
  <c r="CE693" i="13" a="1"/>
  <c r="CE693" i="13" s="1"/>
  <c r="CD705" i="13" a="1"/>
  <c r="CD705" i="13" s="1"/>
  <c r="CE705" i="13" a="1"/>
  <c r="CE705" i="13" s="1"/>
  <c r="CE710" i="13" a="1"/>
  <c r="CE710" i="13" s="1"/>
  <c r="CZ725" i="13"/>
  <c r="Z725" i="13" s="1"/>
  <c r="BZ737" i="13" a="1"/>
  <c r="BZ737" i="13" s="1"/>
  <c r="CE721" i="13" a="1"/>
  <c r="CE721" i="13" s="1"/>
  <c r="CD721" i="13" a="1"/>
  <c r="CD721" i="13" s="1"/>
  <c r="CP695" i="13" a="1"/>
  <c r="CP695" i="13" s="1"/>
  <c r="CP697" i="13" a="1"/>
  <c r="CP697" i="13" s="1"/>
  <c r="CR167" i="13"/>
  <c r="CS167" i="13" s="1"/>
  <c r="CT167" i="13" s="1" a="1"/>
  <c r="CT167" i="13" s="1"/>
  <c r="CV173" i="13"/>
  <c r="CW173" i="13" s="1"/>
  <c r="BJ177" i="13"/>
  <c r="CJ161" i="13"/>
  <c r="CK161" i="13" s="1"/>
  <c r="CL161" i="13" s="1" a="1"/>
  <c r="CL161" i="13" s="1"/>
  <c r="BP161" i="13"/>
  <c r="BQ161" i="13" s="1"/>
  <c r="BR161" i="13" s="1" a="1"/>
  <c r="BR161" i="13" s="1"/>
  <c r="BX161" i="13"/>
  <c r="BY161" i="13" s="1"/>
  <c r="BZ161" i="13" s="1" a="1"/>
  <c r="BZ161" i="13" s="1"/>
  <c r="BT161" i="13"/>
  <c r="BU161" i="13" s="1"/>
  <c r="CV161" i="13"/>
  <c r="CW161" i="13" s="1"/>
  <c r="CN161" i="13"/>
  <c r="CO161" i="13" s="1"/>
  <c r="CJ177" i="13"/>
  <c r="CK177" i="13" s="1"/>
  <c r="CL177" i="13" s="1" a="1"/>
  <c r="CL177" i="13" s="1"/>
  <c r="CV179" i="13"/>
  <c r="CW179" i="13" s="1"/>
  <c r="BP176" i="13"/>
  <c r="BQ176" i="13" s="1"/>
  <c r="BR176" i="13" s="1" a="1"/>
  <c r="BR176" i="13" s="1"/>
  <c r="CJ176" i="13"/>
  <c r="CK176" i="13" s="1"/>
  <c r="CL176" i="13" s="1" a="1"/>
  <c r="CL176" i="13" s="1"/>
  <c r="BJ178" i="13"/>
  <c r="CJ178" i="13" s="1"/>
  <c r="CK178" i="13" s="1"/>
  <c r="CL178" i="13" s="1" a="1"/>
  <c r="CL178" i="13" s="1"/>
  <c r="CF185" i="13"/>
  <c r="R185" i="13" s="1"/>
  <c r="AF185" i="13" s="1"/>
  <c r="BJ195" i="13"/>
  <c r="BX195" i="13" s="1"/>
  <c r="BY195" i="13" s="1"/>
  <c r="BZ191" i="13" a="1"/>
  <c r="BZ191" i="13" s="1"/>
  <c r="CF191" i="13" s="1"/>
  <c r="R191" i="13" s="1"/>
  <c r="CJ174" i="13"/>
  <c r="CK174" i="13" s="1"/>
  <c r="CL174" i="13" s="1" a="1"/>
  <c r="CL174" i="13" s="1"/>
  <c r="BP174" i="13"/>
  <c r="BQ174" i="13" s="1"/>
  <c r="BR174" i="13" s="1" a="1"/>
  <c r="BR174" i="13" s="1"/>
  <c r="CN189" i="13"/>
  <c r="CO189" i="13" s="1"/>
  <c r="CJ190" i="13"/>
  <c r="CK190" i="13" s="1"/>
  <c r="CL190" i="13" s="1" a="1"/>
  <c r="CL190" i="13" s="1"/>
  <c r="BP190" i="13"/>
  <c r="BQ190" i="13" s="1"/>
  <c r="BR190" i="13" s="1" a="1"/>
  <c r="BR190" i="13" s="1"/>
  <c r="CV209" i="13"/>
  <c r="CW209" i="13" s="1"/>
  <c r="CJ213" i="13"/>
  <c r="CK213" i="13" s="1"/>
  <c r="CL213" i="13" s="1" a="1"/>
  <c r="CL213" i="13" s="1"/>
  <c r="CB202" i="13"/>
  <c r="CC202" i="13" s="1"/>
  <c r="BT221" i="13"/>
  <c r="BU221" i="13" s="1"/>
  <c r="CN202" i="13"/>
  <c r="CO202" i="13" s="1"/>
  <c r="CB218" i="13"/>
  <c r="CC218" i="13" s="1"/>
  <c r="BX218" i="13"/>
  <c r="BY218" i="13" s="1"/>
  <c r="BZ218" i="13" s="1" a="1"/>
  <c r="BZ218" i="13" s="1"/>
  <c r="CR218" i="13"/>
  <c r="CS218" i="13" s="1"/>
  <c r="CT218" i="13" s="1" a="1"/>
  <c r="CT218" i="13" s="1"/>
  <c r="BX244" i="13"/>
  <c r="BY244" i="13" s="1"/>
  <c r="BZ244" i="13" s="1" a="1"/>
  <c r="BZ244" i="13" s="1"/>
  <c r="CN228" i="13"/>
  <c r="CO228" i="13" s="1"/>
  <c r="CJ228" i="13"/>
  <c r="CK228" i="13" s="1"/>
  <c r="CL228" i="13" s="1" a="1"/>
  <c r="CL228" i="13" s="1"/>
  <c r="CR228" i="13"/>
  <c r="CS228" i="13" s="1"/>
  <c r="BP228" i="13"/>
  <c r="BQ228" i="13" s="1"/>
  <c r="BR228" i="13" s="1" a="1"/>
  <c r="BR228" i="13" s="1"/>
  <c r="CB228" i="13"/>
  <c r="CC228" i="13" s="1"/>
  <c r="BT228" i="13"/>
  <c r="BU228" i="13" s="1"/>
  <c r="CR210" i="13"/>
  <c r="CS210" i="13" s="1"/>
  <c r="CR219" i="13"/>
  <c r="CS219" i="13" s="1"/>
  <c r="CT219" i="13" s="1" a="1"/>
  <c r="CT219" i="13" s="1"/>
  <c r="CR211" i="13"/>
  <c r="CS211" i="13" s="1"/>
  <c r="CT211" i="13" s="1" a="1"/>
  <c r="CT211" i="13" s="1"/>
  <c r="CP237" i="13" a="1"/>
  <c r="CP237" i="13" s="1"/>
  <c r="CZ237" i="13" s="1"/>
  <c r="Z237" i="13" s="1"/>
  <c r="BX259" i="13"/>
  <c r="BY259" i="13" s="1"/>
  <c r="BZ259" i="13" s="1" a="1"/>
  <c r="BZ259" i="13" s="1"/>
  <c r="CJ244" i="13"/>
  <c r="CK244" i="13" s="1"/>
  <c r="CL244" i="13" s="1" a="1"/>
  <c r="CL244" i="13" s="1"/>
  <c r="CV244" i="13"/>
  <c r="CW244" i="13" s="1"/>
  <c r="BP244" i="13"/>
  <c r="BQ244" i="13" s="1"/>
  <c r="BR244" i="13" s="1" a="1"/>
  <c r="BR244" i="13" s="1"/>
  <c r="CV228" i="13"/>
  <c r="CW228" i="13" s="1"/>
  <c r="BP253" i="13"/>
  <c r="BQ253" i="13" s="1"/>
  <c r="BR253" i="13" s="1" a="1"/>
  <c r="BR253" i="13" s="1"/>
  <c r="CN231" i="13"/>
  <c r="CO231" i="13" s="1"/>
  <c r="CV216" i="13"/>
  <c r="CW216" i="13" s="1"/>
  <c r="BJ256" i="13"/>
  <c r="CB256" i="13" s="1"/>
  <c r="CC256" i="13" s="1"/>
  <c r="CN233" i="13"/>
  <c r="CO233" i="13" s="1"/>
  <c r="CB230" i="13"/>
  <c r="CC230" i="13" s="1"/>
  <c r="CV271" i="13"/>
  <c r="CW271" i="13" s="1"/>
  <c r="CR256" i="13"/>
  <c r="CS256" i="13" s="1"/>
  <c r="CN271" i="13"/>
  <c r="CO271" i="13" s="1"/>
  <c r="CP271" i="13" s="1" a="1"/>
  <c r="CP271" i="13" s="1"/>
  <c r="CV281" i="13"/>
  <c r="CW281" i="13" s="1"/>
  <c r="CJ257" i="13"/>
  <c r="CK257" i="13" s="1"/>
  <c r="CL257" i="13" s="1" a="1"/>
  <c r="CL257" i="13" s="1"/>
  <c r="BJ267" i="13"/>
  <c r="CR267" i="13" s="1"/>
  <c r="CS267" i="13" s="1"/>
  <c r="CX278" i="13" a="1"/>
  <c r="CX278" i="13" s="1"/>
  <c r="CN289" i="13"/>
  <c r="CO289" i="13" s="1"/>
  <c r="CP289" i="13" s="1" a="1"/>
  <c r="CP289" i="13" s="1"/>
  <c r="CR301" i="13"/>
  <c r="CS301" i="13" s="1"/>
  <c r="CT301" i="13" s="1" a="1"/>
  <c r="CT301" i="13" s="1"/>
  <c r="BJ309" i="13"/>
  <c r="CV286" i="13"/>
  <c r="CW286" i="13" s="1"/>
  <c r="CB294" i="13"/>
  <c r="CC294" i="13" s="1"/>
  <c r="CJ280" i="13"/>
  <c r="CK280" i="13" s="1"/>
  <c r="CL280" i="13" s="1" a="1"/>
  <c r="CL280" i="13" s="1"/>
  <c r="CV301" i="13"/>
  <c r="CW301" i="13" s="1"/>
  <c r="BX306" i="13"/>
  <c r="BY306" i="13" s="1"/>
  <c r="BZ306" i="13" s="1" a="1"/>
  <c r="BZ306" i="13" s="1"/>
  <c r="CN298" i="13"/>
  <c r="CO298" i="13" s="1"/>
  <c r="CP298" i="13" s="1" a="1"/>
  <c r="CP298" i="13" s="1"/>
  <c r="CB326" i="13"/>
  <c r="CC326" i="13" s="1"/>
  <c r="CR326" i="13"/>
  <c r="CS326" i="13" s="1"/>
  <c r="CR330" i="13"/>
  <c r="CS330" i="13" s="1"/>
  <c r="CT330" i="13" s="1" a="1"/>
  <c r="CT330" i="13" s="1"/>
  <c r="CV289" i="13"/>
  <c r="CW289" i="13" s="1"/>
  <c r="BX312" i="13"/>
  <c r="BY312" i="13" s="1"/>
  <c r="BZ312" i="13" s="1" a="1"/>
  <c r="BZ312" i="13" s="1"/>
  <c r="CV325" i="13"/>
  <c r="CW325" i="13" s="1"/>
  <c r="BR285" i="13" a="1"/>
  <c r="BR285" i="13" s="1"/>
  <c r="CF285" i="13" s="1"/>
  <c r="R285" i="13" s="1"/>
  <c r="CB331" i="13"/>
  <c r="CC331" i="13" s="1"/>
  <c r="CR318" i="13"/>
  <c r="CS318" i="13" s="1"/>
  <c r="CT318" i="13" s="1" a="1"/>
  <c r="CT318" i="13" s="1"/>
  <c r="CJ314" i="13"/>
  <c r="CK314" i="13" s="1"/>
  <c r="CL314" i="13" s="1" a="1"/>
  <c r="CL314" i="13" s="1"/>
  <c r="BP314" i="13"/>
  <c r="BQ314" i="13" s="1"/>
  <c r="BR314" i="13" s="1" a="1"/>
  <c r="BR314" i="13" s="1"/>
  <c r="CV321" i="13"/>
  <c r="CW321" i="13" s="1"/>
  <c r="CV333" i="13"/>
  <c r="CW333" i="13" s="1"/>
  <c r="BJ350" i="13"/>
  <c r="CV332" i="13"/>
  <c r="CW332" i="13" s="1"/>
  <c r="BT335" i="13"/>
  <c r="BU335" i="13" s="1"/>
  <c r="CJ335" i="13"/>
  <c r="CK335" i="13" s="1"/>
  <c r="CL335" i="13" s="1" a="1"/>
  <c r="CL335" i="13" s="1"/>
  <c r="BP335" i="13"/>
  <c r="BQ335" i="13" s="1"/>
  <c r="BR335" i="13" s="1" a="1"/>
  <c r="BR335" i="13" s="1"/>
  <c r="CJ310" i="13"/>
  <c r="CK310" i="13" s="1"/>
  <c r="CL310" i="13" s="1" a="1"/>
  <c r="CL310" i="13" s="1"/>
  <c r="BP310" i="13"/>
  <c r="BQ310" i="13" s="1"/>
  <c r="BR310" i="13" s="1" a="1"/>
  <c r="BR310" i="13" s="1"/>
  <c r="CL320" i="13" a="1"/>
  <c r="CL320" i="13" s="1"/>
  <c r="CV337" i="13"/>
  <c r="CW337" i="13" s="1"/>
  <c r="CN331" i="13"/>
  <c r="CO331" i="13" s="1"/>
  <c r="CP331" i="13" s="1" a="1"/>
  <c r="CP331" i="13" s="1"/>
  <c r="CN341" i="13"/>
  <c r="CO341" i="13" s="1"/>
  <c r="CP341" i="13" s="1" a="1"/>
  <c r="CP341" i="13" s="1"/>
  <c r="BT321" i="13"/>
  <c r="BU321" i="13" s="1"/>
  <c r="CN360" i="13"/>
  <c r="CO360" i="13" s="1"/>
  <c r="BT360" i="13"/>
  <c r="BU360" i="13" s="1"/>
  <c r="BP360" i="13"/>
  <c r="BQ360" i="13" s="1"/>
  <c r="BR360" i="13" s="1" a="1"/>
  <c r="BR360" i="13" s="1"/>
  <c r="CR360" i="13"/>
  <c r="CS360" i="13" s="1"/>
  <c r="BX360" i="13"/>
  <c r="BY360" i="13" s="1"/>
  <c r="CJ360" i="13"/>
  <c r="CK360" i="13" s="1"/>
  <c r="CL360" i="13" s="1" a="1"/>
  <c r="CL360" i="13" s="1"/>
  <c r="CV360" i="13"/>
  <c r="CW360" i="13" s="1"/>
  <c r="BJ371" i="13"/>
  <c r="BX371" i="13" s="1"/>
  <c r="BY371" i="13" s="1"/>
  <c r="BX365" i="13"/>
  <c r="BY365" i="13" s="1"/>
  <c r="BT377" i="13"/>
  <c r="BU377" i="13" s="1"/>
  <c r="BV377" i="13" s="1" a="1"/>
  <c r="BV377" i="13" s="1"/>
  <c r="BT383" i="13"/>
  <c r="BU383" i="13" s="1"/>
  <c r="BV383" i="13" s="1" a="1"/>
  <c r="BV383" i="13" s="1"/>
  <c r="CN353" i="13"/>
  <c r="CO353" i="13" s="1"/>
  <c r="CP353" i="13" s="1" a="1"/>
  <c r="CP353" i="13" s="1"/>
  <c r="CE386" i="13" a="1"/>
  <c r="CE386" i="13" s="1"/>
  <c r="CN366" i="13"/>
  <c r="CO366" i="13" s="1"/>
  <c r="BP366" i="13"/>
  <c r="BQ366" i="13" s="1"/>
  <c r="BR366" i="13" s="1" a="1"/>
  <c r="BR366" i="13" s="1"/>
  <c r="BX366" i="13"/>
  <c r="BY366" i="13" s="1"/>
  <c r="BZ366" i="13" s="1" a="1"/>
  <c r="BZ366" i="13" s="1"/>
  <c r="CJ366" i="13"/>
  <c r="CK366" i="13" s="1"/>
  <c r="CL366" i="13" s="1" a="1"/>
  <c r="CL366" i="13" s="1"/>
  <c r="CR366" i="13"/>
  <c r="CS366" i="13" s="1"/>
  <c r="CB366" i="13"/>
  <c r="CC366" i="13" s="1"/>
  <c r="CV366" i="13"/>
  <c r="CW366" i="13" s="1"/>
  <c r="BT366" i="13"/>
  <c r="BU366" i="13" s="1"/>
  <c r="CJ385" i="13"/>
  <c r="CK385" i="13" s="1"/>
  <c r="CL385" i="13" s="1" a="1"/>
  <c r="CL385" i="13" s="1"/>
  <c r="BP385" i="13"/>
  <c r="BQ385" i="13" s="1"/>
  <c r="BR385" i="13" s="1" a="1"/>
  <c r="BR385" i="13" s="1"/>
  <c r="BJ355" i="13"/>
  <c r="CR355" i="13" s="1"/>
  <c r="CS355" i="13" s="1"/>
  <c r="CB365" i="13"/>
  <c r="CC365" i="13" s="1"/>
  <c r="CN375" i="13"/>
  <c r="CO375" i="13" s="1"/>
  <c r="CP375" i="13" s="1" a="1"/>
  <c r="CP375" i="13" s="1"/>
  <c r="CJ354" i="13"/>
  <c r="CK354" i="13" s="1"/>
  <c r="CL354" i="13" s="1" a="1"/>
  <c r="CL354" i="13" s="1"/>
  <c r="CV363" i="13"/>
  <c r="CW363" i="13" s="1"/>
  <c r="CN369" i="13"/>
  <c r="CO369" i="13" s="1"/>
  <c r="CP378" i="13" a="1"/>
  <c r="CP378" i="13" s="1"/>
  <c r="BX383" i="13"/>
  <c r="BY383" i="13" s="1"/>
  <c r="CD383" i="13" s="1" a="1"/>
  <c r="CD383" i="13" s="1"/>
  <c r="CR391" i="13"/>
  <c r="CS391" i="13" s="1"/>
  <c r="CB397" i="13"/>
  <c r="CC397" i="13" s="1"/>
  <c r="BX385" i="13"/>
  <c r="BY385" i="13" s="1"/>
  <c r="BZ385" i="13" s="1" a="1"/>
  <c r="BZ385" i="13" s="1"/>
  <c r="CJ392" i="13"/>
  <c r="CK392" i="13" s="1"/>
  <c r="CL392" i="13" s="1" a="1"/>
  <c r="CL392" i="13" s="1"/>
  <c r="BP392" i="13"/>
  <c r="BQ392" i="13" s="1"/>
  <c r="BR392" i="13" s="1" a="1"/>
  <c r="BR392" i="13" s="1"/>
  <c r="BT384" i="13"/>
  <c r="BU384" i="13" s="1"/>
  <c r="BV384" i="13" s="1" a="1"/>
  <c r="BV384" i="13" s="1"/>
  <c r="BP391" i="13"/>
  <c r="BQ391" i="13" s="1"/>
  <c r="BR391" i="13" s="1" a="1"/>
  <c r="BR391" i="13" s="1"/>
  <c r="BT409" i="13"/>
  <c r="BU409" i="13" s="1"/>
  <c r="BV409" i="13" s="1" a="1"/>
  <c r="BV409" i="13" s="1"/>
  <c r="BR407" i="13" a="1"/>
  <c r="BR407" i="13" s="1"/>
  <c r="CJ396" i="13"/>
  <c r="CK396" i="13" s="1"/>
  <c r="CL396" i="13" s="1" a="1"/>
  <c r="CL396" i="13" s="1"/>
  <c r="BX423" i="13"/>
  <c r="BY423" i="13" s="1"/>
  <c r="BZ423" i="13" s="1" a="1"/>
  <c r="BZ423" i="13" s="1"/>
  <c r="BT442" i="13"/>
  <c r="BU442" i="13" s="1"/>
  <c r="BV442" i="13" s="1" a="1"/>
  <c r="BV442" i="13" s="1"/>
  <c r="BT401" i="13"/>
  <c r="BU401" i="13" s="1"/>
  <c r="BV401" i="13" s="1" a="1"/>
  <c r="BV401" i="13" s="1"/>
  <c r="BX405" i="13"/>
  <c r="BY405" i="13" s="1"/>
  <c r="CR400" i="13"/>
  <c r="CS400" i="13" s="1"/>
  <c r="BT414" i="13"/>
  <c r="BU414" i="13" s="1"/>
  <c r="CJ414" i="13"/>
  <c r="CK414" i="13" s="1"/>
  <c r="CL414" i="13" s="1" a="1"/>
  <c r="CL414" i="13" s="1"/>
  <c r="CB414" i="13"/>
  <c r="CC414" i="13" s="1"/>
  <c r="BZ421" i="13" a="1"/>
  <c r="BZ421" i="13" s="1"/>
  <c r="CR399" i="13"/>
  <c r="CS399" i="13" s="1"/>
  <c r="CT399" i="13" s="1" a="1"/>
  <c r="CT399" i="13" s="1"/>
  <c r="BX406" i="13"/>
  <c r="BY406" i="13" s="1"/>
  <c r="BX407" i="13"/>
  <c r="BY407" i="13" s="1"/>
  <c r="CD407" i="13" s="1" a="1"/>
  <c r="CD407" i="13" s="1"/>
  <c r="BX416" i="13"/>
  <c r="BY416" i="13" s="1"/>
  <c r="BT431" i="13"/>
  <c r="BU431" i="13" s="1"/>
  <c r="BV431" i="13" s="1" a="1"/>
  <c r="BV431" i="13" s="1"/>
  <c r="CR434" i="13"/>
  <c r="CS434" i="13" s="1"/>
  <c r="CT434" i="13" s="1" a="1"/>
  <c r="CT434" i="13" s="1"/>
  <c r="CR402" i="13"/>
  <c r="CS402" i="13" s="1"/>
  <c r="CT402" i="13" s="1" a="1"/>
  <c r="CT402" i="13" s="1"/>
  <c r="CB413" i="13"/>
  <c r="CC413" i="13" s="1"/>
  <c r="CV422" i="13"/>
  <c r="CW422" i="13" s="1"/>
  <c r="CV428" i="13"/>
  <c r="CW428" i="13" s="1"/>
  <c r="BT422" i="13"/>
  <c r="BU422" i="13" s="1"/>
  <c r="BV422" i="13" s="1" a="1"/>
  <c r="BV422" i="13" s="1"/>
  <c r="CB452" i="13"/>
  <c r="CC452" i="13" s="1"/>
  <c r="BJ467" i="13"/>
  <c r="BX467" i="13" s="1"/>
  <c r="BY467" i="13" s="1"/>
  <c r="CJ418" i="13"/>
  <c r="CK418" i="13" s="1"/>
  <c r="CL418" i="13" s="1" a="1"/>
  <c r="CL418" i="13" s="1"/>
  <c r="CJ451" i="13"/>
  <c r="CK451" i="13" s="1"/>
  <c r="CL451" i="13" s="1" a="1"/>
  <c r="CL451" i="13" s="1"/>
  <c r="CN451" i="13"/>
  <c r="CO451" i="13" s="1"/>
  <c r="BJ443" i="13"/>
  <c r="BX443" i="13" s="1"/>
  <c r="BY443" i="13" s="1"/>
  <c r="BJ471" i="13"/>
  <c r="CE506" i="13" a="1"/>
  <c r="CE506" i="13" s="1"/>
  <c r="CX697" i="13" a="1"/>
  <c r="CX697" i="13" s="1"/>
  <c r="CY697" i="13" a="1"/>
  <c r="CY697" i="13" s="1"/>
  <c r="CY713" i="13" a="1"/>
  <c r="CY713" i="13" s="1"/>
  <c r="CX713" i="13" a="1"/>
  <c r="CX713" i="13" s="1"/>
  <c r="CY729" i="13" a="1"/>
  <c r="CY729" i="13" s="1"/>
  <c r="CX729" i="13" a="1"/>
  <c r="CX729" i="13" s="1"/>
  <c r="CE711" i="13" a="1"/>
  <c r="CE711" i="13" s="1"/>
  <c r="CD711" i="13" a="1"/>
  <c r="CD711" i="13" s="1"/>
  <c r="CE716" i="13" a="1"/>
  <c r="CE716" i="13" s="1"/>
  <c r="CP691" i="13" a="1"/>
  <c r="CP691" i="13" s="1"/>
  <c r="CZ691" i="13" s="1"/>
  <c r="Z691" i="13" s="1"/>
  <c r="CL692" i="13" a="1"/>
  <c r="CL692" i="13" s="1"/>
  <c r="CP692" i="13" a="1"/>
  <c r="CP692" i="13" s="1"/>
  <c r="CP731" i="13" a="1"/>
  <c r="CP731" i="13" s="1"/>
  <c r="CJ202" i="13"/>
  <c r="CK202" i="13" s="1"/>
  <c r="CL202" i="13" s="1" a="1"/>
  <c r="CL202" i="13" s="1"/>
  <c r="BP202" i="13"/>
  <c r="BQ202" i="13" s="1"/>
  <c r="BR202" i="13" s="1" a="1"/>
  <c r="BR202" i="13" s="1"/>
  <c r="BJ227" i="13"/>
  <c r="CV227" i="13" s="1"/>
  <c r="CW227" i="13" s="1"/>
  <c r="CB231" i="13"/>
  <c r="CC231" i="13" s="1"/>
  <c r="CN226" i="13"/>
  <c r="CO226" i="13" s="1"/>
  <c r="BT226" i="13"/>
  <c r="BU226" i="13" s="1"/>
  <c r="BV226" i="13" s="1" a="1"/>
  <c r="BV226" i="13" s="1"/>
  <c r="CJ226" i="13"/>
  <c r="CK226" i="13" s="1"/>
  <c r="CL226" i="13" s="1" a="1"/>
  <c r="CL226" i="13" s="1"/>
  <c r="BP226" i="13"/>
  <c r="BQ226" i="13" s="1"/>
  <c r="BR226" i="13" s="1" a="1"/>
  <c r="BR226" i="13" s="1"/>
  <c r="CV226" i="13"/>
  <c r="CW226" i="13" s="1"/>
  <c r="BJ229" i="13"/>
  <c r="CV229" i="13" s="1"/>
  <c r="CW229" i="13" s="1"/>
  <c r="CZ239" i="13"/>
  <c r="Z239" i="13" s="1"/>
  <c r="CJ229" i="13"/>
  <c r="CK229" i="13" s="1"/>
  <c r="CL229" i="13" s="1" a="1"/>
  <c r="CL229" i="13" s="1"/>
  <c r="CN234" i="13"/>
  <c r="CO234" i="13" s="1"/>
  <c r="CP234" i="13" s="1" a="1"/>
  <c r="CP234" i="13" s="1"/>
  <c r="BT234" i="13"/>
  <c r="BU234" i="13" s="1"/>
  <c r="CJ234" i="13"/>
  <c r="CK234" i="13" s="1"/>
  <c r="CL234" i="13" s="1" a="1"/>
  <c r="CL234" i="13" s="1"/>
  <c r="BP234" i="13"/>
  <c r="BQ234" i="13" s="1"/>
  <c r="BR234" i="13" s="1" a="1"/>
  <c r="BR234" i="13" s="1"/>
  <c r="CV234" i="13"/>
  <c r="CW234" i="13" s="1"/>
  <c r="CN258" i="13"/>
  <c r="CO258" i="13" s="1"/>
  <c r="BT258" i="13"/>
  <c r="BU258" i="13" s="1"/>
  <c r="CB258" i="13"/>
  <c r="CC258" i="13" s="1"/>
  <c r="CJ258" i="13"/>
  <c r="CK258" i="13" s="1"/>
  <c r="CL258" i="13" s="1" a="1"/>
  <c r="CL258" i="13" s="1"/>
  <c r="BP258" i="13"/>
  <c r="BQ258" i="13" s="1"/>
  <c r="BR258" i="13" s="1" a="1"/>
  <c r="BR258" i="13" s="1"/>
  <c r="CR258" i="13"/>
  <c r="CS258" i="13" s="1"/>
  <c r="BX258" i="13"/>
  <c r="BY258" i="13" s="1"/>
  <c r="CN262" i="13"/>
  <c r="CO262" i="13" s="1"/>
  <c r="BP262" i="13"/>
  <c r="BQ262" i="13" s="1"/>
  <c r="BR262" i="13" s="1" a="1"/>
  <c r="BR262" i="13" s="1"/>
  <c r="CR262" i="13"/>
  <c r="CS262" i="13" s="1"/>
  <c r="CT262" i="13" s="1" a="1"/>
  <c r="CT262" i="13" s="1"/>
  <c r="BT262" i="13"/>
  <c r="BU262" i="13" s="1"/>
  <c r="CJ262" i="13"/>
  <c r="CK262" i="13" s="1"/>
  <c r="CL262" i="13" s="1" a="1"/>
  <c r="CL262" i="13" s="1"/>
  <c r="BX262" i="13"/>
  <c r="BY262" i="13" s="1"/>
  <c r="BZ262" i="13" s="1" a="1"/>
  <c r="BZ262" i="13" s="1"/>
  <c r="CB262" i="13"/>
  <c r="CC262" i="13" s="1"/>
  <c r="CJ277" i="13"/>
  <c r="CK277" i="13" s="1"/>
  <c r="CL277" i="13" s="1" a="1"/>
  <c r="CL277" i="13" s="1"/>
  <c r="BP277" i="13"/>
  <c r="BQ277" i="13" s="1"/>
  <c r="BR277" i="13" s="1" a="1"/>
  <c r="BR277" i="13" s="1"/>
  <c r="CB257" i="13"/>
  <c r="CC257" i="13" s="1"/>
  <c r="CF241" i="13"/>
  <c r="R241" i="13" s="1"/>
  <c r="CZ249" i="13"/>
  <c r="Z249" i="13" s="1"/>
  <c r="BT257" i="13"/>
  <c r="BU257" i="13" s="1"/>
  <c r="CN268" i="13"/>
  <c r="CO268" i="13" s="1"/>
  <c r="BP268" i="13"/>
  <c r="BQ268" i="13" s="1"/>
  <c r="BR268" i="13" s="1" a="1"/>
  <c r="BR268" i="13" s="1"/>
  <c r="BT268" i="13"/>
  <c r="BU268" i="13" s="1"/>
  <c r="BV268" i="13" s="1" a="1"/>
  <c r="BV268" i="13" s="1"/>
  <c r="CR268" i="13"/>
  <c r="CS268" i="13" s="1"/>
  <c r="BX268" i="13"/>
  <c r="BY268" i="13" s="1"/>
  <c r="CJ268" i="13"/>
  <c r="CK268" i="13" s="1"/>
  <c r="CL268" i="13" s="1" a="1"/>
  <c r="CL268" i="13" s="1"/>
  <c r="CB268" i="13"/>
  <c r="CC268" i="13" s="1"/>
  <c r="CJ309" i="13"/>
  <c r="CK309" i="13" s="1"/>
  <c r="CL309" i="13" s="1" a="1"/>
  <c r="CL309" i="13" s="1"/>
  <c r="CN309" i="13"/>
  <c r="CO309" i="13" s="1"/>
  <c r="CP309" i="13" s="1" a="1"/>
  <c r="CP309" i="13" s="1"/>
  <c r="CB315" i="13"/>
  <c r="CC315" i="13" s="1"/>
  <c r="CV277" i="13"/>
  <c r="CW277" i="13" s="1"/>
  <c r="BJ297" i="13"/>
  <c r="CR309" i="13"/>
  <c r="CS309" i="13" s="1"/>
  <c r="CD276" i="13" a="1"/>
  <c r="CD276" i="13" s="1"/>
  <c r="BJ261" i="13"/>
  <c r="CR261" i="13" s="1"/>
  <c r="CS261" i="13" s="1"/>
  <c r="BP281" i="13"/>
  <c r="BQ281" i="13" s="1"/>
  <c r="BR281" i="13" s="1" a="1"/>
  <c r="BR281" i="13" s="1"/>
  <c r="CV307" i="13"/>
  <c r="CW307" i="13" s="1"/>
  <c r="CF278" i="13"/>
  <c r="R278" i="13" s="1"/>
  <c r="CN326" i="13"/>
  <c r="CO326" i="13" s="1"/>
  <c r="CJ294" i="13"/>
  <c r="CK294" i="13" s="1"/>
  <c r="CL298" i="13" a="1"/>
  <c r="CL298" i="13" s="1"/>
  <c r="CN304" i="13"/>
  <c r="CO304" i="13" s="1"/>
  <c r="CT304" i="13" s="1" a="1"/>
  <c r="CT304" i="13" s="1"/>
  <c r="CV330" i="13"/>
  <c r="CW330" i="13" s="1"/>
  <c r="BJ344" i="13"/>
  <c r="CR344" i="13" s="1"/>
  <c r="CS344" i="13" s="1"/>
  <c r="CB332" i="13"/>
  <c r="CC332" i="13" s="1"/>
  <c r="BP259" i="13"/>
  <c r="BQ259" i="13" s="1"/>
  <c r="BR259" i="13" s="1" a="1"/>
  <c r="BR259" i="13" s="1"/>
  <c r="BP284" i="13"/>
  <c r="BQ284" i="13" s="1"/>
  <c r="BR284" i="13" s="1" a="1"/>
  <c r="BR284" i="13" s="1"/>
  <c r="CJ284" i="13"/>
  <c r="CK284" i="13" s="1"/>
  <c r="CL284" i="13" s="1" a="1"/>
  <c r="CL284" i="13" s="1"/>
  <c r="CN284" i="13"/>
  <c r="CO284" i="13" s="1"/>
  <c r="CV284" i="13"/>
  <c r="CW284" i="13" s="1"/>
  <c r="BT284" i="13"/>
  <c r="BU284" i="13" s="1"/>
  <c r="BZ284" i="13" s="1" a="1"/>
  <c r="BZ284" i="13" s="1"/>
  <c r="CR284" i="13"/>
  <c r="CS284" i="13" s="1"/>
  <c r="CN356" i="13"/>
  <c r="CO356" i="13" s="1"/>
  <c r="BT356" i="13"/>
  <c r="BU356" i="13" s="1"/>
  <c r="BV356" i="13" s="1" a="1"/>
  <c r="BV356" i="13" s="1"/>
  <c r="CV356" i="13"/>
  <c r="CW356" i="13" s="1"/>
  <c r="BP356" i="13"/>
  <c r="BQ356" i="13" s="1"/>
  <c r="BR356" i="13" s="1" a="1"/>
  <c r="BR356" i="13" s="1"/>
  <c r="CR356" i="13"/>
  <c r="CS356" i="13" s="1"/>
  <c r="BX356" i="13"/>
  <c r="BY356" i="13" s="1"/>
  <c r="CB356" i="13"/>
  <c r="CC356" i="13" s="1"/>
  <c r="CJ356" i="13"/>
  <c r="CK356" i="13" s="1"/>
  <c r="CL356" i="13" s="1" a="1"/>
  <c r="CL356" i="13" s="1"/>
  <c r="CF337" i="13"/>
  <c r="R337" i="13" s="1"/>
  <c r="CN370" i="13"/>
  <c r="CO370" i="13" s="1"/>
  <c r="BP370" i="13"/>
  <c r="BQ370" i="13" s="1"/>
  <c r="BR370" i="13" s="1" a="1"/>
  <c r="BR370" i="13" s="1"/>
  <c r="BX370" i="13"/>
  <c r="BY370" i="13" s="1"/>
  <c r="CJ370" i="13"/>
  <c r="CK370" i="13" s="1"/>
  <c r="CL370" i="13" s="1" a="1"/>
  <c r="CL370" i="13" s="1"/>
  <c r="CR370" i="13"/>
  <c r="CS370" i="13" s="1"/>
  <c r="CB370" i="13"/>
  <c r="CC370" i="13" s="1"/>
  <c r="CV370" i="13"/>
  <c r="CW370" i="13" s="1"/>
  <c r="BT370" i="13"/>
  <c r="BU370" i="13" s="1"/>
  <c r="CV355" i="13"/>
  <c r="CW355" i="13" s="1"/>
  <c r="CN364" i="13"/>
  <c r="CO364" i="13" s="1"/>
  <c r="CP364" i="13" s="1" a="1"/>
  <c r="CP364" i="13" s="1"/>
  <c r="BP364" i="13"/>
  <c r="BQ364" i="13" s="1"/>
  <c r="BR364" i="13" s="1" a="1"/>
  <c r="BR364" i="13" s="1"/>
  <c r="CB364" i="13"/>
  <c r="CC364" i="13" s="1"/>
  <c r="CV364" i="13"/>
  <c r="CW364" i="13" s="1"/>
  <c r="BT364" i="13"/>
  <c r="BU364" i="13" s="1"/>
  <c r="BX364" i="13"/>
  <c r="BY364" i="13" s="1"/>
  <c r="CJ364" i="13"/>
  <c r="CK364" i="13" s="1"/>
  <c r="CL364" i="13" s="1" a="1"/>
  <c r="CL364" i="13" s="1"/>
  <c r="CR364" i="13"/>
  <c r="CS364" i="13" s="1"/>
  <c r="CB360" i="13"/>
  <c r="CC360" i="13" s="1"/>
  <c r="CN407" i="13"/>
  <c r="CO407" i="13" s="1"/>
  <c r="CP407" i="13" s="1" a="1"/>
  <c r="CP407" i="13" s="1"/>
  <c r="CR407" i="13"/>
  <c r="CS407" i="13" s="1"/>
  <c r="CZ387" i="13"/>
  <c r="Z387" i="13" s="1"/>
  <c r="CB376" i="13"/>
  <c r="CC376" i="13" s="1"/>
  <c r="BT388" i="13"/>
  <c r="BU388" i="13" s="1"/>
  <c r="BT391" i="13"/>
  <c r="BU391" i="13" s="1"/>
  <c r="BR399" i="13" a="1"/>
  <c r="BR399" i="13" s="1"/>
  <c r="CZ426" i="13"/>
  <c r="Z426" i="13" s="1"/>
  <c r="CR431" i="13"/>
  <c r="CS431" i="13" s="1"/>
  <c r="CR435" i="13"/>
  <c r="CS435" i="13" s="1"/>
  <c r="CJ403" i="13"/>
  <c r="CK403" i="13" s="1"/>
  <c r="CL403" i="13" s="1" a="1"/>
  <c r="CL403" i="13" s="1"/>
  <c r="BX431" i="13"/>
  <c r="BY431" i="13" s="1"/>
  <c r="BZ431" i="13" s="1" a="1"/>
  <c r="BZ431" i="13" s="1"/>
  <c r="CV434" i="13"/>
  <c r="CW434" i="13" s="1"/>
  <c r="CV442" i="13"/>
  <c r="CW442" i="13" s="1"/>
  <c r="BX401" i="13"/>
  <c r="BY401" i="13" s="1"/>
  <c r="BZ401" i="13" s="1" a="1"/>
  <c r="BZ401" i="13" s="1"/>
  <c r="BX414" i="13"/>
  <c r="BY414" i="13" s="1"/>
  <c r="BZ414" i="13" s="1" a="1"/>
  <c r="BZ414" i="13" s="1"/>
  <c r="CV400" i="13"/>
  <c r="CW400" i="13" s="1"/>
  <c r="CE409" i="13" a="1"/>
  <c r="CE409" i="13" s="1"/>
  <c r="BP416" i="13"/>
  <c r="BQ416" i="13" s="1"/>
  <c r="BR416" i="13" s="1" a="1"/>
  <c r="BR416" i="13" s="1"/>
  <c r="CB416" i="13"/>
  <c r="CC416" i="13" s="1"/>
  <c r="CN400" i="13"/>
  <c r="CO400" i="13" s="1"/>
  <c r="CP400" i="13" s="1" a="1"/>
  <c r="CP400" i="13" s="1"/>
  <c r="BJ438" i="13"/>
  <c r="BP438" i="13" s="1"/>
  <c r="BQ438" i="13" s="1"/>
  <c r="BR438" i="13" s="1" a="1"/>
  <c r="BR438" i="13" s="1"/>
  <c r="BX403" i="13"/>
  <c r="BY403" i="13" s="1"/>
  <c r="BZ403" i="13" s="1" a="1"/>
  <c r="BZ403" i="13" s="1"/>
  <c r="BJ411" i="13"/>
  <c r="CN411" i="13" s="1"/>
  <c r="CO411" i="13" s="1"/>
  <c r="CV416" i="13"/>
  <c r="CW416" i="13" s="1"/>
  <c r="BX434" i="13"/>
  <c r="BY434" i="13" s="1"/>
  <c r="BZ424" i="13" a="1"/>
  <c r="BZ424" i="13" s="1"/>
  <c r="BX452" i="13"/>
  <c r="BY452" i="13" s="1"/>
  <c r="CN421" i="13"/>
  <c r="CO421" i="13" s="1"/>
  <c r="CP430" i="13" a="1"/>
  <c r="CP430" i="13" s="1"/>
  <c r="CV451" i="13"/>
  <c r="CW451" i="13" s="1"/>
  <c r="CB451" i="13"/>
  <c r="CC451" i="13" s="1"/>
  <c r="CN442" i="13"/>
  <c r="CO442" i="13" s="1"/>
  <c r="BJ450" i="13"/>
  <c r="BP450" i="13" s="1"/>
  <c r="BQ450" i="13" s="1"/>
  <c r="BR450" i="13" s="1" a="1"/>
  <c r="BR450" i="13" s="1"/>
  <c r="CY527" i="13" a="1"/>
  <c r="CY527" i="13" s="1"/>
  <c r="CE502" i="13" a="1"/>
  <c r="CE502" i="13" s="1"/>
  <c r="CY532" i="13" a="1"/>
  <c r="CY532" i="13" s="1"/>
  <c r="CD516" i="13" a="1"/>
  <c r="CD516" i="13" s="1"/>
  <c r="CE516" i="13" a="1"/>
  <c r="CE516" i="13" s="1"/>
  <c r="CE574" i="13" a="1"/>
  <c r="CE574" i="13" s="1"/>
  <c r="CY579" i="13" a="1"/>
  <c r="CY579" i="13" s="1"/>
  <c r="CY597" i="13" a="1"/>
  <c r="CY597" i="13" s="1"/>
  <c r="CX699" i="13" a="1"/>
  <c r="CX699" i="13" s="1"/>
  <c r="CY699" i="13" a="1"/>
  <c r="CY699" i="13" s="1"/>
  <c r="CX715" i="13" a="1"/>
  <c r="CX715" i="13" s="1"/>
  <c r="CY715" i="13" a="1"/>
  <c r="CY715" i="13" s="1"/>
  <c r="CY731" i="13" a="1"/>
  <c r="CY731" i="13" s="1"/>
  <c r="CX731" i="13" a="1"/>
  <c r="CX731" i="13" s="1"/>
  <c r="CE687" i="13" a="1"/>
  <c r="CE687" i="13" s="1"/>
  <c r="CD687" i="13" a="1"/>
  <c r="CD687" i="13" s="1"/>
  <c r="CE695" i="13" a="1"/>
  <c r="CE695" i="13" s="1"/>
  <c r="CD695" i="13" a="1"/>
  <c r="CD695" i="13" s="1"/>
  <c r="CD703" i="13" a="1"/>
  <c r="CD703" i="13" s="1"/>
  <c r="CE703" i="13" a="1"/>
  <c r="CE703" i="13" s="1"/>
  <c r="CP711" i="13" a="1"/>
  <c r="CP711" i="13" s="1"/>
  <c r="CZ711" i="13" s="1"/>
  <c r="Z711" i="13" s="1"/>
  <c r="CP705" i="13" a="1"/>
  <c r="CP705" i="13" s="1"/>
  <c r="CE692" i="13" a="1"/>
  <c r="CE692" i="13" s="1"/>
  <c r="CD692" i="13" a="1"/>
  <c r="CD692" i="13" s="1"/>
  <c r="CD182" i="13" a="1"/>
  <c r="CD182" i="13" s="1"/>
  <c r="BJ197" i="13"/>
  <c r="BX197" i="13" s="1"/>
  <c r="BY197" i="13" s="1"/>
  <c r="CB172" i="13"/>
  <c r="CC172" i="13" s="1"/>
  <c r="BT188" i="13"/>
  <c r="BU188" i="13" s="1"/>
  <c r="BV188" i="13" s="1" a="1"/>
  <c r="BV188" i="13" s="1"/>
  <c r="BJ194" i="13"/>
  <c r="CN194" i="13" s="1"/>
  <c r="CO194" i="13" s="1"/>
  <c r="BX213" i="13"/>
  <c r="BY213" i="13" s="1"/>
  <c r="BZ213" i="13" s="1" a="1"/>
  <c r="BZ213" i="13" s="1"/>
  <c r="BP213" i="13"/>
  <c r="BQ213" i="13" s="1"/>
  <c r="BR213" i="13" s="1" a="1"/>
  <c r="BR213" i="13" s="1"/>
  <c r="CN207" i="13"/>
  <c r="CO207" i="13" s="1"/>
  <c r="CB198" i="13"/>
  <c r="CC198" i="13" s="1"/>
  <c r="BJ206" i="13"/>
  <c r="BP206" i="13" s="1"/>
  <c r="BQ206" i="13" s="1"/>
  <c r="BR206" i="13" s="1" a="1"/>
  <c r="BR206" i="13" s="1"/>
  <c r="BT227" i="13"/>
  <c r="BU227" i="13" s="1"/>
  <c r="BJ235" i="13"/>
  <c r="CB235" i="13" s="1"/>
  <c r="CC235" i="13" s="1"/>
  <c r="CN229" i="13"/>
  <c r="CO229" i="13" s="1"/>
  <c r="CP229" i="13" s="1" a="1"/>
  <c r="CP229" i="13" s="1"/>
  <c r="BT231" i="13"/>
  <c r="BU231" i="13" s="1"/>
  <c r="CD239" i="13" a="1"/>
  <c r="CD239" i="13" s="1"/>
  <c r="CF239" i="13" s="1"/>
  <c r="R239" i="13" s="1"/>
  <c r="AF239" i="13" s="1"/>
  <c r="CB234" i="13"/>
  <c r="CC234" i="13" s="1"/>
  <c r="CX247" i="13" a="1"/>
  <c r="CX247" i="13" s="1"/>
  <c r="CZ247" i="13" s="1"/>
  <c r="Z247" i="13" s="1"/>
  <c r="BT252" i="13"/>
  <c r="BU252" i="13" s="1"/>
  <c r="BV252" i="13" s="1" a="1"/>
  <c r="BV252" i="13" s="1"/>
  <c r="BJ250" i="13"/>
  <c r="CB250" i="13" s="1"/>
  <c r="CC250" i="13" s="1"/>
  <c r="BX233" i="13"/>
  <c r="BY233" i="13" s="1"/>
  <c r="CB233" i="13"/>
  <c r="CC233" i="13" s="1"/>
  <c r="BX271" i="13"/>
  <c r="BY271" i="13" s="1"/>
  <c r="CN277" i="13"/>
  <c r="CO277" i="13" s="1"/>
  <c r="CP277" i="13" s="1" a="1"/>
  <c r="CP277" i="13" s="1"/>
  <c r="BT271" i="13"/>
  <c r="BU271" i="13" s="1"/>
  <c r="BV271" i="13" s="1" a="1"/>
  <c r="BV271" i="13" s="1"/>
  <c r="CJ252" i="13"/>
  <c r="CK252" i="13" s="1"/>
  <c r="CL252" i="13" s="1" a="1"/>
  <c r="CL252" i="13" s="1"/>
  <c r="CV252" i="13"/>
  <c r="CW252" i="13" s="1"/>
  <c r="BP252" i="13"/>
  <c r="BQ252" i="13" s="1"/>
  <c r="BR252" i="13" s="1" a="1"/>
  <c r="BR252" i="13" s="1"/>
  <c r="BX252" i="13"/>
  <c r="BY252" i="13" s="1"/>
  <c r="CD252" i="13" s="1" a="1"/>
  <c r="CD252" i="13" s="1"/>
  <c r="CV255" i="13"/>
  <c r="CW255" i="13" s="1"/>
  <c r="CV266" i="13"/>
  <c r="CW266" i="13" s="1"/>
  <c r="CR257" i="13"/>
  <c r="CS257" i="13" s="1"/>
  <c r="CT257" i="13" s="1" a="1"/>
  <c r="CT257" i="13" s="1"/>
  <c r="BT281" i="13"/>
  <c r="BU281" i="13" s="1"/>
  <c r="BV281" i="13" s="1" a="1"/>
  <c r="BV281" i="13" s="1"/>
  <c r="CR277" i="13"/>
  <c r="CS277" i="13" s="1"/>
  <c r="CJ315" i="13"/>
  <c r="CK315" i="13" s="1"/>
  <c r="CL315" i="13" s="1" a="1"/>
  <c r="CL315" i="13" s="1"/>
  <c r="CN315" i="13"/>
  <c r="CO315" i="13" s="1"/>
  <c r="CN281" i="13"/>
  <c r="CO281" i="13" s="1"/>
  <c r="CP281" i="13" s="1" a="1"/>
  <c r="CP281" i="13" s="1"/>
  <c r="CR297" i="13"/>
  <c r="CS297" i="13" s="1"/>
  <c r="BJ303" i="13"/>
  <c r="CN303" i="13" s="1"/>
  <c r="CO303" i="13" s="1"/>
  <c r="BJ311" i="13"/>
  <c r="CR311" i="13" s="1"/>
  <c r="CS311" i="13" s="1"/>
  <c r="CN243" i="13"/>
  <c r="CO243" i="13" s="1"/>
  <c r="CP243" i="13" s="1" a="1"/>
  <c r="CP243" i="13" s="1"/>
  <c r="CR243" i="13"/>
  <c r="CS243" i="13" s="1"/>
  <c r="CB298" i="13"/>
  <c r="CC298" i="13" s="1"/>
  <c r="BP261" i="13"/>
  <c r="BQ261" i="13" s="1"/>
  <c r="BR261" i="13" s="1" a="1"/>
  <c r="BR261" i="13" s="1"/>
  <c r="CJ261" i="13"/>
  <c r="CK261" i="13" s="1"/>
  <c r="CL261" i="13" s="1" a="1"/>
  <c r="CL261" i="13" s="1"/>
  <c r="CN290" i="13"/>
  <c r="CO290" i="13" s="1"/>
  <c r="CP290" i="13" s="1" a="1"/>
  <c r="CP290" i="13" s="1"/>
  <c r="CV290" i="13"/>
  <c r="CW290" i="13" s="1"/>
  <c r="BP290" i="13"/>
  <c r="BQ290" i="13" s="1"/>
  <c r="BR290" i="13" s="1" a="1"/>
  <c r="BR290" i="13" s="1"/>
  <c r="BX290" i="13"/>
  <c r="BY290" i="13" s="1"/>
  <c r="BZ290" i="13" s="1" a="1"/>
  <c r="BZ290" i="13" s="1"/>
  <c r="CR290" i="13"/>
  <c r="CS290" i="13" s="1"/>
  <c r="CV297" i="13"/>
  <c r="CW297" i="13" s="1"/>
  <c r="BX302" i="13"/>
  <c r="BY302" i="13" s="1"/>
  <c r="CV309" i="13"/>
  <c r="CW309" i="13" s="1"/>
  <c r="BT302" i="13"/>
  <c r="BU302" i="13" s="1"/>
  <c r="BV302" i="13" s="1" a="1"/>
  <c r="BV302" i="13" s="1"/>
  <c r="CJ312" i="13"/>
  <c r="CK312" i="13" s="1"/>
  <c r="CL312" i="13" s="1" a="1"/>
  <c r="CL312" i="13" s="1"/>
  <c r="BP312" i="13"/>
  <c r="BQ312" i="13" s="1"/>
  <c r="BR312" i="13" s="1" a="1"/>
  <c r="BR312" i="13" s="1"/>
  <c r="CB317" i="13"/>
  <c r="CC317" i="13" s="1"/>
  <c r="CL294" i="13" a="1"/>
  <c r="CL294" i="13" s="1"/>
  <c r="CV298" i="13"/>
  <c r="CW298" i="13" s="1"/>
  <c r="CJ304" i="13"/>
  <c r="CK304" i="13" s="1"/>
  <c r="CL304" i="13" s="1" a="1"/>
  <c r="CL304" i="13" s="1"/>
  <c r="BP304" i="13"/>
  <c r="BQ304" i="13" s="1"/>
  <c r="BR304" i="13" s="1" a="1"/>
  <c r="BR304" i="13" s="1"/>
  <c r="BJ319" i="13"/>
  <c r="BX321" i="13"/>
  <c r="BY321" i="13" s="1"/>
  <c r="BJ328" i="13"/>
  <c r="BT328" i="13" s="1"/>
  <c r="BU328" i="13" s="1"/>
  <c r="CJ295" i="13"/>
  <c r="CK295" i="13" s="1"/>
  <c r="CL295" i="13" s="1" a="1"/>
  <c r="CL295" i="13" s="1"/>
  <c r="BX326" i="13"/>
  <c r="BY326" i="13" s="1"/>
  <c r="BZ326" i="13" s="1" a="1"/>
  <c r="BZ326" i="13" s="1"/>
  <c r="BX318" i="13"/>
  <c r="BY318" i="13" s="1"/>
  <c r="BZ318" i="13" s="1" a="1"/>
  <c r="BZ318" i="13" s="1"/>
  <c r="CN294" i="13"/>
  <c r="CO294" i="13" s="1"/>
  <c r="CP294" i="13" s="1" a="1"/>
  <c r="CP294" i="13" s="1"/>
  <c r="CR310" i="13"/>
  <c r="CS310" i="13" s="1"/>
  <c r="CT310" i="13" s="1" a="1"/>
  <c r="CT310" i="13" s="1"/>
  <c r="BJ338" i="13"/>
  <c r="CJ338" i="13" s="1"/>
  <c r="CK338" i="13" s="1"/>
  <c r="CL338" i="13" s="1" a="1"/>
  <c r="CL338" i="13" s="1"/>
  <c r="BT304" i="13"/>
  <c r="BU304" i="13" s="1"/>
  <c r="BX332" i="13"/>
  <c r="BY332" i="13" s="1"/>
  <c r="CT345" i="13" a="1"/>
  <c r="CT345" i="13" s="1"/>
  <c r="CN312" i="13"/>
  <c r="CO312" i="13" s="1"/>
  <c r="CY353" i="13" a="1"/>
  <c r="CY353" i="13" s="1"/>
  <c r="BX291" i="13"/>
  <c r="BY291" i="13" s="1"/>
  <c r="BZ291" i="13" s="1" a="1"/>
  <c r="BZ291" i="13" s="1"/>
  <c r="CN335" i="13"/>
  <c r="CO335" i="13" s="1"/>
  <c r="CP335" i="13" s="1" a="1"/>
  <c r="CP335" i="13" s="1"/>
  <c r="BT333" i="13"/>
  <c r="BU333" i="13" s="1"/>
  <c r="CN362" i="13"/>
  <c r="CO362" i="13" s="1"/>
  <c r="CP362" i="13" s="1" a="1"/>
  <c r="CP362" i="13" s="1"/>
  <c r="BT362" i="13"/>
  <c r="BU362" i="13" s="1"/>
  <c r="BP362" i="13"/>
  <c r="BQ362" i="13" s="1"/>
  <c r="BR362" i="13" s="1" a="1"/>
  <c r="BR362" i="13" s="1"/>
  <c r="CR362" i="13"/>
  <c r="CS362" i="13" s="1"/>
  <c r="CV362" i="13"/>
  <c r="CW362" i="13" s="1"/>
  <c r="BX362" i="13"/>
  <c r="BY362" i="13" s="1"/>
  <c r="CB362" i="13"/>
  <c r="CC362" i="13" s="1"/>
  <c r="CJ362" i="13"/>
  <c r="CK362" i="13" s="1"/>
  <c r="CL362" i="13" s="1" a="1"/>
  <c r="CL362" i="13" s="1"/>
  <c r="BJ357" i="13"/>
  <c r="CB357" i="13" s="1"/>
  <c r="CC357" i="13" s="1"/>
  <c r="BJ359" i="13"/>
  <c r="BX359" i="13" s="1"/>
  <c r="BY359" i="13" s="1"/>
  <c r="CV373" i="13"/>
  <c r="CW373" i="13" s="1"/>
  <c r="BX391" i="13"/>
  <c r="BY391" i="13" s="1"/>
  <c r="BZ391" i="13" s="1" a="1"/>
  <c r="BZ391" i="13" s="1"/>
  <c r="CV391" i="13"/>
  <c r="CW391" i="13" s="1"/>
  <c r="BT355" i="13"/>
  <c r="BU355" i="13" s="1"/>
  <c r="BJ373" i="13"/>
  <c r="BT373" i="13" s="1"/>
  <c r="BU373" i="13" s="1"/>
  <c r="BT375" i="13"/>
  <c r="BU375" i="13" s="1"/>
  <c r="BV375" i="13" s="1" a="1"/>
  <c r="BV375" i="13" s="1"/>
  <c r="BT381" i="13"/>
  <c r="BU381" i="13" s="1"/>
  <c r="BV381" i="13" s="1" a="1"/>
  <c r="BV381" i="13" s="1"/>
  <c r="CZ386" i="13"/>
  <c r="Z386" i="13" s="1"/>
  <c r="BX379" i="13"/>
  <c r="BY379" i="13" s="1"/>
  <c r="BZ379" i="13" s="1" a="1"/>
  <c r="BZ379" i="13" s="1"/>
  <c r="CR379" i="13"/>
  <c r="CS379" i="13" s="1"/>
  <c r="CT379" i="13" s="1" a="1"/>
  <c r="CT379" i="13" s="1"/>
  <c r="BX377" i="13"/>
  <c r="BY377" i="13" s="1"/>
  <c r="BZ377" i="13" s="1" a="1"/>
  <c r="BZ377" i="13" s="1"/>
  <c r="CJ388" i="13"/>
  <c r="CK388" i="13" s="1"/>
  <c r="CL388" i="13" s="1" a="1"/>
  <c r="CL388" i="13" s="1"/>
  <c r="BP388" i="13"/>
  <c r="BQ388" i="13" s="1"/>
  <c r="BR388" i="13" s="1" a="1"/>
  <c r="BR388" i="13" s="1"/>
  <c r="CB358" i="13"/>
  <c r="CC358" i="13" s="1"/>
  <c r="CJ384" i="13"/>
  <c r="CK384" i="13" s="1"/>
  <c r="CL384" i="13" s="1" a="1"/>
  <c r="CL384" i="13" s="1"/>
  <c r="BX397" i="13"/>
  <c r="BY397" i="13" s="1"/>
  <c r="BZ397" i="13" s="1" a="1"/>
  <c r="BZ397" i="13" s="1"/>
  <c r="BX388" i="13"/>
  <c r="BY388" i="13" s="1"/>
  <c r="BT390" i="13"/>
  <c r="BU390" i="13" s="1"/>
  <c r="CN391" i="13"/>
  <c r="CO391" i="13" s="1"/>
  <c r="CP391" i="13" s="1" a="1"/>
  <c r="CP391" i="13" s="1"/>
  <c r="CJ397" i="13"/>
  <c r="CK397" i="13" s="1"/>
  <c r="CP397" i="13" s="1" a="1"/>
  <c r="CP397" i="13" s="1"/>
  <c r="BR400" i="13" a="1"/>
  <c r="BR400" i="13" s="1"/>
  <c r="CF400" i="13" s="1"/>
  <c r="R400" i="13" s="1"/>
  <c r="CB431" i="13"/>
  <c r="CC431" i="13" s="1"/>
  <c r="CB435" i="13"/>
  <c r="CC435" i="13" s="1"/>
  <c r="CR403" i="13"/>
  <c r="CS403" i="13" s="1"/>
  <c r="CT403" i="13" s="1" a="1"/>
  <c r="CT403" i="13" s="1"/>
  <c r="CV418" i="13"/>
  <c r="CW418" i="13" s="1"/>
  <c r="BR397" i="13" a="1"/>
  <c r="BR397" i="13" s="1"/>
  <c r="BX409" i="13"/>
  <c r="BY409" i="13" s="1"/>
  <c r="BZ409" i="13" s="1" a="1"/>
  <c r="BZ409" i="13" s="1"/>
  <c r="CN404" i="13"/>
  <c r="CO404" i="13" s="1"/>
  <c r="CP404" i="13" s="1" a="1"/>
  <c r="CP404" i="13" s="1"/>
  <c r="CV407" i="13"/>
  <c r="CW407" i="13" s="1"/>
  <c r="BT402" i="13"/>
  <c r="BU402" i="13" s="1"/>
  <c r="BV402" i="13" s="1" a="1"/>
  <c r="BV402" i="13" s="1"/>
  <c r="CV423" i="13"/>
  <c r="CW423" i="13" s="1"/>
  <c r="CJ429" i="13"/>
  <c r="CK429" i="13" s="1"/>
  <c r="CL429" i="13" s="1" a="1"/>
  <c r="CL429" i="13" s="1"/>
  <c r="BP429" i="13"/>
  <c r="BQ429" i="13" s="1"/>
  <c r="BR429" i="13" s="1" a="1"/>
  <c r="BR429" i="13" s="1"/>
  <c r="BX429" i="13"/>
  <c r="BY429" i="13" s="1"/>
  <c r="CR429" i="13"/>
  <c r="CS429" i="13" s="1"/>
  <c r="CT429" i="13" s="1" a="1"/>
  <c r="CT429" i="13" s="1"/>
  <c r="CB438" i="13"/>
  <c r="CC438" i="13" s="1"/>
  <c r="CV401" i="13"/>
  <c r="CW401" i="13" s="1"/>
  <c r="CV408" i="13"/>
  <c r="CW408" i="13" s="1"/>
  <c r="CB429" i="13"/>
  <c r="CC429" i="13" s="1"/>
  <c r="CV392" i="13"/>
  <c r="CW392" i="13" s="1"/>
  <c r="BP410" i="13"/>
  <c r="BQ410" i="13" s="1"/>
  <c r="BR410" i="13" s="1" a="1"/>
  <c r="BR410" i="13" s="1"/>
  <c r="BJ432" i="13"/>
  <c r="BP432" i="13" s="1"/>
  <c r="BQ432" i="13"/>
  <c r="BR432" i="13" s="1" a="1"/>
  <c r="BR432" i="13" s="1"/>
  <c r="BT435" i="13"/>
  <c r="BU435" i="13" s="1"/>
  <c r="BV435" i="13" s="1" a="1"/>
  <c r="BV435" i="13" s="1"/>
  <c r="CR438" i="13"/>
  <c r="CS438" i="13" s="1"/>
  <c r="BJ444" i="13"/>
  <c r="BP444" i="13" s="1"/>
  <c r="BQ444" i="13" s="1"/>
  <c r="BR444" i="13" s="1" a="1"/>
  <c r="BR444" i="13" s="1"/>
  <c r="BT404" i="13"/>
  <c r="BU404" i="13" s="1"/>
  <c r="BV404" i="13" s="1" a="1"/>
  <c r="BV404" i="13" s="1"/>
  <c r="BT411" i="13"/>
  <c r="BU411" i="13" s="1"/>
  <c r="CV413" i="13"/>
  <c r="CW413" i="13" s="1"/>
  <c r="CJ417" i="13"/>
  <c r="CK417" i="13" s="1"/>
  <c r="CL417" i="13" s="1" a="1"/>
  <c r="CL417" i="13" s="1"/>
  <c r="CR418" i="13"/>
  <c r="CS418" i="13" s="1"/>
  <c r="CT418" i="13" s="1" a="1"/>
  <c r="CT418" i="13" s="1"/>
  <c r="CV431" i="13"/>
  <c r="CW431" i="13" s="1"/>
  <c r="CV452" i="13"/>
  <c r="CW452" i="13" s="1"/>
  <c r="CN423" i="13"/>
  <c r="CO423" i="13" s="1"/>
  <c r="CP423" i="13" s="1" a="1"/>
  <c r="CP423" i="13" s="1"/>
  <c r="BT451" i="13"/>
  <c r="BU451" i="13" s="1"/>
  <c r="BV451" i="13" s="1" a="1"/>
  <c r="BV451" i="13" s="1"/>
  <c r="CV443" i="13"/>
  <c r="CW443" i="13" s="1"/>
  <c r="BP443" i="13"/>
  <c r="BQ443" i="13" s="1"/>
  <c r="BR443" i="13" s="1" a="1"/>
  <c r="BR443" i="13" s="1"/>
  <c r="BP421" i="13"/>
  <c r="BQ421" i="13" s="1"/>
  <c r="BR421" i="13" s="1" a="1"/>
  <c r="BR421" i="13" s="1"/>
  <c r="BP451" i="13"/>
  <c r="BQ451" i="13" s="1"/>
  <c r="BR451" i="13" s="1" a="1"/>
  <c r="BR451" i="13" s="1"/>
  <c r="CE510" i="13" a="1"/>
  <c r="CE510" i="13" s="1"/>
  <c r="CD510" i="13" a="1"/>
  <c r="CD510" i="13" s="1"/>
  <c r="CE504" i="13" a="1"/>
  <c r="CE504" i="13" s="1"/>
  <c r="CE538" i="13" a="1"/>
  <c r="CE538" i="13" s="1"/>
  <c r="CE546" i="13" a="1"/>
  <c r="CE546" i="13" s="1"/>
  <c r="CY516" i="13" a="1"/>
  <c r="CY516" i="13" s="1"/>
  <c r="CY566" i="13" a="1"/>
  <c r="CY566" i="13" s="1"/>
  <c r="CE585" i="13" a="1"/>
  <c r="CE585" i="13" s="1"/>
  <c r="CD585" i="13" a="1"/>
  <c r="CD585" i="13" s="1"/>
  <c r="CX607" i="13" a="1"/>
  <c r="CX607" i="13" s="1"/>
  <c r="CY607" i="13" a="1"/>
  <c r="CY607" i="13" s="1"/>
  <c r="CD607" i="13" a="1"/>
  <c r="CD607" i="13" s="1"/>
  <c r="CX687" i="13" a="1"/>
  <c r="CX687" i="13" s="1"/>
  <c r="CY687" i="13" a="1"/>
  <c r="CY687" i="13" s="1"/>
  <c r="CZ687" i="13" s="1"/>
  <c r="Z687" i="13" s="1"/>
  <c r="CY733" i="13" a="1"/>
  <c r="CY733" i="13" s="1"/>
  <c r="CX733" i="13" a="1"/>
  <c r="CX733" i="13" s="1"/>
  <c r="CZ695" i="13"/>
  <c r="Z695" i="13" s="1"/>
  <c r="CE707" i="13" a="1"/>
  <c r="CE707" i="13" s="1"/>
  <c r="CD707" i="13" a="1"/>
  <c r="CD707" i="13" s="1"/>
  <c r="CE690" i="13" a="1"/>
  <c r="CE690" i="13" s="1"/>
  <c r="CP735" i="13" a="1"/>
  <c r="CP735" i="13" s="1"/>
  <c r="CD686" i="13" a="1"/>
  <c r="CD686" i="13" s="1"/>
  <c r="CE686" i="13" a="1"/>
  <c r="CE686" i="13" s="1"/>
  <c r="CV175" i="13"/>
  <c r="CW175" i="13" s="1"/>
  <c r="BX173" i="13"/>
  <c r="BY173" i="13" s="1"/>
  <c r="BJ183" i="13"/>
  <c r="BT174" i="13"/>
  <c r="BU174" i="13" s="1"/>
  <c r="BV174" i="13" s="1" a="1"/>
  <c r="BV174" i="13" s="1"/>
  <c r="CN159" i="13"/>
  <c r="CO159" i="13" s="1"/>
  <c r="CP159" i="13" s="1" a="1"/>
  <c r="CP159" i="13" s="1"/>
  <c r="CV159" i="13"/>
  <c r="CW159" i="13" s="1"/>
  <c r="BT168" i="13"/>
  <c r="BU168" i="13" s="1"/>
  <c r="BV168" i="13" s="1" a="1"/>
  <c r="BV168" i="13" s="1"/>
  <c r="CP184" i="13" a="1"/>
  <c r="CP184" i="13" s="1"/>
  <c r="BJ166" i="13"/>
  <c r="BT166" i="13" s="1"/>
  <c r="BU166" i="13" s="1"/>
  <c r="CR178" i="13"/>
  <c r="CS178" i="13" s="1"/>
  <c r="CB178" i="13"/>
  <c r="CC178" i="13" s="1"/>
  <c r="CR197" i="13"/>
  <c r="CS197" i="13" s="1"/>
  <c r="CR172" i="13"/>
  <c r="CS172" i="13" s="1"/>
  <c r="BJ186" i="13"/>
  <c r="CV186" i="13" s="1"/>
  <c r="CW186" i="13" s="1"/>
  <c r="BX188" i="13"/>
  <c r="BY188" i="13" s="1"/>
  <c r="BZ188" i="13" s="1" a="1"/>
  <c r="BZ188" i="13" s="1"/>
  <c r="CP164" i="13" a="1"/>
  <c r="CP164" i="13" s="1"/>
  <c r="CJ196" i="13"/>
  <c r="CK196" i="13" s="1"/>
  <c r="CL196" i="13" s="1" a="1"/>
  <c r="CL196" i="13" s="1"/>
  <c r="BP196" i="13"/>
  <c r="BQ196" i="13" s="1"/>
  <c r="BR196" i="13" s="1" a="1"/>
  <c r="BR196" i="13" s="1"/>
  <c r="BT200" i="13"/>
  <c r="BU200" i="13" s="1"/>
  <c r="BV200" i="13" s="1" a="1"/>
  <c r="BV200" i="13" s="1"/>
  <c r="CV204" i="13"/>
  <c r="CW204" i="13" s="1"/>
  <c r="CB204" i="13"/>
  <c r="CC204" i="13" s="1"/>
  <c r="CB211" i="13"/>
  <c r="CC211" i="13" s="1"/>
  <c r="CV198" i="13"/>
  <c r="CW198" i="13" s="1"/>
  <c r="CB194" i="13"/>
  <c r="CC194" i="13" s="1"/>
  <c r="CJ207" i="13"/>
  <c r="CK207" i="13" s="1"/>
  <c r="CL207" i="13" s="1" a="1"/>
  <c r="CL207" i="13" s="1"/>
  <c r="BP207" i="13"/>
  <c r="BQ207" i="13" s="1"/>
  <c r="BR207" i="13" s="1" a="1"/>
  <c r="BR207" i="13" s="1"/>
  <c r="BP214" i="13"/>
  <c r="BQ214" i="13" s="1"/>
  <c r="BR214" i="13" s="1" a="1"/>
  <c r="BR214" i="13" s="1"/>
  <c r="CR214" i="13"/>
  <c r="CS214" i="13" s="1"/>
  <c r="CT214" i="13" s="1" a="1"/>
  <c r="CT214" i="13" s="1"/>
  <c r="CV214" i="13"/>
  <c r="CW214" i="13" s="1"/>
  <c r="CV202" i="13"/>
  <c r="CW202" i="13" s="1"/>
  <c r="CB219" i="13"/>
  <c r="CC219" i="13" s="1"/>
  <c r="BT207" i="13"/>
  <c r="BU207" i="13" s="1"/>
  <c r="CV218" i="13"/>
  <c r="CW218" i="13" s="1"/>
  <c r="CN224" i="13"/>
  <c r="CO224" i="13" s="1"/>
  <c r="CJ224" i="13"/>
  <c r="CK224" i="13" s="1"/>
  <c r="CL224" i="13" s="1" a="1"/>
  <c r="CL224" i="13" s="1"/>
  <c r="CR224" i="13"/>
  <c r="CS224" i="13" s="1"/>
  <c r="CT224" i="13" s="1" a="1"/>
  <c r="CT224" i="13" s="1"/>
  <c r="BP224" i="13"/>
  <c r="BQ224" i="13" s="1"/>
  <c r="BR224" i="13" s="1" a="1"/>
  <c r="BR224" i="13" s="1"/>
  <c r="CB224" i="13"/>
  <c r="CC224" i="13" s="1"/>
  <c r="BT224" i="13"/>
  <c r="BU224" i="13" s="1"/>
  <c r="BV224" i="13" s="1" a="1"/>
  <c r="BV224" i="13" s="1"/>
  <c r="CB216" i="13"/>
  <c r="CC216" i="13" s="1"/>
  <c r="BT238" i="13"/>
  <c r="BU238" i="13" s="1"/>
  <c r="BV238" i="13" s="1" a="1"/>
  <c r="BV238" i="13" s="1"/>
  <c r="CV212" i="13"/>
  <c r="CW212" i="13" s="1"/>
  <c r="CN253" i="13"/>
  <c r="CO253" i="13" s="1"/>
  <c r="CJ221" i="13"/>
  <c r="CK221" i="13" s="1"/>
  <c r="CP221" i="13" s="1" a="1"/>
  <c r="CP221" i="13" s="1"/>
  <c r="BP221" i="13"/>
  <c r="BQ221" i="13" s="1"/>
  <c r="BR221" i="13" s="1" a="1"/>
  <c r="BR221" i="13" s="1"/>
  <c r="BX221" i="13"/>
  <c r="BY221" i="13" s="1"/>
  <c r="BZ221" i="13" s="1" a="1"/>
  <c r="BZ221" i="13" s="1"/>
  <c r="CJ236" i="13"/>
  <c r="CK236" i="13" s="1"/>
  <c r="CL236" i="13" s="1" a="1"/>
  <c r="CL236" i="13" s="1"/>
  <c r="BJ225" i="13"/>
  <c r="CR225" i="13" s="1"/>
  <c r="CS225" i="13" s="1"/>
  <c r="CB236" i="13"/>
  <c r="CC236" i="13" s="1"/>
  <c r="CB244" i="13"/>
  <c r="CC244" i="13" s="1"/>
  <c r="CV240" i="13"/>
  <c r="CW240" i="13" s="1"/>
  <c r="CV224" i="13"/>
  <c r="CW224" i="13" s="1"/>
  <c r="CN238" i="13"/>
  <c r="CO238" i="13" s="1"/>
  <c r="CP238" i="13" s="1" a="1"/>
  <c r="CP238" i="13" s="1"/>
  <c r="BX251" i="13"/>
  <c r="BY251" i="13" s="1"/>
  <c r="BZ251" i="13" s="1" a="1"/>
  <c r="BZ251" i="13" s="1"/>
  <c r="CR251" i="13"/>
  <c r="CS251" i="13" s="1"/>
  <c r="CX251" i="13" s="1" a="1"/>
  <c r="CX251" i="13" s="1"/>
  <c r="CN251" i="13"/>
  <c r="CO251" i="13" s="1"/>
  <c r="BT233" i="13"/>
  <c r="BU233" i="13" s="1"/>
  <c r="BX248" i="13"/>
  <c r="BY248" i="13" s="1"/>
  <c r="BZ248" i="13" s="1" a="1"/>
  <c r="BZ248" i="13" s="1"/>
  <c r="CJ242" i="13"/>
  <c r="CK242" i="13" s="1"/>
  <c r="CL242" i="13" s="1" a="1"/>
  <c r="CL242" i="13" s="1"/>
  <c r="CV242" i="13"/>
  <c r="CW242" i="13" s="1"/>
  <c r="BP242" i="13"/>
  <c r="BQ242" i="13" s="1"/>
  <c r="BT283" i="13"/>
  <c r="BU283" i="13" s="1"/>
  <c r="BV283" i="13" s="1" a="1"/>
  <c r="BV283" i="13" s="1"/>
  <c r="CK263" i="13"/>
  <c r="CL263" i="13" s="1" a="1"/>
  <c r="CL263" i="13" s="1"/>
  <c r="BJ263" i="13"/>
  <c r="CJ263" i="13" s="1"/>
  <c r="CV238" i="13"/>
  <c r="CW238" i="13" s="1"/>
  <c r="BX254" i="13"/>
  <c r="BY254" i="13" s="1"/>
  <c r="BZ254" i="13" s="1" a="1"/>
  <c r="BZ254" i="13" s="1"/>
  <c r="CJ279" i="13"/>
  <c r="CK279" i="13" s="1"/>
  <c r="CL279" i="13" s="1" a="1"/>
  <c r="CL279" i="13" s="1"/>
  <c r="BP279" i="13"/>
  <c r="BQ279" i="13" s="1"/>
  <c r="BR279" i="13" s="1" a="1"/>
  <c r="BR279" i="13" s="1"/>
  <c r="CR279" i="13"/>
  <c r="CS279" i="13" s="1"/>
  <c r="CV258" i="13"/>
  <c r="CW258" i="13" s="1"/>
  <c r="CB267" i="13"/>
  <c r="CC267" i="13" s="1"/>
  <c r="BT287" i="13"/>
  <c r="BU287" i="13" s="1"/>
  <c r="BV287" i="13" s="1" a="1"/>
  <c r="BV287" i="13" s="1"/>
  <c r="BP257" i="13"/>
  <c r="BQ257" i="13" s="1"/>
  <c r="BR257" i="13" s="1" a="1"/>
  <c r="BR257" i="13" s="1"/>
  <c r="CV275" i="13"/>
  <c r="CW275" i="13" s="1"/>
  <c r="BX277" i="13"/>
  <c r="BY277" i="13" s="1"/>
  <c r="BZ277" i="13" s="1" a="1"/>
  <c r="BZ277" i="13" s="1"/>
  <c r="CB295" i="13"/>
  <c r="CC295" i="13" s="1"/>
  <c r="BJ275" i="13"/>
  <c r="BP275" i="13" s="1"/>
  <c r="BQ275" i="13" s="1"/>
  <c r="BR275" i="13" s="1" a="1"/>
  <c r="BR275" i="13" s="1"/>
  <c r="CB280" i="13"/>
  <c r="CC280" i="13" s="1"/>
  <c r="CN269" i="13"/>
  <c r="CO269" i="13" s="1"/>
  <c r="BJ269" i="13"/>
  <c r="CJ269" i="13" s="1"/>
  <c r="CK269" i="13" s="1"/>
  <c r="CL269" i="13" s="1" a="1"/>
  <c r="CL269" i="13" s="1"/>
  <c r="CR303" i="13"/>
  <c r="CS303" i="13" s="1"/>
  <c r="CT303" i="13" s="1" a="1"/>
  <c r="CT303" i="13" s="1"/>
  <c r="BT280" i="13"/>
  <c r="BU280" i="13" s="1"/>
  <c r="BV280" i="13" s="1" a="1"/>
  <c r="BV280" i="13" s="1"/>
  <c r="CX292" i="13" a="1"/>
  <c r="CX292" i="13" s="1"/>
  <c r="CR274" i="13"/>
  <c r="CS274" i="13" s="1"/>
  <c r="CB286" i="13"/>
  <c r="CC286" i="13" s="1"/>
  <c r="CV303" i="13"/>
  <c r="CW303" i="13" s="1"/>
  <c r="CV311" i="13"/>
  <c r="CW311" i="13" s="1"/>
  <c r="CV312" i="13"/>
  <c r="CW312" i="13" s="1"/>
  <c r="BP316" i="13"/>
  <c r="BQ316" i="13" s="1"/>
  <c r="BR316" i="13" s="1" a="1"/>
  <c r="BR316" i="13" s="1"/>
  <c r="CJ316" i="13"/>
  <c r="CK316" i="13" s="1"/>
  <c r="CL316" i="13" s="1" a="1"/>
  <c r="CL316" i="13" s="1"/>
  <c r="CR298" i="13"/>
  <c r="CS298" i="13" s="1"/>
  <c r="CT298" i="13" s="1" a="1"/>
  <c r="CT298" i="13" s="1"/>
  <c r="BJ308" i="13"/>
  <c r="CB308" i="13" s="1"/>
  <c r="CC308" i="13" s="1"/>
  <c r="BJ324" i="13"/>
  <c r="BX324" i="13" s="1"/>
  <c r="BY324" i="13" s="1"/>
  <c r="BP328" i="13"/>
  <c r="BQ328" i="13" s="1"/>
  <c r="BR328" i="13" s="1" a="1"/>
  <c r="BR328" i="13" s="1"/>
  <c r="CR302" i="13"/>
  <c r="CS302" i="13" s="1"/>
  <c r="CT302" i="13" s="1" a="1"/>
  <c r="CT302" i="13" s="1"/>
  <c r="BX317" i="13"/>
  <c r="BY317" i="13" s="1"/>
  <c r="BZ317" i="13" s="1" a="1"/>
  <c r="BZ317" i="13" s="1"/>
  <c r="BX330" i="13"/>
  <c r="BY330" i="13" s="1"/>
  <c r="CB290" i="13"/>
  <c r="CC290" i="13" s="1"/>
  <c r="BX308" i="13"/>
  <c r="BY308" i="13" s="1"/>
  <c r="BT324" i="13"/>
  <c r="BU324" i="13" s="1"/>
  <c r="CV326" i="13"/>
  <c r="CW326" i="13" s="1"/>
  <c r="BX331" i="13"/>
  <c r="BY331" i="13" s="1"/>
  <c r="BZ331" i="13" s="1" a="1"/>
  <c r="BZ331" i="13" s="1"/>
  <c r="CR312" i="13"/>
  <c r="CS312" i="13" s="1"/>
  <c r="CT312" i="13" s="1" a="1"/>
  <c r="CT312" i="13" s="1"/>
  <c r="BJ322" i="13"/>
  <c r="BX322" i="13" s="1"/>
  <c r="BY322" i="13" s="1"/>
  <c r="CV336" i="13"/>
  <c r="CW336" i="13" s="1"/>
  <c r="BJ348" i="13"/>
  <c r="CR348" i="13" s="1"/>
  <c r="CS348" i="13" s="1"/>
  <c r="CV352" i="13"/>
  <c r="CW352" i="13" s="1"/>
  <c r="BP298" i="13"/>
  <c r="BQ298" i="13" s="1"/>
  <c r="BR298" i="13" s="1" a="1"/>
  <c r="BR298" i="13" s="1"/>
  <c r="CE353" i="13" a="1"/>
  <c r="CE353" i="13" s="1"/>
  <c r="CD353" i="13" a="1"/>
  <c r="CD353" i="13" s="1"/>
  <c r="CL325" i="13" a="1"/>
  <c r="CL325" i="13" s="1"/>
  <c r="BR331" i="13" a="1"/>
  <c r="BR331" i="13" s="1"/>
  <c r="CN339" i="13"/>
  <c r="CO339" i="13" s="1"/>
  <c r="CP339" i="13" s="1" a="1"/>
  <c r="CP339" i="13" s="1"/>
  <c r="BT325" i="13"/>
  <c r="BU325" i="13" s="1"/>
  <c r="BV325" i="13" s="1" a="1"/>
  <c r="BV325" i="13" s="1"/>
  <c r="CV357" i="13"/>
  <c r="CW357" i="13" s="1"/>
  <c r="CB359" i="13"/>
  <c r="CC359" i="13" s="1"/>
  <c r="CN368" i="13"/>
  <c r="CO368" i="13" s="1"/>
  <c r="BP368" i="13"/>
  <c r="BQ368" i="13" s="1"/>
  <c r="BR368" i="13" s="1" a="1"/>
  <c r="BR368" i="13" s="1"/>
  <c r="BT368" i="13"/>
  <c r="BU368" i="13" s="1"/>
  <c r="BV368" i="13" s="1" a="1"/>
  <c r="BV368" i="13" s="1"/>
  <c r="CJ368" i="13"/>
  <c r="CK368" i="13" s="1"/>
  <c r="CL368" i="13" s="1" a="1"/>
  <c r="CL368" i="13" s="1"/>
  <c r="CR368" i="13"/>
  <c r="CS368" i="13" s="1"/>
  <c r="BP357" i="13"/>
  <c r="BQ357" i="13" s="1"/>
  <c r="BR357" i="13" s="1" a="1"/>
  <c r="BR357" i="13" s="1"/>
  <c r="CJ357" i="13"/>
  <c r="CK357" i="13" s="1"/>
  <c r="CL357" i="13" s="1" a="1"/>
  <c r="CL357" i="13" s="1"/>
  <c r="BT369" i="13"/>
  <c r="BU369" i="13" s="1"/>
  <c r="BP382" i="13"/>
  <c r="BQ382" i="13" s="1"/>
  <c r="BR382" i="13" s="1" a="1"/>
  <c r="BR382" i="13" s="1"/>
  <c r="CN382" i="13"/>
  <c r="CO382" i="13" s="1"/>
  <c r="CP382" i="13" s="1" a="1"/>
  <c r="CP382" i="13" s="1"/>
  <c r="CV382" i="13"/>
  <c r="CW382" i="13" s="1"/>
  <c r="BX382" i="13"/>
  <c r="BY382" i="13" s="1"/>
  <c r="CR382" i="13"/>
  <c r="CS382" i="13" s="1"/>
  <c r="CJ382" i="13"/>
  <c r="CK382" i="13" s="1"/>
  <c r="CL382" i="13" s="1" a="1"/>
  <c r="CL382" i="13" s="1"/>
  <c r="CN393" i="13"/>
  <c r="CO393" i="13" s="1"/>
  <c r="BP393" i="13"/>
  <c r="BQ393" i="13" s="1"/>
  <c r="BR393" i="13" s="1" a="1"/>
  <c r="BR393" i="13" s="1"/>
  <c r="BX393" i="13"/>
  <c r="BY393" i="13" s="1"/>
  <c r="BZ393" i="13" s="1" a="1"/>
  <c r="BZ393" i="13" s="1"/>
  <c r="CJ393" i="13"/>
  <c r="CK393" i="13" s="1"/>
  <c r="CL393" i="13" s="1" a="1"/>
  <c r="CL393" i="13" s="1"/>
  <c r="CR393" i="13"/>
  <c r="CS393" i="13" s="1"/>
  <c r="CB393" i="13"/>
  <c r="CC393" i="13" s="1"/>
  <c r="CV393" i="13"/>
  <c r="CW393" i="13" s="1"/>
  <c r="BT393" i="13"/>
  <c r="BU393" i="13" s="1"/>
  <c r="CP395" i="13" a="1"/>
  <c r="CP395" i="13" s="1"/>
  <c r="CB399" i="13"/>
  <c r="CC399" i="13" s="1"/>
  <c r="CN388" i="13"/>
  <c r="CO388" i="13" s="1"/>
  <c r="CP388" i="13" s="1" a="1"/>
  <c r="CP388" i="13" s="1"/>
  <c r="BZ395" i="13" a="1"/>
  <c r="BZ395" i="13" s="1"/>
  <c r="CJ381" i="13"/>
  <c r="CK381" i="13" s="1"/>
  <c r="CL381" i="13" s="1" a="1"/>
  <c r="CL381" i="13" s="1"/>
  <c r="BX390" i="13"/>
  <c r="BY390" i="13" s="1"/>
  <c r="BT392" i="13"/>
  <c r="BU392" i="13" s="1"/>
  <c r="BV392" i="13" s="1" a="1"/>
  <c r="BV392" i="13" s="1"/>
  <c r="BJ394" i="13"/>
  <c r="CB406" i="13"/>
  <c r="CC406" i="13" s="1"/>
  <c r="BX418" i="13"/>
  <c r="BY418" i="13" s="1"/>
  <c r="BZ418" i="13" s="1" a="1"/>
  <c r="BZ418" i="13" s="1"/>
  <c r="CJ431" i="13"/>
  <c r="CK431" i="13" s="1"/>
  <c r="CL431" i="13" s="1" a="1"/>
  <c r="CL431" i="13" s="1"/>
  <c r="CJ435" i="13"/>
  <c r="CK435" i="13" s="1"/>
  <c r="CL435" i="13" s="1" a="1"/>
  <c r="CL435" i="13" s="1"/>
  <c r="CR404" i="13"/>
  <c r="CS404" i="13" s="1"/>
  <c r="BP425" i="13"/>
  <c r="BQ425" i="13" s="1"/>
  <c r="BR425" i="13" s="1" a="1"/>
  <c r="BR425" i="13" s="1"/>
  <c r="BT425" i="13"/>
  <c r="BU425" i="13" s="1"/>
  <c r="BV425" i="13" s="1" a="1"/>
  <c r="BV425" i="13" s="1"/>
  <c r="BJ433" i="13"/>
  <c r="CR433" i="13" s="1"/>
  <c r="CS433" i="13" s="1"/>
  <c r="BJ437" i="13"/>
  <c r="BT437" i="13" s="1"/>
  <c r="BU437" i="13" s="1"/>
  <c r="CJ413" i="13"/>
  <c r="CK413" i="13" s="1"/>
  <c r="CL413" i="13" s="1" a="1"/>
  <c r="CL413" i="13" s="1"/>
  <c r="BP413" i="13"/>
  <c r="BQ413" i="13" s="1"/>
  <c r="BR413" i="13" s="1" a="1"/>
  <c r="BR413" i="13" s="1"/>
  <c r="CR413" i="13"/>
  <c r="CS413" i="13" s="1"/>
  <c r="CT413" i="13" s="1" a="1"/>
  <c r="CT413" i="13" s="1"/>
  <c r="CB420" i="13"/>
  <c r="CC420" i="13" s="1"/>
  <c r="BT420" i="13"/>
  <c r="BU420" i="13" s="1"/>
  <c r="BP420" i="13"/>
  <c r="BQ420" i="13" s="1"/>
  <c r="BR420" i="13" s="1" a="1"/>
  <c r="BR420" i="13" s="1"/>
  <c r="CJ420" i="13"/>
  <c r="CK420" i="13" s="1"/>
  <c r="CL420" i="13" s="1" a="1"/>
  <c r="CL420" i="13" s="1"/>
  <c r="BX435" i="13"/>
  <c r="BY435" i="13" s="1"/>
  <c r="CV438" i="13"/>
  <c r="CW438" i="13" s="1"/>
  <c r="BT407" i="13"/>
  <c r="BU407" i="13" s="1"/>
  <c r="BV407" i="13" s="1" a="1"/>
  <c r="BV407" i="13" s="1"/>
  <c r="CN438" i="13"/>
  <c r="CO438" i="13" s="1"/>
  <c r="CJ438" i="13"/>
  <c r="CK438" i="13" s="1"/>
  <c r="CL438" i="13" s="1" a="1"/>
  <c r="CL438" i="13" s="1"/>
  <c r="CV414" i="13"/>
  <c r="CW414" i="13" s="1"/>
  <c r="CR416" i="13"/>
  <c r="CS416" i="13" s="1"/>
  <c r="CT416" i="13" s="1" a="1"/>
  <c r="CT416" i="13" s="1"/>
  <c r="CJ410" i="13"/>
  <c r="CK410" i="13" s="1"/>
  <c r="CL410" i="13" s="1" a="1"/>
  <c r="CL410" i="13" s="1"/>
  <c r="CR432" i="13"/>
  <c r="CS432" i="13" s="1"/>
  <c r="CR444" i="13"/>
  <c r="CS444" i="13" s="1"/>
  <c r="CJ405" i="13"/>
  <c r="CK405" i="13" s="1"/>
  <c r="CL405" i="13" s="1" a="1"/>
  <c r="CL405" i="13" s="1"/>
  <c r="BP414" i="13"/>
  <c r="BQ414" i="13" s="1"/>
  <c r="BR414" i="13" s="1" a="1"/>
  <c r="BR414" i="13" s="1"/>
  <c r="BX417" i="13"/>
  <c r="BY417" i="13" s="1"/>
  <c r="BZ417" i="13" s="1" a="1"/>
  <c r="BZ417" i="13" s="1"/>
  <c r="BJ419" i="13"/>
  <c r="CB419" i="13" s="1"/>
  <c r="CC419" i="13" s="1"/>
  <c r="CB427" i="13"/>
  <c r="CC427" i="13" s="1"/>
  <c r="BX438" i="13"/>
  <c r="BY438" i="13" s="1"/>
  <c r="BX442" i="13"/>
  <c r="BY442" i="13" s="1"/>
  <c r="BZ442" i="13" s="1" a="1"/>
  <c r="BZ442" i="13" s="1"/>
  <c r="BT452" i="13"/>
  <c r="BU452" i="13" s="1"/>
  <c r="CE462" i="13" a="1"/>
  <c r="CE462" i="13" s="1"/>
  <c r="BJ475" i="13"/>
  <c r="CR475" i="13" s="1"/>
  <c r="CS475" i="13" s="1"/>
  <c r="CT430" i="13" a="1"/>
  <c r="CT430" i="13" s="1"/>
  <c r="BX451" i="13"/>
  <c r="BY451" i="13" s="1"/>
  <c r="BZ451" i="13" s="1" a="1"/>
  <c r="BZ451" i="13" s="1"/>
  <c r="BT412" i="13"/>
  <c r="BU412" i="13" s="1"/>
  <c r="BV412" i="13" s="1" a="1"/>
  <c r="BV412" i="13" s="1"/>
  <c r="CJ450" i="13"/>
  <c r="CK450" i="13" s="1"/>
  <c r="CL450" i="13" s="1" a="1"/>
  <c r="CL450" i="13" s="1"/>
  <c r="CN450" i="13"/>
  <c r="CO450" i="13" s="1"/>
  <c r="CR466" i="13"/>
  <c r="CS466" i="13" s="1"/>
  <c r="CJ466" i="13"/>
  <c r="CK466" i="13" s="1"/>
  <c r="CL466" i="13" s="1" a="1"/>
  <c r="CL466" i="13" s="1"/>
  <c r="CN466" i="13"/>
  <c r="CO466" i="13" s="1"/>
  <c r="CY500" i="13" a="1"/>
  <c r="CY500" i="13" s="1"/>
  <c r="BP467" i="13"/>
  <c r="BQ467" i="13" s="1"/>
  <c r="BR467" i="13" s="1" a="1"/>
  <c r="BR467" i="13" s="1"/>
  <c r="CE548" i="13" a="1"/>
  <c r="CE548" i="13" s="1"/>
  <c r="CE558" i="13" a="1"/>
  <c r="CE558" i="13" s="1"/>
  <c r="CX616" i="13" a="1"/>
  <c r="CX616" i="13" s="1"/>
  <c r="CY616" i="13" a="1"/>
  <c r="CY616" i="13" s="1"/>
  <c r="CY599" i="13" a="1"/>
  <c r="CY599" i="13" s="1"/>
  <c r="CT607" i="13" a="1"/>
  <c r="CT607" i="13" s="1"/>
  <c r="CX703" i="13" a="1"/>
  <c r="CX703" i="13" s="1"/>
  <c r="CY703" i="13" a="1"/>
  <c r="CY703" i="13" s="1"/>
  <c r="CX719" i="13" a="1"/>
  <c r="CX719" i="13" s="1"/>
  <c r="CY719" i="13" a="1"/>
  <c r="CY719" i="13" s="1"/>
  <c r="CY735" i="13" a="1"/>
  <c r="CY735" i="13" s="1"/>
  <c r="CX735" i="13" a="1"/>
  <c r="CX735" i="13" s="1"/>
  <c r="CE702" i="13" a="1"/>
  <c r="CE702" i="13" s="1"/>
  <c r="CZ707" i="13"/>
  <c r="Z707" i="13" s="1"/>
  <c r="CY690" i="13" a="1"/>
  <c r="CY690" i="13" s="1"/>
  <c r="CV157" i="13"/>
  <c r="CW157" i="13" s="1"/>
  <c r="BJ169" i="13"/>
  <c r="CR175" i="13"/>
  <c r="CS175" i="13" s="1"/>
  <c r="CD164" i="13" a="1"/>
  <c r="CD164" i="13" s="1"/>
  <c r="CF164" i="13" s="1"/>
  <c r="R164" i="13" s="1"/>
  <c r="BR163" i="13" a="1"/>
  <c r="BR163" i="13" s="1"/>
  <c r="CF163" i="13" s="1"/>
  <c r="R163" i="13" s="1"/>
  <c r="CR183" i="13"/>
  <c r="CS183" i="13" s="1"/>
  <c r="CR174" i="13"/>
  <c r="CS174" i="13" s="1"/>
  <c r="CT174" i="13" s="1" a="1"/>
  <c r="CT174" i="13" s="1"/>
  <c r="BT159" i="13"/>
  <c r="BU159" i="13" s="1"/>
  <c r="CN168" i="13"/>
  <c r="CO168" i="13" s="1"/>
  <c r="CP168" i="13" s="1" a="1"/>
  <c r="CP168" i="13" s="1"/>
  <c r="BT176" i="13"/>
  <c r="BU176" i="13" s="1"/>
  <c r="BV176" i="13" s="1" a="1"/>
  <c r="BV176" i="13" s="1"/>
  <c r="BX170" i="13"/>
  <c r="BY170" i="13" s="1"/>
  <c r="BZ170" i="13" s="1" a="1"/>
  <c r="BZ170" i="13" s="1"/>
  <c r="BJ180" i="13"/>
  <c r="CB180" i="13" s="1"/>
  <c r="CC180" i="13" s="1"/>
  <c r="BP193" i="13"/>
  <c r="BQ193" i="13" s="1"/>
  <c r="BR193" i="13" s="1" a="1"/>
  <c r="BR193" i="13" s="1"/>
  <c r="CB193" i="13"/>
  <c r="CC193" i="13" s="1"/>
  <c r="CJ193" i="13"/>
  <c r="CK193" i="13" s="1"/>
  <c r="CL193" i="13" s="1" a="1"/>
  <c r="CL193" i="13" s="1"/>
  <c r="CN178" i="13"/>
  <c r="CO178" i="13" s="1"/>
  <c r="BP180" i="13"/>
  <c r="BQ180" i="13" s="1"/>
  <c r="BR180" i="13" s="1" a="1"/>
  <c r="BR180" i="13" s="1"/>
  <c r="CJ187" i="13"/>
  <c r="CK187" i="13" s="1"/>
  <c r="CL187" i="13" s="1" a="1"/>
  <c r="CL187" i="13" s="1"/>
  <c r="BX187" i="13"/>
  <c r="BY187" i="13" s="1"/>
  <c r="BZ187" i="13" s="1" a="1"/>
  <c r="BZ187" i="13" s="1"/>
  <c r="BJ199" i="13"/>
  <c r="BT172" i="13"/>
  <c r="BU172" i="13" s="1"/>
  <c r="BV172" i="13" s="1" a="1"/>
  <c r="BV172" i="13" s="1"/>
  <c r="BT186" i="13"/>
  <c r="BU186" i="13" s="1"/>
  <c r="BP192" i="13"/>
  <c r="BQ192" i="13" s="1"/>
  <c r="BR192" i="13" s="1" a="1"/>
  <c r="BR192" i="13" s="1"/>
  <c r="CJ192" i="13"/>
  <c r="CK192" i="13" s="1"/>
  <c r="CL192" i="13" s="1" a="1"/>
  <c r="CL192" i="13" s="1"/>
  <c r="BX192" i="13"/>
  <c r="BY192" i="13" s="1"/>
  <c r="BZ192" i="13" s="1" a="1"/>
  <c r="BZ192" i="13" s="1"/>
  <c r="BT192" i="13"/>
  <c r="BU192" i="13" s="1"/>
  <c r="BX200" i="13"/>
  <c r="BY200" i="13" s="1"/>
  <c r="BZ200" i="13" s="1" a="1"/>
  <c r="BZ200" i="13" s="1"/>
  <c r="BT204" i="13"/>
  <c r="BU204" i="13" s="1"/>
  <c r="CV194" i="13"/>
  <c r="CW194" i="13" s="1"/>
  <c r="CJ182" i="13"/>
  <c r="CK182" i="13" s="1"/>
  <c r="BP182" i="13"/>
  <c r="BQ182" i="13" s="1"/>
  <c r="BR182" i="13" s="1" a="1"/>
  <c r="BR182" i="13" s="1"/>
  <c r="CV182" i="13"/>
  <c r="CW182" i="13" s="1"/>
  <c r="CV196" i="13"/>
  <c r="CW196" i="13" s="1"/>
  <c r="CB200" i="13"/>
  <c r="CC200" i="13" s="1"/>
  <c r="BT198" i="13"/>
  <c r="BU198" i="13" s="1"/>
  <c r="BV198" i="13" s="1" a="1"/>
  <c r="BV198" i="13" s="1"/>
  <c r="BX207" i="13"/>
  <c r="BY207" i="13" s="1"/>
  <c r="BZ207" i="13" s="1" a="1"/>
  <c r="BZ207" i="13" s="1"/>
  <c r="CN210" i="13"/>
  <c r="CO210" i="13" s="1"/>
  <c r="CP210" i="13" s="1" a="1"/>
  <c r="CP210" i="13" s="1"/>
  <c r="BP210" i="13"/>
  <c r="BQ210" i="13" s="1"/>
  <c r="BR210" i="13" s="1" a="1"/>
  <c r="BR210" i="13" s="1"/>
  <c r="CT191" i="13" a="1"/>
  <c r="CT191" i="13" s="1"/>
  <c r="BT202" i="13"/>
  <c r="BU202" i="13" s="1"/>
  <c r="BV202" i="13" s="1" a="1"/>
  <c r="BV202" i="13" s="1"/>
  <c r="BR219" i="13" a="1"/>
  <c r="BR219" i="13" s="1"/>
  <c r="CR206" i="13"/>
  <c r="CS206" i="13" s="1"/>
  <c r="BT208" i="13"/>
  <c r="BU208" i="13" s="1"/>
  <c r="BV208" i="13" s="1" a="1"/>
  <c r="BV208" i="13" s="1"/>
  <c r="BT219" i="13"/>
  <c r="BU219" i="13" s="1"/>
  <c r="BV219" i="13" s="1" a="1"/>
  <c r="BV219" i="13" s="1"/>
  <c r="CD220" i="13" a="1"/>
  <c r="CD220" i="13" s="1"/>
  <c r="CF220" i="13" s="1"/>
  <c r="R220" i="13" s="1"/>
  <c r="CB227" i="13"/>
  <c r="CC227" i="13" s="1"/>
  <c r="BP217" i="13"/>
  <c r="BQ217" i="13" s="1"/>
  <c r="BV217" i="13" s="1" a="1"/>
  <c r="BV217" i="13" s="1"/>
  <c r="BJ223" i="13"/>
  <c r="CV223" i="13" s="1"/>
  <c r="CW223" i="13" s="1"/>
  <c r="CV210" i="13"/>
  <c r="CW210" i="13" s="1"/>
  <c r="CJ256" i="13"/>
  <c r="CK256" i="13" s="1"/>
  <c r="CL256" i="13" s="1" a="1"/>
  <c r="CL256" i="13" s="1"/>
  <c r="BP256" i="13"/>
  <c r="BQ256" i="13" s="1"/>
  <c r="BR256" i="13" s="1" a="1"/>
  <c r="BR256" i="13" s="1"/>
  <c r="BX229" i="13"/>
  <c r="BY229" i="13" s="1"/>
  <c r="CB229" i="13"/>
  <c r="CC229" i="13" s="1"/>
  <c r="BT236" i="13"/>
  <c r="BU236" i="13" s="1"/>
  <c r="BV236" i="13" s="1" a="1"/>
  <c r="BV236" i="13" s="1"/>
  <c r="CN225" i="13"/>
  <c r="CO225" i="13" s="1"/>
  <c r="CB238" i="13"/>
  <c r="CC238" i="13" s="1"/>
  <c r="CR244" i="13"/>
  <c r="CS244" i="13" s="1"/>
  <c r="CT244" i="13" s="1" a="1"/>
  <c r="CT244" i="13" s="1"/>
  <c r="CJ225" i="13"/>
  <c r="CK225" i="13" s="1"/>
  <c r="CL225" i="13" s="1" a="1"/>
  <c r="CL225" i="13" s="1"/>
  <c r="BP225" i="13"/>
  <c r="BQ225" i="13" s="1"/>
  <c r="BR225" i="13" s="1" a="1"/>
  <c r="BR225" i="13" s="1"/>
  <c r="BP227" i="13"/>
  <c r="BQ227" i="13" s="1"/>
  <c r="BR227" i="13" s="1" a="1"/>
  <c r="BR227" i="13" s="1"/>
  <c r="CJ246" i="13"/>
  <c r="CK246" i="13" s="1"/>
  <c r="CL246" i="13" s="1" a="1"/>
  <c r="CL246" i="13" s="1"/>
  <c r="BP246" i="13"/>
  <c r="BQ246" i="13" s="1"/>
  <c r="BR246" i="13" s="1" a="1"/>
  <c r="BR246" i="13" s="1"/>
  <c r="CV246" i="13"/>
  <c r="CW246" i="13" s="1"/>
  <c r="CN260" i="13"/>
  <c r="CO260" i="13" s="1"/>
  <c r="BT260" i="13"/>
  <c r="BU260" i="13" s="1"/>
  <c r="BP260" i="13"/>
  <c r="BQ260" i="13" s="1"/>
  <c r="BR260" i="13" s="1" a="1"/>
  <c r="BR260" i="13" s="1"/>
  <c r="CR260" i="13"/>
  <c r="CS260" i="13" s="1"/>
  <c r="CJ260" i="13"/>
  <c r="CK260" i="13" s="1"/>
  <c r="CL260" i="13" s="1" a="1"/>
  <c r="CL260" i="13" s="1"/>
  <c r="BX260" i="13"/>
  <c r="BY260" i="13" s="1"/>
  <c r="CB260" i="13"/>
  <c r="CC260" i="13" s="1"/>
  <c r="CJ251" i="13"/>
  <c r="CK251" i="13" s="1"/>
  <c r="CL251" i="13" s="1" a="1"/>
  <c r="CL251" i="13" s="1"/>
  <c r="CJ253" i="13"/>
  <c r="CK253" i="13" s="1"/>
  <c r="CL253" i="13" s="1" a="1"/>
  <c r="CL253" i="13" s="1"/>
  <c r="CN279" i="13"/>
  <c r="CO279" i="13" s="1"/>
  <c r="CP279" i="13" s="1" a="1"/>
  <c r="CP279" i="13" s="1"/>
  <c r="CN264" i="13"/>
  <c r="CO264" i="13" s="1"/>
  <c r="BP264" i="13"/>
  <c r="BQ264" i="13" s="1"/>
  <c r="BR264" i="13" s="1" a="1"/>
  <c r="BR264" i="13" s="1"/>
  <c r="CR264" i="13"/>
  <c r="CS264" i="13" s="1"/>
  <c r="CB264" i="13"/>
  <c r="CC264" i="13" s="1"/>
  <c r="BT264" i="13"/>
  <c r="BU264" i="13" s="1"/>
  <c r="BV264" i="13" s="1" a="1"/>
  <c r="BV264" i="13" s="1"/>
  <c r="BX264" i="13"/>
  <c r="BY264" i="13" s="1"/>
  <c r="CJ264" i="13"/>
  <c r="CK264" i="13" s="1"/>
  <c r="CL264" i="13" s="1" a="1"/>
  <c r="CL264" i="13" s="1"/>
  <c r="BJ265" i="13"/>
  <c r="BX280" i="13"/>
  <c r="BY280" i="13" s="1"/>
  <c r="CB301" i="13"/>
  <c r="CC301" i="13" s="1"/>
  <c r="CR275" i="13"/>
  <c r="CS275" i="13" s="1"/>
  <c r="BV286" i="13" a="1"/>
  <c r="BV286" i="13" s="1"/>
  <c r="BX269" i="13"/>
  <c r="BY269" i="13" s="1"/>
  <c r="BJ293" i="13"/>
  <c r="CJ293" i="13" s="1"/>
  <c r="CK293" i="13" s="1"/>
  <c r="CL293" i="13" s="1" a="1"/>
  <c r="CL293" i="13" s="1"/>
  <c r="BJ299" i="13"/>
  <c r="CV299" i="13" s="1"/>
  <c r="CW299" i="13" s="1"/>
  <c r="BJ305" i="13"/>
  <c r="CN305" i="13" s="1"/>
  <c r="CO305" i="13" s="1"/>
  <c r="BJ313" i="13"/>
  <c r="BT282" i="13"/>
  <c r="BU282" i="13" s="1"/>
  <c r="BV282" i="13" s="1" a="1"/>
  <c r="BV282" i="13" s="1"/>
  <c r="CN261" i="13"/>
  <c r="CO261" i="13" s="1"/>
  <c r="CP261" i="13" s="1" a="1"/>
  <c r="CP261" i="13" s="1"/>
  <c r="BX274" i="13"/>
  <c r="BY274" i="13" s="1"/>
  <c r="BZ274" i="13" s="1" a="1"/>
  <c r="BZ274" i="13" s="1"/>
  <c r="CB302" i="13"/>
  <c r="CC302" i="13" s="1"/>
  <c r="BJ273" i="13"/>
  <c r="CB273" i="13" s="1"/>
  <c r="CC273" i="13" s="1"/>
  <c r="CN274" i="13"/>
  <c r="CO274" i="13" s="1"/>
  <c r="CP274" i="13" s="1" a="1"/>
  <c r="CP274" i="13" s="1"/>
  <c r="CN286" i="13"/>
  <c r="CO286" i="13" s="1"/>
  <c r="CP286" i="13" s="1" a="1"/>
  <c r="CP286" i="13" s="1"/>
  <c r="BX298" i="13"/>
  <c r="BY298" i="13" s="1"/>
  <c r="BZ298" i="13" s="1" a="1"/>
  <c r="BZ298" i="13" s="1"/>
  <c r="CV313" i="13"/>
  <c r="CW313" i="13" s="1"/>
  <c r="CV304" i="13"/>
  <c r="CW304" i="13" s="1"/>
  <c r="CN328" i="13"/>
  <c r="CO328" i="13" s="1"/>
  <c r="CR300" i="13"/>
  <c r="CS300" i="13" s="1"/>
  <c r="CT300" i="13" s="1" a="1"/>
  <c r="CT300" i="13" s="1"/>
  <c r="BP317" i="13"/>
  <c r="BQ317" i="13" s="1"/>
  <c r="BR317" i="13" s="1" a="1"/>
  <c r="BR317" i="13" s="1"/>
  <c r="CJ317" i="13"/>
  <c r="CK317" i="13" s="1"/>
  <c r="CL317" i="13" s="1" a="1"/>
  <c r="CL317" i="13" s="1"/>
  <c r="CR323" i="13"/>
  <c r="CS323" i="13" s="1"/>
  <c r="CR328" i="13"/>
  <c r="CS328" i="13" s="1"/>
  <c r="CJ333" i="13"/>
  <c r="CK333" i="13" s="1"/>
  <c r="CL333" i="13" s="1" a="1"/>
  <c r="CL333" i="13" s="1"/>
  <c r="BP333" i="13"/>
  <c r="BQ333" i="13" s="1"/>
  <c r="BR333" i="13" s="1" a="1"/>
  <c r="BR333" i="13" s="1"/>
  <c r="CB312" i="13"/>
  <c r="CC312" i="13" s="1"/>
  <c r="BX316" i="13"/>
  <c r="BY316" i="13" s="1"/>
  <c r="BZ316" i="13" s="1" a="1"/>
  <c r="BZ316" i="13" s="1"/>
  <c r="BP291" i="13"/>
  <c r="BQ291" i="13" s="1"/>
  <c r="BR291" i="13" s="1" a="1"/>
  <c r="BR291" i="13" s="1"/>
  <c r="CJ296" i="13"/>
  <c r="CK296" i="13" s="1"/>
  <c r="CL296" i="13" s="1" a="1"/>
  <c r="CL296" i="13" s="1"/>
  <c r="CN307" i="13"/>
  <c r="CO307" i="13" s="1"/>
  <c r="CB321" i="13"/>
  <c r="CC321" i="13" s="1"/>
  <c r="CR322" i="13"/>
  <c r="CS322" i="13" s="1"/>
  <c r="CJ328" i="13"/>
  <c r="CK328" i="13" s="1"/>
  <c r="CL328" i="13" s="1" a="1"/>
  <c r="CL328" i="13" s="1"/>
  <c r="BJ334" i="13"/>
  <c r="BX334" i="13" s="1"/>
  <c r="BY334" i="13"/>
  <c r="CR336" i="13"/>
  <c r="CS336" i="13" s="1"/>
  <c r="BJ342" i="13"/>
  <c r="CV346" i="13"/>
  <c r="CW346" i="13" s="1"/>
  <c r="CR352" i="13"/>
  <c r="CS352" i="13" s="1"/>
  <c r="CV314" i="13"/>
  <c r="CW314" i="13" s="1"/>
  <c r="CR332" i="13"/>
  <c r="CS332" i="13" s="1"/>
  <c r="CT332" i="13" s="1" a="1"/>
  <c r="CT332" i="13" s="1"/>
  <c r="CR349" i="13"/>
  <c r="CS349" i="13" s="1"/>
  <c r="CT349" i="13" s="1" a="1"/>
  <c r="CT349" i="13" s="1"/>
  <c r="CJ326" i="13"/>
  <c r="CK326" i="13" s="1"/>
  <c r="CL326" i="13" s="1" a="1"/>
  <c r="CL326" i="13" s="1"/>
  <c r="CV345" i="13"/>
  <c r="CW345" i="13" s="1"/>
  <c r="BR353" i="13" a="1"/>
  <c r="BR353" i="13" s="1"/>
  <c r="CL353" i="13" a="1"/>
  <c r="CL353" i="13" s="1"/>
  <c r="CN333" i="13"/>
  <c r="CO333" i="13" s="1"/>
  <c r="CN349" i="13"/>
  <c r="CO349" i="13" s="1"/>
  <c r="CP349" i="13" s="1" a="1"/>
  <c r="CP349" i="13" s="1"/>
  <c r="BT357" i="13"/>
  <c r="BU357" i="13" s="1"/>
  <c r="BV357" i="13" s="1" a="1"/>
  <c r="BV357" i="13" s="1"/>
  <c r="BT363" i="13"/>
  <c r="BU363" i="13" s="1"/>
  <c r="CN372" i="13"/>
  <c r="CO372" i="13" s="1"/>
  <c r="CP372" i="13" s="1" a="1"/>
  <c r="CP372" i="13" s="1"/>
  <c r="BP372" i="13"/>
  <c r="BQ372" i="13" s="1"/>
  <c r="BR372" i="13" s="1" a="1"/>
  <c r="BR372" i="13" s="1"/>
  <c r="BX372" i="13"/>
  <c r="BY372" i="13" s="1"/>
  <c r="CJ372" i="13"/>
  <c r="CK372" i="13" s="1"/>
  <c r="CL372" i="13" s="1" a="1"/>
  <c r="CL372" i="13" s="1"/>
  <c r="CR372" i="13"/>
  <c r="CS372" i="13" s="1"/>
  <c r="CB372" i="13"/>
  <c r="CC372" i="13" s="1"/>
  <c r="CV372" i="13"/>
  <c r="CW372" i="13" s="1"/>
  <c r="BT372" i="13"/>
  <c r="BU372" i="13" s="1"/>
  <c r="BV372" i="13" s="1" a="1"/>
  <c r="BV372" i="13" s="1"/>
  <c r="BV386" i="13" a="1"/>
  <c r="BV386" i="13" s="1"/>
  <c r="CF386" i="13" s="1"/>
  <c r="R386" i="13" s="1"/>
  <c r="AF386" i="13" s="1"/>
  <c r="BP369" i="13"/>
  <c r="BQ369" i="13" s="1"/>
  <c r="BR369" i="13" s="1" a="1"/>
  <c r="BR369" i="13" s="1"/>
  <c r="CJ369" i="13"/>
  <c r="CK369" i="13" s="1"/>
  <c r="CL369" i="13" s="1" a="1"/>
  <c r="CL369" i="13" s="1"/>
  <c r="CV369" i="13"/>
  <c r="CW369" i="13" s="1"/>
  <c r="BX376" i="13"/>
  <c r="BY376" i="13" s="1"/>
  <c r="BZ376" i="13" s="1" a="1"/>
  <c r="BZ376" i="13" s="1"/>
  <c r="CR376" i="13"/>
  <c r="CS376" i="13" s="1"/>
  <c r="CT376" i="13" s="1" a="1"/>
  <c r="CT376" i="13" s="1"/>
  <c r="CR353" i="13"/>
  <c r="CS353" i="13" s="1"/>
  <c r="CT353" i="13" s="1" a="1"/>
  <c r="CT353" i="13" s="1"/>
  <c r="CR369" i="13"/>
  <c r="CS369" i="13" s="1"/>
  <c r="CT369" i="13" s="1" a="1"/>
  <c r="CT369" i="13" s="1"/>
  <c r="BX373" i="13"/>
  <c r="BY373" i="13" s="1"/>
  <c r="BZ373" i="13" s="1" a="1"/>
  <c r="BZ373" i="13" s="1"/>
  <c r="BJ361" i="13"/>
  <c r="CV361" i="13" s="1"/>
  <c r="CW361" i="13" s="1"/>
  <c r="CN359" i="13"/>
  <c r="CO359" i="13" s="1"/>
  <c r="BP371" i="13"/>
  <c r="BQ371" i="13" s="1"/>
  <c r="BR371" i="13" s="1" a="1"/>
  <c r="BR371" i="13" s="1"/>
  <c r="CJ371" i="13"/>
  <c r="CK371" i="13" s="1"/>
  <c r="CL371" i="13" s="1" a="1"/>
  <c r="CL371" i="13" s="1"/>
  <c r="CF387" i="13"/>
  <c r="R387" i="13" s="1"/>
  <c r="AF387" i="13" s="1"/>
  <c r="CV368" i="13"/>
  <c r="CW368" i="13" s="1"/>
  <c r="CN409" i="13"/>
  <c r="CO409" i="13" s="1"/>
  <c r="CP409" i="13" s="1" a="1"/>
  <c r="CP409" i="13" s="1"/>
  <c r="CR409" i="13"/>
  <c r="CS409" i="13" s="1"/>
  <c r="CY395" i="13" a="1"/>
  <c r="CY395" i="13" s="1"/>
  <c r="CX395" i="13" a="1"/>
  <c r="CX395" i="13" s="1"/>
  <c r="BT406" i="13"/>
  <c r="BU406" i="13" s="1"/>
  <c r="BV406" i="13" s="1" a="1"/>
  <c r="BV406" i="13" s="1"/>
  <c r="BT382" i="13"/>
  <c r="BU382" i="13" s="1"/>
  <c r="BV382" i="13" s="1" a="1"/>
  <c r="BV382" i="13" s="1"/>
  <c r="CB388" i="13"/>
  <c r="CC388" i="13" s="1"/>
  <c r="CR388" i="13"/>
  <c r="CS388" i="13" s="1"/>
  <c r="CT388" i="13" s="1" a="1"/>
  <c r="CT388" i="13" s="1"/>
  <c r="BX392" i="13"/>
  <c r="BY392" i="13" s="1"/>
  <c r="BZ392" i="13" s="1" a="1"/>
  <c r="BZ392" i="13" s="1"/>
  <c r="CB415" i="13"/>
  <c r="CC415" i="13" s="1"/>
  <c r="BT399" i="13"/>
  <c r="BU399" i="13" s="1"/>
  <c r="BV399" i="13" s="1" a="1"/>
  <c r="BV399" i="13" s="1"/>
  <c r="BT405" i="13"/>
  <c r="BU405" i="13" s="1"/>
  <c r="BV405" i="13" s="1" a="1"/>
  <c r="BV405" i="13" s="1"/>
  <c r="CV410" i="13"/>
  <c r="CW410" i="13" s="1"/>
  <c r="CJ409" i="13"/>
  <c r="CK409" i="13" s="1"/>
  <c r="CL409" i="13" s="1" a="1"/>
  <c r="CL409" i="13" s="1"/>
  <c r="BX413" i="13"/>
  <c r="BY413" i="13" s="1"/>
  <c r="BZ413" i="13" s="1" a="1"/>
  <c r="BZ413" i="13" s="1"/>
  <c r="BT415" i="13"/>
  <c r="BU415" i="13" s="1"/>
  <c r="BV415" i="13" s="1" a="1"/>
  <c r="BV415" i="13" s="1"/>
  <c r="CV417" i="13"/>
  <c r="CW417" i="13" s="1"/>
  <c r="CV432" i="13"/>
  <c r="CW432" i="13" s="1"/>
  <c r="CV444" i="13"/>
  <c r="CW444" i="13" s="1"/>
  <c r="BP423" i="13"/>
  <c r="BQ423" i="13" s="1"/>
  <c r="BR423" i="13" s="1" a="1"/>
  <c r="BR423" i="13" s="1"/>
  <c r="CB444" i="13"/>
  <c r="CC444" i="13" s="1"/>
  <c r="CB410" i="13"/>
  <c r="CC410" i="13" s="1"/>
  <c r="CJ425" i="13"/>
  <c r="CK425" i="13" s="1"/>
  <c r="CP425" i="13" s="1" a="1"/>
  <c r="CP425" i="13" s="1"/>
  <c r="CV427" i="13"/>
  <c r="CW427" i="13" s="1"/>
  <c r="BJ436" i="13"/>
  <c r="BP436" i="13" s="1"/>
  <c r="BQ436" i="13" s="1"/>
  <c r="BR436" i="13" s="1" a="1"/>
  <c r="BR436" i="13" s="1"/>
  <c r="BJ440" i="13"/>
  <c r="BP440" i="13" s="1"/>
  <c r="BQ440" i="13"/>
  <c r="BR440" i="13" s="1" a="1"/>
  <c r="BR440" i="13" s="1"/>
  <c r="CN406" i="13"/>
  <c r="CO406" i="13" s="1"/>
  <c r="CP406" i="13" s="1" a="1"/>
  <c r="CP406" i="13" s="1"/>
  <c r="BT419" i="13"/>
  <c r="BU419" i="13" s="1"/>
  <c r="BX432" i="13"/>
  <c r="BY432" i="13" s="1"/>
  <c r="CV435" i="13"/>
  <c r="CW435" i="13" s="1"/>
  <c r="BT416" i="13"/>
  <c r="BU416" i="13" s="1"/>
  <c r="BV416" i="13" s="1" a="1"/>
  <c r="BV416" i="13" s="1"/>
  <c r="CN431" i="13"/>
  <c r="CO431" i="13" s="1"/>
  <c r="CP431" i="13" s="1" a="1"/>
  <c r="CP431" i="13" s="1"/>
  <c r="CR452" i="13"/>
  <c r="CS452" i="13" s="1"/>
  <c r="BJ459" i="13"/>
  <c r="BT459" i="13" s="1"/>
  <c r="BU459" i="13" s="1"/>
  <c r="CN435" i="13"/>
  <c r="CO435" i="13" s="1"/>
  <c r="BT443" i="13"/>
  <c r="BU443" i="13" s="1"/>
  <c r="BV443" i="13" s="1" a="1"/>
  <c r="BV443" i="13" s="1"/>
  <c r="CJ443" i="13"/>
  <c r="CK443" i="13" s="1"/>
  <c r="CL443" i="13" s="1" a="1"/>
  <c r="CL443" i="13" s="1"/>
  <c r="CN443" i="13"/>
  <c r="CO443" i="13" s="1"/>
  <c r="CB450" i="13"/>
  <c r="CC450" i="13" s="1"/>
  <c r="BJ458" i="13"/>
  <c r="BP458" i="13" s="1"/>
  <c r="BQ458" i="13" s="1"/>
  <c r="BR458" i="13" s="1" a="1"/>
  <c r="BR458" i="13" s="1"/>
  <c r="CE466" i="13" a="1"/>
  <c r="CE466" i="13" s="1"/>
  <c r="CD466" i="13" a="1"/>
  <c r="CD466" i="13" s="1"/>
  <c r="CE522" i="13" a="1"/>
  <c r="CE522" i="13" s="1"/>
  <c r="CD522" i="13" a="1"/>
  <c r="CD522" i="13" s="1"/>
  <c r="CE550" i="13" a="1"/>
  <c r="CE550" i="13" s="1"/>
  <c r="CE524" i="13" a="1"/>
  <c r="CE524" i="13" s="1"/>
  <c r="BP547" i="13"/>
  <c r="CY617" i="13" a="1"/>
  <c r="CY617" i="13" s="1"/>
  <c r="CE616" i="13" a="1"/>
  <c r="CE616" i="13" s="1"/>
  <c r="CT616" i="13" a="1"/>
  <c r="CT616" i="13" s="1"/>
  <c r="CX705" i="13" a="1"/>
  <c r="CX705" i="13" s="1"/>
  <c r="CY705" i="13" a="1"/>
  <c r="CY705" i="13" s="1"/>
  <c r="CY721" i="13" a="1"/>
  <c r="CY721" i="13" s="1"/>
  <c r="CX721" i="13" a="1"/>
  <c r="CX721" i="13" s="1"/>
  <c r="CY737" i="13" a="1"/>
  <c r="CY737" i="13" s="1"/>
  <c r="CX737" i="13" a="1"/>
  <c r="CX737" i="13" s="1"/>
  <c r="CZ697" i="13"/>
  <c r="Z697" i="13" s="1"/>
  <c r="CF703" i="13"/>
  <c r="R703" i="13" s="1"/>
  <c r="CZ723" i="13"/>
  <c r="Z723" i="13" s="1"/>
  <c r="CP737" i="13" a="1"/>
  <c r="CP737" i="13" s="1"/>
  <c r="CZ737" i="13" s="1"/>
  <c r="Z737" i="13" s="1"/>
  <c r="CD696" i="13" a="1"/>
  <c r="CD696" i="13" s="1"/>
  <c r="CF696" i="13" s="1"/>
  <c r="R696" i="13" s="1"/>
  <c r="CE696" i="13" a="1"/>
  <c r="CE696" i="13" s="1"/>
  <c r="CV466" i="13"/>
  <c r="CW466" i="13" s="1"/>
  <c r="CN473" i="13"/>
  <c r="CO473" i="13" s="1"/>
  <c r="BJ448" i="13"/>
  <c r="CN448" i="13" s="1"/>
  <c r="CO448" i="13" s="1"/>
  <c r="CV473" i="13"/>
  <c r="CW473" i="13" s="1"/>
  <c r="BJ479" i="13"/>
  <c r="CB479" i="13" s="1"/>
  <c r="CC479" i="13" s="1"/>
  <c r="CV490" i="13"/>
  <c r="CW490" i="13" s="1"/>
  <c r="BJ497" i="13"/>
  <c r="CB497" i="13" s="1"/>
  <c r="CC497" i="13" s="1"/>
  <c r="BJ447" i="13"/>
  <c r="CJ447" i="13" s="1"/>
  <c r="CK447" i="13" s="1"/>
  <c r="CL447" i="13" s="1" a="1"/>
  <c r="CL447" i="13" s="1"/>
  <c r="CN452" i="13"/>
  <c r="CO452" i="13" s="1"/>
  <c r="CP452" i="13" s="1" a="1"/>
  <c r="CP452" i="13" s="1"/>
  <c r="BJ463" i="13"/>
  <c r="BP463" i="13" s="1"/>
  <c r="BQ463" i="13" s="1"/>
  <c r="BR463" i="13" s="1" a="1"/>
  <c r="BR463" i="13" s="1"/>
  <c r="CJ500" i="13"/>
  <c r="CK500" i="13" s="1"/>
  <c r="CL500" i="13" s="1" a="1"/>
  <c r="CL500" i="13" s="1"/>
  <c r="CN514" i="13"/>
  <c r="CO514" i="13" s="1"/>
  <c r="CJ514" i="13"/>
  <c r="CK514" i="13" s="1"/>
  <c r="CL514" i="13" s="1" a="1"/>
  <c r="CL514" i="13" s="1"/>
  <c r="BT514" i="13"/>
  <c r="BU514" i="13" s="1"/>
  <c r="CV514" i="13"/>
  <c r="CW514" i="13" s="1"/>
  <c r="BP514" i="13"/>
  <c r="BQ514" i="13" s="1"/>
  <c r="BR514" i="13" s="1" a="1"/>
  <c r="BR514" i="13" s="1"/>
  <c r="CV494" i="13"/>
  <c r="CW494" i="13" s="1"/>
  <c r="CB496" i="13"/>
  <c r="CC496" i="13" s="1"/>
  <c r="BX518" i="13"/>
  <c r="BY518" i="13" s="1"/>
  <c r="BP476" i="13"/>
  <c r="BQ476" i="13" s="1"/>
  <c r="BR476" i="13" s="1" a="1"/>
  <c r="BR476" i="13" s="1"/>
  <c r="BP480" i="13"/>
  <c r="BQ480" i="13" s="1"/>
  <c r="BR480" i="13" s="1" a="1"/>
  <c r="BR480" i="13" s="1"/>
  <c r="BP484" i="13"/>
  <c r="BQ484" i="13" s="1"/>
  <c r="BR484" i="13" s="1" a="1"/>
  <c r="BR484" i="13" s="1"/>
  <c r="BP488" i="13"/>
  <c r="BQ488" i="13" s="1"/>
  <c r="BR488" i="13" s="1" a="1"/>
  <c r="BR488" i="13" s="1"/>
  <c r="BJ529" i="13"/>
  <c r="BP529" i="13" s="1"/>
  <c r="BQ529" i="13" s="1"/>
  <c r="BR529" i="13" s="1" a="1"/>
  <c r="BR529" i="13" s="1"/>
  <c r="CJ492" i="13"/>
  <c r="CK492" i="13" s="1"/>
  <c r="CL492" i="13" s="1" a="1"/>
  <c r="CL492" i="13" s="1"/>
  <c r="CN520" i="13"/>
  <c r="CO520" i="13" s="1"/>
  <c r="CP520" i="13" s="1" a="1"/>
  <c r="CP520" i="13" s="1"/>
  <c r="CJ520" i="13"/>
  <c r="CK520" i="13" s="1"/>
  <c r="CL520" i="13" s="1" a="1"/>
  <c r="CL520" i="13" s="1"/>
  <c r="CV520" i="13"/>
  <c r="CW520" i="13" s="1"/>
  <c r="BP520" i="13"/>
  <c r="BQ520" i="13" s="1"/>
  <c r="BR520" i="13" s="1" a="1"/>
  <c r="BR520" i="13" s="1"/>
  <c r="BT520" i="13"/>
  <c r="BU520" i="13" s="1"/>
  <c r="CR520" i="13"/>
  <c r="CS520" i="13" s="1"/>
  <c r="BT467" i="13"/>
  <c r="BU467" i="13" s="1"/>
  <c r="BV467" i="13" s="1" a="1"/>
  <c r="BV467" i="13" s="1"/>
  <c r="CN494" i="13"/>
  <c r="CO494" i="13" s="1"/>
  <c r="BP510" i="13"/>
  <c r="BQ510" i="13" s="1"/>
  <c r="BR510" i="13" s="1" a="1"/>
  <c r="BR510" i="13" s="1"/>
  <c r="CN510" i="13"/>
  <c r="CO510" i="13" s="1"/>
  <c r="CJ510" i="13"/>
  <c r="CK510" i="13" s="1"/>
  <c r="CL510" i="13" s="1" a="1"/>
  <c r="CL510" i="13" s="1"/>
  <c r="CR510" i="13"/>
  <c r="CS510" i="13" s="1"/>
  <c r="CT510" i="13" s="1" a="1"/>
  <c r="CT510" i="13" s="1"/>
  <c r="CV510" i="13"/>
  <c r="CW510" i="13" s="1"/>
  <c r="BT510" i="13"/>
  <c r="BU510" i="13" s="1"/>
  <c r="BT478" i="13"/>
  <c r="BU478" i="13" s="1"/>
  <c r="BT482" i="13"/>
  <c r="BU482" i="13" s="1"/>
  <c r="BT486" i="13"/>
  <c r="BU486" i="13" s="1"/>
  <c r="CN490" i="13"/>
  <c r="CO490" i="13" s="1"/>
  <c r="BP496" i="13"/>
  <c r="BQ496" i="13" s="1"/>
  <c r="BR496" i="13" s="1" a="1"/>
  <c r="BR496" i="13" s="1"/>
  <c r="CV502" i="13"/>
  <c r="CW502" i="13" s="1"/>
  <c r="BQ547" i="13"/>
  <c r="BR547" i="13" s="1" a="1"/>
  <c r="BR547" i="13" s="1"/>
  <c r="BJ547" i="13"/>
  <c r="CV547" i="13" s="1"/>
  <c r="CW547" i="13" s="1"/>
  <c r="CR534" i="13"/>
  <c r="CS534" i="13" s="1"/>
  <c r="BJ555" i="13"/>
  <c r="CV555" i="13" s="1"/>
  <c r="CW555" i="13" s="1"/>
  <c r="CN538" i="13"/>
  <c r="CO538" i="13" s="1"/>
  <c r="CR532" i="13"/>
  <c r="CS532" i="13" s="1"/>
  <c r="CX532" i="13" s="1" a="1"/>
  <c r="CX532" i="13" s="1"/>
  <c r="BX554" i="13"/>
  <c r="BY554" i="13" s="1"/>
  <c r="BZ554" i="13" s="1" a="1"/>
  <c r="BZ554" i="13" s="1"/>
  <c r="BX530" i="13"/>
  <c r="BY530" i="13" s="1"/>
  <c r="CR544" i="13"/>
  <c r="CS544" i="13" s="1"/>
  <c r="CN574" i="13"/>
  <c r="CO574" i="13" s="1"/>
  <c r="BT530" i="13"/>
  <c r="BU530" i="13" s="1"/>
  <c r="CV538" i="13"/>
  <c r="CW538" i="13" s="1"/>
  <c r="BX540" i="13"/>
  <c r="BY540" i="13" s="1"/>
  <c r="BZ540" i="13" s="1" a="1"/>
  <c r="BZ540" i="13" s="1"/>
  <c r="CJ527" i="13"/>
  <c r="CK527" i="13" s="1"/>
  <c r="CV542" i="13"/>
  <c r="CW542" i="13" s="1"/>
  <c r="CR554" i="13"/>
  <c r="CS554" i="13" s="1"/>
  <c r="CJ536" i="13"/>
  <c r="CK536" i="13" s="1"/>
  <c r="CL536" i="13" s="1" a="1"/>
  <c r="CL536" i="13" s="1"/>
  <c r="BT583" i="13"/>
  <c r="BU583" i="13" s="1"/>
  <c r="CV583" i="13"/>
  <c r="CW583" i="13" s="1"/>
  <c r="CN577" i="13"/>
  <c r="CO577" i="13" s="1"/>
  <c r="CR585" i="13"/>
  <c r="CS585" i="13" s="1"/>
  <c r="BX611" i="13"/>
  <c r="BY611" i="13" s="1"/>
  <c r="BJ637" i="13"/>
  <c r="CV637" i="13" s="1"/>
  <c r="CW637" i="13" s="1"/>
  <c r="CJ587" i="13"/>
  <c r="CK587" i="13" s="1"/>
  <c r="CL587" i="13" s="1" a="1"/>
  <c r="CL587" i="13" s="1"/>
  <c r="CB642" i="13"/>
  <c r="CC642" i="13" s="1"/>
  <c r="BT581" i="13"/>
  <c r="BU581" i="13" s="1"/>
  <c r="CN611" i="13"/>
  <c r="CO611" i="13" s="1"/>
  <c r="CT611" i="13" s="1" a="1"/>
  <c r="CT611" i="13" s="1"/>
  <c r="CJ615" i="13"/>
  <c r="CK615" i="13" s="1"/>
  <c r="CL615" i="13" s="1" a="1"/>
  <c r="CL615" i="13" s="1"/>
  <c r="BJ626" i="13"/>
  <c r="CV626" i="13" s="1"/>
  <c r="CW626" i="13" s="1"/>
  <c r="BJ642" i="13"/>
  <c r="CJ642" i="13" s="1"/>
  <c r="CK642" i="13" s="1"/>
  <c r="CL642" i="13" s="1" a="1"/>
  <c r="CL642" i="13" s="1"/>
  <c r="CS642" i="13"/>
  <c r="BJ646" i="13"/>
  <c r="BX646" i="13" s="1"/>
  <c r="BY646" i="13" s="1"/>
  <c r="BJ659" i="13"/>
  <c r="BJ672" i="13"/>
  <c r="BP672" i="13" s="1"/>
  <c r="BQ672" i="13" s="1"/>
  <c r="BR672" i="13" s="1" a="1"/>
  <c r="BR672" i="13" s="1"/>
  <c r="CZ701" i="13"/>
  <c r="Z701" i="13" s="1"/>
  <c r="CN617" i="13"/>
  <c r="CO617" i="13" s="1"/>
  <c r="BJ662" i="13"/>
  <c r="CV662" i="13" s="1"/>
  <c r="CW662" i="13"/>
  <c r="BZ689" i="13" a="1"/>
  <c r="BZ689" i="13" s="1"/>
  <c r="CJ613" i="13"/>
  <c r="CK613" i="13" s="1"/>
  <c r="CL613" i="13" s="1" a="1"/>
  <c r="CL613" i="13" s="1"/>
  <c r="BJ663" i="13"/>
  <c r="BR617" i="13" a="1"/>
  <c r="BR617" i="13" s="1"/>
  <c r="CF617" i="13" s="1"/>
  <c r="R617" i="13" s="1"/>
  <c r="CN698" i="13"/>
  <c r="CO698" i="13" s="1"/>
  <c r="BT698" i="13"/>
  <c r="BU698" i="13" s="1"/>
  <c r="CV698" i="13"/>
  <c r="CW698" i="13" s="1"/>
  <c r="CJ698" i="13"/>
  <c r="CK698" i="13" s="1"/>
  <c r="CL698" i="13" s="1" a="1"/>
  <c r="CL698" i="13" s="1"/>
  <c r="BP698" i="13"/>
  <c r="BQ698" i="13" s="1"/>
  <c r="BR698" i="13" s="1" a="1"/>
  <c r="BR698" i="13" s="1"/>
  <c r="BX698" i="13"/>
  <c r="BY698" i="13" s="1"/>
  <c r="CR698" i="13"/>
  <c r="CS698" i="13" s="1"/>
  <c r="CN706" i="13"/>
  <c r="CO706" i="13" s="1"/>
  <c r="BT706" i="13"/>
  <c r="BU706" i="13" s="1"/>
  <c r="CV706" i="13"/>
  <c r="CW706" i="13" s="1"/>
  <c r="CJ706" i="13"/>
  <c r="CK706" i="13" s="1"/>
  <c r="CL706" i="13" s="1" a="1"/>
  <c r="CL706" i="13" s="1"/>
  <c r="BP706" i="13"/>
  <c r="BQ706" i="13" s="1"/>
  <c r="BR706" i="13" s="1" a="1"/>
  <c r="BR706" i="13" s="1"/>
  <c r="BX706" i="13"/>
  <c r="BY706" i="13" s="1"/>
  <c r="BZ706" i="13" s="1" a="1"/>
  <c r="BZ706" i="13" s="1"/>
  <c r="CN724" i="13"/>
  <c r="CO724" i="13" s="1"/>
  <c r="BT724" i="13"/>
  <c r="BU724" i="13" s="1"/>
  <c r="CV724" i="13"/>
  <c r="CW724" i="13" s="1"/>
  <c r="CJ724" i="13"/>
  <c r="CK724" i="13" s="1"/>
  <c r="CL724" i="13" s="1" a="1"/>
  <c r="CL724" i="13" s="1"/>
  <c r="BP724" i="13"/>
  <c r="BQ724" i="13" s="1"/>
  <c r="BR724" i="13" s="1" a="1"/>
  <c r="BR724" i="13" s="1"/>
  <c r="BX724" i="13"/>
  <c r="BY724" i="13" s="1"/>
  <c r="BZ724" i="13" s="1" a="1"/>
  <c r="BZ724" i="13" s="1"/>
  <c r="CB724" i="13"/>
  <c r="CC724" i="13" s="1"/>
  <c r="CN728" i="13"/>
  <c r="CO728" i="13" s="1"/>
  <c r="CP728" i="13" s="1" a="1"/>
  <c r="CP728" i="13" s="1"/>
  <c r="BT728" i="13"/>
  <c r="BU728" i="13" s="1"/>
  <c r="CJ728" i="13"/>
  <c r="CK728" i="13" s="1"/>
  <c r="CL728" i="13" s="1" a="1"/>
  <c r="CL728" i="13" s="1"/>
  <c r="BP728" i="13"/>
  <c r="BQ728" i="13" s="1"/>
  <c r="BR728" i="13" s="1" a="1"/>
  <c r="BR728" i="13" s="1"/>
  <c r="CR728" i="13"/>
  <c r="CS728" i="13" s="1"/>
  <c r="BX728" i="13"/>
  <c r="BY728" i="13" s="1"/>
  <c r="CV728" i="13"/>
  <c r="CW728" i="13" s="1"/>
  <c r="CN732" i="13"/>
  <c r="CO732" i="13" s="1"/>
  <c r="BT732" i="13"/>
  <c r="BU732" i="13" s="1"/>
  <c r="BV732" i="13" s="1" a="1"/>
  <c r="BV732" i="13" s="1"/>
  <c r="CJ732" i="13"/>
  <c r="CK732" i="13" s="1"/>
  <c r="CL732" i="13" s="1" a="1"/>
  <c r="CL732" i="13" s="1"/>
  <c r="BP732" i="13"/>
  <c r="BQ732" i="13" s="1"/>
  <c r="BR732" i="13" s="1" a="1"/>
  <c r="BR732" i="13" s="1"/>
  <c r="CR732" i="13"/>
  <c r="CS732" i="13" s="1"/>
  <c r="CV732" i="13"/>
  <c r="CW732" i="13" s="1"/>
  <c r="BX732" i="13"/>
  <c r="BY732" i="13" s="1"/>
  <c r="CB732" i="13"/>
  <c r="CC732" i="13" s="1"/>
  <c r="BP687" i="13"/>
  <c r="BQ687" i="13" s="1"/>
  <c r="BR687" i="13" s="1" a="1"/>
  <c r="BR687" i="13" s="1"/>
  <c r="BP699" i="13"/>
  <c r="BQ699" i="13" s="1"/>
  <c r="BR699" i="13" s="1" a="1"/>
  <c r="BR699" i="13" s="1"/>
  <c r="CP709" i="13" a="1"/>
  <c r="CP709" i="13" s="1"/>
  <c r="CZ709" i="13" s="1"/>
  <c r="Z709" i="13" s="1"/>
  <c r="CN742" i="13"/>
  <c r="CO742" i="13" s="1"/>
  <c r="BP742" i="13"/>
  <c r="BQ742" i="13" s="1"/>
  <c r="BR742" i="13" s="1" a="1"/>
  <c r="BR742" i="13" s="1"/>
  <c r="CR742" i="13"/>
  <c r="CS742" i="13" s="1"/>
  <c r="BT742" i="13"/>
  <c r="BU742" i="13" s="1"/>
  <c r="CJ742" i="13"/>
  <c r="CK742" i="13" s="1"/>
  <c r="CL742" i="13" s="1" a="1"/>
  <c r="CL742" i="13" s="1"/>
  <c r="BX742" i="13"/>
  <c r="BY742" i="13" s="1"/>
  <c r="CV742" i="13"/>
  <c r="CW742" i="13" s="1"/>
  <c r="CB742" i="13"/>
  <c r="CC742" i="13" s="1"/>
  <c r="CR710" i="13"/>
  <c r="CS710" i="13" s="1"/>
  <c r="BP727" i="13"/>
  <c r="BQ727" i="13" s="1"/>
  <c r="BR727" i="13" s="1" a="1"/>
  <c r="BR727" i="13" s="1"/>
  <c r="CB737" i="13"/>
  <c r="CC737" i="13" s="1"/>
  <c r="CB698" i="13"/>
  <c r="CC698" i="13" s="1"/>
  <c r="CR769" i="13"/>
  <c r="CS769" i="13" s="1"/>
  <c r="CB769" i="13"/>
  <c r="CC769" i="13" s="1"/>
  <c r="BP769" i="13"/>
  <c r="BQ769" i="13" s="1"/>
  <c r="BR769" i="13" s="1" a="1"/>
  <c r="BR769" i="13" s="1"/>
  <c r="CN769" i="13"/>
  <c r="CO769" i="13" s="1"/>
  <c r="CJ769" i="13"/>
  <c r="CK769" i="13" s="1"/>
  <c r="CL769" i="13" s="1" a="1"/>
  <c r="CL769" i="13" s="1"/>
  <c r="BT769" i="13"/>
  <c r="BU769" i="13" s="1"/>
  <c r="BX769" i="13"/>
  <c r="BY769" i="13" s="1"/>
  <c r="CV769" i="13"/>
  <c r="CW769" i="13" s="1"/>
  <c r="CB700" i="13"/>
  <c r="CC700" i="13" s="1"/>
  <c r="CY840" i="13" a="1"/>
  <c r="CY840" i="13" s="1"/>
  <c r="BV880" i="13" a="1"/>
  <c r="BV880" i="13" s="1"/>
  <c r="CD888" i="13" a="1"/>
  <c r="CD888" i="13" s="1"/>
  <c r="CE888" i="13" a="1"/>
  <c r="CE888" i="13" s="1"/>
  <c r="BZ981" i="13" a="1"/>
  <c r="BZ981" i="13" s="1"/>
  <c r="CY976" i="13" a="1"/>
  <c r="CY976" i="13" s="1"/>
  <c r="CD968" i="13" a="1"/>
  <c r="CD968" i="13" s="1"/>
  <c r="CE968" i="13" a="1"/>
  <c r="CE968" i="13" s="1"/>
  <c r="CD962" i="13" a="1"/>
  <c r="CD962" i="13" s="1"/>
  <c r="CE962" i="13" a="1"/>
  <c r="CE962" i="13" s="1"/>
  <c r="BX475" i="13"/>
  <c r="BY475" i="13" s="1"/>
  <c r="BP474" i="13"/>
  <c r="BQ474" i="13" s="1"/>
  <c r="BR474" i="13" s="1" a="1"/>
  <c r="BR474" i="13" s="1"/>
  <c r="BX474" i="13"/>
  <c r="BY474" i="13" s="1"/>
  <c r="CV474" i="13"/>
  <c r="CW474" i="13" s="1"/>
  <c r="BT474" i="13"/>
  <c r="BU474" i="13" s="1"/>
  <c r="CJ474" i="13"/>
  <c r="CK474" i="13" s="1"/>
  <c r="CL474" i="13" s="1" a="1"/>
  <c r="CL474" i="13" s="1"/>
  <c r="CB474" i="13"/>
  <c r="CC474" i="13" s="1"/>
  <c r="CR474" i="13"/>
  <c r="CS474" i="13" s="1"/>
  <c r="CT474" i="13" s="1" a="1"/>
  <c r="CT474" i="13" s="1"/>
  <c r="BJ485" i="13"/>
  <c r="CV485" i="13" s="1"/>
  <c r="CW485" i="13" s="1"/>
  <c r="BJ491" i="13"/>
  <c r="CV491" i="13" s="1"/>
  <c r="CW491" i="13" s="1"/>
  <c r="BJ505" i="13"/>
  <c r="CB505" i="13" s="1"/>
  <c r="CC505" i="13" s="1"/>
  <c r="BJ513" i="13"/>
  <c r="CB513" i="13" s="1"/>
  <c r="CC513" i="13" s="1"/>
  <c r="BQ521" i="13"/>
  <c r="BR521" i="13" s="1" a="1"/>
  <c r="BR521" i="13" s="1"/>
  <c r="CS521" i="13"/>
  <c r="BJ521" i="13"/>
  <c r="BX521" i="13" s="1"/>
  <c r="BY521" i="13" s="1"/>
  <c r="BJ460" i="13"/>
  <c r="BP460" i="13" s="1"/>
  <c r="BQ460" i="13" s="1"/>
  <c r="BR460" i="13" s="1" a="1"/>
  <c r="BR460" i="13" s="1"/>
  <c r="BT500" i="13"/>
  <c r="BU500" i="13" s="1"/>
  <c r="BX498" i="13"/>
  <c r="BY498" i="13" s="1"/>
  <c r="BP512" i="13"/>
  <c r="BQ512" i="13" s="1"/>
  <c r="BR512" i="13" s="1" a="1"/>
  <c r="BR512" i="13" s="1"/>
  <c r="CN512" i="13"/>
  <c r="CO512" i="13" s="1"/>
  <c r="CJ512" i="13"/>
  <c r="CK512" i="13" s="1"/>
  <c r="CL512" i="13" s="1" a="1"/>
  <c r="CL512" i="13" s="1"/>
  <c r="CV512" i="13"/>
  <c r="CW512" i="13" s="1"/>
  <c r="BT512" i="13"/>
  <c r="BU512" i="13" s="1"/>
  <c r="CR512" i="13"/>
  <c r="CS512" i="13" s="1"/>
  <c r="CT512" i="13" s="1" a="1"/>
  <c r="CT512" i="13" s="1"/>
  <c r="BX484" i="13"/>
  <c r="BY484" i="13" s="1"/>
  <c r="CB476" i="13"/>
  <c r="CC476" i="13" s="1"/>
  <c r="CB480" i="13"/>
  <c r="CC480" i="13" s="1"/>
  <c r="CB484" i="13"/>
  <c r="CC484" i="13" s="1"/>
  <c r="CB488" i="13"/>
  <c r="CC488" i="13" s="1"/>
  <c r="BT492" i="13"/>
  <c r="BU492" i="13" s="1"/>
  <c r="BP521" i="13"/>
  <c r="BX482" i="13"/>
  <c r="BY482" i="13" s="1"/>
  <c r="BZ482" i="13" s="1" a="1"/>
  <c r="BZ482" i="13" s="1"/>
  <c r="BP494" i="13"/>
  <c r="BQ494" i="13" s="1"/>
  <c r="BR494" i="13" s="1" a="1"/>
  <c r="BR494" i="13" s="1"/>
  <c r="CB514" i="13"/>
  <c r="CC514" i="13" s="1"/>
  <c r="CN478" i="13"/>
  <c r="CO478" i="13" s="1"/>
  <c r="CN482" i="13"/>
  <c r="CO482" i="13" s="1"/>
  <c r="CN486" i="13"/>
  <c r="CO486" i="13" s="1"/>
  <c r="CR490" i="13"/>
  <c r="CS490" i="13" s="1"/>
  <c r="CT490" i="13" s="1" a="1"/>
  <c r="CT490" i="13" s="1"/>
  <c r="CN528" i="13"/>
  <c r="CO528" i="13" s="1"/>
  <c r="CP528" i="13" s="1" a="1"/>
  <c r="CP528" i="13" s="1"/>
  <c r="CJ554" i="13"/>
  <c r="CK554" i="13" s="1"/>
  <c r="CL554" i="13" s="1" a="1"/>
  <c r="CL554" i="13" s="1"/>
  <c r="BP568" i="13"/>
  <c r="BQ568" i="13" s="1"/>
  <c r="BR568" i="13" s="1" a="1"/>
  <c r="BR568" i="13" s="1"/>
  <c r="BX568" i="13"/>
  <c r="BY568" i="13" s="1"/>
  <c r="CJ568" i="13"/>
  <c r="CK568" i="13" s="1"/>
  <c r="CL568" i="13" s="1" a="1"/>
  <c r="CL568" i="13" s="1"/>
  <c r="CB568" i="13"/>
  <c r="CC568" i="13" s="1"/>
  <c r="CV568" i="13"/>
  <c r="CW568" i="13" s="1"/>
  <c r="BT532" i="13"/>
  <c r="BU532" i="13" s="1"/>
  <c r="CN536" i="13"/>
  <c r="CO536" i="13" s="1"/>
  <c r="BJ575" i="13"/>
  <c r="BT575" i="13" s="1"/>
  <c r="BU575" i="13" s="1"/>
  <c r="CN527" i="13"/>
  <c r="CO527" i="13" s="1"/>
  <c r="CP527" i="13" s="1" a="1"/>
  <c r="CP527" i="13" s="1"/>
  <c r="BJ543" i="13"/>
  <c r="CN543" i="13" s="1"/>
  <c r="CO543" i="13" s="1"/>
  <c r="CN554" i="13"/>
  <c r="CO554" i="13" s="1"/>
  <c r="CV528" i="13"/>
  <c r="CW528" i="13" s="1"/>
  <c r="CN534" i="13"/>
  <c r="CO534" i="13" s="1"/>
  <c r="CN532" i="13"/>
  <c r="CO532" i="13" s="1"/>
  <c r="CR540" i="13"/>
  <c r="CS540" i="13" s="1"/>
  <c r="BP546" i="13"/>
  <c r="BQ546" i="13" s="1"/>
  <c r="BR546" i="13" s="1" a="1"/>
  <c r="BR546" i="13" s="1"/>
  <c r="CR530" i="13"/>
  <c r="CS530" i="13" s="1"/>
  <c r="CX530" i="13" s="1" a="1"/>
  <c r="CX530" i="13" s="1"/>
  <c r="BT538" i="13"/>
  <c r="BU538" i="13" s="1"/>
  <c r="CB575" i="13"/>
  <c r="CC575" i="13" s="1"/>
  <c r="BJ592" i="13"/>
  <c r="BX592" i="13" s="1"/>
  <c r="BY592" i="13" s="1"/>
  <c r="BT542" i="13"/>
  <c r="BU542" i="13" s="1"/>
  <c r="BP575" i="13"/>
  <c r="BQ575" i="13" s="1"/>
  <c r="BR575" i="13" s="1" a="1"/>
  <c r="BR575" i="13" s="1"/>
  <c r="CB536" i="13"/>
  <c r="CC536" i="13" s="1"/>
  <c r="CR546" i="13"/>
  <c r="CS546" i="13" s="1"/>
  <c r="CN583" i="13"/>
  <c r="CO583" i="13" s="1"/>
  <c r="BJ604" i="13"/>
  <c r="BT604" i="13" s="1"/>
  <c r="BU604" i="13" s="1"/>
  <c r="BQ604" i="13"/>
  <c r="BR604" i="13" s="1" a="1"/>
  <c r="BR604" i="13" s="1"/>
  <c r="CN608" i="13"/>
  <c r="CO608" i="13" s="1"/>
  <c r="CB591" i="13"/>
  <c r="CC591" i="13" s="1"/>
  <c r="CJ591" i="13"/>
  <c r="CK591" i="13" s="1"/>
  <c r="CL591" i="13" s="1" a="1"/>
  <c r="CL591" i="13" s="1"/>
  <c r="CN591" i="13"/>
  <c r="CO591" i="13" s="1"/>
  <c r="BT591" i="13"/>
  <c r="BU591" i="13" s="1"/>
  <c r="BV591" i="13" s="1" a="1"/>
  <c r="BV591" i="13" s="1"/>
  <c r="BP591" i="13"/>
  <c r="BQ591" i="13" s="1"/>
  <c r="BR591" i="13" s="1" a="1"/>
  <c r="BR591" i="13" s="1"/>
  <c r="BP577" i="13"/>
  <c r="BQ577" i="13" s="1"/>
  <c r="CR589" i="13"/>
  <c r="CS589" i="13" s="1"/>
  <c r="BJ631" i="13"/>
  <c r="BT631" i="13" s="1"/>
  <c r="BU631" i="13" s="1"/>
  <c r="BJ641" i="13"/>
  <c r="CN641" i="13" s="1"/>
  <c r="CO641" i="13" s="1"/>
  <c r="BJ647" i="13"/>
  <c r="CN647" i="13" s="1"/>
  <c r="CO647" i="13" s="1"/>
  <c r="BT579" i="13"/>
  <c r="BU579" i="13" s="1"/>
  <c r="BZ579" i="13" s="1" a="1"/>
  <c r="BZ579" i="13" s="1"/>
  <c r="CB587" i="13"/>
  <c r="CC587" i="13" s="1"/>
  <c r="BP604" i="13"/>
  <c r="CJ547" i="13"/>
  <c r="CK547" i="13" s="1"/>
  <c r="CL547" i="13" s="1" a="1"/>
  <c r="CL547" i="13" s="1"/>
  <c r="CB609" i="13"/>
  <c r="CC609" i="13" s="1"/>
  <c r="BX615" i="13"/>
  <c r="BY615" i="13" s="1"/>
  <c r="CN581" i="13"/>
  <c r="CO581" i="13" s="1"/>
  <c r="CR587" i="13"/>
  <c r="CS587" i="13" s="1"/>
  <c r="BJ602" i="13"/>
  <c r="CR612" i="13"/>
  <c r="CS612" i="13" s="1"/>
  <c r="CT612" i="13" s="1" a="1"/>
  <c r="CT612" i="13" s="1"/>
  <c r="CR626" i="13"/>
  <c r="CS626" i="13" s="1"/>
  <c r="BJ632" i="13"/>
  <c r="CV632" i="13" s="1"/>
  <c r="CW632" i="13" s="1"/>
  <c r="BT637" i="13"/>
  <c r="BU637" i="13" s="1"/>
  <c r="CR642" i="13"/>
  <c r="BJ652" i="13"/>
  <c r="BX652" i="13" s="1"/>
  <c r="BY652" i="13" s="1"/>
  <c r="CB615" i="13"/>
  <c r="CC615" i="13" s="1"/>
  <c r="BJ656" i="13"/>
  <c r="BJ677" i="13"/>
  <c r="CJ677" i="13" s="1"/>
  <c r="CK677" i="13" s="1"/>
  <c r="CL677" i="13" s="1" a="1"/>
  <c r="CL677" i="13" s="1"/>
  <c r="CN626" i="13"/>
  <c r="CO626" i="13" s="1"/>
  <c r="BT672" i="13"/>
  <c r="BU672" i="13" s="1"/>
  <c r="BJ683" i="13"/>
  <c r="CR683" i="13" s="1"/>
  <c r="CS683" i="13" s="1"/>
  <c r="BV715" i="13" a="1"/>
  <c r="BV715" i="13" s="1"/>
  <c r="CJ663" i="13"/>
  <c r="CK663" i="13" s="1"/>
  <c r="CL663" i="13" s="1" a="1"/>
  <c r="CL663" i="13" s="1"/>
  <c r="BP626" i="13"/>
  <c r="BQ626" i="13" s="1"/>
  <c r="BR626" i="13" s="1" a="1"/>
  <c r="BR626" i="13" s="1"/>
  <c r="BP642" i="13"/>
  <c r="BQ642" i="13" s="1"/>
  <c r="BR642" i="13" s="1" a="1"/>
  <c r="BR642" i="13" s="1"/>
  <c r="BX672" i="13"/>
  <c r="BY672" i="13" s="1"/>
  <c r="CJ672" i="13"/>
  <c r="CK672" i="13" s="1"/>
  <c r="CL672" i="13" s="1" a="1"/>
  <c r="CL672" i="13" s="1"/>
  <c r="CB672" i="13"/>
  <c r="CC672" i="13" s="1"/>
  <c r="CN718" i="13"/>
  <c r="CO718" i="13" s="1"/>
  <c r="BT718" i="13"/>
  <c r="BU718" i="13" s="1"/>
  <c r="BV718" i="13" s="1" a="1"/>
  <c r="BV718" i="13" s="1"/>
  <c r="CV718" i="13"/>
  <c r="CW718" i="13" s="1"/>
  <c r="CJ718" i="13"/>
  <c r="CK718" i="13" s="1"/>
  <c r="CL718" i="13" s="1" a="1"/>
  <c r="CL718" i="13" s="1"/>
  <c r="BP718" i="13"/>
  <c r="BQ718" i="13" s="1"/>
  <c r="BR718" i="13" s="1" a="1"/>
  <c r="BR718" i="13" s="1"/>
  <c r="BX718" i="13"/>
  <c r="BY718" i="13" s="1"/>
  <c r="CB718" i="13"/>
  <c r="CC718" i="13" s="1"/>
  <c r="BX690" i="13"/>
  <c r="BY690" i="13" s="1"/>
  <c r="BZ690" i="13" s="1" a="1"/>
  <c r="BZ690" i="13" s="1"/>
  <c r="BP693" i="13"/>
  <c r="BQ693" i="13" s="1"/>
  <c r="BR693" i="13" s="1" a="1"/>
  <c r="BR693" i="13" s="1"/>
  <c r="CR714" i="13"/>
  <c r="CS714" i="13" s="1"/>
  <c r="BP689" i="13"/>
  <c r="BQ689" i="13" s="1"/>
  <c r="BR689" i="13" s="1" a="1"/>
  <c r="BR689" i="13" s="1"/>
  <c r="CB727" i="13"/>
  <c r="CC727" i="13" s="1"/>
  <c r="CR690" i="13"/>
  <c r="CS690" i="13" s="1"/>
  <c r="CX690" i="13" s="1" a="1"/>
  <c r="CX690" i="13" s="1"/>
  <c r="BP711" i="13"/>
  <c r="BQ711" i="13" s="1"/>
  <c r="BR711" i="13" s="1" a="1"/>
  <c r="BR711" i="13" s="1"/>
  <c r="CE717" i="13" a="1"/>
  <c r="CE717" i="13" s="1"/>
  <c r="CR767" i="13"/>
  <c r="CS767" i="13" s="1"/>
  <c r="BX767" i="13"/>
  <c r="BY767" i="13" s="1"/>
  <c r="BT767" i="13"/>
  <c r="BU767" i="13" s="1"/>
  <c r="BV767" i="13" s="1" a="1"/>
  <c r="BV767" i="13" s="1"/>
  <c r="CN767" i="13"/>
  <c r="CO767" i="13" s="1"/>
  <c r="CV767" i="13"/>
  <c r="CW767" i="13" s="1"/>
  <c r="CB767" i="13"/>
  <c r="CC767" i="13" s="1"/>
  <c r="BP767" i="13"/>
  <c r="BQ767" i="13" s="1"/>
  <c r="BR767" i="13" s="1" a="1"/>
  <c r="BR767" i="13" s="1"/>
  <c r="CJ767" i="13"/>
  <c r="CK767" i="13" s="1"/>
  <c r="CL767" i="13" s="1" a="1"/>
  <c r="CL767" i="13" s="1"/>
  <c r="CF686" i="13"/>
  <c r="R686" i="13" s="1"/>
  <c r="BP733" i="13"/>
  <c r="BQ733" i="13" s="1"/>
  <c r="BR733" i="13" s="1" a="1"/>
  <c r="BR733" i="13" s="1"/>
  <c r="CL739" i="13" a="1"/>
  <c r="CL739" i="13" s="1"/>
  <c r="BP705" i="13"/>
  <c r="BQ705" i="13" s="1"/>
  <c r="BR705" i="13" s="1" a="1"/>
  <c r="BR705" i="13" s="1"/>
  <c r="BJ760" i="13"/>
  <c r="CB760" i="13" s="1"/>
  <c r="CC760" i="13" s="1"/>
  <c r="BJ768" i="13"/>
  <c r="BJ776" i="13"/>
  <c r="CR793" i="13"/>
  <c r="CS793" i="13" s="1"/>
  <c r="BP793" i="13"/>
  <c r="BQ793" i="13" s="1"/>
  <c r="BR793" i="13" s="1" a="1"/>
  <c r="BR793" i="13" s="1"/>
  <c r="CN793" i="13"/>
  <c r="CO793" i="13" s="1"/>
  <c r="BT793" i="13"/>
  <c r="BU793" i="13" s="1"/>
  <c r="BX793" i="13"/>
  <c r="BY793" i="13" s="1"/>
  <c r="CB793" i="13"/>
  <c r="CC793" i="13" s="1"/>
  <c r="CV793" i="13"/>
  <c r="CW793" i="13" s="1"/>
  <c r="CJ793" i="13"/>
  <c r="CK793" i="13" s="1"/>
  <c r="CL793" i="13" s="1" a="1"/>
  <c r="CL793" i="13" s="1"/>
  <c r="CE809" i="13" a="1"/>
  <c r="CE809" i="13" s="1"/>
  <c r="CY854" i="13" a="1"/>
  <c r="CY854" i="13" s="1"/>
  <c r="BZ862" i="13" a="1"/>
  <c r="BZ862" i="13" s="1"/>
  <c r="CD862" i="13" a="1"/>
  <c r="CD862" i="13" s="1"/>
  <c r="CY892" i="13" a="1"/>
  <c r="CY892" i="13" s="1"/>
  <c r="CE960" i="13" a="1"/>
  <c r="CE960" i="13" s="1"/>
  <c r="CE965" i="13" a="1"/>
  <c r="CE965" i="13" s="1"/>
  <c r="CE986" i="13" a="1"/>
  <c r="CE986" i="13" s="1"/>
  <c r="CY966" i="13" a="1"/>
  <c r="CY966" i="13" s="1"/>
  <c r="CN475" i="13"/>
  <c r="CO475" i="13" s="1"/>
  <c r="CN446" i="13"/>
  <c r="CO446" i="13" s="1"/>
  <c r="BJ457" i="13"/>
  <c r="CJ457" i="13" s="1"/>
  <c r="CK457" i="13" s="1"/>
  <c r="CL457" i="13" s="1" a="1"/>
  <c r="CL457" i="13" s="1"/>
  <c r="CR491" i="13"/>
  <c r="CS491" i="13" s="1"/>
  <c r="BJ499" i="13"/>
  <c r="BT499" i="13" s="1"/>
  <c r="BU499" i="13" s="1"/>
  <c r="CR505" i="13"/>
  <c r="CS505" i="13" s="1"/>
  <c r="CR513" i="13"/>
  <c r="CS513" i="13" s="1"/>
  <c r="CR521" i="13"/>
  <c r="CV447" i="13"/>
  <c r="CW447" i="13" s="1"/>
  <c r="BJ446" i="13"/>
  <c r="BP446" i="13" s="1"/>
  <c r="BQ446" i="13" s="1"/>
  <c r="BR446" i="13" s="1" a="1"/>
  <c r="BR446" i="13" s="1"/>
  <c r="BP473" i="13"/>
  <c r="BQ473" i="13" s="1"/>
  <c r="BR473" i="13" s="1" a="1"/>
  <c r="BR473" i="13" s="1"/>
  <c r="CJ473" i="13"/>
  <c r="CK473" i="13" s="1"/>
  <c r="CL473" i="13" s="1" a="1"/>
  <c r="CL473" i="13" s="1"/>
  <c r="CB490" i="13"/>
  <c r="CC490" i="13" s="1"/>
  <c r="CB494" i="13"/>
  <c r="CC494" i="13" s="1"/>
  <c r="CN500" i="13"/>
  <c r="CO500" i="13" s="1"/>
  <c r="CP500" i="13" s="1" a="1"/>
  <c r="CP500" i="13" s="1"/>
  <c r="BX500" i="13"/>
  <c r="BY500" i="13" s="1"/>
  <c r="BZ500" i="13" s="1" a="1"/>
  <c r="BZ500" i="13" s="1"/>
  <c r="CB527" i="13"/>
  <c r="CC527" i="13" s="1"/>
  <c r="CR529" i="13"/>
  <c r="CS529" i="13" s="1"/>
  <c r="BJ533" i="13"/>
  <c r="BT533" i="13" s="1"/>
  <c r="BU533" i="13" s="1"/>
  <c r="CB467" i="13"/>
  <c r="CC467" i="13" s="1"/>
  <c r="CN522" i="13"/>
  <c r="CO522" i="13" s="1"/>
  <c r="CJ522" i="13"/>
  <c r="CK522" i="13" s="1"/>
  <c r="CL522" i="13" s="1" a="1"/>
  <c r="CL522" i="13" s="1"/>
  <c r="BP522" i="13"/>
  <c r="BQ522" i="13" s="1"/>
  <c r="BR522" i="13" s="1" a="1"/>
  <c r="BR522" i="13" s="1"/>
  <c r="BT522" i="13"/>
  <c r="BU522" i="13" s="1"/>
  <c r="BV522" i="13" s="1" a="1"/>
  <c r="BV522" i="13" s="1"/>
  <c r="CR522" i="13"/>
  <c r="CS522" i="13" s="1"/>
  <c r="BP504" i="13"/>
  <c r="BQ504" i="13" s="1"/>
  <c r="BR504" i="13" s="1" a="1"/>
  <c r="BR504" i="13" s="1"/>
  <c r="CN504" i="13"/>
  <c r="CO504" i="13" s="1"/>
  <c r="CJ504" i="13"/>
  <c r="CK504" i="13" s="1"/>
  <c r="CL504" i="13" s="1" a="1"/>
  <c r="CL504" i="13" s="1"/>
  <c r="CR504" i="13"/>
  <c r="CS504" i="13" s="1"/>
  <c r="CT504" i="13" s="1" a="1"/>
  <c r="CT504" i="13" s="1"/>
  <c r="CV504" i="13"/>
  <c r="CW504" i="13" s="1"/>
  <c r="BT504" i="13"/>
  <c r="BU504" i="13" s="1"/>
  <c r="CB512" i="13"/>
  <c r="CC512" i="13" s="1"/>
  <c r="CJ521" i="13"/>
  <c r="CK521" i="13" s="1"/>
  <c r="CL521" i="13" s="1" a="1"/>
  <c r="CL521" i="13" s="1"/>
  <c r="BT528" i="13"/>
  <c r="BU528" i="13" s="1"/>
  <c r="BV528" i="13" s="1" a="1"/>
  <c r="BV528" i="13" s="1"/>
  <c r="CN497" i="13"/>
  <c r="CO497" i="13" s="1"/>
  <c r="CJ497" i="13"/>
  <c r="CK497" i="13" s="1"/>
  <c r="CL497" i="13" s="1" a="1"/>
  <c r="CL497" i="13" s="1"/>
  <c r="BP497" i="13"/>
  <c r="BQ497" i="13" s="1"/>
  <c r="BR497" i="13" s="1" a="1"/>
  <c r="BR497" i="13" s="1"/>
  <c r="CR497" i="13"/>
  <c r="CS497" i="13" s="1"/>
  <c r="BT497" i="13"/>
  <c r="BU497" i="13" s="1"/>
  <c r="BX497" i="13"/>
  <c r="BY497" i="13" s="1"/>
  <c r="BZ497" i="13" s="1" a="1"/>
  <c r="BZ497" i="13" s="1"/>
  <c r="CR478" i="13"/>
  <c r="CS478" i="13" s="1"/>
  <c r="CT478" i="13" s="1" a="1"/>
  <c r="CT478" i="13" s="1"/>
  <c r="CR482" i="13"/>
  <c r="CS482" i="13" s="1"/>
  <c r="CT482" i="13" s="1" a="1"/>
  <c r="CT482" i="13" s="1"/>
  <c r="CR486" i="13"/>
  <c r="CS486" i="13" s="1"/>
  <c r="BP490" i="13"/>
  <c r="BQ490" i="13" s="1"/>
  <c r="BR490" i="13" s="1" a="1"/>
  <c r="BR490" i="13" s="1"/>
  <c r="CN499" i="13"/>
  <c r="CO499" i="13" s="1"/>
  <c r="CJ499" i="13"/>
  <c r="CK499" i="13" s="1"/>
  <c r="CL499" i="13" s="1" a="1"/>
  <c r="CL499" i="13" s="1"/>
  <c r="BP499" i="13"/>
  <c r="BQ499" i="13" s="1"/>
  <c r="BR499" i="13" s="1" a="1"/>
  <c r="BR499" i="13" s="1"/>
  <c r="BX499" i="13"/>
  <c r="BY499" i="13" s="1"/>
  <c r="BZ499" i="13" s="1" a="1"/>
  <c r="BZ499" i="13" s="1"/>
  <c r="BT529" i="13"/>
  <c r="BU529" i="13" s="1"/>
  <c r="BV529" i="13" s="1" a="1"/>
  <c r="BV529" i="13" s="1"/>
  <c r="CV554" i="13"/>
  <c r="CW554" i="13" s="1"/>
  <c r="BX532" i="13"/>
  <c r="BY532" i="13" s="1"/>
  <c r="CJ529" i="13"/>
  <c r="CK529" i="13" s="1"/>
  <c r="CL529" i="13" s="1" a="1"/>
  <c r="CL529" i="13" s="1"/>
  <c r="CN540" i="13"/>
  <c r="CO540" i="13" s="1"/>
  <c r="CJ546" i="13"/>
  <c r="CK546" i="13" s="1"/>
  <c r="CL546" i="13" s="1" a="1"/>
  <c r="CL546" i="13" s="1"/>
  <c r="BX556" i="13"/>
  <c r="BY556" i="13" s="1"/>
  <c r="BX555" i="13"/>
  <c r="BY555" i="13" s="1"/>
  <c r="CV506" i="13"/>
  <c r="CW506" i="13" s="1"/>
  <c r="CV546" i="13"/>
  <c r="CW546" i="13" s="1"/>
  <c r="CN552" i="13"/>
  <c r="CO552" i="13" s="1"/>
  <c r="BP560" i="13"/>
  <c r="BQ560" i="13" s="1"/>
  <c r="BR560" i="13" s="1" a="1"/>
  <c r="BR560" i="13" s="1"/>
  <c r="CJ560" i="13"/>
  <c r="CK560" i="13" s="1"/>
  <c r="CL560" i="13" s="1" a="1"/>
  <c r="CL560" i="13" s="1"/>
  <c r="CR560" i="13"/>
  <c r="CS560" i="13" s="1"/>
  <c r="CT560" i="13" s="1" a="1"/>
  <c r="CT560" i="13" s="1"/>
  <c r="CB560" i="13"/>
  <c r="CC560" i="13" s="1"/>
  <c r="CV560" i="13"/>
  <c r="CW560" i="13" s="1"/>
  <c r="BT560" i="13"/>
  <c r="BU560" i="13" s="1"/>
  <c r="BX538" i="13"/>
  <c r="BY538" i="13" s="1"/>
  <c r="BZ538" i="13" s="1" a="1"/>
  <c r="BZ538" i="13" s="1"/>
  <c r="BP566" i="13"/>
  <c r="BQ566" i="13" s="1"/>
  <c r="BR566" i="13" s="1" a="1"/>
  <c r="BR566" i="13" s="1"/>
  <c r="BT566" i="13"/>
  <c r="BU566" i="13" s="1"/>
  <c r="BV566" i="13" s="1" a="1"/>
  <c r="BV566" i="13" s="1"/>
  <c r="BX566" i="13"/>
  <c r="BY566" i="13" s="1"/>
  <c r="CJ566" i="13"/>
  <c r="CK566" i="13" s="1"/>
  <c r="CL566" i="13" s="1" a="1"/>
  <c r="CL566" i="13" s="1"/>
  <c r="CR566" i="13"/>
  <c r="CS566" i="13" s="1"/>
  <c r="BJ576" i="13"/>
  <c r="BX576" i="13" s="1"/>
  <c r="BY576" i="13" s="1"/>
  <c r="BJ598" i="13"/>
  <c r="CN598" i="13" s="1"/>
  <c r="CO598" i="13" s="1"/>
  <c r="CN542" i="13"/>
  <c r="CO542" i="13" s="1"/>
  <c r="CP542" i="13" s="1" a="1"/>
  <c r="CP542" i="13" s="1"/>
  <c r="BT521" i="13"/>
  <c r="BU521" i="13" s="1"/>
  <c r="BV521" i="13" s="1" a="1"/>
  <c r="BV521" i="13" s="1"/>
  <c r="CV536" i="13"/>
  <c r="CW536" i="13" s="1"/>
  <c r="BP548" i="13"/>
  <c r="BQ548" i="13" s="1"/>
  <c r="BR548" i="13" s="1" a="1"/>
  <c r="BR548" i="13" s="1"/>
  <c r="BJ549" i="13"/>
  <c r="CR549" i="13" s="1"/>
  <c r="CS549" i="13" s="1"/>
  <c r="BP583" i="13"/>
  <c r="BQ583" i="13" s="1"/>
  <c r="BR583" i="13" s="1" a="1"/>
  <c r="BR583" i="13" s="1"/>
  <c r="CJ608" i="13"/>
  <c r="CK608" i="13" s="1"/>
  <c r="CL608" i="13" s="1" a="1"/>
  <c r="CL608" i="13" s="1"/>
  <c r="BP608" i="13"/>
  <c r="BQ608" i="13" s="1"/>
  <c r="BR608" i="13" s="1" a="1"/>
  <c r="BR608" i="13" s="1"/>
  <c r="CB612" i="13"/>
  <c r="CC612" i="13" s="1"/>
  <c r="BX626" i="13"/>
  <c r="BY626" i="13" s="1"/>
  <c r="BT609" i="13"/>
  <c r="BU609" i="13" s="1"/>
  <c r="CR572" i="13"/>
  <c r="CS572" i="13" s="1"/>
  <c r="CT572" i="13" s="1" a="1"/>
  <c r="CT572" i="13" s="1"/>
  <c r="BT585" i="13"/>
  <c r="BU585" i="13" s="1"/>
  <c r="BZ585" i="13" s="1" a="1"/>
  <c r="BZ585" i="13" s="1"/>
  <c r="CJ577" i="13"/>
  <c r="CK577" i="13" s="1"/>
  <c r="CL577" i="13" s="1" a="1"/>
  <c r="CL577" i="13" s="1"/>
  <c r="CR591" i="13"/>
  <c r="CS591" i="13" s="1"/>
  <c r="CT591" i="13" s="1" a="1"/>
  <c r="CT591" i="13" s="1"/>
  <c r="BJ621" i="13"/>
  <c r="BP621" i="13" s="1"/>
  <c r="BQ621" i="13" s="1"/>
  <c r="BR621" i="13" s="1" a="1"/>
  <c r="BR621" i="13" s="1"/>
  <c r="BJ625" i="13"/>
  <c r="BP625" i="13" s="1"/>
  <c r="BQ625" i="13" s="1"/>
  <c r="BR625" i="13" s="1" a="1"/>
  <c r="BR625" i="13" s="1"/>
  <c r="CR637" i="13"/>
  <c r="CS637" i="13" s="1"/>
  <c r="CR647" i="13"/>
  <c r="CS647" i="13" s="1"/>
  <c r="CT647" i="13" s="1" a="1"/>
  <c r="CT647" i="13" s="1"/>
  <c r="CN579" i="13"/>
  <c r="CO579" i="13" s="1"/>
  <c r="CV591" i="13"/>
  <c r="CW591" i="13" s="1"/>
  <c r="CB608" i="13"/>
  <c r="CC608" i="13" s="1"/>
  <c r="CV611" i="13"/>
  <c r="CW611" i="13" s="1"/>
  <c r="CR579" i="13"/>
  <c r="CS579" i="13" s="1"/>
  <c r="CV592" i="13"/>
  <c r="CW592" i="13" s="1"/>
  <c r="CN609" i="13"/>
  <c r="CO609" i="13" s="1"/>
  <c r="CP609" i="13" s="1" a="1"/>
  <c r="CP609" i="13" s="1"/>
  <c r="BP581" i="13"/>
  <c r="BQ581" i="13" s="1"/>
  <c r="BR581" i="13" s="1" a="1"/>
  <c r="BR581" i="13" s="1"/>
  <c r="CV587" i="13"/>
  <c r="CW587" i="13" s="1"/>
  <c r="BJ622" i="13"/>
  <c r="CB622" i="13" s="1"/>
  <c r="CC622" i="13" s="1"/>
  <c r="BJ638" i="13"/>
  <c r="CN638" i="13" s="1"/>
  <c r="CO638" i="13" s="1"/>
  <c r="BP647" i="13"/>
  <c r="BQ647" i="13" s="1"/>
  <c r="BR647" i="13" s="1" a="1"/>
  <c r="BR647" i="13" s="1"/>
  <c r="CJ637" i="13"/>
  <c r="CK637" i="13" s="1"/>
  <c r="CL637" i="13" s="1" a="1"/>
  <c r="CL637" i="13" s="1"/>
  <c r="CJ656" i="13"/>
  <c r="CK656" i="13" s="1"/>
  <c r="CL656" i="13" s="1" a="1"/>
  <c r="CL656" i="13" s="1"/>
  <c r="CB659" i="13"/>
  <c r="CC659" i="13" s="1"/>
  <c r="CB662" i="13"/>
  <c r="CC662" i="13" s="1"/>
  <c r="CJ621" i="13"/>
  <c r="CK621" i="13" s="1"/>
  <c r="CL621" i="13" s="1" a="1"/>
  <c r="CL621" i="13" s="1"/>
  <c r="BX647" i="13"/>
  <c r="BY647" i="13" s="1"/>
  <c r="BP659" i="13"/>
  <c r="BQ659" i="13" s="1"/>
  <c r="BR659" i="13" s="1" a="1"/>
  <c r="BR659" i="13" s="1"/>
  <c r="CJ659" i="13"/>
  <c r="CK659" i="13" s="1"/>
  <c r="CL659" i="13" s="1" a="1"/>
  <c r="CL659" i="13" s="1"/>
  <c r="BZ709" i="13" a="1"/>
  <c r="BZ709" i="13" s="1"/>
  <c r="CB663" i="13"/>
  <c r="CC663" i="13" s="1"/>
  <c r="BJ668" i="13"/>
  <c r="BT615" i="13"/>
  <c r="BU615" i="13" s="1"/>
  <c r="BV615" i="13" s="1" a="1"/>
  <c r="BV615" i="13" s="1"/>
  <c r="BX638" i="13"/>
  <c r="BY638" i="13" s="1"/>
  <c r="BP612" i="13"/>
  <c r="BQ612" i="13" s="1"/>
  <c r="BV612" i="13" s="1" a="1"/>
  <c r="BV612" i="13" s="1"/>
  <c r="CJ626" i="13"/>
  <c r="CK626" i="13" s="1"/>
  <c r="CL626" i="13" s="1" a="1"/>
  <c r="CL626" i="13" s="1"/>
  <c r="BJ666" i="13"/>
  <c r="CR666" i="13" s="1"/>
  <c r="CS666" i="13" s="1"/>
  <c r="CN672" i="13"/>
  <c r="CO672" i="13" s="1"/>
  <c r="BJ682" i="13"/>
  <c r="CR682" i="13" s="1"/>
  <c r="CS682" i="13" s="1"/>
  <c r="CN704" i="13"/>
  <c r="CO704" i="13" s="1"/>
  <c r="CP704" i="13" s="1" a="1"/>
  <c r="CP704" i="13" s="1"/>
  <c r="BT704" i="13"/>
  <c r="BU704" i="13" s="1"/>
  <c r="CV704" i="13"/>
  <c r="CW704" i="13" s="1"/>
  <c r="CJ704" i="13"/>
  <c r="CK704" i="13" s="1"/>
  <c r="CL704" i="13" s="1" a="1"/>
  <c r="CL704" i="13" s="1"/>
  <c r="BP704" i="13"/>
  <c r="BQ704" i="13" s="1"/>
  <c r="BR704" i="13" s="1" a="1"/>
  <c r="BR704" i="13" s="1"/>
  <c r="BX704" i="13"/>
  <c r="BY704" i="13" s="1"/>
  <c r="CN712" i="13"/>
  <c r="CO712" i="13" s="1"/>
  <c r="BT712" i="13"/>
  <c r="BU712" i="13" s="1"/>
  <c r="CV712" i="13"/>
  <c r="CW712" i="13" s="1"/>
  <c r="CJ712" i="13"/>
  <c r="CK712" i="13" s="1"/>
  <c r="CL712" i="13" s="1" a="1"/>
  <c r="CL712" i="13" s="1"/>
  <c r="BP712" i="13"/>
  <c r="BQ712" i="13" s="1"/>
  <c r="BR712" i="13" s="1" a="1"/>
  <c r="BR712" i="13" s="1"/>
  <c r="BX712" i="13"/>
  <c r="BY712" i="13" s="1"/>
  <c r="CB712" i="13"/>
  <c r="CC712" i="13" s="1"/>
  <c r="BX729" i="13"/>
  <c r="BY729" i="13" s="1"/>
  <c r="BZ729" i="13" s="1" a="1"/>
  <c r="BZ729" i="13" s="1"/>
  <c r="BP729" i="13"/>
  <c r="BQ729" i="13" s="1"/>
  <c r="BR729" i="13" s="1" a="1"/>
  <c r="BR729" i="13" s="1"/>
  <c r="CB729" i="13"/>
  <c r="CC729" i="13" s="1"/>
  <c r="CP689" i="13" a="1"/>
  <c r="CP689" i="13" s="1"/>
  <c r="CZ689" i="13" s="1"/>
  <c r="Z689" i="13" s="1"/>
  <c r="CP717" i="13" a="1"/>
  <c r="CP717" i="13" s="1"/>
  <c r="CP733" i="13" a="1"/>
  <c r="CP733" i="13" s="1"/>
  <c r="BP746" i="13"/>
  <c r="BQ746" i="13" s="1"/>
  <c r="BR746" i="13" s="1" a="1"/>
  <c r="BR746" i="13" s="1"/>
  <c r="BT746" i="13"/>
  <c r="BU746" i="13" s="1"/>
  <c r="BV746" i="13" s="1" a="1"/>
  <c r="BV746" i="13" s="1"/>
  <c r="CJ746" i="13"/>
  <c r="CK746" i="13" s="1"/>
  <c r="CL746" i="13" s="1" a="1"/>
  <c r="CL746" i="13" s="1"/>
  <c r="CR746" i="13"/>
  <c r="CS746" i="13" s="1"/>
  <c r="CV746" i="13"/>
  <c r="CW746" i="13" s="1"/>
  <c r="BX746" i="13"/>
  <c r="BY746" i="13" s="1"/>
  <c r="CB746" i="13"/>
  <c r="CC746" i="13" s="1"/>
  <c r="BP690" i="13"/>
  <c r="BQ690" i="13" s="1"/>
  <c r="BR690" i="13" s="1" a="1"/>
  <c r="BR690" i="13" s="1"/>
  <c r="BX694" i="13"/>
  <c r="BY694" i="13" s="1"/>
  <c r="BZ694" i="13" s="1" a="1"/>
  <c r="BZ694" i="13" s="1"/>
  <c r="CB715" i="13"/>
  <c r="CC715" i="13" s="1"/>
  <c r="BJ745" i="13"/>
  <c r="CN745" i="13" s="1"/>
  <c r="CO745" i="13" s="1"/>
  <c r="CB704" i="13"/>
  <c r="CC704" i="13" s="1"/>
  <c r="CN738" i="13"/>
  <c r="CO738" i="13" s="1"/>
  <c r="CJ738" i="13"/>
  <c r="CK738" i="13" s="1"/>
  <c r="CL738" i="13" s="1" a="1"/>
  <c r="CL738" i="13" s="1"/>
  <c r="BP738" i="13"/>
  <c r="BQ738" i="13" s="1"/>
  <c r="BR738" i="13" s="1" a="1"/>
  <c r="BR738" i="13" s="1"/>
  <c r="CR738" i="13"/>
  <c r="CS738" i="13" s="1"/>
  <c r="BT738" i="13"/>
  <c r="BU738" i="13" s="1"/>
  <c r="CV738" i="13"/>
  <c r="CW738" i="13" s="1"/>
  <c r="BX738" i="13"/>
  <c r="BY738" i="13" s="1"/>
  <c r="CR718" i="13"/>
  <c r="CS718" i="13" s="1"/>
  <c r="CT718" i="13" s="1" a="1"/>
  <c r="CT718" i="13" s="1"/>
  <c r="CV672" i="13"/>
  <c r="CW672" i="13" s="1"/>
  <c r="CR712" i="13"/>
  <c r="CS712" i="13" s="1"/>
  <c r="CY717" i="13" a="1"/>
  <c r="CY717" i="13" s="1"/>
  <c r="CJ765" i="13"/>
  <c r="CK765" i="13" s="1"/>
  <c r="CL765" i="13" s="1" a="1"/>
  <c r="CL765" i="13" s="1"/>
  <c r="BX765" i="13"/>
  <c r="BY765" i="13" s="1"/>
  <c r="BT765" i="13"/>
  <c r="BU765" i="13" s="1"/>
  <c r="BP765" i="13"/>
  <c r="BQ765" i="13" s="1"/>
  <c r="BR765" i="13" s="1" a="1"/>
  <c r="BR765" i="13" s="1"/>
  <c r="CB765" i="13"/>
  <c r="CC765" i="13" s="1"/>
  <c r="CV765" i="13"/>
  <c r="CW765" i="13" s="1"/>
  <c r="CN765" i="13"/>
  <c r="CO765" i="13" s="1"/>
  <c r="CP765" i="13" s="1" a="1"/>
  <c r="CP765" i="13" s="1"/>
  <c r="CB776" i="13"/>
  <c r="CC776" i="13" s="1"/>
  <c r="BP691" i="13"/>
  <c r="BQ691" i="13" s="1"/>
  <c r="BR691" i="13" s="1" a="1"/>
  <c r="BR691" i="13" s="1"/>
  <c r="BP735" i="13"/>
  <c r="BQ735" i="13" s="1"/>
  <c r="BR735" i="13" s="1" a="1"/>
  <c r="BR735" i="13" s="1"/>
  <c r="CY739" i="13" a="1"/>
  <c r="CY739" i="13" s="1"/>
  <c r="CJ783" i="13"/>
  <c r="CK783" i="13" s="1"/>
  <c r="CL783" i="13" s="1" a="1"/>
  <c r="CL783" i="13" s="1"/>
  <c r="CE825" i="13" a="1"/>
  <c r="CE825" i="13" s="1"/>
  <c r="CY852" i="13" a="1"/>
  <c r="CY852" i="13" s="1"/>
  <c r="CY868" i="13" a="1"/>
  <c r="CY868" i="13" s="1"/>
  <c r="CP844" i="13" a="1"/>
  <c r="CP844" i="13" s="1"/>
  <c r="CD890" i="13" a="1"/>
  <c r="CD890" i="13" s="1"/>
  <c r="CE890" i="13" a="1"/>
  <c r="CE890" i="13" s="1"/>
  <c r="CY828" i="13" a="1"/>
  <c r="CY828" i="13" s="1"/>
  <c r="BZ985" i="13" a="1"/>
  <c r="BZ985" i="13" s="1"/>
  <c r="CE983" i="13" a="1"/>
  <c r="CE983" i="13" s="1"/>
  <c r="CD983" i="13" a="1"/>
  <c r="CD983" i="13" s="1"/>
  <c r="CY979" i="13" a="1"/>
  <c r="CY979" i="13" s="1"/>
  <c r="CD970" i="13" a="1"/>
  <c r="CD970" i="13" s="1"/>
  <c r="CE970" i="13" a="1"/>
  <c r="CE970" i="13" s="1"/>
  <c r="BJ449" i="13"/>
  <c r="CR449" i="13" s="1"/>
  <c r="CS449" i="13" s="1"/>
  <c r="CB448" i="13"/>
  <c r="CC448" i="13" s="1"/>
  <c r="BJ461" i="13"/>
  <c r="CJ461" i="13" s="1"/>
  <c r="CK461" i="13" s="1"/>
  <c r="CL461" i="13" s="1" a="1"/>
  <c r="CL461" i="13" s="1"/>
  <c r="BJ481" i="13"/>
  <c r="BP481" i="13" s="1"/>
  <c r="BQ481" i="13" s="1"/>
  <c r="BR481" i="13" s="1" a="1"/>
  <c r="BR481" i="13" s="1"/>
  <c r="CV492" i="13"/>
  <c r="CW492" i="13" s="1"/>
  <c r="CR492" i="13"/>
  <c r="CS492" i="13" s="1"/>
  <c r="CT492" i="13" s="1" a="1"/>
  <c r="CT492" i="13" s="1"/>
  <c r="CR499" i="13"/>
  <c r="CS499" i="13" s="1"/>
  <c r="BJ507" i="13"/>
  <c r="CJ507" i="13" s="1"/>
  <c r="CK507" i="13" s="1"/>
  <c r="CL507" i="13" s="1" a="1"/>
  <c r="CL507" i="13" s="1"/>
  <c r="BJ515" i="13"/>
  <c r="BX515" i="13" s="1"/>
  <c r="BY515" i="13" s="1"/>
  <c r="BJ523" i="13"/>
  <c r="BP523" i="13" s="1"/>
  <c r="BQ523" i="13" s="1"/>
  <c r="BR523" i="13" s="1" a="1"/>
  <c r="BR523" i="13" s="1"/>
  <c r="CB447" i="13"/>
  <c r="CC447" i="13" s="1"/>
  <c r="CN463" i="13"/>
  <c r="CO463" i="13" s="1"/>
  <c r="BJ454" i="13"/>
  <c r="BT454" i="13" s="1"/>
  <c r="BU454" i="13" s="1"/>
  <c r="BT473" i="13"/>
  <c r="BU473" i="13" s="1"/>
  <c r="BV473" i="13" s="1" a="1"/>
  <c r="BV473" i="13" s="1"/>
  <c r="BX496" i="13"/>
  <c r="BY496" i="13" s="1"/>
  <c r="BP500" i="13"/>
  <c r="BQ500" i="13" s="1"/>
  <c r="BR500" i="13" s="1" a="1"/>
  <c r="BR500" i="13" s="1"/>
  <c r="CN505" i="13"/>
  <c r="CO505" i="13" s="1"/>
  <c r="CP505" i="13" s="1" a="1"/>
  <c r="CP505" i="13" s="1"/>
  <c r="CJ505" i="13"/>
  <c r="CK505" i="13" s="1"/>
  <c r="CL505" i="13" s="1" a="1"/>
  <c r="CL505" i="13" s="1"/>
  <c r="BP505" i="13"/>
  <c r="BQ505" i="13" s="1"/>
  <c r="BR505" i="13" s="1" a="1"/>
  <c r="BR505" i="13" s="1"/>
  <c r="BT505" i="13"/>
  <c r="BU505" i="13" s="1"/>
  <c r="BV505" i="13" s="1" a="1"/>
  <c r="BV505" i="13" s="1"/>
  <c r="BX488" i="13"/>
  <c r="BY488" i="13" s="1"/>
  <c r="CJ476" i="13"/>
  <c r="CK476" i="13" s="1"/>
  <c r="CL476" i="13" s="1" a="1"/>
  <c r="CL476" i="13" s="1"/>
  <c r="CJ480" i="13"/>
  <c r="CK480" i="13" s="1"/>
  <c r="CL480" i="13" s="1" a="1"/>
  <c r="CL480" i="13" s="1"/>
  <c r="CJ484" i="13"/>
  <c r="CK484" i="13" s="1"/>
  <c r="CL484" i="13" s="1" a="1"/>
  <c r="CL484" i="13" s="1"/>
  <c r="CJ488" i="13"/>
  <c r="CK488" i="13" s="1"/>
  <c r="CL488" i="13" s="1" a="1"/>
  <c r="CL488" i="13" s="1"/>
  <c r="BR527" i="13" a="1"/>
  <c r="BR527" i="13" s="1"/>
  <c r="BJ537" i="13"/>
  <c r="CV537" i="13" s="1"/>
  <c r="CW537" i="13" s="1"/>
  <c r="BJ541" i="13"/>
  <c r="CN541" i="13" s="1"/>
  <c r="CO541" i="13" s="1"/>
  <c r="CR548" i="13"/>
  <c r="CS548" i="13" s="1"/>
  <c r="CJ548" i="13"/>
  <c r="CK548" i="13" s="1"/>
  <c r="CL548" i="13" s="1" a="1"/>
  <c r="CL548" i="13" s="1"/>
  <c r="CV548" i="13"/>
  <c r="CW548" i="13" s="1"/>
  <c r="BX502" i="13"/>
  <c r="BY502" i="13" s="1"/>
  <c r="BP492" i="13"/>
  <c r="BQ492" i="13" s="1"/>
  <c r="BR492" i="13" s="1" a="1"/>
  <c r="BR492" i="13" s="1"/>
  <c r="CB528" i="13"/>
  <c r="CC528" i="13" s="1"/>
  <c r="BX486" i="13"/>
  <c r="BY486" i="13" s="1"/>
  <c r="BZ486" i="13" s="1" a="1"/>
  <c r="BZ486" i="13" s="1"/>
  <c r="CN518" i="13"/>
  <c r="CO518" i="13" s="1"/>
  <c r="CT518" i="13" s="1" a="1"/>
  <c r="CT518" i="13" s="1"/>
  <c r="CJ518" i="13"/>
  <c r="CK518" i="13" s="1"/>
  <c r="CL518" i="13" s="1" a="1"/>
  <c r="CL518" i="13" s="1"/>
  <c r="BP518" i="13"/>
  <c r="BQ518" i="13" s="1"/>
  <c r="BR518" i="13" s="1" a="1"/>
  <c r="BR518" i="13" s="1"/>
  <c r="BT518" i="13"/>
  <c r="BU518" i="13" s="1"/>
  <c r="BV518" i="13" s="1" a="1"/>
  <c r="BV518" i="13" s="1"/>
  <c r="CV523" i="13"/>
  <c r="CW523" i="13" s="1"/>
  <c r="BP478" i="13"/>
  <c r="BQ478" i="13" s="1"/>
  <c r="BR478" i="13" s="1" a="1"/>
  <c r="BR478" i="13" s="1"/>
  <c r="BP482" i="13"/>
  <c r="BQ482" i="13" s="1"/>
  <c r="BR482" i="13" s="1" a="1"/>
  <c r="BR482" i="13" s="1"/>
  <c r="BP486" i="13"/>
  <c r="BQ486" i="13" s="1"/>
  <c r="BR486" i="13" s="1" a="1"/>
  <c r="BR486" i="13" s="1"/>
  <c r="BX490" i="13"/>
  <c r="BY490" i="13" s="1"/>
  <c r="CB492" i="13"/>
  <c r="CC492" i="13" s="1"/>
  <c r="BX504" i="13"/>
  <c r="BY504" i="13" s="1"/>
  <c r="BZ504" i="13" s="1" a="1"/>
  <c r="BZ504" i="13" s="1"/>
  <c r="BT523" i="13"/>
  <c r="BU523" i="13" s="1"/>
  <c r="BV523" i="13" s="1" a="1"/>
  <c r="BV523" i="13" s="1"/>
  <c r="BX523" i="13"/>
  <c r="BY523" i="13" s="1"/>
  <c r="BX534" i="13"/>
  <c r="BY534" i="13" s="1"/>
  <c r="BZ534" i="13" s="1" a="1"/>
  <c r="BZ534" i="13" s="1"/>
  <c r="CB547" i="13"/>
  <c r="CC547" i="13" s="1"/>
  <c r="BP534" i="13"/>
  <c r="BQ534" i="13" s="1"/>
  <c r="BR534" i="13" s="1" a="1"/>
  <c r="BR534" i="13" s="1"/>
  <c r="BP554" i="13"/>
  <c r="BQ554" i="13" s="1"/>
  <c r="BR554" i="13" s="1" a="1"/>
  <c r="BR554" i="13" s="1"/>
  <c r="CB555" i="13"/>
  <c r="CC555" i="13" s="1"/>
  <c r="BP558" i="13"/>
  <c r="BQ558" i="13" s="1"/>
  <c r="BR558" i="13" s="1" a="1"/>
  <c r="BR558" i="13" s="1"/>
  <c r="BX558" i="13"/>
  <c r="BY558" i="13" s="1"/>
  <c r="CJ558" i="13"/>
  <c r="CK558" i="13" s="1"/>
  <c r="CL558" i="13" s="1" a="1"/>
  <c r="CL558" i="13" s="1"/>
  <c r="CR558" i="13"/>
  <c r="CS558" i="13" s="1"/>
  <c r="BT558" i="13"/>
  <c r="BU558" i="13" s="1"/>
  <c r="CN547" i="13"/>
  <c r="CO547" i="13" s="1"/>
  <c r="CN558" i="13"/>
  <c r="CO558" i="13" s="1"/>
  <c r="CN515" i="13"/>
  <c r="CO515" i="13" s="1"/>
  <c r="BT546" i="13"/>
  <c r="BU546" i="13" s="1"/>
  <c r="BV546" i="13" s="1" a="1"/>
  <c r="BV546" i="13" s="1"/>
  <c r="BJ563" i="13"/>
  <c r="BT563" i="13" s="1"/>
  <c r="BU563" i="13" s="1"/>
  <c r="BP540" i="13"/>
  <c r="BQ540" i="13" s="1"/>
  <c r="BR540" i="13" s="1" a="1"/>
  <c r="BR540" i="13" s="1"/>
  <c r="BX546" i="13"/>
  <c r="BY546" i="13" s="1"/>
  <c r="BJ580" i="13"/>
  <c r="BP580" i="13" s="1"/>
  <c r="BQ580" i="13" s="1"/>
  <c r="BR580" i="13" s="1" a="1"/>
  <c r="BR580" i="13" s="1"/>
  <c r="BJ584" i="13"/>
  <c r="BP584" i="13" s="1"/>
  <c r="BQ584" i="13" s="1"/>
  <c r="BR584" i="13" s="1" a="1"/>
  <c r="BR584" i="13" s="1"/>
  <c r="BJ588" i="13"/>
  <c r="BP588" i="13" s="1"/>
  <c r="BQ588" i="13" s="1"/>
  <c r="BR588" i="13" s="1" a="1"/>
  <c r="BR588" i="13" s="1"/>
  <c r="CR592" i="13"/>
  <c r="CS592" i="13" s="1"/>
  <c r="BP598" i="13"/>
  <c r="BQ598" i="13" s="1"/>
  <c r="BR598" i="13" s="1" a="1"/>
  <c r="BR598" i="13" s="1"/>
  <c r="CN575" i="13"/>
  <c r="CO575" i="13" s="1"/>
  <c r="BT536" i="13"/>
  <c r="BU536" i="13" s="1"/>
  <c r="BV536" i="13" s="1" a="1"/>
  <c r="BV536" i="13" s="1"/>
  <c r="BT548" i="13"/>
  <c r="BU548" i="13" s="1"/>
  <c r="BV548" i="13" s="1" a="1"/>
  <c r="BV548" i="13" s="1"/>
  <c r="BJ565" i="13"/>
  <c r="CB544" i="13"/>
  <c r="CC544" i="13" s="1"/>
  <c r="CJ583" i="13"/>
  <c r="CK583" i="13" s="1"/>
  <c r="CL583" i="13" s="1" a="1"/>
  <c r="CL583" i="13" s="1"/>
  <c r="CJ592" i="13"/>
  <c r="CK592" i="13" s="1"/>
  <c r="CL592" i="13" s="1" a="1"/>
  <c r="CL592" i="13" s="1"/>
  <c r="BJ610" i="13"/>
  <c r="CV610" i="13" s="1"/>
  <c r="CW610" i="13" s="1"/>
  <c r="CB554" i="13"/>
  <c r="CC554" i="13" s="1"/>
  <c r="CN604" i="13"/>
  <c r="CO604" i="13" s="1"/>
  <c r="BX609" i="13"/>
  <c r="BY609" i="13" s="1"/>
  <c r="BZ609" i="13" s="1" a="1"/>
  <c r="BZ609" i="13" s="1"/>
  <c r="CB637" i="13"/>
  <c r="CC637" i="13" s="1"/>
  <c r="CN585" i="13"/>
  <c r="CO585" i="13" s="1"/>
  <c r="CB593" i="13"/>
  <c r="CC593" i="13" s="1"/>
  <c r="CJ593" i="13"/>
  <c r="CK593" i="13" s="1"/>
  <c r="CL593" i="13" s="1" a="1"/>
  <c r="CL593" i="13" s="1"/>
  <c r="CN593" i="13"/>
  <c r="CO593" i="13" s="1"/>
  <c r="BT593" i="13"/>
  <c r="BU593" i="13" s="1"/>
  <c r="BP593" i="13"/>
  <c r="BQ593" i="13" s="1"/>
  <c r="BR593" i="13" s="1" a="1"/>
  <c r="BR593" i="13" s="1"/>
  <c r="CV609" i="13"/>
  <c r="CW609" i="13" s="1"/>
  <c r="CB577" i="13"/>
  <c r="CC577" i="13" s="1"/>
  <c r="CR593" i="13"/>
  <c r="CS593" i="13" s="1"/>
  <c r="CR631" i="13"/>
  <c r="CS631" i="13" s="1"/>
  <c r="BJ635" i="13"/>
  <c r="BP635" i="13" s="1"/>
  <c r="BQ635" i="13" s="1"/>
  <c r="BR635" i="13" s="1" a="1"/>
  <c r="BR635" i="13" s="1"/>
  <c r="CR641" i="13"/>
  <c r="CS641" i="13" s="1"/>
  <c r="BJ649" i="13"/>
  <c r="CN649" i="13" s="1"/>
  <c r="CO649" i="13" s="1"/>
  <c r="BP579" i="13"/>
  <c r="BQ579" i="13" s="1"/>
  <c r="BR579" i="13" s="1" a="1"/>
  <c r="BR579" i="13" s="1"/>
  <c r="CV585" i="13"/>
  <c r="CW585" i="13" s="1"/>
  <c r="BT592" i="13"/>
  <c r="BU592" i="13" s="1"/>
  <c r="BT598" i="13"/>
  <c r="BU598" i="13" s="1"/>
  <c r="CJ612" i="13"/>
  <c r="CK612" i="13" s="1"/>
  <c r="CL612" i="13" s="1" a="1"/>
  <c r="CL612" i="13" s="1"/>
  <c r="CR610" i="13"/>
  <c r="CS610" i="13" s="1"/>
  <c r="CJ581" i="13"/>
  <c r="CK581" i="13" s="1"/>
  <c r="CL581" i="13" s="1" a="1"/>
  <c r="CL581" i="13" s="1"/>
  <c r="BT608" i="13"/>
  <c r="BU608" i="13" s="1"/>
  <c r="BV608" i="13" s="1" a="1"/>
  <c r="BV608" i="13" s="1"/>
  <c r="BR612" i="13" a="1"/>
  <c r="BR612" i="13" s="1"/>
  <c r="BP607" i="13"/>
  <c r="BQ607" i="13" s="1"/>
  <c r="BR607" i="13" s="1" a="1"/>
  <c r="BR607" i="13" s="1"/>
  <c r="BT607" i="13"/>
  <c r="BU607" i="13" s="1"/>
  <c r="CR622" i="13"/>
  <c r="CS622" i="13" s="1"/>
  <c r="BJ628" i="13"/>
  <c r="CJ628" i="13" s="1"/>
  <c r="CK628" i="13" s="1"/>
  <c r="CL628" i="13" s="1" a="1"/>
  <c r="CL628" i="13" s="1"/>
  <c r="BT647" i="13"/>
  <c r="BU647" i="13" s="1"/>
  <c r="BV647" i="13" s="1" a="1"/>
  <c r="BV647" i="13" s="1"/>
  <c r="CJ647" i="13"/>
  <c r="CK647" i="13" s="1"/>
  <c r="CL647" i="13" s="1" a="1"/>
  <c r="CL647" i="13" s="1"/>
  <c r="CB656" i="13"/>
  <c r="CC656" i="13" s="1"/>
  <c r="BJ664" i="13"/>
  <c r="CV664" i="13" s="1"/>
  <c r="CW664" i="13" s="1"/>
  <c r="CB675" i="13"/>
  <c r="CC675" i="13" s="1"/>
  <c r="BJ685" i="13"/>
  <c r="BJ680" i="13"/>
  <c r="CB680" i="13" s="1"/>
  <c r="CC680" i="13" s="1"/>
  <c r="BJ675" i="13"/>
  <c r="CN675" i="13" s="1"/>
  <c r="CO675" i="13" s="1"/>
  <c r="CJ607" i="13"/>
  <c r="CK607" i="13" s="1"/>
  <c r="CL607" i="13" s="1" a="1"/>
  <c r="CL607" i="13" s="1"/>
  <c r="CV647" i="13"/>
  <c r="CW647" i="13" s="1"/>
  <c r="CN659" i="13"/>
  <c r="CO659" i="13" s="1"/>
  <c r="CP659" i="13" s="1" a="1"/>
  <c r="CP659" i="13" s="1"/>
  <c r="BX662" i="13"/>
  <c r="BY662" i="13" s="1"/>
  <c r="BJ681" i="13"/>
  <c r="BT681" i="13" s="1"/>
  <c r="BU681" i="13" s="1"/>
  <c r="BJ752" i="13"/>
  <c r="BT752" i="13" s="1"/>
  <c r="BU752" i="13" s="1"/>
  <c r="BT668" i="13"/>
  <c r="BU668" i="13" s="1"/>
  <c r="BJ676" i="13"/>
  <c r="CJ617" i="13"/>
  <c r="CK617" i="13" s="1"/>
  <c r="CL617" i="13" s="1" a="1"/>
  <c r="CL617" i="13" s="1"/>
  <c r="CV641" i="13"/>
  <c r="CW641" i="13" s="1"/>
  <c r="BJ658" i="13"/>
  <c r="CV658" i="13" s="1"/>
  <c r="CW658" i="13" s="1"/>
  <c r="CV646" i="13"/>
  <c r="CW646" i="13" s="1"/>
  <c r="BJ651" i="13"/>
  <c r="BT651" i="13" s="1"/>
  <c r="BU651" i="13" s="1"/>
  <c r="BT666" i="13"/>
  <c r="BU666" i="13" s="1"/>
  <c r="BT682" i="13"/>
  <c r="BU682" i="13" s="1"/>
  <c r="CN722" i="13"/>
  <c r="CO722" i="13" s="1"/>
  <c r="CT722" i="13" s="1" a="1"/>
  <c r="CT722" i="13" s="1"/>
  <c r="BT722" i="13"/>
  <c r="BU722" i="13" s="1"/>
  <c r="BV722" i="13" s="1" a="1"/>
  <c r="BV722" i="13" s="1"/>
  <c r="CV722" i="13"/>
  <c r="CW722" i="13" s="1"/>
  <c r="CJ722" i="13"/>
  <c r="CK722" i="13" s="1"/>
  <c r="CL722" i="13" s="1" a="1"/>
  <c r="CL722" i="13" s="1"/>
  <c r="BP722" i="13"/>
  <c r="BQ722" i="13" s="1"/>
  <c r="BR722" i="13" s="1" a="1"/>
  <c r="BR722" i="13" s="1"/>
  <c r="BX722" i="13"/>
  <c r="BY722" i="13" s="1"/>
  <c r="BX725" i="13"/>
  <c r="BY725" i="13" s="1"/>
  <c r="BZ725" i="13" s="1" a="1"/>
  <c r="BZ725" i="13" s="1"/>
  <c r="BP725" i="13"/>
  <c r="BQ725" i="13" s="1"/>
  <c r="BR725" i="13" s="1" a="1"/>
  <c r="BR725" i="13" s="1"/>
  <c r="CV688" i="13"/>
  <c r="CW688" i="13" s="1"/>
  <c r="CB688" i="13"/>
  <c r="CC688" i="13" s="1"/>
  <c r="CJ688" i="13"/>
  <c r="CK688" i="13" s="1"/>
  <c r="CL688" i="13" s="1" a="1"/>
  <c r="CL688" i="13" s="1"/>
  <c r="BP688" i="13"/>
  <c r="BQ688" i="13" s="1"/>
  <c r="BR688" i="13" s="1" a="1"/>
  <c r="BR688" i="13" s="1"/>
  <c r="CJ690" i="13"/>
  <c r="CK690" i="13" s="1"/>
  <c r="CL690" i="13" s="1" a="1"/>
  <c r="CL690" i="13" s="1"/>
  <c r="BP694" i="13"/>
  <c r="BQ694" i="13" s="1"/>
  <c r="BR694" i="13" s="1" a="1"/>
  <c r="BR694" i="13" s="1"/>
  <c r="CN760" i="13"/>
  <c r="CO760" i="13" s="1"/>
  <c r="CJ760" i="13"/>
  <c r="CK760" i="13" s="1"/>
  <c r="CL760" i="13" s="1" a="1"/>
  <c r="CL760" i="13" s="1"/>
  <c r="BP760" i="13"/>
  <c r="BQ760" i="13" s="1"/>
  <c r="BR760" i="13" s="1" a="1"/>
  <c r="BR760" i="13" s="1"/>
  <c r="BT760" i="13"/>
  <c r="BU760" i="13" s="1"/>
  <c r="BV760" i="13" s="1" a="1"/>
  <c r="BV760" i="13" s="1"/>
  <c r="CV760" i="13"/>
  <c r="CW760" i="13" s="1"/>
  <c r="CJ768" i="13"/>
  <c r="CK768" i="13" s="1"/>
  <c r="CL768" i="13" s="1" a="1"/>
  <c r="CL768" i="13" s="1"/>
  <c r="BP768" i="13"/>
  <c r="BQ768" i="13" s="1"/>
  <c r="BR768" i="13" s="1" a="1"/>
  <c r="BR768" i="13" s="1"/>
  <c r="BT768" i="13"/>
  <c r="BU768" i="13" s="1"/>
  <c r="CV768" i="13"/>
  <c r="CW768" i="13" s="1"/>
  <c r="CN768" i="13"/>
  <c r="CO768" i="13" s="1"/>
  <c r="CP768" i="13" s="1" a="1"/>
  <c r="CP768" i="13" s="1"/>
  <c r="CV776" i="13"/>
  <c r="CW776" i="13" s="1"/>
  <c r="CJ776" i="13"/>
  <c r="CK776" i="13" s="1"/>
  <c r="CL776" i="13" s="1" a="1"/>
  <c r="CL776" i="13" s="1"/>
  <c r="BT776" i="13"/>
  <c r="BU776" i="13" s="1"/>
  <c r="BV776" i="13" s="1" a="1"/>
  <c r="BV776" i="13" s="1"/>
  <c r="BP776" i="13"/>
  <c r="BQ776" i="13" s="1"/>
  <c r="BR776" i="13" s="1" a="1"/>
  <c r="BR776" i="13" s="1"/>
  <c r="CN776" i="13"/>
  <c r="CO776" i="13" s="1"/>
  <c r="CR694" i="13"/>
  <c r="CS694" i="13" s="1"/>
  <c r="CB719" i="13"/>
  <c r="CC719" i="13" s="1"/>
  <c r="CB713" i="13"/>
  <c r="CC713" i="13" s="1"/>
  <c r="CB733" i="13"/>
  <c r="CC733" i="13" s="1"/>
  <c r="CN763" i="13"/>
  <c r="CO763" i="13" s="1"/>
  <c r="CP763" i="13" s="1" a="1"/>
  <c r="CP763" i="13" s="1"/>
  <c r="CJ763" i="13"/>
  <c r="CK763" i="13" s="1"/>
  <c r="CL763" i="13" s="1" a="1"/>
  <c r="CL763" i="13" s="1"/>
  <c r="BX763" i="13"/>
  <c r="BY763" i="13" s="1"/>
  <c r="BP763" i="13"/>
  <c r="BQ763" i="13" s="1"/>
  <c r="BR763" i="13" s="1" a="1"/>
  <c r="BR763" i="13" s="1"/>
  <c r="CB763" i="13"/>
  <c r="CC763" i="13" s="1"/>
  <c r="BT763" i="13"/>
  <c r="BU763" i="13" s="1"/>
  <c r="CV763" i="13"/>
  <c r="CW763" i="13" s="1"/>
  <c r="BZ692" i="13" a="1"/>
  <c r="BZ692" i="13" s="1"/>
  <c r="CF692" i="13" s="1"/>
  <c r="R692" i="13" s="1"/>
  <c r="CB735" i="13"/>
  <c r="CC735" i="13" s="1"/>
  <c r="BJ747" i="13"/>
  <c r="CR747" i="13" s="1"/>
  <c r="CS747" i="13" s="1"/>
  <c r="BT789" i="13"/>
  <c r="BU789" i="13" s="1"/>
  <c r="BX789" i="13"/>
  <c r="BY789" i="13" s="1"/>
  <c r="CV789" i="13"/>
  <c r="CW789" i="13" s="1"/>
  <c r="CJ789" i="13"/>
  <c r="CK789" i="13" s="1"/>
  <c r="CL789" i="13" s="1" a="1"/>
  <c r="CL789" i="13" s="1"/>
  <c r="CR789" i="13"/>
  <c r="CS789" i="13" s="1"/>
  <c r="BP789" i="13"/>
  <c r="BQ789" i="13" s="1"/>
  <c r="BR789" i="13" s="1" a="1"/>
  <c r="BR789" i="13" s="1"/>
  <c r="CN789" i="13"/>
  <c r="CO789" i="13" s="1"/>
  <c r="CP789" i="13" s="1" a="1"/>
  <c r="CP789" i="13" s="1"/>
  <c r="CB789" i="13"/>
  <c r="CC789" i="13" s="1"/>
  <c r="CR805" i="13"/>
  <c r="CS805" i="13" s="1"/>
  <c r="CV805" i="13"/>
  <c r="CW805" i="13" s="1"/>
  <c r="BP805" i="13"/>
  <c r="BQ805" i="13" s="1"/>
  <c r="BR805" i="13" s="1" a="1"/>
  <c r="BR805" i="13" s="1"/>
  <c r="BT805" i="13"/>
  <c r="BU805" i="13" s="1"/>
  <c r="BV805" i="13" s="1" a="1"/>
  <c r="BV805" i="13" s="1"/>
  <c r="CN805" i="13"/>
  <c r="CO805" i="13" s="1"/>
  <c r="CB805" i="13"/>
  <c r="CC805" i="13" s="1"/>
  <c r="BX805" i="13"/>
  <c r="BY805" i="13" s="1"/>
  <c r="BZ805" i="13" s="1" a="1"/>
  <c r="BZ805" i="13" s="1"/>
  <c r="CJ805" i="13"/>
  <c r="CK805" i="13" s="1"/>
  <c r="CL805" i="13" s="1" a="1"/>
  <c r="CL805" i="13" s="1"/>
  <c r="BJ816" i="13"/>
  <c r="CV816" i="13" s="1"/>
  <c r="CW816" i="13" s="1"/>
  <c r="BJ824" i="13"/>
  <c r="CB824" i="13" s="1"/>
  <c r="CC824" i="13" s="1"/>
  <c r="CP727" i="13" a="1"/>
  <c r="CP727" i="13" s="1"/>
  <c r="CY842" i="13" a="1"/>
  <c r="CY842" i="13" s="1"/>
  <c r="CD836" i="13" a="1"/>
  <c r="CD836" i="13" s="1"/>
  <c r="CE836" i="13" a="1"/>
  <c r="CE836" i="13" s="1"/>
  <c r="CY844" i="13" a="1"/>
  <c r="CY844" i="13" s="1"/>
  <c r="CD828" i="13" a="1"/>
  <c r="CD828" i="13" s="1"/>
  <c r="CE828" i="13" a="1"/>
  <c r="CE828" i="13" s="1"/>
  <c r="CY935" i="13" a="1"/>
  <c r="CY935" i="13" s="1"/>
  <c r="CY956" i="13" a="1"/>
  <c r="CY956" i="13" s="1"/>
  <c r="CE971" i="13" a="1"/>
  <c r="CE971" i="13" s="1"/>
  <c r="CD987" i="13" a="1"/>
  <c r="CD987" i="13" s="1"/>
  <c r="CE987" i="13" a="1"/>
  <c r="CE987" i="13" s="1"/>
  <c r="CY967" i="13" a="1"/>
  <c r="CY967" i="13" s="1"/>
  <c r="CE982" i="13" a="1"/>
  <c r="CE982" i="13" s="1"/>
  <c r="CY986" i="13" a="1"/>
  <c r="CY986" i="13" s="1"/>
  <c r="CY977" i="13" a="1"/>
  <c r="CY977" i="13" s="1"/>
  <c r="BJ469" i="13"/>
  <c r="BJ439" i="13"/>
  <c r="CN439" i="13" s="1"/>
  <c r="CO439" i="13"/>
  <c r="BX448" i="13"/>
  <c r="BY448" i="13" s="1"/>
  <c r="BZ448" i="13" s="1" a="1"/>
  <c r="BZ448" i="13" s="1"/>
  <c r="BJ456" i="13"/>
  <c r="CN456" i="13" s="1"/>
  <c r="CO456" i="13" s="1"/>
  <c r="CV463" i="13"/>
  <c r="CW463" i="13" s="1"/>
  <c r="BJ487" i="13"/>
  <c r="BX487" i="13" s="1"/>
  <c r="BY487" i="13" s="1"/>
  <c r="BJ493" i="13"/>
  <c r="CB493" i="13" s="1"/>
  <c r="CC493" i="13" s="1"/>
  <c r="CR507" i="13"/>
  <c r="CS507" i="13" s="1"/>
  <c r="CR515" i="13"/>
  <c r="CS515" i="13" s="1"/>
  <c r="CT515" i="13" s="1" a="1"/>
  <c r="CT515" i="13" s="1"/>
  <c r="CR523" i="13"/>
  <c r="CS523" i="13" s="1"/>
  <c r="BT447" i="13"/>
  <c r="BU447" i="13" s="1"/>
  <c r="CB460" i="13"/>
  <c r="CC460" i="13" s="1"/>
  <c r="BJ464" i="13"/>
  <c r="CB464" i="13" s="1"/>
  <c r="CC464" i="13" s="1"/>
  <c r="BJ453" i="13"/>
  <c r="BP453" i="13" s="1"/>
  <c r="BQ453" i="13" s="1"/>
  <c r="BR453" i="13" s="1" a="1"/>
  <c r="BR453" i="13" s="1"/>
  <c r="CB459" i="13"/>
  <c r="CC459" i="13" s="1"/>
  <c r="BJ465" i="13"/>
  <c r="CJ465" i="13" s="1"/>
  <c r="CK465" i="13" s="1"/>
  <c r="CL465" i="13" s="1" a="1"/>
  <c r="CL465" i="13" s="1"/>
  <c r="CJ498" i="13"/>
  <c r="CK498" i="13" s="1"/>
  <c r="CL498" i="13" s="1" a="1"/>
  <c r="CL498" i="13" s="1"/>
  <c r="CN521" i="13"/>
  <c r="CO521" i="13" s="1"/>
  <c r="CP521" i="13" s="1" a="1"/>
  <c r="CP521" i="13" s="1"/>
  <c r="CB529" i="13"/>
  <c r="CC529" i="13" s="1"/>
  <c r="CV496" i="13"/>
  <c r="CW496" i="13" s="1"/>
  <c r="CB498" i="13"/>
  <c r="CC498" i="13" s="1"/>
  <c r="BP526" i="13"/>
  <c r="BQ526" i="13" s="1"/>
  <c r="BR526" i="13" s="1" a="1"/>
  <c r="BR526" i="13" s="1"/>
  <c r="CJ526" i="13"/>
  <c r="CK526" i="13" s="1"/>
  <c r="CL526" i="13" s="1" a="1"/>
  <c r="CL526" i="13" s="1"/>
  <c r="CB526" i="13"/>
  <c r="CC526" i="13" s="1"/>
  <c r="BT526" i="13"/>
  <c r="BU526" i="13" s="1"/>
  <c r="BV526" i="13" s="1" a="1"/>
  <c r="BV526" i="13" s="1"/>
  <c r="CN526" i="13"/>
  <c r="CO526" i="13" s="1"/>
  <c r="CT526" i="13" s="1" a="1"/>
  <c r="CT526" i="13" s="1"/>
  <c r="CV526" i="13"/>
  <c r="CW526" i="13" s="1"/>
  <c r="CV476" i="13"/>
  <c r="CW476" i="13" s="1"/>
  <c r="CV480" i="13"/>
  <c r="CW480" i="13" s="1"/>
  <c r="CV484" i="13"/>
  <c r="CW484" i="13" s="1"/>
  <c r="CV488" i="13"/>
  <c r="CW488" i="13" s="1"/>
  <c r="BX512" i="13"/>
  <c r="BY512" i="13" s="1"/>
  <c r="BZ512" i="13" s="1" a="1"/>
  <c r="BZ512" i="13" s="1"/>
  <c r="CR533" i="13"/>
  <c r="CS533" i="13" s="1"/>
  <c r="CR537" i="13"/>
  <c r="CS537" i="13" s="1"/>
  <c r="CR541" i="13"/>
  <c r="CS541" i="13" s="1"/>
  <c r="CT541" i="13" s="1" a="1"/>
  <c r="CT541" i="13" s="1"/>
  <c r="CJ493" i="13"/>
  <c r="CK493" i="13" s="1"/>
  <c r="CL493" i="13" s="1" a="1"/>
  <c r="CL493" i="13" s="1"/>
  <c r="CR493" i="13"/>
  <c r="CS493" i="13" s="1"/>
  <c r="BT493" i="13"/>
  <c r="BU493" i="13" s="1"/>
  <c r="BX493" i="13"/>
  <c r="BY493" i="13" s="1"/>
  <c r="CV505" i="13"/>
  <c r="CW505" i="13" s="1"/>
  <c r="BX533" i="13"/>
  <c r="BY533" i="13" s="1"/>
  <c r="BZ533" i="13" s="1" a="1"/>
  <c r="BZ533" i="13" s="1"/>
  <c r="CB478" i="13"/>
  <c r="CC478" i="13" s="1"/>
  <c r="CB482" i="13"/>
  <c r="CC482" i="13" s="1"/>
  <c r="CB486" i="13"/>
  <c r="CC486" i="13" s="1"/>
  <c r="BX494" i="13"/>
  <c r="BY494" i="13" s="1"/>
  <c r="BZ494" i="13" s="1" a="1"/>
  <c r="BZ494" i="13" s="1"/>
  <c r="CV507" i="13"/>
  <c r="CW507" i="13" s="1"/>
  <c r="BT537" i="13"/>
  <c r="BU537" i="13" s="1"/>
  <c r="BT547" i="13"/>
  <c r="BU547" i="13" s="1"/>
  <c r="BV547" i="13" s="1" a="1"/>
  <c r="BV547" i="13" s="1"/>
  <c r="CR500" i="13"/>
  <c r="CS500" i="13" s="1"/>
  <c r="CT500" i="13" s="1" a="1"/>
  <c r="CT500" i="13" s="1"/>
  <c r="CV522" i="13"/>
  <c r="CW522" i="13" s="1"/>
  <c r="CJ534" i="13"/>
  <c r="CK534" i="13" s="1"/>
  <c r="CL534" i="13" s="1" a="1"/>
  <c r="CL534" i="13" s="1"/>
  <c r="BP544" i="13"/>
  <c r="BQ544" i="13" s="1"/>
  <c r="BR544" i="13" s="1" a="1"/>
  <c r="BR544" i="13" s="1"/>
  <c r="CV570" i="13"/>
  <c r="CW570" i="13" s="1"/>
  <c r="BP570" i="13"/>
  <c r="BQ570" i="13" s="1"/>
  <c r="BR570" i="13" s="1" a="1"/>
  <c r="BR570" i="13" s="1"/>
  <c r="CJ570" i="13"/>
  <c r="CK570" i="13" s="1"/>
  <c r="CL570" i="13" s="1" a="1"/>
  <c r="CL570" i="13" s="1"/>
  <c r="CR570" i="13"/>
  <c r="CS570" i="13" s="1"/>
  <c r="CT570" i="13" s="1" a="1"/>
  <c r="CT570" i="13" s="1"/>
  <c r="BT570" i="13"/>
  <c r="BU570" i="13" s="1"/>
  <c r="BZ570" i="13" s="1" a="1"/>
  <c r="BZ570" i="13" s="1"/>
  <c r="CB570" i="13"/>
  <c r="CC570" i="13" s="1"/>
  <c r="CB543" i="13"/>
  <c r="CC543" i="13" s="1"/>
  <c r="CJ549" i="13"/>
  <c r="CK549" i="13" s="1"/>
  <c r="CL549" i="13" s="1" a="1"/>
  <c r="CL549" i="13" s="1"/>
  <c r="BP549" i="13"/>
  <c r="BQ549" i="13" s="1"/>
  <c r="BR549" i="13" s="1" a="1"/>
  <c r="BR549" i="13" s="1"/>
  <c r="BJ567" i="13"/>
  <c r="BX567" i="13" s="1"/>
  <c r="BY567" i="13" s="1"/>
  <c r="BP532" i="13"/>
  <c r="BQ532" i="13" s="1"/>
  <c r="BR532" i="13" s="1" a="1"/>
  <c r="BR532" i="13" s="1"/>
  <c r="BP552" i="13"/>
  <c r="BQ552" i="13" s="1"/>
  <c r="BR552" i="13" s="1" a="1"/>
  <c r="BR552" i="13" s="1"/>
  <c r="BT572" i="13"/>
  <c r="BU572" i="13" s="1"/>
  <c r="CB572" i="13"/>
  <c r="CC572" i="13" s="1"/>
  <c r="BP572" i="13"/>
  <c r="BQ572" i="13" s="1"/>
  <c r="BR572" i="13" s="1" a="1"/>
  <c r="BR572" i="13" s="1"/>
  <c r="BX572" i="13"/>
  <c r="BY572" i="13" s="1"/>
  <c r="BZ572" i="13" s="1" a="1"/>
  <c r="BZ572" i="13" s="1"/>
  <c r="CJ572" i="13"/>
  <c r="CK572" i="13" s="1"/>
  <c r="CL572" i="13" s="1" a="1"/>
  <c r="CL572" i="13" s="1"/>
  <c r="CB576" i="13"/>
  <c r="CC576" i="13" s="1"/>
  <c r="CN580" i="13"/>
  <c r="CO580" i="13" s="1"/>
  <c r="CN546" i="13"/>
  <c r="CO546" i="13" s="1"/>
  <c r="CP546" i="13" s="1" a="1"/>
  <c r="CP546" i="13" s="1"/>
  <c r="BP530" i="13"/>
  <c r="BQ530" i="13" s="1"/>
  <c r="BR530" i="13" s="1" a="1"/>
  <c r="BR530" i="13" s="1"/>
  <c r="CJ540" i="13"/>
  <c r="CK540" i="13" s="1"/>
  <c r="CL540" i="13" s="1" a="1"/>
  <c r="CL540" i="13" s="1"/>
  <c r="BJ551" i="13"/>
  <c r="BT551" i="13" s="1"/>
  <c r="BU551" i="13" s="1"/>
  <c r="CR576" i="13"/>
  <c r="CS576" i="13" s="1"/>
  <c r="BJ594" i="13"/>
  <c r="BP594" i="13" s="1"/>
  <c r="BQ594" i="13" s="1"/>
  <c r="BR594" i="13" s="1" a="1"/>
  <c r="BR594" i="13" s="1"/>
  <c r="CR598" i="13"/>
  <c r="CS598" i="13" s="1"/>
  <c r="CT598" i="13" s="1" a="1"/>
  <c r="CT598" i="13" s="1"/>
  <c r="CJ541" i="13"/>
  <c r="CK541" i="13" s="1"/>
  <c r="CL541" i="13" s="1" a="1"/>
  <c r="CL541" i="13" s="1"/>
  <c r="BP541" i="13"/>
  <c r="BQ541" i="13" s="1"/>
  <c r="BR541" i="13" s="1" a="1"/>
  <c r="BR541" i="13" s="1"/>
  <c r="CN550" i="13"/>
  <c r="CO550" i="13" s="1"/>
  <c r="CV575" i="13"/>
  <c r="CW575" i="13" s="1"/>
  <c r="CN530" i="13"/>
  <c r="CO530" i="13" s="1"/>
  <c r="CR536" i="13"/>
  <c r="CS536" i="13" s="1"/>
  <c r="CT536" i="13" s="1" a="1"/>
  <c r="CT536" i="13" s="1"/>
  <c r="CJ580" i="13"/>
  <c r="CK580" i="13" s="1"/>
  <c r="CL580" i="13" s="1" a="1"/>
  <c r="CL580" i="13" s="1"/>
  <c r="CB583" i="13"/>
  <c r="CC583" i="13" s="1"/>
  <c r="CB604" i="13"/>
  <c r="CC604" i="13" s="1"/>
  <c r="BP585" i="13"/>
  <c r="BQ585" i="13" s="1"/>
  <c r="BR585" i="13" s="1" a="1"/>
  <c r="BR585" i="13" s="1"/>
  <c r="CB595" i="13"/>
  <c r="CC595" i="13" s="1"/>
  <c r="CJ595" i="13"/>
  <c r="CK595" i="13" s="1"/>
  <c r="CL595" i="13" s="1" a="1"/>
  <c r="CL595" i="13" s="1"/>
  <c r="CN595" i="13"/>
  <c r="CO595" i="13" s="1"/>
  <c r="BT595" i="13"/>
  <c r="BU595" i="13" s="1"/>
  <c r="BV595" i="13" s="1" a="1"/>
  <c r="BV595" i="13" s="1"/>
  <c r="BP595" i="13"/>
  <c r="BQ595" i="13" s="1"/>
  <c r="BR595" i="13" s="1" a="1"/>
  <c r="BR595" i="13" s="1"/>
  <c r="BP610" i="13"/>
  <c r="BQ610" i="13" s="1"/>
  <c r="BR610" i="13" s="1" a="1"/>
  <c r="BR610" i="13" s="1"/>
  <c r="CV572" i="13"/>
  <c r="CW572" i="13" s="1"/>
  <c r="CR577" i="13"/>
  <c r="CS577" i="13" s="1"/>
  <c r="CT577" i="13" s="1" a="1"/>
  <c r="CT577" i="13" s="1"/>
  <c r="CR595" i="13"/>
  <c r="CS595" i="13" s="1"/>
  <c r="CR608" i="13"/>
  <c r="CS608" i="13" s="1"/>
  <c r="CT608" i="13" s="1" a="1"/>
  <c r="CT608" i="13" s="1"/>
  <c r="CR617" i="13"/>
  <c r="CS617" i="13" s="1"/>
  <c r="CT617" i="13" s="1" a="1"/>
  <c r="CT617" i="13" s="1"/>
  <c r="CR621" i="13"/>
  <c r="CS621" i="13" s="1"/>
  <c r="CR625" i="13"/>
  <c r="CS625" i="13" s="1"/>
  <c r="BQ629" i="13"/>
  <c r="BR629" i="13" s="1" a="1"/>
  <c r="BR629" i="13" s="1"/>
  <c r="BJ629" i="13"/>
  <c r="BP629" i="13" s="1"/>
  <c r="BT638" i="13"/>
  <c r="BU638" i="13" s="1"/>
  <c r="BT642" i="13"/>
  <c r="BU642" i="13" s="1"/>
  <c r="BV642" i="13" s="1" a="1"/>
  <c r="BV642" i="13" s="1"/>
  <c r="CR649" i="13"/>
  <c r="CS649" i="13" s="1"/>
  <c r="CT649" i="13" s="1" a="1"/>
  <c r="CT649" i="13" s="1"/>
  <c r="CJ579" i="13"/>
  <c r="CK579" i="13" s="1"/>
  <c r="CL579" i="13" s="1" a="1"/>
  <c r="CL579" i="13" s="1"/>
  <c r="CV608" i="13"/>
  <c r="CW608" i="13" s="1"/>
  <c r="BX612" i="13"/>
  <c r="BY612" i="13" s="1"/>
  <c r="BZ612" i="13" s="1" a="1"/>
  <c r="BZ612" i="13" s="1"/>
  <c r="BX621" i="13"/>
  <c r="BY621" i="13" s="1"/>
  <c r="CB581" i="13"/>
  <c r="CC581" i="13" s="1"/>
  <c r="CB589" i="13"/>
  <c r="CC589" i="13" s="1"/>
  <c r="CJ589" i="13"/>
  <c r="CK589" i="13" s="1"/>
  <c r="CL589" i="13" s="1" a="1"/>
  <c r="CL589" i="13" s="1"/>
  <c r="BP589" i="13"/>
  <c r="BQ589" i="13" s="1"/>
  <c r="BR589" i="13" s="1" a="1"/>
  <c r="BR589" i="13" s="1"/>
  <c r="CN589" i="13"/>
  <c r="CO589" i="13" s="1"/>
  <c r="BT589" i="13"/>
  <c r="BU589" i="13" s="1"/>
  <c r="BZ589" i="13" s="1" a="1"/>
  <c r="BZ589" i="13" s="1"/>
  <c r="CB602" i="13"/>
  <c r="CC602" i="13" s="1"/>
  <c r="BJ618" i="13"/>
  <c r="BP618" i="13" s="1"/>
  <c r="BQ618" i="13" s="1"/>
  <c r="BR618" i="13" s="1" a="1"/>
  <c r="BR618" i="13" s="1"/>
  <c r="BJ634" i="13"/>
  <c r="BT634" i="13" s="1"/>
  <c r="BU634" i="13" s="1"/>
  <c r="BJ644" i="13"/>
  <c r="CJ644" i="13" s="1"/>
  <c r="CK644" i="13" s="1"/>
  <c r="CL644" i="13" s="1" a="1"/>
  <c r="CL644" i="13" s="1"/>
  <c r="BJ648" i="13"/>
  <c r="BX648" i="13" s="1"/>
  <c r="BY648" i="13" s="1"/>
  <c r="CT735" i="13" a="1"/>
  <c r="CT735" i="13" s="1"/>
  <c r="BJ653" i="13"/>
  <c r="CV653" i="13" s="1"/>
  <c r="CW653" i="13" s="1"/>
  <c r="BP658" i="13"/>
  <c r="BQ658" i="13" s="1"/>
  <c r="BR658" i="13" s="1" a="1"/>
  <c r="BR658" i="13" s="1"/>
  <c r="CJ658" i="13"/>
  <c r="CK658" i="13" s="1"/>
  <c r="CL658" i="13" s="1" a="1"/>
  <c r="CL658" i="13" s="1"/>
  <c r="BT680" i="13"/>
  <c r="BU680" i="13" s="1"/>
  <c r="CN653" i="13"/>
  <c r="CO653" i="13" s="1"/>
  <c r="BX656" i="13"/>
  <c r="BY656" i="13" s="1"/>
  <c r="BT662" i="13"/>
  <c r="BU662" i="13" s="1"/>
  <c r="CR667" i="13"/>
  <c r="CS667" i="13" s="1"/>
  <c r="CJ681" i="13"/>
  <c r="CK681" i="13" s="1"/>
  <c r="CL681" i="13" s="1" a="1"/>
  <c r="CL681" i="13" s="1"/>
  <c r="BJ670" i="13"/>
  <c r="BX670" i="13" s="1"/>
  <c r="BY670" i="13" s="1"/>
  <c r="CJ631" i="13"/>
  <c r="CK631" i="13" s="1"/>
  <c r="CL631" i="13" s="1" a="1"/>
  <c r="CL631" i="13" s="1"/>
  <c r="BJ673" i="13"/>
  <c r="BX673" i="13" s="1"/>
  <c r="BY673" i="13" s="1"/>
  <c r="BV727" i="13" a="1"/>
  <c r="BV727" i="13" s="1"/>
  <c r="BJ754" i="13"/>
  <c r="CB754" i="13" s="1"/>
  <c r="CC754" i="13" s="1"/>
  <c r="BT676" i="13"/>
  <c r="BU676" i="13" s="1"/>
  <c r="BJ684" i="13"/>
  <c r="CR684" i="13" s="1"/>
  <c r="CS684" i="13" s="1"/>
  <c r="CN618" i="13"/>
  <c r="CO618" i="13" s="1"/>
  <c r="BJ671" i="13"/>
  <c r="BT671" i="13" s="1"/>
  <c r="BU671" i="13" s="1"/>
  <c r="BJ679" i="13"/>
  <c r="BT679" i="13" s="1"/>
  <c r="BU679" i="13" s="1"/>
  <c r="CV683" i="13"/>
  <c r="CW683" i="13" s="1"/>
  <c r="CN702" i="13"/>
  <c r="CO702" i="13" s="1"/>
  <c r="CP702" i="13" s="1" a="1"/>
  <c r="CP702" i="13" s="1"/>
  <c r="BT702" i="13"/>
  <c r="BU702" i="13" s="1"/>
  <c r="CV702" i="13"/>
  <c r="CW702" i="13" s="1"/>
  <c r="CJ702" i="13"/>
  <c r="CK702" i="13" s="1"/>
  <c r="CL702" i="13" s="1" a="1"/>
  <c r="CL702" i="13" s="1"/>
  <c r="BP702" i="13"/>
  <c r="BQ702" i="13" s="1"/>
  <c r="BR702" i="13" s="1" a="1"/>
  <c r="BR702" i="13" s="1"/>
  <c r="BX702" i="13"/>
  <c r="BY702" i="13" s="1"/>
  <c r="CN710" i="13"/>
  <c r="CO710" i="13" s="1"/>
  <c r="BT710" i="13"/>
  <c r="BU710" i="13" s="1"/>
  <c r="CV710" i="13"/>
  <c r="CW710" i="13" s="1"/>
  <c r="CJ710" i="13"/>
  <c r="CK710" i="13" s="1"/>
  <c r="CL710" i="13" s="1" a="1"/>
  <c r="CL710" i="13" s="1"/>
  <c r="BP710" i="13"/>
  <c r="BQ710" i="13" s="1"/>
  <c r="BR710" i="13" s="1" a="1"/>
  <c r="BR710" i="13" s="1"/>
  <c r="BX710" i="13"/>
  <c r="BY710" i="13" s="1"/>
  <c r="BZ710" i="13" s="1" a="1"/>
  <c r="BZ710" i="13" s="1"/>
  <c r="CN716" i="13"/>
  <c r="CO716" i="13" s="1"/>
  <c r="CP716" i="13" s="1" a="1"/>
  <c r="CP716" i="13" s="1"/>
  <c r="BT716" i="13"/>
  <c r="BU716" i="13" s="1"/>
  <c r="CV716" i="13"/>
  <c r="CW716" i="13" s="1"/>
  <c r="CJ716" i="13"/>
  <c r="CK716" i="13" s="1"/>
  <c r="CL716" i="13" s="1" a="1"/>
  <c r="CL716" i="13" s="1"/>
  <c r="BP716" i="13"/>
  <c r="BQ716" i="13" s="1"/>
  <c r="BR716" i="13" s="1" a="1"/>
  <c r="BR716" i="13" s="1"/>
  <c r="BX716" i="13"/>
  <c r="BY716" i="13" s="1"/>
  <c r="CR716" i="13"/>
  <c r="CS716" i="13" s="1"/>
  <c r="CN730" i="13"/>
  <c r="CO730" i="13" s="1"/>
  <c r="BT730" i="13"/>
  <c r="BU730" i="13" s="1"/>
  <c r="CJ730" i="13"/>
  <c r="CK730" i="13" s="1"/>
  <c r="CL730" i="13" s="1" a="1"/>
  <c r="CL730" i="13" s="1"/>
  <c r="BP730" i="13"/>
  <c r="BQ730" i="13" s="1"/>
  <c r="BR730" i="13" s="1" a="1"/>
  <c r="BR730" i="13" s="1"/>
  <c r="CR730" i="13"/>
  <c r="CS730" i="13" s="1"/>
  <c r="BX730" i="13"/>
  <c r="BY730" i="13" s="1"/>
  <c r="CD730" i="13" s="1" a="1"/>
  <c r="CD730" i="13" s="1"/>
  <c r="CV730" i="13"/>
  <c r="CW730" i="13" s="1"/>
  <c r="CN734" i="13"/>
  <c r="CO734" i="13" s="1"/>
  <c r="CP734" i="13" s="1" a="1"/>
  <c r="CP734" i="13" s="1"/>
  <c r="CJ734" i="13"/>
  <c r="CK734" i="13" s="1"/>
  <c r="CL734" i="13" s="1" a="1"/>
  <c r="CL734" i="13" s="1"/>
  <c r="BP734" i="13"/>
  <c r="BQ734" i="13" s="1"/>
  <c r="BR734" i="13" s="1" a="1"/>
  <c r="BR734" i="13" s="1"/>
  <c r="CR734" i="13"/>
  <c r="CS734" i="13" s="1"/>
  <c r="BX734" i="13"/>
  <c r="BY734" i="13" s="1"/>
  <c r="BZ734" i="13" s="1" a="1"/>
  <c r="BZ734" i="13" s="1"/>
  <c r="BT734" i="13"/>
  <c r="BU734" i="13" s="1"/>
  <c r="CV734" i="13"/>
  <c r="CW734" i="13" s="1"/>
  <c r="BP717" i="13"/>
  <c r="BQ717" i="13" s="1"/>
  <c r="BR717" i="13" s="1" a="1"/>
  <c r="BR717" i="13" s="1"/>
  <c r="BP731" i="13"/>
  <c r="BQ731" i="13" s="1"/>
  <c r="BR731" i="13" s="1" a="1"/>
  <c r="BR731" i="13" s="1"/>
  <c r="BJ751" i="13"/>
  <c r="CN751" i="13" s="1"/>
  <c r="CO751" i="13" s="1"/>
  <c r="BP695" i="13"/>
  <c r="BQ695" i="13" s="1"/>
  <c r="BR695" i="13" s="1" a="1"/>
  <c r="BR695" i="13" s="1"/>
  <c r="CX696" i="13" a="1"/>
  <c r="CX696" i="13" s="1"/>
  <c r="CZ696" i="13" s="1"/>
  <c r="Z696" i="13" s="1"/>
  <c r="CY696" i="13" a="1"/>
  <c r="CY696" i="13" s="1"/>
  <c r="CP713" i="13" a="1"/>
  <c r="CP713" i="13" s="1"/>
  <c r="CZ713" i="13" s="1"/>
  <c r="Z713" i="13" s="1"/>
  <c r="CB734" i="13"/>
  <c r="CC734" i="13" s="1"/>
  <c r="CN744" i="13"/>
  <c r="CO744" i="13" s="1"/>
  <c r="BP744" i="13"/>
  <c r="BQ744" i="13" s="1"/>
  <c r="BR744" i="13" s="1" a="1"/>
  <c r="BR744" i="13" s="1"/>
  <c r="BX744" i="13"/>
  <c r="BY744" i="13" s="1"/>
  <c r="CJ744" i="13"/>
  <c r="CK744" i="13" s="1"/>
  <c r="CL744" i="13" s="1" a="1"/>
  <c r="CL744" i="13" s="1"/>
  <c r="CR744" i="13"/>
  <c r="CS744" i="13" s="1"/>
  <c r="CB744" i="13"/>
  <c r="CC744" i="13" s="1"/>
  <c r="CV744" i="13"/>
  <c r="CW744" i="13" s="1"/>
  <c r="BT744" i="13"/>
  <c r="BU744" i="13" s="1"/>
  <c r="BV744" i="13" s="1" a="1"/>
  <c r="BV744" i="13" s="1"/>
  <c r="CB761" i="13"/>
  <c r="CC761" i="13" s="1"/>
  <c r="BT761" i="13"/>
  <c r="BU761" i="13" s="1"/>
  <c r="BV761" i="13" s="1" a="1"/>
  <c r="BV761" i="13" s="1"/>
  <c r="CV761" i="13"/>
  <c r="CW761" i="13" s="1"/>
  <c r="CN761" i="13"/>
  <c r="CO761" i="13" s="1"/>
  <c r="CT761" i="13" s="1" a="1"/>
  <c r="CT761" i="13" s="1"/>
  <c r="CJ761" i="13"/>
  <c r="CK761" i="13" s="1"/>
  <c r="CL761" i="13" s="1" a="1"/>
  <c r="CL761" i="13" s="1"/>
  <c r="BP761" i="13"/>
  <c r="BQ761" i="13" s="1"/>
  <c r="BR761" i="13" s="1" a="1"/>
  <c r="BR761" i="13" s="1"/>
  <c r="BX761" i="13"/>
  <c r="BY761" i="13" s="1"/>
  <c r="CB777" i="13"/>
  <c r="CC777" i="13" s="1"/>
  <c r="CV777" i="13"/>
  <c r="CW777" i="13" s="1"/>
  <c r="BT777" i="13"/>
  <c r="BU777" i="13" s="1"/>
  <c r="CJ777" i="13"/>
  <c r="CK777" i="13" s="1"/>
  <c r="CL777" i="13" s="1" a="1"/>
  <c r="CL777" i="13" s="1"/>
  <c r="BP777" i="13"/>
  <c r="BQ777" i="13" s="1"/>
  <c r="BR777" i="13" s="1" a="1"/>
  <c r="BR777" i="13" s="1"/>
  <c r="CR777" i="13"/>
  <c r="CS777" i="13" s="1"/>
  <c r="CT777" i="13" s="1" a="1"/>
  <c r="CT777" i="13" s="1"/>
  <c r="CN777" i="13"/>
  <c r="CO777" i="13" s="1"/>
  <c r="BX777" i="13"/>
  <c r="BY777" i="13" s="1"/>
  <c r="CX686" i="13" a="1"/>
  <c r="CX686" i="13" s="1"/>
  <c r="CY686" i="13" a="1"/>
  <c r="CY686" i="13" s="1"/>
  <c r="CE811" i="13" a="1"/>
  <c r="CE811" i="13" s="1"/>
  <c r="CR706" i="13"/>
  <c r="CS706" i="13" s="1"/>
  <c r="CT706" i="13" s="1" a="1"/>
  <c r="CT706" i="13" s="1"/>
  <c r="CV745" i="13"/>
  <c r="CW745" i="13" s="1"/>
  <c r="CE957" i="13" a="1"/>
  <c r="CE957" i="13" s="1"/>
  <c r="CY962" i="13" a="1"/>
  <c r="CY962" i="13" s="1"/>
  <c r="CD950" i="13" a="1"/>
  <c r="CD950" i="13" s="1"/>
  <c r="CE950" i="13" a="1"/>
  <c r="CE950" i="13" s="1"/>
  <c r="CD972" i="13" a="1"/>
  <c r="CD972" i="13" s="1"/>
  <c r="CE972" i="13" a="1"/>
  <c r="CE972" i="13" s="1"/>
  <c r="CY959" i="13" a="1"/>
  <c r="CY959" i="13" s="1"/>
  <c r="CV449" i="13"/>
  <c r="CW449" i="13" s="1"/>
  <c r="CV457" i="13"/>
  <c r="CW457" i="13" s="1"/>
  <c r="CB457" i="13"/>
  <c r="CC457" i="13" s="1"/>
  <c r="CV475" i="13"/>
  <c r="CW475" i="13" s="1"/>
  <c r="CV448" i="13"/>
  <c r="CW448" i="13" s="1"/>
  <c r="CN462" i="13"/>
  <c r="CO462" i="13" s="1"/>
  <c r="BJ477" i="13"/>
  <c r="CN477" i="13" s="1"/>
  <c r="CO477" i="13" s="1"/>
  <c r="BJ501" i="13"/>
  <c r="CB501" i="13" s="1"/>
  <c r="CC501" i="13" s="1"/>
  <c r="BJ509" i="13"/>
  <c r="BX509" i="13" s="1"/>
  <c r="BY509" i="13" s="1"/>
  <c r="BJ517" i="13"/>
  <c r="CN517" i="13" s="1"/>
  <c r="CO517" i="13" s="1"/>
  <c r="BX447" i="13"/>
  <c r="BY447" i="13" s="1"/>
  <c r="BP459" i="13"/>
  <c r="BQ459" i="13" s="1"/>
  <c r="BR459" i="13" s="1" a="1"/>
  <c r="BR459" i="13" s="1"/>
  <c r="CJ459" i="13"/>
  <c r="CK459" i="13" s="1"/>
  <c r="CL459" i="13" s="1" a="1"/>
  <c r="CL459" i="13" s="1"/>
  <c r="CB446" i="13"/>
  <c r="CC446" i="13" s="1"/>
  <c r="BX463" i="13"/>
  <c r="BY463" i="13" s="1"/>
  <c r="BJ445" i="13"/>
  <c r="BP445" i="13" s="1"/>
  <c r="BQ445" i="13" s="1"/>
  <c r="BR445" i="13" s="1" a="1"/>
  <c r="BR445" i="13" s="1"/>
  <c r="CJ462" i="13"/>
  <c r="CK462" i="13" s="1"/>
  <c r="CL462" i="13" s="1" a="1"/>
  <c r="CL462" i="13" s="1"/>
  <c r="BX462" i="13"/>
  <c r="BY462" i="13" s="1"/>
  <c r="BZ462" i="13" s="1" a="1"/>
  <c r="BZ462" i="13" s="1"/>
  <c r="BP462" i="13"/>
  <c r="BQ462" i="13" s="1"/>
  <c r="BV462" i="13" s="1" a="1"/>
  <c r="BV462" i="13" s="1"/>
  <c r="BT498" i="13"/>
  <c r="BU498" i="13" s="1"/>
  <c r="CB533" i="13"/>
  <c r="CC533" i="13" s="1"/>
  <c r="CB537" i="13"/>
  <c r="CC537" i="13" s="1"/>
  <c r="BX476" i="13"/>
  <c r="BY476" i="13" s="1"/>
  <c r="BJ525" i="13"/>
  <c r="CV525" i="13" s="1"/>
  <c r="CW525" i="13" s="1"/>
  <c r="BT476" i="13"/>
  <c r="BU476" i="13" s="1"/>
  <c r="BV476" i="13" s="1" a="1"/>
  <c r="BV476" i="13" s="1"/>
  <c r="BT480" i="13"/>
  <c r="BU480" i="13" s="1"/>
  <c r="BV480" i="13" s="1" a="1"/>
  <c r="BV480" i="13" s="1"/>
  <c r="BT484" i="13"/>
  <c r="BU484" i="13" s="1"/>
  <c r="BV484" i="13" s="1" a="1"/>
  <c r="BV484" i="13" s="1"/>
  <c r="BT488" i="13"/>
  <c r="BU488" i="13" s="1"/>
  <c r="BV488" i="13" s="1" a="1"/>
  <c r="BV488" i="13" s="1"/>
  <c r="CV498" i="13"/>
  <c r="CW498" i="13" s="1"/>
  <c r="BP508" i="13"/>
  <c r="BQ508" i="13" s="1"/>
  <c r="BR508" i="13" s="1" a="1"/>
  <c r="BR508" i="13" s="1"/>
  <c r="CN508" i="13"/>
  <c r="CO508" i="13" s="1"/>
  <c r="CJ508" i="13"/>
  <c r="CK508" i="13" s="1"/>
  <c r="CL508" i="13" s="1" a="1"/>
  <c r="CL508" i="13" s="1"/>
  <c r="CR508" i="13"/>
  <c r="CS508" i="13" s="1"/>
  <c r="BT508" i="13"/>
  <c r="BU508" i="13" s="1"/>
  <c r="BZ508" i="13" s="1" a="1"/>
  <c r="BZ508" i="13" s="1"/>
  <c r="BT515" i="13"/>
  <c r="BU515" i="13" s="1"/>
  <c r="BJ531" i="13"/>
  <c r="CN531" i="13" s="1"/>
  <c r="CO531" i="13" s="1"/>
  <c r="CB542" i="13"/>
  <c r="CC542" i="13" s="1"/>
  <c r="CR542" i="13"/>
  <c r="CS542" i="13" s="1"/>
  <c r="CT542" i="13" s="1" a="1"/>
  <c r="CT542" i="13" s="1"/>
  <c r="CR552" i="13"/>
  <c r="CS552" i="13" s="1"/>
  <c r="CT552" i="13" s="1" a="1"/>
  <c r="CT552" i="13" s="1"/>
  <c r="CJ552" i="13"/>
  <c r="CK552" i="13" s="1"/>
  <c r="CL552" i="13" s="1" a="1"/>
  <c r="CL552" i="13" s="1"/>
  <c r="CV552" i="13"/>
  <c r="CW552" i="13" s="1"/>
  <c r="BX492" i="13"/>
  <c r="BY492" i="13" s="1"/>
  <c r="BZ492" i="13" s="1" a="1"/>
  <c r="BZ492" i="13" s="1"/>
  <c r="BP509" i="13"/>
  <c r="BQ509" i="13" s="1"/>
  <c r="BR509" i="13" s="1" a="1"/>
  <c r="BR509" i="13" s="1"/>
  <c r="CN524" i="13"/>
  <c r="CO524" i="13" s="1"/>
  <c r="BT524" i="13"/>
  <c r="BU524" i="13" s="1"/>
  <c r="CJ524" i="13"/>
  <c r="CK524" i="13" s="1"/>
  <c r="CL524" i="13" s="1" a="1"/>
  <c r="CL524" i="13" s="1"/>
  <c r="CR524" i="13"/>
  <c r="CS524" i="13" s="1"/>
  <c r="BP524" i="13"/>
  <c r="BQ524" i="13" s="1"/>
  <c r="BR524" i="13" s="1" a="1"/>
  <c r="BR524" i="13" s="1"/>
  <c r="CV524" i="13"/>
  <c r="CW524" i="13" s="1"/>
  <c r="CJ496" i="13"/>
  <c r="CK496" i="13" s="1"/>
  <c r="CL496" i="13" s="1" a="1"/>
  <c r="CL496" i="13" s="1"/>
  <c r="CB508" i="13"/>
  <c r="CC508" i="13" s="1"/>
  <c r="CL527" i="13" a="1"/>
  <c r="CL527" i="13" s="1"/>
  <c r="BX547" i="13"/>
  <c r="BY547" i="13" s="1"/>
  <c r="BZ547" i="13" s="1" a="1"/>
  <c r="BZ547" i="13" s="1"/>
  <c r="CN548" i="13"/>
  <c r="CO548" i="13" s="1"/>
  <c r="CP548" i="13" s="1" a="1"/>
  <c r="CP548" i="13" s="1"/>
  <c r="CB534" i="13"/>
  <c r="CC534" i="13" s="1"/>
  <c r="CV544" i="13"/>
  <c r="CW544" i="13" s="1"/>
  <c r="BT555" i="13"/>
  <c r="BU555" i="13" s="1"/>
  <c r="BT543" i="13"/>
  <c r="BU543" i="13" s="1"/>
  <c r="CV549" i="13"/>
  <c r="CW549" i="13" s="1"/>
  <c r="CJ532" i="13"/>
  <c r="CK532" i="13" s="1"/>
  <c r="CL532" i="13" s="1" a="1"/>
  <c r="CL532" i="13" s="1"/>
  <c r="BT552" i="13"/>
  <c r="BU552" i="13" s="1"/>
  <c r="BV552" i="13" s="1" a="1"/>
  <c r="BV552" i="13" s="1"/>
  <c r="CO553" i="13"/>
  <c r="BJ553" i="13"/>
  <c r="CN553" i="13" s="1"/>
  <c r="CV563" i="13"/>
  <c r="CW563" i="13" s="1"/>
  <c r="CN576" i="13"/>
  <c r="CO576" i="13" s="1"/>
  <c r="CB592" i="13"/>
  <c r="CC592" i="13" s="1"/>
  <c r="CV508" i="13"/>
  <c r="CW508" i="13" s="1"/>
  <c r="CJ530" i="13"/>
  <c r="CK530" i="13" s="1"/>
  <c r="CL530" i="13" s="1" a="1"/>
  <c r="CL530" i="13" s="1"/>
  <c r="BP538" i="13"/>
  <c r="BQ538" i="13" s="1"/>
  <c r="BR538" i="13" s="1" a="1"/>
  <c r="BR538" i="13" s="1"/>
  <c r="CB540" i="13"/>
  <c r="CC540" i="13" s="1"/>
  <c r="BP550" i="13"/>
  <c r="BQ550" i="13" s="1"/>
  <c r="BR550" i="13" s="1" a="1"/>
  <c r="BR550" i="13" s="1"/>
  <c r="CJ574" i="13"/>
  <c r="CK574" i="13" s="1"/>
  <c r="CL574" i="13" s="1" a="1"/>
  <c r="CL574" i="13" s="1"/>
  <c r="CR574" i="13"/>
  <c r="CS574" i="13" s="1"/>
  <c r="CT574" i="13" s="1" a="1"/>
  <c r="CT574" i="13" s="1"/>
  <c r="BT574" i="13"/>
  <c r="BU574" i="13" s="1"/>
  <c r="CV574" i="13"/>
  <c r="CW574" i="13" s="1"/>
  <c r="BP574" i="13"/>
  <c r="BQ574" i="13" s="1"/>
  <c r="BR574" i="13" s="1" a="1"/>
  <c r="BR574" i="13" s="1"/>
  <c r="CR580" i="13"/>
  <c r="CS580" i="13" s="1"/>
  <c r="CT580" i="13" s="1" a="1"/>
  <c r="CT580" i="13" s="1"/>
  <c r="CR584" i="13"/>
  <c r="CS584" i="13" s="1"/>
  <c r="CR588" i="13"/>
  <c r="CS588" i="13" s="1"/>
  <c r="CR527" i="13"/>
  <c r="CS527" i="13" s="1"/>
  <c r="CT527" i="13" s="1" a="1"/>
  <c r="CT527" i="13" s="1"/>
  <c r="BX542" i="13"/>
  <c r="BY542" i="13" s="1"/>
  <c r="BZ542" i="13" s="1" a="1"/>
  <c r="BZ542" i="13" s="1"/>
  <c r="CB549" i="13"/>
  <c r="CC549" i="13" s="1"/>
  <c r="BX550" i="13"/>
  <c r="BY550" i="13" s="1"/>
  <c r="CD550" i="13" s="1" a="1"/>
  <c r="CD550" i="13" s="1"/>
  <c r="BP556" i="13"/>
  <c r="BQ556" i="13" s="1"/>
  <c r="BR556" i="13" s="1" a="1"/>
  <c r="BR556" i="13" s="1"/>
  <c r="CR556" i="13"/>
  <c r="CS556" i="13" s="1"/>
  <c r="CT556" i="13" s="1" a="1"/>
  <c r="CT556" i="13" s="1"/>
  <c r="CJ556" i="13"/>
  <c r="CK556" i="13" s="1"/>
  <c r="CL556" i="13" s="1" a="1"/>
  <c r="CL556" i="13" s="1"/>
  <c r="CB556" i="13"/>
  <c r="CC556" i="13" s="1"/>
  <c r="BT556" i="13"/>
  <c r="BU556" i="13" s="1"/>
  <c r="BV556" i="13" s="1" a="1"/>
  <c r="BV556" i="13" s="1"/>
  <c r="CN566" i="13"/>
  <c r="CO566" i="13" s="1"/>
  <c r="CP566" i="13" s="1" a="1"/>
  <c r="CP566" i="13" s="1"/>
  <c r="BJ573" i="13"/>
  <c r="BT573" i="13" s="1"/>
  <c r="BU573" i="13" s="1"/>
  <c r="BX584" i="13"/>
  <c r="BY584" i="13" s="1"/>
  <c r="BX632" i="13"/>
  <c r="BY632" i="13" s="1"/>
  <c r="CN603" i="13"/>
  <c r="CO603" i="13" s="1"/>
  <c r="BT603" i="13"/>
  <c r="BU603" i="13" s="1"/>
  <c r="CJ603" i="13"/>
  <c r="CK603" i="13" s="1"/>
  <c r="CL603" i="13" s="1" a="1"/>
  <c r="CL603" i="13" s="1"/>
  <c r="CB603" i="13"/>
  <c r="CC603" i="13" s="1"/>
  <c r="BP603" i="13"/>
  <c r="BQ603" i="13" s="1"/>
  <c r="BR603" i="13" s="1" a="1"/>
  <c r="BR603" i="13" s="1"/>
  <c r="CJ585" i="13"/>
  <c r="CK585" i="13" s="1"/>
  <c r="CL585" i="13" s="1" a="1"/>
  <c r="CL585" i="13" s="1"/>
  <c r="CB597" i="13"/>
  <c r="CC597" i="13" s="1"/>
  <c r="CJ597" i="13"/>
  <c r="CK597" i="13" s="1"/>
  <c r="CL597" i="13" s="1" a="1"/>
  <c r="CL597" i="13" s="1"/>
  <c r="CN597" i="13"/>
  <c r="CO597" i="13" s="1"/>
  <c r="BT597" i="13"/>
  <c r="BU597" i="13" s="1"/>
  <c r="BV597" i="13" s="1" a="1"/>
  <c r="BV597" i="13" s="1"/>
  <c r="BP597" i="13"/>
  <c r="BQ597" i="13" s="1"/>
  <c r="BR597" i="13" s="1" a="1"/>
  <c r="BR597" i="13" s="1"/>
  <c r="BX610" i="13"/>
  <c r="BY610" i="13" s="1"/>
  <c r="BR616" i="13" a="1"/>
  <c r="BR616" i="13" s="1"/>
  <c r="BT580" i="13"/>
  <c r="BU580" i="13" s="1"/>
  <c r="CR597" i="13"/>
  <c r="CS597" i="13" s="1"/>
  <c r="BT618" i="13"/>
  <c r="BU618" i="13" s="1"/>
  <c r="BT622" i="13"/>
  <c r="BU622" i="13" s="1"/>
  <c r="BT632" i="13"/>
  <c r="BU632" i="13" s="1"/>
  <c r="CR635" i="13"/>
  <c r="CS635" i="13" s="1"/>
  <c r="BJ639" i="13"/>
  <c r="BP639" i="13" s="1"/>
  <c r="BQ639" i="13" s="1"/>
  <c r="BR639" i="13" s="1" a="1"/>
  <c r="BR639" i="13" s="1"/>
  <c r="BJ643" i="13"/>
  <c r="CB643" i="13" s="1"/>
  <c r="CC643" i="13" s="1"/>
  <c r="CJ576" i="13"/>
  <c r="CK576" i="13" s="1"/>
  <c r="CL576" i="13" s="1" a="1"/>
  <c r="CL576" i="13" s="1"/>
  <c r="CB579" i="13"/>
  <c r="CC579" i="13" s="1"/>
  <c r="BT587" i="13"/>
  <c r="BU587" i="13" s="1"/>
  <c r="BV587" i="13" s="1" a="1"/>
  <c r="BV587" i="13" s="1"/>
  <c r="BP609" i="13"/>
  <c r="BQ609" i="13" s="1"/>
  <c r="BR609" i="13" s="1" a="1"/>
  <c r="BR609" i="13" s="1"/>
  <c r="CV622" i="13"/>
  <c r="CW622" i="13" s="1"/>
  <c r="CR568" i="13"/>
  <c r="CS568" i="13" s="1"/>
  <c r="CT568" i="13" s="1" a="1"/>
  <c r="CT568" i="13" s="1"/>
  <c r="BR577" i="13" a="1"/>
  <c r="BR577" i="13" s="1"/>
  <c r="BT567" i="13"/>
  <c r="BU567" i="13" s="1"/>
  <c r="BQ624" i="13"/>
  <c r="BR624" i="13" s="1" a="1"/>
  <c r="BR624" i="13" s="1"/>
  <c r="BJ624" i="13"/>
  <c r="BP624" i="13" s="1"/>
  <c r="BT629" i="13"/>
  <c r="BU629" i="13" s="1"/>
  <c r="BV629" i="13" s="1" a="1"/>
  <c r="BV629" i="13" s="1"/>
  <c r="CR634" i="13"/>
  <c r="CS634" i="13" s="1"/>
  <c r="BJ640" i="13"/>
  <c r="BX640" i="13" s="1"/>
  <c r="BY640" i="13" s="1"/>
  <c r="CR648" i="13"/>
  <c r="CS648" i="13" s="1"/>
  <c r="CV638" i="13"/>
  <c r="CW638" i="13" s="1"/>
  <c r="BT656" i="13"/>
  <c r="BU656" i="13" s="1"/>
  <c r="CB664" i="13"/>
  <c r="CC664" i="13" s="1"/>
  <c r="CN644" i="13"/>
  <c r="CO644" i="13" s="1"/>
  <c r="CP644" i="13" s="1" a="1"/>
  <c r="CP644" i="13" s="1"/>
  <c r="CN658" i="13"/>
  <c r="CO658" i="13" s="1"/>
  <c r="CP658" i="13" s="1" a="1"/>
  <c r="CP658" i="13" s="1"/>
  <c r="CV681" i="13"/>
  <c r="CW681" i="13" s="1"/>
  <c r="CJ641" i="13"/>
  <c r="CK641" i="13" s="1"/>
  <c r="CL641" i="13" s="1" a="1"/>
  <c r="CL641" i="13" s="1"/>
  <c r="BJ667" i="13"/>
  <c r="BX667" i="13" s="1"/>
  <c r="BY667" i="13" s="1"/>
  <c r="CN681" i="13"/>
  <c r="CO681" i="13" s="1"/>
  <c r="CP681" i="13" s="1" a="1"/>
  <c r="CP681" i="13" s="1"/>
  <c r="CR615" i="13"/>
  <c r="CS615" i="13" s="1"/>
  <c r="BP664" i="13"/>
  <c r="BQ664" i="13" s="1"/>
  <c r="BR664" i="13" s="1" a="1"/>
  <c r="BR664" i="13" s="1"/>
  <c r="CJ664" i="13"/>
  <c r="CK664" i="13" s="1"/>
  <c r="CL664" i="13" s="1" a="1"/>
  <c r="CL664" i="13" s="1"/>
  <c r="BJ660" i="13"/>
  <c r="BX660" i="13" s="1"/>
  <c r="BY660" i="13" s="1"/>
  <c r="BJ665" i="13"/>
  <c r="CJ665" i="13" s="1"/>
  <c r="CK665" i="13" s="1"/>
  <c r="CL665" i="13" s="1" a="1"/>
  <c r="CL665" i="13" s="1"/>
  <c r="BP679" i="13"/>
  <c r="BQ679" i="13" s="1"/>
  <c r="BR679" i="13" s="1" a="1"/>
  <c r="BR679" i="13" s="1"/>
  <c r="CJ679" i="13"/>
  <c r="CK679" i="13" s="1"/>
  <c r="CL679" i="13" s="1" a="1"/>
  <c r="CL679" i="13" s="1"/>
  <c r="CN621" i="13"/>
  <c r="CO621" i="13" s="1"/>
  <c r="BP662" i="13"/>
  <c r="BQ662" i="13" s="1"/>
  <c r="BR662" i="13" s="1" a="1"/>
  <c r="BR662" i="13" s="1"/>
  <c r="CJ662" i="13"/>
  <c r="CK662" i="13" s="1"/>
  <c r="CL662" i="13" s="1" a="1"/>
  <c r="CL662" i="13" s="1"/>
  <c r="CV677" i="13"/>
  <c r="CW677" i="13" s="1"/>
  <c r="BT684" i="13"/>
  <c r="BU684" i="13" s="1"/>
  <c r="CY727" i="13" a="1"/>
  <c r="CY727" i="13" s="1"/>
  <c r="CX727" i="13" a="1"/>
  <c r="CX727" i="13" s="1"/>
  <c r="BX644" i="13"/>
  <c r="BY644" i="13" s="1"/>
  <c r="CB658" i="13"/>
  <c r="CC658" i="13" s="1"/>
  <c r="CV628" i="13"/>
  <c r="CW628" i="13" s="1"/>
  <c r="CV642" i="13"/>
  <c r="CW642" i="13" s="1"/>
  <c r="BP648" i="13"/>
  <c r="BQ648" i="13" s="1"/>
  <c r="BR648" i="13" s="1" a="1"/>
  <c r="BR648" i="13" s="1"/>
  <c r="BP680" i="13"/>
  <c r="BQ680" i="13" s="1"/>
  <c r="BR680" i="13" s="1" a="1"/>
  <c r="BR680" i="13" s="1"/>
  <c r="BX680" i="13"/>
  <c r="BY680" i="13" s="1"/>
  <c r="BZ680" i="13" s="1" a="1"/>
  <c r="BZ680" i="13" s="1"/>
  <c r="CJ680" i="13"/>
  <c r="CK680" i="13" s="1"/>
  <c r="CL680" i="13" s="1" a="1"/>
  <c r="CL680" i="13" s="1"/>
  <c r="CV680" i="13"/>
  <c r="CW680" i="13" s="1"/>
  <c r="CN726" i="13"/>
  <c r="CO726" i="13" s="1"/>
  <c r="CP726" i="13" s="1" a="1"/>
  <c r="CP726" i="13" s="1"/>
  <c r="BT726" i="13"/>
  <c r="BU726" i="13" s="1"/>
  <c r="CJ726" i="13"/>
  <c r="CK726" i="13" s="1"/>
  <c r="CL726" i="13" s="1" a="1"/>
  <c r="CL726" i="13" s="1"/>
  <c r="BP726" i="13"/>
  <c r="BQ726" i="13" s="1"/>
  <c r="BR726" i="13" s="1" a="1"/>
  <c r="BR726" i="13" s="1"/>
  <c r="BX726" i="13"/>
  <c r="BY726" i="13" s="1"/>
  <c r="BZ726" i="13" s="1" a="1"/>
  <c r="BZ726" i="13" s="1"/>
  <c r="CV726" i="13"/>
  <c r="CW726" i="13" s="1"/>
  <c r="CB726" i="13"/>
  <c r="CC726" i="13" s="1"/>
  <c r="CZ733" i="13"/>
  <c r="Z733" i="13" s="1"/>
  <c r="BP739" i="13"/>
  <c r="BQ739" i="13" s="1"/>
  <c r="BR739" i="13" s="1" a="1"/>
  <c r="BR739" i="13" s="1"/>
  <c r="CB697" i="13"/>
  <c r="CC697" i="13" s="1"/>
  <c r="BP709" i="13"/>
  <c r="BQ709" i="13" s="1"/>
  <c r="BR709" i="13" s="1" a="1"/>
  <c r="BR709" i="13" s="1"/>
  <c r="CP729" i="13" a="1"/>
  <c r="CP729" i="13" s="1"/>
  <c r="CZ729" i="13" s="1"/>
  <c r="Z729" i="13" s="1"/>
  <c r="CR702" i="13"/>
  <c r="CS702" i="13" s="1"/>
  <c r="CT702" i="13" s="1" a="1"/>
  <c r="CT702" i="13" s="1"/>
  <c r="CB682" i="13"/>
  <c r="CC682" i="13" s="1"/>
  <c r="CN736" i="13"/>
  <c r="CO736" i="13" s="1"/>
  <c r="CJ736" i="13"/>
  <c r="CK736" i="13" s="1"/>
  <c r="CL736" i="13" s="1" a="1"/>
  <c r="CL736" i="13" s="1"/>
  <c r="BP736" i="13"/>
  <c r="BQ736" i="13" s="1"/>
  <c r="BR736" i="13" s="1" a="1"/>
  <c r="BR736" i="13" s="1"/>
  <c r="CR736" i="13"/>
  <c r="CS736" i="13" s="1"/>
  <c r="BX736" i="13"/>
  <c r="BY736" i="13" s="1"/>
  <c r="BT736" i="13"/>
  <c r="BU736" i="13" s="1"/>
  <c r="CV736" i="13"/>
  <c r="CW736" i="13" s="1"/>
  <c r="BX759" i="13"/>
  <c r="BY759" i="13" s="1"/>
  <c r="CN759" i="13"/>
  <c r="CO759" i="13" s="1"/>
  <c r="CB759" i="13"/>
  <c r="CC759" i="13" s="1"/>
  <c r="BT759" i="13"/>
  <c r="BU759" i="13" s="1"/>
  <c r="BV759" i="13" s="1" a="1"/>
  <c r="BV759" i="13" s="1"/>
  <c r="CV759" i="13"/>
  <c r="CW759" i="13" s="1"/>
  <c r="BP759" i="13"/>
  <c r="BQ759" i="13" s="1"/>
  <c r="BR759" i="13" s="1" a="1"/>
  <c r="BR759" i="13" s="1"/>
  <c r="CJ759" i="13"/>
  <c r="CK759" i="13" s="1"/>
  <c r="CL759" i="13" s="1" a="1"/>
  <c r="CL759" i="13" s="1"/>
  <c r="CV775" i="13"/>
  <c r="CW775" i="13" s="1"/>
  <c r="CR775" i="13"/>
  <c r="CS775" i="13" s="1"/>
  <c r="CT775" i="13" s="1" a="1"/>
  <c r="CT775" i="13" s="1"/>
  <c r="BX775" i="13"/>
  <c r="BY775" i="13" s="1"/>
  <c r="BZ775" i="13" s="1" a="1"/>
  <c r="BZ775" i="13" s="1"/>
  <c r="CN775" i="13"/>
  <c r="CO775" i="13" s="1"/>
  <c r="CB775" i="13"/>
  <c r="CC775" i="13" s="1"/>
  <c r="BT775" i="13"/>
  <c r="BU775" i="13" s="1"/>
  <c r="BP775" i="13"/>
  <c r="BQ775" i="13" s="1"/>
  <c r="BR775" i="13" s="1" a="1"/>
  <c r="BR775" i="13" s="1"/>
  <c r="CJ775" i="13"/>
  <c r="CK775" i="13" s="1"/>
  <c r="CL775" i="13" s="1" a="1"/>
  <c r="CL775" i="13" s="1"/>
  <c r="CP699" i="13" a="1"/>
  <c r="CP699" i="13" s="1"/>
  <c r="CZ699" i="13" s="1"/>
  <c r="Z699" i="13" s="1"/>
  <c r="CR704" i="13"/>
  <c r="CS704" i="13" s="1"/>
  <c r="CT704" i="13" s="1" a="1"/>
  <c r="CT704" i="13" s="1"/>
  <c r="BJ756" i="13"/>
  <c r="CJ756" i="13" s="1"/>
  <c r="CK756" i="13" s="1"/>
  <c r="CL756" i="13" s="1" a="1"/>
  <c r="CL756" i="13" s="1"/>
  <c r="BJ764" i="13"/>
  <c r="CV764" i="13" s="1"/>
  <c r="CW764" i="13" s="1"/>
  <c r="BJ772" i="13"/>
  <c r="BP772" i="13" s="1"/>
  <c r="BQ772" i="13" s="1"/>
  <c r="BR772" i="13" s="1" a="1"/>
  <c r="BR772" i="13" s="1"/>
  <c r="CN785" i="13"/>
  <c r="CO785" i="13" s="1"/>
  <c r="BT785" i="13"/>
  <c r="BU785" i="13" s="1"/>
  <c r="BV785" i="13" s="1" a="1"/>
  <c r="BV785" i="13" s="1"/>
  <c r="BX785" i="13"/>
  <c r="BY785" i="13" s="1"/>
  <c r="CB785" i="13"/>
  <c r="CC785" i="13" s="1"/>
  <c r="CV785" i="13"/>
  <c r="CW785" i="13" s="1"/>
  <c r="CJ785" i="13"/>
  <c r="CK785" i="13" s="1"/>
  <c r="CL785" i="13" s="1" a="1"/>
  <c r="CL785" i="13" s="1"/>
  <c r="BP785" i="13"/>
  <c r="BQ785" i="13" s="1"/>
  <c r="BR785" i="13" s="1" a="1"/>
  <c r="BR785" i="13" s="1"/>
  <c r="CR785" i="13"/>
  <c r="CS785" i="13" s="1"/>
  <c r="CB801" i="13"/>
  <c r="CC801" i="13" s="1"/>
  <c r="CR801" i="13"/>
  <c r="CS801" i="13" s="1"/>
  <c r="CT801" i="13" s="1" a="1"/>
  <c r="CT801" i="13" s="1"/>
  <c r="CV801" i="13"/>
  <c r="CW801" i="13" s="1"/>
  <c r="BX801" i="13"/>
  <c r="BY801" i="13" s="1"/>
  <c r="CJ801" i="13"/>
  <c r="CK801" i="13" s="1"/>
  <c r="CL801" i="13" s="1" a="1"/>
  <c r="CL801" i="13" s="1"/>
  <c r="BP801" i="13"/>
  <c r="BQ801" i="13" s="1"/>
  <c r="BR801" i="13" s="1" a="1"/>
  <c r="BR801" i="13" s="1"/>
  <c r="CN801" i="13"/>
  <c r="CO801" i="13" s="1"/>
  <c r="BT801" i="13"/>
  <c r="BU801" i="13" s="1"/>
  <c r="CY838" i="13" a="1"/>
  <c r="CY838" i="13" s="1"/>
  <c r="CX838" i="13" a="1"/>
  <c r="CX838" i="13" s="1"/>
  <c r="BZ846" i="13" a="1"/>
  <c r="BZ846" i="13" s="1"/>
  <c r="CE959" i="13" a="1"/>
  <c r="CE959" i="13" s="1"/>
  <c r="CY988" i="13" a="1"/>
  <c r="CY988" i="13" s="1"/>
  <c r="CD974" i="13" a="1"/>
  <c r="CD974" i="13" s="1"/>
  <c r="CE974" i="13" a="1"/>
  <c r="CE974" i="13" s="1"/>
  <c r="CY961" i="13" a="1"/>
  <c r="CY961" i="13" s="1"/>
  <c r="CJ458" i="13"/>
  <c r="CK458" i="13" s="1"/>
  <c r="CL458" i="13" s="1" a="1"/>
  <c r="CL458" i="13" s="1"/>
  <c r="BX460" i="13"/>
  <c r="BY460" i="13" s="1"/>
  <c r="BJ468" i="13"/>
  <c r="CR468" i="13" s="1"/>
  <c r="CS468" i="13" s="1"/>
  <c r="BJ472" i="13"/>
  <c r="CJ472" i="13" s="1"/>
  <c r="CK472" i="13" s="1"/>
  <c r="CL472" i="13" s="1" a="1"/>
  <c r="CL472" i="13" s="1"/>
  <c r="CB449" i="13"/>
  <c r="CC449" i="13" s="1"/>
  <c r="BT457" i="13"/>
  <c r="BU457" i="13" s="1"/>
  <c r="BJ470" i="13"/>
  <c r="BT470" i="13" s="1"/>
  <c r="BU470" i="13" s="1"/>
  <c r="CV439" i="13"/>
  <c r="CW439" i="13" s="1"/>
  <c r="BT448" i="13"/>
  <c r="BU448" i="13" s="1"/>
  <c r="BJ483" i="13"/>
  <c r="CJ483" i="13" s="1"/>
  <c r="CK483" i="13" s="1"/>
  <c r="CL483" i="13" s="1" a="1"/>
  <c r="CL483" i="13" s="1"/>
  <c r="BJ495" i="13"/>
  <c r="CN495" i="13" s="1"/>
  <c r="CO495" i="13" s="1"/>
  <c r="CR509" i="13"/>
  <c r="CS509" i="13" s="1"/>
  <c r="CN459" i="13"/>
  <c r="CO459" i="13" s="1"/>
  <c r="CP459" i="13" s="1" a="1"/>
  <c r="CP459" i="13" s="1"/>
  <c r="CV460" i="13"/>
  <c r="CW460" i="13" s="1"/>
  <c r="CN464" i="13"/>
  <c r="CO464" i="13" s="1"/>
  <c r="BX446" i="13"/>
  <c r="BY446" i="13" s="1"/>
  <c r="CB454" i="13"/>
  <c r="CC454" i="13" s="1"/>
  <c r="CN424" i="13"/>
  <c r="CO424" i="13" s="1"/>
  <c r="CN467" i="13"/>
  <c r="CO467" i="13" s="1"/>
  <c r="CN479" i="13"/>
  <c r="CO479" i="13" s="1"/>
  <c r="BT479" i="13"/>
  <c r="BU479" i="13" s="1"/>
  <c r="CJ479" i="13"/>
  <c r="CK479" i="13" s="1"/>
  <c r="CL479" i="13" s="1" a="1"/>
  <c r="CL479" i="13" s="1"/>
  <c r="BP479" i="13"/>
  <c r="BQ479" i="13" s="1"/>
  <c r="BR479" i="13" s="1" a="1"/>
  <c r="BR479" i="13" s="1"/>
  <c r="CR479" i="13"/>
  <c r="CS479" i="13" s="1"/>
  <c r="CT479" i="13" s="1" a="1"/>
  <c r="CT479" i="13" s="1"/>
  <c r="BX479" i="13"/>
  <c r="BY479" i="13" s="1"/>
  <c r="CR470" i="13"/>
  <c r="CS470" i="13" s="1"/>
  <c r="CN498" i="13"/>
  <c r="CO498" i="13" s="1"/>
  <c r="CP498" i="13" s="1" a="1"/>
  <c r="CP498" i="13" s="1"/>
  <c r="BP506" i="13"/>
  <c r="BQ506" i="13" s="1"/>
  <c r="BR506" i="13" s="1" a="1"/>
  <c r="BR506" i="13" s="1"/>
  <c r="CN506" i="13"/>
  <c r="CO506" i="13" s="1"/>
  <c r="CP506" i="13" s="1" a="1"/>
  <c r="CP506" i="13" s="1"/>
  <c r="CJ506" i="13"/>
  <c r="CK506" i="13" s="1"/>
  <c r="CL506" i="13" s="1" a="1"/>
  <c r="CL506" i="13" s="1"/>
  <c r="BT506" i="13"/>
  <c r="BU506" i="13" s="1"/>
  <c r="CR506" i="13"/>
  <c r="CS506" i="13" s="1"/>
  <c r="CT506" i="13" s="1" a="1"/>
  <c r="CT506" i="13" s="1"/>
  <c r="CV479" i="13"/>
  <c r="CW479" i="13" s="1"/>
  <c r="CN476" i="13"/>
  <c r="CO476" i="13" s="1"/>
  <c r="CP476" i="13" s="1" a="1"/>
  <c r="CP476" i="13" s="1"/>
  <c r="CN480" i="13"/>
  <c r="CO480" i="13" s="1"/>
  <c r="CP480" i="13" s="1" a="1"/>
  <c r="CP480" i="13" s="1"/>
  <c r="CN484" i="13"/>
  <c r="CO484" i="13" s="1"/>
  <c r="CP484" i="13" s="1" a="1"/>
  <c r="CP484" i="13" s="1"/>
  <c r="CN488" i="13"/>
  <c r="CO488" i="13" s="1"/>
  <c r="CP488" i="13" s="1" a="1"/>
  <c r="CP488" i="13" s="1"/>
  <c r="CB500" i="13"/>
  <c r="CC500" i="13" s="1"/>
  <c r="CV493" i="13"/>
  <c r="CW493" i="13" s="1"/>
  <c r="BX529" i="13"/>
  <c r="BY529" i="13" s="1"/>
  <c r="BZ529" i="13" s="1" a="1"/>
  <c r="BZ529" i="13" s="1"/>
  <c r="BX541" i="13"/>
  <c r="BY541" i="13" s="1"/>
  <c r="BP465" i="13"/>
  <c r="BQ465" i="13" s="1"/>
  <c r="BR465" i="13" s="1" a="1"/>
  <c r="BR465" i="13" s="1"/>
  <c r="CV477" i="13"/>
  <c r="CW477" i="13" s="1"/>
  <c r="CJ494" i="13"/>
  <c r="CK494" i="13" s="1"/>
  <c r="CL494" i="13" s="1" a="1"/>
  <c r="CL494" i="13" s="1"/>
  <c r="CV501" i="13"/>
  <c r="CW501" i="13" s="1"/>
  <c r="CJ478" i="13"/>
  <c r="CK478" i="13" s="1"/>
  <c r="CL478" i="13" s="1" a="1"/>
  <c r="CL478" i="13" s="1"/>
  <c r="CJ482" i="13"/>
  <c r="CK482" i="13" s="1"/>
  <c r="CL482" i="13" s="1" a="1"/>
  <c r="CL482" i="13" s="1"/>
  <c r="CJ486" i="13"/>
  <c r="CK486" i="13" s="1"/>
  <c r="CL486" i="13" s="1" a="1"/>
  <c r="CL486" i="13" s="1"/>
  <c r="CJ490" i="13"/>
  <c r="CK490" i="13" s="1"/>
  <c r="CL490" i="13" s="1" a="1"/>
  <c r="CL490" i="13" s="1"/>
  <c r="BT496" i="13"/>
  <c r="BU496" i="13" s="1"/>
  <c r="BV496" i="13" s="1" a="1"/>
  <c r="BV496" i="13" s="1"/>
  <c r="CN516" i="13"/>
  <c r="CO516" i="13" s="1"/>
  <c r="CJ516" i="13"/>
  <c r="CK516" i="13" s="1"/>
  <c r="CL516" i="13" s="1" a="1"/>
  <c r="CL516" i="13" s="1"/>
  <c r="BT516" i="13"/>
  <c r="BU516" i="13" s="1"/>
  <c r="CR516" i="13"/>
  <c r="CS516" i="13" s="1"/>
  <c r="BP516" i="13"/>
  <c r="BQ516" i="13" s="1"/>
  <c r="BR516" i="13" s="1" a="1"/>
  <c r="BR516" i="13" s="1"/>
  <c r="BT531" i="13"/>
  <c r="BU531" i="13" s="1"/>
  <c r="CV534" i="13"/>
  <c r="CW534" i="13" s="1"/>
  <c r="BT544" i="13"/>
  <c r="BU544" i="13" s="1"/>
  <c r="BV544" i="13" s="1" a="1"/>
  <c r="BV544" i="13" s="1"/>
  <c r="BX548" i="13"/>
  <c r="BY548" i="13" s="1"/>
  <c r="BZ548" i="13" s="1" a="1"/>
  <c r="BZ548" i="13" s="1"/>
  <c r="BJ561" i="13"/>
  <c r="BP561" i="13" s="1"/>
  <c r="BQ561" i="13" s="1"/>
  <c r="BR561" i="13" s="1" a="1"/>
  <c r="BR561" i="13" s="1"/>
  <c r="BX525" i="13"/>
  <c r="BY525" i="13" s="1"/>
  <c r="BX543" i="13"/>
  <c r="BY543" i="13" s="1"/>
  <c r="CR550" i="13"/>
  <c r="CS550" i="13" s="1"/>
  <c r="CT550" i="13" s="1" a="1"/>
  <c r="CT550" i="13" s="1"/>
  <c r="CN561" i="13"/>
  <c r="CO561" i="13" s="1"/>
  <c r="BP564" i="13"/>
  <c r="BQ564" i="13" s="1"/>
  <c r="BR564" i="13" s="1" a="1"/>
  <c r="BR564" i="13" s="1"/>
  <c r="BX564" i="13"/>
  <c r="BY564" i="13" s="1"/>
  <c r="CJ564" i="13"/>
  <c r="CK564" i="13" s="1"/>
  <c r="CL564" i="13" s="1" a="1"/>
  <c r="CL564" i="13" s="1"/>
  <c r="CR564" i="13"/>
  <c r="CS564" i="13" s="1"/>
  <c r="CT564" i="13" s="1" a="1"/>
  <c r="CT564" i="13" s="1"/>
  <c r="CB564" i="13"/>
  <c r="CC564" i="13" s="1"/>
  <c r="CV564" i="13"/>
  <c r="CW564" i="13" s="1"/>
  <c r="BT564" i="13"/>
  <c r="BU564" i="13" s="1"/>
  <c r="BV564" i="13" s="1" a="1"/>
  <c r="BV564" i="13" s="1"/>
  <c r="CB532" i="13"/>
  <c r="CC532" i="13" s="1"/>
  <c r="CB573" i="13"/>
  <c r="CC573" i="13" s="1"/>
  <c r="CB598" i="13"/>
  <c r="CC598" i="13" s="1"/>
  <c r="CJ543" i="13"/>
  <c r="CK543" i="13" s="1"/>
  <c r="CL543" i="13" s="1" a="1"/>
  <c r="CL543" i="13" s="1"/>
  <c r="CJ550" i="13"/>
  <c r="CK550" i="13" s="1"/>
  <c r="CL550" i="13" s="1" a="1"/>
  <c r="CL550" i="13" s="1"/>
  <c r="CJ565" i="13"/>
  <c r="CK565" i="13" s="1"/>
  <c r="CL565" i="13" s="1" a="1"/>
  <c r="CL565" i="13" s="1"/>
  <c r="BP565" i="13"/>
  <c r="BQ565" i="13" s="1"/>
  <c r="BR565" i="13" s="1" a="1"/>
  <c r="BR565" i="13" s="1"/>
  <c r="CB530" i="13"/>
  <c r="CC530" i="13" s="1"/>
  <c r="CJ538" i="13"/>
  <c r="CK538" i="13" s="1"/>
  <c r="CL538" i="13" s="1" a="1"/>
  <c r="CL538" i="13" s="1"/>
  <c r="CV540" i="13"/>
  <c r="CW540" i="13" s="1"/>
  <c r="BJ545" i="13"/>
  <c r="CR545" i="13" s="1"/>
  <c r="CS545" i="13" s="1"/>
  <c r="BT550" i="13"/>
  <c r="BU550" i="13" s="1"/>
  <c r="BV550" i="13" s="1" a="1"/>
  <c r="BV550" i="13" s="1"/>
  <c r="CJ555" i="13"/>
  <c r="CK555" i="13" s="1"/>
  <c r="CL555" i="13" s="1" a="1"/>
  <c r="CL555" i="13" s="1"/>
  <c r="BP555" i="13"/>
  <c r="BQ555" i="13" s="1"/>
  <c r="BR555" i="13" s="1" a="1"/>
  <c r="BR555" i="13" s="1"/>
  <c r="BJ571" i="13"/>
  <c r="CB571" i="13" s="1"/>
  <c r="CC571" i="13" s="1"/>
  <c r="BJ590" i="13"/>
  <c r="BX590" i="13" s="1"/>
  <c r="BY590" i="13" s="1"/>
  <c r="CR594" i="13"/>
  <c r="CS594" i="13" s="1"/>
  <c r="CR494" i="13"/>
  <c r="CS494" i="13" s="1"/>
  <c r="CT494" i="13" s="1" a="1"/>
  <c r="CT494" i="13" s="1"/>
  <c r="CV518" i="13"/>
  <c r="CW518" i="13" s="1"/>
  <c r="BX527" i="13"/>
  <c r="BY527" i="13" s="1"/>
  <c r="BX536" i="13"/>
  <c r="BY536" i="13" s="1"/>
  <c r="BZ536" i="13" s="1" a="1"/>
  <c r="BZ536" i="13" s="1"/>
  <c r="CJ553" i="13"/>
  <c r="CK553" i="13" s="1"/>
  <c r="CL553" i="13" s="1" a="1"/>
  <c r="CL553" i="13" s="1"/>
  <c r="CV543" i="13"/>
  <c r="CW543" i="13" s="1"/>
  <c r="BT549" i="13"/>
  <c r="BU549" i="13" s="1"/>
  <c r="BV549" i="13" s="1" a="1"/>
  <c r="BV549" i="13" s="1"/>
  <c r="BP562" i="13"/>
  <c r="BQ562" i="13" s="1"/>
  <c r="BR562" i="13" s="1" a="1"/>
  <c r="BR562" i="13" s="1"/>
  <c r="CB562" i="13"/>
  <c r="CC562" i="13" s="1"/>
  <c r="CV562" i="13"/>
  <c r="CW562" i="13" s="1"/>
  <c r="BT562" i="13"/>
  <c r="BU562" i="13" s="1"/>
  <c r="BX562" i="13"/>
  <c r="BY562" i="13" s="1"/>
  <c r="CJ562" i="13"/>
  <c r="CK562" i="13" s="1"/>
  <c r="CL562" i="13" s="1" a="1"/>
  <c r="CL562" i="13" s="1"/>
  <c r="CR562" i="13"/>
  <c r="CS562" i="13" s="1"/>
  <c r="CT562" i="13" s="1" a="1"/>
  <c r="CT562" i="13" s="1"/>
  <c r="BP567" i="13"/>
  <c r="BQ567" i="13" s="1"/>
  <c r="BR567" i="13" s="1" a="1"/>
  <c r="BR567" i="13" s="1"/>
  <c r="CV581" i="13"/>
  <c r="CW581" i="13" s="1"/>
  <c r="BX618" i="13"/>
  <c r="BY618" i="13" s="1"/>
  <c r="BX634" i="13"/>
  <c r="BY634" i="13" s="1"/>
  <c r="BZ634" i="13" s="1" a="1"/>
  <c r="BZ634" i="13" s="1"/>
  <c r="CV558" i="13"/>
  <c r="CW558" i="13" s="1"/>
  <c r="CV604" i="13"/>
  <c r="CW604" i="13" s="1"/>
  <c r="CB639" i="13"/>
  <c r="CC639" i="13" s="1"/>
  <c r="CB647" i="13"/>
  <c r="CC647" i="13" s="1"/>
  <c r="CB599" i="13"/>
  <c r="CC599" i="13" s="1"/>
  <c r="CJ599" i="13"/>
  <c r="CK599" i="13" s="1"/>
  <c r="CL599" i="13" s="1" a="1"/>
  <c r="CL599" i="13" s="1"/>
  <c r="CN599" i="13"/>
  <c r="CO599" i="13" s="1"/>
  <c r="BT599" i="13"/>
  <c r="BU599" i="13" s="1"/>
  <c r="BZ599" i="13" s="1" a="1"/>
  <c r="BZ599" i="13" s="1"/>
  <c r="BP599" i="13"/>
  <c r="BQ599" i="13" s="1"/>
  <c r="BR599" i="13" s="1" a="1"/>
  <c r="BR599" i="13" s="1"/>
  <c r="BX604" i="13"/>
  <c r="BY604" i="13" s="1"/>
  <c r="BZ604" i="13" s="1" a="1"/>
  <c r="BZ604" i="13" s="1"/>
  <c r="BJ614" i="13"/>
  <c r="CV614" i="13" s="1"/>
  <c r="CW614" i="13" s="1"/>
  <c r="CR599" i="13"/>
  <c r="CS599" i="13" s="1"/>
  <c r="CT599" i="13" s="1" a="1"/>
  <c r="CT599" i="13" s="1"/>
  <c r="CN605" i="13"/>
  <c r="CO605" i="13" s="1"/>
  <c r="CT605" i="13" s="1" a="1"/>
  <c r="CT605" i="13" s="1"/>
  <c r="BP605" i="13"/>
  <c r="BQ605" i="13" s="1"/>
  <c r="BR605" i="13" s="1" a="1"/>
  <c r="BR605" i="13" s="1"/>
  <c r="CB605" i="13"/>
  <c r="CC605" i="13" s="1"/>
  <c r="BT605" i="13"/>
  <c r="BU605" i="13" s="1"/>
  <c r="CJ605" i="13"/>
  <c r="CK605" i="13" s="1"/>
  <c r="CL605" i="13" s="1" a="1"/>
  <c r="CL605" i="13" s="1"/>
  <c r="CN610" i="13"/>
  <c r="CO610" i="13" s="1"/>
  <c r="CN615" i="13"/>
  <c r="CO615" i="13" s="1"/>
  <c r="CP615" i="13" s="1" a="1"/>
  <c r="CP615" i="13" s="1"/>
  <c r="BJ619" i="13"/>
  <c r="BX619" i="13" s="1"/>
  <c r="BY619" i="13" s="1"/>
  <c r="BJ623" i="13"/>
  <c r="CJ623" i="13" s="1"/>
  <c r="CK623" i="13" s="1"/>
  <c r="CL623" i="13" s="1" a="1"/>
  <c r="CL623" i="13" s="1"/>
  <c r="BT626" i="13"/>
  <c r="BU626" i="13" s="1"/>
  <c r="BV626" i="13" s="1" a="1"/>
  <c r="BV626" i="13" s="1"/>
  <c r="CR629" i="13"/>
  <c r="CS629" i="13" s="1"/>
  <c r="BJ633" i="13"/>
  <c r="BT633" i="13" s="1"/>
  <c r="BU633" i="13" s="1"/>
  <c r="CR643" i="13"/>
  <c r="CS643" i="13" s="1"/>
  <c r="CN587" i="13"/>
  <c r="CO587" i="13" s="1"/>
  <c r="CP587" i="13" s="1" a="1"/>
  <c r="CP587" i="13" s="1"/>
  <c r="BJ606" i="13"/>
  <c r="BT606" i="13" s="1"/>
  <c r="BU606" i="13" s="1"/>
  <c r="BX629" i="13"/>
  <c r="BY629" i="13" s="1"/>
  <c r="CB646" i="13"/>
  <c r="CC646" i="13" s="1"/>
  <c r="CR603" i="13"/>
  <c r="CS603" i="13" s="1"/>
  <c r="CT603" i="13" s="1" a="1"/>
  <c r="CT603" i="13" s="1"/>
  <c r="CB566" i="13"/>
  <c r="CC566" i="13" s="1"/>
  <c r="CN601" i="13"/>
  <c r="CO601" i="13" s="1"/>
  <c r="CB601" i="13"/>
  <c r="CC601" i="13" s="1"/>
  <c r="BP601" i="13"/>
  <c r="BQ601" i="13" s="1"/>
  <c r="BR601" i="13" s="1" a="1"/>
  <c r="BR601" i="13" s="1"/>
  <c r="BT601" i="13"/>
  <c r="BU601" i="13" s="1"/>
  <c r="BV601" i="13" s="1" a="1"/>
  <c r="BV601" i="13" s="1"/>
  <c r="CJ601" i="13"/>
  <c r="CK601" i="13" s="1"/>
  <c r="CL601" i="13" s="1" a="1"/>
  <c r="CL601" i="13" s="1"/>
  <c r="CV602" i="13"/>
  <c r="CW602" i="13" s="1"/>
  <c r="CR624" i="13"/>
  <c r="CS624" i="13" s="1"/>
  <c r="BJ630" i="13"/>
  <c r="BT630" i="13" s="1"/>
  <c r="BU630" i="13" s="1"/>
  <c r="BT635" i="13"/>
  <c r="BU635" i="13" s="1"/>
  <c r="BV635" i="13" s="1" a="1"/>
  <c r="BV635" i="13" s="1"/>
  <c r="CR640" i="13"/>
  <c r="CS640" i="13" s="1"/>
  <c r="CT640" i="13" s="1" a="1"/>
  <c r="CT640" i="13" s="1"/>
  <c r="BT649" i="13"/>
  <c r="BU649" i="13" s="1"/>
  <c r="CN640" i="13"/>
  <c r="CO640" i="13" s="1"/>
  <c r="BJ669" i="13"/>
  <c r="BT669" i="13" s="1"/>
  <c r="BU669" i="13" s="1"/>
  <c r="BT659" i="13"/>
  <c r="BU659" i="13" s="1"/>
  <c r="BV659" i="13" s="1" a="1"/>
  <c r="BV659" i="13" s="1"/>
  <c r="CV631" i="13"/>
  <c r="CW631" i="13" s="1"/>
  <c r="BX642" i="13"/>
  <c r="BY642" i="13" s="1"/>
  <c r="BZ642" i="13" s="1" a="1"/>
  <c r="BZ642" i="13" s="1"/>
  <c r="BJ654" i="13"/>
  <c r="BX654" i="13" s="1"/>
  <c r="BY654" i="13"/>
  <c r="BX664" i="13"/>
  <c r="BY664" i="13" s="1"/>
  <c r="BP673" i="13"/>
  <c r="BQ673" i="13" s="1"/>
  <c r="BR673" i="13" s="1" a="1"/>
  <c r="BR673" i="13" s="1"/>
  <c r="CJ673" i="13"/>
  <c r="CK673" i="13" s="1"/>
  <c r="CL673" i="13" s="1" a="1"/>
  <c r="CL673" i="13" s="1"/>
  <c r="BJ657" i="13"/>
  <c r="BT657" i="13" s="1"/>
  <c r="BU657" i="13" s="1"/>
  <c r="CN664" i="13"/>
  <c r="CO664" i="13" s="1"/>
  <c r="BJ678" i="13"/>
  <c r="CB678" i="13" s="1"/>
  <c r="CC678" i="13" s="1"/>
  <c r="CV615" i="13"/>
  <c r="CW615" i="13" s="1"/>
  <c r="BP671" i="13"/>
  <c r="BQ671" i="13" s="1"/>
  <c r="BR671" i="13" s="1" a="1"/>
  <c r="BR671" i="13" s="1"/>
  <c r="CJ671" i="13"/>
  <c r="CK671" i="13" s="1"/>
  <c r="CL671" i="13" s="1" a="1"/>
  <c r="CL671" i="13" s="1"/>
  <c r="BZ701" i="13" a="1"/>
  <c r="BZ701" i="13" s="1"/>
  <c r="BJ655" i="13"/>
  <c r="CV655" i="13" s="1"/>
  <c r="CW655" i="13" s="1"/>
  <c r="BT663" i="13"/>
  <c r="BU663" i="13" s="1"/>
  <c r="BP666" i="13"/>
  <c r="BQ666" i="13" s="1"/>
  <c r="BR666" i="13" s="1" a="1"/>
  <c r="BR666" i="13" s="1"/>
  <c r="BX666" i="13"/>
  <c r="BY666" i="13" s="1"/>
  <c r="BZ666" i="13" s="1" a="1"/>
  <c r="BZ666" i="13" s="1"/>
  <c r="CJ666" i="13"/>
  <c r="CK666" i="13" s="1"/>
  <c r="CL666" i="13" s="1" a="1"/>
  <c r="CL666" i="13" s="1"/>
  <c r="CV685" i="13"/>
  <c r="CW685" i="13" s="1"/>
  <c r="BP634" i="13"/>
  <c r="BQ634" i="13" s="1"/>
  <c r="BR634" i="13" s="1" a="1"/>
  <c r="BR634" i="13" s="1"/>
  <c r="CB651" i="13"/>
  <c r="CC651" i="13" s="1"/>
  <c r="CB670" i="13"/>
  <c r="CC670" i="13" s="1"/>
  <c r="BJ674" i="13"/>
  <c r="CN674" i="13" s="1"/>
  <c r="CO674" i="13" s="1"/>
  <c r="CN680" i="13"/>
  <c r="CO680" i="13" s="1"/>
  <c r="CP680" i="13" s="1" a="1"/>
  <c r="CP680" i="13" s="1"/>
  <c r="CN700" i="13"/>
  <c r="CO700" i="13" s="1"/>
  <c r="BT700" i="13"/>
  <c r="BU700" i="13" s="1"/>
  <c r="CV700" i="13"/>
  <c r="CW700" i="13" s="1"/>
  <c r="CJ700" i="13"/>
  <c r="CK700" i="13" s="1"/>
  <c r="CL700" i="13" s="1" a="1"/>
  <c r="CL700" i="13" s="1"/>
  <c r="BP700" i="13"/>
  <c r="BQ700" i="13" s="1"/>
  <c r="BR700" i="13" s="1" a="1"/>
  <c r="BR700" i="13" s="1"/>
  <c r="BX700" i="13"/>
  <c r="BY700" i="13" s="1"/>
  <c r="CN708" i="13"/>
  <c r="CO708" i="13" s="1"/>
  <c r="BT708" i="13"/>
  <c r="BU708" i="13" s="1"/>
  <c r="CV708" i="13"/>
  <c r="CW708" i="13" s="1"/>
  <c r="CJ708" i="13"/>
  <c r="CK708" i="13" s="1"/>
  <c r="CL708" i="13" s="1" a="1"/>
  <c r="CL708" i="13" s="1"/>
  <c r="BP708" i="13"/>
  <c r="BQ708" i="13" s="1"/>
  <c r="BR708" i="13" s="1" a="1"/>
  <c r="BR708" i="13" s="1"/>
  <c r="BX708" i="13"/>
  <c r="BY708" i="13" s="1"/>
  <c r="BZ708" i="13" s="1" a="1"/>
  <c r="BZ708" i="13" s="1"/>
  <c r="CB708" i="13"/>
  <c r="CC708" i="13" s="1"/>
  <c r="CN720" i="13"/>
  <c r="CO720" i="13" s="1"/>
  <c r="CT720" i="13" s="1" a="1"/>
  <c r="CT720" i="13" s="1"/>
  <c r="BT720" i="13"/>
  <c r="BU720" i="13" s="1"/>
  <c r="CV720" i="13"/>
  <c r="CW720" i="13" s="1"/>
  <c r="CJ720" i="13"/>
  <c r="CK720" i="13" s="1"/>
  <c r="CL720" i="13" s="1" a="1"/>
  <c r="CL720" i="13" s="1"/>
  <c r="BP720" i="13"/>
  <c r="BQ720" i="13" s="1"/>
  <c r="BR720" i="13" s="1" a="1"/>
  <c r="BR720" i="13" s="1"/>
  <c r="BX720" i="13"/>
  <c r="BY720" i="13" s="1"/>
  <c r="CD720" i="13" s="1" a="1"/>
  <c r="CD720" i="13" s="1"/>
  <c r="BX723" i="13"/>
  <c r="BY723" i="13" s="1"/>
  <c r="BZ723" i="13" s="1" a="1"/>
  <c r="BZ723" i="13" s="1"/>
  <c r="CB723" i="13"/>
  <c r="CC723" i="13" s="1"/>
  <c r="CV666" i="13"/>
  <c r="CW666" i="13" s="1"/>
  <c r="CB681" i="13"/>
  <c r="CC681" i="13" s="1"/>
  <c r="BP707" i="13"/>
  <c r="BQ707" i="13" s="1"/>
  <c r="BR707" i="13" s="1" a="1"/>
  <c r="BR707" i="13" s="1"/>
  <c r="CN740" i="13"/>
  <c r="CO740" i="13" s="1"/>
  <c r="BP740" i="13"/>
  <c r="BQ740" i="13" s="1"/>
  <c r="BR740" i="13" s="1" a="1"/>
  <c r="BR740" i="13" s="1"/>
  <c r="CR740" i="13"/>
  <c r="CS740" i="13" s="1"/>
  <c r="BT740" i="13"/>
  <c r="BU740" i="13" s="1"/>
  <c r="CJ740" i="13"/>
  <c r="CK740" i="13" s="1"/>
  <c r="CL740" i="13" s="1" a="1"/>
  <c r="CL740" i="13" s="1"/>
  <c r="BX740" i="13"/>
  <c r="BY740" i="13" s="1"/>
  <c r="CB740" i="13"/>
  <c r="CC740" i="13" s="1"/>
  <c r="CV740" i="13"/>
  <c r="CW740" i="13" s="1"/>
  <c r="BX665" i="13"/>
  <c r="BY665" i="13" s="1"/>
  <c r="CN690" i="13"/>
  <c r="CO690" i="13" s="1"/>
  <c r="CP690" i="13" s="1" a="1"/>
  <c r="CP690" i="13" s="1"/>
  <c r="CR708" i="13"/>
  <c r="CS708" i="13" s="1"/>
  <c r="CT708" i="13" s="1" a="1"/>
  <c r="CT708" i="13" s="1"/>
  <c r="CB739" i="13"/>
  <c r="CC739" i="13" s="1"/>
  <c r="CN746" i="13"/>
  <c r="CO746" i="13" s="1"/>
  <c r="CP746" i="13" s="1" a="1"/>
  <c r="CP746" i="13" s="1"/>
  <c r="BP748" i="13"/>
  <c r="BQ748" i="13" s="1"/>
  <c r="BR748" i="13" s="1" a="1"/>
  <c r="BR748" i="13" s="1"/>
  <c r="CJ748" i="13"/>
  <c r="CK748" i="13" s="1"/>
  <c r="CL748" i="13" s="1" a="1"/>
  <c r="CL748" i="13" s="1"/>
  <c r="CR748" i="13"/>
  <c r="CS748" i="13" s="1"/>
  <c r="CT748" i="13" s="1" a="1"/>
  <c r="CT748" i="13" s="1"/>
  <c r="CB748" i="13"/>
  <c r="CC748" i="13" s="1"/>
  <c r="CV748" i="13"/>
  <c r="CW748" i="13" s="1"/>
  <c r="BT748" i="13"/>
  <c r="BU748" i="13" s="1"/>
  <c r="BV748" i="13" s="1" a="1"/>
  <c r="BV748" i="13" s="1"/>
  <c r="BX748" i="13"/>
  <c r="BY748" i="13" s="1"/>
  <c r="BJ753" i="13"/>
  <c r="BT753" i="13" s="1"/>
  <c r="BU753" i="13" s="1"/>
  <c r="CB706" i="13"/>
  <c r="CC706" i="13" s="1"/>
  <c r="BP757" i="13"/>
  <c r="BQ757" i="13" s="1"/>
  <c r="BR757" i="13" s="1" a="1"/>
  <c r="BR757" i="13" s="1"/>
  <c r="CV757" i="13"/>
  <c r="CW757" i="13" s="1"/>
  <c r="CJ757" i="13"/>
  <c r="CK757" i="13" s="1"/>
  <c r="CL757" i="13" s="1" a="1"/>
  <c r="CL757" i="13" s="1"/>
  <c r="BX757" i="13"/>
  <c r="BY757" i="13" s="1"/>
  <c r="CB757" i="13"/>
  <c r="CC757" i="13" s="1"/>
  <c r="CN757" i="13"/>
  <c r="CO757" i="13" s="1"/>
  <c r="BT757" i="13"/>
  <c r="BU757" i="13" s="1"/>
  <c r="BV757" i="13" s="1" a="1"/>
  <c r="BV757" i="13" s="1"/>
  <c r="CB768" i="13"/>
  <c r="CC768" i="13" s="1"/>
  <c r="CR773" i="13"/>
  <c r="CS773" i="13" s="1"/>
  <c r="BP773" i="13"/>
  <c r="BQ773" i="13" s="1"/>
  <c r="BR773" i="13" s="1" a="1"/>
  <c r="BR773" i="13" s="1"/>
  <c r="CV773" i="13"/>
  <c r="CW773" i="13" s="1"/>
  <c r="CJ773" i="13"/>
  <c r="CK773" i="13" s="1"/>
  <c r="CL773" i="13" s="1" a="1"/>
  <c r="CL773" i="13" s="1"/>
  <c r="BX773" i="13"/>
  <c r="BY773" i="13" s="1"/>
  <c r="BZ773" i="13" s="1" a="1"/>
  <c r="BZ773" i="13" s="1"/>
  <c r="CB773" i="13"/>
  <c r="CC773" i="13" s="1"/>
  <c r="CN773" i="13"/>
  <c r="CO773" i="13" s="1"/>
  <c r="BT773" i="13"/>
  <c r="BU773" i="13" s="1"/>
  <c r="BV773" i="13" s="1" a="1"/>
  <c r="BV773" i="13" s="1"/>
  <c r="CB816" i="13"/>
  <c r="CC816" i="13" s="1"/>
  <c r="CB673" i="13"/>
  <c r="CC673" i="13" s="1"/>
  <c r="BJ741" i="13"/>
  <c r="BT644" i="13"/>
  <c r="BU644" i="13" s="1"/>
  <c r="CP693" i="13" a="1"/>
  <c r="CP693" i="13" s="1"/>
  <c r="CZ693" i="13" s="1"/>
  <c r="Z693" i="13" s="1"/>
  <c r="CY817" i="13" a="1"/>
  <c r="CY817" i="13" s="1"/>
  <c r="CY951" i="13" a="1"/>
  <c r="CY951" i="13" s="1"/>
  <c r="CE961" i="13" a="1"/>
  <c r="CE961" i="13" s="1"/>
  <c r="CY958" i="13" a="1"/>
  <c r="CY958" i="13" s="1"/>
  <c r="CB477" i="13"/>
  <c r="CC477" i="13" s="1"/>
  <c r="CB485" i="13"/>
  <c r="CC485" i="13" s="1"/>
  <c r="CB491" i="13"/>
  <c r="CC491" i="13" s="1"/>
  <c r="CB499" i="13"/>
  <c r="CC499" i="13" s="1"/>
  <c r="CB507" i="13"/>
  <c r="CC507" i="13" s="1"/>
  <c r="CB515" i="13"/>
  <c r="CC515" i="13" s="1"/>
  <c r="CB523" i="13"/>
  <c r="CC523" i="13" s="1"/>
  <c r="BT449" i="13"/>
  <c r="BU449" i="13" s="1"/>
  <c r="BX457" i="13"/>
  <c r="BY457" i="13" s="1"/>
  <c r="BZ457" i="13" s="1" a="1"/>
  <c r="BZ457" i="13" s="1"/>
  <c r="BX473" i="13"/>
  <c r="BY473" i="13" s="1"/>
  <c r="BZ473" i="13" s="1" a="1"/>
  <c r="BZ473" i="13" s="1"/>
  <c r="CN445" i="13"/>
  <c r="CO445" i="13" s="1"/>
  <c r="CR448" i="13"/>
  <c r="CS448" i="13" s="1"/>
  <c r="CB456" i="13"/>
  <c r="CC456" i="13" s="1"/>
  <c r="CN460" i="13"/>
  <c r="CO460" i="13" s="1"/>
  <c r="BJ489" i="13"/>
  <c r="CR489" i="13" s="1"/>
  <c r="CS489" i="13" s="1"/>
  <c r="BJ503" i="13"/>
  <c r="CN503" i="13" s="1"/>
  <c r="CO503" i="13" s="1"/>
  <c r="BJ511" i="13"/>
  <c r="CB511" i="13" s="1"/>
  <c r="CC511" i="13" s="1"/>
  <c r="BJ519" i="13"/>
  <c r="CR519" i="13" s="1"/>
  <c r="CS519" i="13" s="1"/>
  <c r="BP424" i="13"/>
  <c r="BQ424" i="13" s="1"/>
  <c r="CR447" i="13"/>
  <c r="CS447" i="13" s="1"/>
  <c r="BJ455" i="13"/>
  <c r="CJ455" i="13" s="1"/>
  <c r="CK455" i="13" s="1"/>
  <c r="CL455" i="13" s="1" a="1"/>
  <c r="CL455" i="13" s="1"/>
  <c r="BT460" i="13"/>
  <c r="BU460" i="13" s="1"/>
  <c r="BV460" i="13" s="1" a="1"/>
  <c r="BV460" i="13" s="1"/>
  <c r="BP468" i="13"/>
  <c r="BQ468" i="13" s="1"/>
  <c r="BR468" i="13" s="1" a="1"/>
  <c r="BR468" i="13" s="1"/>
  <c r="CJ468" i="13"/>
  <c r="CK468" i="13" s="1"/>
  <c r="CL468" i="13" s="1" a="1"/>
  <c r="CL468" i="13" s="1"/>
  <c r="CV446" i="13"/>
  <c r="CW446" i="13" s="1"/>
  <c r="BX454" i="13"/>
  <c r="BY454" i="13" s="1"/>
  <c r="BZ454" i="13" s="1" a="1"/>
  <c r="BZ454" i="13" s="1"/>
  <c r="CR463" i="13"/>
  <c r="CS463" i="13" s="1"/>
  <c r="CT463" i="13" s="1" a="1"/>
  <c r="CT463" i="13" s="1"/>
  <c r="BJ441" i="13"/>
  <c r="BT441" i="13" s="1"/>
  <c r="BU441" i="13" s="1"/>
  <c r="CV445" i="13"/>
  <c r="CW445" i="13" s="1"/>
  <c r="CV453" i="13"/>
  <c r="CW453" i="13" s="1"/>
  <c r="CB453" i="13"/>
  <c r="CC453" i="13" s="1"/>
  <c r="CV467" i="13"/>
  <c r="CW467" i="13" s="1"/>
  <c r="CB475" i="13"/>
  <c r="CC475" i="13" s="1"/>
  <c r="CN485" i="13"/>
  <c r="CO485" i="13" s="1"/>
  <c r="BT485" i="13"/>
  <c r="BU485" i="13" s="1"/>
  <c r="BV485" i="13" s="1" a="1"/>
  <c r="BV485" i="13" s="1"/>
  <c r="CJ485" i="13"/>
  <c r="CK485" i="13" s="1"/>
  <c r="CL485" i="13" s="1" a="1"/>
  <c r="CL485" i="13" s="1"/>
  <c r="BP485" i="13"/>
  <c r="BQ485" i="13" s="1"/>
  <c r="BR485" i="13" s="1" a="1"/>
  <c r="BR485" i="13" s="1"/>
  <c r="CR485" i="13"/>
  <c r="CS485" i="13" s="1"/>
  <c r="BX485" i="13"/>
  <c r="BY485" i="13" s="1"/>
  <c r="CN491" i="13"/>
  <c r="CO491" i="13" s="1"/>
  <c r="BT491" i="13"/>
  <c r="BU491" i="13" s="1"/>
  <c r="CJ491" i="13"/>
  <c r="CK491" i="13" s="1"/>
  <c r="CL491" i="13" s="1" a="1"/>
  <c r="CL491" i="13" s="1"/>
  <c r="BP491" i="13"/>
  <c r="BQ491" i="13" s="1"/>
  <c r="BR491" i="13" s="1" a="1"/>
  <c r="BR491" i="13" s="1"/>
  <c r="BX491" i="13"/>
  <c r="BY491" i="13" s="1"/>
  <c r="BZ491" i="13" s="1" a="1"/>
  <c r="BZ491" i="13" s="1"/>
  <c r="BP498" i="13"/>
  <c r="BQ498" i="13" s="1"/>
  <c r="BR498" i="13" s="1" a="1"/>
  <c r="BR498" i="13" s="1"/>
  <c r="BX480" i="13"/>
  <c r="BY480" i="13" s="1"/>
  <c r="BZ480" i="13" s="1" a="1"/>
  <c r="BZ480" i="13" s="1"/>
  <c r="BP502" i="13"/>
  <c r="BQ502" i="13" s="1"/>
  <c r="BR502" i="13" s="1" a="1"/>
  <c r="BR502" i="13" s="1"/>
  <c r="CN502" i="13"/>
  <c r="CO502" i="13" s="1"/>
  <c r="CJ502" i="13"/>
  <c r="CK502" i="13" s="1"/>
  <c r="CL502" i="13" s="1" a="1"/>
  <c r="CL502" i="13" s="1"/>
  <c r="BT502" i="13"/>
  <c r="BU502" i="13" s="1"/>
  <c r="CR502" i="13"/>
  <c r="CS502" i="13" s="1"/>
  <c r="CT502" i="13" s="1" a="1"/>
  <c r="CT502" i="13" s="1"/>
  <c r="BX506" i="13"/>
  <c r="BY506" i="13" s="1"/>
  <c r="BZ506" i="13" s="1" a="1"/>
  <c r="BZ506" i="13" s="1"/>
  <c r="CR531" i="13"/>
  <c r="CS531" i="13" s="1"/>
  <c r="BJ535" i="13"/>
  <c r="CV535" i="13" s="1"/>
  <c r="CW535" i="13" s="1"/>
  <c r="BJ539" i="13"/>
  <c r="CV539" i="13" s="1"/>
  <c r="CW539" i="13" s="1"/>
  <c r="CJ513" i="13"/>
  <c r="CK513" i="13" s="1"/>
  <c r="CL513" i="13" s="1" a="1"/>
  <c r="CL513" i="13" s="1"/>
  <c r="BP513" i="13"/>
  <c r="BQ513" i="13" s="1"/>
  <c r="BR513" i="13" s="1" a="1"/>
  <c r="BR513" i="13" s="1"/>
  <c r="BT513" i="13"/>
  <c r="BU513" i="13" s="1"/>
  <c r="BX513" i="13"/>
  <c r="BY513" i="13" s="1"/>
  <c r="BZ513" i="13" s="1" a="1"/>
  <c r="BZ513" i="13" s="1"/>
  <c r="CN513" i="13"/>
  <c r="CO513" i="13" s="1"/>
  <c r="CP513" i="13" s="1" a="1"/>
  <c r="CP513" i="13" s="1"/>
  <c r="BX514" i="13"/>
  <c r="BY514" i="13" s="1"/>
  <c r="BZ514" i="13" s="1" a="1"/>
  <c r="BZ514" i="13" s="1"/>
  <c r="BX524" i="13"/>
  <c r="BY524" i="13" s="1"/>
  <c r="BZ524" i="13" s="1" a="1"/>
  <c r="BZ524" i="13" s="1"/>
  <c r="BX535" i="13"/>
  <c r="BY535" i="13" s="1"/>
  <c r="CJ503" i="13"/>
  <c r="CK503" i="13" s="1"/>
  <c r="CL503" i="13" s="1" a="1"/>
  <c r="CL503" i="13" s="1"/>
  <c r="BX478" i="13"/>
  <c r="BY478" i="13" s="1"/>
  <c r="BZ478" i="13" s="1" a="1"/>
  <c r="BZ478" i="13" s="1"/>
  <c r="BT490" i="13"/>
  <c r="BU490" i="13" s="1"/>
  <c r="BV490" i="13" s="1" a="1"/>
  <c r="BV490" i="13" s="1"/>
  <c r="CN496" i="13"/>
  <c r="CO496" i="13" s="1"/>
  <c r="CP496" i="13" s="1" a="1"/>
  <c r="CP496" i="13" s="1"/>
  <c r="BT527" i="13"/>
  <c r="BU527" i="13" s="1"/>
  <c r="BV527" i="13" s="1" a="1"/>
  <c r="BV527" i="13" s="1"/>
  <c r="CR547" i="13"/>
  <c r="CS547" i="13" s="1"/>
  <c r="CT547" i="13" s="1" a="1"/>
  <c r="CT547" i="13" s="1"/>
  <c r="CN544" i="13"/>
  <c r="CO544" i="13" s="1"/>
  <c r="CP544" i="13" s="1" a="1"/>
  <c r="CP544" i="13" s="1"/>
  <c r="CR555" i="13"/>
  <c r="CS555" i="13" s="1"/>
  <c r="CR514" i="13"/>
  <c r="CS514" i="13" s="1"/>
  <c r="CT514" i="13" s="1" a="1"/>
  <c r="CT514" i="13" s="1"/>
  <c r="BX544" i="13"/>
  <c r="BY544" i="13" s="1"/>
  <c r="BZ544" i="13" s="1" a="1"/>
  <c r="BZ544" i="13" s="1"/>
  <c r="BJ569" i="13"/>
  <c r="CB569" i="13" s="1"/>
  <c r="CC569" i="13" s="1"/>
  <c r="CB588" i="13"/>
  <c r="CC588" i="13" s="1"/>
  <c r="CR538" i="13"/>
  <c r="CS538" i="13" s="1"/>
  <c r="CT538" i="13" s="1" a="1"/>
  <c r="CT538" i="13" s="1"/>
  <c r="CV550" i="13"/>
  <c r="CW550" i="13" s="1"/>
  <c r="BJ557" i="13"/>
  <c r="CV557" i="13" s="1"/>
  <c r="CW557" i="13" s="1"/>
  <c r="BX565" i="13"/>
  <c r="BY565" i="13" s="1"/>
  <c r="CB551" i="13"/>
  <c r="CC551" i="13" s="1"/>
  <c r="BX552" i="13"/>
  <c r="BY552" i="13" s="1"/>
  <c r="BZ552" i="13" s="1" a="1"/>
  <c r="BZ552" i="13" s="1"/>
  <c r="CN555" i="13"/>
  <c r="CO555" i="13" s="1"/>
  <c r="CP555" i="13" s="1" a="1"/>
  <c r="CP555" i="13" s="1"/>
  <c r="BJ578" i="13"/>
  <c r="BX578" i="13" s="1"/>
  <c r="BY578" i="13" s="1"/>
  <c r="BJ582" i="13"/>
  <c r="CB582" i="13" s="1"/>
  <c r="CC582" i="13" s="1"/>
  <c r="BJ586" i="13"/>
  <c r="CJ586" i="13" s="1"/>
  <c r="CK586" i="13" s="1"/>
  <c r="CL586" i="13" s="1" a="1"/>
  <c r="CL586" i="13" s="1"/>
  <c r="BJ596" i="13"/>
  <c r="BT596" i="13" s="1"/>
  <c r="BU596" i="13" s="1"/>
  <c r="BP542" i="13"/>
  <c r="BQ542" i="13" s="1"/>
  <c r="BR542" i="13" s="1" a="1"/>
  <c r="BR542" i="13" s="1"/>
  <c r="BJ559" i="13"/>
  <c r="CB559" i="13" s="1"/>
  <c r="CC559" i="13" s="1"/>
  <c r="CB567" i="13"/>
  <c r="CC567" i="13" s="1"/>
  <c r="BX549" i="13"/>
  <c r="BY549" i="13" s="1"/>
  <c r="BZ549" i="13" s="1" a="1"/>
  <c r="BZ549" i="13" s="1"/>
  <c r="CN559" i="13"/>
  <c r="CO559" i="13" s="1"/>
  <c r="BT568" i="13"/>
  <c r="BU568" i="13" s="1"/>
  <c r="BV568" i="13" s="1" a="1"/>
  <c r="BV568" i="13" s="1"/>
  <c r="CB629" i="13"/>
  <c r="CC629" i="13" s="1"/>
  <c r="BX560" i="13"/>
  <c r="BY560" i="13" s="1"/>
  <c r="BZ560" i="13" s="1" a="1"/>
  <c r="BZ560" i="13" s="1"/>
  <c r="BT577" i="13"/>
  <c r="BU577" i="13" s="1"/>
  <c r="BV577" i="13" s="1" a="1"/>
  <c r="BV577" i="13" s="1"/>
  <c r="BT611" i="13"/>
  <c r="BU611" i="13" s="1"/>
  <c r="BV611" i="13" s="1" a="1"/>
  <c r="BV611" i="13" s="1"/>
  <c r="CJ611" i="13"/>
  <c r="CK611" i="13" s="1"/>
  <c r="CL611" i="13" s="1" a="1"/>
  <c r="CL611" i="13" s="1"/>
  <c r="BP611" i="13"/>
  <c r="BQ611" i="13" s="1"/>
  <c r="BR611" i="13" s="1" a="1"/>
  <c r="BR611" i="13" s="1"/>
  <c r="BJ627" i="13"/>
  <c r="BX627" i="13" s="1"/>
  <c r="BY627" i="13" s="1"/>
  <c r="BT636" i="13"/>
  <c r="BU636" i="13" s="1"/>
  <c r="BJ645" i="13"/>
  <c r="BX645" i="13" s="1"/>
  <c r="BY645" i="13" s="1"/>
  <c r="CV618" i="13"/>
  <c r="CW618" i="13" s="1"/>
  <c r="BX623" i="13"/>
  <c r="BY623" i="13" s="1"/>
  <c r="BX574" i="13"/>
  <c r="BY574" i="13" s="1"/>
  <c r="BZ574" i="13" s="1" a="1"/>
  <c r="BZ574" i="13" s="1"/>
  <c r="BJ600" i="13"/>
  <c r="BP600" i="13" s="1"/>
  <c r="BQ600" i="13" s="1"/>
  <c r="BR600" i="13" s="1" a="1"/>
  <c r="BR600" i="13" s="1"/>
  <c r="CB652" i="13"/>
  <c r="CC652" i="13" s="1"/>
  <c r="CV580" i="13"/>
  <c r="CW580" i="13" s="1"/>
  <c r="CB610" i="13"/>
  <c r="CC610" i="13" s="1"/>
  <c r="BJ620" i="13"/>
  <c r="BP620" i="13" s="1"/>
  <c r="BQ620" i="13" s="1"/>
  <c r="BR620" i="13" s="1" a="1"/>
  <c r="BR620" i="13" s="1"/>
  <c r="BT625" i="13"/>
  <c r="BU625" i="13" s="1"/>
  <c r="BV625" i="13" s="1" a="1"/>
  <c r="BV625" i="13" s="1"/>
  <c r="BJ636" i="13"/>
  <c r="CR636" i="13" s="1"/>
  <c r="CS636" i="13" s="1"/>
  <c r="BT641" i="13"/>
  <c r="BU641" i="13" s="1"/>
  <c r="BJ650" i="13"/>
  <c r="BX650" i="13" s="1"/>
  <c r="BY650" i="13" s="1"/>
  <c r="BT664" i="13"/>
  <c r="BU664" i="13" s="1"/>
  <c r="BV664" i="13" s="1" a="1"/>
  <c r="BV664" i="13" s="1"/>
  <c r="BT677" i="13"/>
  <c r="BU677" i="13" s="1"/>
  <c r="CN632" i="13"/>
  <c r="CO632" i="13" s="1"/>
  <c r="CB653" i="13"/>
  <c r="CC653" i="13" s="1"/>
  <c r="CR659" i="13"/>
  <c r="CS659" i="13" s="1"/>
  <c r="CT659" i="13" s="1" a="1"/>
  <c r="CT659" i="13" s="1"/>
  <c r="CR672" i="13"/>
  <c r="CS672" i="13" s="1"/>
  <c r="CT672" i="13" s="1" a="1"/>
  <c r="CT672" i="13" s="1"/>
  <c r="BX685" i="13"/>
  <c r="BY685" i="13" s="1"/>
  <c r="BX616" i="13"/>
  <c r="BY616" i="13" s="1"/>
  <c r="BZ616" i="13" s="1" a="1"/>
  <c r="BZ616" i="13" s="1"/>
  <c r="CR662" i="13"/>
  <c r="CS662" i="13" s="1"/>
  <c r="CN673" i="13"/>
  <c r="CO673" i="13" s="1"/>
  <c r="CP673" i="13" s="1" a="1"/>
  <c r="CP673" i="13" s="1"/>
  <c r="BT683" i="13"/>
  <c r="BU683" i="13" s="1"/>
  <c r="BT678" i="13"/>
  <c r="BU678" i="13" s="1"/>
  <c r="BP653" i="13"/>
  <c r="BQ653" i="13" s="1"/>
  <c r="BR653" i="13" s="1" a="1"/>
  <c r="BR653" i="13" s="1"/>
  <c r="CJ653" i="13"/>
  <c r="CK653" i="13" s="1"/>
  <c r="CL653" i="13" s="1" a="1"/>
  <c r="CL653" i="13" s="1"/>
  <c r="CB660" i="13"/>
  <c r="CC660" i="13" s="1"/>
  <c r="CN679" i="13"/>
  <c r="CO679" i="13" s="1"/>
  <c r="CP679" i="13" s="1" a="1"/>
  <c r="CP679" i="13" s="1"/>
  <c r="BV721" i="13" a="1"/>
  <c r="BV721" i="13" s="1"/>
  <c r="CJ655" i="13"/>
  <c r="CK655" i="13" s="1"/>
  <c r="CL655" i="13" s="1" a="1"/>
  <c r="CL655" i="13" s="1"/>
  <c r="CR663" i="13"/>
  <c r="CS663" i="13" s="1"/>
  <c r="CN666" i="13"/>
  <c r="CO666" i="13" s="1"/>
  <c r="BP674" i="13"/>
  <c r="BQ674" i="13" s="1"/>
  <c r="BR674" i="13" s="1" a="1"/>
  <c r="BR674" i="13" s="1"/>
  <c r="BX674" i="13"/>
  <c r="BY674" i="13" s="1"/>
  <c r="CJ674" i="13"/>
  <c r="CK674" i="13" s="1"/>
  <c r="CL674" i="13" s="1" a="1"/>
  <c r="CL674" i="13" s="1"/>
  <c r="BT658" i="13"/>
  <c r="BU658" i="13" s="1"/>
  <c r="BV658" i="13" s="1" a="1"/>
  <c r="BV658" i="13" s="1"/>
  <c r="CJ649" i="13"/>
  <c r="CK649" i="13" s="1"/>
  <c r="CL649" i="13" s="1" a="1"/>
  <c r="CL649" i="13" s="1"/>
  <c r="BP649" i="13"/>
  <c r="BQ649" i="13" s="1"/>
  <c r="BR649" i="13" s="1" a="1"/>
  <c r="BR649" i="13" s="1"/>
  <c r="BJ661" i="13"/>
  <c r="CR661" i="13" s="1"/>
  <c r="CS661" i="13" s="1"/>
  <c r="BT674" i="13"/>
  <c r="BU674" i="13" s="1"/>
  <c r="CN714" i="13"/>
  <c r="CO714" i="13" s="1"/>
  <c r="BT714" i="13"/>
  <c r="BU714" i="13" s="1"/>
  <c r="CV714" i="13"/>
  <c r="CW714" i="13" s="1"/>
  <c r="CJ714" i="13"/>
  <c r="CK714" i="13" s="1"/>
  <c r="CL714" i="13" s="1" a="1"/>
  <c r="CL714" i="13" s="1"/>
  <c r="BP714" i="13"/>
  <c r="BQ714" i="13" s="1"/>
  <c r="BR714" i="13" s="1" a="1"/>
  <c r="BR714" i="13" s="1"/>
  <c r="BX714" i="13"/>
  <c r="BY714" i="13" s="1"/>
  <c r="BZ714" i="13" s="1" a="1"/>
  <c r="BZ714" i="13" s="1"/>
  <c r="BP723" i="13"/>
  <c r="BQ723" i="13" s="1"/>
  <c r="BR723" i="13" s="1" a="1"/>
  <c r="BR723" i="13" s="1"/>
  <c r="BJ749" i="13"/>
  <c r="CR749" i="13" s="1"/>
  <c r="CS749" i="13" s="1"/>
  <c r="CN694" i="13"/>
  <c r="CO694" i="13" s="1"/>
  <c r="CP694" i="13" s="1" a="1"/>
  <c r="CP694" i="13" s="1"/>
  <c r="CB728" i="13"/>
  <c r="CC728" i="13" s="1"/>
  <c r="CB731" i="13"/>
  <c r="CC731" i="13" s="1"/>
  <c r="CE750" i="13" a="1"/>
  <c r="CE750" i="13" s="1"/>
  <c r="BP701" i="13"/>
  <c r="BQ701" i="13" s="1"/>
  <c r="BR701" i="13" s="1" a="1"/>
  <c r="BR701" i="13" s="1"/>
  <c r="CN754" i="13"/>
  <c r="CO754" i="13" s="1"/>
  <c r="CR724" i="13"/>
  <c r="CS724" i="13" s="1"/>
  <c r="CT724" i="13" s="1" a="1"/>
  <c r="CT724" i="13" s="1"/>
  <c r="BP737" i="13"/>
  <c r="BQ737" i="13" s="1"/>
  <c r="BR737" i="13" s="1" a="1"/>
  <c r="BR737" i="13" s="1"/>
  <c r="CR759" i="13"/>
  <c r="CS759" i="13" s="1"/>
  <c r="CT759" i="13" s="1" a="1"/>
  <c r="CT759" i="13" s="1"/>
  <c r="CN755" i="13"/>
  <c r="CO755" i="13" s="1"/>
  <c r="CT755" i="13" s="1" a="1"/>
  <c r="CT755" i="13" s="1"/>
  <c r="BP755" i="13"/>
  <c r="BQ755" i="13" s="1"/>
  <c r="BR755" i="13" s="1" a="1"/>
  <c r="BR755" i="13" s="1"/>
  <c r="BT755" i="13"/>
  <c r="BU755" i="13" s="1"/>
  <c r="CJ755" i="13"/>
  <c r="CK755" i="13" s="1"/>
  <c r="CL755" i="13" s="1" a="1"/>
  <c r="CL755" i="13" s="1"/>
  <c r="CV755" i="13"/>
  <c r="CW755" i="13" s="1"/>
  <c r="BX755" i="13"/>
  <c r="BY755" i="13" s="1"/>
  <c r="BZ755" i="13" s="1" a="1"/>
  <c r="BZ755" i="13" s="1"/>
  <c r="CB755" i="13"/>
  <c r="CC755" i="13" s="1"/>
  <c r="CR771" i="13"/>
  <c r="CS771" i="13" s="1"/>
  <c r="CN771" i="13"/>
  <c r="CO771" i="13" s="1"/>
  <c r="BP771" i="13"/>
  <c r="BQ771" i="13" s="1"/>
  <c r="BR771" i="13" s="1" a="1"/>
  <c r="BR771" i="13" s="1"/>
  <c r="BT771" i="13"/>
  <c r="BU771" i="13" s="1"/>
  <c r="CJ771" i="13"/>
  <c r="CK771" i="13" s="1"/>
  <c r="CL771" i="13" s="1" a="1"/>
  <c r="CL771" i="13" s="1"/>
  <c r="CV771" i="13"/>
  <c r="CW771" i="13" s="1"/>
  <c r="BX771" i="13"/>
  <c r="BY771" i="13" s="1"/>
  <c r="CB771" i="13"/>
  <c r="CC771" i="13" s="1"/>
  <c r="CB806" i="13"/>
  <c r="CC806" i="13" s="1"/>
  <c r="CN816" i="13"/>
  <c r="CO816" i="13" s="1"/>
  <c r="BT688" i="13"/>
  <c r="BU688" i="13" s="1"/>
  <c r="BV688" i="13" s="1" a="1"/>
  <c r="BV688" i="13" s="1"/>
  <c r="CX692" i="13" a="1"/>
  <c r="CX692" i="13" s="1"/>
  <c r="CY692" i="13" a="1"/>
  <c r="CY692" i="13" s="1"/>
  <c r="CB666" i="13"/>
  <c r="CC666" i="13" s="1"/>
  <c r="BP781" i="13"/>
  <c r="BQ781" i="13" s="1"/>
  <c r="BR781" i="13" s="1" a="1"/>
  <c r="BR781" i="13" s="1"/>
  <c r="CR781" i="13"/>
  <c r="CS781" i="13" s="1"/>
  <c r="CN781" i="13"/>
  <c r="CO781" i="13" s="1"/>
  <c r="BT781" i="13"/>
  <c r="BU781" i="13" s="1"/>
  <c r="BX781" i="13"/>
  <c r="BY781" i="13" s="1"/>
  <c r="BZ781" i="13" s="1" a="1"/>
  <c r="BZ781" i="13" s="1"/>
  <c r="CV781" i="13"/>
  <c r="CW781" i="13" s="1"/>
  <c r="CB781" i="13"/>
  <c r="CC781" i="13" s="1"/>
  <c r="CJ781" i="13"/>
  <c r="CK781" i="13" s="1"/>
  <c r="CL781" i="13" s="1" a="1"/>
  <c r="CL781" i="13" s="1"/>
  <c r="CN797" i="13"/>
  <c r="CO797" i="13" s="1"/>
  <c r="BX797" i="13"/>
  <c r="BY797" i="13" s="1"/>
  <c r="CV797" i="13"/>
  <c r="CW797" i="13" s="1"/>
  <c r="CJ797" i="13"/>
  <c r="CK797" i="13" s="1"/>
  <c r="CL797" i="13" s="1" a="1"/>
  <c r="CL797" i="13" s="1"/>
  <c r="CB797" i="13"/>
  <c r="CC797" i="13" s="1"/>
  <c r="CR797" i="13"/>
  <c r="CS797" i="13" s="1"/>
  <c r="BP797" i="13"/>
  <c r="BQ797" i="13" s="1"/>
  <c r="BR797" i="13" s="1" a="1"/>
  <c r="BR797" i="13" s="1"/>
  <c r="BT797" i="13"/>
  <c r="BU797" i="13" s="1"/>
  <c r="BV797" i="13" s="1" a="1"/>
  <c r="BV797" i="13" s="1"/>
  <c r="CN688" i="13"/>
  <c r="CO688" i="13" s="1"/>
  <c r="CP688" i="13" s="1" a="1"/>
  <c r="CP688" i="13" s="1"/>
  <c r="BP751" i="13"/>
  <c r="BQ751" i="13" s="1"/>
  <c r="BR751" i="13" s="1" a="1"/>
  <c r="BR751" i="13" s="1"/>
  <c r="CJ751" i="13"/>
  <c r="CK751" i="13" s="1"/>
  <c r="CL751" i="13" s="1" a="1"/>
  <c r="CL751" i="13" s="1"/>
  <c r="CV751" i="13"/>
  <c r="CW751" i="13" s="1"/>
  <c r="CD779" i="13" a="1"/>
  <c r="CD779" i="13" s="1"/>
  <c r="CE779" i="13" a="1"/>
  <c r="CE779" i="13" s="1"/>
  <c r="BP847" i="13"/>
  <c r="BQ847" i="13" s="1"/>
  <c r="BR847" i="13" s="1" a="1"/>
  <c r="BR847" i="13" s="1"/>
  <c r="CY836" i="13" a="1"/>
  <c r="CY836" i="13" s="1"/>
  <c r="CE921" i="13" a="1"/>
  <c r="CE921" i="13" s="1"/>
  <c r="CY952" i="13" a="1"/>
  <c r="CY952" i="13" s="1"/>
  <c r="CY980" i="13" a="1"/>
  <c r="CY980" i="13" s="1"/>
  <c r="CY968" i="13" a="1"/>
  <c r="CY968" i="13" s="1"/>
  <c r="BT803" i="13"/>
  <c r="BU803" i="13" s="1"/>
  <c r="CV799" i="13"/>
  <c r="CW799" i="13" s="1"/>
  <c r="CJ824" i="13"/>
  <c r="CK824" i="13" s="1"/>
  <c r="CL824" i="13" s="1" a="1"/>
  <c r="CL824" i="13" s="1"/>
  <c r="BP824" i="13"/>
  <c r="BQ824" i="13" s="1"/>
  <c r="BR824" i="13" s="1" a="1"/>
  <c r="BR824" i="13" s="1"/>
  <c r="BX824" i="13"/>
  <c r="BY824" i="13" s="1"/>
  <c r="CB813" i="13"/>
  <c r="CC813" i="13" s="1"/>
  <c r="CB787" i="13"/>
  <c r="CC787" i="13" s="1"/>
  <c r="CJ795" i="13"/>
  <c r="CK795" i="13" s="1"/>
  <c r="CL795" i="13" s="1" a="1"/>
  <c r="CL795" i="13" s="1"/>
  <c r="CN811" i="13"/>
  <c r="CO811" i="13" s="1"/>
  <c r="CV783" i="13"/>
  <c r="CW783" i="13" s="1"/>
  <c r="CJ825" i="13"/>
  <c r="CK825" i="13" s="1"/>
  <c r="CL825" i="13" s="1" a="1"/>
  <c r="CL825" i="13" s="1"/>
  <c r="BP825" i="13"/>
  <c r="BQ825" i="13" s="1"/>
  <c r="BR825" i="13" s="1" a="1"/>
  <c r="BR825" i="13" s="1"/>
  <c r="CR825" i="13"/>
  <c r="CS825" i="13" s="1"/>
  <c r="BT825" i="13"/>
  <c r="BU825" i="13" s="1"/>
  <c r="BJ847" i="13"/>
  <c r="CN847" i="13" s="1"/>
  <c r="CO847" i="13" s="1"/>
  <c r="BJ863" i="13"/>
  <c r="CN863" i="13" s="1"/>
  <c r="CO863" i="13" s="1"/>
  <c r="BJ879" i="13"/>
  <c r="CJ879" i="13" s="1"/>
  <c r="CK879" i="13" s="1"/>
  <c r="CL879" i="13" s="1" a="1"/>
  <c r="CL879" i="13" s="1"/>
  <c r="CR884" i="13"/>
  <c r="CS884" i="13" s="1"/>
  <c r="CV884" i="13"/>
  <c r="CW884" i="13" s="1"/>
  <c r="CJ850" i="13"/>
  <c r="CK850" i="13" s="1"/>
  <c r="CL850" i="13" s="1" a="1"/>
  <c r="CL850" i="13" s="1"/>
  <c r="BT854" i="13"/>
  <c r="BU854" i="13" s="1"/>
  <c r="CR862" i="13"/>
  <c r="CS862" i="13" s="1"/>
  <c r="CV821" i="13"/>
  <c r="CW821" i="13" s="1"/>
  <c r="BP866" i="13"/>
  <c r="BQ866" i="13" s="1"/>
  <c r="BR866" i="13" s="1" a="1"/>
  <c r="BR866" i="13" s="1"/>
  <c r="CV870" i="13"/>
  <c r="CW870" i="13" s="1"/>
  <c r="CB936" i="13"/>
  <c r="CV832" i="13"/>
  <c r="CW832" i="13" s="1"/>
  <c r="CN866" i="13"/>
  <c r="CO866" i="13" s="1"/>
  <c r="CP866" i="13" s="1" a="1"/>
  <c r="CP866" i="13" s="1"/>
  <c r="CP828" i="13" a="1"/>
  <c r="CP828" i="13" s="1"/>
  <c r="CR834" i="13"/>
  <c r="CS834" i="13" s="1"/>
  <c r="CT834" i="13" s="1" a="1"/>
  <c r="CT834" i="13" s="1"/>
  <c r="BT842" i="13"/>
  <c r="BU842" i="13" s="1"/>
  <c r="BJ914" i="13"/>
  <c r="CR914" i="13" s="1"/>
  <c r="CS914" i="13" s="1"/>
  <c r="BJ930" i="13"/>
  <c r="CV930" i="13" s="1"/>
  <c r="CW930" i="13" s="1"/>
  <c r="CC936" i="13"/>
  <c r="BJ936" i="13"/>
  <c r="CV936" i="13" s="1"/>
  <c r="CW936" i="13" s="1"/>
  <c r="CR842" i="13"/>
  <c r="CS842" i="13" s="1"/>
  <c r="BT852" i="13"/>
  <c r="BU852" i="13" s="1"/>
  <c r="BZ852" i="13" s="1" a="1"/>
  <c r="BZ852" i="13" s="1"/>
  <c r="CR860" i="13"/>
  <c r="CS860" i="13" s="1"/>
  <c r="CJ864" i="13"/>
  <c r="CK864" i="13" s="1"/>
  <c r="CL864" i="13" s="1" a="1"/>
  <c r="CL864" i="13" s="1"/>
  <c r="CB872" i="13"/>
  <c r="CC872" i="13" s="1"/>
  <c r="CN860" i="13"/>
  <c r="CO860" i="13" s="1"/>
  <c r="BT868" i="13"/>
  <c r="BU868" i="13" s="1"/>
  <c r="CV815" i="13"/>
  <c r="CW815" i="13" s="1"/>
  <c r="BT840" i="13"/>
  <c r="BU840" i="13" s="1"/>
  <c r="BX850" i="13"/>
  <c r="BY850" i="13" s="1"/>
  <c r="BP878" i="13"/>
  <c r="BQ878" i="13" s="1"/>
  <c r="BR878" i="13" s="1" a="1"/>
  <c r="BR878" i="13" s="1"/>
  <c r="CJ886" i="13"/>
  <c r="CK886" i="13" s="1"/>
  <c r="CL886" i="13" s="1" a="1"/>
  <c r="CL886" i="13" s="1"/>
  <c r="CN935" i="13"/>
  <c r="CO935" i="13" s="1"/>
  <c r="BP969" i="13"/>
  <c r="BQ969" i="13" s="1"/>
  <c r="BR969" i="13" s="1" a="1"/>
  <c r="BR969" i="13" s="1"/>
  <c r="CJ969" i="13"/>
  <c r="CK969" i="13" s="1"/>
  <c r="CL969" i="13" s="1" a="1"/>
  <c r="CL969" i="13" s="1"/>
  <c r="CR969" i="13"/>
  <c r="CS969" i="13" s="1"/>
  <c r="BT969" i="13"/>
  <c r="BU969" i="13" s="1"/>
  <c r="BT905" i="13"/>
  <c r="BU905" i="13" s="1"/>
  <c r="BX911" i="13"/>
  <c r="BY911" i="13" s="1"/>
  <c r="BZ911" i="13" s="1" a="1"/>
  <c r="BZ911" i="13" s="1"/>
  <c r="CB937" i="13"/>
  <c r="CC937" i="13" s="1"/>
  <c r="BX951" i="13"/>
  <c r="BY951" i="13" s="1"/>
  <c r="CB911" i="13"/>
  <c r="CC911" i="13" s="1"/>
  <c r="CV929" i="13"/>
  <c r="CW929" i="13" s="1"/>
  <c r="BP963" i="13"/>
  <c r="BQ963" i="13" s="1"/>
  <c r="BR963" i="13" s="1" a="1"/>
  <c r="BR963" i="13" s="1"/>
  <c r="CJ963" i="13"/>
  <c r="CK963" i="13" s="1"/>
  <c r="CL963" i="13" s="1" a="1"/>
  <c r="CL963" i="13" s="1"/>
  <c r="CR963" i="13"/>
  <c r="CS963" i="13" s="1"/>
  <c r="BJ996" i="13"/>
  <c r="BP996" i="13" s="1"/>
  <c r="BQ996" i="13" s="1"/>
  <c r="BR996" i="13" s="1" a="1"/>
  <c r="BR996" i="13" s="1"/>
  <c r="BJ1006" i="13"/>
  <c r="BP1006" i="13" s="1"/>
  <c r="BQ1006" i="13" s="1"/>
  <c r="BR1006" i="13" s="1" a="1"/>
  <c r="BR1006" i="13" s="1"/>
  <c r="BJ1014" i="13"/>
  <c r="BP1014" i="13" s="1"/>
  <c r="BQ1014" i="13" s="1"/>
  <c r="BR1014" i="13" s="1" a="1"/>
  <c r="BR1014" i="13" s="1"/>
  <c r="BT903" i="13"/>
  <c r="BU903" i="13" s="1"/>
  <c r="BX939" i="13"/>
  <c r="BY939" i="13" s="1"/>
  <c r="CJ949" i="13"/>
  <c r="CK949" i="13" s="1"/>
  <c r="CL949" i="13" s="1" a="1"/>
  <c r="CL949" i="13" s="1"/>
  <c r="BX907" i="13"/>
  <c r="BY907" i="13" s="1"/>
  <c r="BX923" i="13"/>
  <c r="BY923" i="13" s="1"/>
  <c r="BZ923" i="13" s="1" a="1"/>
  <c r="BZ923" i="13" s="1"/>
  <c r="CN951" i="13"/>
  <c r="CO951" i="13" s="1"/>
  <c r="CB923" i="13"/>
  <c r="CC923" i="13" s="1"/>
  <c r="BT943" i="13"/>
  <c r="BU943" i="13" s="1"/>
  <c r="BT953" i="13"/>
  <c r="BU953" i="13" s="1"/>
  <c r="BV953" i="13" s="1" a="1"/>
  <c r="BV953" i="13" s="1"/>
  <c r="CV890" i="13"/>
  <c r="CW890" i="13" s="1"/>
  <c r="CJ921" i="13"/>
  <c r="CK921" i="13" s="1"/>
  <c r="CL921" i="13" s="1" a="1"/>
  <c r="CL921" i="13" s="1"/>
  <c r="CN923" i="13"/>
  <c r="CO923" i="13" s="1"/>
  <c r="BP925" i="13"/>
  <c r="BQ925" i="13" s="1"/>
  <c r="BR925" i="13" s="1" a="1"/>
  <c r="BR925" i="13" s="1"/>
  <c r="CR931" i="13"/>
  <c r="CS931" i="13" s="1"/>
  <c r="CT931" i="13" s="1" a="1"/>
  <c r="CT931" i="13" s="1"/>
  <c r="CN939" i="13"/>
  <c r="CO939" i="13" s="1"/>
  <c r="CN953" i="13"/>
  <c r="CO953" i="13" s="1"/>
  <c r="CN967" i="13"/>
  <c r="CO967" i="13" s="1"/>
  <c r="CN978" i="13"/>
  <c r="CO978" i="13" s="1"/>
  <c r="CP978" i="13" s="1" a="1"/>
  <c r="CP978" i="13" s="1"/>
  <c r="CJ978" i="13"/>
  <c r="CK978" i="13" s="1"/>
  <c r="CL978" i="13" s="1" a="1"/>
  <c r="CL978" i="13" s="1"/>
  <c r="BP978" i="13"/>
  <c r="BQ978" i="13" s="1"/>
  <c r="BR978" i="13" s="1" a="1"/>
  <c r="BR978" i="13" s="1"/>
  <c r="CR978" i="13"/>
  <c r="CS978" i="13" s="1"/>
  <c r="BT978" i="13"/>
  <c r="BU978" i="13" s="1"/>
  <c r="BJ993" i="13"/>
  <c r="CN993" i="13" s="1"/>
  <c r="CO993" i="13" s="1"/>
  <c r="BJ1005" i="13"/>
  <c r="CN1005" i="13" s="1"/>
  <c r="CO1005" i="13" s="1"/>
  <c r="BJ1009" i="13"/>
  <c r="BT1009" i="13" s="1"/>
  <c r="BU1009" i="13" s="1"/>
  <c r="BJ1013" i="13"/>
  <c r="BT1013" i="13" s="1"/>
  <c r="BU1013" i="13" s="1"/>
  <c r="BJ1017" i="13"/>
  <c r="BT1017" i="13" s="1"/>
  <c r="BU1017" i="13" s="1"/>
  <c r="CN919" i="13"/>
  <c r="CO919" i="13" s="1"/>
  <c r="CN933" i="13"/>
  <c r="CO933" i="13" s="1"/>
  <c r="BX956" i="13"/>
  <c r="BY956" i="13" s="1"/>
  <c r="CB981" i="13"/>
  <c r="CC981" i="13" s="1"/>
  <c r="BT971" i="13"/>
  <c r="BU971" i="13" s="1"/>
  <c r="BP750" i="13"/>
  <c r="BQ750" i="13" s="1"/>
  <c r="BR750" i="13" s="1" a="1"/>
  <c r="BR750" i="13" s="1"/>
  <c r="BT750" i="13"/>
  <c r="BU750" i="13" s="1"/>
  <c r="CJ750" i="13"/>
  <c r="CK750" i="13" s="1"/>
  <c r="CL750" i="13" s="1" a="1"/>
  <c r="CL750" i="13" s="1"/>
  <c r="CR750" i="13"/>
  <c r="CS750" i="13" s="1"/>
  <c r="CR756" i="13"/>
  <c r="CS756" i="13" s="1"/>
  <c r="CR760" i="13"/>
  <c r="CS760" i="13" s="1"/>
  <c r="CT760" i="13" s="1" a="1"/>
  <c r="CT760" i="13" s="1"/>
  <c r="CR764" i="13"/>
  <c r="CS764" i="13" s="1"/>
  <c r="CR768" i="13"/>
  <c r="CS768" i="13" s="1"/>
  <c r="CT768" i="13" s="1" a="1"/>
  <c r="CT768" i="13" s="1"/>
  <c r="CR772" i="13"/>
  <c r="CS772" i="13" s="1"/>
  <c r="CR776" i="13"/>
  <c r="CS776" i="13" s="1"/>
  <c r="CT776" i="13" s="1" a="1"/>
  <c r="CT776" i="13" s="1"/>
  <c r="BJ806" i="13"/>
  <c r="CN806" i="13" s="1"/>
  <c r="CO806" i="13" s="1"/>
  <c r="CR816" i="13"/>
  <c r="CS816" i="13" s="1"/>
  <c r="CT816" i="13" s="1" a="1"/>
  <c r="CT816" i="13" s="1"/>
  <c r="CR824" i="13"/>
  <c r="CS824" i="13" s="1"/>
  <c r="BX751" i="13"/>
  <c r="BY751" i="13" s="1"/>
  <c r="BP803" i="13"/>
  <c r="BQ803" i="13" s="1"/>
  <c r="BR803" i="13" s="1" a="1"/>
  <c r="BR803" i="13" s="1"/>
  <c r="CJ819" i="13"/>
  <c r="CK819" i="13" s="1"/>
  <c r="CL819" i="13" s="1" a="1"/>
  <c r="CL819" i="13" s="1"/>
  <c r="BP819" i="13"/>
  <c r="BQ819" i="13" s="1"/>
  <c r="BR819" i="13" s="1" a="1"/>
  <c r="BR819" i="13" s="1"/>
  <c r="CR819" i="13"/>
  <c r="CS819" i="13" s="1"/>
  <c r="CV819" i="13"/>
  <c r="CW819" i="13" s="1"/>
  <c r="BT819" i="13"/>
  <c r="BU819" i="13" s="1"/>
  <c r="BV819" i="13" s="1" a="1"/>
  <c r="BV819" i="13" s="1"/>
  <c r="CB791" i="13"/>
  <c r="CC791" i="13" s="1"/>
  <c r="CV750" i="13"/>
  <c r="CW750" i="13" s="1"/>
  <c r="BP779" i="13"/>
  <c r="BQ779" i="13" s="1"/>
  <c r="BR779" i="13" s="1" a="1"/>
  <c r="BR779" i="13" s="1"/>
  <c r="CN803" i="13"/>
  <c r="CO803" i="13" s="1"/>
  <c r="CV841" i="13"/>
  <c r="CW841" i="13" s="1"/>
  <c r="CV795" i="13"/>
  <c r="CW795" i="13" s="1"/>
  <c r="BT809" i="13"/>
  <c r="BU809" i="13" s="1"/>
  <c r="BX825" i="13"/>
  <c r="BY825" i="13" s="1"/>
  <c r="BZ825" i="13" s="1" a="1"/>
  <c r="BZ825" i="13" s="1"/>
  <c r="BJ833" i="13"/>
  <c r="BP833" i="13" s="1"/>
  <c r="BQ833" i="13" s="1"/>
  <c r="BR833" i="13" s="1" a="1"/>
  <c r="BR833" i="13" s="1"/>
  <c r="BJ841" i="13"/>
  <c r="BP841" i="13" s="1"/>
  <c r="BQ841" i="13" s="1"/>
  <c r="BR841" i="13" s="1" a="1"/>
  <c r="BR841" i="13" s="1"/>
  <c r="BJ857" i="13"/>
  <c r="BP857" i="13" s="1"/>
  <c r="BQ857" i="13" s="1"/>
  <c r="BR857" i="13" s="1" a="1"/>
  <c r="BR857" i="13" s="1"/>
  <c r="BJ885" i="13"/>
  <c r="BT885" i="13" s="1"/>
  <c r="BU885" i="13" s="1"/>
  <c r="BX838" i="13"/>
  <c r="BY838" i="13" s="1"/>
  <c r="BX870" i="13"/>
  <c r="BY870" i="13" s="1"/>
  <c r="BZ870" i="13" s="1" a="1"/>
  <c r="BZ870" i="13" s="1"/>
  <c r="CJ876" i="13"/>
  <c r="CK876" i="13" s="1"/>
  <c r="CL876" i="13" s="1" a="1"/>
  <c r="CL876" i="13" s="1"/>
  <c r="CB880" i="13"/>
  <c r="CC880" i="13" s="1"/>
  <c r="CV850" i="13"/>
  <c r="CW850" i="13" s="1"/>
  <c r="BP862" i="13"/>
  <c r="BQ862" i="13" s="1"/>
  <c r="BR862" i="13" s="1" a="1"/>
  <c r="BR862" i="13" s="1"/>
  <c r="CB870" i="13"/>
  <c r="CC870" i="13" s="1"/>
  <c r="BP882" i="13"/>
  <c r="BQ882" i="13" s="1"/>
  <c r="BR882" i="13" s="1" a="1"/>
  <c r="BR882" i="13" s="1"/>
  <c r="BP834" i="13"/>
  <c r="BQ834" i="13" s="1"/>
  <c r="BR834" i="13" s="1" a="1"/>
  <c r="BR834" i="13" s="1"/>
  <c r="CN854" i="13"/>
  <c r="CO854" i="13" s="1"/>
  <c r="CP854" i="13" s="1" a="1"/>
  <c r="CP854" i="13" s="1"/>
  <c r="CJ866" i="13"/>
  <c r="CK866" i="13" s="1"/>
  <c r="CL866" i="13" s="1" a="1"/>
  <c r="CL866" i="13" s="1"/>
  <c r="BT870" i="13"/>
  <c r="BU870" i="13" s="1"/>
  <c r="BX892" i="13"/>
  <c r="BY892" i="13" s="1"/>
  <c r="BP900" i="13"/>
  <c r="BQ900" i="13" s="1"/>
  <c r="BR900" i="13" s="1" a="1"/>
  <c r="BR900" i="13" s="1"/>
  <c r="BT900" i="13"/>
  <c r="BU900" i="13" s="1"/>
  <c r="CR900" i="13"/>
  <c r="CS900" i="13" s="1"/>
  <c r="CJ900" i="13"/>
  <c r="CK900" i="13" s="1"/>
  <c r="CL900" i="13" s="1" a="1"/>
  <c r="CL900" i="13" s="1"/>
  <c r="BT832" i="13"/>
  <c r="BU832" i="13" s="1"/>
  <c r="CN848" i="13"/>
  <c r="CO848" i="13" s="1"/>
  <c r="CN830" i="13"/>
  <c r="CO830" i="13" s="1"/>
  <c r="CB852" i="13"/>
  <c r="CC852" i="13" s="1"/>
  <c r="CB860" i="13"/>
  <c r="CC860" i="13" s="1"/>
  <c r="BT879" i="13"/>
  <c r="BU879" i="13" s="1"/>
  <c r="BJ904" i="13"/>
  <c r="BT904" i="13" s="1"/>
  <c r="BU904" i="13" s="1"/>
  <c r="BJ920" i="13"/>
  <c r="CB920" i="13" s="1"/>
  <c r="CC920" i="13" s="1"/>
  <c r="BT827" i="13"/>
  <c r="BU827" i="13" s="1"/>
  <c r="BP860" i="13"/>
  <c r="BQ860" i="13" s="1"/>
  <c r="BR860" i="13" s="1" a="1"/>
  <c r="BR860" i="13" s="1"/>
  <c r="CV864" i="13"/>
  <c r="CW864" i="13" s="1"/>
  <c r="BP896" i="13"/>
  <c r="BQ896" i="13" s="1"/>
  <c r="BR896" i="13" s="1" a="1"/>
  <c r="BR896" i="13" s="1"/>
  <c r="CV896" i="13"/>
  <c r="CW896" i="13" s="1"/>
  <c r="BT896" i="13"/>
  <c r="BU896" i="13" s="1"/>
  <c r="BV896" i="13" s="1" a="1"/>
  <c r="BV896" i="13" s="1"/>
  <c r="CR896" i="13"/>
  <c r="CS896" i="13" s="1"/>
  <c r="CT896" i="13" s="1" a="1"/>
  <c r="CT896" i="13" s="1"/>
  <c r="CJ896" i="13"/>
  <c r="CK896" i="13" s="1"/>
  <c r="CL896" i="13" s="1" a="1"/>
  <c r="CL896" i="13" s="1"/>
  <c r="CN900" i="13"/>
  <c r="CO900" i="13" s="1"/>
  <c r="BX816" i="13"/>
  <c r="BY816" i="13" s="1"/>
  <c r="CN868" i="13"/>
  <c r="CO868" i="13" s="1"/>
  <c r="CJ878" i="13"/>
  <c r="CK878" i="13" s="1"/>
  <c r="CL878" i="13" s="1" a="1"/>
  <c r="CL878" i="13" s="1"/>
  <c r="CN940" i="13"/>
  <c r="CO940" i="13" s="1"/>
  <c r="CP940" i="13" s="1" a="1"/>
  <c r="CP940" i="13" s="1"/>
  <c r="BT940" i="13"/>
  <c r="BU940" i="13" s="1"/>
  <c r="BZ940" i="13" s="1" a="1"/>
  <c r="BZ940" i="13" s="1"/>
  <c r="CB940" i="13"/>
  <c r="CC940" i="13" s="1"/>
  <c r="CJ940" i="13"/>
  <c r="CK940" i="13" s="1"/>
  <c r="CL940" i="13" s="1" a="1"/>
  <c r="CL940" i="13" s="1"/>
  <c r="BP940" i="13"/>
  <c r="BQ940" i="13" s="1"/>
  <c r="BR940" i="13" s="1" a="1"/>
  <c r="BR940" i="13" s="1"/>
  <c r="CR940" i="13"/>
  <c r="CS940" i="13" s="1"/>
  <c r="CN946" i="13"/>
  <c r="CO946" i="13" s="1"/>
  <c r="BT946" i="13"/>
  <c r="BU946" i="13" s="1"/>
  <c r="CJ946" i="13"/>
  <c r="CK946" i="13" s="1"/>
  <c r="CL946" i="13" s="1" a="1"/>
  <c r="CL946" i="13" s="1"/>
  <c r="BP946" i="13"/>
  <c r="BQ946" i="13" s="1"/>
  <c r="BR946" i="13" s="1" a="1"/>
  <c r="BR946" i="13" s="1"/>
  <c r="CR946" i="13"/>
  <c r="CS946" i="13" s="1"/>
  <c r="CN950" i="13"/>
  <c r="CO950" i="13" s="1"/>
  <c r="CP950" i="13" s="1" a="1"/>
  <c r="CP950" i="13" s="1"/>
  <c r="BT950" i="13"/>
  <c r="BU950" i="13" s="1"/>
  <c r="BV950" i="13" s="1" a="1"/>
  <c r="BV950" i="13" s="1"/>
  <c r="CJ950" i="13"/>
  <c r="CK950" i="13" s="1"/>
  <c r="CL950" i="13" s="1" a="1"/>
  <c r="CL950" i="13" s="1"/>
  <c r="BP950" i="13"/>
  <c r="BQ950" i="13" s="1"/>
  <c r="BR950" i="13" s="1" a="1"/>
  <c r="BR950" i="13" s="1"/>
  <c r="CR950" i="13"/>
  <c r="CS950" i="13" s="1"/>
  <c r="BX903" i="13"/>
  <c r="BY903" i="13" s="1"/>
  <c r="BZ903" i="13" s="1" a="1"/>
  <c r="BZ903" i="13" s="1"/>
  <c r="CR935" i="13"/>
  <c r="CS935" i="13" s="1"/>
  <c r="CT935" i="13" s="1" a="1"/>
  <c r="CT935" i="13" s="1"/>
  <c r="CN960" i="13"/>
  <c r="CO960" i="13" s="1"/>
  <c r="CJ960" i="13"/>
  <c r="CK960" i="13" s="1"/>
  <c r="CL960" i="13" s="1" a="1"/>
  <c r="CL960" i="13" s="1"/>
  <c r="BP960" i="13"/>
  <c r="BQ960" i="13" s="1"/>
  <c r="BR960" i="13" s="1" a="1"/>
  <c r="BR960" i="13" s="1"/>
  <c r="CR960" i="13"/>
  <c r="CS960" i="13" s="1"/>
  <c r="BT960" i="13"/>
  <c r="BU960" i="13" s="1"/>
  <c r="CB969" i="13"/>
  <c r="CC969" i="13" s="1"/>
  <c r="CB1006" i="13"/>
  <c r="CC1006" i="13" s="1"/>
  <c r="CB1014" i="13"/>
  <c r="CC1014" i="13" s="1"/>
  <c r="CV888" i="13"/>
  <c r="CW888" i="13" s="1"/>
  <c r="BP905" i="13"/>
  <c r="BQ905" i="13" s="1"/>
  <c r="BR905" i="13" s="1" a="1"/>
  <c r="BR905" i="13" s="1"/>
  <c r="CB913" i="13"/>
  <c r="CC913" i="13" s="1"/>
  <c r="CV925" i="13"/>
  <c r="CW925" i="13" s="1"/>
  <c r="BP965" i="13"/>
  <c r="BQ965" i="13" s="1"/>
  <c r="BR965" i="13" s="1" a="1"/>
  <c r="BR965" i="13" s="1"/>
  <c r="CJ965" i="13"/>
  <c r="CK965" i="13" s="1"/>
  <c r="CL965" i="13" s="1" a="1"/>
  <c r="CL965" i="13" s="1"/>
  <c r="CR965" i="13"/>
  <c r="CS965" i="13" s="1"/>
  <c r="BT965" i="13"/>
  <c r="BU965" i="13" s="1"/>
  <c r="BP975" i="13"/>
  <c r="BQ975" i="13" s="1"/>
  <c r="BR975" i="13" s="1" a="1"/>
  <c r="BR975" i="13" s="1"/>
  <c r="CJ975" i="13"/>
  <c r="CK975" i="13" s="1"/>
  <c r="CL975" i="13" s="1" a="1"/>
  <c r="CL975" i="13" s="1"/>
  <c r="CR975" i="13"/>
  <c r="CS975" i="13" s="1"/>
  <c r="CT975" i="13" s="1" a="1"/>
  <c r="CT975" i="13" s="1"/>
  <c r="BT975" i="13"/>
  <c r="BU975" i="13" s="1"/>
  <c r="CV940" i="13"/>
  <c r="CW940" i="13" s="1"/>
  <c r="CV944" i="13"/>
  <c r="CW944" i="13" s="1"/>
  <c r="CB955" i="13"/>
  <c r="CC955" i="13" s="1"/>
  <c r="CB963" i="13"/>
  <c r="CC963" i="13" s="1"/>
  <c r="CN974" i="13"/>
  <c r="CO974" i="13" s="1"/>
  <c r="CP974" i="13" s="1" a="1"/>
  <c r="CP974" i="13" s="1"/>
  <c r="CJ974" i="13"/>
  <c r="CK974" i="13" s="1"/>
  <c r="CL974" i="13" s="1" a="1"/>
  <c r="CL974" i="13" s="1"/>
  <c r="BP974" i="13"/>
  <c r="BQ974" i="13" s="1"/>
  <c r="BR974" i="13" s="1" a="1"/>
  <c r="BR974" i="13" s="1"/>
  <c r="CR974" i="13"/>
  <c r="CS974" i="13" s="1"/>
  <c r="BT974" i="13"/>
  <c r="BU974" i="13" s="1"/>
  <c r="BZ974" i="13" s="1" a="1"/>
  <c r="BZ974" i="13" s="1"/>
  <c r="CE978" i="13" a="1"/>
  <c r="CE978" i="13" s="1"/>
  <c r="BJ992" i="13"/>
  <c r="BP992" i="13" s="1"/>
  <c r="BQ992" i="13" s="1"/>
  <c r="BR992" i="13" s="1" a="1"/>
  <c r="BR992" i="13" s="1"/>
  <c r="CR996" i="13"/>
  <c r="CS996" i="13" s="1"/>
  <c r="CR1006" i="13"/>
  <c r="CS1006" i="13" s="1"/>
  <c r="CN903" i="13"/>
  <c r="CO903" i="13" s="1"/>
  <c r="CP903" i="13" s="1" a="1"/>
  <c r="CP903" i="13" s="1"/>
  <c r="BX909" i="13"/>
  <c r="BY909" i="13" s="1"/>
  <c r="CN941" i="13"/>
  <c r="CO941" i="13" s="1"/>
  <c r="CR949" i="13"/>
  <c r="CS949" i="13" s="1"/>
  <c r="CV954" i="13"/>
  <c r="CW954" i="13" s="1"/>
  <c r="CV963" i="13"/>
  <c r="CW963" i="13" s="1"/>
  <c r="CB909" i="13"/>
  <c r="CC909" i="13" s="1"/>
  <c r="CB953" i="13"/>
  <c r="CC953" i="13" s="1"/>
  <c r="CB979" i="13"/>
  <c r="CC979" i="13" s="1"/>
  <c r="CB896" i="13"/>
  <c r="CC896" i="13" s="1"/>
  <c r="CB925" i="13"/>
  <c r="CC925" i="13" s="1"/>
  <c r="CR943" i="13"/>
  <c r="CS943" i="13" s="1"/>
  <c r="CN969" i="13"/>
  <c r="CO969" i="13" s="1"/>
  <c r="CP969" i="13" s="1" a="1"/>
  <c r="CP969" i="13" s="1"/>
  <c r="CV911" i="13"/>
  <c r="CW911" i="13" s="1"/>
  <c r="BT921" i="13"/>
  <c r="BU921" i="13" s="1"/>
  <c r="CR923" i="13"/>
  <c r="CS923" i="13" s="1"/>
  <c r="CT923" i="13" s="1" a="1"/>
  <c r="CT923" i="13" s="1"/>
  <c r="BP931" i="13"/>
  <c r="BQ931" i="13" s="1"/>
  <c r="BR931" i="13" s="1" a="1"/>
  <c r="BR931" i="13" s="1"/>
  <c r="CB944" i="13"/>
  <c r="CC944" i="13" s="1"/>
  <c r="BJ999" i="13"/>
  <c r="BP999" i="13" s="1"/>
  <c r="BQ999" i="13" s="1"/>
  <c r="BR999" i="13" s="1" a="1"/>
  <c r="BR999" i="13" s="1"/>
  <c r="BP1005" i="13"/>
  <c r="BQ1005" i="13" s="1"/>
  <c r="BR1005" i="13" s="1" a="1"/>
  <c r="BR1005" i="13" s="1"/>
  <c r="BP1009" i="13"/>
  <c r="BQ1009" i="13" s="1"/>
  <c r="BR1009" i="13" s="1" a="1"/>
  <c r="BR1009" i="13" s="1"/>
  <c r="BP1013" i="13"/>
  <c r="BQ1013" i="13" s="1"/>
  <c r="BR1013" i="13" s="1" a="1"/>
  <c r="BR1013" i="13" s="1"/>
  <c r="BP1017" i="13"/>
  <c r="BQ1017" i="13" s="1"/>
  <c r="BR1017" i="13" s="1" a="1"/>
  <c r="BR1017" i="13" s="1"/>
  <c r="CB905" i="13"/>
  <c r="CC905" i="13" s="1"/>
  <c r="CR919" i="13"/>
  <c r="CS919" i="13" s="1"/>
  <c r="CJ929" i="13"/>
  <c r="CK929" i="13" s="1"/>
  <c r="CL929" i="13" s="1" a="1"/>
  <c r="CL929" i="13" s="1"/>
  <c r="CR933" i="13"/>
  <c r="CS933" i="13" s="1"/>
  <c r="BX958" i="13"/>
  <c r="BY958" i="13" s="1"/>
  <c r="BX967" i="13"/>
  <c r="BY967" i="13" s="1"/>
  <c r="BZ967" i="13" s="1" a="1"/>
  <c r="BZ967" i="13" s="1"/>
  <c r="BX989" i="13"/>
  <c r="BY989" i="13" s="1"/>
  <c r="BX1005" i="13"/>
  <c r="BY1005" i="13" s="1"/>
  <c r="CJ993" i="13"/>
  <c r="CK993" i="13" s="1"/>
  <c r="CL993" i="13" s="1" a="1"/>
  <c r="CL993" i="13" s="1"/>
  <c r="CN1017" i="13"/>
  <c r="CO1017" i="13" s="1"/>
  <c r="BJ782" i="13"/>
  <c r="CV782" i="13" s="1"/>
  <c r="CW782" i="13" s="1"/>
  <c r="BJ786" i="13"/>
  <c r="BT786" i="13" s="1"/>
  <c r="BU786" i="13" s="1"/>
  <c r="BJ790" i="13"/>
  <c r="BT790" i="13" s="1"/>
  <c r="BU790" i="13" s="1"/>
  <c r="BJ794" i="13"/>
  <c r="CN794" i="13" s="1"/>
  <c r="CO794" i="13" s="1"/>
  <c r="BJ798" i="13"/>
  <c r="CV798" i="13" s="1"/>
  <c r="CW798" i="13" s="1"/>
  <c r="BJ802" i="13"/>
  <c r="CB802" i="13" s="1"/>
  <c r="CC802" i="13" s="1"/>
  <c r="CR806" i="13"/>
  <c r="CS806" i="13" s="1"/>
  <c r="CT806" i="13" s="1" a="1"/>
  <c r="CT806" i="13" s="1"/>
  <c r="BJ812" i="13"/>
  <c r="CV812" i="13" s="1"/>
  <c r="CW812" i="13" s="1"/>
  <c r="BJ818" i="13"/>
  <c r="BX818" i="13" s="1"/>
  <c r="BY818" i="13" s="1"/>
  <c r="BX760" i="13"/>
  <c r="BY760" i="13" s="1"/>
  <c r="BZ760" i="13" s="1" a="1"/>
  <c r="BZ760" i="13" s="1"/>
  <c r="BX776" i="13"/>
  <c r="BY776" i="13" s="1"/>
  <c r="BZ776" i="13" s="1" a="1"/>
  <c r="BZ776" i="13" s="1"/>
  <c r="CN795" i="13"/>
  <c r="CO795" i="13" s="1"/>
  <c r="CJ803" i="13"/>
  <c r="CK803" i="13" s="1"/>
  <c r="CL803" i="13" s="1" a="1"/>
  <c r="CL803" i="13" s="1"/>
  <c r="BX833" i="13"/>
  <c r="BY833" i="13" s="1"/>
  <c r="BX841" i="13"/>
  <c r="BY841" i="13" s="1"/>
  <c r="BP790" i="13"/>
  <c r="BQ790" i="13" s="1"/>
  <c r="BR790" i="13" s="1" a="1"/>
  <c r="BR790" i="13" s="1"/>
  <c r="BX813" i="13"/>
  <c r="BY813" i="13" s="1"/>
  <c r="BT807" i="13"/>
  <c r="BU807" i="13" s="1"/>
  <c r="BT875" i="13"/>
  <c r="BU875" i="13" s="1"/>
  <c r="BV875" i="13" s="1" a="1"/>
  <c r="BV875" i="13" s="1"/>
  <c r="CJ779" i="13"/>
  <c r="CK779" i="13" s="1"/>
  <c r="CL779" i="13" s="1" a="1"/>
  <c r="CL779" i="13" s="1"/>
  <c r="CB795" i="13"/>
  <c r="CC795" i="13" s="1"/>
  <c r="CV847" i="13"/>
  <c r="CW847" i="13" s="1"/>
  <c r="BP815" i="13"/>
  <c r="BQ815" i="13" s="1"/>
  <c r="BR815" i="13" s="1" a="1"/>
  <c r="BR815" i="13" s="1"/>
  <c r="CB885" i="13"/>
  <c r="CC885" i="13" s="1"/>
  <c r="CN809" i="13"/>
  <c r="CO809" i="13" s="1"/>
  <c r="BT787" i="13"/>
  <c r="BU787" i="13" s="1"/>
  <c r="CR847" i="13"/>
  <c r="CS847" i="13" s="1"/>
  <c r="CT847" i="13" s="1" a="1"/>
  <c r="CT847" i="13" s="1"/>
  <c r="BJ851" i="13"/>
  <c r="BP851" i="13" s="1"/>
  <c r="BQ851" i="13" s="1"/>
  <c r="BR851" i="13" s="1" a="1"/>
  <c r="BR851" i="13" s="1"/>
  <c r="BJ867" i="13"/>
  <c r="CB867" i="13" s="1"/>
  <c r="CC867" i="13" s="1"/>
  <c r="BJ871" i="13"/>
  <c r="CN871" i="13" s="1"/>
  <c r="CO871" i="13" s="1"/>
  <c r="BJ875" i="13"/>
  <c r="CV875" i="13" s="1"/>
  <c r="CW875" i="13" s="1"/>
  <c r="BP838" i="13"/>
  <c r="BQ838" i="13" s="1"/>
  <c r="BR838" i="13" s="1" a="1"/>
  <c r="BR838" i="13" s="1"/>
  <c r="CJ847" i="13"/>
  <c r="CK847" i="13" s="1"/>
  <c r="CL847" i="13" s="1" a="1"/>
  <c r="CL847" i="13" s="1"/>
  <c r="BT876" i="13"/>
  <c r="BU876" i="13" s="1"/>
  <c r="BV876" i="13" s="1" a="1"/>
  <c r="BV876" i="13" s="1"/>
  <c r="BX886" i="13"/>
  <c r="BY886" i="13" s="1"/>
  <c r="BP898" i="13"/>
  <c r="BQ898" i="13" s="1"/>
  <c r="BR898" i="13" s="1" a="1"/>
  <c r="BR898" i="13" s="1"/>
  <c r="CR898" i="13"/>
  <c r="CS898" i="13" s="1"/>
  <c r="CJ898" i="13"/>
  <c r="CK898" i="13" s="1"/>
  <c r="CL898" i="13" s="1" a="1"/>
  <c r="CL898" i="13" s="1"/>
  <c r="CB898" i="13"/>
  <c r="CC898" i="13" s="1"/>
  <c r="BT898" i="13"/>
  <c r="BU898" i="13" s="1"/>
  <c r="CB834" i="13"/>
  <c r="CC834" i="13" s="1"/>
  <c r="BT850" i="13"/>
  <c r="BU850" i="13" s="1"/>
  <c r="BV850" i="13" s="1" a="1"/>
  <c r="BV850" i="13" s="1"/>
  <c r="CR858" i="13"/>
  <c r="CS858" i="13" s="1"/>
  <c r="CJ862" i="13"/>
  <c r="CK862" i="13" s="1"/>
  <c r="CL862" i="13" s="1" a="1"/>
  <c r="CL862" i="13" s="1"/>
  <c r="CJ882" i="13"/>
  <c r="CK882" i="13" s="1"/>
  <c r="CL882" i="13" s="1" a="1"/>
  <c r="CL882" i="13" s="1"/>
  <c r="BJ891" i="13"/>
  <c r="BP891" i="13" s="1"/>
  <c r="BQ891" i="13" s="1"/>
  <c r="BR891" i="13" s="1" a="1"/>
  <c r="BR891" i="13" s="1"/>
  <c r="CV825" i="13"/>
  <c r="CW825" i="13" s="1"/>
  <c r="CJ834" i="13"/>
  <c r="CK834" i="13" s="1"/>
  <c r="CL834" i="13" s="1" a="1"/>
  <c r="CL834" i="13" s="1"/>
  <c r="CB842" i="13"/>
  <c r="CC842" i="13" s="1"/>
  <c r="CV866" i="13"/>
  <c r="CW866" i="13" s="1"/>
  <c r="CN880" i="13"/>
  <c r="CO880" i="13" s="1"/>
  <c r="CP880" i="13" s="1" a="1"/>
  <c r="CP880" i="13" s="1"/>
  <c r="CB882" i="13"/>
  <c r="CC882" i="13" s="1"/>
  <c r="CR848" i="13"/>
  <c r="CS848" i="13" s="1"/>
  <c r="BX856" i="13"/>
  <c r="BY856" i="13" s="1"/>
  <c r="CN870" i="13"/>
  <c r="CO870" i="13" s="1"/>
  <c r="CP870" i="13" s="1" a="1"/>
  <c r="CP870" i="13" s="1"/>
  <c r="CN885" i="13"/>
  <c r="CO885" i="13" s="1"/>
  <c r="BT824" i="13"/>
  <c r="BU824" i="13" s="1"/>
  <c r="BX830" i="13"/>
  <c r="BY830" i="13" s="1"/>
  <c r="BZ830" i="13" s="1" a="1"/>
  <c r="BZ830" i="13" s="1"/>
  <c r="BX868" i="13"/>
  <c r="BY868" i="13" s="1"/>
  <c r="BZ868" i="13" s="1" a="1"/>
  <c r="BZ868" i="13" s="1"/>
  <c r="CN884" i="13"/>
  <c r="CO884" i="13" s="1"/>
  <c r="CN888" i="13"/>
  <c r="CO888" i="13" s="1"/>
  <c r="BJ910" i="13"/>
  <c r="CV910" i="13" s="1"/>
  <c r="CW910" i="13" s="1"/>
  <c r="BJ926" i="13"/>
  <c r="CV926" i="13" s="1"/>
  <c r="CW926" i="13" s="1"/>
  <c r="BJ938" i="13"/>
  <c r="BX938" i="13" s="1"/>
  <c r="BY938" i="13" s="1"/>
  <c r="CR856" i="13"/>
  <c r="CS856" i="13" s="1"/>
  <c r="CT856" i="13" s="1" a="1"/>
  <c r="CT856" i="13" s="1"/>
  <c r="CJ860" i="13"/>
  <c r="CK860" i="13" s="1"/>
  <c r="CL860" i="13" s="1" a="1"/>
  <c r="CL860" i="13" s="1"/>
  <c r="BT864" i="13"/>
  <c r="BU864" i="13" s="1"/>
  <c r="BV864" i="13" s="1" a="1"/>
  <c r="BV864" i="13" s="1"/>
  <c r="CR828" i="13"/>
  <c r="CS828" i="13" s="1"/>
  <c r="CT828" i="13" s="1" a="1"/>
  <c r="CT828" i="13" s="1"/>
  <c r="BX844" i="13"/>
  <c r="BY844" i="13" s="1"/>
  <c r="BZ844" i="13" s="1" a="1"/>
  <c r="BZ844" i="13" s="1"/>
  <c r="CN864" i="13"/>
  <c r="CO864" i="13" s="1"/>
  <c r="CP864" i="13" s="1" a="1"/>
  <c r="CP864" i="13" s="1"/>
  <c r="CN872" i="13"/>
  <c r="CO872" i="13" s="1"/>
  <c r="CV885" i="13"/>
  <c r="CW885" i="13" s="1"/>
  <c r="CR791" i="13"/>
  <c r="CS791" i="13" s="1"/>
  <c r="BX854" i="13"/>
  <c r="BY854" i="13" s="1"/>
  <c r="BT878" i="13"/>
  <c r="BU878" i="13" s="1"/>
  <c r="BV878" i="13" s="1" a="1"/>
  <c r="BV878" i="13" s="1"/>
  <c r="BX913" i="13"/>
  <c r="BY913" i="13" s="1"/>
  <c r="BP935" i="13"/>
  <c r="BQ935" i="13" s="1"/>
  <c r="BR935" i="13" s="1" a="1"/>
  <c r="BR935" i="13" s="1"/>
  <c r="CV953" i="13"/>
  <c r="CW953" i="13" s="1"/>
  <c r="CN905" i="13"/>
  <c r="CO905" i="13" s="1"/>
  <c r="CP905" i="13" s="1" a="1"/>
  <c r="CP905" i="13" s="1"/>
  <c r="CV914" i="13"/>
  <c r="CW914" i="13" s="1"/>
  <c r="CB956" i="13"/>
  <c r="CC956" i="13" s="1"/>
  <c r="BP983" i="13"/>
  <c r="BQ983" i="13" s="1"/>
  <c r="BR983" i="13" s="1" a="1"/>
  <c r="BR983" i="13" s="1"/>
  <c r="CJ983" i="13"/>
  <c r="CK983" i="13" s="1"/>
  <c r="CL983" i="13" s="1" a="1"/>
  <c r="CL983" i="13" s="1"/>
  <c r="CR983" i="13"/>
  <c r="CS983" i="13" s="1"/>
  <c r="CV983" i="13"/>
  <c r="CW983" i="13" s="1"/>
  <c r="BP988" i="13"/>
  <c r="BQ988" i="13" s="1"/>
  <c r="BR988" i="13" s="1" a="1"/>
  <c r="BR988" i="13" s="1"/>
  <c r="BX988" i="13"/>
  <c r="BY988" i="13" s="1"/>
  <c r="CJ988" i="13"/>
  <c r="CK988" i="13" s="1"/>
  <c r="CL988" i="13" s="1" a="1"/>
  <c r="CL988" i="13" s="1"/>
  <c r="CR988" i="13"/>
  <c r="CS988" i="13" s="1"/>
  <c r="BT988" i="13"/>
  <c r="BU988" i="13" s="1"/>
  <c r="CB988" i="13"/>
  <c r="CC988" i="13" s="1"/>
  <c r="CN988" i="13"/>
  <c r="CO988" i="13" s="1"/>
  <c r="CJ913" i="13"/>
  <c r="CK913" i="13" s="1"/>
  <c r="CL913" i="13" s="1" a="1"/>
  <c r="CL913" i="13" s="1"/>
  <c r="CV919" i="13"/>
  <c r="CW919" i="13" s="1"/>
  <c r="CJ937" i="13"/>
  <c r="CK937" i="13" s="1"/>
  <c r="CL937" i="13" s="1" a="1"/>
  <c r="CL937" i="13" s="1"/>
  <c r="CJ941" i="13"/>
  <c r="CK941" i="13" s="1"/>
  <c r="CL941" i="13" s="1" a="1"/>
  <c r="CL941" i="13" s="1"/>
  <c r="CJ945" i="13"/>
  <c r="CK945" i="13" s="1"/>
  <c r="CL945" i="13" s="1" a="1"/>
  <c r="CL945" i="13" s="1"/>
  <c r="BJ1002" i="13"/>
  <c r="BP1002" i="13" s="1"/>
  <c r="BQ1002" i="13" s="1"/>
  <c r="BR1002" i="13" s="1" a="1"/>
  <c r="BR1002" i="13" s="1"/>
  <c r="BJ1008" i="13"/>
  <c r="BP1008" i="13" s="1"/>
  <c r="BQ1008" i="13" s="1"/>
  <c r="BR1008" i="13" s="1" a="1"/>
  <c r="BR1008" i="13" s="1"/>
  <c r="BQ1016" i="13"/>
  <c r="BR1016" i="13" s="1" a="1"/>
  <c r="BR1016" i="13" s="1"/>
  <c r="BJ1016" i="13"/>
  <c r="BP1016" i="13" s="1"/>
  <c r="BP903" i="13"/>
  <c r="BQ903" i="13" s="1"/>
  <c r="BR903" i="13" s="1" a="1"/>
  <c r="BR903" i="13" s="1"/>
  <c r="CN913" i="13"/>
  <c r="CO913" i="13" s="1"/>
  <c r="CB943" i="13"/>
  <c r="CC943" i="13" s="1"/>
  <c r="BP949" i="13"/>
  <c r="BQ949" i="13" s="1"/>
  <c r="BR949" i="13" s="1" a="1"/>
  <c r="BR949" i="13" s="1"/>
  <c r="CJ955" i="13"/>
  <c r="CK955" i="13" s="1"/>
  <c r="CL955" i="13" s="1" a="1"/>
  <c r="CL955" i="13" s="1"/>
  <c r="CN972" i="13"/>
  <c r="CO972" i="13" s="1"/>
  <c r="CP972" i="13" s="1" a="1"/>
  <c r="CP972" i="13" s="1"/>
  <c r="CJ972" i="13"/>
  <c r="CK972" i="13" s="1"/>
  <c r="CL972" i="13" s="1" a="1"/>
  <c r="CL972" i="13" s="1"/>
  <c r="BP972" i="13"/>
  <c r="BQ972" i="13" s="1"/>
  <c r="BR972" i="13" s="1" a="1"/>
  <c r="BR972" i="13" s="1"/>
  <c r="BT972" i="13"/>
  <c r="BU972" i="13" s="1"/>
  <c r="CR972" i="13"/>
  <c r="CS972" i="13" s="1"/>
  <c r="CB989" i="13"/>
  <c r="CC989" i="13" s="1"/>
  <c r="CJ989" i="13"/>
  <c r="CK989" i="13" s="1"/>
  <c r="BP989" i="13"/>
  <c r="BQ989" i="13" s="1"/>
  <c r="BR989" i="13" s="1" a="1"/>
  <c r="BR989" i="13" s="1"/>
  <c r="BX998" i="13"/>
  <c r="BY998" i="13" s="1"/>
  <c r="BX1014" i="13"/>
  <c r="BY1014" i="13" s="1"/>
  <c r="CE886" i="13" a="1"/>
  <c r="CE886" i="13" s="1"/>
  <c r="CV915" i="13"/>
  <c r="CW915" i="13" s="1"/>
  <c r="BX925" i="13"/>
  <c r="BY925" i="13" s="1"/>
  <c r="CB939" i="13"/>
  <c r="CC939" i="13" s="1"/>
  <c r="CN970" i="13"/>
  <c r="CO970" i="13" s="1"/>
  <c r="CJ970" i="13"/>
  <c r="CK970" i="13" s="1"/>
  <c r="CL970" i="13" s="1" a="1"/>
  <c r="CL970" i="13" s="1"/>
  <c r="BP970" i="13"/>
  <c r="BQ970" i="13" s="1"/>
  <c r="BR970" i="13" s="1" a="1"/>
  <c r="BR970" i="13" s="1"/>
  <c r="BT970" i="13"/>
  <c r="BU970" i="13" s="1"/>
  <c r="BV970" i="13" s="1" a="1"/>
  <c r="BV970" i="13" s="1"/>
  <c r="CR970" i="13"/>
  <c r="CS970" i="13" s="1"/>
  <c r="BP985" i="13"/>
  <c r="BQ985" i="13" s="1"/>
  <c r="BR985" i="13" s="1" a="1"/>
  <c r="BR985" i="13" s="1"/>
  <c r="CJ985" i="13"/>
  <c r="CK985" i="13" s="1"/>
  <c r="CL985" i="13" s="1" a="1"/>
  <c r="CL985" i="13" s="1"/>
  <c r="CB907" i="13"/>
  <c r="CC907" i="13" s="1"/>
  <c r="CV913" i="13"/>
  <c r="CW913" i="13" s="1"/>
  <c r="BX927" i="13"/>
  <c r="BY927" i="13" s="1"/>
  <c r="CV937" i="13"/>
  <c r="CW937" i="13" s="1"/>
  <c r="BP943" i="13"/>
  <c r="BQ943" i="13" s="1"/>
  <c r="BR943" i="13" s="1" a="1"/>
  <c r="BR943" i="13" s="1"/>
  <c r="CN955" i="13"/>
  <c r="CO955" i="13" s="1"/>
  <c r="CV970" i="13"/>
  <c r="CW970" i="13" s="1"/>
  <c r="BP977" i="13"/>
  <c r="BQ977" i="13" s="1"/>
  <c r="BR977" i="13" s="1" a="1"/>
  <c r="BR977" i="13" s="1"/>
  <c r="CJ977" i="13"/>
  <c r="CK977" i="13" s="1"/>
  <c r="CL977" i="13" s="1" a="1"/>
  <c r="CL977" i="13" s="1"/>
  <c r="CR977" i="13"/>
  <c r="CS977" i="13" s="1"/>
  <c r="CT977" i="13" s="1" a="1"/>
  <c r="CT977" i="13" s="1"/>
  <c r="BT977" i="13"/>
  <c r="BU977" i="13" s="1"/>
  <c r="BV977" i="13" s="1" a="1"/>
  <c r="BV977" i="13" s="1"/>
  <c r="CN921" i="13"/>
  <c r="CO921" i="13" s="1"/>
  <c r="CP921" i="13" s="1" a="1"/>
  <c r="CP921" i="13" s="1"/>
  <c r="BP923" i="13"/>
  <c r="BQ923" i="13" s="1"/>
  <c r="BR923" i="13" s="1" a="1"/>
  <c r="BR923" i="13" s="1"/>
  <c r="CB927" i="13"/>
  <c r="CC927" i="13" s="1"/>
  <c r="BX960" i="13"/>
  <c r="BY960" i="13" s="1"/>
  <c r="BZ960" i="13" s="1" a="1"/>
  <c r="BZ960" i="13" s="1"/>
  <c r="BX969" i="13"/>
  <c r="BY969" i="13" s="1"/>
  <c r="BZ969" i="13" s="1" a="1"/>
  <c r="BZ969" i="13" s="1"/>
  <c r="BP981" i="13"/>
  <c r="BQ981" i="13" s="1"/>
  <c r="BR981" i="13" s="1" a="1"/>
  <c r="BR981" i="13" s="1"/>
  <c r="CJ981" i="13"/>
  <c r="CK981" i="13" s="1"/>
  <c r="CL981" i="13" s="1" a="1"/>
  <c r="CL981" i="13" s="1"/>
  <c r="CR981" i="13"/>
  <c r="CS981" i="13" s="1"/>
  <c r="CT981" i="13" s="1" a="1"/>
  <c r="CT981" i="13" s="1"/>
  <c r="BJ991" i="13"/>
  <c r="CN991" i="13" s="1"/>
  <c r="CO991" i="13" s="1"/>
  <c r="CR993" i="13"/>
  <c r="CS993" i="13" s="1"/>
  <c r="CT993" i="13" s="1" a="1"/>
  <c r="CT993" i="13" s="1"/>
  <c r="BT996" i="13"/>
  <c r="BU996" i="13" s="1"/>
  <c r="BV996" i="13" s="1" a="1"/>
  <c r="BV996" i="13" s="1"/>
  <c r="BT1002" i="13"/>
  <c r="BU1002" i="13" s="1"/>
  <c r="BV1002" i="13" s="1" a="1"/>
  <c r="BV1002" i="13" s="1"/>
  <c r="CR1005" i="13"/>
  <c r="CS1005" i="13" s="1"/>
  <c r="CT1005" i="13" s="1" a="1"/>
  <c r="CT1005" i="13" s="1"/>
  <c r="CR1009" i="13"/>
  <c r="CS1009" i="13" s="1"/>
  <c r="CR1013" i="13"/>
  <c r="CS1013" i="13" s="1"/>
  <c r="CT1013" i="13" s="1" a="1"/>
  <c r="CT1013" i="13" s="1"/>
  <c r="CR1017" i="13"/>
  <c r="CS1017" i="13" s="1"/>
  <c r="BJ1021" i="13"/>
  <c r="BP1021" i="13" s="1"/>
  <c r="BQ1021" i="13" s="1"/>
  <c r="BR1021" i="13" s="1" a="1"/>
  <c r="BR1021" i="13" s="1"/>
  <c r="BP919" i="13"/>
  <c r="BQ919" i="13" s="1"/>
  <c r="BR919" i="13" s="1" a="1"/>
  <c r="BR919" i="13" s="1"/>
  <c r="BT929" i="13"/>
  <c r="BU929" i="13" s="1"/>
  <c r="BV929" i="13" s="1" a="1"/>
  <c r="BV929" i="13" s="1"/>
  <c r="BP933" i="13"/>
  <c r="BQ933" i="13" s="1"/>
  <c r="BR933" i="13" s="1" a="1"/>
  <c r="BR933" i="13" s="1"/>
  <c r="CV946" i="13"/>
  <c r="CW946" i="13" s="1"/>
  <c r="CN962" i="13"/>
  <c r="CO962" i="13" s="1"/>
  <c r="CJ962" i="13"/>
  <c r="CK962" i="13" s="1"/>
  <c r="CL962" i="13" s="1" a="1"/>
  <c r="CL962" i="13" s="1"/>
  <c r="BP962" i="13"/>
  <c r="BQ962" i="13" s="1"/>
  <c r="BR962" i="13" s="1" a="1"/>
  <c r="BR962" i="13" s="1"/>
  <c r="BT962" i="13"/>
  <c r="BU962" i="13" s="1"/>
  <c r="BZ962" i="13" s="1" a="1"/>
  <c r="BZ962" i="13" s="1"/>
  <c r="CR962" i="13"/>
  <c r="CS962" i="13" s="1"/>
  <c r="CN983" i="13"/>
  <c r="CO983" i="13" s="1"/>
  <c r="CP983" i="13" s="1" a="1"/>
  <c r="CP983" i="13" s="1"/>
  <c r="CV1006" i="13"/>
  <c r="CW1006" i="13" s="1"/>
  <c r="BX1017" i="13"/>
  <c r="BY1017" i="13" s="1"/>
  <c r="CV975" i="13"/>
  <c r="CW975" i="13" s="1"/>
  <c r="CN1013" i="13"/>
  <c r="CO1013" i="13" s="1"/>
  <c r="BT959" i="13"/>
  <c r="BU959" i="13" s="1"/>
  <c r="CB747" i="13"/>
  <c r="CC747" i="13" s="1"/>
  <c r="BJ778" i="13"/>
  <c r="CJ778" i="13" s="1"/>
  <c r="CK778" i="13" s="1"/>
  <c r="CL778" i="13" s="1" a="1"/>
  <c r="CL778" i="13" s="1"/>
  <c r="CR786" i="13"/>
  <c r="CS786" i="13" s="1"/>
  <c r="CR790" i="13"/>
  <c r="CS790" i="13" s="1"/>
  <c r="CR794" i="13"/>
  <c r="CS794" i="13" s="1"/>
  <c r="CT794" i="13" s="1" a="1"/>
  <c r="CT794" i="13" s="1"/>
  <c r="CR798" i="13"/>
  <c r="CS798" i="13" s="1"/>
  <c r="CR812" i="13"/>
  <c r="CS812" i="13" s="1"/>
  <c r="BJ743" i="13"/>
  <c r="CB743" i="13" s="1"/>
  <c r="CC743" i="13" s="1"/>
  <c r="BP745" i="13"/>
  <c r="BQ745" i="13" s="1"/>
  <c r="BR745" i="13" s="1" a="1"/>
  <c r="BR745" i="13" s="1"/>
  <c r="CJ745" i="13"/>
  <c r="CK745" i="13" s="1"/>
  <c r="CL745" i="13" s="1" a="1"/>
  <c r="CL745" i="13" s="1"/>
  <c r="BX791" i="13"/>
  <c r="BY791" i="13" s="1"/>
  <c r="CV803" i="13"/>
  <c r="CW803" i="13" s="1"/>
  <c r="BX811" i="13"/>
  <c r="BY811" i="13" s="1"/>
  <c r="CN824" i="13"/>
  <c r="CO824" i="13" s="1"/>
  <c r="CP824" i="13" s="1" a="1"/>
  <c r="CP824" i="13" s="1"/>
  <c r="BT791" i="13"/>
  <c r="BU791" i="13" s="1"/>
  <c r="BP807" i="13"/>
  <c r="BQ807" i="13" s="1"/>
  <c r="BR807" i="13" s="1" a="1"/>
  <c r="BR807" i="13" s="1"/>
  <c r="BT833" i="13"/>
  <c r="BU833" i="13" s="1"/>
  <c r="BV833" i="13" s="1" a="1"/>
  <c r="BV833" i="13" s="1"/>
  <c r="CV779" i="13"/>
  <c r="CW779" i="13" s="1"/>
  <c r="CV824" i="13"/>
  <c r="CW824" i="13" s="1"/>
  <c r="CN799" i="13"/>
  <c r="CO799" i="13" s="1"/>
  <c r="CP799" i="13" s="1" a="1"/>
  <c r="CP799" i="13" s="1"/>
  <c r="CJ815" i="13"/>
  <c r="CK815" i="13" s="1"/>
  <c r="CL815" i="13" s="1" a="1"/>
  <c r="CL815" i="13" s="1"/>
  <c r="CB847" i="13"/>
  <c r="CC847" i="13" s="1"/>
  <c r="CB863" i="13"/>
  <c r="CC863" i="13" s="1"/>
  <c r="BT783" i="13"/>
  <c r="BU783" i="13" s="1"/>
  <c r="BP809" i="13"/>
  <c r="BQ809" i="13" s="1"/>
  <c r="BR809" i="13" s="1" a="1"/>
  <c r="BR809" i="13" s="1"/>
  <c r="CN787" i="13"/>
  <c r="CO787" i="13" s="1"/>
  <c r="BX803" i="13"/>
  <c r="BY803" i="13" s="1"/>
  <c r="BZ803" i="13" s="1" a="1"/>
  <c r="BZ803" i="13" s="1"/>
  <c r="CN813" i="13"/>
  <c r="CO813" i="13" s="1"/>
  <c r="BJ831" i="13"/>
  <c r="BP831" i="13" s="1"/>
  <c r="BQ831" i="13" s="1"/>
  <c r="BR831" i="13" s="1" a="1"/>
  <c r="BR831" i="13" s="1"/>
  <c r="CR833" i="13"/>
  <c r="CS833" i="13" s="1"/>
  <c r="BJ839" i="13"/>
  <c r="BP839" i="13" s="1"/>
  <c r="BQ839" i="13" s="1"/>
  <c r="BR839" i="13" s="1" a="1"/>
  <c r="BR839" i="13" s="1"/>
  <c r="CR841" i="13"/>
  <c r="CS841" i="13" s="1"/>
  <c r="BJ845" i="13"/>
  <c r="CJ845" i="13" s="1"/>
  <c r="CK845" i="13" s="1"/>
  <c r="CL845" i="13" s="1" a="1"/>
  <c r="CL845" i="13" s="1"/>
  <c r="CR857" i="13"/>
  <c r="CS857" i="13" s="1"/>
  <c r="BJ861" i="13"/>
  <c r="CN861" i="13" s="1"/>
  <c r="CO861" i="13" s="1"/>
  <c r="BJ881" i="13"/>
  <c r="CJ881" i="13" s="1"/>
  <c r="CK881" i="13" s="1"/>
  <c r="CL881" i="13" s="1" a="1"/>
  <c r="CL881" i="13" s="1"/>
  <c r="CV886" i="13"/>
  <c r="CW886" i="13" s="1"/>
  <c r="BT886" i="13"/>
  <c r="BU886" i="13" s="1"/>
  <c r="CJ838" i="13"/>
  <c r="CK838" i="13" s="1"/>
  <c r="CL838" i="13" s="1" a="1"/>
  <c r="CL838" i="13" s="1"/>
  <c r="CB876" i="13"/>
  <c r="CC876" i="13" s="1"/>
  <c r="CN836" i="13"/>
  <c r="CO836" i="13" s="1"/>
  <c r="CP836" i="13" s="1" a="1"/>
  <c r="CP836" i="13" s="1"/>
  <c r="BX842" i="13"/>
  <c r="BY842" i="13" s="1"/>
  <c r="BZ842" i="13" s="1" a="1"/>
  <c r="BZ842" i="13" s="1"/>
  <c r="BP858" i="13"/>
  <c r="BQ858" i="13" s="1"/>
  <c r="BR858" i="13" s="1" a="1"/>
  <c r="BR858" i="13" s="1"/>
  <c r="CV862" i="13"/>
  <c r="CW862" i="13" s="1"/>
  <c r="BT882" i="13"/>
  <c r="BU882" i="13" s="1"/>
  <c r="BV882" i="13" s="1" a="1"/>
  <c r="BV882" i="13" s="1"/>
  <c r="CV834" i="13"/>
  <c r="CW834" i="13" s="1"/>
  <c r="CR844" i="13"/>
  <c r="CS844" i="13" s="1"/>
  <c r="CT844" i="13" s="1" a="1"/>
  <c r="CT844" i="13" s="1"/>
  <c r="CN858" i="13"/>
  <c r="CO858" i="13" s="1"/>
  <c r="BT866" i="13"/>
  <c r="BU866" i="13" s="1"/>
  <c r="CR874" i="13"/>
  <c r="CS874" i="13" s="1"/>
  <c r="BP894" i="13"/>
  <c r="BQ894" i="13" s="1"/>
  <c r="BR894" i="13" s="1" a="1"/>
  <c r="BR894" i="13" s="1"/>
  <c r="CB894" i="13"/>
  <c r="CC894" i="13" s="1"/>
  <c r="BT894" i="13"/>
  <c r="BU894" i="13" s="1"/>
  <c r="CR894" i="13"/>
  <c r="CS894" i="13" s="1"/>
  <c r="CT894" i="13" s="1" a="1"/>
  <c r="CT894" i="13" s="1"/>
  <c r="CJ894" i="13"/>
  <c r="CK894" i="13" s="1"/>
  <c r="CL894" i="13" s="1" a="1"/>
  <c r="CL894" i="13" s="1"/>
  <c r="CV894" i="13"/>
  <c r="CW894" i="13" s="1"/>
  <c r="CV807" i="13"/>
  <c r="CW807" i="13" s="1"/>
  <c r="CB830" i="13"/>
  <c r="CC830" i="13" s="1"/>
  <c r="CR836" i="13"/>
  <c r="CS836" i="13" s="1"/>
  <c r="CT836" i="13" s="1" a="1"/>
  <c r="CT836" i="13" s="1"/>
  <c r="BP848" i="13"/>
  <c r="BQ848" i="13" s="1"/>
  <c r="BR848" i="13" s="1" a="1"/>
  <c r="BR848" i="13" s="1"/>
  <c r="CR886" i="13"/>
  <c r="CS886" i="13" s="1"/>
  <c r="CT886" i="13" s="1" a="1"/>
  <c r="CT886" i="13" s="1"/>
  <c r="CN898" i="13"/>
  <c r="CO898" i="13" s="1"/>
  <c r="CP898" i="13" s="1" a="1"/>
  <c r="CP898" i="13" s="1"/>
  <c r="BP830" i="13"/>
  <c r="BQ830" i="13" s="1"/>
  <c r="BR830" i="13" s="1" a="1"/>
  <c r="BR830" i="13" s="1"/>
  <c r="BX840" i="13"/>
  <c r="BY840" i="13" s="1"/>
  <c r="BZ840" i="13" s="1" a="1"/>
  <c r="BZ840" i="13" s="1"/>
  <c r="BP884" i="13"/>
  <c r="BQ884" i="13" s="1"/>
  <c r="BR884" i="13" s="1" a="1"/>
  <c r="BR884" i="13" s="1"/>
  <c r="CR910" i="13"/>
  <c r="CS910" i="13" s="1"/>
  <c r="BJ916" i="13"/>
  <c r="CV916" i="13" s="1"/>
  <c r="CW916" i="13" s="1"/>
  <c r="CR926" i="13"/>
  <c r="CS926" i="13" s="1"/>
  <c r="BJ932" i="13"/>
  <c r="CB932" i="13" s="1"/>
  <c r="CC932" i="13" s="1"/>
  <c r="CR799" i="13"/>
  <c r="CS799" i="13" s="1"/>
  <c r="CT799" i="13" s="1" a="1"/>
  <c r="CT799" i="13" s="1"/>
  <c r="CR832" i="13"/>
  <c r="CS832" i="13" s="1"/>
  <c r="CN851" i="13"/>
  <c r="CO851" i="13" s="1"/>
  <c r="BP856" i="13"/>
  <c r="BQ856" i="13" s="1"/>
  <c r="BR856" i="13" s="1" a="1"/>
  <c r="BR856" i="13" s="1"/>
  <c r="CV860" i="13"/>
  <c r="CW860" i="13" s="1"/>
  <c r="CV878" i="13"/>
  <c r="CW878" i="13" s="1"/>
  <c r="BT806" i="13"/>
  <c r="BU806" i="13" s="1"/>
  <c r="CN846" i="13"/>
  <c r="CO846" i="13" s="1"/>
  <c r="CR872" i="13"/>
  <c r="CS872" i="13" s="1"/>
  <c r="CT872" i="13" s="1" a="1"/>
  <c r="CT872" i="13" s="1"/>
  <c r="BX878" i="13"/>
  <c r="BY878" i="13" s="1"/>
  <c r="BZ878" i="13" s="1" a="1"/>
  <c r="BZ878" i="13" s="1"/>
  <c r="CB838" i="13"/>
  <c r="CC838" i="13" s="1"/>
  <c r="BP875" i="13"/>
  <c r="BQ875" i="13" s="1"/>
  <c r="BR875" i="13" s="1" a="1"/>
  <c r="BR875" i="13" s="1"/>
  <c r="CB878" i="13"/>
  <c r="CC878" i="13" s="1"/>
  <c r="CN910" i="13"/>
  <c r="CO910" i="13" s="1"/>
  <c r="CP910" i="13" s="1" a="1"/>
  <c r="CP910" i="13" s="1"/>
  <c r="BT910" i="13"/>
  <c r="BU910" i="13" s="1"/>
  <c r="CJ910" i="13"/>
  <c r="CK910" i="13" s="1"/>
  <c r="CL910" i="13" s="1" a="1"/>
  <c r="CL910" i="13" s="1"/>
  <c r="BP910" i="13"/>
  <c r="BQ910" i="13" s="1"/>
  <c r="BR910" i="13" s="1" a="1"/>
  <c r="BR910" i="13" s="1"/>
  <c r="CN926" i="13"/>
  <c r="CO926" i="13" s="1"/>
  <c r="CN956" i="13"/>
  <c r="CO956" i="13" s="1"/>
  <c r="CP956" i="13" s="1" a="1"/>
  <c r="CP956" i="13" s="1"/>
  <c r="CJ956" i="13"/>
  <c r="CK956" i="13" s="1"/>
  <c r="CL956" i="13" s="1" a="1"/>
  <c r="CL956" i="13" s="1"/>
  <c r="BP956" i="13"/>
  <c r="BQ956" i="13" s="1"/>
  <c r="BR956" i="13" s="1" a="1"/>
  <c r="BR956" i="13" s="1"/>
  <c r="CR956" i="13"/>
  <c r="CS956" i="13" s="1"/>
  <c r="BT956" i="13"/>
  <c r="BU956" i="13" s="1"/>
  <c r="CR907" i="13"/>
  <c r="CS907" i="13" s="1"/>
  <c r="CT907" i="13" s="1" a="1"/>
  <c r="CT907" i="13" s="1"/>
  <c r="CB915" i="13"/>
  <c r="CC915" i="13" s="1"/>
  <c r="BX937" i="13"/>
  <c r="BY937" i="13" s="1"/>
  <c r="BX955" i="13"/>
  <c r="BY955" i="13" s="1"/>
  <c r="CV971" i="13"/>
  <c r="CW971" i="13" s="1"/>
  <c r="CB1008" i="13"/>
  <c r="CC1008" i="13" s="1"/>
  <c r="CB1016" i="13"/>
  <c r="CC1016" i="13" s="1"/>
  <c r="CJ915" i="13"/>
  <c r="CK915" i="13" s="1"/>
  <c r="CL915" i="13" s="1" a="1"/>
  <c r="CL915" i="13" s="1"/>
  <c r="CV921" i="13"/>
  <c r="CW921" i="13" s="1"/>
  <c r="CB941" i="13"/>
  <c r="CC941" i="13" s="1"/>
  <c r="CB958" i="13"/>
  <c r="CC958" i="13" s="1"/>
  <c r="CN979" i="13"/>
  <c r="CO979" i="13" s="1"/>
  <c r="CN984" i="13"/>
  <c r="CO984" i="13" s="1"/>
  <c r="CJ984" i="13"/>
  <c r="CK984" i="13" s="1"/>
  <c r="CL984" i="13" s="1" a="1"/>
  <c r="CL984" i="13" s="1"/>
  <c r="BP984" i="13"/>
  <c r="BQ984" i="13" s="1"/>
  <c r="BR984" i="13" s="1" a="1"/>
  <c r="BR984" i="13" s="1"/>
  <c r="BT984" i="13"/>
  <c r="BU984" i="13" s="1"/>
  <c r="BV984" i="13" s="1" a="1"/>
  <c r="BV984" i="13" s="1"/>
  <c r="CR984" i="13"/>
  <c r="CS984" i="13" s="1"/>
  <c r="CV902" i="13"/>
  <c r="CW902" i="13" s="1"/>
  <c r="BT913" i="13"/>
  <c r="BU913" i="13" s="1"/>
  <c r="BV913" i="13" s="1" a="1"/>
  <c r="BV913" i="13" s="1"/>
  <c r="BT937" i="13"/>
  <c r="BU937" i="13" s="1"/>
  <c r="BV937" i="13" s="1" a="1"/>
  <c r="BV937" i="13" s="1"/>
  <c r="BT941" i="13"/>
  <c r="BU941" i="13" s="1"/>
  <c r="BV941" i="13" s="1" a="1"/>
  <c r="BV941" i="13" s="1"/>
  <c r="BT945" i="13"/>
  <c r="BU945" i="13" s="1"/>
  <c r="CN949" i="13"/>
  <c r="CO949" i="13" s="1"/>
  <c r="CP949" i="13" s="1" a="1"/>
  <c r="CP949" i="13" s="1"/>
  <c r="BX957" i="13"/>
  <c r="BY957" i="13" s="1"/>
  <c r="BZ957" i="13" s="1" a="1"/>
  <c r="BZ957" i="13" s="1"/>
  <c r="BT989" i="13"/>
  <c r="BU989" i="13" s="1"/>
  <c r="BT993" i="13"/>
  <c r="BU993" i="13" s="1"/>
  <c r="BJ998" i="13"/>
  <c r="BP998" i="13" s="1"/>
  <c r="BQ998" i="13" s="1"/>
  <c r="BR998" i="13" s="1" a="1"/>
  <c r="BR998" i="13" s="1"/>
  <c r="CR1002" i="13"/>
  <c r="CS1002" i="13" s="1"/>
  <c r="CR1008" i="13"/>
  <c r="CS1008" i="13" s="1"/>
  <c r="CR1016" i="13"/>
  <c r="CS1016" i="13" s="1"/>
  <c r="CB946" i="13"/>
  <c r="CC946" i="13" s="1"/>
  <c r="CR955" i="13"/>
  <c r="CS955" i="13" s="1"/>
  <c r="CT955" i="13" s="1" a="1"/>
  <c r="CT955" i="13" s="1"/>
  <c r="CB975" i="13"/>
  <c r="CC975" i="13" s="1"/>
  <c r="BX992" i="13"/>
  <c r="BY992" i="13" s="1"/>
  <c r="CV999" i="13"/>
  <c r="CW999" i="13" s="1"/>
  <c r="CR903" i="13"/>
  <c r="CS903" i="13" s="1"/>
  <c r="CT903" i="13" s="1" a="1"/>
  <c r="CT903" i="13" s="1"/>
  <c r="CJ911" i="13"/>
  <c r="CK911" i="13" s="1"/>
  <c r="CL911" i="13" s="1" a="1"/>
  <c r="CL911" i="13" s="1"/>
  <c r="BX926" i="13"/>
  <c r="BY926" i="13" s="1"/>
  <c r="BP957" i="13"/>
  <c r="BQ957" i="13" s="1"/>
  <c r="BR957" i="13" s="1" a="1"/>
  <c r="BR957" i="13" s="1"/>
  <c r="CJ957" i="13"/>
  <c r="CK957" i="13" s="1"/>
  <c r="CL957" i="13" s="1" a="1"/>
  <c r="CL957" i="13" s="1"/>
  <c r="BT957" i="13"/>
  <c r="BU957" i="13" s="1"/>
  <c r="CR957" i="13"/>
  <c r="CS957" i="13" s="1"/>
  <c r="CT957" i="13" s="1" a="1"/>
  <c r="CT957" i="13" s="1"/>
  <c r="CB1017" i="13"/>
  <c r="CC1017" i="13" s="1"/>
  <c r="CV938" i="13"/>
  <c r="CW938" i="13" s="1"/>
  <c r="CV941" i="13"/>
  <c r="CW941" i="13" s="1"/>
  <c r="CN943" i="13"/>
  <c r="CO943" i="13" s="1"/>
  <c r="CP943" i="13" s="1" a="1"/>
  <c r="CP943" i="13" s="1"/>
  <c r="CV950" i="13"/>
  <c r="CW950" i="13" s="1"/>
  <c r="CV957" i="13"/>
  <c r="CW957" i="13" s="1"/>
  <c r="BX971" i="13"/>
  <c r="BY971" i="13" s="1"/>
  <c r="BZ971" i="13" s="1" a="1"/>
  <c r="BZ971" i="13" s="1"/>
  <c r="BX977" i="13"/>
  <c r="BY977" i="13" s="1"/>
  <c r="CJ904" i="13"/>
  <c r="CK904" i="13" s="1"/>
  <c r="CL904" i="13" s="1" a="1"/>
  <c r="CL904" i="13" s="1"/>
  <c r="CR921" i="13"/>
  <c r="CS921" i="13" s="1"/>
  <c r="CT921" i="13" s="1" a="1"/>
  <c r="CT921" i="13" s="1"/>
  <c r="CB929" i="13"/>
  <c r="CC929" i="13" s="1"/>
  <c r="CB933" i="13"/>
  <c r="CC933" i="13" s="1"/>
  <c r="CN947" i="13"/>
  <c r="CO947" i="13" s="1"/>
  <c r="CR999" i="13"/>
  <c r="CS999" i="13" s="1"/>
  <c r="BJ1003" i="13"/>
  <c r="BP1003" i="13" s="1"/>
  <c r="BQ1003" i="13"/>
  <c r="BR1003" i="13" s="1" a="1"/>
  <c r="BR1003" i="13" s="1"/>
  <c r="BT1006" i="13"/>
  <c r="BU1006" i="13" s="1"/>
  <c r="BV1006" i="13" s="1" a="1"/>
  <c r="BV1006" i="13" s="1"/>
  <c r="BT1014" i="13"/>
  <c r="BU1014" i="13" s="1"/>
  <c r="BV1014" i="13" s="1" a="1"/>
  <c r="BV1014" i="13" s="1"/>
  <c r="CJ907" i="13"/>
  <c r="CK907" i="13" s="1"/>
  <c r="CL907" i="13" s="1" a="1"/>
  <c r="CL907" i="13" s="1"/>
  <c r="BX915" i="13"/>
  <c r="BY915" i="13" s="1"/>
  <c r="CJ927" i="13"/>
  <c r="CK927" i="13" s="1"/>
  <c r="CL927" i="13" s="1" a="1"/>
  <c r="CL927" i="13" s="1"/>
  <c r="CN929" i="13"/>
  <c r="CO929" i="13" s="1"/>
  <c r="CP929" i="13" s="1" a="1"/>
  <c r="CP929" i="13" s="1"/>
  <c r="CB935" i="13"/>
  <c r="CC935" i="13" s="1"/>
  <c r="CJ947" i="13"/>
  <c r="CK947" i="13" s="1"/>
  <c r="CL947" i="13" s="1" a="1"/>
  <c r="CL947" i="13" s="1"/>
  <c r="BP971" i="13"/>
  <c r="BQ971" i="13" s="1"/>
  <c r="BR971" i="13" s="1" a="1"/>
  <c r="BR971" i="13" s="1"/>
  <c r="CJ971" i="13"/>
  <c r="CK971" i="13" s="1"/>
  <c r="CL971" i="13" s="1" a="1"/>
  <c r="CL971" i="13" s="1"/>
  <c r="CR971" i="13"/>
  <c r="CS971" i="13" s="1"/>
  <c r="CT971" i="13" s="1" a="1"/>
  <c r="CT971" i="13" s="1"/>
  <c r="CL989" i="13" a="1"/>
  <c r="CL989" i="13" s="1"/>
  <c r="BX993" i="13"/>
  <c r="BY993" i="13" s="1"/>
  <c r="CV996" i="13"/>
  <c r="CW996" i="13" s="1"/>
  <c r="BX978" i="13"/>
  <c r="BY978" i="13" s="1"/>
  <c r="BZ978" i="13" s="1" a="1"/>
  <c r="BZ978" i="13" s="1"/>
  <c r="BT955" i="13"/>
  <c r="BU955" i="13" s="1"/>
  <c r="BV955" i="13" s="1" a="1"/>
  <c r="BV955" i="13" s="1"/>
  <c r="CN1006" i="13"/>
  <c r="CO1006" i="13" s="1"/>
  <c r="CJ1014" i="13"/>
  <c r="CK1014" i="13" s="1"/>
  <c r="CL1014" i="13" s="1" a="1"/>
  <c r="CL1014" i="13" s="1"/>
  <c r="BJ758" i="13"/>
  <c r="CV758" i="13" s="1"/>
  <c r="CW758" i="13" s="1"/>
  <c r="BJ762" i="13"/>
  <c r="CV762" i="13" s="1"/>
  <c r="CW762" i="13" s="1"/>
  <c r="BJ766" i="13"/>
  <c r="BT766" i="13" s="1"/>
  <c r="BU766" i="13" s="1"/>
  <c r="BJ770" i="13"/>
  <c r="BT770" i="13" s="1"/>
  <c r="BU770" i="13" s="1"/>
  <c r="BJ774" i="13"/>
  <c r="BT774" i="13" s="1"/>
  <c r="BU774" i="13" s="1"/>
  <c r="CR778" i="13"/>
  <c r="CS778" i="13" s="1"/>
  <c r="BJ808" i="13"/>
  <c r="CJ808" i="13" s="1"/>
  <c r="CK808" i="13" s="1"/>
  <c r="CL808" i="13" s="1" a="1"/>
  <c r="CL808" i="13" s="1"/>
  <c r="BJ820" i="13"/>
  <c r="BP820" i="13" s="1"/>
  <c r="BQ820" i="13" s="1"/>
  <c r="BR820" i="13" s="1" a="1"/>
  <c r="BR820" i="13" s="1"/>
  <c r="BX745" i="13"/>
  <c r="BY745" i="13" s="1"/>
  <c r="BX756" i="13"/>
  <c r="BY756" i="13" s="1"/>
  <c r="BX772" i="13"/>
  <c r="BY772" i="13" s="1"/>
  <c r="CB803" i="13"/>
  <c r="CC803" i="13" s="1"/>
  <c r="CR811" i="13"/>
  <c r="CS811" i="13" s="1"/>
  <c r="CT811" i="13" s="1" a="1"/>
  <c r="CT811" i="13" s="1"/>
  <c r="BX845" i="13"/>
  <c r="BY845" i="13" s="1"/>
  <c r="BX861" i="13"/>
  <c r="BY861" i="13" s="1"/>
  <c r="CN791" i="13"/>
  <c r="CO791" i="13" s="1"/>
  <c r="CJ817" i="13"/>
  <c r="CK817" i="13" s="1"/>
  <c r="CL817" i="13" s="1" a="1"/>
  <c r="CL817" i="13" s="1"/>
  <c r="BP817" i="13"/>
  <c r="BQ817" i="13" s="1"/>
  <c r="BR817" i="13" s="1" a="1"/>
  <c r="BR817" i="13" s="1"/>
  <c r="BT817" i="13"/>
  <c r="BU817" i="13" s="1"/>
  <c r="BZ817" i="13" s="1" a="1"/>
  <c r="BZ817" i="13" s="1"/>
  <c r="CR817" i="13"/>
  <c r="CS817" i="13" s="1"/>
  <c r="CJ807" i="13"/>
  <c r="CK807" i="13" s="1"/>
  <c r="CL807" i="13" s="1" a="1"/>
  <c r="CL807" i="13" s="1"/>
  <c r="BT839" i="13"/>
  <c r="BU839" i="13" s="1"/>
  <c r="CB823" i="13"/>
  <c r="CC823" i="13" s="1"/>
  <c r="BX815" i="13"/>
  <c r="BY815" i="13" s="1"/>
  <c r="BZ815" i="13" s="1" a="1"/>
  <c r="BZ815" i="13" s="1"/>
  <c r="CB833" i="13"/>
  <c r="CC833" i="13" s="1"/>
  <c r="CB841" i="13"/>
  <c r="CC841" i="13" s="1"/>
  <c r="CB861" i="13"/>
  <c r="CC861" i="13" s="1"/>
  <c r="CB881" i="13"/>
  <c r="CC881" i="13" s="1"/>
  <c r="CN783" i="13"/>
  <c r="CO783" i="13" s="1"/>
  <c r="CP783" i="13" s="1" a="1"/>
  <c r="CP783" i="13" s="1"/>
  <c r="CJ809" i="13"/>
  <c r="CK809" i="13" s="1"/>
  <c r="CL809" i="13" s="1" a="1"/>
  <c r="CL809" i="13" s="1"/>
  <c r="BX750" i="13"/>
  <c r="BY750" i="13" s="1"/>
  <c r="BZ750" i="13" s="1" a="1"/>
  <c r="BZ750" i="13" s="1"/>
  <c r="CR787" i="13"/>
  <c r="CS787" i="13" s="1"/>
  <c r="CR851" i="13"/>
  <c r="CS851" i="13" s="1"/>
  <c r="CT851" i="13" s="1" a="1"/>
  <c r="CT851" i="13" s="1"/>
  <c r="BJ855" i="13"/>
  <c r="BP855" i="13" s="1"/>
  <c r="BQ855" i="13" s="1"/>
  <c r="BR855" i="13" s="1" a="1"/>
  <c r="BR855" i="13" s="1"/>
  <c r="BJ887" i="13"/>
  <c r="CV887" i="13" s="1"/>
  <c r="CW887" i="13" s="1"/>
  <c r="CB850" i="13"/>
  <c r="CC850" i="13" s="1"/>
  <c r="CB858" i="13"/>
  <c r="CC858" i="13" s="1"/>
  <c r="BX866" i="13"/>
  <c r="BY866" i="13" s="1"/>
  <c r="BZ866" i="13" s="1" a="1"/>
  <c r="BZ866" i="13" s="1"/>
  <c r="CR854" i="13"/>
  <c r="CS854" i="13" s="1"/>
  <c r="CT854" i="13" s="1" a="1"/>
  <c r="CT854" i="13" s="1"/>
  <c r="CJ858" i="13"/>
  <c r="CK858" i="13" s="1"/>
  <c r="CL858" i="13" s="1" a="1"/>
  <c r="CL858" i="13" s="1"/>
  <c r="CB874" i="13"/>
  <c r="CC874" i="13" s="1"/>
  <c r="BT834" i="13"/>
  <c r="BU834" i="13" s="1"/>
  <c r="BV834" i="13" s="1" a="1"/>
  <c r="BV834" i="13" s="1"/>
  <c r="BP874" i="13"/>
  <c r="BQ874" i="13" s="1"/>
  <c r="BR874" i="13" s="1" a="1"/>
  <c r="BR874" i="13" s="1"/>
  <c r="CB910" i="13"/>
  <c r="CC910" i="13" s="1"/>
  <c r="CB914" i="13"/>
  <c r="CC914" i="13" s="1"/>
  <c r="CB926" i="13"/>
  <c r="CC926" i="13" s="1"/>
  <c r="CB930" i="13"/>
  <c r="CC930" i="13" s="1"/>
  <c r="CN832" i="13"/>
  <c r="CO832" i="13" s="1"/>
  <c r="CP832" i="13" s="1" a="1"/>
  <c r="CP832" i="13" s="1"/>
  <c r="CJ848" i="13"/>
  <c r="CK848" i="13" s="1"/>
  <c r="CL848" i="13" s="1" a="1"/>
  <c r="CL848" i="13" s="1"/>
  <c r="BX860" i="13"/>
  <c r="BY860" i="13" s="1"/>
  <c r="BZ860" i="13" s="1" a="1"/>
  <c r="BZ860" i="13" s="1"/>
  <c r="CN874" i="13"/>
  <c r="CO874" i="13" s="1"/>
  <c r="CJ830" i="13"/>
  <c r="CK830" i="13" s="1"/>
  <c r="CL830" i="13" s="1" a="1"/>
  <c r="CL830" i="13" s="1"/>
  <c r="CN842" i="13"/>
  <c r="CO842" i="13" s="1"/>
  <c r="CB846" i="13"/>
  <c r="CC846" i="13" s="1"/>
  <c r="CJ871" i="13"/>
  <c r="CK871" i="13" s="1"/>
  <c r="CL871" i="13" s="1" a="1"/>
  <c r="CL871" i="13" s="1"/>
  <c r="CJ884" i="13"/>
  <c r="CK884" i="13" s="1"/>
  <c r="CL884" i="13" s="1" a="1"/>
  <c r="CL884" i="13" s="1"/>
  <c r="BJ899" i="13"/>
  <c r="BX899" i="13" s="1"/>
  <c r="BY899" i="13" s="1"/>
  <c r="BX900" i="13"/>
  <c r="BY900" i="13" s="1"/>
  <c r="BZ900" i="13" s="1" a="1"/>
  <c r="BZ900" i="13" s="1"/>
  <c r="BJ906" i="13"/>
  <c r="CV906" i="13" s="1"/>
  <c r="CW906" i="13" s="1"/>
  <c r="CR916" i="13"/>
  <c r="CS916" i="13" s="1"/>
  <c r="BJ922" i="13"/>
  <c r="CV922" i="13" s="1"/>
  <c r="CW922" i="13" s="1"/>
  <c r="CR932" i="13"/>
  <c r="CS932" i="13" s="1"/>
  <c r="CR852" i="13"/>
  <c r="CS852" i="13" s="1"/>
  <c r="CJ856" i="13"/>
  <c r="CK856" i="13" s="1"/>
  <c r="CL856" i="13" s="1" a="1"/>
  <c r="CL856" i="13" s="1"/>
  <c r="CN879" i="13"/>
  <c r="CO879" i="13" s="1"/>
  <c r="CP879" i="13" s="1" a="1"/>
  <c r="CP879" i="13" s="1"/>
  <c r="CR830" i="13"/>
  <c r="CS830" i="13" s="1"/>
  <c r="CT830" i="13" s="1" a="1"/>
  <c r="CT830" i="13" s="1"/>
  <c r="BP846" i="13"/>
  <c r="BQ846" i="13" s="1"/>
  <c r="BR846" i="13" s="1" a="1"/>
  <c r="BR846" i="13" s="1"/>
  <c r="CN852" i="13"/>
  <c r="CO852" i="13" s="1"/>
  <c r="CR868" i="13"/>
  <c r="CS868" i="13" s="1"/>
  <c r="CT868" i="13" s="1" a="1"/>
  <c r="CT868" i="13" s="1"/>
  <c r="BP872" i="13"/>
  <c r="BQ872" i="13" s="1"/>
  <c r="BR872" i="13" s="1" a="1"/>
  <c r="BR872" i="13" s="1"/>
  <c r="BP879" i="13"/>
  <c r="BQ879" i="13" s="1"/>
  <c r="BR879" i="13" s="1" a="1"/>
  <c r="BR879" i="13" s="1"/>
  <c r="CN840" i="13"/>
  <c r="CO840" i="13" s="1"/>
  <c r="CB844" i="13"/>
  <c r="CC844" i="13" s="1"/>
  <c r="BX858" i="13"/>
  <c r="BY858" i="13" s="1"/>
  <c r="BZ858" i="13" s="1" a="1"/>
  <c r="BZ858" i="13" s="1"/>
  <c r="CJ875" i="13"/>
  <c r="CK875" i="13" s="1"/>
  <c r="CL875" i="13" s="1" a="1"/>
  <c r="CL875" i="13" s="1"/>
  <c r="CV879" i="13"/>
  <c r="CW879" i="13" s="1"/>
  <c r="BP892" i="13"/>
  <c r="BQ892" i="13" s="1"/>
  <c r="BR892" i="13" s="1" a="1"/>
  <c r="BR892" i="13" s="1"/>
  <c r="CR892" i="13"/>
  <c r="CS892" i="13" s="1"/>
  <c r="CJ892" i="13"/>
  <c r="CK892" i="13" s="1"/>
  <c r="CL892" i="13" s="1" a="1"/>
  <c r="CL892" i="13" s="1"/>
  <c r="CB892" i="13"/>
  <c r="CC892" i="13" s="1"/>
  <c r="BT892" i="13"/>
  <c r="BU892" i="13" s="1"/>
  <c r="CN952" i="13"/>
  <c r="CO952" i="13" s="1"/>
  <c r="BT952" i="13"/>
  <c r="BU952" i="13" s="1"/>
  <c r="CJ952" i="13"/>
  <c r="CK952" i="13" s="1"/>
  <c r="CL952" i="13" s="1" a="1"/>
  <c r="CL952" i="13" s="1"/>
  <c r="BP952" i="13"/>
  <c r="BQ952" i="13" s="1"/>
  <c r="BR952" i="13" s="1" a="1"/>
  <c r="BR952" i="13" s="1"/>
  <c r="CR952" i="13"/>
  <c r="CS952" i="13" s="1"/>
  <c r="CT952" i="13" s="1" a="1"/>
  <c r="CT952" i="13" s="1"/>
  <c r="CV880" i="13"/>
  <c r="CW880" i="13" s="1"/>
  <c r="CB945" i="13"/>
  <c r="CC945" i="13" s="1"/>
  <c r="CV955" i="13"/>
  <c r="CW955" i="13" s="1"/>
  <c r="CB996" i="13"/>
  <c r="CC996" i="13" s="1"/>
  <c r="BT915" i="13"/>
  <c r="BU915" i="13" s="1"/>
  <c r="CV874" i="13"/>
  <c r="CW874" i="13" s="1"/>
  <c r="CR913" i="13"/>
  <c r="CS913" i="13" s="1"/>
  <c r="CT913" i="13" s="1" a="1"/>
  <c r="CT913" i="13" s="1"/>
  <c r="CN937" i="13"/>
  <c r="CO937" i="13" s="1"/>
  <c r="CP937" i="13" s="1" a="1"/>
  <c r="CP937" i="13" s="1"/>
  <c r="CR941" i="13"/>
  <c r="CS941" i="13" s="1"/>
  <c r="CT941" i="13" s="1" a="1"/>
  <c r="CT941" i="13" s="1"/>
  <c r="CR945" i="13"/>
  <c r="CS945" i="13" s="1"/>
  <c r="CB951" i="13"/>
  <c r="CC951" i="13" s="1"/>
  <c r="CV965" i="13"/>
  <c r="CW965" i="13" s="1"/>
  <c r="CR998" i="13"/>
  <c r="CS998" i="13" s="1"/>
  <c r="BT1003" i="13"/>
  <c r="BU1003" i="13" s="1"/>
  <c r="BV1003" i="13" s="1" a="1"/>
  <c r="BV1003" i="13" s="1"/>
  <c r="BQ1010" i="13"/>
  <c r="BR1010" i="13" s="1" a="1"/>
  <c r="BR1010" i="13" s="1"/>
  <c r="BJ1010" i="13"/>
  <c r="BP1010" i="13" s="1"/>
  <c r="BJ1018" i="13"/>
  <c r="CJ1018" i="13" s="1"/>
  <c r="CK1018" i="13" s="1"/>
  <c r="CL1018" i="13" s="1" a="1"/>
  <c r="CL1018" i="13" s="1"/>
  <c r="CV898" i="13"/>
  <c r="CW898" i="13" s="1"/>
  <c r="BX947" i="13"/>
  <c r="BY947" i="13" s="1"/>
  <c r="BZ947" i="13" s="1" a="1"/>
  <c r="BZ947" i="13" s="1"/>
  <c r="BT951" i="13"/>
  <c r="BU951" i="13" s="1"/>
  <c r="CV989" i="13"/>
  <c r="CW989" i="13" s="1"/>
  <c r="CV1005" i="13"/>
  <c r="CW1005" i="13" s="1"/>
  <c r="BX1010" i="13"/>
  <c r="BY1010" i="13" s="1"/>
  <c r="BP906" i="13"/>
  <c r="BQ906" i="13" s="1"/>
  <c r="BR906" i="13" s="1" a="1"/>
  <c r="BR906" i="13" s="1"/>
  <c r="CR911" i="13"/>
  <c r="CS911" i="13" s="1"/>
  <c r="BX930" i="13"/>
  <c r="BY930" i="13" s="1"/>
  <c r="BX887" i="13"/>
  <c r="BY887" i="13" s="1"/>
  <c r="CJ909" i="13"/>
  <c r="CK909" i="13" s="1"/>
  <c r="CL909" i="13" s="1" a="1"/>
  <c r="CL909" i="13" s="1"/>
  <c r="BX929" i="13"/>
  <c r="BY929" i="13" s="1"/>
  <c r="CJ939" i="13"/>
  <c r="CK939" i="13" s="1"/>
  <c r="CL939" i="13" s="1" a="1"/>
  <c r="CL939" i="13" s="1"/>
  <c r="CJ951" i="13"/>
  <c r="CK951" i="13" s="1"/>
  <c r="CL951" i="13" s="1" a="1"/>
  <c r="CL951" i="13" s="1"/>
  <c r="CB985" i="13"/>
  <c r="CC985" i="13" s="1"/>
  <c r="CN904" i="13"/>
  <c r="CO904" i="13" s="1"/>
  <c r="CP904" i="13" s="1" a="1"/>
  <c r="CP904" i="13" s="1"/>
  <c r="BX916" i="13"/>
  <c r="BY916" i="13" s="1"/>
  <c r="BP921" i="13"/>
  <c r="BQ921" i="13" s="1"/>
  <c r="BR921" i="13" s="1" a="1"/>
  <c r="BR921" i="13" s="1"/>
  <c r="CJ925" i="13"/>
  <c r="CK925" i="13" s="1"/>
  <c r="CL925" i="13" s="1" a="1"/>
  <c r="CL925" i="13" s="1"/>
  <c r="BX935" i="13"/>
  <c r="BY935" i="13" s="1"/>
  <c r="CN964" i="13"/>
  <c r="CO964" i="13" s="1"/>
  <c r="CP964" i="13" s="1" a="1"/>
  <c r="CP964" i="13" s="1"/>
  <c r="CJ964" i="13"/>
  <c r="CK964" i="13" s="1"/>
  <c r="CL964" i="13" s="1" a="1"/>
  <c r="CL964" i="13" s="1"/>
  <c r="BP964" i="13"/>
  <c r="BQ964" i="13" s="1"/>
  <c r="BR964" i="13" s="1" a="1"/>
  <c r="BR964" i="13" s="1"/>
  <c r="BT964" i="13"/>
  <c r="BU964" i="13" s="1"/>
  <c r="BZ964" i="13" s="1" a="1"/>
  <c r="BZ964" i="13" s="1"/>
  <c r="CR964" i="13"/>
  <c r="CS964" i="13" s="1"/>
  <c r="CD966" i="13" a="1"/>
  <c r="CD966" i="13" s="1"/>
  <c r="BP973" i="13"/>
  <c r="BQ973" i="13" s="1"/>
  <c r="BR973" i="13" s="1" a="1"/>
  <c r="BR973" i="13" s="1"/>
  <c r="CJ973" i="13"/>
  <c r="CK973" i="13" s="1"/>
  <c r="CL973" i="13" s="1" a="1"/>
  <c r="CL973" i="13" s="1"/>
  <c r="CR973" i="13"/>
  <c r="CS973" i="13" s="1"/>
  <c r="CT973" i="13" s="1" a="1"/>
  <c r="CT973" i="13" s="1"/>
  <c r="CN982" i="13"/>
  <c r="CO982" i="13" s="1"/>
  <c r="CJ982" i="13"/>
  <c r="CK982" i="13" s="1"/>
  <c r="CL982" i="13" s="1" a="1"/>
  <c r="CL982" i="13" s="1"/>
  <c r="BP982" i="13"/>
  <c r="BQ982" i="13" s="1"/>
  <c r="BR982" i="13" s="1" a="1"/>
  <c r="BR982" i="13" s="1"/>
  <c r="BX982" i="13"/>
  <c r="BY982" i="13" s="1"/>
  <c r="CD982" i="13" s="1" a="1"/>
  <c r="CD982" i="13" s="1"/>
  <c r="CR982" i="13"/>
  <c r="CS982" i="13" s="1"/>
  <c r="BT982" i="13"/>
  <c r="BU982" i="13" s="1"/>
  <c r="BV982" i="13" s="1" a="1"/>
  <c r="BV982" i="13" s="1"/>
  <c r="CR991" i="13"/>
  <c r="CS991" i="13" s="1"/>
  <c r="CT991" i="13" s="1" a="1"/>
  <c r="CT991" i="13" s="1"/>
  <c r="BJ997" i="13"/>
  <c r="BP997" i="13" s="1"/>
  <c r="BQ997" i="13" s="1"/>
  <c r="BR997" i="13" s="1" a="1"/>
  <c r="BR997" i="13" s="1"/>
  <c r="BJ1007" i="13"/>
  <c r="CB1007" i="13" s="1"/>
  <c r="CC1007" i="13" s="1"/>
  <c r="BU1007" i="13"/>
  <c r="BJ1011" i="13"/>
  <c r="CJ1011" i="13" s="1"/>
  <c r="CK1011" i="13" s="1"/>
  <c r="CL1011" i="13" s="1" a="1"/>
  <c r="CL1011" i="13" s="1"/>
  <c r="BJ1015" i="13"/>
  <c r="CB1015" i="13" s="1"/>
  <c r="CC1015" i="13" s="1"/>
  <c r="BT1018" i="13"/>
  <c r="BU1018" i="13" s="1"/>
  <c r="CR1021" i="13"/>
  <c r="CS1021" i="13" s="1"/>
  <c r="BT907" i="13"/>
  <c r="BU907" i="13" s="1"/>
  <c r="CB917" i="13"/>
  <c r="CC917" i="13" s="1"/>
  <c r="BT927" i="13"/>
  <c r="BU927" i="13" s="1"/>
  <c r="BV927" i="13" s="1" a="1"/>
  <c r="BV927" i="13" s="1"/>
  <c r="CR929" i="13"/>
  <c r="CS929" i="13" s="1"/>
  <c r="CR947" i="13"/>
  <c r="CS947" i="13" s="1"/>
  <c r="CT947" i="13" s="1" a="1"/>
  <c r="CT947" i="13" s="1"/>
  <c r="CJ953" i="13"/>
  <c r="CK953" i="13" s="1"/>
  <c r="CL953" i="13" s="1" a="1"/>
  <c r="CL953" i="13" s="1"/>
  <c r="BX1003" i="13"/>
  <c r="BY1003" i="13" s="1"/>
  <c r="BZ1003" i="13" s="1" a="1"/>
  <c r="BZ1003" i="13" s="1"/>
  <c r="BX1007" i="13"/>
  <c r="BY1007" i="13" s="1"/>
  <c r="BZ1007" i="13" s="1" a="1"/>
  <c r="BZ1007" i="13" s="1"/>
  <c r="BT1007" i="13"/>
  <c r="CR758" i="13"/>
  <c r="CS758" i="13" s="1"/>
  <c r="CR762" i="13"/>
  <c r="CS762" i="13" s="1"/>
  <c r="CR770" i="13"/>
  <c r="CS770" i="13" s="1"/>
  <c r="CR774" i="13"/>
  <c r="CS774" i="13" s="1"/>
  <c r="CR808" i="13"/>
  <c r="CS808" i="13" s="1"/>
  <c r="CK814" i="13"/>
  <c r="CL814" i="13" s="1" a="1"/>
  <c r="CL814" i="13" s="1"/>
  <c r="BJ814" i="13"/>
  <c r="CN814" i="13" s="1"/>
  <c r="CO814" i="13" s="1"/>
  <c r="CR820" i="13"/>
  <c r="CS820" i="13" s="1"/>
  <c r="BX762" i="13"/>
  <c r="BY762" i="13" s="1"/>
  <c r="BX778" i="13"/>
  <c r="BY778" i="13" s="1"/>
  <c r="BX799" i="13"/>
  <c r="BY799" i="13" s="1"/>
  <c r="BX847" i="13"/>
  <c r="BY847" i="13" s="1"/>
  <c r="BX863" i="13"/>
  <c r="BY863" i="13" s="1"/>
  <c r="BX802" i="13"/>
  <c r="BY802" i="13" s="1"/>
  <c r="CJ802" i="13"/>
  <c r="CK802" i="13" s="1"/>
  <c r="CL802" i="13" s="1" a="1"/>
  <c r="CL802" i="13" s="1"/>
  <c r="BP802" i="13"/>
  <c r="BQ802" i="13" s="1"/>
  <c r="BR802" i="13" s="1" a="1"/>
  <c r="BR802" i="13" s="1"/>
  <c r="BT802" i="13"/>
  <c r="BU802" i="13" s="1"/>
  <c r="BT811" i="13"/>
  <c r="BU811" i="13" s="1"/>
  <c r="BP791" i="13"/>
  <c r="BQ791" i="13" s="1"/>
  <c r="BR791" i="13" s="1" a="1"/>
  <c r="BR791" i="13" s="1"/>
  <c r="BT799" i="13"/>
  <c r="BU799" i="13" s="1"/>
  <c r="CN817" i="13"/>
  <c r="CO817" i="13" s="1"/>
  <c r="CP817" i="13" s="1" a="1"/>
  <c r="CP817" i="13" s="1"/>
  <c r="CV820" i="13"/>
  <c r="CW820" i="13" s="1"/>
  <c r="CB807" i="13"/>
  <c r="CC807" i="13" s="1"/>
  <c r="BT813" i="13"/>
  <c r="BU813" i="13" s="1"/>
  <c r="BP827" i="13"/>
  <c r="BQ827" i="13" s="1"/>
  <c r="BR827" i="13" s="1" a="1"/>
  <c r="BR827" i="13" s="1"/>
  <c r="BX827" i="13"/>
  <c r="BY827" i="13" s="1"/>
  <c r="BZ827" i="13" s="1" a="1"/>
  <c r="BZ827" i="13" s="1"/>
  <c r="CV827" i="13"/>
  <c r="CW827" i="13" s="1"/>
  <c r="CJ827" i="13"/>
  <c r="CK827" i="13" s="1"/>
  <c r="CL827" i="13" s="1" a="1"/>
  <c r="CL827" i="13" s="1"/>
  <c r="BT847" i="13"/>
  <c r="BU847" i="13" s="1"/>
  <c r="BT851" i="13"/>
  <c r="BU851" i="13" s="1"/>
  <c r="BV851" i="13" s="1" a="1"/>
  <c r="BV851" i="13" s="1"/>
  <c r="BT863" i="13"/>
  <c r="BU863" i="13" s="1"/>
  <c r="BX783" i="13"/>
  <c r="BY783" i="13" s="1"/>
  <c r="BZ783" i="13" s="1" a="1"/>
  <c r="BZ783" i="13" s="1"/>
  <c r="CV833" i="13"/>
  <c r="CW833" i="13" s="1"/>
  <c r="CV849" i="13"/>
  <c r="CW849" i="13" s="1"/>
  <c r="CV818" i="13"/>
  <c r="CW818" i="13" s="1"/>
  <c r="BJ826" i="13"/>
  <c r="BX826" i="13" s="1"/>
  <c r="BY826" i="13" s="1"/>
  <c r="CB875" i="13"/>
  <c r="CC875" i="13" s="1"/>
  <c r="CB887" i="13"/>
  <c r="CC887" i="13" s="1"/>
  <c r="CR783" i="13"/>
  <c r="CS783" i="13" s="1"/>
  <c r="BT779" i="13"/>
  <c r="BU779" i="13" s="1"/>
  <c r="BV779" i="13" s="1" a="1"/>
  <c r="BV779" i="13" s="1"/>
  <c r="BP787" i="13"/>
  <c r="BQ787" i="13" s="1"/>
  <c r="BR787" i="13" s="1" a="1"/>
  <c r="BR787" i="13" s="1"/>
  <c r="CJ794" i="13"/>
  <c r="CK794" i="13" s="1"/>
  <c r="CL794" i="13" s="1" a="1"/>
  <c r="CL794" i="13" s="1"/>
  <c r="BP794" i="13"/>
  <c r="BQ794" i="13" s="1"/>
  <c r="BR794" i="13" s="1" a="1"/>
  <c r="BR794" i="13" s="1"/>
  <c r="BT794" i="13"/>
  <c r="BU794" i="13" s="1"/>
  <c r="CJ814" i="13"/>
  <c r="BP814" i="13"/>
  <c r="BQ814" i="13" s="1"/>
  <c r="BR814" i="13" s="1" a="1"/>
  <c r="BR814" i="13" s="1"/>
  <c r="BX814" i="13"/>
  <c r="BY814" i="13" s="1"/>
  <c r="CB815" i="13"/>
  <c r="CC815" i="13" s="1"/>
  <c r="BJ829" i="13"/>
  <c r="CJ829" i="13" s="1"/>
  <c r="CK829" i="13" s="1"/>
  <c r="CL829" i="13" s="1" a="1"/>
  <c r="CL829" i="13" s="1"/>
  <c r="CR831" i="13"/>
  <c r="CS831" i="13" s="1"/>
  <c r="BJ837" i="13"/>
  <c r="BT837" i="13" s="1"/>
  <c r="BU837" i="13" s="1"/>
  <c r="CR845" i="13"/>
  <c r="CS845" i="13" s="1"/>
  <c r="BJ849" i="13"/>
  <c r="CJ849" i="13" s="1"/>
  <c r="CK849" i="13" s="1"/>
  <c r="CL849" i="13" s="1" a="1"/>
  <c r="CL849" i="13" s="1"/>
  <c r="BY849" i="13"/>
  <c r="CR861" i="13"/>
  <c r="CS861" i="13" s="1"/>
  <c r="CT861" i="13" s="1" a="1"/>
  <c r="CT861" i="13" s="1"/>
  <c r="BJ865" i="13"/>
  <c r="BP865" i="13" s="1"/>
  <c r="BQ865" i="13" s="1"/>
  <c r="BR865" i="13" s="1" a="1"/>
  <c r="BR865" i="13" s="1"/>
  <c r="BJ877" i="13"/>
  <c r="CV877" i="13" s="1"/>
  <c r="CW877" i="13" s="1"/>
  <c r="CR887" i="13"/>
  <c r="CS887" i="13" s="1"/>
  <c r="BT838" i="13"/>
  <c r="BU838" i="13" s="1"/>
  <c r="BV838" i="13" s="1" a="1"/>
  <c r="BV838" i="13" s="1"/>
  <c r="CR880" i="13"/>
  <c r="CS880" i="13" s="1"/>
  <c r="CT880" i="13" s="1" a="1"/>
  <c r="CT880" i="13" s="1"/>
  <c r="CN827" i="13"/>
  <c r="CO827" i="13" s="1"/>
  <c r="BP836" i="13"/>
  <c r="BQ836" i="13" s="1"/>
  <c r="BR836" i="13" s="1" a="1"/>
  <c r="BR836" i="13" s="1"/>
  <c r="BP844" i="13"/>
  <c r="BQ844" i="13" s="1"/>
  <c r="BR844" i="13" s="1" a="1"/>
  <c r="BR844" i="13" s="1"/>
  <c r="CN850" i="13"/>
  <c r="CO850" i="13" s="1"/>
  <c r="CP850" i="13" s="1" a="1"/>
  <c r="CP850" i="13" s="1"/>
  <c r="BP854" i="13"/>
  <c r="BQ854" i="13" s="1"/>
  <c r="BR854" i="13" s="1" a="1"/>
  <c r="BR854" i="13" s="1"/>
  <c r="CV858" i="13"/>
  <c r="CW858" i="13" s="1"/>
  <c r="CB891" i="13"/>
  <c r="CC891" i="13" s="1"/>
  <c r="CV813" i="13"/>
  <c r="CW813" i="13" s="1"/>
  <c r="CN862" i="13"/>
  <c r="CO862" i="13" s="1"/>
  <c r="CP862" i="13" s="1" a="1"/>
  <c r="CP862" i="13" s="1"/>
  <c r="CR870" i="13"/>
  <c r="CS870" i="13" s="1"/>
  <c r="CT870" i="13" s="1" a="1"/>
  <c r="CT870" i="13" s="1"/>
  <c r="CJ874" i="13"/>
  <c r="CK874" i="13" s="1"/>
  <c r="CL874" i="13" s="1" a="1"/>
  <c r="CL874" i="13" s="1"/>
  <c r="BX832" i="13"/>
  <c r="BY832" i="13" s="1"/>
  <c r="BZ832" i="13" s="1" a="1"/>
  <c r="BZ832" i="13" s="1"/>
  <c r="CV848" i="13"/>
  <c r="CW848" i="13" s="1"/>
  <c r="CJ863" i="13"/>
  <c r="CK863" i="13" s="1"/>
  <c r="CL863" i="13" s="1" a="1"/>
  <c r="CL863" i="13" s="1"/>
  <c r="CN892" i="13"/>
  <c r="CO892" i="13" s="1"/>
  <c r="CP892" i="13" s="1" a="1"/>
  <c r="CP892" i="13" s="1"/>
  <c r="CV830" i="13"/>
  <c r="CW830" i="13" s="1"/>
  <c r="BP842" i="13"/>
  <c r="BQ842" i="13" s="1"/>
  <c r="BR842" i="13" s="1" a="1"/>
  <c r="BR842" i="13" s="1"/>
  <c r="CB856" i="13"/>
  <c r="CC856" i="13" s="1"/>
  <c r="CB864" i="13"/>
  <c r="CC864" i="13" s="1"/>
  <c r="BT884" i="13"/>
  <c r="BU884" i="13" s="1"/>
  <c r="BV884" i="13" s="1" a="1"/>
  <c r="BV884" i="13" s="1"/>
  <c r="CR906" i="13"/>
  <c r="CS906" i="13" s="1"/>
  <c r="BJ912" i="13"/>
  <c r="CV912" i="13" s="1"/>
  <c r="CW912" i="13" s="1"/>
  <c r="BJ928" i="13"/>
  <c r="CB928" i="13" s="1"/>
  <c r="CC928" i="13" s="1"/>
  <c r="CV811" i="13"/>
  <c r="CW811" i="13" s="1"/>
  <c r="BP852" i="13"/>
  <c r="BQ852" i="13" s="1"/>
  <c r="BR852" i="13" s="1" a="1"/>
  <c r="BR852" i="13" s="1"/>
  <c r="CV856" i="13"/>
  <c r="CW856" i="13" s="1"/>
  <c r="CB868" i="13"/>
  <c r="CC868" i="13" s="1"/>
  <c r="BT881" i="13"/>
  <c r="BU881" i="13" s="1"/>
  <c r="CB884" i="13"/>
  <c r="CC884" i="13" s="1"/>
  <c r="CJ846" i="13"/>
  <c r="CK846" i="13" s="1"/>
  <c r="CL846" i="13" s="1" a="1"/>
  <c r="CL846" i="13" s="1"/>
  <c r="BP868" i="13"/>
  <c r="BQ868" i="13" s="1"/>
  <c r="BR868" i="13" s="1" a="1"/>
  <c r="BR868" i="13" s="1"/>
  <c r="CJ872" i="13"/>
  <c r="CK872" i="13" s="1"/>
  <c r="CL872" i="13" s="1" a="1"/>
  <c r="CL872" i="13" s="1"/>
  <c r="BP840" i="13"/>
  <c r="BQ840" i="13" s="1"/>
  <c r="BR840" i="13" s="1" a="1"/>
  <c r="BR840" i="13" s="1"/>
  <c r="CR846" i="13"/>
  <c r="CS846" i="13" s="1"/>
  <c r="CT846" i="13" s="1" a="1"/>
  <c r="CT846" i="13" s="1"/>
  <c r="CJ861" i="13"/>
  <c r="CK861" i="13" s="1"/>
  <c r="CL861" i="13" s="1" a="1"/>
  <c r="CL861" i="13" s="1"/>
  <c r="BX880" i="13"/>
  <c r="BY880" i="13" s="1"/>
  <c r="BZ880" i="13" s="1" a="1"/>
  <c r="BZ880" i="13" s="1"/>
  <c r="CN920" i="13"/>
  <c r="CO920" i="13" s="1"/>
  <c r="BT920" i="13"/>
  <c r="BU920" i="13" s="1"/>
  <c r="BV920" i="13" s="1" a="1"/>
  <c r="BV920" i="13" s="1"/>
  <c r="CJ920" i="13"/>
  <c r="CK920" i="13" s="1"/>
  <c r="CL920" i="13" s="1" a="1"/>
  <c r="CL920" i="13" s="1"/>
  <c r="BP920" i="13"/>
  <c r="BQ920" i="13" s="1"/>
  <c r="BR920" i="13" s="1" a="1"/>
  <c r="BR920" i="13" s="1"/>
  <c r="BT928" i="13"/>
  <c r="BU928" i="13" s="1"/>
  <c r="BP928" i="13"/>
  <c r="BQ928" i="13" s="1"/>
  <c r="BR928" i="13" s="1" a="1"/>
  <c r="BR928" i="13" s="1"/>
  <c r="CN936" i="13"/>
  <c r="CO936" i="13" s="1"/>
  <c r="BT936" i="13"/>
  <c r="BU936" i="13" s="1"/>
  <c r="BV936" i="13" s="1" a="1"/>
  <c r="BV936" i="13" s="1"/>
  <c r="CJ936" i="13"/>
  <c r="CK936" i="13" s="1"/>
  <c r="CL936" i="13" s="1" a="1"/>
  <c r="CL936" i="13" s="1"/>
  <c r="BP936" i="13"/>
  <c r="BQ936" i="13" s="1"/>
  <c r="BR936" i="13" s="1" a="1"/>
  <c r="BR936" i="13" s="1"/>
  <c r="CR936" i="13"/>
  <c r="CS936" i="13" s="1"/>
  <c r="CN948" i="13"/>
  <c r="CO948" i="13" s="1"/>
  <c r="CP948" i="13" s="1" a="1"/>
  <c r="CP948" i="13" s="1"/>
  <c r="BT948" i="13"/>
  <c r="BU948" i="13" s="1"/>
  <c r="CJ948" i="13"/>
  <c r="CK948" i="13" s="1"/>
  <c r="CL948" i="13" s="1" a="1"/>
  <c r="CL948" i="13" s="1"/>
  <c r="BP948" i="13"/>
  <c r="BQ948" i="13" s="1"/>
  <c r="BR948" i="13" s="1" a="1"/>
  <c r="BR948" i="13" s="1"/>
  <c r="CR948" i="13"/>
  <c r="CS948" i="13" s="1"/>
  <c r="CJ917" i="13"/>
  <c r="CK917" i="13" s="1"/>
  <c r="CL917" i="13" s="1" a="1"/>
  <c r="CL917" i="13" s="1"/>
  <c r="CV947" i="13"/>
  <c r="CW947" i="13" s="1"/>
  <c r="CB992" i="13"/>
  <c r="CC992" i="13" s="1"/>
  <c r="CJ996" i="13"/>
  <c r="CK996" i="13" s="1"/>
  <c r="CL996" i="13" s="1" a="1"/>
  <c r="CL996" i="13" s="1"/>
  <c r="CB1002" i="13"/>
  <c r="CC1002" i="13" s="1"/>
  <c r="CB1010" i="13"/>
  <c r="CC1010" i="13" s="1"/>
  <c r="CB1018" i="13"/>
  <c r="CC1018" i="13" s="1"/>
  <c r="CB903" i="13"/>
  <c r="CC903" i="13" s="1"/>
  <c r="CV907" i="13"/>
  <c r="CW907" i="13" s="1"/>
  <c r="CR915" i="13"/>
  <c r="CS915" i="13" s="1"/>
  <c r="CT915" i="13" s="1" a="1"/>
  <c r="CT915" i="13" s="1"/>
  <c r="CV960" i="13"/>
  <c r="CW960" i="13" s="1"/>
  <c r="BP967" i="13"/>
  <c r="BQ967" i="13" s="1"/>
  <c r="BR967" i="13" s="1" a="1"/>
  <c r="BR967" i="13" s="1"/>
  <c r="CJ967" i="13"/>
  <c r="CK967" i="13" s="1"/>
  <c r="CL967" i="13" s="1" a="1"/>
  <c r="CL967" i="13" s="1"/>
  <c r="CR967" i="13"/>
  <c r="CS967" i="13" s="1"/>
  <c r="CT967" i="13" s="1" a="1"/>
  <c r="CT967" i="13" s="1"/>
  <c r="CV984" i="13"/>
  <c r="CW984" i="13" s="1"/>
  <c r="BT887" i="13"/>
  <c r="BU887" i="13" s="1"/>
  <c r="CR905" i="13"/>
  <c r="CS905" i="13" s="1"/>
  <c r="CT905" i="13" s="1" a="1"/>
  <c r="CT905" i="13" s="1"/>
  <c r="CV927" i="13"/>
  <c r="CW927" i="13" s="1"/>
  <c r="CR937" i="13"/>
  <c r="CS937" i="13" s="1"/>
  <c r="CT937" i="13" s="1" a="1"/>
  <c r="CT937" i="13" s="1"/>
  <c r="BP945" i="13"/>
  <c r="BQ945" i="13" s="1"/>
  <c r="BR945" i="13" s="1" a="1"/>
  <c r="BR945" i="13" s="1"/>
  <c r="BX952" i="13"/>
  <c r="BY952" i="13" s="1"/>
  <c r="CN976" i="13"/>
  <c r="CO976" i="13" s="1"/>
  <c r="CJ976" i="13"/>
  <c r="CK976" i="13" s="1"/>
  <c r="CL976" i="13" s="1" a="1"/>
  <c r="CL976" i="13" s="1"/>
  <c r="BP976" i="13"/>
  <c r="BQ976" i="13" s="1"/>
  <c r="BR976" i="13" s="1" a="1"/>
  <c r="BR976" i="13" s="1"/>
  <c r="CR976" i="13"/>
  <c r="CS976" i="13" s="1"/>
  <c r="CT976" i="13" s="1" a="1"/>
  <c r="CT976" i="13" s="1"/>
  <c r="BT976" i="13"/>
  <c r="BU976" i="13" s="1"/>
  <c r="BX976" i="13"/>
  <c r="BY976" i="13" s="1"/>
  <c r="BZ976" i="13" s="1" a="1"/>
  <c r="BZ976" i="13" s="1"/>
  <c r="BJ990" i="13"/>
  <c r="BP990" i="13" s="1"/>
  <c r="BQ990" i="13" s="1"/>
  <c r="BR990" i="13" s="1" a="1"/>
  <c r="BR990" i="13" s="1"/>
  <c r="BJ994" i="13"/>
  <c r="BP994" i="13" s="1"/>
  <c r="BQ994" i="13" s="1"/>
  <c r="BR994" i="13" s="1" a="1"/>
  <c r="BR994" i="13" s="1"/>
  <c r="BT999" i="13"/>
  <c r="BU999" i="13" s="1"/>
  <c r="CR1010" i="13"/>
  <c r="CS1010" i="13" s="1"/>
  <c r="CR1018" i="13"/>
  <c r="CS1018" i="13" s="1"/>
  <c r="CV905" i="13"/>
  <c r="CW905" i="13" s="1"/>
  <c r="CB952" i="13"/>
  <c r="CC952" i="13" s="1"/>
  <c r="BX996" i="13"/>
  <c r="BY996" i="13" s="1"/>
  <c r="BZ996" i="13" s="1" a="1"/>
  <c r="BZ996" i="13" s="1"/>
  <c r="CV1011" i="13"/>
  <c r="CW1011" i="13" s="1"/>
  <c r="BX1016" i="13"/>
  <c r="BY1016" i="13" s="1"/>
  <c r="CJ906" i="13"/>
  <c r="CK906" i="13" s="1"/>
  <c r="CL906" i="13" s="1" a="1"/>
  <c r="CL906" i="13" s="1"/>
  <c r="BP911" i="13"/>
  <c r="BQ911" i="13" s="1"/>
  <c r="BR911" i="13" s="1" a="1"/>
  <c r="BR911" i="13" s="1"/>
  <c r="BX920" i="13"/>
  <c r="BY920" i="13" s="1"/>
  <c r="BX931" i="13"/>
  <c r="BY931" i="13" s="1"/>
  <c r="CV945" i="13"/>
  <c r="CW945" i="13" s="1"/>
  <c r="CV972" i="13"/>
  <c r="CW972" i="13" s="1"/>
  <c r="CB999" i="13"/>
  <c r="CC999" i="13" s="1"/>
  <c r="CB1003" i="13"/>
  <c r="CC1003" i="13" s="1"/>
  <c r="CB1013" i="13"/>
  <c r="CC1013" i="13" s="1"/>
  <c r="BT909" i="13"/>
  <c r="BU909" i="13" s="1"/>
  <c r="CB931" i="13"/>
  <c r="CC931" i="13" s="1"/>
  <c r="BT939" i="13"/>
  <c r="BU939" i="13" s="1"/>
  <c r="BV939" i="13" s="1" a="1"/>
  <c r="BV939" i="13" s="1"/>
  <c r="CR951" i="13"/>
  <c r="CS951" i="13" s="1"/>
  <c r="CT951" i="13" s="1" a="1"/>
  <c r="CT951" i="13" s="1"/>
  <c r="CN966" i="13"/>
  <c r="CO966" i="13" s="1"/>
  <c r="CJ966" i="13"/>
  <c r="CK966" i="13" s="1"/>
  <c r="CL966" i="13" s="1" a="1"/>
  <c r="CL966" i="13" s="1"/>
  <c r="BP966" i="13"/>
  <c r="BQ966" i="13" s="1"/>
  <c r="BR966" i="13" s="1" a="1"/>
  <c r="BR966" i="13" s="1"/>
  <c r="BT966" i="13"/>
  <c r="BU966" i="13" s="1"/>
  <c r="CR966" i="13"/>
  <c r="CS966" i="13" s="1"/>
  <c r="CB984" i="13"/>
  <c r="CC984" i="13" s="1"/>
  <c r="BX917" i="13"/>
  <c r="BY917" i="13" s="1"/>
  <c r="BT925" i="13"/>
  <c r="BU925" i="13" s="1"/>
  <c r="BV925" i="13" s="1" a="1"/>
  <c r="BV925" i="13" s="1"/>
  <c r="CJ931" i="13"/>
  <c r="CK931" i="13" s="1"/>
  <c r="CL931" i="13" s="1" a="1"/>
  <c r="CL931" i="13" s="1"/>
  <c r="BX936" i="13"/>
  <c r="BY936" i="13" s="1"/>
  <c r="BZ936" i="13" s="1" a="1"/>
  <c r="BZ936" i="13" s="1"/>
  <c r="CB973" i="13"/>
  <c r="CC973" i="13" s="1"/>
  <c r="CR1003" i="13"/>
  <c r="CS1003" i="13" s="1"/>
  <c r="BP1011" i="13"/>
  <c r="BQ1011" i="13" s="1"/>
  <c r="BR1011" i="13" s="1" a="1"/>
  <c r="BR1011" i="13" s="1"/>
  <c r="BP1015" i="13"/>
  <c r="BQ1015" i="13" s="1"/>
  <c r="BR1015" i="13" s="1" a="1"/>
  <c r="BR1015" i="13" s="1"/>
  <c r="BJ1019" i="13"/>
  <c r="BT1019" i="13" s="1"/>
  <c r="BU1019" i="13" s="1"/>
  <c r="BP907" i="13"/>
  <c r="BQ907" i="13" s="1"/>
  <c r="BR907" i="13" s="1" a="1"/>
  <c r="BR907" i="13" s="1"/>
  <c r="CN927" i="13"/>
  <c r="CO927" i="13" s="1"/>
  <c r="CP927" i="13" s="1" a="1"/>
  <c r="CP927" i="13" s="1"/>
  <c r="BP947" i="13"/>
  <c r="BQ947" i="13" s="1"/>
  <c r="BR947" i="13" s="1" a="1"/>
  <c r="BR947" i="13" s="1"/>
  <c r="CR953" i="13"/>
  <c r="CS953" i="13" s="1"/>
  <c r="CT953" i="13" s="1" a="1"/>
  <c r="CT953" i="13" s="1"/>
  <c r="CN963" i="13"/>
  <c r="CO963" i="13" s="1"/>
  <c r="CP963" i="13" s="1" a="1"/>
  <c r="CP963" i="13" s="1"/>
  <c r="CB977" i="13"/>
  <c r="CC977" i="13" s="1"/>
  <c r="BP987" i="13"/>
  <c r="BQ987" i="13" s="1"/>
  <c r="BR987" i="13" s="1" a="1"/>
  <c r="BR987" i="13" s="1"/>
  <c r="CJ987" i="13"/>
  <c r="CK987" i="13" s="1"/>
  <c r="CL987" i="13" s="1" a="1"/>
  <c r="CL987" i="13" s="1"/>
  <c r="CV1008" i="13"/>
  <c r="CW1008" i="13" s="1"/>
  <c r="BX1013" i="13"/>
  <c r="BY1013" i="13" s="1"/>
  <c r="BZ1013" i="13" s="1" a="1"/>
  <c r="BZ1013" i="13" s="1"/>
  <c r="CN1016" i="13"/>
  <c r="CO1016" i="13" s="1"/>
  <c r="CV987" i="13"/>
  <c r="CW987" i="13" s="1"/>
  <c r="BJ780" i="13"/>
  <c r="CN780" i="13" s="1"/>
  <c r="CO780" i="13" s="1"/>
  <c r="BJ784" i="13"/>
  <c r="BP784" i="13" s="1"/>
  <c r="BQ784" i="13" s="1"/>
  <c r="BR784" i="13" s="1" a="1"/>
  <c r="BR784" i="13" s="1"/>
  <c r="BJ788" i="13"/>
  <c r="BT788" i="13" s="1"/>
  <c r="BU788" i="13" s="1"/>
  <c r="BJ792" i="13"/>
  <c r="CV792" i="13" s="1"/>
  <c r="CW792" i="13" s="1"/>
  <c r="BJ796" i="13"/>
  <c r="BT796" i="13" s="1"/>
  <c r="BU796" i="13" s="1"/>
  <c r="BJ800" i="13"/>
  <c r="BX800" i="13" s="1"/>
  <c r="BY800" i="13" s="1"/>
  <c r="BJ804" i="13"/>
  <c r="BP804" i="13" s="1"/>
  <c r="BQ804" i="13" s="1"/>
  <c r="BR804" i="13" s="1" a="1"/>
  <c r="BR804" i="13" s="1"/>
  <c r="CR809" i="13"/>
  <c r="CS809" i="13" s="1"/>
  <c r="CT809" i="13" s="1" a="1"/>
  <c r="CT809" i="13" s="1"/>
  <c r="CV809" i="13"/>
  <c r="CW809" i="13" s="1"/>
  <c r="CR814" i="13"/>
  <c r="CS814" i="13" s="1"/>
  <c r="CT814" i="13" s="1" a="1"/>
  <c r="CT814" i="13" s="1"/>
  <c r="BJ822" i="13"/>
  <c r="CB822" i="13" s="1"/>
  <c r="CC822" i="13" s="1"/>
  <c r="CV749" i="13"/>
  <c r="CW749" i="13" s="1"/>
  <c r="BX768" i="13"/>
  <c r="BY768" i="13" s="1"/>
  <c r="BZ768" i="13" s="1" a="1"/>
  <c r="BZ768" i="13" s="1"/>
  <c r="BX786" i="13"/>
  <c r="BY786" i="13" s="1"/>
  <c r="BZ786" i="13" s="1" a="1"/>
  <c r="BZ786" i="13" s="1"/>
  <c r="BX794" i="13"/>
  <c r="BY794" i="13" s="1"/>
  <c r="BZ794" i="13" s="1" a="1"/>
  <c r="BZ794" i="13" s="1"/>
  <c r="BX837" i="13"/>
  <c r="BY837" i="13" s="1"/>
  <c r="BX849" i="13"/>
  <c r="CB799" i="13"/>
  <c r="CC799" i="13" s="1"/>
  <c r="BP811" i="13"/>
  <c r="BQ811" i="13" s="1"/>
  <c r="BR811" i="13" s="1" a="1"/>
  <c r="BR811" i="13" s="1"/>
  <c r="CJ791" i="13"/>
  <c r="CK791" i="13" s="1"/>
  <c r="CL791" i="13" s="1" a="1"/>
  <c r="CL791" i="13" s="1"/>
  <c r="BP799" i="13"/>
  <c r="BQ799" i="13" s="1"/>
  <c r="BR799" i="13" s="1" a="1"/>
  <c r="BR799" i="13" s="1"/>
  <c r="BX807" i="13"/>
  <c r="BY807" i="13" s="1"/>
  <c r="BZ807" i="13" s="1" a="1"/>
  <c r="BZ807" i="13" s="1"/>
  <c r="CB819" i="13"/>
  <c r="CC819" i="13" s="1"/>
  <c r="BX787" i="13"/>
  <c r="BY787" i="13" s="1"/>
  <c r="BZ787" i="13" s="1" a="1"/>
  <c r="BZ787" i="13" s="1"/>
  <c r="BX798" i="13"/>
  <c r="BY798" i="13" s="1"/>
  <c r="CJ798" i="13"/>
  <c r="CK798" i="13" s="1"/>
  <c r="CL798" i="13" s="1" a="1"/>
  <c r="CL798" i="13" s="1"/>
  <c r="BP798" i="13"/>
  <c r="BQ798" i="13" s="1"/>
  <c r="BR798" i="13" s="1" a="1"/>
  <c r="BR798" i="13" s="1"/>
  <c r="BP813" i="13"/>
  <c r="BQ813" i="13" s="1"/>
  <c r="BR813" i="13" s="1" a="1"/>
  <c r="BR813" i="13" s="1"/>
  <c r="BT867" i="13"/>
  <c r="BU867" i="13" s="1"/>
  <c r="CN815" i="13"/>
  <c r="CO815" i="13" s="1"/>
  <c r="CP815" i="13" s="1" a="1"/>
  <c r="CP815" i="13" s="1"/>
  <c r="CV839" i="13"/>
  <c r="CW839" i="13" s="1"/>
  <c r="CV855" i="13"/>
  <c r="CW855" i="13" s="1"/>
  <c r="BT795" i="13"/>
  <c r="BU795" i="13" s="1"/>
  <c r="CJ806" i="13"/>
  <c r="CK806" i="13" s="1"/>
  <c r="CL806" i="13" s="1" a="1"/>
  <c r="CL806" i="13" s="1"/>
  <c r="BP806" i="13"/>
  <c r="BQ806" i="13" s="1"/>
  <c r="BR806" i="13" s="1" a="1"/>
  <c r="BR806" i="13" s="1"/>
  <c r="BX806" i="13"/>
  <c r="BY806" i="13" s="1"/>
  <c r="BZ806" i="13" s="1" a="1"/>
  <c r="BZ806" i="13" s="1"/>
  <c r="BX809" i="13"/>
  <c r="BY809" i="13" s="1"/>
  <c r="BZ809" i="13" s="1" a="1"/>
  <c r="BZ809" i="13" s="1"/>
  <c r="CJ816" i="13"/>
  <c r="CK816" i="13" s="1"/>
  <c r="CL816" i="13" s="1" a="1"/>
  <c r="CL816" i="13" s="1"/>
  <c r="BP816" i="13"/>
  <c r="BQ816" i="13" s="1"/>
  <c r="BR816" i="13" s="1" a="1"/>
  <c r="BR816" i="13" s="1"/>
  <c r="BT816" i="13"/>
  <c r="BU816" i="13" s="1"/>
  <c r="CB817" i="13"/>
  <c r="CC817" i="13" s="1"/>
  <c r="CB831" i="13"/>
  <c r="CC831" i="13" s="1"/>
  <c r="CB839" i="13"/>
  <c r="CC839" i="13" s="1"/>
  <c r="CB845" i="13"/>
  <c r="CC845" i="13" s="1"/>
  <c r="CB857" i="13"/>
  <c r="CC857" i="13" s="1"/>
  <c r="BP783" i="13"/>
  <c r="BQ783" i="13" s="1"/>
  <c r="BR783" i="13" s="1" a="1"/>
  <c r="BR783" i="13" s="1"/>
  <c r="CN802" i="13"/>
  <c r="CO802" i="13" s="1"/>
  <c r="CP802" i="13" s="1" a="1"/>
  <c r="CP802" i="13" s="1"/>
  <c r="CN825" i="13"/>
  <c r="CO825" i="13" s="1"/>
  <c r="CP825" i="13" s="1" a="1"/>
  <c r="CP825" i="13" s="1"/>
  <c r="CJ787" i="13"/>
  <c r="CK787" i="13" s="1"/>
  <c r="CL787" i="13" s="1" a="1"/>
  <c r="CL787" i="13" s="1"/>
  <c r="CN807" i="13"/>
  <c r="CO807" i="13" s="1"/>
  <c r="CP807" i="13" s="1" a="1"/>
  <c r="CP807" i="13" s="1"/>
  <c r="CV822" i="13"/>
  <c r="CW822" i="13" s="1"/>
  <c r="BJ843" i="13"/>
  <c r="CR843" i="13" s="1"/>
  <c r="CS843" i="13" s="1"/>
  <c r="CR855" i="13"/>
  <c r="CS855" i="13" s="1"/>
  <c r="BQ859" i="13"/>
  <c r="BR859" i="13" s="1" a="1"/>
  <c r="BR859" i="13" s="1"/>
  <c r="BJ859" i="13"/>
  <c r="BP859" i="13" s="1"/>
  <c r="BJ869" i="13"/>
  <c r="CJ869" i="13" s="1"/>
  <c r="CK869" i="13" s="1"/>
  <c r="CL869" i="13" s="1" a="1"/>
  <c r="CL869" i="13" s="1"/>
  <c r="BJ873" i="13"/>
  <c r="CR873" i="13" s="1"/>
  <c r="CS873" i="13" s="1"/>
  <c r="BJ883" i="13"/>
  <c r="BP883" i="13" s="1"/>
  <c r="BQ883" i="13" s="1"/>
  <c r="BR883" i="13" s="1" a="1"/>
  <c r="BR883" i="13" s="1"/>
  <c r="BJ889" i="13"/>
  <c r="CB889" i="13" s="1"/>
  <c r="CC889" i="13" s="1"/>
  <c r="CR840" i="13"/>
  <c r="CS840" i="13" s="1"/>
  <c r="CT840" i="13" s="1" a="1"/>
  <c r="CT840" i="13" s="1"/>
  <c r="BX874" i="13"/>
  <c r="BY874" i="13" s="1"/>
  <c r="BZ874" i="13" s="1" a="1"/>
  <c r="BZ874" i="13" s="1"/>
  <c r="CR850" i="13"/>
  <c r="CS850" i="13" s="1"/>
  <c r="CB866" i="13"/>
  <c r="CC866" i="13" s="1"/>
  <c r="CN878" i="13"/>
  <c r="CO878" i="13" s="1"/>
  <c r="CP878" i="13" s="1" a="1"/>
  <c r="CP878" i="13" s="1"/>
  <c r="CB832" i="13"/>
  <c r="CC832" i="13" s="1"/>
  <c r="CB848" i="13"/>
  <c r="CC848" i="13" s="1"/>
  <c r="BP870" i="13"/>
  <c r="BQ870" i="13" s="1"/>
  <c r="BR870" i="13" s="1" a="1"/>
  <c r="BR870" i="13" s="1"/>
  <c r="CJ890" i="13"/>
  <c r="CK890" i="13" s="1"/>
  <c r="CL890" i="13" s="1" a="1"/>
  <c r="CL890" i="13" s="1"/>
  <c r="BP890" i="13"/>
  <c r="BQ890" i="13" s="1"/>
  <c r="BR890" i="13" s="1" a="1"/>
  <c r="BR890" i="13" s="1"/>
  <c r="BT890" i="13"/>
  <c r="BU890" i="13" s="1"/>
  <c r="BV890" i="13" s="1" a="1"/>
  <c r="BV890" i="13" s="1"/>
  <c r="CR890" i="13"/>
  <c r="CS890" i="13" s="1"/>
  <c r="CT890" i="13" s="1" a="1"/>
  <c r="CT890" i="13" s="1"/>
  <c r="CB906" i="13"/>
  <c r="CC906" i="13" s="1"/>
  <c r="BX822" i="13"/>
  <c r="BY822" i="13" s="1"/>
  <c r="BP832" i="13"/>
  <c r="BQ832" i="13" s="1"/>
  <c r="BR832" i="13" s="1" a="1"/>
  <c r="BR832" i="13" s="1"/>
  <c r="CN841" i="13"/>
  <c r="CO841" i="13" s="1"/>
  <c r="BX864" i="13"/>
  <c r="BY864" i="13" s="1"/>
  <c r="BZ864" i="13" s="1" a="1"/>
  <c r="BZ864" i="13" s="1"/>
  <c r="CJ842" i="13"/>
  <c r="CK842" i="13" s="1"/>
  <c r="CL842" i="13" s="1" a="1"/>
  <c r="CL842" i="13" s="1"/>
  <c r="BP867" i="13"/>
  <c r="BQ867" i="13" s="1"/>
  <c r="BR867" i="13" s="1" a="1"/>
  <c r="BR867" i="13" s="1"/>
  <c r="BX884" i="13"/>
  <c r="BY884" i="13" s="1"/>
  <c r="BZ884" i="13" s="1" a="1"/>
  <c r="BZ884" i="13" s="1"/>
  <c r="CR912" i="13"/>
  <c r="CS912" i="13" s="1"/>
  <c r="BJ918" i="13"/>
  <c r="BP918" i="13" s="1"/>
  <c r="BQ918" i="13" s="1"/>
  <c r="BR918" i="13" s="1" a="1"/>
  <c r="BR918" i="13" s="1"/>
  <c r="CR928" i="13"/>
  <c r="CS928" i="13" s="1"/>
  <c r="BJ934" i="13"/>
  <c r="BP934" i="13" s="1"/>
  <c r="BQ934" i="13" s="1"/>
  <c r="BR934" i="13" s="1" a="1"/>
  <c r="BR934" i="13" s="1"/>
  <c r="CJ852" i="13"/>
  <c r="CK852" i="13" s="1"/>
  <c r="CL852" i="13" s="1" a="1"/>
  <c r="CL852" i="13" s="1"/>
  <c r="BT856" i="13"/>
  <c r="BU856" i="13" s="1"/>
  <c r="BV856" i="13" s="1" a="1"/>
  <c r="BV856" i="13" s="1"/>
  <c r="CR864" i="13"/>
  <c r="CS864" i="13" s="1"/>
  <c r="CT864" i="13" s="1" a="1"/>
  <c r="CT864" i="13" s="1"/>
  <c r="CV846" i="13"/>
  <c r="CW846" i="13" s="1"/>
  <c r="CJ868" i="13"/>
  <c r="CK868" i="13" s="1"/>
  <c r="CL868" i="13" s="1" a="1"/>
  <c r="CL868" i="13" s="1"/>
  <c r="CV872" i="13"/>
  <c r="CW872" i="13" s="1"/>
  <c r="CN881" i="13"/>
  <c r="CO881" i="13" s="1"/>
  <c r="CP881" i="13" s="1" a="1"/>
  <c r="CP881" i="13" s="1"/>
  <c r="CB827" i="13"/>
  <c r="CC827" i="13" s="1"/>
  <c r="CJ840" i="13"/>
  <c r="CK840" i="13" s="1"/>
  <c r="CL840" i="13" s="1" a="1"/>
  <c r="CL840" i="13" s="1"/>
  <c r="BX876" i="13"/>
  <c r="BY876" i="13" s="1"/>
  <c r="BZ876" i="13" s="1" a="1"/>
  <c r="BZ876" i="13" s="1"/>
  <c r="BP881" i="13"/>
  <c r="BQ881" i="13" s="1"/>
  <c r="BR881" i="13" s="1" a="1"/>
  <c r="BR881" i="13" s="1"/>
  <c r="CR895" i="13"/>
  <c r="CS895" i="13" s="1"/>
  <c r="CN944" i="13"/>
  <c r="CO944" i="13" s="1"/>
  <c r="BT944" i="13"/>
  <c r="BU944" i="13" s="1"/>
  <c r="CJ944" i="13"/>
  <c r="CK944" i="13" s="1"/>
  <c r="CL944" i="13" s="1" a="1"/>
  <c r="CL944" i="13" s="1"/>
  <c r="BP944" i="13"/>
  <c r="BQ944" i="13" s="1"/>
  <c r="BR944" i="13" s="1" a="1"/>
  <c r="BR944" i="13" s="1"/>
  <c r="CR944" i="13"/>
  <c r="CS944" i="13" s="1"/>
  <c r="CV909" i="13"/>
  <c r="CW909" i="13" s="1"/>
  <c r="BT917" i="13"/>
  <c r="BU917" i="13" s="1"/>
  <c r="BV917" i="13" s="1" a="1"/>
  <c r="BV917" i="13" s="1"/>
  <c r="CJ935" i="13"/>
  <c r="CK935" i="13" s="1"/>
  <c r="CL935" i="13" s="1" a="1"/>
  <c r="CL935" i="13" s="1"/>
  <c r="CB949" i="13"/>
  <c r="CC949" i="13" s="1"/>
  <c r="CJ992" i="13"/>
  <c r="CK992" i="13" s="1"/>
  <c r="CL992" i="13" s="1" a="1"/>
  <c r="CL992" i="13" s="1"/>
  <c r="BP915" i="13"/>
  <c r="BQ915" i="13" s="1"/>
  <c r="BR915" i="13" s="1" a="1"/>
  <c r="BR915" i="13" s="1"/>
  <c r="CV923" i="13"/>
  <c r="CW923" i="13" s="1"/>
  <c r="CV931" i="13"/>
  <c r="CW931" i="13" s="1"/>
  <c r="BT949" i="13"/>
  <c r="BU949" i="13" s="1"/>
  <c r="BV949" i="13" s="1" a="1"/>
  <c r="BV949" i="13" s="1"/>
  <c r="BX961" i="13"/>
  <c r="BY961" i="13" s="1"/>
  <c r="CD961" i="13" s="1" a="1"/>
  <c r="CD961" i="13" s="1"/>
  <c r="CB967" i="13"/>
  <c r="CC967" i="13" s="1"/>
  <c r="BX910" i="13"/>
  <c r="BY910" i="13" s="1"/>
  <c r="BZ910" i="13" s="1" a="1"/>
  <c r="BZ910" i="13" s="1"/>
  <c r="BX943" i="13"/>
  <c r="BY943" i="13" s="1"/>
  <c r="BZ943" i="13" s="1" a="1"/>
  <c r="BZ943" i="13" s="1"/>
  <c r="CN945" i="13"/>
  <c r="CO945" i="13" s="1"/>
  <c r="CP945" i="13" s="1" a="1"/>
  <c r="CP945" i="13" s="1"/>
  <c r="BX959" i="13"/>
  <c r="BY959" i="13" s="1"/>
  <c r="BZ959" i="13" s="1" a="1"/>
  <c r="BZ959" i="13" s="1"/>
  <c r="BJ1004" i="13"/>
  <c r="BP1004" i="13" s="1"/>
  <c r="BQ1004" i="13" s="1"/>
  <c r="BR1004" i="13" s="1" a="1"/>
  <c r="BR1004" i="13" s="1"/>
  <c r="BQ1012" i="13"/>
  <c r="BR1012" i="13" s="1" a="1"/>
  <c r="BR1012" i="13" s="1"/>
  <c r="BJ1012" i="13"/>
  <c r="BP1012" i="13" s="1"/>
  <c r="BJ1020" i="13"/>
  <c r="BT1020" i="13" s="1"/>
  <c r="BU1020" i="13" s="1"/>
  <c r="CB900" i="13"/>
  <c r="CC900" i="13" s="1"/>
  <c r="CV917" i="13"/>
  <c r="CW917" i="13" s="1"/>
  <c r="BX953" i="13"/>
  <c r="BY953" i="13" s="1"/>
  <c r="BZ953" i="13" s="1" a="1"/>
  <c r="BZ953" i="13" s="1"/>
  <c r="BP961" i="13"/>
  <c r="BQ961" i="13" s="1"/>
  <c r="BR961" i="13" s="1" a="1"/>
  <c r="BR961" i="13" s="1"/>
  <c r="CJ961" i="13"/>
  <c r="CK961" i="13" s="1"/>
  <c r="CL961" i="13" s="1" a="1"/>
  <c r="CL961" i="13" s="1"/>
  <c r="BT961" i="13"/>
  <c r="BU961" i="13" s="1"/>
  <c r="CR961" i="13"/>
  <c r="CS961" i="13" s="1"/>
  <c r="CT961" i="13" s="1" a="1"/>
  <c r="CT961" i="13" s="1"/>
  <c r="CN986" i="13"/>
  <c r="CO986" i="13" s="1"/>
  <c r="CJ986" i="13"/>
  <c r="CK986" i="13" s="1"/>
  <c r="CL986" i="13" s="1" a="1"/>
  <c r="CL986" i="13" s="1"/>
  <c r="BP986" i="13"/>
  <c r="BQ986" i="13" s="1"/>
  <c r="BR986" i="13" s="1" a="1"/>
  <c r="BR986" i="13" s="1"/>
  <c r="CR986" i="13"/>
  <c r="CS986" i="13" s="1"/>
  <c r="CT986" i="13" s="1" a="1"/>
  <c r="CT986" i="13" s="1"/>
  <c r="BT986" i="13"/>
  <c r="BU986" i="13" s="1"/>
  <c r="BV986" i="13" s="1" a="1"/>
  <c r="BV986" i="13" s="1"/>
  <c r="BX986" i="13"/>
  <c r="BY986" i="13" s="1"/>
  <c r="CV993" i="13"/>
  <c r="CW993" i="13" s="1"/>
  <c r="BX1006" i="13"/>
  <c r="BY1006" i="13" s="1"/>
  <c r="BZ1006" i="13" s="1" a="1"/>
  <c r="BZ1006" i="13" s="1"/>
  <c r="CV1017" i="13"/>
  <c r="CW1017" i="13" s="1"/>
  <c r="CN911" i="13"/>
  <c r="CO911" i="13" s="1"/>
  <c r="CP911" i="13" s="1" a="1"/>
  <c r="CP911" i="13" s="1"/>
  <c r="BX921" i="13"/>
  <c r="BY921" i="13" s="1"/>
  <c r="BZ921" i="13" s="1" a="1"/>
  <c r="BZ921" i="13" s="1"/>
  <c r="BX932" i="13"/>
  <c r="BY932" i="13" s="1"/>
  <c r="CB947" i="13"/>
  <c r="CC947" i="13" s="1"/>
  <c r="BP959" i="13"/>
  <c r="BQ959" i="13" s="1"/>
  <c r="BR959" i="13" s="1" a="1"/>
  <c r="BR959" i="13" s="1"/>
  <c r="CJ959" i="13"/>
  <c r="CK959" i="13" s="1"/>
  <c r="CL959" i="13" s="1" a="1"/>
  <c r="CL959" i="13" s="1"/>
  <c r="CR959" i="13"/>
  <c r="CS959" i="13" s="1"/>
  <c r="CT959" i="13" s="1" a="1"/>
  <c r="CT959" i="13" s="1"/>
  <c r="CB1019" i="13"/>
  <c r="CC1019" i="13" s="1"/>
  <c r="CV903" i="13"/>
  <c r="CW903" i="13" s="1"/>
  <c r="CR909" i="13"/>
  <c r="CS909" i="13" s="1"/>
  <c r="CT909" i="13" s="1" a="1"/>
  <c r="CT909" i="13" s="1"/>
  <c r="BX919" i="13"/>
  <c r="BY919" i="13" s="1"/>
  <c r="BZ919" i="13" s="1" a="1"/>
  <c r="BZ919" i="13" s="1"/>
  <c r="BX933" i="13"/>
  <c r="BY933" i="13" s="1"/>
  <c r="BZ933" i="13" s="1" a="1"/>
  <c r="BZ933" i="13" s="1"/>
  <c r="CR939" i="13"/>
  <c r="CS939" i="13" s="1"/>
  <c r="CT939" i="13" s="1" a="1"/>
  <c r="CT939" i="13" s="1"/>
  <c r="BP951" i="13"/>
  <c r="BQ951" i="13" s="1"/>
  <c r="BR951" i="13" s="1" a="1"/>
  <c r="BR951" i="13" s="1"/>
  <c r="CV876" i="13"/>
  <c r="CW876" i="13" s="1"/>
  <c r="BX905" i="13"/>
  <c r="BY905" i="13" s="1"/>
  <c r="BZ905" i="13" s="1" a="1"/>
  <c r="BZ905" i="13" s="1"/>
  <c r="CB919" i="13"/>
  <c r="CC919" i="13" s="1"/>
  <c r="CJ923" i="13"/>
  <c r="CK923" i="13" s="1"/>
  <c r="CL923" i="13" s="1" a="1"/>
  <c r="CL923" i="13" s="1"/>
  <c r="CN925" i="13"/>
  <c r="CO925" i="13" s="1"/>
  <c r="CT925" i="13" s="1" a="1"/>
  <c r="CT925" i="13" s="1"/>
  <c r="BT931" i="13"/>
  <c r="BU931" i="13" s="1"/>
  <c r="BV931" i="13" s="1" a="1"/>
  <c r="BV931" i="13" s="1"/>
  <c r="CB964" i="13"/>
  <c r="CC964" i="13" s="1"/>
  <c r="CV974" i="13"/>
  <c r="CW974" i="13" s="1"/>
  <c r="CV982" i="13"/>
  <c r="CW982" i="13" s="1"/>
  <c r="BT992" i="13"/>
  <c r="BU992" i="13" s="1"/>
  <c r="BV992" i="13" s="1" a="1"/>
  <c r="BV992" i="13" s="1"/>
  <c r="BJ995" i="13"/>
  <c r="BP995" i="13" s="1"/>
  <c r="BQ995" i="13"/>
  <c r="BR995" i="13" s="1" a="1"/>
  <c r="BR995" i="13" s="1"/>
  <c r="CR997" i="13"/>
  <c r="CS997" i="13" s="1"/>
  <c r="BJ1001" i="13"/>
  <c r="BP1001" i="13" s="1"/>
  <c r="BQ1001" i="13" s="1"/>
  <c r="BR1001" i="13" s="1" a="1"/>
  <c r="BR1001" i="13" s="1"/>
  <c r="CR1007" i="13"/>
  <c r="CS1007" i="13" s="1"/>
  <c r="CR1011" i="13"/>
  <c r="CS1011" i="13" s="1"/>
  <c r="BP1019" i="13"/>
  <c r="BQ1019" i="13" s="1"/>
  <c r="BR1019" i="13" s="1" a="1"/>
  <c r="BR1019" i="13" s="1"/>
  <c r="CJ919" i="13"/>
  <c r="CK919" i="13" s="1"/>
  <c r="CL919" i="13" s="1" a="1"/>
  <c r="CL919" i="13" s="1"/>
  <c r="CR927" i="13"/>
  <c r="CS927" i="13" s="1"/>
  <c r="CT927" i="13" s="1" a="1"/>
  <c r="CT927" i="13" s="1"/>
  <c r="CJ933" i="13"/>
  <c r="CK933" i="13" s="1"/>
  <c r="CL933" i="13" s="1" a="1"/>
  <c r="CL933" i="13" s="1"/>
  <c r="CV943" i="13"/>
  <c r="CW943" i="13" s="1"/>
  <c r="CB948" i="13"/>
  <c r="CC948" i="13" s="1"/>
  <c r="CV964" i="13"/>
  <c r="CW964" i="13" s="1"/>
  <c r="CV973" i="13"/>
  <c r="CW973" i="13" s="1"/>
  <c r="CV978" i="13"/>
  <c r="CW978" i="13" s="1"/>
  <c r="BX991" i="13"/>
  <c r="BY991" i="13" s="1"/>
  <c r="CV994" i="13"/>
  <c r="CW994" i="13" s="1"/>
  <c r="CV1014" i="13"/>
  <c r="CW1014" i="13" s="1"/>
  <c r="BX1021" i="13"/>
  <c r="BY1021" i="13" s="1"/>
  <c r="CN996" i="13"/>
  <c r="CO996" i="13" s="1"/>
  <c r="CP996" i="13" s="1" a="1"/>
  <c r="CP996" i="13" s="1"/>
  <c r="BT973" i="13"/>
  <c r="BU973" i="13" s="1"/>
  <c r="BZ973" i="13" s="1" a="1"/>
  <c r="BZ973" i="13" s="1"/>
  <c r="CV985" i="13"/>
  <c r="CW985" i="13" s="1"/>
  <c r="BT963" i="13"/>
  <c r="BU963" i="13" s="1"/>
  <c r="BV963" i="13" s="1" a="1"/>
  <c r="BV963" i="13" s="1"/>
  <c r="CV1020" i="13"/>
  <c r="CW1020" i="13" s="1"/>
  <c r="CR784" i="13"/>
  <c r="CS784" i="13" s="1"/>
  <c r="CR792" i="13"/>
  <c r="CS792" i="13" s="1"/>
  <c r="CR796" i="13"/>
  <c r="CS796" i="13" s="1"/>
  <c r="CR804" i="13"/>
  <c r="CS804" i="13" s="1"/>
  <c r="BJ810" i="13"/>
  <c r="BX810" i="13" s="1"/>
  <c r="BY810" i="13" s="1"/>
  <c r="CR822" i="13"/>
  <c r="CS822" i="13" s="1"/>
  <c r="CN750" i="13"/>
  <c r="CO750" i="13" s="1"/>
  <c r="CP750" i="13" s="1" a="1"/>
  <c r="CP750" i="13" s="1"/>
  <c r="BX758" i="13"/>
  <c r="BY758" i="13" s="1"/>
  <c r="BX774" i="13"/>
  <c r="BY774" i="13" s="1"/>
  <c r="BZ774" i="13" s="1" a="1"/>
  <c r="BZ774" i="13" s="1"/>
  <c r="CR815" i="13"/>
  <c r="CS815" i="13" s="1"/>
  <c r="CT815" i="13" s="1" a="1"/>
  <c r="CT815" i="13" s="1"/>
  <c r="BX851" i="13"/>
  <c r="BY851" i="13" s="1"/>
  <c r="BZ851" i="13" s="1" a="1"/>
  <c r="BZ851" i="13" s="1"/>
  <c r="BX867" i="13"/>
  <c r="BY867" i="13" s="1"/>
  <c r="BZ867" i="13" s="1" a="1"/>
  <c r="BZ867" i="13" s="1"/>
  <c r="CJ811" i="13"/>
  <c r="CK811" i="13" s="1"/>
  <c r="CL811" i="13" s="1" a="1"/>
  <c r="CL811" i="13" s="1"/>
  <c r="CJ823" i="13"/>
  <c r="CK823" i="13" s="1"/>
  <c r="CL823" i="13" s="1" a="1"/>
  <c r="CL823" i="13" s="1"/>
  <c r="BP823" i="13"/>
  <c r="BQ823" i="13" s="1"/>
  <c r="BR823" i="13" s="1" a="1"/>
  <c r="BR823" i="13" s="1"/>
  <c r="CN823" i="13"/>
  <c r="CO823" i="13" s="1"/>
  <c r="CP823" i="13" s="1" a="1"/>
  <c r="CP823" i="13" s="1"/>
  <c r="BT823" i="13"/>
  <c r="BU823" i="13" s="1"/>
  <c r="BV823" i="13" s="1" a="1"/>
  <c r="BV823" i="13" s="1"/>
  <c r="CR823" i="13"/>
  <c r="CS823" i="13" s="1"/>
  <c r="CV823" i="13"/>
  <c r="CW823" i="13" s="1"/>
  <c r="BX795" i="13"/>
  <c r="BY795" i="13" s="1"/>
  <c r="BZ795" i="13" s="1" a="1"/>
  <c r="BZ795" i="13" s="1"/>
  <c r="CJ813" i="13"/>
  <c r="CK813" i="13" s="1"/>
  <c r="CL813" i="13" s="1" a="1"/>
  <c r="CL813" i="13" s="1"/>
  <c r="BT841" i="13"/>
  <c r="BU841" i="13" s="1"/>
  <c r="BV841" i="13" s="1" a="1"/>
  <c r="BV841" i="13" s="1"/>
  <c r="CV829" i="13"/>
  <c r="CW829" i="13" s="1"/>
  <c r="CV845" i="13"/>
  <c r="CW845" i="13" s="1"/>
  <c r="CV861" i="13"/>
  <c r="CW861" i="13" s="1"/>
  <c r="CB783" i="13"/>
  <c r="CC783" i="13" s="1"/>
  <c r="BP795" i="13"/>
  <c r="BQ795" i="13" s="1"/>
  <c r="BR795" i="13" s="1" a="1"/>
  <c r="BR795" i="13" s="1"/>
  <c r="CN810" i="13"/>
  <c r="CO810" i="13" s="1"/>
  <c r="CJ821" i="13"/>
  <c r="CK821" i="13" s="1"/>
  <c r="CL821" i="13" s="1" a="1"/>
  <c r="CL821" i="13" s="1"/>
  <c r="BP821" i="13"/>
  <c r="BQ821" i="13" s="1"/>
  <c r="BR821" i="13" s="1" a="1"/>
  <c r="BR821" i="13" s="1"/>
  <c r="CR821" i="13"/>
  <c r="CS821" i="13" s="1"/>
  <c r="CT821" i="13" s="1" a="1"/>
  <c r="CT821" i="13" s="1"/>
  <c r="BT821" i="13"/>
  <c r="BU821" i="13" s="1"/>
  <c r="BV821" i="13" s="1" a="1"/>
  <c r="BV821" i="13" s="1"/>
  <c r="CB855" i="13"/>
  <c r="CC855" i="13" s="1"/>
  <c r="CB871" i="13"/>
  <c r="CC871" i="13" s="1"/>
  <c r="CB879" i="13"/>
  <c r="CC879" i="13" s="1"/>
  <c r="CB883" i="13"/>
  <c r="CC883" i="13" s="1"/>
  <c r="CV826" i="13"/>
  <c r="CW826" i="13" s="1"/>
  <c r="CN819" i="13"/>
  <c r="CO819" i="13" s="1"/>
  <c r="CP819" i="13" s="1" a="1"/>
  <c r="CP819" i="13" s="1"/>
  <c r="CB821" i="13"/>
  <c r="CC821" i="13" s="1"/>
  <c r="CR829" i="13"/>
  <c r="CS829" i="13" s="1"/>
  <c r="BJ835" i="13"/>
  <c r="BP835" i="13" s="1"/>
  <c r="BQ835" i="13" s="1"/>
  <c r="BR835" i="13" s="1" a="1"/>
  <c r="BR835" i="13" s="1"/>
  <c r="CR837" i="13"/>
  <c r="CS837" i="13" s="1"/>
  <c r="CR849" i="13"/>
  <c r="CS849" i="13" s="1"/>
  <c r="BJ853" i="13"/>
  <c r="BP853" i="13" s="1"/>
  <c r="BQ853" i="13" s="1"/>
  <c r="BR853" i="13" s="1" a="1"/>
  <c r="BR853" i="13" s="1"/>
  <c r="CR865" i="13"/>
  <c r="CS865" i="13" s="1"/>
  <c r="CR883" i="13"/>
  <c r="CS883" i="13" s="1"/>
  <c r="CR889" i="13"/>
  <c r="CS889" i="13" s="1"/>
  <c r="CR876" i="13"/>
  <c r="CS876" i="13" s="1"/>
  <c r="CT876" i="13" s="1" a="1"/>
  <c r="CT876" i="13" s="1"/>
  <c r="CJ885" i="13"/>
  <c r="CK885" i="13" s="1"/>
  <c r="CL885" i="13" s="1" a="1"/>
  <c r="CL885" i="13" s="1"/>
  <c r="BP885" i="13"/>
  <c r="BQ885" i="13" s="1"/>
  <c r="BR885" i="13" s="1" a="1"/>
  <c r="BR885" i="13" s="1"/>
  <c r="BX885" i="13"/>
  <c r="BY885" i="13" s="1"/>
  <c r="BZ885" i="13" s="1" a="1"/>
  <c r="BZ885" i="13" s="1"/>
  <c r="BT891" i="13"/>
  <c r="BU891" i="13" s="1"/>
  <c r="BV891" i="13" s="1" a="1"/>
  <c r="BV891" i="13" s="1"/>
  <c r="BT818" i="13"/>
  <c r="BU818" i="13" s="1"/>
  <c r="BJ897" i="13"/>
  <c r="CB897" i="13" s="1"/>
  <c r="CC897" i="13" s="1"/>
  <c r="BX881" i="13"/>
  <c r="BY881" i="13" s="1"/>
  <c r="BZ881" i="13" s="1" a="1"/>
  <c r="BZ881" i="13" s="1"/>
  <c r="BP895" i="13"/>
  <c r="BQ895" i="13" s="1"/>
  <c r="BR895" i="13" s="1" a="1"/>
  <c r="BR895" i="13" s="1"/>
  <c r="BX872" i="13"/>
  <c r="BY872" i="13" s="1"/>
  <c r="BZ872" i="13" s="1" a="1"/>
  <c r="BZ872" i="13" s="1"/>
  <c r="BJ893" i="13"/>
  <c r="CB899" i="13"/>
  <c r="CC899" i="13" s="1"/>
  <c r="BP902" i="13"/>
  <c r="BQ902" i="13" s="1"/>
  <c r="BR902" i="13" s="1" a="1"/>
  <c r="BR902" i="13" s="1"/>
  <c r="CN902" i="13"/>
  <c r="CO902" i="13" s="1"/>
  <c r="CJ902" i="13"/>
  <c r="CK902" i="13" s="1"/>
  <c r="CL902" i="13" s="1" a="1"/>
  <c r="CL902" i="13" s="1"/>
  <c r="CB902" i="13"/>
  <c r="CC902" i="13" s="1"/>
  <c r="CR902" i="13"/>
  <c r="CS902" i="13" s="1"/>
  <c r="BT902" i="13"/>
  <c r="BU902" i="13" s="1"/>
  <c r="BV902" i="13" s="1" a="1"/>
  <c r="BV902" i="13" s="1"/>
  <c r="BJ908" i="13"/>
  <c r="CN908" i="13" s="1"/>
  <c r="CO908" i="13" s="1"/>
  <c r="BJ924" i="13"/>
  <c r="CN924" i="13" s="1"/>
  <c r="CO924" i="13" s="1"/>
  <c r="BJ942" i="13"/>
  <c r="BX942" i="13" s="1"/>
  <c r="BY942" i="13" s="1"/>
  <c r="BT812" i="13"/>
  <c r="BU812" i="13" s="1"/>
  <c r="CB840" i="13"/>
  <c r="CC840" i="13" s="1"/>
  <c r="CJ888" i="13"/>
  <c r="CK888" i="13" s="1"/>
  <c r="CL888" i="13" s="1" a="1"/>
  <c r="CL888" i="13" s="1"/>
  <c r="BP888" i="13"/>
  <c r="BQ888" i="13" s="1"/>
  <c r="BR888" i="13" s="1" a="1"/>
  <c r="BR888" i="13" s="1"/>
  <c r="CR888" i="13"/>
  <c r="CS888" i="13" s="1"/>
  <c r="CT888" i="13" s="1" a="1"/>
  <c r="CT888" i="13" s="1"/>
  <c r="BT888" i="13"/>
  <c r="BU888" i="13" s="1"/>
  <c r="BZ888" i="13" s="1" a="1"/>
  <c r="BZ888" i="13" s="1"/>
  <c r="BX894" i="13"/>
  <c r="BY894" i="13" s="1"/>
  <c r="BZ894" i="13" s="1" a="1"/>
  <c r="BZ894" i="13" s="1"/>
  <c r="CN882" i="13"/>
  <c r="CO882" i="13" s="1"/>
  <c r="CP882" i="13" s="1" a="1"/>
  <c r="CP882" i="13" s="1"/>
  <c r="BJ901" i="13"/>
  <c r="BX901" i="13" s="1"/>
  <c r="BY901" i="13" s="1"/>
  <c r="BP886" i="13"/>
  <c r="BQ886" i="13" s="1"/>
  <c r="BR886" i="13" s="1" a="1"/>
  <c r="BR886" i="13" s="1"/>
  <c r="CW895" i="13"/>
  <c r="BJ895" i="13"/>
  <c r="CV895" i="13" s="1"/>
  <c r="CN914" i="13"/>
  <c r="CO914" i="13" s="1"/>
  <c r="CP914" i="13" s="1" a="1"/>
  <c r="CP914" i="13" s="1"/>
  <c r="BT914" i="13"/>
  <c r="BU914" i="13" s="1"/>
  <c r="CJ914" i="13"/>
  <c r="CK914" i="13" s="1"/>
  <c r="CL914" i="13" s="1" a="1"/>
  <c r="CL914" i="13" s="1"/>
  <c r="BP914" i="13"/>
  <c r="BQ914" i="13" s="1"/>
  <c r="BR914" i="13" s="1" a="1"/>
  <c r="BR914" i="13" s="1"/>
  <c r="CN922" i="13"/>
  <c r="CO922" i="13" s="1"/>
  <c r="BT922" i="13"/>
  <c r="BU922" i="13" s="1"/>
  <c r="CJ922" i="13"/>
  <c r="CK922" i="13" s="1"/>
  <c r="CL922" i="13" s="1" a="1"/>
  <c r="CL922" i="13" s="1"/>
  <c r="BP922" i="13"/>
  <c r="BQ922" i="13" s="1"/>
  <c r="BR922" i="13" s="1" a="1"/>
  <c r="BR922" i="13" s="1"/>
  <c r="CN930" i="13"/>
  <c r="CO930" i="13" s="1"/>
  <c r="CP930" i="13" s="1" a="1"/>
  <c r="CP930" i="13" s="1"/>
  <c r="BT930" i="13"/>
  <c r="BU930" i="13" s="1"/>
  <c r="CJ930" i="13"/>
  <c r="CK930" i="13" s="1"/>
  <c r="CL930" i="13" s="1" a="1"/>
  <c r="CL930" i="13" s="1"/>
  <c r="BP930" i="13"/>
  <c r="BQ930" i="13" s="1"/>
  <c r="BR930" i="13" s="1" a="1"/>
  <c r="BR930" i="13" s="1"/>
  <c r="CN938" i="13"/>
  <c r="CO938" i="13" s="1"/>
  <c r="BT938" i="13"/>
  <c r="BU938" i="13" s="1"/>
  <c r="CJ938" i="13"/>
  <c r="CK938" i="13" s="1"/>
  <c r="CL938" i="13" s="1" a="1"/>
  <c r="CL938" i="13" s="1"/>
  <c r="BP938" i="13"/>
  <c r="BQ938" i="13" s="1"/>
  <c r="BR938" i="13" s="1" a="1"/>
  <c r="BR938" i="13" s="1"/>
  <c r="CR938" i="13"/>
  <c r="CS938" i="13" s="1"/>
  <c r="CT938" i="13" s="1" a="1"/>
  <c r="CT938" i="13" s="1"/>
  <c r="CN954" i="13"/>
  <c r="CO954" i="13" s="1"/>
  <c r="CP954" i="13" s="1" a="1"/>
  <c r="CP954" i="13" s="1"/>
  <c r="BT954" i="13"/>
  <c r="BU954" i="13" s="1"/>
  <c r="CJ954" i="13"/>
  <c r="CK954" i="13" s="1"/>
  <c r="CL954" i="13" s="1" a="1"/>
  <c r="CL954" i="13" s="1"/>
  <c r="BP954" i="13"/>
  <c r="BQ954" i="13" s="1"/>
  <c r="BR954" i="13" s="1" a="1"/>
  <c r="BR954" i="13" s="1"/>
  <c r="CR954" i="13"/>
  <c r="CS954" i="13" s="1"/>
  <c r="CR917" i="13"/>
  <c r="CS917" i="13" s="1"/>
  <c r="CT917" i="13" s="1" a="1"/>
  <c r="CT917" i="13" s="1"/>
  <c r="BT935" i="13"/>
  <c r="BU935" i="13" s="1"/>
  <c r="BV935" i="13" s="1" a="1"/>
  <c r="BV935" i="13" s="1"/>
  <c r="CV939" i="13"/>
  <c r="CW939" i="13" s="1"/>
  <c r="CN958" i="13"/>
  <c r="CO958" i="13" s="1"/>
  <c r="CP958" i="13" s="1" a="1"/>
  <c r="CP958" i="13" s="1"/>
  <c r="CJ958" i="13"/>
  <c r="CK958" i="13" s="1"/>
  <c r="CL958" i="13" s="1" a="1"/>
  <c r="CL958" i="13" s="1"/>
  <c r="BP958" i="13"/>
  <c r="BQ958" i="13" s="1"/>
  <c r="BR958" i="13" s="1" a="1"/>
  <c r="BR958" i="13" s="1"/>
  <c r="CR958" i="13"/>
  <c r="CS958" i="13" s="1"/>
  <c r="BT958" i="13"/>
  <c r="BU958" i="13" s="1"/>
  <c r="CB1004" i="13"/>
  <c r="CC1004" i="13" s="1"/>
  <c r="CB1020" i="13"/>
  <c r="CC1020" i="13" s="1"/>
  <c r="CV969" i="13"/>
  <c r="CW969" i="13" s="1"/>
  <c r="BX889" i="13"/>
  <c r="BY889" i="13" s="1"/>
  <c r="CV933" i="13"/>
  <c r="CW933" i="13" s="1"/>
  <c r="BX946" i="13"/>
  <c r="BY946" i="13" s="1"/>
  <c r="BZ946" i="13" s="1" a="1"/>
  <c r="BZ946" i="13" s="1"/>
  <c r="BP979" i="13"/>
  <c r="BQ979" i="13" s="1"/>
  <c r="BR979" i="13" s="1" a="1"/>
  <c r="BR979" i="13" s="1"/>
  <c r="CJ979" i="13"/>
  <c r="CK979" i="13" s="1"/>
  <c r="CL979" i="13" s="1" a="1"/>
  <c r="CL979" i="13" s="1"/>
  <c r="BT979" i="13"/>
  <c r="BU979" i="13" s="1"/>
  <c r="CR979" i="13"/>
  <c r="CS979" i="13" s="1"/>
  <c r="CT979" i="13" s="1" a="1"/>
  <c r="CT979" i="13" s="1"/>
  <c r="BT991" i="13"/>
  <c r="BU991" i="13" s="1"/>
  <c r="BJ1000" i="13"/>
  <c r="BP1000" i="13" s="1"/>
  <c r="BQ1000" i="13" s="1"/>
  <c r="BR1000" i="13" s="1" a="1"/>
  <c r="BR1000" i="13" s="1"/>
  <c r="CR1004" i="13"/>
  <c r="CS1004" i="13" s="1"/>
  <c r="CR1012" i="13"/>
  <c r="CS1012" i="13" s="1"/>
  <c r="CR1020" i="13"/>
  <c r="CS1020" i="13" s="1"/>
  <c r="CV948" i="13"/>
  <c r="CW948" i="13" s="1"/>
  <c r="CN980" i="13"/>
  <c r="CO980" i="13" s="1"/>
  <c r="CJ980" i="13"/>
  <c r="CK980" i="13" s="1"/>
  <c r="CL980" i="13" s="1" a="1"/>
  <c r="CL980" i="13" s="1"/>
  <c r="BP980" i="13"/>
  <c r="BQ980" i="13" s="1"/>
  <c r="BR980" i="13" s="1" a="1"/>
  <c r="BR980" i="13" s="1"/>
  <c r="CR980" i="13"/>
  <c r="CS980" i="13" s="1"/>
  <c r="CX980" i="13" s="1" a="1"/>
  <c r="CX980" i="13" s="1"/>
  <c r="BT980" i="13"/>
  <c r="BU980" i="13" s="1"/>
  <c r="BX980" i="13"/>
  <c r="BY980" i="13" s="1"/>
  <c r="BZ980" i="13" s="1" a="1"/>
  <c r="BZ980" i="13" s="1"/>
  <c r="CV1007" i="13"/>
  <c r="CW1007" i="13" s="1"/>
  <c r="BX922" i="13"/>
  <c r="BY922" i="13" s="1"/>
  <c r="BZ922" i="13" s="1" a="1"/>
  <c r="BZ922" i="13" s="1"/>
  <c r="CV949" i="13"/>
  <c r="CW949" i="13" s="1"/>
  <c r="CB993" i="13"/>
  <c r="CC993" i="13" s="1"/>
  <c r="CB1009" i="13"/>
  <c r="CC1009" i="13" s="1"/>
  <c r="BP909" i="13"/>
  <c r="BQ909" i="13" s="1"/>
  <c r="BR909" i="13" s="1" a="1"/>
  <c r="BR909" i="13" s="1"/>
  <c r="BX934" i="13"/>
  <c r="BY934" i="13" s="1"/>
  <c r="CN968" i="13"/>
  <c r="CO968" i="13" s="1"/>
  <c r="CJ968" i="13"/>
  <c r="CK968" i="13" s="1"/>
  <c r="CL968" i="13" s="1" a="1"/>
  <c r="CL968" i="13" s="1"/>
  <c r="BP968" i="13"/>
  <c r="BQ968" i="13" s="1"/>
  <c r="BR968" i="13" s="1" a="1"/>
  <c r="BR968" i="13" s="1"/>
  <c r="BT968" i="13"/>
  <c r="BU968" i="13" s="1"/>
  <c r="CR968" i="13"/>
  <c r="CS968" i="13" s="1"/>
  <c r="CX968" i="13" s="1" a="1"/>
  <c r="CX968" i="13" s="1"/>
  <c r="CV882" i="13"/>
  <c r="CW882" i="13" s="1"/>
  <c r="CV920" i="13"/>
  <c r="CW920" i="13" s="1"/>
  <c r="CN965" i="13"/>
  <c r="CO965" i="13" s="1"/>
  <c r="CP965" i="13" s="1" a="1"/>
  <c r="CP965" i="13" s="1"/>
  <c r="CB976" i="13"/>
  <c r="CC976" i="13" s="1"/>
  <c r="BT1004" i="13"/>
  <c r="BU1004" i="13" s="1"/>
  <c r="BT1008" i="13"/>
  <c r="BU1008" i="13" s="1"/>
  <c r="BT1012" i="13"/>
  <c r="BU1012" i="13" s="1"/>
  <c r="BV1012" i="13" s="1" a="1"/>
  <c r="BV1012" i="13" s="1"/>
  <c r="BT1016" i="13"/>
  <c r="BU1016" i="13" s="1"/>
  <c r="BV1016" i="13" s="1" a="1"/>
  <c r="BV1016" i="13" s="1"/>
  <c r="CR1019" i="13"/>
  <c r="CS1019" i="13" s="1"/>
  <c r="CV900" i="13"/>
  <c r="CW900" i="13" s="1"/>
  <c r="CB954" i="13"/>
  <c r="CC954" i="13" s="1"/>
  <c r="BX965" i="13"/>
  <c r="BY965" i="13" s="1"/>
  <c r="BZ965" i="13" s="1" a="1"/>
  <c r="BZ965" i="13" s="1"/>
  <c r="CB980" i="13"/>
  <c r="CC980" i="13" s="1"/>
  <c r="CV1004" i="13"/>
  <c r="CW1004" i="13" s="1"/>
  <c r="BX1009" i="13"/>
  <c r="BY1009" i="13" s="1"/>
  <c r="BZ1009" i="13" s="1" a="1"/>
  <c r="BZ1009" i="13" s="1"/>
  <c r="CN989" i="13"/>
  <c r="CO989" i="13" s="1"/>
  <c r="CP989" i="13" s="1" a="1"/>
  <c r="CP989" i="13" s="1"/>
  <c r="CN998" i="13"/>
  <c r="CO998" i="13" s="1"/>
  <c r="CV981" i="13"/>
  <c r="CW981" i="13" s="1"/>
  <c r="BP98" i="13"/>
  <c r="BQ98" i="13" s="1"/>
  <c r="BX98" i="13"/>
  <c r="BY98" i="13" s="1"/>
  <c r="BT98" i="13"/>
  <c r="BU98" i="13" s="1"/>
  <c r="CB98" i="13"/>
  <c r="CC98" i="13" s="1"/>
  <c r="CD98" i="13" s="1" a="1"/>
  <c r="CD98" i="13" s="1"/>
  <c r="CN104" i="13"/>
  <c r="CO104" i="13" s="1"/>
  <c r="CJ98" i="13"/>
  <c r="CK98" i="13" s="1"/>
  <c r="CL98" i="13" s="1" a="1"/>
  <c r="CL98" i="13" s="1"/>
  <c r="CN110" i="13"/>
  <c r="CO110" i="13" s="1"/>
  <c r="CN91" i="13"/>
  <c r="CO91" i="13" s="1"/>
  <c r="CN48" i="13"/>
  <c r="CO48" i="13" s="1"/>
  <c r="CB39" i="13"/>
  <c r="CC39" i="13" s="1"/>
  <c r="CB45" i="13"/>
  <c r="CC45" i="13" s="1"/>
  <c r="CE45" i="13" s="1" a="1"/>
  <c r="CE45" i="13" s="1"/>
  <c r="CB30" i="13"/>
  <c r="CC30" i="13" s="1"/>
  <c r="CV35" i="13"/>
  <c r="CW35" i="13" s="1"/>
  <c r="CY35" i="13" s="1" a="1"/>
  <c r="CY35" i="13" s="1"/>
  <c r="BX44" i="13"/>
  <c r="BY44" i="13" s="1"/>
  <c r="CD44" i="13" s="1" a="1"/>
  <c r="CD44" i="13" s="1"/>
  <c r="CN33" i="13"/>
  <c r="CO33" i="13" s="1"/>
  <c r="BZ98" i="13" a="1"/>
  <c r="BZ98" i="13" s="1"/>
  <c r="BX94" i="13"/>
  <c r="BY94" i="13" s="1"/>
  <c r="CB48" i="13"/>
  <c r="CC48" i="13" s="1"/>
  <c r="BT44" i="13"/>
  <c r="BU44" i="13" s="1"/>
  <c r="BT29" i="13"/>
  <c r="BU29" i="13" s="1"/>
  <c r="BX25" i="13"/>
  <c r="BY25" i="13" s="1"/>
  <c r="CV94" i="13"/>
  <c r="CW94" i="13" s="1"/>
  <c r="CY94" i="13" s="1" a="1"/>
  <c r="CY94" i="13" s="1"/>
  <c r="CN35" i="13"/>
  <c r="CO35" i="13" s="1"/>
  <c r="CB96" i="13"/>
  <c r="CC96" i="13" s="1"/>
  <c r="CE96" i="13" s="1" a="1"/>
  <c r="CE96" i="13" s="1"/>
  <c r="CN44" i="13"/>
  <c r="CO44" i="13" s="1"/>
  <c r="CR40" i="13"/>
  <c r="CS40" i="13" s="1"/>
  <c r="CB46" i="13"/>
  <c r="CC46" i="13" s="1"/>
  <c r="CB34" i="13"/>
  <c r="CC34" i="13" s="1"/>
  <c r="CB110" i="13"/>
  <c r="CC110" i="13" s="1"/>
  <c r="CE110" i="13" s="1" a="1"/>
  <c r="CE110" i="13" s="1"/>
  <c r="CB90" i="13"/>
  <c r="CC90" i="13" s="1"/>
  <c r="CE90" i="13" s="1" a="1"/>
  <c r="CE90" i="13" s="1"/>
  <c r="BX41" i="13"/>
  <c r="BY41" i="13" s="1"/>
  <c r="CV91" i="13"/>
  <c r="CW91" i="13" s="1"/>
  <c r="CY91" i="13" s="1" a="1"/>
  <c r="CY91" i="13" s="1"/>
  <c r="CB29" i="13"/>
  <c r="CC29" i="13" s="1"/>
  <c r="CV48" i="13"/>
  <c r="CW48" i="13" s="1"/>
  <c r="CY48" i="13" s="1" a="1"/>
  <c r="CY48" i="13" s="1"/>
  <c r="CB36" i="13"/>
  <c r="CC36" i="13" s="1"/>
  <c r="CB47" i="13"/>
  <c r="CC47" i="13" s="1"/>
  <c r="BT25" i="13"/>
  <c r="BU25" i="13" s="1"/>
  <c r="CV52" i="13"/>
  <c r="CW52" i="13" s="1"/>
  <c r="CY52" i="13" s="1" a="1"/>
  <c r="CY52" i="13" s="1"/>
  <c r="CB52" i="13"/>
  <c r="CC52" i="13" s="1"/>
  <c r="CE52" i="13" s="1" a="1"/>
  <c r="CE52" i="13" s="1"/>
  <c r="CV23" i="13"/>
  <c r="CW23" i="13" s="1"/>
  <c r="CY23" i="13" s="1" a="1"/>
  <c r="CY23" i="13" s="1"/>
  <c r="CB23" i="13"/>
  <c r="CC23" i="13" s="1"/>
  <c r="BX110" i="13"/>
  <c r="BY110" i="13" s="1"/>
  <c r="CJ88" i="13"/>
  <c r="CK88" i="13" s="1"/>
  <c r="CL88" i="13" s="1" a="1"/>
  <c r="CL88" i="13" s="1"/>
  <c r="CB54" i="13"/>
  <c r="CC54" i="13" s="1"/>
  <c r="CE54" i="13" s="1" a="1"/>
  <c r="CE54" i="13" s="1"/>
  <c r="BX53" i="13"/>
  <c r="BY53" i="13" s="1"/>
  <c r="BT47" i="13"/>
  <c r="BU47" i="13" s="1"/>
  <c r="BT39" i="13"/>
  <c r="BU39" i="13" s="1"/>
  <c r="BX102" i="13"/>
  <c r="BY102" i="13" s="1"/>
  <c r="BZ102" i="13" s="1" a="1"/>
  <c r="BZ102" i="13" s="1"/>
  <c r="CN94" i="13"/>
  <c r="CO94" i="13" s="1"/>
  <c r="CR88" i="13"/>
  <c r="CS88" i="13" s="1"/>
  <c r="CX88" i="13" s="1" a="1"/>
  <c r="CX88" i="13" s="1"/>
  <c r="BX77" i="13"/>
  <c r="BY77" i="13" s="1"/>
  <c r="CN52" i="13"/>
  <c r="CO52" i="13" s="1"/>
  <c r="BX52" i="13"/>
  <c r="BY52" i="13" s="1"/>
  <c r="CD52" i="13" s="1" a="1"/>
  <c r="CD52" i="13" s="1"/>
  <c r="BX47" i="13"/>
  <c r="BY47" i="13" s="1"/>
  <c r="CB38" i="13"/>
  <c r="CC38" i="13" s="1"/>
  <c r="CE38" i="13" s="1" a="1"/>
  <c r="CE38" i="13" s="1"/>
  <c r="CB94" i="13"/>
  <c r="CC94" i="13" s="1"/>
  <c r="BT87" i="13"/>
  <c r="BU87" i="13" s="1"/>
  <c r="BT94" i="13"/>
  <c r="BU94" i="13" s="1"/>
  <c r="BZ94" i="13" s="1" a="1"/>
  <c r="BZ94" i="13" s="1"/>
  <c r="BT55" i="13"/>
  <c r="BU55" i="13" s="1"/>
  <c r="CN59" i="13"/>
  <c r="CO59" i="13" s="1"/>
  <c r="CV53" i="13"/>
  <c r="CW53" i="13" s="1"/>
  <c r="BT45" i="13"/>
  <c r="BU45" i="13" s="1"/>
  <c r="CR48" i="13"/>
  <c r="CS48" i="13" s="1"/>
  <c r="CT48" i="13" s="1" a="1"/>
  <c r="CT48" i="13" s="1"/>
  <c r="CB43" i="13"/>
  <c r="CC43" i="13" s="1"/>
  <c r="CR35" i="13"/>
  <c r="CS35" i="13" s="1"/>
  <c r="CT35" i="13" s="1" a="1"/>
  <c r="CT35" i="13" s="1"/>
  <c r="CN29" i="13"/>
  <c r="CO29" i="13" s="1"/>
  <c r="BX104" i="13"/>
  <c r="BY104" i="13" s="1"/>
  <c r="BP88" i="13"/>
  <c r="BQ88" i="13" s="1"/>
  <c r="BR88" i="13" s="1" a="1"/>
  <c r="BR88" i="13" s="1"/>
  <c r="BT54" i="13"/>
  <c r="BU54" i="13" s="1"/>
  <c r="CN58" i="13"/>
  <c r="CO58" i="13" s="1"/>
  <c r="CN39" i="13"/>
  <c r="CO39" i="13" s="1"/>
  <c r="CV55" i="13"/>
  <c r="CW55" i="13" s="1"/>
  <c r="CN23" i="13"/>
  <c r="CO23" i="13" s="1"/>
  <c r="BX40" i="13"/>
  <c r="BY40" i="13" s="1"/>
  <c r="BZ40" i="13" s="1" a="1"/>
  <c r="BZ40" i="13" s="1"/>
  <c r="CB25" i="13"/>
  <c r="CC25" i="13" s="1"/>
  <c r="BX29" i="13"/>
  <c r="BY29" i="13" s="1"/>
  <c r="CD29" i="13" s="1" a="1"/>
  <c r="CD29" i="13" s="1"/>
  <c r="CB121" i="13"/>
  <c r="CC121" i="13" s="1"/>
  <c r="CE121" i="13" s="1" a="1"/>
  <c r="CE121" i="13" s="1"/>
  <c r="CV98" i="13"/>
  <c r="CW98" i="13" s="1"/>
  <c r="CY98" i="13" s="1" a="1"/>
  <c r="CY98" i="13" s="1"/>
  <c r="CR77" i="13"/>
  <c r="CS77" i="13" s="1"/>
  <c r="CV34" i="13"/>
  <c r="CW34" i="13" s="1"/>
  <c r="CB41" i="13"/>
  <c r="CC41" i="13" s="1"/>
  <c r="BX30" i="13"/>
  <c r="BY30" i="13" s="1"/>
  <c r="CD30" i="13" s="1" a="1"/>
  <c r="CD30" i="13" s="1"/>
  <c r="CV121" i="13"/>
  <c r="CW121" i="13" s="1"/>
  <c r="CY121" i="13" s="1" a="1"/>
  <c r="CY121" i="13" s="1"/>
  <c r="CN121" i="13"/>
  <c r="CO121" i="13" s="1"/>
  <c r="CR121" i="13"/>
  <c r="CS121" i="13" s="1"/>
  <c r="CN88" i="13"/>
  <c r="CO88" i="13" s="1"/>
  <c r="CN56" i="13"/>
  <c r="CO56" i="13" s="1"/>
  <c r="CV58" i="13"/>
  <c r="CW58" i="13" s="1"/>
  <c r="CY58" i="13" s="1" a="1"/>
  <c r="CY58" i="13" s="1"/>
  <c r="BX59" i="13"/>
  <c r="BY59" i="13" s="1"/>
  <c r="CV57" i="13"/>
  <c r="CW57" i="13" s="1"/>
  <c r="CY57" i="13" s="1" a="1"/>
  <c r="CY57" i="13" s="1"/>
  <c r="BX39" i="13"/>
  <c r="BY39" i="13" s="1"/>
  <c r="BZ39" i="13" s="1" a="1"/>
  <c r="BZ39" i="13" s="1"/>
  <c r="CV31" i="13"/>
  <c r="CW31" i="13" s="1"/>
  <c r="CB24" i="13"/>
  <c r="CC24" i="13" s="1"/>
  <c r="CE24" i="13" s="1" a="1"/>
  <c r="CE24" i="13" s="1"/>
  <c r="CB102" i="13"/>
  <c r="CC102" i="13" s="1"/>
  <c r="CD102" i="13" s="1" a="1"/>
  <c r="CD102" i="13" s="1"/>
  <c r="CV56" i="13"/>
  <c r="CW56" i="13" s="1"/>
  <c r="CY56" i="13" s="1" a="1"/>
  <c r="CY56" i="13" s="1"/>
  <c r="BT23" i="13"/>
  <c r="BU23" i="13" s="1"/>
  <c r="BR98" i="13" a="1"/>
  <c r="BR98" i="13" s="1"/>
  <c r="CJ102" i="13"/>
  <c r="CK102" i="13" s="1"/>
  <c r="CL102" i="13" s="1" a="1"/>
  <c r="CL102" i="13" s="1"/>
  <c r="CN96" i="13"/>
  <c r="CO96" i="13" s="1"/>
  <c r="BX90" i="13"/>
  <c r="BY90" i="13" s="1"/>
  <c r="BX91" i="13"/>
  <c r="BY91" i="13" s="1"/>
  <c r="BX87" i="13"/>
  <c r="BY87" i="13" s="1"/>
  <c r="BZ87" i="13" s="1" a="1"/>
  <c r="BZ87" i="13" s="1"/>
  <c r="CB55" i="13"/>
  <c r="CC55" i="13" s="1"/>
  <c r="CN54" i="13"/>
  <c r="CO54" i="13" s="1"/>
  <c r="BT40" i="13"/>
  <c r="BU40" i="13" s="1"/>
  <c r="CV54" i="13"/>
  <c r="CW54" i="13" s="1"/>
  <c r="CY54" i="13" s="1" a="1"/>
  <c r="CY54" i="13" s="1"/>
  <c r="CB35" i="13"/>
  <c r="CC35" i="13" s="1"/>
  <c r="CE35" i="13" s="1" a="1"/>
  <c r="CE35" i="13" s="1"/>
  <c r="CB37" i="13"/>
  <c r="CC37" i="13" s="1"/>
  <c r="CE37" i="13" s="1" a="1"/>
  <c r="CE37" i="13" s="1"/>
  <c r="CN30" i="13"/>
  <c r="CO30" i="13" s="1"/>
  <c r="CE43" i="13" a="1"/>
  <c r="CE43" i="13" s="1"/>
  <c r="CE102" i="13" a="1"/>
  <c r="CE102" i="13" s="1"/>
  <c r="CY55" i="13" a="1"/>
  <c r="CY55" i="13" s="1"/>
  <c r="BJ105" i="13"/>
  <c r="CN92" i="13"/>
  <c r="CO92" i="13" s="1"/>
  <c r="CV92" i="13"/>
  <c r="CW92" i="13" s="1"/>
  <c r="BT92" i="13"/>
  <c r="BU92" i="13" s="1"/>
  <c r="BJ67" i="13"/>
  <c r="CB67" i="13" s="1"/>
  <c r="CC67" i="13" s="1"/>
  <c r="BJ116" i="13"/>
  <c r="BT116" i="13" s="1"/>
  <c r="BU116" i="13" s="1"/>
  <c r="CJ121" i="13"/>
  <c r="CK121" i="13" s="1"/>
  <c r="CL121" i="13" s="1" a="1"/>
  <c r="CL121" i="13" s="1"/>
  <c r="BP121" i="13"/>
  <c r="BQ121" i="13" s="1"/>
  <c r="BR121" i="13" s="1" a="1"/>
  <c r="BR121" i="13" s="1"/>
  <c r="BJ113" i="13"/>
  <c r="CB113" i="13" s="1"/>
  <c r="CC113" i="13" s="1"/>
  <c r="BJ107" i="13"/>
  <c r="CR107" i="13" s="1"/>
  <c r="CS107" i="13" s="1"/>
  <c r="CR104" i="13"/>
  <c r="CS104" i="13" s="1"/>
  <c r="BP96" i="13"/>
  <c r="BQ96" i="13" s="1"/>
  <c r="BR96" i="13" s="1" a="1"/>
  <c r="BR96" i="13" s="1"/>
  <c r="CJ96" i="13"/>
  <c r="CK96" i="13" s="1"/>
  <c r="CR96" i="13"/>
  <c r="CS96" i="13" s="1"/>
  <c r="CV96" i="13"/>
  <c r="CW96" i="13" s="1"/>
  <c r="CB89" i="13"/>
  <c r="CC89" i="13" s="1"/>
  <c r="CN87" i="13"/>
  <c r="CO87" i="13" s="1"/>
  <c r="CB77" i="13"/>
  <c r="CC77" i="13" s="1"/>
  <c r="CJ37" i="13"/>
  <c r="CK37" i="13" s="1"/>
  <c r="CL37" i="13" s="1" a="1"/>
  <c r="CL37" i="13" s="1"/>
  <c r="BP37" i="13"/>
  <c r="BQ37" i="13" s="1"/>
  <c r="BR37" i="13" s="1" a="1"/>
  <c r="BR37" i="13" s="1"/>
  <c r="CR37" i="13"/>
  <c r="CS37" i="13" s="1"/>
  <c r="CV37" i="13"/>
  <c r="CW37" i="13" s="1"/>
  <c r="BX37" i="13"/>
  <c r="BY37" i="13" s="1"/>
  <c r="CJ43" i="13"/>
  <c r="CK43" i="13" s="1"/>
  <c r="CL43" i="13" s="1" a="1"/>
  <c r="CL43" i="13" s="1"/>
  <c r="CV43" i="13"/>
  <c r="CW43" i="13" s="1"/>
  <c r="BP43" i="13"/>
  <c r="BQ43" i="13" s="1"/>
  <c r="BR43" i="13" s="1" a="1"/>
  <c r="BR43" i="13" s="1"/>
  <c r="CR43" i="13"/>
  <c r="CS43" i="13" s="1"/>
  <c r="CJ22" i="13"/>
  <c r="CK22" i="13" s="1"/>
  <c r="CL22" i="13" s="1" a="1"/>
  <c r="CL22" i="13" s="1"/>
  <c r="BP22" i="13"/>
  <c r="BQ22" i="13" s="1"/>
  <c r="BR22" i="13" s="1" a="1"/>
  <c r="BR22" i="13" s="1"/>
  <c r="CR22" i="13"/>
  <c r="CS22" i="13" s="1"/>
  <c r="CV22" i="13"/>
  <c r="CW22" i="13" s="1"/>
  <c r="BX22" i="13"/>
  <c r="BY22" i="13" s="1"/>
  <c r="CB22" i="13"/>
  <c r="CC22" i="13" s="1"/>
  <c r="CJ33" i="13"/>
  <c r="CK33" i="13" s="1"/>
  <c r="CL33" i="13" s="1" a="1"/>
  <c r="CL33" i="13" s="1"/>
  <c r="BT33" i="13"/>
  <c r="BU33" i="13" s="1"/>
  <c r="BP33" i="13"/>
  <c r="BQ33" i="13" s="1"/>
  <c r="BR33" i="13" s="1" a="1"/>
  <c r="BR33" i="13" s="1"/>
  <c r="CR33" i="13"/>
  <c r="CS33" i="13" s="1"/>
  <c r="CT33" i="13" s="1" a="1"/>
  <c r="CT33" i="13" s="1"/>
  <c r="CB33" i="13"/>
  <c r="CC33" i="13" s="1"/>
  <c r="CV33" i="13"/>
  <c r="CW33" i="13" s="1"/>
  <c r="BX33" i="13"/>
  <c r="BY33" i="13" s="1"/>
  <c r="CE29" i="13" a="1"/>
  <c r="CE29" i="13" s="1"/>
  <c r="BJ119" i="13"/>
  <c r="CB119" i="13" s="1"/>
  <c r="CC119" i="13" s="1"/>
  <c r="CL96" i="13" a="1"/>
  <c r="CL96" i="13" s="1"/>
  <c r="CB49" i="13"/>
  <c r="CC49" i="13" s="1"/>
  <c r="CE34" i="13" a="1"/>
  <c r="CE34" i="13" s="1"/>
  <c r="BJ114" i="13"/>
  <c r="BX114" i="13" s="1"/>
  <c r="BY114" i="13" s="1"/>
  <c r="BJ117" i="13"/>
  <c r="CV117" i="13" s="1"/>
  <c r="CW117" i="13" s="1"/>
  <c r="BJ106" i="13"/>
  <c r="CV106" i="13" s="1"/>
  <c r="CW106" i="13" s="1"/>
  <c r="CV104" i="13"/>
  <c r="CW104" i="13" s="1"/>
  <c r="CD94" i="13" a="1"/>
  <c r="CD94" i="13" s="1"/>
  <c r="BJ100" i="13"/>
  <c r="CR100" i="13" s="1"/>
  <c r="CS100" i="13" s="1"/>
  <c r="CB91" i="13"/>
  <c r="CC91" i="13" s="1"/>
  <c r="CB87" i="13"/>
  <c r="CC87" i="13" s="1"/>
  <c r="BP110" i="13"/>
  <c r="BQ110" i="13" s="1"/>
  <c r="BR110" i="13" s="1" a="1"/>
  <c r="BR110" i="13" s="1"/>
  <c r="BT110" i="13"/>
  <c r="BU110" i="13" s="1"/>
  <c r="CV110" i="13"/>
  <c r="CW110" i="13" s="1"/>
  <c r="CJ110" i="13"/>
  <c r="CK110" i="13" s="1"/>
  <c r="CL110" i="13" s="1" a="1"/>
  <c r="CL110" i="13" s="1"/>
  <c r="BJ86" i="13"/>
  <c r="CR86" i="13" s="1"/>
  <c r="CS86" i="13" s="1"/>
  <c r="CE98" i="13" a="1"/>
  <c r="CE98" i="13" s="1"/>
  <c r="BP92" i="13"/>
  <c r="BQ92" i="13" s="1"/>
  <c r="BR92" i="13" s="1" a="1"/>
  <c r="BR92" i="13" s="1"/>
  <c r="CB88" i="13"/>
  <c r="CC88" i="13" s="1"/>
  <c r="CR98" i="13"/>
  <c r="CS98" i="13" s="1"/>
  <c r="CX98" i="13" s="1" a="1"/>
  <c r="CX98" i="13" s="1"/>
  <c r="CB57" i="13"/>
  <c r="CC57" i="13" s="1"/>
  <c r="BJ64" i="13"/>
  <c r="BT64" i="13" s="1"/>
  <c r="BU64" i="13" s="1"/>
  <c r="CN42" i="13"/>
  <c r="CO42" i="13" s="1"/>
  <c r="CE48" i="13" a="1"/>
  <c r="CE48" i="13" s="1"/>
  <c r="CJ26" i="13"/>
  <c r="CK26" i="13" s="1"/>
  <c r="CL26" i="13" s="1" a="1"/>
  <c r="CL26" i="13" s="1"/>
  <c r="CV26" i="13"/>
  <c r="CW26" i="13" s="1"/>
  <c r="BP26" i="13"/>
  <c r="BQ26" i="13" s="1"/>
  <c r="BR26" i="13" s="1" a="1"/>
  <c r="BR26" i="13" s="1"/>
  <c r="BX26" i="13"/>
  <c r="BY26" i="13" s="1"/>
  <c r="CR26" i="13"/>
  <c r="CS26" i="13" s="1"/>
  <c r="CN26" i="13"/>
  <c r="CO26" i="13" s="1"/>
  <c r="CB26" i="13"/>
  <c r="CC26" i="13" s="1"/>
  <c r="CB28" i="13"/>
  <c r="CC28" i="13" s="1"/>
  <c r="CV36" i="13"/>
  <c r="CW36" i="13" s="1"/>
  <c r="BT113" i="13"/>
  <c r="BU113" i="13" s="1"/>
  <c r="BX121" i="13"/>
  <c r="BY121" i="13" s="1"/>
  <c r="BZ121" i="13" s="1" a="1"/>
  <c r="BZ121" i="13" s="1"/>
  <c r="BJ111" i="13"/>
  <c r="BT105" i="13"/>
  <c r="BU105" i="13" s="1"/>
  <c r="CN102" i="13"/>
  <c r="CO102" i="13" s="1"/>
  <c r="CV102" i="13"/>
  <c r="CW102" i="13" s="1"/>
  <c r="CR102" i="13"/>
  <c r="CS102" i="13" s="1"/>
  <c r="BP105" i="13"/>
  <c r="BQ105" i="13" s="1"/>
  <c r="BR105" i="13" s="1" a="1"/>
  <c r="BR105" i="13" s="1"/>
  <c r="CJ105" i="13"/>
  <c r="CK105" i="13" s="1"/>
  <c r="CL105" i="13" s="1" a="1"/>
  <c r="CL105" i="13" s="1"/>
  <c r="CE94" i="13" a="1"/>
  <c r="CE94" i="13" s="1"/>
  <c r="BJ95" i="13"/>
  <c r="BT95" i="13" s="1"/>
  <c r="BU95" i="13" s="1"/>
  <c r="BX92" i="13"/>
  <c r="BY92" i="13" s="1"/>
  <c r="BT96" i="13"/>
  <c r="BU96" i="13" s="1"/>
  <c r="BV96" i="13" s="1" a="1"/>
  <c r="BV96" i="13" s="1"/>
  <c r="BP86" i="13"/>
  <c r="BQ86" i="13" s="1"/>
  <c r="BR86" i="13" s="1" a="1"/>
  <c r="BR86" i="13" s="1"/>
  <c r="CR92" i="13"/>
  <c r="CS92" i="13" s="1"/>
  <c r="CT92" i="13" s="1" a="1"/>
  <c r="CT92" i="13" s="1"/>
  <c r="BJ101" i="13"/>
  <c r="BX101" i="13" s="1"/>
  <c r="BY101" i="13" s="1"/>
  <c r="CB92" i="13"/>
  <c r="CC92" i="13" s="1"/>
  <c r="BJ71" i="13"/>
  <c r="CR71" i="13" s="1"/>
  <c r="CS71" i="13" s="1"/>
  <c r="CJ51" i="13"/>
  <c r="CK51" i="13" s="1"/>
  <c r="CL51" i="13" s="1" a="1"/>
  <c r="CL51" i="13" s="1"/>
  <c r="BP51" i="13"/>
  <c r="BQ51" i="13" s="1"/>
  <c r="BR51" i="13" s="1" a="1"/>
  <c r="BR51" i="13" s="1"/>
  <c r="BX51" i="13"/>
  <c r="BY51" i="13" s="1"/>
  <c r="CR51" i="13"/>
  <c r="CS51" i="13" s="1"/>
  <c r="CX51" i="13" s="1" a="1"/>
  <c r="CX51" i="13" s="1"/>
  <c r="BT51" i="13"/>
  <c r="BU51" i="13" s="1"/>
  <c r="CB51" i="13"/>
  <c r="CC51" i="13" s="1"/>
  <c r="BT27" i="13"/>
  <c r="BU27" i="13" s="1"/>
  <c r="CN24" i="13"/>
  <c r="CO24" i="13" s="1"/>
  <c r="CE31" i="13" a="1"/>
  <c r="CE31" i="13" s="1"/>
  <c r="CE30" i="13" a="1"/>
  <c r="CE30" i="13" s="1"/>
  <c r="CJ119" i="13"/>
  <c r="CK119" i="13" s="1"/>
  <c r="CL119" i="13" s="1" a="1"/>
  <c r="CL119" i="13" s="1"/>
  <c r="BP119" i="13"/>
  <c r="BQ119" i="13" s="1"/>
  <c r="BR119" i="13" s="1" a="1"/>
  <c r="BR119" i="13" s="1"/>
  <c r="CE58" i="13" a="1"/>
  <c r="CE58" i="13" s="1"/>
  <c r="CD58" i="13" a="1"/>
  <c r="CD58" i="13" s="1"/>
  <c r="BJ118" i="13"/>
  <c r="CB118" i="13" s="1"/>
  <c r="CC118" i="13" s="1"/>
  <c r="BJ115" i="13"/>
  <c r="CB115" i="13" s="1"/>
  <c r="CC115" i="13" s="1"/>
  <c r="CV113" i="13"/>
  <c r="CW113" i="13" s="1"/>
  <c r="CR111" i="13"/>
  <c r="CS111" i="13" s="1"/>
  <c r="CB104" i="13"/>
  <c r="CC104" i="13" s="1"/>
  <c r="BX119" i="13"/>
  <c r="BY119" i="13" s="1"/>
  <c r="CN98" i="13"/>
  <c r="CO98" i="13" s="1"/>
  <c r="BX96" i="13"/>
  <c r="BY96" i="13" s="1"/>
  <c r="CN89" i="13"/>
  <c r="CO89" i="13" s="1"/>
  <c r="CV67" i="13"/>
  <c r="CW67" i="13" s="1"/>
  <c r="CE55" i="13" a="1"/>
  <c r="CE55" i="13" s="1"/>
  <c r="CB50" i="13"/>
  <c r="CC50" i="13" s="1"/>
  <c r="CV50" i="13"/>
  <c r="CW50" i="13" s="1"/>
  <c r="CR53" i="13"/>
  <c r="CS53" i="13" s="1"/>
  <c r="CE39" i="13" a="1"/>
  <c r="CE39" i="13" s="1"/>
  <c r="CX48" i="13" a="1"/>
  <c r="CX48" i="13" s="1"/>
  <c r="BX46" i="13"/>
  <c r="BY46" i="13" s="1"/>
  <c r="CD46" i="13" s="1" a="1"/>
  <c r="CD46" i="13" s="1"/>
  <c r="CY34" i="13" a="1"/>
  <c r="CY34" i="13" s="1"/>
  <c r="BX24" i="13"/>
  <c r="BY24" i="13" s="1"/>
  <c r="CD24" i="13" s="1" a="1"/>
  <c r="CD24" i="13" s="1"/>
  <c r="CJ32" i="13"/>
  <c r="CK32" i="13" s="1"/>
  <c r="CL32" i="13" s="1" a="1"/>
  <c r="CL32" i="13" s="1"/>
  <c r="BT32" i="13"/>
  <c r="BU32" i="13" s="1"/>
  <c r="BP32" i="13"/>
  <c r="BQ32" i="13" s="1"/>
  <c r="BR32" i="13" s="1" a="1"/>
  <c r="BR32" i="13" s="1"/>
  <c r="CR32" i="13"/>
  <c r="CS32" i="13" s="1"/>
  <c r="CV32" i="13"/>
  <c r="CW32" i="13" s="1"/>
  <c r="CB32" i="13"/>
  <c r="CC32" i="13" s="1"/>
  <c r="BX32" i="13"/>
  <c r="BY32" i="13" s="1"/>
  <c r="CN32" i="13"/>
  <c r="CO32" i="13" s="1"/>
  <c r="CP32" i="13" s="1" a="1"/>
  <c r="CP32" i="13" s="1"/>
  <c r="CY31" i="13" a="1"/>
  <c r="CY31" i="13" s="1"/>
  <c r="BX43" i="13"/>
  <c r="BY43" i="13" s="1"/>
  <c r="CN119" i="13"/>
  <c r="CO119" i="13" s="1"/>
  <c r="BJ108" i="13"/>
  <c r="CJ108" i="13" s="1"/>
  <c r="CK108" i="13" s="1"/>
  <c r="CL108" i="13" s="1" a="1"/>
  <c r="CL108" i="13" s="1"/>
  <c r="BJ120" i="13"/>
  <c r="CN120" i="13" s="1"/>
  <c r="CO120" i="13" s="1"/>
  <c r="CJ91" i="13"/>
  <c r="CK91" i="13" s="1"/>
  <c r="CP91" i="13" s="1" a="1"/>
  <c r="CP91" i="13" s="1"/>
  <c r="BT91" i="13"/>
  <c r="BU91" i="13" s="1"/>
  <c r="BZ91" i="13" s="1" a="1"/>
  <c r="BZ91" i="13" s="1"/>
  <c r="BP91" i="13"/>
  <c r="BQ91" i="13" s="1"/>
  <c r="BR91" i="13" s="1" a="1"/>
  <c r="BR91" i="13" s="1"/>
  <c r="CR91" i="13"/>
  <c r="CS91" i="13" s="1"/>
  <c r="BT22" i="13"/>
  <c r="BU22" i="13" s="1"/>
  <c r="BJ112" i="13"/>
  <c r="BX112" i="13" s="1"/>
  <c r="BY112" i="13" s="1"/>
  <c r="CN113" i="13"/>
  <c r="CO113" i="13" s="1"/>
  <c r="CV115" i="13"/>
  <c r="CW115" i="13" s="1"/>
  <c r="BP118" i="13"/>
  <c r="BQ118" i="13" s="1"/>
  <c r="BR118" i="13" s="1" a="1"/>
  <c r="BR118" i="13" s="1"/>
  <c r="CN105" i="13"/>
  <c r="CO105" i="13" s="1"/>
  <c r="BT111" i="13"/>
  <c r="BU111" i="13" s="1"/>
  <c r="CB105" i="13"/>
  <c r="CC105" i="13" s="1"/>
  <c r="BT100" i="13"/>
  <c r="BU100" i="13" s="1"/>
  <c r="BJ109" i="13"/>
  <c r="CB109" i="13" s="1"/>
  <c r="CC109" i="13" s="1"/>
  <c r="BP102" i="13"/>
  <c r="BQ102" i="13" s="1"/>
  <c r="BR102" i="13" s="1" a="1"/>
  <c r="BR102" i="13" s="1"/>
  <c r="CB93" i="13"/>
  <c r="CC93" i="13" s="1"/>
  <c r="CJ104" i="13"/>
  <c r="CK104" i="13" s="1"/>
  <c r="CL104" i="13" s="1" a="1"/>
  <c r="CL104" i="13" s="1"/>
  <c r="BP104" i="13"/>
  <c r="BQ104" i="13" s="1"/>
  <c r="BR104" i="13" s="1" a="1"/>
  <c r="BR104" i="13" s="1"/>
  <c r="BT104" i="13"/>
  <c r="BU104" i="13" s="1"/>
  <c r="CJ89" i="13"/>
  <c r="CK89" i="13" s="1"/>
  <c r="CL89" i="13" s="1" a="1"/>
  <c r="CL89" i="13" s="1"/>
  <c r="BT89" i="13"/>
  <c r="BU89" i="13" s="1"/>
  <c r="BP89" i="13"/>
  <c r="BQ89" i="13" s="1"/>
  <c r="BR89" i="13" s="1" a="1"/>
  <c r="BR89" i="13" s="1"/>
  <c r="CR89" i="13"/>
  <c r="CS89" i="13" s="1"/>
  <c r="BX89" i="13"/>
  <c r="BY89" i="13" s="1"/>
  <c r="CV89" i="13"/>
  <c r="CW89" i="13" s="1"/>
  <c r="BJ83" i="13"/>
  <c r="CN83" i="13" s="1"/>
  <c r="CO83" i="13" s="1"/>
  <c r="BJ81" i="13"/>
  <c r="CV81" i="13" s="1"/>
  <c r="CW81" i="13" s="1"/>
  <c r="CJ87" i="13"/>
  <c r="CK87" i="13" s="1"/>
  <c r="CL87" i="13" s="1" a="1"/>
  <c r="CL87" i="13" s="1"/>
  <c r="BP87" i="13"/>
  <c r="BQ87" i="13" s="1"/>
  <c r="BR87" i="13" s="1" a="1"/>
  <c r="BR87" i="13" s="1"/>
  <c r="CR87" i="13"/>
  <c r="CS87" i="13" s="1"/>
  <c r="CT87" i="13" s="1" a="1"/>
  <c r="CT87" i="13" s="1"/>
  <c r="CV87" i="13"/>
  <c r="CW87" i="13" s="1"/>
  <c r="CE44" i="13" a="1"/>
  <c r="CE44" i="13" s="1"/>
  <c r="BT109" i="13"/>
  <c r="BU109" i="13" s="1"/>
  <c r="CE36" i="13" a="1"/>
  <c r="CE36" i="13" s="1"/>
  <c r="CV119" i="13"/>
  <c r="CW119" i="13" s="1"/>
  <c r="CR105" i="13"/>
  <c r="CS105" i="13" s="1"/>
  <c r="CT105" i="13" s="1" a="1"/>
  <c r="CT105" i="13" s="1"/>
  <c r="CJ92" i="13"/>
  <c r="CK92" i="13" s="1"/>
  <c r="CL92" i="13" s="1" a="1"/>
  <c r="CL92" i="13" s="1"/>
  <c r="CR113" i="13"/>
  <c r="CS113" i="13" s="1"/>
  <c r="CR110" i="13"/>
  <c r="CS110" i="13" s="1"/>
  <c r="CT110" i="13" s="1" a="1"/>
  <c r="CT110" i="13" s="1"/>
  <c r="CV111" i="13"/>
  <c r="CW111" i="13" s="1"/>
  <c r="BJ99" i="13"/>
  <c r="BP99" i="13" s="1"/>
  <c r="BQ99" i="13" s="1"/>
  <c r="BR99" i="13" s="1" a="1"/>
  <c r="BR99" i="13" s="1"/>
  <c r="CJ93" i="13"/>
  <c r="CK93" i="13" s="1"/>
  <c r="CL93" i="13" s="1" a="1"/>
  <c r="CL93" i="13" s="1"/>
  <c r="CR93" i="13"/>
  <c r="CS93" i="13" s="1"/>
  <c r="BT93" i="13"/>
  <c r="BU93" i="13" s="1"/>
  <c r="BZ93" i="13" s="1" a="1"/>
  <c r="BZ93" i="13" s="1"/>
  <c r="BP93" i="13"/>
  <c r="BQ93" i="13" s="1"/>
  <c r="BR93" i="13" s="1" a="1"/>
  <c r="BR93" i="13" s="1"/>
  <c r="CN93" i="13"/>
  <c r="CO93" i="13" s="1"/>
  <c r="CV93" i="13"/>
  <c r="CW93" i="13" s="1"/>
  <c r="CN101" i="13"/>
  <c r="CO101" i="13" s="1"/>
  <c r="CJ60" i="13"/>
  <c r="CK60" i="13" s="1"/>
  <c r="CL60" i="13" s="1" a="1"/>
  <c r="CL60" i="13" s="1"/>
  <c r="CR60" i="13"/>
  <c r="CS60" i="13" s="1"/>
  <c r="BP60" i="13"/>
  <c r="BQ60" i="13" s="1"/>
  <c r="BR60" i="13" s="1" a="1"/>
  <c r="BR60" i="13" s="1"/>
  <c r="BX60" i="13"/>
  <c r="BY60" i="13" s="1"/>
  <c r="CE46" i="13" a="1"/>
  <c r="CE46" i="13" s="1"/>
  <c r="CJ27" i="13"/>
  <c r="CK27" i="13" s="1"/>
  <c r="CL27" i="13" s="1" a="1"/>
  <c r="CL27" i="13" s="1"/>
  <c r="CV27" i="13"/>
  <c r="CW27" i="13" s="1"/>
  <c r="BP27" i="13"/>
  <c r="BQ27" i="13" s="1"/>
  <c r="BR27" i="13" s="1" a="1"/>
  <c r="BR27" i="13" s="1"/>
  <c r="CR27" i="13"/>
  <c r="CS27" i="13" s="1"/>
  <c r="CB27" i="13"/>
  <c r="CC27" i="13" s="1"/>
  <c r="BX27" i="13"/>
  <c r="BY27" i="13" s="1"/>
  <c r="CN27" i="13"/>
  <c r="CO27" i="13" s="1"/>
  <c r="CE23" i="13" a="1"/>
  <c r="CE23" i="13" s="1"/>
  <c r="CD41" i="13" a="1"/>
  <c r="CD41" i="13" s="1"/>
  <c r="CE41" i="13" a="1"/>
  <c r="CE41" i="13" s="1"/>
  <c r="BT88" i="13"/>
  <c r="BU88" i="13" s="1"/>
  <c r="BV88" i="13" s="1" a="1"/>
  <c r="BV88" i="13" s="1"/>
  <c r="BX88" i="13"/>
  <c r="BY88" i="13" s="1"/>
  <c r="BJ103" i="13"/>
  <c r="BP103" i="13" s="1"/>
  <c r="BQ103" i="13" s="1"/>
  <c r="BR103" i="13" s="1" a="1"/>
  <c r="BR103" i="13" s="1"/>
  <c r="CJ77" i="13"/>
  <c r="CK77" i="13" s="1"/>
  <c r="CL77" i="13" s="1" a="1"/>
  <c r="CL77" i="13" s="1"/>
  <c r="BP77" i="13"/>
  <c r="BQ77" i="13" s="1"/>
  <c r="BR77" i="13" s="1" a="1"/>
  <c r="BR77" i="13" s="1"/>
  <c r="CV77" i="13"/>
  <c r="CW77" i="13" s="1"/>
  <c r="CR90" i="13"/>
  <c r="CS90" i="13" s="1"/>
  <c r="BP90" i="13"/>
  <c r="BQ90" i="13" s="1"/>
  <c r="BR90" i="13" s="1" a="1"/>
  <c r="BR90" i="13" s="1"/>
  <c r="CJ90" i="13"/>
  <c r="CK90" i="13" s="1"/>
  <c r="CL90" i="13" s="1" a="1"/>
  <c r="CL90" i="13" s="1"/>
  <c r="CV90" i="13"/>
  <c r="CW90" i="13" s="1"/>
  <c r="BT90" i="13"/>
  <c r="BU90" i="13" s="1"/>
  <c r="BZ90" i="13" s="1" a="1"/>
  <c r="BZ90" i="13" s="1"/>
  <c r="CN90" i="13"/>
  <c r="CO90" i="13" s="1"/>
  <c r="CB59" i="13"/>
  <c r="CC59" i="13" s="1"/>
  <c r="BJ79" i="13"/>
  <c r="CJ79" i="13" s="1"/>
  <c r="CK79" i="13" s="1"/>
  <c r="CL79" i="13" s="1" a="1"/>
  <c r="CL79" i="13" s="1"/>
  <c r="BJ69" i="13"/>
  <c r="BX69" i="13" s="1"/>
  <c r="BY69" i="13" s="1"/>
  <c r="CB53" i="13"/>
  <c r="CC53" i="13" s="1"/>
  <c r="BX54" i="13"/>
  <c r="BY54" i="13" s="1"/>
  <c r="BZ54" i="13" s="1" a="1"/>
  <c r="BZ54" i="13" s="1"/>
  <c r="BT41" i="13"/>
  <c r="BU41" i="13" s="1"/>
  <c r="BZ41" i="13" s="1" a="1"/>
  <c r="BZ41" i="13" s="1"/>
  <c r="CN45" i="13"/>
  <c r="CO45" i="13" s="1"/>
  <c r="CN36" i="13"/>
  <c r="CO36" i="13" s="1"/>
  <c r="CJ50" i="13"/>
  <c r="CK50" i="13" s="1"/>
  <c r="CL50" i="13" s="1" a="1"/>
  <c r="CL50" i="13" s="1"/>
  <c r="BP50" i="13"/>
  <c r="BQ50" i="13" s="1"/>
  <c r="BR50" i="13" s="1" a="1"/>
  <c r="BR50" i="13" s="1"/>
  <c r="BX50" i="13"/>
  <c r="BY50" i="13" s="1"/>
  <c r="BT50" i="13"/>
  <c r="BU50" i="13" s="1"/>
  <c r="CJ49" i="13"/>
  <c r="CK49" i="13" s="1"/>
  <c r="CL49" i="13" s="1" a="1"/>
  <c r="CL49" i="13" s="1"/>
  <c r="CV49" i="13"/>
  <c r="CW49" i="13" s="1"/>
  <c r="BX49" i="13"/>
  <c r="BY49" i="13" s="1"/>
  <c r="BP49" i="13"/>
  <c r="BQ49" i="13" s="1"/>
  <c r="BR49" i="13" s="1" a="1"/>
  <c r="BR49" i="13" s="1"/>
  <c r="CJ36" i="13"/>
  <c r="CK36" i="13" s="1"/>
  <c r="CL36" i="13" s="1" a="1"/>
  <c r="CL36" i="13" s="1"/>
  <c r="BP36" i="13"/>
  <c r="BQ36" i="13" s="1"/>
  <c r="BR36" i="13" s="1" a="1"/>
  <c r="BR36" i="13" s="1"/>
  <c r="BX36" i="13"/>
  <c r="BY36" i="13" s="1"/>
  <c r="CD36" i="13" s="1" a="1"/>
  <c r="CD36" i="13" s="1"/>
  <c r="CJ46" i="13"/>
  <c r="CK46" i="13" s="1"/>
  <c r="CL46" i="13" s="1" a="1"/>
  <c r="CL46" i="13" s="1"/>
  <c r="CV46" i="13"/>
  <c r="CW46" i="13" s="1"/>
  <c r="BP46" i="13"/>
  <c r="BQ46" i="13" s="1"/>
  <c r="BR46" i="13" s="1" a="1"/>
  <c r="BR46" i="13" s="1"/>
  <c r="CR46" i="13"/>
  <c r="CS46" i="13" s="1"/>
  <c r="CV47" i="13"/>
  <c r="CW47" i="13" s="1"/>
  <c r="CR36" i="13"/>
  <c r="CS36" i="13" s="1"/>
  <c r="BP100" i="13"/>
  <c r="BQ100" i="13" s="1"/>
  <c r="BR100" i="13" s="1" a="1"/>
  <c r="BR100" i="13" s="1"/>
  <c r="BX81" i="13"/>
  <c r="BY81" i="13" s="1"/>
  <c r="BJ82" i="13"/>
  <c r="BP82" i="13" s="1"/>
  <c r="BQ82" i="13" s="1"/>
  <c r="BR82" i="13" s="1" a="1"/>
  <c r="BR82" i="13" s="1"/>
  <c r="BJ84" i="13"/>
  <c r="BT84" i="13" s="1"/>
  <c r="BU84" i="13" s="1"/>
  <c r="CB56" i="13"/>
  <c r="CC56" i="13" s="1"/>
  <c r="CV60" i="13"/>
  <c r="CW60" i="13" s="1"/>
  <c r="CN53" i="13"/>
  <c r="CO53" i="13" s="1"/>
  <c r="BJ70" i="13"/>
  <c r="CV70" i="13" s="1"/>
  <c r="CW70" i="13" s="1"/>
  <c r="BJ63" i="13"/>
  <c r="BT63" i="13" s="1"/>
  <c r="BU63" i="13" s="1"/>
  <c r="CB69" i="13"/>
  <c r="CC69" i="13" s="1"/>
  <c r="BX56" i="13"/>
  <c r="BY56" i="13" s="1"/>
  <c r="BJ75" i="13"/>
  <c r="BP75" i="13" s="1"/>
  <c r="BQ75" i="13" s="1"/>
  <c r="BR75" i="13" s="1" a="1"/>
  <c r="BR75" i="13" s="1"/>
  <c r="BT38" i="13"/>
  <c r="BU38" i="13" s="1"/>
  <c r="CN47" i="13"/>
  <c r="CO47" i="13" s="1"/>
  <c r="CN41" i="13"/>
  <c r="CO41" i="13" s="1"/>
  <c r="CJ55" i="13"/>
  <c r="CK55" i="13" s="1"/>
  <c r="CL55" i="13" s="1" a="1"/>
  <c r="CL55" i="13" s="1"/>
  <c r="BP55" i="13"/>
  <c r="BQ55" i="13" s="1"/>
  <c r="BR55" i="13" s="1" a="1"/>
  <c r="BR55" i="13" s="1"/>
  <c r="CR55" i="13"/>
  <c r="CS55" i="13" s="1"/>
  <c r="CT55" i="13" s="1" a="1"/>
  <c r="CT55" i="13" s="1"/>
  <c r="CJ40" i="13"/>
  <c r="CK40" i="13" s="1"/>
  <c r="CL40" i="13" s="1" a="1"/>
  <c r="CL40" i="13" s="1"/>
  <c r="BP40" i="13"/>
  <c r="BQ40" i="13" s="1"/>
  <c r="CV40" i="13"/>
  <c r="CW40" i="13" s="1"/>
  <c r="CJ52" i="13"/>
  <c r="CK52" i="13" s="1"/>
  <c r="CL52" i="13" s="1" a="1"/>
  <c r="CL52" i="13" s="1"/>
  <c r="BP52" i="13"/>
  <c r="BQ52" i="13" s="1"/>
  <c r="BR52" i="13" s="1" a="1"/>
  <c r="BR52" i="13" s="1"/>
  <c r="CR52" i="13"/>
  <c r="CS52" i="13" s="1"/>
  <c r="BT52" i="13"/>
  <c r="BU52" i="13" s="1"/>
  <c r="BT26" i="13"/>
  <c r="BU26" i="13" s="1"/>
  <c r="BV26" i="13" s="1" a="1"/>
  <c r="BV26" i="13" s="1"/>
  <c r="CB42" i="13"/>
  <c r="CC42" i="13" s="1"/>
  <c r="CJ38" i="13"/>
  <c r="CK38" i="13" s="1"/>
  <c r="CL38" i="13" s="1" a="1"/>
  <c r="CL38" i="13" s="1"/>
  <c r="BX38" i="13"/>
  <c r="BY38" i="13" s="1"/>
  <c r="BZ38" i="13" s="1" a="1"/>
  <c r="BZ38" i="13" s="1"/>
  <c r="BP38" i="13"/>
  <c r="BQ38" i="13" s="1"/>
  <c r="BR38" i="13" s="1" a="1"/>
  <c r="BR38" i="13" s="1"/>
  <c r="CJ44" i="13"/>
  <c r="CK44" i="13" s="1"/>
  <c r="CL44" i="13" s="1" a="1"/>
  <c r="CL44" i="13" s="1"/>
  <c r="CV44" i="13"/>
  <c r="CW44" i="13" s="1"/>
  <c r="BP44" i="13"/>
  <c r="BQ44" i="13" s="1"/>
  <c r="BR44" i="13" s="1" a="1"/>
  <c r="BR44" i="13" s="1"/>
  <c r="CR44" i="13"/>
  <c r="CS44" i="13" s="1"/>
  <c r="CT44" i="13" s="1" a="1"/>
  <c r="CT44" i="13" s="1"/>
  <c r="CN31" i="13"/>
  <c r="CO31" i="13" s="1"/>
  <c r="CJ59" i="13"/>
  <c r="CK59" i="13" s="1"/>
  <c r="CL59" i="13" s="1" a="1"/>
  <c r="CL59" i="13" s="1"/>
  <c r="BP59" i="13"/>
  <c r="BQ59" i="13" s="1"/>
  <c r="BR59" i="13" s="1" a="1"/>
  <c r="BR59" i="13" s="1"/>
  <c r="CR59" i="13"/>
  <c r="CS59" i="13" s="1"/>
  <c r="CJ23" i="13"/>
  <c r="CK23" i="13" s="1"/>
  <c r="CL23" i="13" s="1" a="1"/>
  <c r="CL23" i="13" s="1"/>
  <c r="BP23" i="13"/>
  <c r="BQ23" i="13" s="1"/>
  <c r="BR23" i="13" s="1" a="1"/>
  <c r="BR23" i="13" s="1"/>
  <c r="BX23" i="13"/>
  <c r="BY23" i="13" s="1"/>
  <c r="CR23" i="13"/>
  <c r="CS23" i="13" s="1"/>
  <c r="CT23" i="13" s="1" a="1"/>
  <c r="CT23" i="13" s="1"/>
  <c r="BJ97" i="13"/>
  <c r="CB97" i="13" s="1"/>
  <c r="CC97" i="13" s="1"/>
  <c r="BJ78" i="13"/>
  <c r="CB78" i="13" s="1"/>
  <c r="CC78" i="13" s="1"/>
  <c r="BJ73" i="13"/>
  <c r="CV73" i="13" s="1"/>
  <c r="CW73" i="13" s="1"/>
  <c r="BT60" i="13"/>
  <c r="BU60" i="13" s="1"/>
  <c r="CN60" i="13"/>
  <c r="CO60" i="13" s="1"/>
  <c r="BX71" i="13"/>
  <c r="BY71" i="13" s="1"/>
  <c r="BJ66" i="13"/>
  <c r="CB66" i="13" s="1"/>
  <c r="CC66" i="13" s="1"/>
  <c r="CN69" i="13"/>
  <c r="CO69" i="13" s="1"/>
  <c r="BT48" i="13"/>
  <c r="BU48" i="13" s="1"/>
  <c r="BT37" i="13"/>
  <c r="BU37" i="13" s="1"/>
  <c r="CN40" i="13"/>
  <c r="CO40" i="13" s="1"/>
  <c r="BT49" i="13"/>
  <c r="BU49" i="13" s="1"/>
  <c r="BX55" i="13"/>
  <c r="BY55" i="13" s="1"/>
  <c r="BZ55" i="13" s="1" a="1"/>
  <c r="BZ55" i="13" s="1"/>
  <c r="CJ41" i="13"/>
  <c r="CK41" i="13" s="1"/>
  <c r="CL41" i="13" s="1" a="1"/>
  <c r="CL41" i="13" s="1"/>
  <c r="CV41" i="13"/>
  <c r="CW41" i="13" s="1"/>
  <c r="BP41" i="13"/>
  <c r="BQ41" i="13" s="1"/>
  <c r="BR41" i="13" s="1" a="1"/>
  <c r="BR41" i="13" s="1"/>
  <c r="CR41" i="13"/>
  <c r="CS41" i="13" s="1"/>
  <c r="BT35" i="13"/>
  <c r="BU35" i="13" s="1"/>
  <c r="CJ35" i="13"/>
  <c r="CK35" i="13" s="1"/>
  <c r="CL35" i="13" s="1" a="1"/>
  <c r="CL35" i="13" s="1"/>
  <c r="BP35" i="13"/>
  <c r="BQ35" i="13" s="1"/>
  <c r="BR35" i="13" s="1" a="1"/>
  <c r="BR35" i="13" s="1"/>
  <c r="CN25" i="13"/>
  <c r="CO25" i="13" s="1"/>
  <c r="CV38" i="13"/>
  <c r="CW38" i="13" s="1"/>
  <c r="BJ85" i="13"/>
  <c r="BP85" i="13" s="1"/>
  <c r="BQ85" i="13" s="1"/>
  <c r="BR85" i="13" s="1" a="1"/>
  <c r="BR85" i="13" s="1"/>
  <c r="BP94" i="13"/>
  <c r="BQ94" i="13" s="1"/>
  <c r="BR94" i="13" s="1" a="1"/>
  <c r="BR94" i="13" s="1"/>
  <c r="CJ94" i="13"/>
  <c r="CK94" i="13" s="1"/>
  <c r="CP94" i="13" s="1" a="1"/>
  <c r="CP94" i="13" s="1"/>
  <c r="CR94" i="13"/>
  <c r="CS94" i="13" s="1"/>
  <c r="CT94" i="13" s="1" a="1"/>
  <c r="CT94" i="13" s="1"/>
  <c r="BJ80" i="13"/>
  <c r="BT80" i="13" s="1"/>
  <c r="BU80" i="13" s="1"/>
  <c r="BP69" i="13"/>
  <c r="BQ69" i="13" s="1"/>
  <c r="BR69" i="13" s="1" a="1"/>
  <c r="BR69" i="13" s="1"/>
  <c r="CJ69" i="13"/>
  <c r="CK69" i="13" s="1"/>
  <c r="CL69" i="13" s="1" a="1"/>
  <c r="CL69" i="13" s="1"/>
  <c r="CN81" i="13"/>
  <c r="CO81" i="13" s="1"/>
  <c r="CN77" i="13"/>
  <c r="CO77" i="13" s="1"/>
  <c r="CP77" i="13" s="1" a="1"/>
  <c r="CP77" i="13" s="1"/>
  <c r="BJ72" i="13"/>
  <c r="BT72" i="13" s="1"/>
  <c r="BU72" i="13" s="1"/>
  <c r="BP71" i="13"/>
  <c r="BQ71" i="13" s="1"/>
  <c r="BR71" i="13" s="1" a="1"/>
  <c r="BR71" i="13" s="1"/>
  <c r="BT59" i="13"/>
  <c r="BU59" i="13" s="1"/>
  <c r="CN51" i="13"/>
  <c r="CO51" i="13" s="1"/>
  <c r="BT69" i="13"/>
  <c r="BU69" i="13" s="1"/>
  <c r="BV69" i="13" s="1" a="1"/>
  <c r="BV69" i="13" s="1"/>
  <c r="BX75" i="13"/>
  <c r="BY75" i="13" s="1"/>
  <c r="BJ68" i="13"/>
  <c r="CV68" i="13" s="1"/>
  <c r="CW68" i="13" s="1"/>
  <c r="BT58" i="13"/>
  <c r="BU58" i="13" s="1"/>
  <c r="CJ58" i="13"/>
  <c r="CK58" i="13" s="1"/>
  <c r="CL58" i="13" s="1" a="1"/>
  <c r="CL58" i="13" s="1"/>
  <c r="CR58" i="13"/>
  <c r="CS58" i="13" s="1"/>
  <c r="BP58" i="13"/>
  <c r="BQ58" i="13" s="1"/>
  <c r="BR58" i="13" s="1" a="1"/>
  <c r="BR58" i="13" s="1"/>
  <c r="BT43" i="13"/>
  <c r="BU43" i="13" s="1"/>
  <c r="BT36" i="13"/>
  <c r="BU36" i="13" s="1"/>
  <c r="BV36" i="13" s="1" a="1"/>
  <c r="BV36" i="13" s="1"/>
  <c r="CJ54" i="13"/>
  <c r="CK54" i="13" s="1"/>
  <c r="CL54" i="13" s="1" a="1"/>
  <c r="CL54" i="13" s="1"/>
  <c r="CR54" i="13"/>
  <c r="CS54" i="13" s="1"/>
  <c r="CT54" i="13" s="1" a="1"/>
  <c r="CT54" i="13" s="1"/>
  <c r="BP54" i="13"/>
  <c r="BQ54" i="13" s="1"/>
  <c r="BR54" i="13" s="1" a="1"/>
  <c r="BR54" i="13" s="1"/>
  <c r="CN46" i="13"/>
  <c r="CO46" i="13" s="1"/>
  <c r="CJ53" i="13"/>
  <c r="CK53" i="13" s="1"/>
  <c r="CL53" i="13" s="1" a="1"/>
  <c r="CL53" i="13" s="1"/>
  <c r="BP53" i="13"/>
  <c r="BQ53" i="13" s="1"/>
  <c r="BR53" i="13" s="1" a="1"/>
  <c r="BR53" i="13" s="1"/>
  <c r="BT53" i="13"/>
  <c r="BU53" i="13" s="1"/>
  <c r="CB40" i="13"/>
  <c r="CC40" i="13" s="1"/>
  <c r="CJ48" i="13"/>
  <c r="CK48" i="13" s="1"/>
  <c r="CL48" i="13" s="1" a="1"/>
  <c r="CL48" i="13" s="1"/>
  <c r="BP48" i="13"/>
  <c r="BQ48" i="13" s="1"/>
  <c r="BR48" i="13" s="1" a="1"/>
  <c r="BR48" i="13" s="1"/>
  <c r="BX48" i="13"/>
  <c r="BY48" i="13" s="1"/>
  <c r="CR49" i="13"/>
  <c r="CS49" i="13" s="1"/>
  <c r="CN22" i="13"/>
  <c r="CO22" i="13" s="1"/>
  <c r="CJ45" i="13"/>
  <c r="CK45" i="13" s="1"/>
  <c r="CL45" i="13" s="1" a="1"/>
  <c r="CL45" i="13" s="1"/>
  <c r="CV45" i="13"/>
  <c r="CW45" i="13" s="1"/>
  <c r="BP45" i="13"/>
  <c r="BQ45" i="13" s="1"/>
  <c r="BR45" i="13" s="1" a="1"/>
  <c r="BR45" i="13" s="1"/>
  <c r="CR45" i="13"/>
  <c r="CS45" i="13" s="1"/>
  <c r="BX45" i="13"/>
  <c r="BY45" i="13" s="1"/>
  <c r="BZ45" i="13" s="1" a="1"/>
  <c r="BZ45" i="13" s="1"/>
  <c r="CJ24" i="13"/>
  <c r="CK24" i="13" s="1"/>
  <c r="CL24" i="13" s="1" a="1"/>
  <c r="CL24" i="13" s="1"/>
  <c r="CV24" i="13"/>
  <c r="CW24" i="13" s="1"/>
  <c r="BP24" i="13"/>
  <c r="BQ24" i="13" s="1"/>
  <c r="BR24" i="13" s="1" a="1"/>
  <c r="BR24" i="13" s="1"/>
  <c r="CR24" i="13"/>
  <c r="CS24" i="13" s="1"/>
  <c r="CT24" i="13" s="1" a="1"/>
  <c r="CT24" i="13" s="1"/>
  <c r="CJ29" i="13"/>
  <c r="CK29" i="13" s="1"/>
  <c r="CL29" i="13" s="1" a="1"/>
  <c r="CL29" i="13" s="1"/>
  <c r="CV29" i="13"/>
  <c r="CW29" i="13" s="1"/>
  <c r="BP29" i="13"/>
  <c r="BQ29" i="13" s="1"/>
  <c r="BR29" i="13" s="1" a="1"/>
  <c r="BR29" i="13" s="1"/>
  <c r="CR29" i="13"/>
  <c r="CS29" i="13" s="1"/>
  <c r="CT29" i="13" s="1" a="1"/>
  <c r="CT29" i="13" s="1"/>
  <c r="BX35" i="13"/>
  <c r="BY35" i="13" s="1"/>
  <c r="BJ74" i="13"/>
  <c r="BT74" i="13" s="1"/>
  <c r="BU74" i="13" s="1"/>
  <c r="BJ65" i="13"/>
  <c r="BP65" i="13" s="1"/>
  <c r="BQ65" i="13" s="1"/>
  <c r="BR65" i="13" s="1" a="1"/>
  <c r="BR65" i="13" s="1"/>
  <c r="BJ76" i="13"/>
  <c r="BP76" i="13" s="1"/>
  <c r="BQ76" i="13" s="1"/>
  <c r="BR76" i="13" s="1" a="1"/>
  <c r="BR76" i="13" s="1"/>
  <c r="BT67" i="13"/>
  <c r="BU67" i="13" s="1"/>
  <c r="CN50" i="13"/>
  <c r="CO50" i="13" s="1"/>
  <c r="CN71" i="13"/>
  <c r="CO71" i="13" s="1"/>
  <c r="BX66" i="13"/>
  <c r="BY66" i="13" s="1"/>
  <c r="BJ62" i="13"/>
  <c r="CV62" i="13" s="1"/>
  <c r="CW62" i="13" s="1"/>
  <c r="CN43" i="13"/>
  <c r="CO43" i="13" s="1"/>
  <c r="CP43" i="13" s="1" a="1"/>
  <c r="CP43" i="13" s="1"/>
  <c r="CN38" i="13"/>
  <c r="CO38" i="13" s="1"/>
  <c r="BT57" i="13"/>
  <c r="BU57" i="13" s="1"/>
  <c r="CJ57" i="13"/>
  <c r="CK57" i="13" s="1"/>
  <c r="CL57" i="13" s="1" a="1"/>
  <c r="CL57" i="13" s="1"/>
  <c r="BP57" i="13"/>
  <c r="BQ57" i="13" s="1"/>
  <c r="BR57" i="13" s="1" a="1"/>
  <c r="BR57" i="13" s="1"/>
  <c r="CR57" i="13"/>
  <c r="CS57" i="13" s="1"/>
  <c r="CT57" i="13" s="1" a="1"/>
  <c r="CT57" i="13" s="1"/>
  <c r="CJ39" i="13"/>
  <c r="CK39" i="13" s="1"/>
  <c r="CL39" i="13" s="1" a="1"/>
  <c r="CL39" i="13" s="1"/>
  <c r="CR39" i="13"/>
  <c r="CS39" i="13" s="1"/>
  <c r="CT39" i="13" s="1" a="1"/>
  <c r="CT39" i="13" s="1"/>
  <c r="CV39" i="13"/>
  <c r="CW39" i="13" s="1"/>
  <c r="BP39" i="13"/>
  <c r="BQ39" i="13" s="1"/>
  <c r="BR39" i="13" s="1" a="1"/>
  <c r="BR39" i="13" s="1"/>
  <c r="CJ28" i="13"/>
  <c r="CK28" i="13" s="1"/>
  <c r="CL28" i="13" s="1" a="1"/>
  <c r="CL28" i="13" s="1"/>
  <c r="CV28" i="13"/>
  <c r="CW28" i="13" s="1"/>
  <c r="BP28" i="13"/>
  <c r="BQ28" i="13" s="1"/>
  <c r="BR28" i="13" s="1" a="1"/>
  <c r="BR28" i="13" s="1"/>
  <c r="BX28" i="13"/>
  <c r="BY28" i="13" s="1"/>
  <c r="CR28" i="13"/>
  <c r="CS28" i="13" s="1"/>
  <c r="CN34" i="13"/>
  <c r="CO34" i="13" s="1"/>
  <c r="CR50" i="13"/>
  <c r="CS50" i="13" s="1"/>
  <c r="BX57" i="13"/>
  <c r="BY57" i="13" s="1"/>
  <c r="BT77" i="13"/>
  <c r="BU77" i="13" s="1"/>
  <c r="BV77" i="13" s="1" a="1"/>
  <c r="BV77" i="13" s="1"/>
  <c r="CR74" i="13"/>
  <c r="CS74" i="13" s="1"/>
  <c r="CB60" i="13"/>
  <c r="CC60" i="13" s="1"/>
  <c r="CN49" i="13"/>
  <c r="CO49" i="13" s="1"/>
  <c r="CP49" i="13" s="1" a="1"/>
  <c r="CP49" i="13" s="1"/>
  <c r="BT71" i="13"/>
  <c r="BU71" i="13" s="1"/>
  <c r="BJ61" i="13"/>
  <c r="CN61" i="13" s="1"/>
  <c r="CO61" i="13" s="1"/>
  <c r="BT56" i="13"/>
  <c r="BU56" i="13" s="1"/>
  <c r="CJ56" i="13"/>
  <c r="CK56" i="13" s="1"/>
  <c r="CL56" i="13" s="1" a="1"/>
  <c r="CL56" i="13" s="1"/>
  <c r="CR56" i="13"/>
  <c r="CS56" i="13" s="1"/>
  <c r="CT56" i="13" s="1" a="1"/>
  <c r="CT56" i="13" s="1"/>
  <c r="BP56" i="13"/>
  <c r="BQ56" i="13" s="1"/>
  <c r="BR56" i="13" s="1" a="1"/>
  <c r="BR56" i="13" s="1"/>
  <c r="BT46" i="13"/>
  <c r="BU46" i="13" s="1"/>
  <c r="BT42" i="13"/>
  <c r="BU42" i="13" s="1"/>
  <c r="BZ42" i="13" s="1" a="1"/>
  <c r="BZ42" i="13" s="1"/>
  <c r="CV71" i="13"/>
  <c r="CW71" i="13" s="1"/>
  <c r="CN37" i="13"/>
  <c r="CO37" i="13" s="1"/>
  <c r="CJ47" i="13"/>
  <c r="CK47" i="13" s="1"/>
  <c r="CL47" i="13" s="1" a="1"/>
  <c r="CL47" i="13" s="1"/>
  <c r="BP47" i="13"/>
  <c r="BQ47" i="13" s="1"/>
  <c r="BR47" i="13" s="1" a="1"/>
  <c r="BR47" i="13" s="1"/>
  <c r="CR47" i="13"/>
  <c r="CS47" i="13" s="1"/>
  <c r="CT47" i="13" s="1" a="1"/>
  <c r="CT47" i="13" s="1"/>
  <c r="BT28" i="13"/>
  <c r="BU28" i="13" s="1"/>
  <c r="BT24" i="13"/>
  <c r="BU24" i="13" s="1"/>
  <c r="CJ42" i="13"/>
  <c r="CK42" i="13" s="1"/>
  <c r="CL42" i="13" s="1" a="1"/>
  <c r="CL42" i="13" s="1"/>
  <c r="CV42" i="13"/>
  <c r="CW42" i="13" s="1"/>
  <c r="BP42" i="13"/>
  <c r="BQ42" i="13" s="1"/>
  <c r="BR42" i="13" s="1" a="1"/>
  <c r="BR42" i="13" s="1"/>
  <c r="CR42" i="13"/>
  <c r="CS42" i="13" s="1"/>
  <c r="CJ34" i="13"/>
  <c r="CK34" i="13" s="1"/>
  <c r="CL34" i="13" s="1" a="1"/>
  <c r="CL34" i="13" s="1"/>
  <c r="BT34" i="13"/>
  <c r="BU34" i="13" s="1"/>
  <c r="BP34" i="13"/>
  <c r="BQ34" i="13" s="1"/>
  <c r="BR34" i="13" s="1" a="1"/>
  <c r="BR34" i="13" s="1"/>
  <c r="CR34" i="13"/>
  <c r="CS34" i="13" s="1"/>
  <c r="CJ30" i="13"/>
  <c r="CK30" i="13" s="1"/>
  <c r="CV30" i="13"/>
  <c r="CW30" i="13" s="1"/>
  <c r="BT30" i="13"/>
  <c r="BU30" i="13" s="1"/>
  <c r="BP30" i="13"/>
  <c r="BQ30" i="13" s="1"/>
  <c r="BR30" i="13" s="1" a="1"/>
  <c r="BR30" i="13" s="1"/>
  <c r="CR30" i="13"/>
  <c r="CS30" i="13" s="1"/>
  <c r="CT30" i="13" s="1" a="1"/>
  <c r="CT30" i="13" s="1"/>
  <c r="CR38" i="13"/>
  <c r="CS38" i="13" s="1"/>
  <c r="CT38" i="13" s="1" a="1"/>
  <c r="CT38" i="13" s="1"/>
  <c r="CJ25" i="13"/>
  <c r="CK25" i="13" s="1"/>
  <c r="CL25" i="13" s="1" a="1"/>
  <c r="CL25" i="13" s="1"/>
  <c r="CV25" i="13"/>
  <c r="CW25" i="13" s="1"/>
  <c r="BP25" i="13"/>
  <c r="BQ25" i="13" s="1"/>
  <c r="BR25" i="13" s="1" a="1"/>
  <c r="BR25" i="13" s="1"/>
  <c r="CR25" i="13"/>
  <c r="CS25" i="13" s="1"/>
  <c r="CJ31" i="13"/>
  <c r="CK31" i="13" s="1"/>
  <c r="CL31" i="13" s="1" a="1"/>
  <c r="CL31" i="13" s="1"/>
  <c r="BT31" i="13"/>
  <c r="BU31" i="13" s="1"/>
  <c r="BP31" i="13"/>
  <c r="BQ31" i="13" s="1"/>
  <c r="BR31" i="13" s="1" a="1"/>
  <c r="BR31" i="13" s="1"/>
  <c r="CR31" i="13"/>
  <c r="CS31" i="13" s="1"/>
  <c r="CX31" i="13" s="1" a="1"/>
  <c r="CX31" i="13" s="1"/>
  <c r="BX31" i="13"/>
  <c r="BY31" i="13" s="1"/>
  <c r="CD31" i="13" s="1" a="1"/>
  <c r="CD31" i="13" s="1"/>
  <c r="CN28" i="13"/>
  <c r="CO28" i="13" s="1"/>
  <c r="BX34" i="13"/>
  <c r="BY34" i="13" s="1"/>
  <c r="CE47" i="13" l="1" a="1"/>
  <c r="CE47" i="13" s="1"/>
  <c r="CD47" i="13" a="1"/>
  <c r="CD47" i="13" s="1"/>
  <c r="CJ100" i="13"/>
  <c r="CK100" i="13" s="1"/>
  <c r="CL100" i="13" s="1" a="1"/>
  <c r="CL100" i="13" s="1"/>
  <c r="BV37" i="13" a="1"/>
  <c r="BV37" i="13" s="1"/>
  <c r="CT25" i="13" a="1"/>
  <c r="CT25" i="13" s="1"/>
  <c r="CN75" i="13"/>
  <c r="CO75" i="13" s="1"/>
  <c r="CT58" i="13" a="1"/>
  <c r="CT58" i="13" s="1"/>
  <c r="CV103" i="13"/>
  <c r="CW103" i="13" s="1"/>
  <c r="CV86" i="13"/>
  <c r="CW86" i="13" s="1"/>
  <c r="CP98" i="13" a="1"/>
  <c r="CP98" i="13" s="1"/>
  <c r="CN106" i="13"/>
  <c r="CO106" i="13" s="1"/>
  <c r="CP968" i="13" a="1"/>
  <c r="CP968" i="13" s="1"/>
  <c r="BV958" i="13" a="1"/>
  <c r="BV958" i="13" s="1"/>
  <c r="CT954" i="13" a="1"/>
  <c r="CT954" i="13" s="1"/>
  <c r="CN804" i="13"/>
  <c r="CO804" i="13" s="1"/>
  <c r="CT804" i="13" s="1" a="1"/>
  <c r="CT804" i="13" s="1"/>
  <c r="CR1015" i="13"/>
  <c r="CS1015" i="13" s="1"/>
  <c r="CR994" i="13"/>
  <c r="CS994" i="13" s="1"/>
  <c r="CT944" i="13" a="1"/>
  <c r="CT944" i="13" s="1"/>
  <c r="BV1019" i="13" a="1"/>
  <c r="BV1019" i="13" s="1"/>
  <c r="BZ917" i="13" a="1"/>
  <c r="BZ917" i="13" s="1"/>
  <c r="CJ928" i="13"/>
  <c r="CK928" i="13" s="1"/>
  <c r="CL928" i="13" s="1" a="1"/>
  <c r="CL928" i="13" s="1"/>
  <c r="BT912" i="13"/>
  <c r="BU912" i="13" s="1"/>
  <c r="CR922" i="13"/>
  <c r="CS922" i="13" s="1"/>
  <c r="CT922" i="13" s="1" a="1"/>
  <c r="CT922" i="13" s="1"/>
  <c r="CN831" i="13"/>
  <c r="CO831" i="13" s="1"/>
  <c r="CP827" i="13" a="1"/>
  <c r="CP827" i="13" s="1"/>
  <c r="BT814" i="13"/>
  <c r="BU814" i="13" s="1"/>
  <c r="BV814" i="13" s="1" a="1"/>
  <c r="BV814" i="13" s="1"/>
  <c r="CT783" i="13" a="1"/>
  <c r="CT783" i="13" s="1"/>
  <c r="BV802" i="13" a="1"/>
  <c r="BV802" i="13" s="1"/>
  <c r="CV1021" i="13"/>
  <c r="CW1021" i="13" s="1"/>
  <c r="CN867" i="13"/>
  <c r="CO867" i="13" s="1"/>
  <c r="CB904" i="13"/>
  <c r="CC904" i="13" s="1"/>
  <c r="CE904" i="13" s="1" a="1"/>
  <c r="CE904" i="13" s="1"/>
  <c r="BV957" i="13" a="1"/>
  <c r="BV957" i="13" s="1"/>
  <c r="BV989" i="13" a="1"/>
  <c r="BV989" i="13" s="1"/>
  <c r="CT984" i="13" a="1"/>
  <c r="CT984" i="13" s="1"/>
  <c r="BT926" i="13"/>
  <c r="BU926" i="13" s="1"/>
  <c r="BP871" i="13"/>
  <c r="BQ871" i="13" s="1"/>
  <c r="BR871" i="13" s="1" a="1"/>
  <c r="BR871" i="13" s="1"/>
  <c r="BV866" i="13" a="1"/>
  <c r="BV866" i="13" s="1"/>
  <c r="BX875" i="13"/>
  <c r="BY875" i="13" s="1"/>
  <c r="BZ875" i="13" s="1" a="1"/>
  <c r="BZ875" i="13" s="1"/>
  <c r="CR818" i="13"/>
  <c r="CS818" i="13" s="1"/>
  <c r="CX818" i="13" s="1" a="1"/>
  <c r="CX818" i="13" s="1"/>
  <c r="CP955" i="13" a="1"/>
  <c r="CP955" i="13" s="1"/>
  <c r="CT988" i="13" a="1"/>
  <c r="CT988" i="13" s="1"/>
  <c r="CR904" i="13"/>
  <c r="CS904" i="13" s="1"/>
  <c r="CR885" i="13"/>
  <c r="CS885" i="13" s="1"/>
  <c r="CT885" i="13" s="1" a="1"/>
  <c r="CT885" i="13" s="1"/>
  <c r="CV863" i="13"/>
  <c r="CW863" i="13" s="1"/>
  <c r="CT919" i="13" a="1"/>
  <c r="CT919" i="13" s="1"/>
  <c r="CB1005" i="13"/>
  <c r="CC1005" i="13" s="1"/>
  <c r="CT974" i="13" a="1"/>
  <c r="CT974" i="13" s="1"/>
  <c r="BV975" i="13" a="1"/>
  <c r="BV975" i="13" s="1"/>
  <c r="CT960" i="13" a="1"/>
  <c r="CT960" i="13" s="1"/>
  <c r="BX879" i="13"/>
  <c r="BY879" i="13" s="1"/>
  <c r="BZ879" i="13" s="1" a="1"/>
  <c r="BZ879" i="13" s="1"/>
  <c r="CR879" i="13"/>
  <c r="CS879" i="13" s="1"/>
  <c r="BV1017" i="13" a="1"/>
  <c r="BV1017" i="13" s="1"/>
  <c r="BV781" i="13" a="1"/>
  <c r="BV781" i="13" s="1"/>
  <c r="CP771" i="13" a="1"/>
  <c r="CP771" i="13" s="1"/>
  <c r="BV714" i="13" a="1"/>
  <c r="BV714" i="13" s="1"/>
  <c r="CR639" i="13"/>
  <c r="CS639" i="13" s="1"/>
  <c r="CV495" i="13"/>
  <c r="CW495" i="13" s="1"/>
  <c r="CP502" i="13" a="1"/>
  <c r="CP502" i="13" s="1"/>
  <c r="CT773" i="13" a="1"/>
  <c r="CT773" i="13" s="1"/>
  <c r="CP664" i="13" a="1"/>
  <c r="CP664" i="13" s="1"/>
  <c r="BV605" i="13" a="1"/>
  <c r="BV605" i="13" s="1"/>
  <c r="BV562" i="13" a="1"/>
  <c r="BV562" i="13" s="1"/>
  <c r="CR517" i="13"/>
  <c r="CS517" i="13" s="1"/>
  <c r="CP785" i="13" a="1"/>
  <c r="CP785" i="13" s="1"/>
  <c r="CT736" i="13" a="1"/>
  <c r="CT736" i="13" s="1"/>
  <c r="CJ648" i="13"/>
  <c r="CK648" i="13" s="1"/>
  <c r="CL648" i="13" s="1" a="1"/>
  <c r="CL648" i="13" s="1"/>
  <c r="CV648" i="13"/>
  <c r="CW648" i="13" s="1"/>
  <c r="CR618" i="13"/>
  <c r="CS618" i="13" s="1"/>
  <c r="CT618" i="13" s="1" a="1"/>
  <c r="CT618" i="13" s="1"/>
  <c r="CP597" i="13" a="1"/>
  <c r="CP597" i="13" s="1"/>
  <c r="CT524" i="13" a="1"/>
  <c r="CT524" i="13" s="1"/>
  <c r="CB465" i="13"/>
  <c r="CC465" i="13" s="1"/>
  <c r="CB756" i="13"/>
  <c r="CC756" i="13" s="1"/>
  <c r="CP744" i="13" a="1"/>
  <c r="CP744" i="13" s="1"/>
  <c r="BZ716" i="13" a="1"/>
  <c r="BZ716" i="13" s="1"/>
  <c r="BP681" i="13"/>
  <c r="BQ681" i="13" s="1"/>
  <c r="BR681" i="13" s="1" a="1"/>
  <c r="BR681" i="13" s="1"/>
  <c r="CN493" i="13"/>
  <c r="CO493" i="13" s="1"/>
  <c r="CP493" i="13" s="1" a="1"/>
  <c r="CP493" i="13" s="1"/>
  <c r="CV635" i="13"/>
  <c r="CW635" i="13" s="1"/>
  <c r="CB621" i="13"/>
  <c r="CC621" i="13" s="1"/>
  <c r="CD621" i="13" s="1" a="1"/>
  <c r="CD621" i="13" s="1"/>
  <c r="CP541" i="13" a="1"/>
  <c r="CP541" i="13" s="1"/>
  <c r="CB541" i="13"/>
  <c r="CC541" i="13" s="1"/>
  <c r="CT499" i="13" a="1"/>
  <c r="CT499" i="13" s="1"/>
  <c r="BZ704" i="13" a="1"/>
  <c r="BZ704" i="13" s="1"/>
  <c r="BP641" i="13"/>
  <c r="BQ641" i="13" s="1"/>
  <c r="BR641" i="13" s="1" a="1"/>
  <c r="BR641" i="13" s="1"/>
  <c r="BP592" i="13"/>
  <c r="BQ592" i="13" s="1"/>
  <c r="BR592" i="13" s="1" a="1"/>
  <c r="BR592" i="13" s="1"/>
  <c r="BV560" i="13" a="1"/>
  <c r="BV560" i="13" s="1"/>
  <c r="CT522" i="13" a="1"/>
  <c r="CT522" i="13" s="1"/>
  <c r="CP767" i="13" a="1"/>
  <c r="CP767" i="13" s="1"/>
  <c r="CP591" i="13" a="1"/>
  <c r="CP591" i="13" s="1"/>
  <c r="CR457" i="13"/>
  <c r="CS457" i="13" s="1"/>
  <c r="BV769" i="13" a="1"/>
  <c r="BV769" i="13" s="1"/>
  <c r="CT732" i="13" a="1"/>
  <c r="CT732" i="13" s="1"/>
  <c r="CB436" i="13"/>
  <c r="CC436" i="13" s="1"/>
  <c r="BZ280" i="13" a="1"/>
  <c r="BZ280" i="13" s="1"/>
  <c r="BV192" i="13" a="1"/>
  <c r="BV192" i="13" s="1"/>
  <c r="CF192" i="13" s="1"/>
  <c r="R192" i="13" s="1"/>
  <c r="CZ719" i="13"/>
  <c r="Z719" i="13" s="1"/>
  <c r="CJ373" i="13"/>
  <c r="CK373" i="13" s="1"/>
  <c r="CL373" i="13" s="1" a="1"/>
  <c r="CL373" i="13" s="1"/>
  <c r="CP315" i="13" a="1"/>
  <c r="CP315" i="13" s="1"/>
  <c r="BX411" i="13"/>
  <c r="BY411" i="13" s="1"/>
  <c r="BZ411" i="13" s="1" a="1"/>
  <c r="BZ411" i="13" s="1"/>
  <c r="CT268" i="13" a="1"/>
  <c r="CT268" i="13" s="1"/>
  <c r="CP262" i="13" a="1"/>
  <c r="CP262" i="13" s="1"/>
  <c r="CJ434" i="13"/>
  <c r="CK434" i="13" s="1"/>
  <c r="CL434" i="13" s="1" a="1"/>
  <c r="CL434" i="13" s="1"/>
  <c r="CN367" i="13"/>
  <c r="CO367" i="13" s="1"/>
  <c r="CT367" i="13" s="1" a="1"/>
  <c r="CT367" i="13" s="1"/>
  <c r="CT193" i="13" a="1"/>
  <c r="CT193" i="13" s="1"/>
  <c r="CZ156" i="13"/>
  <c r="Z156" i="13" s="1"/>
  <c r="BZ253" i="13" a="1"/>
  <c r="BZ253" i="13" s="1"/>
  <c r="CT380" i="13" a="1"/>
  <c r="CT380" i="13" s="1"/>
  <c r="CF203" i="13"/>
  <c r="R203" i="13" s="1"/>
  <c r="CT132" i="13" a="1"/>
  <c r="CT132" i="13" s="1"/>
  <c r="BV216" i="13" a="1"/>
  <c r="BV216" i="13" s="1"/>
  <c r="BV189" i="13" a="1"/>
  <c r="BV189" i="13" s="1"/>
  <c r="CX190" i="13" a="1"/>
  <c r="CX190" i="13" s="1"/>
  <c r="CV100" i="13"/>
  <c r="CW100" i="13" s="1"/>
  <c r="CT812" i="13" a="1"/>
  <c r="CT812" i="13" s="1"/>
  <c r="CN812" i="13"/>
  <c r="CO812" i="13" s="1"/>
  <c r="CP900" i="13" a="1"/>
  <c r="CP900" i="13" s="1"/>
  <c r="CN833" i="13"/>
  <c r="CO833" i="13" s="1"/>
  <c r="CT833" i="13" s="1" a="1"/>
  <c r="CT833" i="13" s="1"/>
  <c r="BV969" i="13" a="1"/>
  <c r="BV969" i="13" s="1"/>
  <c r="BZ674" i="13" a="1"/>
  <c r="BZ674" i="13" s="1"/>
  <c r="CB620" i="13"/>
  <c r="CC620" i="13" s="1"/>
  <c r="BT619" i="13"/>
  <c r="BU619" i="13" s="1"/>
  <c r="BV801" i="13" a="1"/>
  <c r="BV801" i="13" s="1"/>
  <c r="CN639" i="13"/>
  <c r="CO639" i="13" s="1"/>
  <c r="CR654" i="13"/>
  <c r="CS654" i="13" s="1"/>
  <c r="BT495" i="13"/>
  <c r="BU495" i="13" s="1"/>
  <c r="CR553" i="13"/>
  <c r="CS553" i="13" s="1"/>
  <c r="CT553" i="13" s="1" a="1"/>
  <c r="CT553" i="13" s="1"/>
  <c r="BV681" i="13" a="1"/>
  <c r="BV681" i="13" s="1"/>
  <c r="BV558" i="13" a="1"/>
  <c r="BV558" i="13" s="1"/>
  <c r="CB481" i="13"/>
  <c r="CC481" i="13" s="1"/>
  <c r="BV738" i="13" a="1"/>
  <c r="BV738" i="13" s="1"/>
  <c r="CP793" i="13" a="1"/>
  <c r="CP793" i="13" s="1"/>
  <c r="BZ372" i="13" a="1"/>
  <c r="BZ372" i="13" s="1"/>
  <c r="CT366" i="13" a="1"/>
  <c r="CT366" i="13" s="1"/>
  <c r="CP212" i="13" a="1"/>
  <c r="CP212" i="13" s="1"/>
  <c r="CR68" i="13"/>
  <c r="CS68" i="13" s="1"/>
  <c r="CP46" i="13" a="1"/>
  <c r="CP46" i="13" s="1"/>
  <c r="BT86" i="13"/>
  <c r="BU86" i="13" s="1"/>
  <c r="CN63" i="13"/>
  <c r="CO63" i="13" s="1"/>
  <c r="BX100" i="13"/>
  <c r="BY100" i="13" s="1"/>
  <c r="CT91" i="13" a="1"/>
  <c r="CT91" i="13" s="1"/>
  <c r="CN100" i="13"/>
  <c r="CO100" i="13" s="1"/>
  <c r="CT902" i="13" a="1"/>
  <c r="CT902" i="13" s="1"/>
  <c r="CR800" i="13"/>
  <c r="CS800" i="13" s="1"/>
  <c r="CT928" i="13" a="1"/>
  <c r="CT928" i="13" s="1"/>
  <c r="BX829" i="13"/>
  <c r="BY829" i="13" s="1"/>
  <c r="CT966" i="13" a="1"/>
  <c r="CT966" i="13" s="1"/>
  <c r="BX918" i="13"/>
  <c r="BY918" i="13" s="1"/>
  <c r="BV976" i="13" a="1"/>
  <c r="BV976" i="13" s="1"/>
  <c r="CN928" i="13"/>
  <c r="CO928" i="13" s="1"/>
  <c r="CP928" i="13" s="1" a="1"/>
  <c r="CP928" i="13" s="1"/>
  <c r="CR839" i="13"/>
  <c r="CS839" i="13" s="1"/>
  <c r="CP814" i="13" a="1"/>
  <c r="CP814" i="13" s="1"/>
  <c r="CT956" i="13" a="1"/>
  <c r="CT956" i="13" s="1"/>
  <c r="BZ811" i="13" a="1"/>
  <c r="BZ811" i="13" s="1"/>
  <c r="CT1017" i="13" a="1"/>
  <c r="CT1017" i="13" s="1"/>
  <c r="BP904" i="13"/>
  <c r="BQ904" i="13" s="1"/>
  <c r="BR904" i="13" s="1" a="1"/>
  <c r="BR904" i="13" s="1"/>
  <c r="CV1009" i="13"/>
  <c r="CW1009" i="13" s="1"/>
  <c r="BZ988" i="13" a="1"/>
  <c r="BZ988" i="13" s="1"/>
  <c r="CT848" i="13" a="1"/>
  <c r="CT848" i="13" s="1"/>
  <c r="CV831" i="13"/>
  <c r="CW831" i="13" s="1"/>
  <c r="CV992" i="13"/>
  <c r="CW992" i="13" s="1"/>
  <c r="CR1014" i="13"/>
  <c r="CS1014" i="13" s="1"/>
  <c r="CR930" i="13"/>
  <c r="CS930" i="13" s="1"/>
  <c r="CT781" i="13" a="1"/>
  <c r="CT781" i="13" s="1"/>
  <c r="CN614" i="13"/>
  <c r="CO614" i="13" s="1"/>
  <c r="BX636" i="13"/>
  <c r="BY636" i="13" s="1"/>
  <c r="CT485" i="13" a="1"/>
  <c r="CT485" i="13" s="1"/>
  <c r="CP773" i="13" a="1"/>
  <c r="CP773" i="13" s="1"/>
  <c r="BZ618" i="13" a="1"/>
  <c r="BZ618" i="13" s="1"/>
  <c r="BZ564" i="13" a="1"/>
  <c r="BZ564" i="13" s="1"/>
  <c r="CR501" i="13"/>
  <c r="CS501" i="13" s="1"/>
  <c r="BT670" i="13"/>
  <c r="BU670" i="13" s="1"/>
  <c r="CR644" i="13"/>
  <c r="CS644" i="13" s="1"/>
  <c r="CB624" i="13"/>
  <c r="CC624" i="13" s="1"/>
  <c r="CJ594" i="13"/>
  <c r="CK594" i="13" s="1"/>
  <c r="CL594" i="13" s="1" a="1"/>
  <c r="CL594" i="13" s="1"/>
  <c r="CT508" i="13" a="1"/>
  <c r="CT508" i="13" s="1"/>
  <c r="CJ610" i="13"/>
  <c r="CK610" i="13" s="1"/>
  <c r="CL610" i="13" s="1" a="1"/>
  <c r="CL610" i="13" s="1"/>
  <c r="BT610" i="13"/>
  <c r="BU610" i="13" s="1"/>
  <c r="CT805" i="13" a="1"/>
  <c r="CT805" i="13" s="1"/>
  <c r="BV789" i="13" a="1"/>
  <c r="BV789" i="13" s="1"/>
  <c r="CN670" i="13"/>
  <c r="CO670" i="13" s="1"/>
  <c r="CR638" i="13"/>
  <c r="CS638" i="13" s="1"/>
  <c r="CR632" i="13"/>
  <c r="CS632" i="13" s="1"/>
  <c r="CT579" i="13" a="1"/>
  <c r="CT579" i="13" s="1"/>
  <c r="BP631" i="13"/>
  <c r="BQ631" i="13" s="1"/>
  <c r="BR631" i="13" s="1" a="1"/>
  <c r="BR631" i="13" s="1"/>
  <c r="CB631" i="13"/>
  <c r="CC631" i="13" s="1"/>
  <c r="BV504" i="13" a="1"/>
  <c r="BV504" i="13" s="1"/>
  <c r="CJ515" i="13"/>
  <c r="CK515" i="13" s="1"/>
  <c r="CL515" i="13" s="1" a="1"/>
  <c r="CL515" i="13" s="1"/>
  <c r="BZ615" i="13" a="1"/>
  <c r="BZ615" i="13" s="1"/>
  <c r="BP637" i="13"/>
  <c r="BQ637" i="13" s="1"/>
  <c r="BR637" i="13" s="1" a="1"/>
  <c r="BR637" i="13" s="1"/>
  <c r="CJ575" i="13"/>
  <c r="CK575" i="13" s="1"/>
  <c r="CL575" i="13" s="1" a="1"/>
  <c r="CL575" i="13" s="1"/>
  <c r="CP536" i="13" a="1"/>
  <c r="CP536" i="13" s="1"/>
  <c r="BV512" i="13" a="1"/>
  <c r="BV512" i="13" s="1"/>
  <c r="CV458" i="13"/>
  <c r="CW458" i="13" s="1"/>
  <c r="CP769" i="13" a="1"/>
  <c r="CP769" i="13" s="1"/>
  <c r="BV728" i="13" a="1"/>
  <c r="BV728" i="13" s="1"/>
  <c r="CP724" i="13" a="1"/>
  <c r="CP724" i="13" s="1"/>
  <c r="BZ698" i="13" a="1"/>
  <c r="BZ698" i="13" s="1"/>
  <c r="CN642" i="13"/>
  <c r="CO642" i="13" s="1"/>
  <c r="CP260" i="13" a="1"/>
  <c r="CP260" i="13" s="1"/>
  <c r="CB328" i="13"/>
  <c r="CC328" i="13" s="1"/>
  <c r="CT362" i="13" a="1"/>
  <c r="CT362" i="13" s="1"/>
  <c r="CT243" i="13" a="1"/>
  <c r="CT243" i="13" s="1"/>
  <c r="CT277" i="13" a="1"/>
  <c r="CT277" i="13" s="1"/>
  <c r="BV391" i="13" a="1"/>
  <c r="BV391" i="13" s="1"/>
  <c r="BV370" i="13" a="1"/>
  <c r="BV370" i="13" s="1"/>
  <c r="CP356" i="13" a="1"/>
  <c r="CP356" i="13" s="1"/>
  <c r="CP360" i="13" a="1"/>
  <c r="CP360" i="13" s="1"/>
  <c r="CT341" i="13" a="1"/>
  <c r="CT341" i="13" s="1"/>
  <c r="BP365" i="13"/>
  <c r="BQ365" i="13" s="1"/>
  <c r="BR365" i="13" s="1" a="1"/>
  <c r="BR365" i="13" s="1"/>
  <c r="BV306" i="13" a="1"/>
  <c r="BV306" i="13" s="1"/>
  <c r="CT337" i="13" a="1"/>
  <c r="CT337" i="13" s="1"/>
  <c r="CB330" i="13"/>
  <c r="CC330" i="13" s="1"/>
  <c r="CL327" i="13" a="1"/>
  <c r="CL327" i="13" s="1"/>
  <c r="CT296" i="13" a="1"/>
  <c r="CT296" i="13" s="1"/>
  <c r="BZ153" i="13" a="1"/>
  <c r="BZ153" i="13" s="1"/>
  <c r="BV170" i="13" a="1"/>
  <c r="BV170" i="13" s="1"/>
  <c r="CP167" i="13" a="1"/>
  <c r="CP167" i="13" s="1"/>
  <c r="BP125" i="13"/>
  <c r="BQ125" i="13" s="1"/>
  <c r="BR125" i="13" s="1" a="1"/>
  <c r="BR125" i="13" s="1"/>
  <c r="CT147" i="13" a="1"/>
  <c r="CT147" i="13" s="1"/>
  <c r="BZ128" i="13" a="1"/>
  <c r="BZ128" i="13" s="1"/>
  <c r="CP191" i="13" a="1"/>
  <c r="CP191" i="13" s="1"/>
  <c r="BV378" i="13" a="1"/>
  <c r="BV378" i="13" s="1"/>
  <c r="CP220" i="13" a="1"/>
  <c r="CP220" i="13" s="1"/>
  <c r="BV954" i="13" a="1"/>
  <c r="BV954" i="13" s="1"/>
  <c r="CV1001" i="13"/>
  <c r="CW1001" i="13" s="1"/>
  <c r="BV944" i="13" a="1"/>
  <c r="BV944" i="13" s="1"/>
  <c r="BV966" i="13" a="1"/>
  <c r="BV966" i="13" s="1"/>
  <c r="CV934" i="13"/>
  <c r="CW934" i="13" s="1"/>
  <c r="BV794" i="13" a="1"/>
  <c r="BV794" i="13" s="1"/>
  <c r="BV839" i="13" a="1"/>
  <c r="BV839" i="13" s="1"/>
  <c r="BZ915" i="13" a="1"/>
  <c r="BZ915" i="13" s="1"/>
  <c r="BX782" i="13"/>
  <c r="BY782" i="13" s="1"/>
  <c r="BV1009" i="13" a="1"/>
  <c r="BV1009" i="13" s="1"/>
  <c r="CP621" i="13" a="1"/>
  <c r="CP621" i="13" s="1"/>
  <c r="CT621" i="13" a="1"/>
  <c r="CT621" i="13" s="1"/>
  <c r="CP593" i="13" a="1"/>
  <c r="CP593" i="13" s="1"/>
  <c r="CP575" i="13" a="1"/>
  <c r="CP575" i="13" s="1"/>
  <c r="BV637" i="13" a="1"/>
  <c r="BV637" i="13" s="1"/>
  <c r="BV631" i="13" a="1"/>
  <c r="BV631" i="13" s="1"/>
  <c r="CP225" i="13" a="1"/>
  <c r="CP225" i="13" s="1"/>
  <c r="CZ191" i="13"/>
  <c r="Z191" i="13" s="1"/>
  <c r="CP466" i="13" a="1"/>
  <c r="CP466" i="13" s="1"/>
  <c r="BV388" i="13" a="1"/>
  <c r="BV388" i="13" s="1"/>
  <c r="CT326" i="13" a="1"/>
  <c r="CT326" i="13" s="1"/>
  <c r="CT161" i="13" a="1"/>
  <c r="CT161" i="13" s="1"/>
  <c r="BV125" i="13" a="1"/>
  <c r="BV125" i="13" s="1"/>
  <c r="CF245" i="13"/>
  <c r="R245" i="13" s="1"/>
  <c r="AF245" i="13" s="1"/>
  <c r="CP402" i="13" a="1"/>
  <c r="CP402" i="13" s="1"/>
  <c r="BZ354" i="13" a="1"/>
  <c r="BZ354" i="13" s="1"/>
  <c r="CF354" i="13" s="1"/>
  <c r="R354" i="13" s="1"/>
  <c r="CT143" i="13" a="1"/>
  <c r="CT143" i="13" s="1"/>
  <c r="BV212" i="13" a="1"/>
  <c r="BV212" i="13" s="1"/>
  <c r="CF212" i="13" s="1"/>
  <c r="R212" i="13" s="1"/>
  <c r="CT831" i="13" a="1"/>
  <c r="CT831" i="13" s="1"/>
  <c r="BV847" i="13" a="1"/>
  <c r="BV847" i="13" s="1"/>
  <c r="CT926" i="13" a="1"/>
  <c r="CT926" i="13" s="1"/>
  <c r="CT858" i="13" a="1"/>
  <c r="CT858" i="13" s="1"/>
  <c r="BX871" i="13"/>
  <c r="BY871" i="13" s="1"/>
  <c r="BP863" i="13"/>
  <c r="BQ863" i="13" s="1"/>
  <c r="BR863" i="13" s="1" a="1"/>
  <c r="BR863" i="13" s="1"/>
  <c r="CT448" i="13" a="1"/>
  <c r="CT448" i="13" s="1"/>
  <c r="BZ619" i="13" a="1"/>
  <c r="BZ619" i="13" s="1"/>
  <c r="BZ567" i="13" a="1"/>
  <c r="BZ567" i="13" s="1"/>
  <c r="BV493" i="13" a="1"/>
  <c r="BV493" i="13" s="1"/>
  <c r="CT523" i="13" a="1"/>
  <c r="CT523" i="13" s="1"/>
  <c r="BV672" i="13" a="1"/>
  <c r="BV672" i="13" s="1"/>
  <c r="BV363" i="13" a="1"/>
  <c r="BV363" i="13" s="1"/>
  <c r="CP438" i="13" a="1"/>
  <c r="CP438" i="13" s="1"/>
  <c r="BV362" i="13" a="1"/>
  <c r="BV362" i="13" s="1"/>
  <c r="BV328" i="13" a="1"/>
  <c r="BV328" i="13" s="1"/>
  <c r="CZ341" i="13"/>
  <c r="Z341" i="13" s="1"/>
  <c r="CP412" i="13" a="1"/>
  <c r="CP412" i="13" s="1"/>
  <c r="CX378" i="13" a="1"/>
  <c r="CX378" i="13" s="1"/>
  <c r="CT378" i="13" a="1"/>
  <c r="CT378" i="13" s="1"/>
  <c r="BV828" i="13" a="1"/>
  <c r="BV828" i="13" s="1"/>
  <c r="CF828" i="13" s="1"/>
  <c r="R828" i="13" s="1"/>
  <c r="BZ1016" i="13" a="1"/>
  <c r="BZ1016" i="13" s="1"/>
  <c r="BZ847" i="13" a="1"/>
  <c r="BZ847" i="13" s="1"/>
  <c r="BZ930" i="13" a="1"/>
  <c r="BZ930" i="13" s="1"/>
  <c r="CB922" i="13"/>
  <c r="CC922" i="13" s="1"/>
  <c r="BV879" i="13" a="1"/>
  <c r="BV879" i="13" s="1"/>
  <c r="CT824" i="13" a="1"/>
  <c r="CT824" i="13" s="1"/>
  <c r="BX639" i="13"/>
  <c r="BY639" i="13" s="1"/>
  <c r="BZ610" i="13" a="1"/>
  <c r="BZ610" i="13" s="1"/>
  <c r="CP576" i="13" a="1"/>
  <c r="CP576" i="13" s="1"/>
  <c r="CJ509" i="13"/>
  <c r="CK509" i="13" s="1"/>
  <c r="CL509" i="13" s="1" a="1"/>
  <c r="CL509" i="13" s="1"/>
  <c r="BV730" i="13" a="1"/>
  <c r="BV730" i="13" s="1"/>
  <c r="BZ670" i="13" a="1"/>
  <c r="BZ670" i="13" s="1"/>
  <c r="CT493" i="13" a="1"/>
  <c r="CT493" i="13" s="1"/>
  <c r="BP644" i="13"/>
  <c r="BQ644" i="13" s="1"/>
  <c r="BR644" i="13" s="1" a="1"/>
  <c r="BR644" i="13" s="1"/>
  <c r="BV598" i="13" a="1"/>
  <c r="BV598" i="13" s="1"/>
  <c r="BT628" i="13"/>
  <c r="BU628" i="13" s="1"/>
  <c r="CN523" i="13"/>
  <c r="CO523" i="13" s="1"/>
  <c r="CP738" i="13" a="1"/>
  <c r="CP738" i="13" s="1"/>
  <c r="BZ746" i="13" a="1"/>
  <c r="BZ746" i="13" s="1"/>
  <c r="BV604" i="13" a="1"/>
  <c r="BV604" i="13" s="1"/>
  <c r="CP554" i="13" a="1"/>
  <c r="CP554" i="13" s="1"/>
  <c r="CP512" i="13" a="1"/>
  <c r="CP512" i="13" s="1"/>
  <c r="BZ260" i="13" a="1"/>
  <c r="BZ260" i="13" s="1"/>
  <c r="BV452" i="13" a="1"/>
  <c r="BV452" i="13" s="1"/>
  <c r="CT178" i="13" a="1"/>
  <c r="CT178" i="13" s="1"/>
  <c r="CT370" i="13" a="1"/>
  <c r="CT370" i="13" s="1"/>
  <c r="CZ378" i="13"/>
  <c r="Z378" i="13" s="1"/>
  <c r="AF378" i="13" s="1"/>
  <c r="CP158" i="13" a="1"/>
  <c r="CP158" i="13" s="1"/>
  <c r="BP321" i="13"/>
  <c r="BQ321" i="13" s="1"/>
  <c r="BR321" i="13" s="1" a="1"/>
  <c r="BR321" i="13" s="1"/>
  <c r="BV150" i="13" a="1"/>
  <c r="BV150" i="13" s="1"/>
  <c r="CT42" i="13" a="1"/>
  <c r="CT42" i="13" s="1"/>
  <c r="CN86" i="13"/>
  <c r="CO86" i="13" s="1"/>
  <c r="BZ92" i="13" a="1"/>
  <c r="BZ92" i="13" s="1"/>
  <c r="CT104" i="13" a="1"/>
  <c r="CT104" i="13" s="1"/>
  <c r="BZ44" i="13" a="1"/>
  <c r="BZ44" i="13" s="1"/>
  <c r="BX1001" i="13"/>
  <c r="BY1001" i="13" s="1"/>
  <c r="BV1008" i="13" a="1"/>
  <c r="BV1008" i="13" s="1"/>
  <c r="CP980" i="13" a="1"/>
  <c r="CP980" i="13" s="1"/>
  <c r="CB1012" i="13"/>
  <c r="CC1012" i="13" s="1"/>
  <c r="CV901" i="13"/>
  <c r="CW901" i="13" s="1"/>
  <c r="BV818" i="13" a="1"/>
  <c r="BV818" i="13" s="1"/>
  <c r="CR869" i="13"/>
  <c r="CS869" i="13" s="1"/>
  <c r="BZ991" i="13" a="1"/>
  <c r="BZ991" i="13" s="1"/>
  <c r="CR877" i="13"/>
  <c r="CS877" i="13" s="1"/>
  <c r="CP966" i="13" a="1"/>
  <c r="CP966" i="13" s="1"/>
  <c r="CP976" i="13" a="1"/>
  <c r="CP976" i="13" s="1"/>
  <c r="CP936" i="13" a="1"/>
  <c r="CP936" i="13" s="1"/>
  <c r="CP920" i="13" a="1"/>
  <c r="CP920" i="13" s="1"/>
  <c r="BZ799" i="13" a="1"/>
  <c r="BZ799" i="13" s="1"/>
  <c r="BP887" i="13"/>
  <c r="BQ887" i="13" s="1"/>
  <c r="BR887" i="13" s="1" a="1"/>
  <c r="BR887" i="13" s="1"/>
  <c r="CR881" i="13"/>
  <c r="CS881" i="13" s="1"/>
  <c r="CT881" i="13" s="1" a="1"/>
  <c r="CT881" i="13" s="1"/>
  <c r="BP926" i="13"/>
  <c r="BQ926" i="13" s="1"/>
  <c r="BR926" i="13" s="1" a="1"/>
  <c r="BR926" i="13" s="1"/>
  <c r="CT910" i="13" a="1"/>
  <c r="CT910" i="13" s="1"/>
  <c r="CR875" i="13"/>
  <c r="CS875" i="13" s="1"/>
  <c r="CR782" i="13"/>
  <c r="CS782" i="13" s="1"/>
  <c r="CN875" i="13"/>
  <c r="CO875" i="13" s="1"/>
  <c r="CR920" i="13"/>
  <c r="CS920" i="13" s="1"/>
  <c r="CX920" i="13" s="1" a="1"/>
  <c r="CX920" i="13" s="1"/>
  <c r="BV824" i="13" a="1"/>
  <c r="BV824" i="13" s="1"/>
  <c r="CR863" i="13"/>
  <c r="CS863" i="13" s="1"/>
  <c r="CT863" i="13" s="1" a="1"/>
  <c r="CT863" i="13" s="1"/>
  <c r="BX812" i="13"/>
  <c r="BY812" i="13" s="1"/>
  <c r="BP818" i="13"/>
  <c r="BQ818" i="13" s="1"/>
  <c r="BR818" i="13" s="1" a="1"/>
  <c r="BR818" i="13" s="1"/>
  <c r="CJ1005" i="13"/>
  <c r="CK1005" i="13" s="1"/>
  <c r="CL1005" i="13" s="1" a="1"/>
  <c r="CL1005" i="13" s="1"/>
  <c r="CT933" i="13" a="1"/>
  <c r="CT933" i="13" s="1"/>
  <c r="CP993" i="13" a="1"/>
  <c r="CP993" i="13" s="1"/>
  <c r="CT797" i="13" a="1"/>
  <c r="CT797" i="13" s="1"/>
  <c r="CF721" i="13"/>
  <c r="R721" i="13" s="1"/>
  <c r="AF721" i="13" s="1"/>
  <c r="CP700" i="13" a="1"/>
  <c r="CP700" i="13" s="1"/>
  <c r="CP610" i="13" a="1"/>
  <c r="CP610" i="13" s="1"/>
  <c r="CR606" i="13"/>
  <c r="CS606" i="13" s="1"/>
  <c r="CT516" i="13" a="1"/>
  <c r="CT516" i="13" s="1"/>
  <c r="CR472" i="13"/>
  <c r="CS472" i="13" s="1"/>
  <c r="BV736" i="13" a="1"/>
  <c r="BV736" i="13" s="1"/>
  <c r="BT648" i="13"/>
  <c r="BU648" i="13" s="1"/>
  <c r="CN509" i="13"/>
  <c r="CO509" i="13" s="1"/>
  <c r="CT509" i="13" s="1" a="1"/>
  <c r="CT509" i="13" s="1"/>
  <c r="BV777" i="13" a="1"/>
  <c r="BV777" i="13" s="1"/>
  <c r="BZ744" i="13" a="1"/>
  <c r="BZ744" i="13" s="1"/>
  <c r="CP730" i="13" a="1"/>
  <c r="CP730" i="13" s="1"/>
  <c r="BX681" i="13"/>
  <c r="BY681" i="13" s="1"/>
  <c r="BZ681" i="13" s="1" a="1"/>
  <c r="BZ681" i="13" s="1"/>
  <c r="CT595" i="13" a="1"/>
  <c r="CT595" i="13" s="1"/>
  <c r="BP493" i="13"/>
  <c r="BQ493" i="13" s="1"/>
  <c r="BR493" i="13" s="1" a="1"/>
  <c r="BR493" i="13" s="1"/>
  <c r="CP805" i="13" a="1"/>
  <c r="CP805" i="13" s="1"/>
  <c r="BV592" i="13" a="1"/>
  <c r="BV592" i="13" s="1"/>
  <c r="CB580" i="13"/>
  <c r="CC580" i="13" s="1"/>
  <c r="BV712" i="13" a="1"/>
  <c r="BV712" i="13" s="1"/>
  <c r="CB638" i="13"/>
  <c r="CC638" i="13" s="1"/>
  <c r="BZ532" i="13" a="1"/>
  <c r="BZ532" i="13" s="1"/>
  <c r="CT486" i="13" a="1"/>
  <c r="CT486" i="13" s="1"/>
  <c r="CP497" i="13" a="1"/>
  <c r="CP497" i="13" s="1"/>
  <c r="BV499" i="13" a="1"/>
  <c r="BV499" i="13" s="1"/>
  <c r="BZ474" i="13" a="1"/>
  <c r="BZ474" i="13" s="1"/>
  <c r="BV742" i="13" a="1"/>
  <c r="BV742" i="13" s="1"/>
  <c r="BZ732" i="13" a="1"/>
  <c r="BZ732" i="13" s="1"/>
  <c r="BV698" i="13" a="1"/>
  <c r="BV698" i="13" s="1"/>
  <c r="CP510" i="13" a="1"/>
  <c r="CP510" i="13" s="1"/>
  <c r="BT334" i="13"/>
  <c r="BU334" i="13" s="1"/>
  <c r="CT264" i="13" a="1"/>
  <c r="CT264" i="13" s="1"/>
  <c r="AF164" i="13"/>
  <c r="CP450" i="13" a="1"/>
  <c r="CP450" i="13" s="1"/>
  <c r="BV369" i="13" a="1"/>
  <c r="BV369" i="13" s="1"/>
  <c r="CT339" i="13" a="1"/>
  <c r="CT339" i="13" s="1"/>
  <c r="CB166" i="13"/>
  <c r="CC166" i="13" s="1"/>
  <c r="CP284" i="13" a="1"/>
  <c r="CP284" i="13" s="1"/>
  <c r="BV258" i="13" a="1"/>
  <c r="BV258" i="13" s="1"/>
  <c r="BV366" i="13" a="1"/>
  <c r="BV366" i="13" s="1"/>
  <c r="CT422" i="13" a="1"/>
  <c r="CT422" i="13" s="1"/>
  <c r="BV266" i="13" a="1"/>
  <c r="BV266" i="13" s="1"/>
  <c r="BV230" i="13" a="1"/>
  <c r="BV230" i="13" s="1"/>
  <c r="CP211" i="13" a="1"/>
  <c r="CP211" i="13" s="1"/>
  <c r="CV287" i="13"/>
  <c r="CW287" i="13" s="1"/>
  <c r="CT155" i="13" a="1"/>
  <c r="CT155" i="13" s="1"/>
  <c r="CT151" i="13" a="1"/>
  <c r="CT151" i="13" s="1"/>
  <c r="CB138" i="13"/>
  <c r="CC138" i="13" s="1"/>
  <c r="CT314" i="13" a="1"/>
  <c r="CT314" i="13" s="1"/>
  <c r="CT216" i="13" a="1"/>
  <c r="CT216" i="13" s="1"/>
  <c r="BZ143" i="13" a="1"/>
  <c r="BZ143" i="13" s="1"/>
  <c r="CJ112" i="13"/>
  <c r="CK112" i="13" s="1"/>
  <c r="CL112" i="13" s="1" a="1"/>
  <c r="CL112" i="13" s="1"/>
  <c r="CP37" i="13" a="1"/>
  <c r="CP37" i="13" s="1"/>
  <c r="BX68" i="13"/>
  <c r="BY68" i="13" s="1"/>
  <c r="BV35" i="13" a="1"/>
  <c r="BV35" i="13" s="1"/>
  <c r="CP27" i="13" a="1"/>
  <c r="CP27" i="13" s="1"/>
  <c r="CR116" i="13"/>
  <c r="CS116" i="13" s="1"/>
  <c r="CB86" i="13"/>
  <c r="CC86" i="13" s="1"/>
  <c r="CB100" i="13"/>
  <c r="CC100" i="13" s="1"/>
  <c r="BZ96" i="13" a="1"/>
  <c r="BZ96" i="13" s="1"/>
  <c r="BX1012" i="13"/>
  <c r="BY1012" i="13" s="1"/>
  <c r="BZ1012" i="13" s="1" a="1"/>
  <c r="BZ1012" i="13" s="1"/>
  <c r="CR918" i="13"/>
  <c r="CS918" i="13" s="1"/>
  <c r="CT850" i="13" a="1"/>
  <c r="CT850" i="13" s="1"/>
  <c r="BX997" i="13"/>
  <c r="BY997" i="13" s="1"/>
  <c r="BZ952" i="13" a="1"/>
  <c r="BZ952" i="13" s="1"/>
  <c r="BP912" i="13"/>
  <c r="BQ912" i="13" s="1"/>
  <c r="BR912" i="13" s="1" a="1"/>
  <c r="BR912" i="13" s="1"/>
  <c r="CR766" i="13"/>
  <c r="CS766" i="13" s="1"/>
  <c r="CT929" i="13" a="1"/>
  <c r="CT929" i="13" s="1"/>
  <c r="CJ887" i="13"/>
  <c r="CK887" i="13" s="1"/>
  <c r="CL887" i="13" s="1" a="1"/>
  <c r="CL887" i="13" s="1"/>
  <c r="CN1021" i="13"/>
  <c r="CO1021" i="13" s="1"/>
  <c r="CT1021" i="13" s="1" a="1"/>
  <c r="CT1021" i="13" s="1"/>
  <c r="BZ977" i="13" a="1"/>
  <c r="BZ977" i="13" s="1"/>
  <c r="BZ992" i="13" a="1"/>
  <c r="BZ992" i="13" s="1"/>
  <c r="CJ926" i="13"/>
  <c r="CK926" i="13" s="1"/>
  <c r="CL926" i="13" s="1" a="1"/>
  <c r="CL926" i="13" s="1"/>
  <c r="CR871" i="13"/>
  <c r="CS871" i="13" s="1"/>
  <c r="CT871" i="13" s="1" a="1"/>
  <c r="CT871" i="13" s="1"/>
  <c r="CT962" i="13" a="1"/>
  <c r="CT962" i="13" s="1"/>
  <c r="CP913" i="13" a="1"/>
  <c r="CP913" i="13" s="1"/>
  <c r="CR992" i="13"/>
  <c r="CS992" i="13" s="1"/>
  <c r="BV988" i="13" a="1"/>
  <c r="BV988" i="13" s="1"/>
  <c r="BV898" i="13" a="1"/>
  <c r="BV898" i="13" s="1"/>
  <c r="BP812" i="13"/>
  <c r="BQ812" i="13" s="1"/>
  <c r="BR812" i="13" s="1" a="1"/>
  <c r="BR812" i="13" s="1"/>
  <c r="CJ818" i="13"/>
  <c r="CK818" i="13" s="1"/>
  <c r="CL818" i="13" s="1" a="1"/>
  <c r="CL818" i="13" s="1"/>
  <c r="CJ1009" i="13"/>
  <c r="CK1009" i="13" s="1"/>
  <c r="CL1009" i="13" s="1" a="1"/>
  <c r="CL1009" i="13" s="1"/>
  <c r="BV960" i="13" a="1"/>
  <c r="BV960" i="13" s="1"/>
  <c r="BV978" i="13" a="1"/>
  <c r="BV978" i="13" s="1"/>
  <c r="CT860" i="13" a="1"/>
  <c r="CT860" i="13" s="1"/>
  <c r="CP601" i="13" a="1"/>
  <c r="CP601" i="13" s="1"/>
  <c r="CR557" i="13"/>
  <c r="CS557" i="13" s="1"/>
  <c r="CR628" i="13"/>
  <c r="CS628" i="13" s="1"/>
  <c r="BP501" i="13"/>
  <c r="BQ501" i="13" s="1"/>
  <c r="BR501" i="13" s="1" a="1"/>
  <c r="BR501" i="13" s="1"/>
  <c r="BV763" i="13" a="1"/>
  <c r="BV763" i="13" s="1"/>
  <c r="CR439" i="13"/>
  <c r="CS439" i="13" s="1"/>
  <c r="CP712" i="13" a="1"/>
  <c r="CP712" i="13" s="1"/>
  <c r="CT742" i="13" a="1"/>
  <c r="CT742" i="13" s="1"/>
  <c r="BZ324" i="13" a="1"/>
  <c r="BZ324" i="13" s="1"/>
  <c r="CZ164" i="13"/>
  <c r="Z164" i="13" s="1"/>
  <c r="CP258" i="13" a="1"/>
  <c r="CP258" i="13" s="1"/>
  <c r="CP134" i="13" a="1"/>
  <c r="CP134" i="13" s="1"/>
  <c r="CF136" i="13"/>
  <c r="R136" i="13" s="1"/>
  <c r="CN154" i="13"/>
  <c r="CO154" i="13" s="1"/>
  <c r="CP154" i="13" s="1" a="1"/>
  <c r="CP154" i="13" s="1"/>
  <c r="CD389" i="13" a="1"/>
  <c r="CD389" i="13" s="1"/>
  <c r="CE389" i="13" a="1"/>
  <c r="CE389" i="13" s="1"/>
  <c r="BZ189" i="13" a="1"/>
  <c r="BZ189" i="13" s="1"/>
  <c r="CZ686" i="13"/>
  <c r="Z686" i="13" s="1"/>
  <c r="CZ715" i="13"/>
  <c r="Z715" i="13" s="1"/>
  <c r="CZ291" i="13"/>
  <c r="Z291" i="13" s="1"/>
  <c r="CZ727" i="13"/>
  <c r="Z727" i="13" s="1"/>
  <c r="CZ717" i="13"/>
  <c r="Z717" i="13" s="1"/>
  <c r="CF339" i="13"/>
  <c r="R339" i="13" s="1"/>
  <c r="CF247" i="13"/>
  <c r="R247" i="13" s="1"/>
  <c r="CZ339" i="13"/>
  <c r="Z339" i="13" s="1"/>
  <c r="CZ430" i="13"/>
  <c r="Z430" i="13" s="1"/>
  <c r="CF276" i="13"/>
  <c r="R276" i="13" s="1"/>
  <c r="CZ389" i="13"/>
  <c r="Z389" i="13" s="1"/>
  <c r="CZ721" i="13"/>
  <c r="Z721" i="13" s="1"/>
  <c r="CZ703" i="13"/>
  <c r="Z703" i="13" s="1"/>
  <c r="CZ735" i="13"/>
  <c r="Z735" i="13" s="1"/>
  <c r="CZ731" i="13"/>
  <c r="Z731" i="13" s="1"/>
  <c r="CF272" i="13"/>
  <c r="R272" i="13" s="1"/>
  <c r="CZ220" i="13"/>
  <c r="Z220" i="13" s="1"/>
  <c r="AF220" i="13" s="1"/>
  <c r="AF203" i="13"/>
  <c r="CF380" i="13"/>
  <c r="R380" i="13" s="1"/>
  <c r="CZ149" i="13"/>
  <c r="Z149" i="13" s="1"/>
  <c r="CF613" i="13"/>
  <c r="R613" i="13" s="1"/>
  <c r="CZ278" i="13"/>
  <c r="Z278" i="13" s="1"/>
  <c r="CF349" i="13"/>
  <c r="R349" i="13" s="1"/>
  <c r="AF156" i="13"/>
  <c r="CZ146" i="13"/>
  <c r="Z146" i="13" s="1"/>
  <c r="CZ705" i="13"/>
  <c r="Z705" i="13" s="1"/>
  <c r="CZ395" i="13"/>
  <c r="Z395" i="13" s="1"/>
  <c r="CZ292" i="13"/>
  <c r="Z292" i="13" s="1"/>
  <c r="AF292" i="13" s="1"/>
  <c r="CF378" i="13"/>
  <c r="R378" i="13" s="1"/>
  <c r="CZ241" i="13"/>
  <c r="Z241" i="13" s="1"/>
  <c r="CZ205" i="13"/>
  <c r="Z205" i="13" s="1"/>
  <c r="CZ259" i="13"/>
  <c r="Z259" i="13" s="1"/>
  <c r="CF398" i="13"/>
  <c r="R398" i="13" s="1"/>
  <c r="CP938" i="13" a="1"/>
  <c r="CP938" i="13" s="1"/>
  <c r="CZ938" i="13" s="1"/>
  <c r="Z938" i="13" s="1"/>
  <c r="CP922" i="13" a="1"/>
  <c r="CP922" i="13" s="1"/>
  <c r="CE883" i="13" a="1"/>
  <c r="CE883" i="13" s="1"/>
  <c r="CE1019" i="13" a="1"/>
  <c r="CE1019" i="13" s="1"/>
  <c r="CY1017" i="13" a="1"/>
  <c r="CY1017" i="13" s="1"/>
  <c r="CX1017" i="13" a="1"/>
  <c r="CX1017" i="13" s="1"/>
  <c r="BV816" i="13" a="1"/>
  <c r="BV816" i="13" s="1"/>
  <c r="CX855" i="13" a="1"/>
  <c r="CX855" i="13" s="1"/>
  <c r="CY855" i="13" a="1"/>
  <c r="CY855" i="13" s="1"/>
  <c r="BZ837" i="13" a="1"/>
  <c r="BZ837" i="13" s="1"/>
  <c r="CE992" i="13" a="1"/>
  <c r="CE992" i="13" s="1"/>
  <c r="CD992" i="13" a="1"/>
  <c r="CD992" i="13" s="1"/>
  <c r="BV928" i="13" a="1"/>
  <c r="BV928" i="13" s="1"/>
  <c r="BV881" i="13" a="1"/>
  <c r="BV881" i="13" s="1"/>
  <c r="CY912" i="13" a="1"/>
  <c r="CY912" i="13" s="1"/>
  <c r="CX912" i="13" a="1"/>
  <c r="CX912" i="13" s="1"/>
  <c r="CD887" i="13" a="1"/>
  <c r="CD887" i="13" s="1"/>
  <c r="CE887" i="13" a="1"/>
  <c r="CE887" i="13" s="1"/>
  <c r="CY996" i="13" a="1"/>
  <c r="CY996" i="13" s="1"/>
  <c r="CX996" i="13" a="1"/>
  <c r="CX996" i="13" s="1"/>
  <c r="BZ1014" i="13" a="1"/>
  <c r="BZ1014" i="13" s="1"/>
  <c r="CY914" i="13" a="1"/>
  <c r="CY914" i="13" s="1"/>
  <c r="CX914" i="13" a="1"/>
  <c r="CX914" i="13" s="1"/>
  <c r="CY885" i="13" a="1"/>
  <c r="CY885" i="13" s="1"/>
  <c r="CX885" i="13" a="1"/>
  <c r="CX885" i="13" s="1"/>
  <c r="CY875" i="13" a="1"/>
  <c r="CY875" i="13" s="1"/>
  <c r="CX875" i="13" a="1"/>
  <c r="CX875" i="13" s="1"/>
  <c r="CX847" i="13" a="1"/>
  <c r="CX847" i="13" s="1"/>
  <c r="CY847" i="13" a="1"/>
  <c r="CY847" i="13" s="1"/>
  <c r="BZ818" i="13" a="1"/>
  <c r="BZ818" i="13" s="1"/>
  <c r="CP794" i="13" a="1"/>
  <c r="CP794" i="13" s="1"/>
  <c r="BV1013" i="13" a="1"/>
  <c r="BV1013" i="13" s="1"/>
  <c r="CD806" i="13" a="1"/>
  <c r="CD806" i="13" s="1"/>
  <c r="CE806" i="13" a="1"/>
  <c r="CE806" i="13" s="1"/>
  <c r="CD660" i="13" a="1"/>
  <c r="CD660" i="13" s="1"/>
  <c r="CE660" i="13" a="1"/>
  <c r="CE660" i="13" s="1"/>
  <c r="CD652" i="13" a="1"/>
  <c r="CD652" i="13" s="1"/>
  <c r="CE652" i="13" a="1"/>
  <c r="CE652" i="13" s="1"/>
  <c r="CD629" i="13" a="1"/>
  <c r="CD629" i="13" s="1"/>
  <c r="CE629" i="13" a="1"/>
  <c r="CE629" i="13" s="1"/>
  <c r="CT555" i="13" a="1"/>
  <c r="CT555" i="13" s="1"/>
  <c r="CP491" i="13" a="1"/>
  <c r="CP491" i="13" s="1"/>
  <c r="CY467" i="13" a="1"/>
  <c r="CY467" i="13" s="1"/>
  <c r="CP503" i="13" a="1"/>
  <c r="CP503" i="13" s="1"/>
  <c r="CE816" i="13" a="1"/>
  <c r="CE816" i="13" s="1"/>
  <c r="CD816" i="13" a="1"/>
  <c r="CD816" i="13" s="1"/>
  <c r="CE681" i="13" a="1"/>
  <c r="CE681" i="13" s="1"/>
  <c r="CD681" i="13" a="1"/>
  <c r="CD681" i="13" s="1"/>
  <c r="CP674" i="13" a="1"/>
  <c r="CP674" i="13" s="1"/>
  <c r="CY631" i="13" a="1"/>
  <c r="CY631" i="13" s="1"/>
  <c r="CX631" i="13" a="1"/>
  <c r="CX631" i="13" s="1"/>
  <c r="CP479" i="13" a="1"/>
  <c r="CP479" i="13" s="1"/>
  <c r="CT517" i="13" a="1"/>
  <c r="CT517" i="13" s="1"/>
  <c r="CY677" i="13" a="1"/>
  <c r="CY677" i="13" s="1"/>
  <c r="CX648" i="13" a="1"/>
  <c r="CX648" i="13" s="1"/>
  <c r="CY648" i="13" a="1"/>
  <c r="CY648" i="13" s="1"/>
  <c r="CX638" i="13" a="1"/>
  <c r="CX638" i="13" s="1"/>
  <c r="CY638" i="13" a="1"/>
  <c r="CY638" i="13" s="1"/>
  <c r="CE465" i="13" a="1"/>
  <c r="CE465" i="13" s="1"/>
  <c r="BZ447" i="13" a="1"/>
  <c r="BZ447" i="13" s="1"/>
  <c r="CY448" i="13" a="1"/>
  <c r="CY448" i="13" s="1"/>
  <c r="CX448" i="13" a="1"/>
  <c r="CX448" i="13" s="1"/>
  <c r="CY575" i="13" a="1"/>
  <c r="CY575" i="13" s="1"/>
  <c r="CE543" i="13" a="1"/>
  <c r="CE543" i="13" s="1"/>
  <c r="CD543" i="13" a="1"/>
  <c r="CD543" i="13" s="1"/>
  <c r="CE493" i="13" a="1"/>
  <c r="CE493" i="13" s="1"/>
  <c r="CD493" i="13" a="1"/>
  <c r="CD493" i="13" s="1"/>
  <c r="CX768" i="13" a="1"/>
  <c r="CX768" i="13" s="1"/>
  <c r="CY768" i="13" a="1"/>
  <c r="CY768" i="13" s="1"/>
  <c r="CP760" i="13" a="1"/>
  <c r="CP760" i="13" s="1"/>
  <c r="BV666" i="13" a="1"/>
  <c r="BV666" i="13" s="1"/>
  <c r="CE637" i="13" a="1"/>
  <c r="CE637" i="13" s="1"/>
  <c r="CP672" i="13" a="1"/>
  <c r="CP672" i="13" s="1"/>
  <c r="CE622" i="13" a="1"/>
  <c r="CE622" i="13" s="1"/>
  <c r="CT491" i="13" a="1"/>
  <c r="CT491" i="13" s="1"/>
  <c r="CE760" i="13" a="1"/>
  <c r="CE760" i="13" s="1"/>
  <c r="CD760" i="13" a="1"/>
  <c r="CD760" i="13" s="1"/>
  <c r="CY491" i="13" a="1"/>
  <c r="CY491" i="13" s="1"/>
  <c r="CX491" i="13" a="1"/>
  <c r="CX491" i="13" s="1"/>
  <c r="CX626" i="13" a="1"/>
  <c r="CX626" i="13" s="1"/>
  <c r="CY626" i="13" a="1"/>
  <c r="CY626" i="13" s="1"/>
  <c r="BV459" i="13" a="1"/>
  <c r="BV459" i="13" s="1"/>
  <c r="CE444" i="13" a="1"/>
  <c r="CE444" i="13" s="1"/>
  <c r="CY313" i="13" a="1"/>
  <c r="CY313" i="13" s="1"/>
  <c r="CE301" i="13" a="1"/>
  <c r="CE301" i="13" s="1"/>
  <c r="BZ435" i="13" a="1"/>
  <c r="BZ435" i="13" s="1"/>
  <c r="CY357" i="13" a="1"/>
  <c r="CY357" i="13" s="1"/>
  <c r="CX303" i="13" a="1"/>
  <c r="CX303" i="13" s="1"/>
  <c r="CY303" i="13" a="1"/>
  <c r="CY303" i="13" s="1"/>
  <c r="CE267" i="13" a="1"/>
  <c r="CE267" i="13" s="1"/>
  <c r="BV207" i="13" a="1"/>
  <c r="BV207" i="13" s="1"/>
  <c r="CE194" i="13" a="1"/>
  <c r="CE194" i="13" s="1"/>
  <c r="CX175" i="13" a="1"/>
  <c r="CX175" i="13" s="1"/>
  <c r="CY175" i="13" a="1"/>
  <c r="CY175" i="13" s="1"/>
  <c r="CY309" i="13" a="1"/>
  <c r="CY309" i="13" s="1"/>
  <c r="CX309" i="13" a="1"/>
  <c r="CX309" i="13" s="1"/>
  <c r="CZ309" i="13" s="1"/>
  <c r="Z309" i="13" s="1"/>
  <c r="BZ233" i="13" a="1"/>
  <c r="BZ233" i="13" s="1"/>
  <c r="CE235" i="13" a="1"/>
  <c r="CE235" i="13" s="1"/>
  <c r="CE451" i="13" a="1"/>
  <c r="CE451" i="13" s="1"/>
  <c r="CD451" i="13" a="1"/>
  <c r="CD451" i="13" s="1"/>
  <c r="CT431" i="13" a="1"/>
  <c r="CT431" i="13" s="1"/>
  <c r="CY227" i="13" a="1"/>
  <c r="CY227" i="13" s="1"/>
  <c r="CP369" i="13" a="1"/>
  <c r="CP369" i="13" s="1"/>
  <c r="CZ369" i="13" s="1"/>
  <c r="Z369" i="13" s="1"/>
  <c r="CY332" i="13" a="1"/>
  <c r="CY332" i="13" s="1"/>
  <c r="CX332" i="13" a="1"/>
  <c r="CX332" i="13" s="1"/>
  <c r="CY179" i="13" a="1"/>
  <c r="CY179" i="13" s="1"/>
  <c r="CP392" i="13" a="1"/>
  <c r="CP392" i="13" s="1"/>
  <c r="CP317" i="13" a="1"/>
  <c r="CP317" i="13" s="1"/>
  <c r="CY295" i="13" a="1"/>
  <c r="CY295" i="13" s="1"/>
  <c r="CX295" i="13" a="1"/>
  <c r="CX295" i="13" s="1"/>
  <c r="CT307" i="13" a="1"/>
  <c r="CT307" i="13" s="1"/>
  <c r="BZ172" i="13" a="1"/>
  <c r="BZ172" i="13" s="1"/>
  <c r="BV312" i="13" a="1"/>
  <c r="BV312" i="13" s="1"/>
  <c r="CP174" i="13" a="1"/>
  <c r="CP174" i="13" s="1"/>
  <c r="CT138" i="13" a="1"/>
  <c r="CT138" i="13" s="1"/>
  <c r="CY920" i="13" a="1"/>
  <c r="CY920" i="13" s="1"/>
  <c r="CD879" i="13" a="1"/>
  <c r="CD879" i="13" s="1"/>
  <c r="CE879" i="13" a="1"/>
  <c r="CE879" i="13" s="1"/>
  <c r="CY839" i="13" a="1"/>
  <c r="CY839" i="13" s="1"/>
  <c r="CX839" i="13" a="1"/>
  <c r="CX839" i="13" s="1"/>
  <c r="BZ920" i="13" a="1"/>
  <c r="BZ920" i="13" s="1"/>
  <c r="CT936" i="13" a="1"/>
  <c r="CT936" i="13" s="1"/>
  <c r="CE891" i="13" a="1"/>
  <c r="CE891" i="13" s="1"/>
  <c r="CD875" i="13" a="1"/>
  <c r="CD875" i="13" s="1"/>
  <c r="CE875" i="13" a="1"/>
  <c r="CE875" i="13" s="1"/>
  <c r="CX1005" i="13" a="1"/>
  <c r="CX1005" i="13" s="1"/>
  <c r="CZ1005" i="13" s="1"/>
  <c r="Z1005" i="13" s="1"/>
  <c r="CY1005" i="13" a="1"/>
  <c r="CY1005" i="13" s="1"/>
  <c r="CX762" i="13" a="1"/>
  <c r="CX762" i="13" s="1"/>
  <c r="CY762" i="13" a="1"/>
  <c r="CY762" i="13" s="1"/>
  <c r="BZ993" i="13" a="1"/>
  <c r="BZ993" i="13" s="1"/>
  <c r="CD1016" i="13" a="1"/>
  <c r="CD1016" i="13" s="1"/>
  <c r="CE1016" i="13" a="1"/>
  <c r="CE1016" i="13" s="1"/>
  <c r="BZ938" i="13" a="1"/>
  <c r="BZ938" i="13" s="1"/>
  <c r="CY831" i="13" a="1"/>
  <c r="CY831" i="13" s="1"/>
  <c r="CX831" i="13" a="1"/>
  <c r="CX831" i="13" s="1"/>
  <c r="BV790" i="13" a="1"/>
  <c r="BV790" i="13" s="1"/>
  <c r="CX992" i="13" a="1"/>
  <c r="CX992" i="13" s="1"/>
  <c r="CY992" i="13" a="1"/>
  <c r="CY992" i="13" s="1"/>
  <c r="CT930" i="13" a="1"/>
  <c r="CT930" i="13" s="1"/>
  <c r="CX936" i="13" a="1"/>
  <c r="CX936" i="13" s="1"/>
  <c r="CY936" i="13" a="1"/>
  <c r="CY936" i="13" s="1"/>
  <c r="BZ824" i="13" a="1"/>
  <c r="BZ824" i="13" s="1"/>
  <c r="CE620" i="13" a="1"/>
  <c r="CE620" i="13" s="1"/>
  <c r="CY557" i="13" a="1"/>
  <c r="CY557" i="13" s="1"/>
  <c r="CX557" i="13" a="1"/>
  <c r="CX557" i="13" s="1"/>
  <c r="CY539" i="13" a="1"/>
  <c r="CY539" i="13" s="1"/>
  <c r="BZ485" i="13" a="1"/>
  <c r="BZ485" i="13" s="1"/>
  <c r="CE453" i="13" a="1"/>
  <c r="CE453" i="13" s="1"/>
  <c r="CD523" i="13" a="1"/>
  <c r="CD523" i="13" s="1"/>
  <c r="CE523" i="13" a="1"/>
  <c r="CE523" i="13" s="1"/>
  <c r="CE768" i="13" a="1"/>
  <c r="CE768" i="13" s="1"/>
  <c r="CD768" i="13" a="1"/>
  <c r="CD768" i="13" s="1"/>
  <c r="CX666" i="13" a="1"/>
  <c r="CX666" i="13" s="1"/>
  <c r="CY666" i="13" a="1"/>
  <c r="CY666" i="13" s="1"/>
  <c r="CE670" i="13" a="1"/>
  <c r="CE670" i="13" s="1"/>
  <c r="CD670" i="13" a="1"/>
  <c r="CD670" i="13" s="1"/>
  <c r="CY477" i="13" a="1"/>
  <c r="CY477" i="13" s="1"/>
  <c r="CX439" i="13" a="1"/>
  <c r="CX439" i="13" s="1"/>
  <c r="CY439" i="13" a="1"/>
  <c r="CY439" i="13" s="1"/>
  <c r="CX642" i="13" a="1"/>
  <c r="CX642" i="13" s="1"/>
  <c r="CY642" i="13" a="1"/>
  <c r="CY642" i="13" s="1"/>
  <c r="BV567" i="13" a="1"/>
  <c r="BV567" i="13" s="1"/>
  <c r="BV618" i="13" a="1"/>
  <c r="BV618" i="13" s="1"/>
  <c r="BZ632" i="13" a="1"/>
  <c r="BZ632" i="13" s="1"/>
  <c r="CY475" i="13" a="1"/>
  <c r="CY475" i="13" s="1"/>
  <c r="CX475" i="13" a="1"/>
  <c r="CX475" i="13" s="1"/>
  <c r="CD756" i="13" a="1"/>
  <c r="CD756" i="13" s="1"/>
  <c r="CE756" i="13" a="1"/>
  <c r="CE756" i="13" s="1"/>
  <c r="CE754" i="13" a="1"/>
  <c r="CE754" i="13" s="1"/>
  <c r="CY653" i="13" a="1"/>
  <c r="CY653" i="13" s="1"/>
  <c r="BV768" i="13" a="1"/>
  <c r="BV768" i="13" s="1"/>
  <c r="CY635" i="13" a="1"/>
  <c r="CY635" i="13" s="1"/>
  <c r="CX635" i="13" a="1"/>
  <c r="CX635" i="13" s="1"/>
  <c r="CE621" i="13" a="1"/>
  <c r="CE621" i="13" s="1"/>
  <c r="CP547" i="13" a="1"/>
  <c r="CP547" i="13" s="1"/>
  <c r="CE541" i="13" a="1"/>
  <c r="CE541" i="13" s="1"/>
  <c r="CD541" i="13" a="1"/>
  <c r="CD541" i="13" s="1"/>
  <c r="CT666" i="13" a="1"/>
  <c r="CT666" i="13" s="1"/>
  <c r="CP647" i="13" a="1"/>
  <c r="CP647" i="13" s="1"/>
  <c r="BV575" i="13" a="1"/>
  <c r="BV575" i="13" s="1"/>
  <c r="CY485" i="13" a="1"/>
  <c r="CY485" i="13" s="1"/>
  <c r="CX485" i="13" a="1"/>
  <c r="CX485" i="13" s="1"/>
  <c r="CY555" i="13" a="1"/>
  <c r="CY555" i="13" s="1"/>
  <c r="CX555" i="13" a="1"/>
  <c r="CX555" i="13" s="1"/>
  <c r="CP473" i="13" a="1"/>
  <c r="CP473" i="13" s="1"/>
  <c r="CT452" i="13" a="1"/>
  <c r="CT452" i="13" s="1"/>
  <c r="CY369" i="13" a="1"/>
  <c r="CY369" i="13" s="1"/>
  <c r="CX369" i="13" a="1"/>
  <c r="CX369" i="13" s="1"/>
  <c r="CD321" i="13" a="1"/>
  <c r="CD321" i="13" s="1"/>
  <c r="CE321" i="13" a="1"/>
  <c r="CE321" i="13" s="1"/>
  <c r="CT328" i="13" a="1"/>
  <c r="CT328" i="13" s="1"/>
  <c r="CX352" i="13" a="1"/>
  <c r="CX352" i="13" s="1"/>
  <c r="CY352" i="13" a="1"/>
  <c r="CY352" i="13" s="1"/>
  <c r="CD308" i="13" a="1"/>
  <c r="CD308" i="13" s="1"/>
  <c r="CE308" i="13" a="1"/>
  <c r="CE308" i="13" s="1"/>
  <c r="CE250" i="13" a="1"/>
  <c r="CE250" i="13" s="1"/>
  <c r="BV227" i="13" a="1"/>
  <c r="BV227" i="13" s="1"/>
  <c r="CX451" i="13" a="1"/>
  <c r="CX451" i="13" s="1"/>
  <c r="CY451" i="13" a="1"/>
  <c r="CY451" i="13" s="1"/>
  <c r="CT309" i="13" a="1"/>
  <c r="CT309" i="13" s="1"/>
  <c r="CY229" i="13" a="1"/>
  <c r="CY229" i="13" s="1"/>
  <c r="CY363" i="13" a="1"/>
  <c r="CY363" i="13" s="1"/>
  <c r="CX363" i="13" a="1"/>
  <c r="CX363" i="13" s="1"/>
  <c r="CY301" i="13" a="1"/>
  <c r="CY301" i="13" s="1"/>
  <c r="CX301" i="13" a="1"/>
  <c r="CX301" i="13" s="1"/>
  <c r="CE256" i="13" a="1"/>
  <c r="CE256" i="13" s="1"/>
  <c r="CY173" i="13" a="1"/>
  <c r="CY173" i="13" s="1"/>
  <c r="CT473" i="13" a="1"/>
  <c r="CT473" i="13" s="1"/>
  <c r="CY318" i="13" a="1"/>
  <c r="CY318" i="13" s="1"/>
  <c r="CX318" i="13" a="1"/>
  <c r="CX318" i="13" s="1"/>
  <c r="BV326" i="13" a="1"/>
  <c r="BV326" i="13" s="1"/>
  <c r="CP176" i="13" a="1"/>
  <c r="CP176" i="13" s="1"/>
  <c r="CY137" i="13" a="1"/>
  <c r="CY137" i="13" s="1"/>
  <c r="CY125" i="13" a="1"/>
  <c r="CY125" i="13" s="1"/>
  <c r="AF247" i="13"/>
  <c r="CE154" i="13" a="1"/>
  <c r="CE154" i="13" s="1"/>
  <c r="CD1009" i="13" a="1"/>
  <c r="CD1009" i="13" s="1"/>
  <c r="CE1009" i="13" a="1"/>
  <c r="CE1009" i="13" s="1"/>
  <c r="CD871" i="13" a="1"/>
  <c r="CD871" i="13" s="1"/>
  <c r="CE871" i="13" a="1"/>
  <c r="CE871" i="13" s="1"/>
  <c r="CD889" i="13" a="1"/>
  <c r="CD889" i="13" s="1"/>
  <c r="CE889" i="13" a="1"/>
  <c r="CE889" i="13" s="1"/>
  <c r="CY934" i="13" a="1"/>
  <c r="CY934" i="13" s="1"/>
  <c r="CX820" i="13" a="1"/>
  <c r="CX820" i="13" s="1"/>
  <c r="CY820" i="13" a="1"/>
  <c r="CY820" i="13" s="1"/>
  <c r="BZ802" i="13" a="1"/>
  <c r="BZ802" i="13" s="1"/>
  <c r="CD930" i="13" a="1"/>
  <c r="CD930" i="13" s="1"/>
  <c r="CE930" i="13" a="1"/>
  <c r="CE930" i="13" s="1"/>
  <c r="CY758" i="13" a="1"/>
  <c r="CY758" i="13" s="1"/>
  <c r="CX758" i="13" a="1"/>
  <c r="CX758" i="13" s="1"/>
  <c r="CE1008" i="13" a="1"/>
  <c r="CE1008" i="13" s="1"/>
  <c r="CE932" i="13" a="1"/>
  <c r="CE932" i="13" s="1"/>
  <c r="CD932" i="13" a="1"/>
  <c r="CD932" i="13" s="1"/>
  <c r="CT841" i="13" a="1"/>
  <c r="CT841" i="13" s="1"/>
  <c r="CY824" i="13" a="1"/>
  <c r="CY824" i="13" s="1"/>
  <c r="CX824" i="13" a="1"/>
  <c r="CX824" i="13" s="1"/>
  <c r="CP871" i="13" a="1"/>
  <c r="CP871" i="13" s="1"/>
  <c r="BZ841" i="13" a="1"/>
  <c r="BZ841" i="13" s="1"/>
  <c r="CY812" i="13" a="1"/>
  <c r="CY812" i="13" s="1"/>
  <c r="CX812" i="13" a="1"/>
  <c r="CX812" i="13" s="1"/>
  <c r="CT1006" i="13" a="1"/>
  <c r="CT1006" i="13" s="1"/>
  <c r="CE920" i="13" a="1"/>
  <c r="CE920" i="13" s="1"/>
  <c r="CD920" i="13" a="1"/>
  <c r="CD920" i="13" s="1"/>
  <c r="CY535" i="13" a="1"/>
  <c r="CY535" i="13" s="1"/>
  <c r="CY453" i="13" a="1"/>
  <c r="CY453" i="13" s="1"/>
  <c r="CD515" i="13" a="1"/>
  <c r="CD515" i="13" s="1"/>
  <c r="CE515" i="13" a="1"/>
  <c r="CE515" i="13" s="1"/>
  <c r="CY655" i="13" a="1"/>
  <c r="CY655" i="13" s="1"/>
  <c r="CY602" i="13" a="1"/>
  <c r="CY602" i="13" s="1"/>
  <c r="CE646" i="13" a="1"/>
  <c r="CE646" i="13" s="1"/>
  <c r="CD646" i="13" a="1"/>
  <c r="CD646" i="13" s="1"/>
  <c r="CE598" i="13" a="1"/>
  <c r="CE598" i="13" s="1"/>
  <c r="CX764" i="13" a="1"/>
  <c r="CX764" i="13" s="1"/>
  <c r="CY764" i="13" a="1"/>
  <c r="CY764" i="13" s="1"/>
  <c r="CY680" i="13" a="1"/>
  <c r="CY680" i="13" s="1"/>
  <c r="CY628" i="13" a="1"/>
  <c r="CY628" i="13" s="1"/>
  <c r="CX628" i="13" a="1"/>
  <c r="CX628" i="13" s="1"/>
  <c r="CE624" i="13" a="1"/>
  <c r="CE624" i="13" s="1"/>
  <c r="CE643" i="13" a="1"/>
  <c r="CE643" i="13" s="1"/>
  <c r="CE457" i="13" a="1"/>
  <c r="CE457" i="13" s="1"/>
  <c r="CD457" i="13" a="1"/>
  <c r="CD457" i="13" s="1"/>
  <c r="CE604" i="13" a="1"/>
  <c r="CE604" i="13" s="1"/>
  <c r="CD604" i="13" a="1"/>
  <c r="CD604" i="13" s="1"/>
  <c r="CF604" i="13" s="1"/>
  <c r="R604" i="13" s="1"/>
  <c r="CE464" i="13" a="1"/>
  <c r="CE464" i="13" s="1"/>
  <c r="CD824" i="13" a="1"/>
  <c r="CD824" i="13" s="1"/>
  <c r="CE824" i="13" a="1"/>
  <c r="CE824" i="13" s="1"/>
  <c r="CP776" i="13" a="1"/>
  <c r="CP776" i="13" s="1"/>
  <c r="CY646" i="13" a="1"/>
  <c r="CY646" i="13" s="1"/>
  <c r="CD680" i="13" a="1"/>
  <c r="CD680" i="13" s="1"/>
  <c r="CE680" i="13" a="1"/>
  <c r="CE680" i="13" s="1"/>
  <c r="CP649" i="13" a="1"/>
  <c r="CP649" i="13" s="1"/>
  <c r="CE547" i="13" a="1"/>
  <c r="CE547" i="13" s="1"/>
  <c r="CD547" i="13" a="1"/>
  <c r="CD547" i="13" s="1"/>
  <c r="CX537" i="13" a="1"/>
  <c r="CX537" i="13" s="1"/>
  <c r="CY537" i="13" a="1"/>
  <c r="CY537" i="13" s="1"/>
  <c r="CX592" i="13" a="1"/>
  <c r="CX592" i="13" s="1"/>
  <c r="CY592" i="13" a="1"/>
  <c r="CY592" i="13" s="1"/>
  <c r="BZ555" i="13" a="1"/>
  <c r="BZ555" i="13" s="1"/>
  <c r="CY447" i="13" a="1"/>
  <c r="CY447" i="13" s="1"/>
  <c r="CX447" i="13" a="1"/>
  <c r="CX447" i="13" s="1"/>
  <c r="CP641" i="13" a="1"/>
  <c r="CP641" i="13" s="1"/>
  <c r="CY346" i="13" a="1"/>
  <c r="CY346" i="13" s="1"/>
  <c r="CX346" i="13" a="1"/>
  <c r="CX346" i="13" s="1"/>
  <c r="CY157" i="13" a="1"/>
  <c r="CY157" i="13" s="1"/>
  <c r="CT279" i="13" a="1"/>
  <c r="CT279" i="13" s="1"/>
  <c r="CY186" i="13" a="1"/>
  <c r="CY186" i="13" s="1"/>
  <c r="BZ388" i="13" a="1"/>
  <c r="BZ388" i="13" s="1"/>
  <c r="CX297" i="13" a="1"/>
  <c r="CX297" i="13" s="1"/>
  <c r="CY297" i="13" a="1"/>
  <c r="CY297" i="13" s="1"/>
  <c r="CE172" i="13" a="1"/>
  <c r="CE172" i="13" s="1"/>
  <c r="CD172" i="13" a="1"/>
  <c r="CD172" i="13" s="1"/>
  <c r="BZ443" i="13" a="1"/>
  <c r="BZ443" i="13" s="1"/>
  <c r="AF191" i="13"/>
  <c r="CP161" i="13" a="1"/>
  <c r="CP161" i="13" s="1"/>
  <c r="CT207" i="13" a="1"/>
  <c r="CT207" i="13" s="1"/>
  <c r="CX167" i="13" a="1"/>
  <c r="CX167" i="13" s="1"/>
  <c r="CY167" i="13" a="1"/>
  <c r="CY167" i="13" s="1"/>
  <c r="CD192" i="13" a="1"/>
  <c r="CD192" i="13" s="1"/>
  <c r="CE192" i="13" a="1"/>
  <c r="CE192" i="13" s="1"/>
  <c r="BZ168" i="13" a="1"/>
  <c r="BZ168" i="13" s="1"/>
  <c r="CF168" i="13" s="1"/>
  <c r="R168" i="13" s="1"/>
  <c r="CD168" i="13" a="1"/>
  <c r="CD168" i="13" s="1"/>
  <c r="CE168" i="13" a="1"/>
  <c r="CE168" i="13" s="1"/>
  <c r="CX138" i="13" a="1"/>
  <c r="CX138" i="13" s="1"/>
  <c r="CY138" i="13" a="1"/>
  <c r="CY138" i="13" s="1"/>
  <c r="CD140" i="13" a="1"/>
  <c r="CD140" i="13" s="1"/>
  <c r="CE140" i="13" a="1"/>
  <c r="CE140" i="13" s="1"/>
  <c r="CE138" i="13" a="1"/>
  <c r="CE138" i="13" s="1"/>
  <c r="CX154" i="13" a="1"/>
  <c r="CX154" i="13" s="1"/>
  <c r="CY154" i="13" a="1"/>
  <c r="CY154" i="13" s="1"/>
  <c r="CE993" i="13" a="1"/>
  <c r="CE993" i="13" s="1"/>
  <c r="CD993" i="13" a="1"/>
  <c r="CD993" i="13" s="1"/>
  <c r="BV930" i="13" a="1"/>
  <c r="BV930" i="13" s="1"/>
  <c r="BV914" i="13" a="1"/>
  <c r="BV914" i="13" s="1"/>
  <c r="CE855" i="13" a="1"/>
  <c r="CE855" i="13" s="1"/>
  <c r="CX861" i="13" a="1"/>
  <c r="CX861" i="13" s="1"/>
  <c r="CY861" i="13" a="1"/>
  <c r="CY861" i="13" s="1"/>
  <c r="CY1014" i="13" a="1"/>
  <c r="CY1014" i="13" s="1"/>
  <c r="CX1014" i="13" a="1"/>
  <c r="CX1014" i="13" s="1"/>
  <c r="CX993" i="13" a="1"/>
  <c r="CX993" i="13" s="1"/>
  <c r="CY993" i="13" a="1"/>
  <c r="CY993" i="13" s="1"/>
  <c r="CE857" i="13" a="1"/>
  <c r="CE857" i="13" s="1"/>
  <c r="BV867" i="13" a="1"/>
  <c r="BV867" i="13" s="1"/>
  <c r="CE1013" i="13" a="1"/>
  <c r="CE1013" i="13" s="1"/>
  <c r="CD1013" i="13" a="1"/>
  <c r="CD1013" i="13" s="1"/>
  <c r="BV999" i="13" a="1"/>
  <c r="BV999" i="13" s="1"/>
  <c r="CZ936" i="13"/>
  <c r="Z936" i="13" s="1"/>
  <c r="CY877" i="13" a="1"/>
  <c r="CY877" i="13" s="1"/>
  <c r="CX877" i="13" a="1"/>
  <c r="CX877" i="13" s="1"/>
  <c r="BZ863" i="13" a="1"/>
  <c r="BZ863" i="13" s="1"/>
  <c r="BZ887" i="13" a="1"/>
  <c r="BZ887" i="13" s="1"/>
  <c r="CY879" i="13" a="1"/>
  <c r="CY879" i="13" s="1"/>
  <c r="CX879" i="13" a="1"/>
  <c r="CX879" i="13" s="1"/>
  <c r="CY922" i="13" a="1"/>
  <c r="CY922" i="13" s="1"/>
  <c r="CD926" i="13" a="1"/>
  <c r="CD926" i="13" s="1"/>
  <c r="CE926" i="13" a="1"/>
  <c r="CE926" i="13" s="1"/>
  <c r="CX887" i="13" a="1"/>
  <c r="CX887" i="13" s="1"/>
  <c r="CY887" i="13" a="1"/>
  <c r="CY887" i="13" s="1"/>
  <c r="BV910" i="13" a="1"/>
  <c r="BV910" i="13" s="1"/>
  <c r="BV806" i="13" a="1"/>
  <c r="BV806" i="13" s="1"/>
  <c r="CF806" i="13" s="1"/>
  <c r="R806" i="13" s="1"/>
  <c r="BZ1017" i="13" a="1"/>
  <c r="BZ1017" i="13" s="1"/>
  <c r="CX926" i="13" a="1"/>
  <c r="CX926" i="13" s="1"/>
  <c r="CY926" i="13" a="1"/>
  <c r="CY926" i="13" s="1"/>
  <c r="CD885" i="13" a="1"/>
  <c r="CD885" i="13" s="1"/>
  <c r="CE885" i="13" a="1"/>
  <c r="CE885" i="13" s="1"/>
  <c r="BZ833" i="13" a="1"/>
  <c r="BZ833" i="13" s="1"/>
  <c r="CX782" i="13" a="1"/>
  <c r="CX782" i="13" s="1"/>
  <c r="CY782" i="13" a="1"/>
  <c r="CY782" i="13" s="1"/>
  <c r="CF1009" i="13"/>
  <c r="R1009" i="13" s="1"/>
  <c r="CT996" i="13" a="1"/>
  <c r="CT996" i="13" s="1"/>
  <c r="CE1014" i="13" a="1"/>
  <c r="CE1014" i="13" s="1"/>
  <c r="CD1014" i="13" a="1"/>
  <c r="CD1014" i="13" s="1"/>
  <c r="CX930" i="13" a="1"/>
  <c r="CX930" i="13" s="1"/>
  <c r="CY930" i="13" a="1"/>
  <c r="CY930" i="13" s="1"/>
  <c r="CZ824" i="13"/>
  <c r="Z824" i="13" s="1"/>
  <c r="CD666" i="13" a="1"/>
  <c r="CD666" i="13" s="1"/>
  <c r="CE666" i="13" a="1"/>
  <c r="CE666" i="13" s="1"/>
  <c r="BV674" i="13" a="1"/>
  <c r="BV674" i="13" s="1"/>
  <c r="CP666" i="13" a="1"/>
  <c r="CP666" i="13" s="1"/>
  <c r="CE653" i="13" a="1"/>
  <c r="CE653" i="13" s="1"/>
  <c r="CE582" i="13" a="1"/>
  <c r="CE582" i="13" s="1"/>
  <c r="CT531" i="13" a="1"/>
  <c r="CT531" i="13" s="1"/>
  <c r="CY445" i="13" a="1"/>
  <c r="CY445" i="13" s="1"/>
  <c r="CE456" i="13" a="1"/>
  <c r="CE456" i="13" s="1"/>
  <c r="CE507" i="13" a="1"/>
  <c r="CE507" i="13" s="1"/>
  <c r="CE651" i="13" a="1"/>
  <c r="CE651" i="13" s="1"/>
  <c r="BZ629" i="13" a="1"/>
  <c r="BZ629" i="13" s="1"/>
  <c r="CE573" i="13" a="1"/>
  <c r="CE573" i="13" s="1"/>
  <c r="CX479" i="13" a="1"/>
  <c r="CX479" i="13" s="1"/>
  <c r="CY479" i="13" a="1"/>
  <c r="CY479" i="13" s="1"/>
  <c r="BZ479" i="13" a="1"/>
  <c r="BZ479" i="13" s="1"/>
  <c r="CD454" i="13" a="1"/>
  <c r="CD454" i="13" s="1"/>
  <c r="CE454" i="13" a="1"/>
  <c r="CE454" i="13" s="1"/>
  <c r="CE658" i="13" a="1"/>
  <c r="CE658" i="13" s="1"/>
  <c r="CY681" i="13" a="1"/>
  <c r="CY681" i="13" s="1"/>
  <c r="BV580" i="13" a="1"/>
  <c r="BV580" i="13" s="1"/>
  <c r="CY525" i="13" a="1"/>
  <c r="CY525" i="13" s="1"/>
  <c r="CY457" i="13" a="1"/>
  <c r="CY457" i="13" s="1"/>
  <c r="CX457" i="13" a="1"/>
  <c r="CX457" i="13" s="1"/>
  <c r="CY683" i="13" a="1"/>
  <c r="CY683" i="13" s="1"/>
  <c r="CX683" i="13" a="1"/>
  <c r="CX683" i="13" s="1"/>
  <c r="BV662" i="13" a="1"/>
  <c r="BV662" i="13" s="1"/>
  <c r="CE602" i="13" a="1"/>
  <c r="CE602" i="13" s="1"/>
  <c r="BV610" i="13" a="1"/>
  <c r="BV610" i="13" s="1"/>
  <c r="CP580" i="13" a="1"/>
  <c r="CP580" i="13" s="1"/>
  <c r="CY505" i="13" a="1"/>
  <c r="CY505" i="13" s="1"/>
  <c r="CX505" i="13" a="1"/>
  <c r="CX505" i="13" s="1"/>
  <c r="CE529" i="13" a="1"/>
  <c r="CE529" i="13" s="1"/>
  <c r="CD529" i="13" a="1"/>
  <c r="CD529" i="13" s="1"/>
  <c r="CE460" i="13" a="1"/>
  <c r="CE460" i="13" s="1"/>
  <c r="CD460" i="13" a="1"/>
  <c r="CD460" i="13" s="1"/>
  <c r="CY463" i="13" a="1"/>
  <c r="CY463" i="13" s="1"/>
  <c r="CX463" i="13" a="1"/>
  <c r="CX463" i="13" s="1"/>
  <c r="CY816" i="13" a="1"/>
  <c r="CY816" i="13" s="1"/>
  <c r="CX816" i="13" a="1"/>
  <c r="CX816" i="13" s="1"/>
  <c r="CZ768" i="13"/>
  <c r="Z768" i="13" s="1"/>
  <c r="CY658" i="13" a="1"/>
  <c r="CY658" i="13" s="1"/>
  <c r="BZ662" i="13" a="1"/>
  <c r="BZ662" i="13" s="1"/>
  <c r="CT638" i="13" a="1"/>
  <c r="CT638" i="13" s="1"/>
  <c r="CT641" i="13" a="1"/>
  <c r="CT641" i="13" s="1"/>
  <c r="CE447" i="13" a="1"/>
  <c r="CE447" i="13" s="1"/>
  <c r="CD447" i="13" a="1"/>
  <c r="CD447" i="13" s="1"/>
  <c r="BZ647" i="13" a="1"/>
  <c r="BZ647" i="13" s="1"/>
  <c r="CT632" i="13" a="1"/>
  <c r="CT632" i="13" s="1"/>
  <c r="CE631" i="13" a="1"/>
  <c r="CE631" i="13" s="1"/>
  <c r="BV497" i="13" a="1"/>
  <c r="BV497" i="13" s="1"/>
  <c r="BZ521" i="13" a="1"/>
  <c r="BZ521" i="13" s="1"/>
  <c r="CY458" i="13" a="1"/>
  <c r="CY458" i="13" s="1"/>
  <c r="CP642" i="13" a="1"/>
  <c r="CP642" i="13" s="1"/>
  <c r="CY547" i="13" a="1"/>
  <c r="CY547" i="13" s="1"/>
  <c r="CX547" i="13" a="1"/>
  <c r="CX547" i="13" s="1"/>
  <c r="CZ547" i="13" s="1"/>
  <c r="Z547" i="13" s="1"/>
  <c r="CD497" i="13" a="1"/>
  <c r="CD497" i="13" s="1"/>
  <c r="CE497" i="13" a="1"/>
  <c r="CE497" i="13" s="1"/>
  <c r="CE450" i="13" a="1"/>
  <c r="CE450" i="13" s="1"/>
  <c r="CX444" i="13" a="1"/>
  <c r="CX444" i="13" s="1"/>
  <c r="CY444" i="13" a="1"/>
  <c r="CY444" i="13" s="1"/>
  <c r="CY361" i="13" a="1"/>
  <c r="CY361" i="13" s="1"/>
  <c r="CY299" i="13" a="1"/>
  <c r="CY299" i="13" s="1"/>
  <c r="CY223" i="13" a="1"/>
  <c r="CY223" i="13" s="1"/>
  <c r="CP178" i="13" a="1"/>
  <c r="CP178" i="13" s="1"/>
  <c r="CE419" i="13" a="1"/>
  <c r="CE419" i="13" s="1"/>
  <c r="BZ390" i="13" a="1"/>
  <c r="BZ390" i="13" s="1"/>
  <c r="CY336" i="13" a="1"/>
  <c r="CY336" i="13" s="1"/>
  <c r="CX336" i="13" a="1"/>
  <c r="CX336" i="13" s="1"/>
  <c r="CE328" i="13" a="1"/>
  <c r="CE328" i="13" s="1"/>
  <c r="CE295" i="13" a="1"/>
  <c r="CE295" i="13" s="1"/>
  <c r="CE204" i="13" a="1"/>
  <c r="CE204" i="13" s="1"/>
  <c r="CY159" i="13" a="1"/>
  <c r="CY159" i="13" s="1"/>
  <c r="CY443" i="13" a="1"/>
  <c r="CY443" i="13" s="1"/>
  <c r="CY392" i="13" a="1"/>
  <c r="CY392" i="13" s="1"/>
  <c r="CP312" i="13" a="1"/>
  <c r="CP312" i="13" s="1"/>
  <c r="CY442" i="13" a="1"/>
  <c r="CY442" i="13" s="1"/>
  <c r="CY355" i="13" a="1"/>
  <c r="CY355" i="13" s="1"/>
  <c r="CX355" i="13" a="1"/>
  <c r="CX355" i="13" s="1"/>
  <c r="CP326" i="13" a="1"/>
  <c r="CP326" i="13" s="1"/>
  <c r="CP451" i="13" a="1"/>
  <c r="CP451" i="13" s="1"/>
  <c r="CX321" i="13" a="1"/>
  <c r="CX321" i="13" s="1"/>
  <c r="CY321" i="13" a="1"/>
  <c r="CY321" i="13" s="1"/>
  <c r="CP231" i="13" a="1"/>
  <c r="CP231" i="13" s="1"/>
  <c r="CX161" i="13" a="1"/>
  <c r="CX161" i="13" s="1"/>
  <c r="CY161" i="13" a="1"/>
  <c r="CY161" i="13" s="1"/>
  <c r="CP330" i="13" a="1"/>
  <c r="CP330" i="13" s="1"/>
  <c r="CT451" i="13" a="1"/>
  <c r="CT451" i="13" s="1"/>
  <c r="CT168" i="13" a="1"/>
  <c r="CT168" i="13" s="1"/>
  <c r="CD161" i="13" a="1"/>
  <c r="CD161" i="13" s="1"/>
  <c r="CE161" i="13" a="1"/>
  <c r="CE161" i="13" s="1"/>
  <c r="AF272" i="13"/>
  <c r="BV137" i="13" a="1"/>
  <c r="BV137" i="13" s="1"/>
  <c r="BZ127" i="13" a="1"/>
  <c r="BZ127" i="13" s="1"/>
  <c r="CE137" i="13" a="1"/>
  <c r="CE137" i="13" s="1"/>
  <c r="CE1020" i="13" a="1"/>
  <c r="CE1020" i="13" s="1"/>
  <c r="CE897" i="13" a="1"/>
  <c r="CE897" i="13" s="1"/>
  <c r="CX845" i="13" a="1"/>
  <c r="CX845" i="13" s="1"/>
  <c r="CY845" i="13" a="1"/>
  <c r="CY845" i="13" s="1"/>
  <c r="CX994" i="13" a="1"/>
  <c r="CX994" i="13" s="1"/>
  <c r="CY994" i="13" a="1"/>
  <c r="CY994" i="13" s="1"/>
  <c r="CE906" i="13" a="1"/>
  <c r="CE906" i="13" s="1"/>
  <c r="CE845" i="13" a="1"/>
  <c r="CE845" i="13" s="1"/>
  <c r="CD845" i="13" a="1"/>
  <c r="CD845" i="13" s="1"/>
  <c r="CE1003" i="13" a="1"/>
  <c r="CE1003" i="13" s="1"/>
  <c r="CD1003" i="13" a="1"/>
  <c r="CD1003" i="13" s="1"/>
  <c r="CE1018" i="13" a="1"/>
  <c r="CE1018" i="13" s="1"/>
  <c r="CE1015" i="13" a="1"/>
  <c r="CE1015" i="13" s="1"/>
  <c r="CT998" i="13" a="1"/>
  <c r="CT998" i="13" s="1"/>
  <c r="CE922" i="13" a="1"/>
  <c r="CE922" i="13" s="1"/>
  <c r="CD922" i="13" a="1"/>
  <c r="CD922" i="13" s="1"/>
  <c r="CE881" i="13" a="1"/>
  <c r="CE881" i="13" s="1"/>
  <c r="CD881" i="13" a="1"/>
  <c r="CD881" i="13" s="1"/>
  <c r="CX938" i="13" a="1"/>
  <c r="CX938" i="13" s="1"/>
  <c r="CY938" i="13" a="1"/>
  <c r="CY938" i="13" s="1"/>
  <c r="CY916" i="13" a="1"/>
  <c r="CY916" i="13" s="1"/>
  <c r="CX916" i="13" a="1"/>
  <c r="CX916" i="13" s="1"/>
  <c r="CY1006" i="13" a="1"/>
  <c r="CY1006" i="13" s="1"/>
  <c r="CX1006" i="13" a="1"/>
  <c r="CX1006" i="13" s="1"/>
  <c r="CE867" i="13" a="1"/>
  <c r="CE867" i="13" s="1"/>
  <c r="CD867" i="13" a="1"/>
  <c r="CD867" i="13" s="1"/>
  <c r="CF992" i="13"/>
  <c r="R992" i="13" s="1"/>
  <c r="CE1006" i="13" a="1"/>
  <c r="CE1006" i="13" s="1"/>
  <c r="CF1006" i="13" s="1"/>
  <c r="R1006" i="13" s="1"/>
  <c r="CD1006" i="13" a="1"/>
  <c r="CD1006" i="13" s="1"/>
  <c r="CP1005" i="13" a="1"/>
  <c r="CP1005" i="13" s="1"/>
  <c r="CF1014" i="13"/>
  <c r="R1014" i="13" s="1"/>
  <c r="CT914" i="13" a="1"/>
  <c r="CT914" i="13" s="1"/>
  <c r="CZ914" i="13" s="1"/>
  <c r="Z914" i="13" s="1"/>
  <c r="CP863" i="13" a="1"/>
  <c r="CP863" i="13" s="1"/>
  <c r="CE588" i="13" a="1"/>
  <c r="CE588" i="13" s="1"/>
  <c r="CD499" i="13" a="1"/>
  <c r="CD499" i="13" s="1"/>
  <c r="CE499" i="13" a="1"/>
  <c r="CE499" i="13" s="1"/>
  <c r="BZ664" i="13" a="1"/>
  <c r="BZ664" i="13" s="1"/>
  <c r="BV649" i="13" a="1"/>
  <c r="BV649" i="13" s="1"/>
  <c r="CD647" i="13" a="1"/>
  <c r="CD647" i="13" s="1"/>
  <c r="CE647" i="13" a="1"/>
  <c r="CE647" i="13" s="1"/>
  <c r="CE449" i="13" a="1"/>
  <c r="CE449" i="13" s="1"/>
  <c r="CE682" i="13" a="1"/>
  <c r="CE682" i="13" s="1"/>
  <c r="BZ644" i="13" a="1"/>
  <c r="BZ644" i="13" s="1"/>
  <c r="CD549" i="13" a="1"/>
  <c r="CD549" i="13" s="1"/>
  <c r="CE549" i="13" a="1"/>
  <c r="CE549" i="13" s="1"/>
  <c r="CD592" i="13" a="1"/>
  <c r="CD592" i="13" s="1"/>
  <c r="CE592" i="13" a="1"/>
  <c r="CE592" i="13" s="1"/>
  <c r="CX549" i="13" a="1"/>
  <c r="CX549" i="13" s="1"/>
  <c r="CY549" i="13" a="1"/>
  <c r="CY549" i="13" s="1"/>
  <c r="CX449" i="13" a="1"/>
  <c r="CX449" i="13" s="1"/>
  <c r="CY449" i="13" a="1"/>
  <c r="CY449" i="13" s="1"/>
  <c r="CY745" i="13" a="1"/>
  <c r="CY745" i="13" s="1"/>
  <c r="BV679" i="13" a="1"/>
  <c r="BV679" i="13" s="1"/>
  <c r="BZ656" i="13" a="1"/>
  <c r="BZ656" i="13" s="1"/>
  <c r="BZ648" i="13" a="1"/>
  <c r="BZ648" i="13" s="1"/>
  <c r="CE576" i="13" a="1"/>
  <c r="CE576" i="13" s="1"/>
  <c r="CD576" i="13" a="1"/>
  <c r="CD576" i="13" s="1"/>
  <c r="CX760" i="13" a="1"/>
  <c r="CX760" i="13" s="1"/>
  <c r="CY760" i="13" a="1"/>
  <c r="CY760" i="13" s="1"/>
  <c r="CX641" i="13" a="1"/>
  <c r="CX641" i="13" s="1"/>
  <c r="CY641" i="13" a="1"/>
  <c r="CY641" i="13" s="1"/>
  <c r="CT610" i="13" a="1"/>
  <c r="CT610" i="13" s="1"/>
  <c r="BZ638" i="13" a="1"/>
  <c r="BZ638" i="13" s="1"/>
  <c r="CT497" i="13" a="1"/>
  <c r="CT497" i="13" s="1"/>
  <c r="CT513" i="13" a="1"/>
  <c r="CT513" i="13" s="1"/>
  <c r="CD672" i="13" a="1"/>
  <c r="CD672" i="13" s="1"/>
  <c r="CE672" i="13" a="1"/>
  <c r="CE672" i="13" s="1"/>
  <c r="CD642" i="13" a="1"/>
  <c r="CD642" i="13" s="1"/>
  <c r="CF642" i="13" s="1"/>
  <c r="R642" i="13" s="1"/>
  <c r="CE642" i="13" a="1"/>
  <c r="CE642" i="13" s="1"/>
  <c r="CF547" i="13"/>
  <c r="R547" i="13" s="1"/>
  <c r="AF696" i="13"/>
  <c r="CP443" i="13" a="1"/>
  <c r="CP443" i="13" s="1"/>
  <c r="CY435" i="13" a="1"/>
  <c r="CY435" i="13" s="1"/>
  <c r="CX435" i="13" a="1"/>
  <c r="CX435" i="13" s="1"/>
  <c r="CX432" i="13" a="1"/>
  <c r="CX432" i="13" s="1"/>
  <c r="CY432" i="13" a="1"/>
  <c r="CY432" i="13" s="1"/>
  <c r="CE273" i="13" a="1"/>
  <c r="CE273" i="13" s="1"/>
  <c r="CT475" i="13" a="1"/>
  <c r="CT475" i="13" s="1"/>
  <c r="CY204" i="13" a="1"/>
  <c r="CY204" i="13" s="1"/>
  <c r="CX204" i="13" a="1"/>
  <c r="CX204" i="13" s="1"/>
  <c r="CE429" i="13" a="1"/>
  <c r="CE429" i="13" s="1"/>
  <c r="CD429" i="13" a="1"/>
  <c r="CD429" i="13" s="1"/>
  <c r="CE435" i="13" a="1"/>
  <c r="CE435" i="13" s="1"/>
  <c r="CD435" i="13" a="1"/>
  <c r="CD435" i="13" s="1"/>
  <c r="CY373" i="13" a="1"/>
  <c r="CY373" i="13" s="1"/>
  <c r="CE317" i="13" a="1"/>
  <c r="CE317" i="13" s="1"/>
  <c r="CD317" i="13" a="1"/>
  <c r="CD317" i="13" s="1"/>
  <c r="CP207" i="13" a="1"/>
  <c r="CP207" i="13" s="1"/>
  <c r="BZ452" i="13" a="1"/>
  <c r="BZ452" i="13" s="1"/>
  <c r="CX434" i="13" a="1"/>
  <c r="CX434" i="13" s="1"/>
  <c r="CY434" i="13" a="1"/>
  <c r="CY434" i="13" s="1"/>
  <c r="CD332" i="13" a="1"/>
  <c r="CD332" i="13" s="1"/>
  <c r="CE332" i="13" a="1"/>
  <c r="CE332" i="13" s="1"/>
  <c r="CE315" i="13" a="1"/>
  <c r="CE315" i="13" s="1"/>
  <c r="CD365" i="13" a="1"/>
  <c r="CD365" i="13" s="1"/>
  <c r="CE365" i="13" a="1"/>
  <c r="CE365" i="13" s="1"/>
  <c r="BV161" i="13" a="1"/>
  <c r="BV161" i="13" s="1"/>
  <c r="CP429" i="13" a="1"/>
  <c r="CP429" i="13" s="1"/>
  <c r="CY340" i="13" a="1"/>
  <c r="CY340" i="13" s="1"/>
  <c r="CY233" i="13" a="1"/>
  <c r="CY233" i="13" s="1"/>
  <c r="CE170" i="13" a="1"/>
  <c r="CE170" i="13" s="1"/>
  <c r="CD170" i="13" a="1"/>
  <c r="CD170" i="13" s="1"/>
  <c r="AF237" i="13"/>
  <c r="CD207" i="13" a="1"/>
  <c r="CD207" i="13" s="1"/>
  <c r="CE207" i="13" a="1"/>
  <c r="CE207" i="13" s="1"/>
  <c r="CE139" i="13" a="1"/>
  <c r="CE139" i="13" s="1"/>
  <c r="CY131" i="13" a="1"/>
  <c r="CY131" i="13" s="1"/>
  <c r="CD127" i="13" a="1"/>
  <c r="CD127" i="13" s="1"/>
  <c r="CE127" i="13" a="1"/>
  <c r="CE127" i="13" s="1"/>
  <c r="CE1012" i="13" a="1"/>
  <c r="CE1012" i="13" s="1"/>
  <c r="CD1012" i="13" a="1"/>
  <c r="CD1012" i="13" s="1"/>
  <c r="CY829" i="13" a="1"/>
  <c r="CY829" i="13" s="1"/>
  <c r="CX829" i="13" a="1"/>
  <c r="CX829" i="13" s="1"/>
  <c r="CY1020" i="13" a="1"/>
  <c r="CY1020" i="13" s="1"/>
  <c r="CX1020" i="13" a="1"/>
  <c r="CX1020" i="13" s="1"/>
  <c r="CY822" i="13" a="1"/>
  <c r="CY822" i="13" s="1"/>
  <c r="CX822" i="13" a="1"/>
  <c r="CX822" i="13" s="1"/>
  <c r="CE839" i="13" a="1"/>
  <c r="CE839" i="13" s="1"/>
  <c r="CX749" i="13" a="1"/>
  <c r="CX749" i="13" s="1"/>
  <c r="CY749" i="13" a="1"/>
  <c r="CY749" i="13" s="1"/>
  <c r="CX792" i="13" a="1"/>
  <c r="CX792" i="13" s="1"/>
  <c r="CY792" i="13" a="1"/>
  <c r="CY792" i="13" s="1"/>
  <c r="CY1008" i="13" a="1"/>
  <c r="CY1008" i="13" s="1"/>
  <c r="CX1008" i="13" a="1"/>
  <c r="CX1008" i="13" s="1"/>
  <c r="CE999" i="13" a="1"/>
  <c r="CE999" i="13" s="1"/>
  <c r="CX1011" i="13" a="1"/>
  <c r="CX1011" i="13" s="1"/>
  <c r="CY1011" i="13" a="1"/>
  <c r="CY1011" i="13" s="1"/>
  <c r="CE1010" i="13" a="1"/>
  <c r="CE1010" i="13" s="1"/>
  <c r="CD1010" i="13" a="1"/>
  <c r="CD1010" i="13" s="1"/>
  <c r="CE928" i="13" a="1"/>
  <c r="CE928" i="13" s="1"/>
  <c r="CY818" i="13" a="1"/>
  <c r="CY818" i="13" s="1"/>
  <c r="CE996" i="13" a="1"/>
  <c r="CE996" i="13" s="1"/>
  <c r="CD996" i="13" a="1"/>
  <c r="CD996" i="13" s="1"/>
  <c r="CX906" i="13" a="1"/>
  <c r="CX906" i="13" s="1"/>
  <c r="CY906" i="13" a="1"/>
  <c r="CY906" i="13" s="1"/>
  <c r="CE914" i="13" a="1"/>
  <c r="CE914" i="13" s="1"/>
  <c r="CD861" i="13" a="1"/>
  <c r="CD861" i="13" s="1"/>
  <c r="CE861" i="13" a="1"/>
  <c r="CE861" i="13" s="1"/>
  <c r="CE1017" i="13" a="1"/>
  <c r="CE1017" i="13" s="1"/>
  <c r="CD1017" i="13" a="1"/>
  <c r="CD1017" i="13" s="1"/>
  <c r="CY999" i="13" a="1"/>
  <c r="CY999" i="13" s="1"/>
  <c r="CX999" i="13" a="1"/>
  <c r="CX999" i="13" s="1"/>
  <c r="CP875" i="13" a="1"/>
  <c r="CP875" i="13" s="1"/>
  <c r="CT920" i="13" a="1"/>
  <c r="CT920" i="13" s="1"/>
  <c r="BZ812" i="13" a="1"/>
  <c r="BZ812" i="13" s="1"/>
  <c r="CD802" i="13" a="1"/>
  <c r="CD802" i="13" s="1"/>
  <c r="CE802" i="13" a="1"/>
  <c r="CE802" i="13" s="1"/>
  <c r="CD567" i="13" a="1"/>
  <c r="CD567" i="13" s="1"/>
  <c r="CE567" i="13" a="1"/>
  <c r="CE567" i="13" s="1"/>
  <c r="CE569" i="13" a="1"/>
  <c r="CE569" i="13" s="1"/>
  <c r="CD491" i="13" a="1"/>
  <c r="CD491" i="13" s="1"/>
  <c r="CE491" i="13" a="1"/>
  <c r="CE491" i="13" s="1"/>
  <c r="CY685" i="13" a="1"/>
  <c r="CY685" i="13" s="1"/>
  <c r="CY614" i="13" a="1"/>
  <c r="CY614" i="13" s="1"/>
  <c r="CE639" i="13" a="1"/>
  <c r="CE639" i="13" s="1"/>
  <c r="CD639" i="13" a="1"/>
  <c r="CD639" i="13" s="1"/>
  <c r="CY543" i="13" a="1"/>
  <c r="CY543" i="13" s="1"/>
  <c r="CE571" i="13" a="1"/>
  <c r="CE571" i="13" s="1"/>
  <c r="CY493" i="13" a="1"/>
  <c r="CY493" i="13" s="1"/>
  <c r="CX493" i="13" a="1"/>
  <c r="CX493" i="13" s="1"/>
  <c r="CZ493" i="13" s="1"/>
  <c r="Z493" i="13" s="1"/>
  <c r="CX622" i="13" a="1"/>
  <c r="CX622" i="13" s="1"/>
  <c r="CY622" i="13" a="1"/>
  <c r="CY622" i="13" s="1"/>
  <c r="CE537" i="13" a="1"/>
  <c r="CE537" i="13" s="1"/>
  <c r="CD446" i="13" a="1"/>
  <c r="CD446" i="13" s="1"/>
  <c r="CE446" i="13" a="1"/>
  <c r="CE446" i="13" s="1"/>
  <c r="CE501" i="13" a="1"/>
  <c r="CE501" i="13" s="1"/>
  <c r="BV671" i="13" a="1"/>
  <c r="BV671" i="13" s="1"/>
  <c r="CP653" i="13" a="1"/>
  <c r="CP653" i="13" s="1"/>
  <c r="CY507" i="13" a="1"/>
  <c r="CY507" i="13" s="1"/>
  <c r="CX507" i="13" a="1"/>
  <c r="CX507" i="13" s="1"/>
  <c r="CX647" i="13" a="1"/>
  <c r="CX647" i="13" s="1"/>
  <c r="CY647" i="13" a="1"/>
  <c r="CY647" i="13" s="1"/>
  <c r="CE675" i="13" a="1"/>
  <c r="CE675" i="13" s="1"/>
  <c r="CY610" i="13" a="1"/>
  <c r="CY610" i="13" s="1"/>
  <c r="CX610" i="13" a="1"/>
  <c r="CX610" i="13" s="1"/>
  <c r="CY523" i="13" a="1"/>
  <c r="CY523" i="13" s="1"/>
  <c r="CX523" i="13" a="1"/>
  <c r="CX523" i="13" s="1"/>
  <c r="CD662" i="13" a="1"/>
  <c r="CD662" i="13" s="1"/>
  <c r="CE662" i="13" a="1"/>
  <c r="CE662" i="13" s="1"/>
  <c r="BZ626" i="13" a="1"/>
  <c r="BZ626" i="13" s="1"/>
  <c r="CT505" i="13" a="1"/>
  <c r="CT505" i="13" s="1"/>
  <c r="CZ505" i="13" s="1"/>
  <c r="Z505" i="13" s="1"/>
  <c r="CX632" i="13" a="1"/>
  <c r="CX632" i="13" s="1"/>
  <c r="CY632" i="13" a="1"/>
  <c r="CY632" i="13" s="1"/>
  <c r="BZ592" i="13" a="1"/>
  <c r="BZ592" i="13" s="1"/>
  <c r="CD479" i="13" a="1"/>
  <c r="CD479" i="13" s="1"/>
  <c r="CE479" i="13" a="1"/>
  <c r="CE479" i="13" s="1"/>
  <c r="CE227" i="13" a="1"/>
  <c r="CE227" i="13" s="1"/>
  <c r="CX275" i="13" a="1"/>
  <c r="CX275" i="13" s="1"/>
  <c r="CY275" i="13" a="1"/>
  <c r="CY275" i="13" s="1"/>
  <c r="CE178" i="13" a="1"/>
  <c r="CE178" i="13" s="1"/>
  <c r="CE431" i="13" a="1"/>
  <c r="CE431" i="13" s="1"/>
  <c r="CD431" i="13" a="1"/>
  <c r="CD431" i="13" s="1"/>
  <c r="CY307" i="13" a="1"/>
  <c r="CY307" i="13" s="1"/>
  <c r="CX307" i="13" a="1"/>
  <c r="CX307" i="13" s="1"/>
  <c r="CY390" i="13" a="1"/>
  <c r="CY390" i="13" s="1"/>
  <c r="CT321" i="13" a="1"/>
  <c r="CT321" i="13" s="1"/>
  <c r="CE125" i="13" a="1"/>
  <c r="CE125" i="13" s="1"/>
  <c r="CE123" i="13" a="1"/>
  <c r="CE123" i="13" s="1"/>
  <c r="CX127" i="13" a="1"/>
  <c r="CX127" i="13" s="1"/>
  <c r="CY127" i="13" a="1"/>
  <c r="CY127" i="13" s="1"/>
  <c r="BV1004" i="13" a="1"/>
  <c r="BV1004" i="13" s="1"/>
  <c r="CE1004" i="13" a="1"/>
  <c r="CE1004" i="13" s="1"/>
  <c r="CD899" i="13" a="1"/>
  <c r="CD899" i="13" s="1"/>
  <c r="CE899" i="13" a="1"/>
  <c r="CE899" i="13" s="1"/>
  <c r="CY826" i="13" a="1"/>
  <c r="CY826" i="13" s="1"/>
  <c r="CE831" i="13" a="1"/>
  <c r="CE831" i="13" s="1"/>
  <c r="CE822" i="13" a="1"/>
  <c r="CE822" i="13" s="1"/>
  <c r="CD822" i="13" a="1"/>
  <c r="CD822" i="13" s="1"/>
  <c r="CE1002" i="13" a="1"/>
  <c r="CE1002" i="13" s="1"/>
  <c r="BZ814" i="13" a="1"/>
  <c r="BZ814" i="13" s="1"/>
  <c r="CX849" i="13" a="1"/>
  <c r="CX849" i="13" s="1"/>
  <c r="CY849" i="13" a="1"/>
  <c r="CY849" i="13" s="1"/>
  <c r="CD910" i="13" a="1"/>
  <c r="CD910" i="13" s="1"/>
  <c r="CE910" i="13" a="1"/>
  <c r="CE910" i="13" s="1"/>
  <c r="CE841" i="13" a="1"/>
  <c r="CE841" i="13" s="1"/>
  <c r="CD841" i="13" a="1"/>
  <c r="CD841" i="13" s="1"/>
  <c r="CF875" i="13"/>
  <c r="R875" i="13" s="1"/>
  <c r="CD863" i="13" a="1"/>
  <c r="CD863" i="13" s="1"/>
  <c r="CE863" i="13" a="1"/>
  <c r="CE863" i="13" s="1"/>
  <c r="CE743" i="13" a="1"/>
  <c r="CE743" i="13" s="1"/>
  <c r="CX910" i="13" a="1"/>
  <c r="CX910" i="13" s="1"/>
  <c r="CY910" i="13" a="1"/>
  <c r="CY910" i="13" s="1"/>
  <c r="BV885" i="13" a="1"/>
  <c r="BV885" i="13" s="1"/>
  <c r="CF885" i="13" s="1"/>
  <c r="R885" i="13" s="1"/>
  <c r="CY841" i="13" a="1"/>
  <c r="CY841" i="13" s="1"/>
  <c r="CX841" i="13" a="1"/>
  <c r="CX841" i="13" s="1"/>
  <c r="CP806" i="13" a="1"/>
  <c r="CP806" i="13" s="1"/>
  <c r="CP847" i="13" a="1"/>
  <c r="CP847" i="13" s="1"/>
  <c r="CZ847" i="13" s="1"/>
  <c r="Z847" i="13" s="1"/>
  <c r="CD610" i="13" a="1"/>
  <c r="CD610" i="13" s="1"/>
  <c r="CE610" i="13" a="1"/>
  <c r="CE610" i="13" s="1"/>
  <c r="CY618" i="13" a="1"/>
  <c r="CY618" i="13" s="1"/>
  <c r="CX618" i="13" a="1"/>
  <c r="CX618" i="13" s="1"/>
  <c r="CE559" i="13" a="1"/>
  <c r="CE559" i="13" s="1"/>
  <c r="BV513" i="13" a="1"/>
  <c r="BV513" i="13" s="1"/>
  <c r="CF513" i="13" s="1"/>
  <c r="R513" i="13" s="1"/>
  <c r="CZ491" i="13"/>
  <c r="Z491" i="13" s="1"/>
  <c r="CP485" i="13" a="1"/>
  <c r="CP485" i="13" s="1"/>
  <c r="CE485" i="13" a="1"/>
  <c r="CE485" i="13" s="1"/>
  <c r="CD485" i="13" a="1"/>
  <c r="CD485" i="13" s="1"/>
  <c r="CF485" i="13" s="1"/>
  <c r="R485" i="13" s="1"/>
  <c r="CZ666" i="13"/>
  <c r="Z666" i="13" s="1"/>
  <c r="BZ543" i="13" a="1"/>
  <c r="BZ543" i="13" s="1"/>
  <c r="CZ479" i="13"/>
  <c r="Z479" i="13" s="1"/>
  <c r="CY460" i="13" a="1"/>
  <c r="CY460" i="13" s="1"/>
  <c r="BV648" i="13" a="1"/>
  <c r="BV648" i="13" s="1"/>
  <c r="CD664" i="13" a="1"/>
  <c r="CD664" i="13" s="1"/>
  <c r="CE664" i="13" a="1"/>
  <c r="CE664" i="13" s="1"/>
  <c r="CY563" i="13" a="1"/>
  <c r="CY563" i="13" s="1"/>
  <c r="BV555" i="13" a="1"/>
  <c r="BV555" i="13" s="1"/>
  <c r="CE533" i="13" a="1"/>
  <c r="CE533" i="13" s="1"/>
  <c r="CD533" i="13" a="1"/>
  <c r="CD533" i="13" s="1"/>
  <c r="BV680" i="13" a="1"/>
  <c r="BV680" i="13" s="1"/>
  <c r="CT576" i="13" a="1"/>
  <c r="CT576" i="13" s="1"/>
  <c r="CF549" i="13"/>
  <c r="R549" i="13" s="1"/>
  <c r="CX776" i="13" a="1"/>
  <c r="CX776" i="13" s="1"/>
  <c r="CY776" i="13" a="1"/>
  <c r="CY776" i="13" s="1"/>
  <c r="CF760" i="13"/>
  <c r="R760" i="13" s="1"/>
  <c r="CY664" i="13" a="1"/>
  <c r="CY664" i="13" s="1"/>
  <c r="BZ515" i="13" a="1"/>
  <c r="BZ515" i="13" s="1"/>
  <c r="CY672" i="13" a="1"/>
  <c r="CY672" i="13" s="1"/>
  <c r="CX672" i="13" a="1"/>
  <c r="CX672" i="13" s="1"/>
  <c r="CE659" i="13" a="1"/>
  <c r="CE659" i="13" s="1"/>
  <c r="CD467" i="13" a="1"/>
  <c r="CD467" i="13" s="1"/>
  <c r="CE467" i="13" a="1"/>
  <c r="CE467" i="13" s="1"/>
  <c r="CP626" i="13" a="1"/>
  <c r="CP626" i="13" s="1"/>
  <c r="CT626" i="13" a="1"/>
  <c r="CT626" i="13" s="1"/>
  <c r="CE575" i="13" a="1"/>
  <c r="CE575" i="13" s="1"/>
  <c r="CD513" i="13" a="1"/>
  <c r="CD513" i="13" s="1"/>
  <c r="CE513" i="13" a="1"/>
  <c r="CE513" i="13" s="1"/>
  <c r="CY637" i="13" a="1"/>
  <c r="CY637" i="13" s="1"/>
  <c r="CX637" i="13" a="1"/>
  <c r="CX637" i="13" s="1"/>
  <c r="CX473" i="13" a="1"/>
  <c r="CX473" i="13" s="1"/>
  <c r="CZ473" i="13" s="1"/>
  <c r="Z473" i="13" s="1"/>
  <c r="CY473" i="13" a="1"/>
  <c r="CY473" i="13" s="1"/>
  <c r="CE312" i="13" a="1"/>
  <c r="CE312" i="13" s="1"/>
  <c r="CD312" i="13" a="1"/>
  <c r="CD312" i="13" s="1"/>
  <c r="CP328" i="13" a="1"/>
  <c r="CP328" i="13" s="1"/>
  <c r="CE229" i="13" a="1"/>
  <c r="CE229" i="13" s="1"/>
  <c r="CD229" i="13" a="1"/>
  <c r="CD229" i="13" s="1"/>
  <c r="CY194" i="13" a="1"/>
  <c r="CY194" i="13" s="1"/>
  <c r="CX312" i="13" a="1"/>
  <c r="CX312" i="13" s="1"/>
  <c r="CZ312" i="13" s="1"/>
  <c r="Z312" i="13" s="1"/>
  <c r="CY312" i="13" a="1"/>
  <c r="CY312" i="13" s="1"/>
  <c r="CY452" i="13" a="1"/>
  <c r="CY452" i="13" s="1"/>
  <c r="CX452" i="13" a="1"/>
  <c r="CX452" i="13" s="1"/>
  <c r="CT438" i="13" a="1"/>
  <c r="CT438" i="13" s="1"/>
  <c r="CE357" i="13" a="1"/>
  <c r="CE357" i="13" s="1"/>
  <c r="BZ321" i="13" a="1"/>
  <c r="BZ321" i="13" s="1"/>
  <c r="CX330" i="13" a="1"/>
  <c r="CX330" i="13" s="1"/>
  <c r="CY330" i="13" a="1"/>
  <c r="CY330" i="13" s="1"/>
  <c r="BZ467" i="13" a="1"/>
  <c r="BZ467" i="13" s="1"/>
  <c r="CD326" i="13" a="1"/>
  <c r="CD326" i="13" s="1"/>
  <c r="CE326" i="13" a="1"/>
  <c r="CE326" i="13" s="1"/>
  <c r="CF161" i="13"/>
  <c r="R161" i="13" s="1"/>
  <c r="CF435" i="13"/>
  <c r="R435" i="13" s="1"/>
  <c r="BZ176" i="13" a="1"/>
  <c r="BZ176" i="13" s="1"/>
  <c r="BZ231" i="13" a="1"/>
  <c r="BZ231" i="13" s="1"/>
  <c r="BZ174" i="13" a="1"/>
  <c r="BZ174" i="13" s="1"/>
  <c r="CE369" i="13" a="1"/>
  <c r="CE369" i="13" s="1"/>
  <c r="BZ150" i="13" a="1"/>
  <c r="BZ150" i="13" s="1"/>
  <c r="CT152" i="13" a="1"/>
  <c r="CT152" i="13" s="1"/>
  <c r="CX168" i="13" a="1"/>
  <c r="CX168" i="13" s="1"/>
  <c r="CY168" i="13" a="1"/>
  <c r="CY168" i="13" s="1"/>
  <c r="CX1007" i="13" a="1"/>
  <c r="CX1007" i="13" s="1"/>
  <c r="CY1007" i="13" a="1"/>
  <c r="CY1007" i="13" s="1"/>
  <c r="BV938" i="13" a="1"/>
  <c r="BV938" i="13" s="1"/>
  <c r="BV922" i="13" a="1"/>
  <c r="BV922" i="13" s="1"/>
  <c r="CF922" i="13" s="1"/>
  <c r="R922" i="13" s="1"/>
  <c r="CZ996" i="13"/>
  <c r="Z996" i="13" s="1"/>
  <c r="CY833" i="13" a="1"/>
  <c r="CY833" i="13" s="1"/>
  <c r="CX833" i="13" a="1"/>
  <c r="CX833" i="13" s="1"/>
  <c r="CE1007" i="13" a="1"/>
  <c r="CE1007" i="13" s="1"/>
  <c r="CD1007" i="13" a="1"/>
  <c r="CD1007" i="13" s="1"/>
  <c r="CX1021" i="13" a="1"/>
  <c r="CX1021" i="13" s="1"/>
  <c r="CY1021" i="13" a="1"/>
  <c r="CY1021" i="13" s="1"/>
  <c r="CE833" i="13" a="1"/>
  <c r="CE833" i="13" s="1"/>
  <c r="CD833" i="13" a="1"/>
  <c r="CD833" i="13" s="1"/>
  <c r="BV926" i="13" a="1"/>
  <c r="BV926" i="13" s="1"/>
  <c r="CP861" i="13" a="1"/>
  <c r="CP861" i="13" s="1"/>
  <c r="CE847" i="13" a="1"/>
  <c r="CE847" i="13" s="1"/>
  <c r="CD847" i="13" a="1"/>
  <c r="CD847" i="13" s="1"/>
  <c r="CE747" i="13" a="1"/>
  <c r="CE747" i="13" s="1"/>
  <c r="CT904" i="13" a="1"/>
  <c r="CT904" i="13" s="1"/>
  <c r="CX863" i="13" a="1"/>
  <c r="CX863" i="13" s="1"/>
  <c r="CY863" i="13" a="1"/>
  <c r="CY863" i="13" s="1"/>
  <c r="CY798" i="13" a="1"/>
  <c r="CY798" i="13" s="1"/>
  <c r="CX798" i="13" a="1"/>
  <c r="CX798" i="13" s="1"/>
  <c r="CZ993" i="13"/>
  <c r="Z993" i="13" s="1"/>
  <c r="BZ816" i="13" a="1"/>
  <c r="BZ816" i="13" s="1"/>
  <c r="CF816" i="13" s="1"/>
  <c r="R816" i="13" s="1"/>
  <c r="CT879" i="13" a="1"/>
  <c r="CT879" i="13" s="1"/>
  <c r="CY751" i="13" a="1"/>
  <c r="CY751" i="13" s="1"/>
  <c r="CP816" i="13" a="1"/>
  <c r="CP816" i="13" s="1"/>
  <c r="CY580" i="13" a="1"/>
  <c r="CY580" i="13" s="1"/>
  <c r="CX580" i="13" a="1"/>
  <c r="CX580" i="13" s="1"/>
  <c r="CE551" i="13" a="1"/>
  <c r="CE551" i="13" s="1"/>
  <c r="BV491" i="13" a="1"/>
  <c r="BV491" i="13" s="1"/>
  <c r="CF491" i="13" s="1"/>
  <c r="R491" i="13" s="1"/>
  <c r="CD475" i="13" a="1"/>
  <c r="CD475" i="13" s="1"/>
  <c r="CE475" i="13" a="1"/>
  <c r="CE475" i="13" s="1"/>
  <c r="CY446" i="13" a="1"/>
  <c r="CY446" i="13" s="1"/>
  <c r="CE511" i="13" a="1"/>
  <c r="CE511" i="13" s="1"/>
  <c r="CE477" i="13" a="1"/>
  <c r="CE477" i="13" s="1"/>
  <c r="CE673" i="13" a="1"/>
  <c r="CE673" i="13" s="1"/>
  <c r="CD673" i="13" a="1"/>
  <c r="CD673" i="13" s="1"/>
  <c r="CE678" i="13" a="1"/>
  <c r="CE678" i="13" s="1"/>
  <c r="CY604" i="13" a="1"/>
  <c r="CY604" i="13" s="1"/>
  <c r="CZ555" i="13"/>
  <c r="Z555" i="13" s="1"/>
  <c r="CY501" i="13" a="1"/>
  <c r="CY501" i="13" s="1"/>
  <c r="CX501" i="13" a="1"/>
  <c r="CX501" i="13" s="1"/>
  <c r="BV479" i="13" a="1"/>
  <c r="BV479" i="13" s="1"/>
  <c r="CF479" i="13" s="1"/>
  <c r="R479" i="13" s="1"/>
  <c r="AF479" i="13" s="1"/>
  <c r="BZ460" i="13" a="1"/>
  <c r="BZ460" i="13" s="1"/>
  <c r="CF460" i="13" s="1"/>
  <c r="R460" i="13" s="1"/>
  <c r="CP751" i="13" a="1"/>
  <c r="CP751" i="13" s="1"/>
  <c r="BV634" i="13" a="1"/>
  <c r="BV634" i="13" s="1"/>
  <c r="CE459" i="13" a="1"/>
  <c r="CE459" i="13" s="1"/>
  <c r="CD656" i="13" a="1"/>
  <c r="CD656" i="13" s="1"/>
  <c r="CE656" i="13" a="1"/>
  <c r="CE656" i="13" s="1"/>
  <c r="CE580" i="13" a="1"/>
  <c r="CE580" i="13" s="1"/>
  <c r="CE555" i="13" a="1"/>
  <c r="CE555" i="13" s="1"/>
  <c r="CD555" i="13" a="1"/>
  <c r="CD555" i="13" s="1"/>
  <c r="CE448" i="13" a="1"/>
  <c r="CE448" i="13" s="1"/>
  <c r="CD448" i="13" a="1"/>
  <c r="CD448" i="13" s="1"/>
  <c r="CE663" i="13" a="1"/>
  <c r="CE663" i="13" s="1"/>
  <c r="CD638" i="13" a="1"/>
  <c r="CD638" i="13" s="1"/>
  <c r="CE638" i="13" a="1"/>
  <c r="CE638" i="13" s="1"/>
  <c r="CP543" i="13" a="1"/>
  <c r="CP543" i="13" s="1"/>
  <c r="CE505" i="13" a="1"/>
  <c r="CE505" i="13" s="1"/>
  <c r="CP435" i="13" a="1"/>
  <c r="CP435" i="13" s="1"/>
  <c r="CD388" i="13" a="1"/>
  <c r="CD388" i="13" s="1"/>
  <c r="CE388" i="13" a="1"/>
  <c r="CE388" i="13" s="1"/>
  <c r="CE180" i="13" a="1"/>
  <c r="CE180" i="13" s="1"/>
  <c r="CX438" i="13" a="1"/>
  <c r="CX438" i="13" s="1"/>
  <c r="CY438" i="13" a="1"/>
  <c r="CY438" i="13" s="1"/>
  <c r="CE359" i="13" a="1"/>
  <c r="CE359" i="13" s="1"/>
  <c r="CD359" i="13" a="1"/>
  <c r="CD359" i="13" s="1"/>
  <c r="CY326" i="13" a="1"/>
  <c r="CY326" i="13" s="1"/>
  <c r="CX326" i="13" a="1"/>
  <c r="CX326" i="13" s="1"/>
  <c r="CX311" i="13" a="1"/>
  <c r="CX311" i="13" s="1"/>
  <c r="CY311" i="13" a="1"/>
  <c r="CY311" i="13" s="1"/>
  <c r="CT225" i="13" a="1"/>
  <c r="CT225" i="13" s="1"/>
  <c r="CE166" i="13" a="1"/>
  <c r="CE166" i="13" s="1"/>
  <c r="CX431" i="13" a="1"/>
  <c r="CX431" i="13" s="1"/>
  <c r="CY431" i="13" a="1"/>
  <c r="CY431" i="13" s="1"/>
  <c r="CE438" i="13" a="1"/>
  <c r="CE438" i="13" s="1"/>
  <c r="CD438" i="13" a="1"/>
  <c r="CD438" i="13" s="1"/>
  <c r="CE233" i="13" a="1"/>
  <c r="CE233" i="13" s="1"/>
  <c r="CD233" i="13" a="1"/>
  <c r="CD233" i="13" s="1"/>
  <c r="CT435" i="13" a="1"/>
  <c r="CT435" i="13" s="1"/>
  <c r="CT261" i="13" a="1"/>
  <c r="CT261" i="13" s="1"/>
  <c r="CE231" i="13" a="1"/>
  <c r="CE231" i="13" s="1"/>
  <c r="CD231" i="13" a="1"/>
  <c r="CD231" i="13" s="1"/>
  <c r="CE452" i="13" a="1"/>
  <c r="CE452" i="13" s="1"/>
  <c r="CD452" i="13" a="1"/>
  <c r="CD452" i="13" s="1"/>
  <c r="CZ161" i="13"/>
  <c r="Z161" i="13" s="1"/>
  <c r="CT315" i="13" a="1"/>
  <c r="CT315" i="13" s="1"/>
  <c r="CX170" i="13" a="1"/>
  <c r="CX170" i="13" s="1"/>
  <c r="CY170" i="13" a="1"/>
  <c r="CY170" i="13" s="1"/>
  <c r="CF170" i="13"/>
  <c r="R170" i="13" s="1"/>
  <c r="CX388" i="13" a="1"/>
  <c r="CX388" i="13" s="1"/>
  <c r="CY388" i="13" a="1"/>
  <c r="CY388" i="13" s="1"/>
  <c r="CZ167" i="13"/>
  <c r="Z167" i="13" s="1"/>
  <c r="AF339" i="13"/>
  <c r="CT127" i="13" a="1"/>
  <c r="CT127" i="13" s="1"/>
  <c r="CZ127" i="13" s="1"/>
  <c r="Z127" i="13" s="1"/>
  <c r="BV968" i="13" a="1"/>
  <c r="BV968" i="13" s="1"/>
  <c r="CX949" i="13" a="1"/>
  <c r="CX949" i="13" s="1"/>
  <c r="CY949" i="13" a="1"/>
  <c r="CY949" i="13" s="1"/>
  <c r="CX939" i="13" a="1"/>
  <c r="CX939" i="13" s="1"/>
  <c r="CY939" i="13" a="1"/>
  <c r="CY939" i="13" s="1"/>
  <c r="CN893" i="13"/>
  <c r="CO893" i="13" s="1"/>
  <c r="CP893" i="13" s="1" a="1"/>
  <c r="CP893" i="13" s="1"/>
  <c r="CJ893" i="13"/>
  <c r="CK893" i="13" s="1"/>
  <c r="CL893" i="13" s="1" a="1"/>
  <c r="CL893" i="13" s="1"/>
  <c r="BP893" i="13"/>
  <c r="BQ893" i="13" s="1"/>
  <c r="BR893" i="13" s="1" a="1"/>
  <c r="BR893" i="13" s="1"/>
  <c r="CX823" i="13" a="1"/>
  <c r="CX823" i="13" s="1"/>
  <c r="CY823" i="13" a="1"/>
  <c r="CY823" i="13" s="1"/>
  <c r="CY978" i="13" a="1"/>
  <c r="CY978" i="13" s="1"/>
  <c r="CX978" i="13" a="1"/>
  <c r="CX978" i="13" s="1"/>
  <c r="CX982" i="13" a="1"/>
  <c r="CX982" i="13" s="1"/>
  <c r="CY982" i="13" a="1"/>
  <c r="CY982" i="13" s="1"/>
  <c r="CX876" i="13" a="1"/>
  <c r="CX876" i="13" s="1"/>
  <c r="CY876" i="13" a="1"/>
  <c r="CY876" i="13" s="1"/>
  <c r="CX917" i="13" a="1"/>
  <c r="CX917" i="13" s="1"/>
  <c r="CY917" i="13" a="1"/>
  <c r="CY917" i="13" s="1"/>
  <c r="CE827" i="13" a="1"/>
  <c r="CE827" i="13" s="1"/>
  <c r="CD827" i="13" a="1"/>
  <c r="CD827" i="13" s="1"/>
  <c r="CE848" i="13" a="1"/>
  <c r="CE848" i="13" s="1"/>
  <c r="CD848" i="13" a="1"/>
  <c r="CD848" i="13" s="1"/>
  <c r="BX865" i="13"/>
  <c r="BY865" i="13" s="1"/>
  <c r="CY972" i="13" a="1"/>
  <c r="CY972" i="13" s="1"/>
  <c r="CX972" i="13" a="1"/>
  <c r="CX972" i="13" s="1"/>
  <c r="BX1000" i="13"/>
  <c r="BY1000" i="13" s="1"/>
  <c r="BV948" i="13" a="1"/>
  <c r="BV948" i="13" s="1"/>
  <c r="CJ912" i="13"/>
  <c r="CK912" i="13" s="1"/>
  <c r="CL912" i="13" s="1" a="1"/>
  <c r="CL912" i="13" s="1"/>
  <c r="CD856" i="13" a="1"/>
  <c r="CD856" i="13" s="1"/>
  <c r="CE856" i="13" a="1"/>
  <c r="CE856" i="13" s="1"/>
  <c r="BV799" i="13" a="1"/>
  <c r="BV799" i="13" s="1"/>
  <c r="BX1019" i="13"/>
  <c r="BY1019" i="13" s="1"/>
  <c r="BZ1019" i="13" s="1" a="1"/>
  <c r="BZ1019" i="13" s="1"/>
  <c r="CP982" i="13" a="1"/>
  <c r="CP982" i="13" s="1"/>
  <c r="CT911" i="13" a="1"/>
  <c r="CT911" i="13" s="1"/>
  <c r="CX898" i="13" a="1"/>
  <c r="CX898" i="13" s="1"/>
  <c r="CY898" i="13" a="1"/>
  <c r="CY898" i="13" s="1"/>
  <c r="CX880" i="13" a="1"/>
  <c r="CX880" i="13" s="1"/>
  <c r="CZ880" i="13" s="1"/>
  <c r="Z880" i="13" s="1"/>
  <c r="CY880" i="13" a="1"/>
  <c r="CY880" i="13" s="1"/>
  <c r="CJ942" i="13"/>
  <c r="CK942" i="13" s="1"/>
  <c r="CL942" i="13" s="1" a="1"/>
  <c r="CL942" i="13" s="1"/>
  <c r="CT892" i="13" a="1"/>
  <c r="CT892" i="13" s="1"/>
  <c r="BT893" i="13"/>
  <c r="BU893" i="13" s="1"/>
  <c r="BV893" i="13" s="1" a="1"/>
  <c r="BV893" i="13" s="1"/>
  <c r="CP874" i="13" a="1"/>
  <c r="CP874" i="13" s="1"/>
  <c r="CB918" i="13"/>
  <c r="CC918" i="13" s="1"/>
  <c r="BT829" i="13"/>
  <c r="BU829" i="13" s="1"/>
  <c r="CD850" i="13" a="1"/>
  <c r="CD850" i="13" s="1"/>
  <c r="CE850" i="13" a="1"/>
  <c r="CE850" i="13" s="1"/>
  <c r="CV1012" i="13"/>
  <c r="CW1012" i="13" s="1"/>
  <c r="CD935" i="13" a="1"/>
  <c r="CD935" i="13" s="1"/>
  <c r="CE935" i="13" a="1"/>
  <c r="CE935" i="13" s="1"/>
  <c r="BX1020" i="13"/>
  <c r="BY1020" i="13" s="1"/>
  <c r="BZ1020" i="13" s="1" a="1"/>
  <c r="BZ1020" i="13" s="1"/>
  <c r="CD946" i="13" a="1"/>
  <c r="CD946" i="13" s="1"/>
  <c r="CE946" i="13" a="1"/>
  <c r="CE946" i="13" s="1"/>
  <c r="CJ934" i="13"/>
  <c r="CK934" i="13" s="1"/>
  <c r="CL934" i="13" s="1" a="1"/>
  <c r="CL934" i="13" s="1"/>
  <c r="CJ918" i="13"/>
  <c r="CK918" i="13" s="1"/>
  <c r="CL918" i="13" s="1" a="1"/>
  <c r="CL918" i="13" s="1"/>
  <c r="CR867" i="13"/>
  <c r="CS867" i="13" s="1"/>
  <c r="CT867" i="13" s="1" a="1"/>
  <c r="CT867" i="13" s="1"/>
  <c r="CP813" i="13" a="1"/>
  <c r="CP813" i="13" s="1"/>
  <c r="BT845" i="13"/>
  <c r="BU845" i="13" s="1"/>
  <c r="BZ845" i="13" s="1" a="1"/>
  <c r="BZ845" i="13" s="1"/>
  <c r="BX859" i="13"/>
  <c r="BY859" i="13" s="1"/>
  <c r="CV1002" i="13"/>
  <c r="CW1002" i="13" s="1"/>
  <c r="CP962" i="13" a="1"/>
  <c r="CP962" i="13" s="1"/>
  <c r="CY937" i="13" a="1"/>
  <c r="CY937" i="13" s="1"/>
  <c r="CX937" i="13" a="1"/>
  <c r="CX937" i="13" s="1"/>
  <c r="CT970" i="13" a="1"/>
  <c r="CT970" i="13" s="1"/>
  <c r="BV972" i="13" a="1"/>
  <c r="BV972" i="13" s="1"/>
  <c r="CY919" i="13" a="1"/>
  <c r="CY919" i="13" s="1"/>
  <c r="CX919" i="13" a="1"/>
  <c r="CX919" i="13" s="1"/>
  <c r="CB1000" i="13"/>
  <c r="CC1000" i="13" s="1"/>
  <c r="CD854" i="13" a="1"/>
  <c r="CD854" i="13" s="1"/>
  <c r="BZ854" i="13" a="1"/>
  <c r="BZ854" i="13" s="1"/>
  <c r="CP888" i="13" a="1"/>
  <c r="CP888" i="13" s="1"/>
  <c r="CB849" i="13"/>
  <c r="CC849" i="13" s="1"/>
  <c r="CJ812" i="13"/>
  <c r="CK812" i="13" s="1"/>
  <c r="CL812" i="13" s="1" a="1"/>
  <c r="CL812" i="13" s="1"/>
  <c r="CJ790" i="13"/>
  <c r="CK790" i="13" s="1"/>
  <c r="CL790" i="13" s="1" a="1"/>
  <c r="CL790" i="13" s="1"/>
  <c r="CJ820" i="13"/>
  <c r="CK820" i="13" s="1"/>
  <c r="CL820" i="13" s="1" a="1"/>
  <c r="CL820" i="13" s="1"/>
  <c r="CV1018" i="13"/>
  <c r="CW1018" i="13" s="1"/>
  <c r="CY911" i="13" a="1"/>
  <c r="CY911" i="13" s="1"/>
  <c r="CX911" i="13" a="1"/>
  <c r="CX911" i="13" s="1"/>
  <c r="CB1001" i="13"/>
  <c r="CC1001" i="13" s="1"/>
  <c r="CV1003" i="13"/>
  <c r="CW1003" i="13" s="1"/>
  <c r="CE913" i="13" a="1"/>
  <c r="CE913" i="13" s="1"/>
  <c r="CD913" i="13" a="1"/>
  <c r="CD913" i="13" s="1"/>
  <c r="CT950" i="13" a="1"/>
  <c r="CT950" i="13" s="1"/>
  <c r="BV946" i="13" a="1"/>
  <c r="BV946" i="13" s="1"/>
  <c r="BP932" i="13"/>
  <c r="BQ932" i="13" s="1"/>
  <c r="BR932" i="13" s="1" a="1"/>
  <c r="BR932" i="13" s="1"/>
  <c r="BP916" i="13"/>
  <c r="BQ916" i="13" s="1"/>
  <c r="BR916" i="13" s="1" a="1"/>
  <c r="BR916" i="13" s="1"/>
  <c r="CJ883" i="13"/>
  <c r="CK883" i="13" s="1"/>
  <c r="CL883" i="13" s="1" a="1"/>
  <c r="CL883" i="13" s="1"/>
  <c r="BT899" i="13"/>
  <c r="BU899" i="13" s="1"/>
  <c r="CP848" i="13" a="1"/>
  <c r="CP848" i="13" s="1"/>
  <c r="BV870" i="13" a="1"/>
  <c r="BV870" i="13" s="1"/>
  <c r="CN857" i="13"/>
  <c r="CO857" i="13" s="1"/>
  <c r="CT857" i="13" s="1" a="1"/>
  <c r="CT857" i="13" s="1"/>
  <c r="BT861" i="13"/>
  <c r="BU861" i="13" s="1"/>
  <c r="CJ804" i="13"/>
  <c r="CK804" i="13" s="1"/>
  <c r="CL804" i="13" s="1" a="1"/>
  <c r="CL804" i="13" s="1"/>
  <c r="CT750" i="13" a="1"/>
  <c r="CT750" i="13" s="1"/>
  <c r="BT1021" i="13"/>
  <c r="BU1021" i="13" s="1"/>
  <c r="BV1021" i="13" s="1" a="1"/>
  <c r="BV1021" i="13" s="1"/>
  <c r="CE981" i="13" a="1"/>
  <c r="CE981" i="13" s="1"/>
  <c r="CD981" i="13" a="1"/>
  <c r="CD981" i="13" s="1"/>
  <c r="CT978" i="13" a="1"/>
  <c r="CT978" i="13" s="1"/>
  <c r="CP951" i="13" a="1"/>
  <c r="CP951" i="13" s="1"/>
  <c r="CB998" i="13"/>
  <c r="CC998" i="13" s="1"/>
  <c r="CN839" i="13"/>
  <c r="CO839" i="13" s="1"/>
  <c r="CR924" i="13"/>
  <c r="CS924" i="13" s="1"/>
  <c r="CT924" i="13" s="1" a="1"/>
  <c r="CT924" i="13" s="1"/>
  <c r="CB924" i="13"/>
  <c r="CC924" i="13" s="1"/>
  <c r="CB853" i="13"/>
  <c r="CC853" i="13" s="1"/>
  <c r="CD787" i="13" a="1"/>
  <c r="CD787" i="13" s="1"/>
  <c r="CE787" i="13" a="1"/>
  <c r="CE787" i="13" s="1"/>
  <c r="BP810" i="13"/>
  <c r="BQ810" i="13" s="1"/>
  <c r="BR810" i="13" s="1" a="1"/>
  <c r="BR810" i="13" s="1"/>
  <c r="BX788" i="13"/>
  <c r="BY788" i="13" s="1"/>
  <c r="BZ788" i="13" s="1" a="1"/>
  <c r="BZ788" i="13" s="1"/>
  <c r="CJ1008" i="13"/>
  <c r="CK1008" i="13" s="1"/>
  <c r="CL1008" i="13" s="1" a="1"/>
  <c r="CL1008" i="13" s="1"/>
  <c r="CJ833" i="13"/>
  <c r="CK833" i="13" s="1"/>
  <c r="CL833" i="13" s="1" a="1"/>
  <c r="CL833" i="13" s="1"/>
  <c r="CY797" i="13" a="1"/>
  <c r="CY797" i="13" s="1"/>
  <c r="CX797" i="13" a="1"/>
  <c r="CX797" i="13" s="1"/>
  <c r="CP781" i="13" a="1"/>
  <c r="CP781" i="13" s="1"/>
  <c r="CB786" i="13"/>
  <c r="CC786" i="13" s="1"/>
  <c r="CT771" i="13" a="1"/>
  <c r="CT771" i="13" s="1"/>
  <c r="BV755" i="13" a="1"/>
  <c r="BV755" i="13" s="1"/>
  <c r="CN784" i="13"/>
  <c r="CO784" i="13" s="1"/>
  <c r="BP774" i="13"/>
  <c r="BQ774" i="13" s="1"/>
  <c r="BR774" i="13" s="1" a="1"/>
  <c r="BR774" i="13" s="1"/>
  <c r="BP770" i="13"/>
  <c r="BQ770" i="13" s="1"/>
  <c r="BR770" i="13" s="1" a="1"/>
  <c r="BR770" i="13" s="1"/>
  <c r="BT762" i="13"/>
  <c r="BU762" i="13" s="1"/>
  <c r="BT758" i="13"/>
  <c r="BU758" i="13" s="1"/>
  <c r="CP714" i="13" a="1"/>
  <c r="CP714" i="13" s="1"/>
  <c r="BX620" i="13"/>
  <c r="BY620" i="13" s="1"/>
  <c r="CD620" i="13" s="1" a="1"/>
  <c r="CD620" i="13" s="1"/>
  <c r="BX503" i="13"/>
  <c r="BY503" i="13" s="1"/>
  <c r="BP993" i="13"/>
  <c r="BQ993" i="13" s="1"/>
  <c r="BR993" i="13" s="1" a="1"/>
  <c r="BR993" i="13" s="1"/>
  <c r="CP915" i="13" a="1"/>
  <c r="CP915" i="13" s="1"/>
  <c r="BP861" i="13"/>
  <c r="BQ861" i="13" s="1"/>
  <c r="BR861" i="13" s="1" a="1"/>
  <c r="BR861" i="13" s="1"/>
  <c r="CV804" i="13"/>
  <c r="CW804" i="13" s="1"/>
  <c r="BP741" i="13"/>
  <c r="BQ741" i="13" s="1"/>
  <c r="BR741" i="13" s="1" a="1"/>
  <c r="BR741" i="13" s="1"/>
  <c r="CJ741" i="13"/>
  <c r="CK741" i="13" s="1"/>
  <c r="CL741" i="13" s="1" a="1"/>
  <c r="CL741" i="13" s="1"/>
  <c r="CB792" i="13"/>
  <c r="CC792" i="13" s="1"/>
  <c r="CP757" i="13" a="1"/>
  <c r="CP757" i="13" s="1"/>
  <c r="CD706" i="13" a="1"/>
  <c r="CD706" i="13" s="1"/>
  <c r="CE706" i="13" a="1"/>
  <c r="CE706" i="13" s="1"/>
  <c r="CY740" i="13" a="1"/>
  <c r="CY740" i="13" s="1"/>
  <c r="CX740" i="13" a="1"/>
  <c r="CX740" i="13" s="1"/>
  <c r="CY720" i="13" a="1"/>
  <c r="CY720" i="13" s="1"/>
  <c r="CX720" i="13" a="1"/>
  <c r="CX720" i="13" s="1"/>
  <c r="BV708" i="13" a="1"/>
  <c r="BV708" i="13" s="1"/>
  <c r="CE605" i="13" a="1"/>
  <c r="CE605" i="13" s="1"/>
  <c r="CD605" i="13" a="1"/>
  <c r="CD605" i="13" s="1"/>
  <c r="CP599" i="13" a="1"/>
  <c r="CP599" i="13" s="1"/>
  <c r="BT586" i="13"/>
  <c r="BU586" i="13" s="1"/>
  <c r="BZ562" i="13" a="1"/>
  <c r="BZ562" i="13" s="1"/>
  <c r="CD530" i="13" a="1"/>
  <c r="CD530" i="13" s="1"/>
  <c r="CE530" i="13" a="1"/>
  <c r="CE530" i="13" s="1"/>
  <c r="BV516" i="13" a="1"/>
  <c r="BV516" i="13" s="1"/>
  <c r="CD500" i="13" a="1"/>
  <c r="CD500" i="13" s="1"/>
  <c r="CE500" i="13" a="1"/>
  <c r="CE500" i="13" s="1"/>
  <c r="BP511" i="13"/>
  <c r="BQ511" i="13" s="1"/>
  <c r="BR511" i="13" s="1" a="1"/>
  <c r="BR511" i="13" s="1"/>
  <c r="CR455" i="13"/>
  <c r="CS455" i="13" s="1"/>
  <c r="CX961" i="13" a="1"/>
  <c r="CX961" i="13" s="1"/>
  <c r="CP957" i="13" a="1"/>
  <c r="CP957" i="13" s="1"/>
  <c r="CN906" i="13"/>
  <c r="CO906" i="13" s="1"/>
  <c r="CP906" i="13" s="1" a="1"/>
  <c r="CP906" i="13" s="1"/>
  <c r="CT785" i="13" a="1"/>
  <c r="CT785" i="13" s="1"/>
  <c r="CB770" i="13"/>
  <c r="CC770" i="13" s="1"/>
  <c r="CP759" i="13" a="1"/>
  <c r="CP759" i="13" s="1"/>
  <c r="CP736" i="13" a="1"/>
  <c r="CP736" i="13" s="1"/>
  <c r="BV726" i="13" a="1"/>
  <c r="BV726" i="13" s="1"/>
  <c r="CR655" i="13"/>
  <c r="CS655" i="13" s="1"/>
  <c r="CB640" i="13"/>
  <c r="CC640" i="13" s="1"/>
  <c r="CE579" i="13" a="1"/>
  <c r="CE579" i="13" s="1"/>
  <c r="CD579" i="13" a="1"/>
  <c r="CD579" i="13" s="1"/>
  <c r="CT597" i="13" a="1"/>
  <c r="CT597" i="13" s="1"/>
  <c r="BV574" i="13" a="1"/>
  <c r="BV574" i="13" s="1"/>
  <c r="CR561" i="13"/>
  <c r="CS561" i="13" s="1"/>
  <c r="CT561" i="13" s="1" a="1"/>
  <c r="CT561" i="13" s="1"/>
  <c r="CY552" i="13" a="1"/>
  <c r="CY552" i="13" s="1"/>
  <c r="CX552" i="13" a="1"/>
  <c r="CX552" i="13" s="1"/>
  <c r="BP489" i="13"/>
  <c r="BQ489" i="13" s="1"/>
  <c r="BR489" i="13" s="1" a="1"/>
  <c r="BR489" i="13" s="1"/>
  <c r="BT1005" i="13"/>
  <c r="BU1005" i="13" s="1"/>
  <c r="BV1005" i="13" s="1" a="1"/>
  <c r="BV1005" i="13" s="1"/>
  <c r="BX893" i="13"/>
  <c r="BY893" i="13" s="1"/>
  <c r="BZ893" i="13" s="1" a="1"/>
  <c r="BZ893" i="13" s="1"/>
  <c r="CN887" i="13"/>
  <c r="CO887" i="13" s="1"/>
  <c r="CP887" i="13" s="1" a="1"/>
  <c r="CP887" i="13" s="1"/>
  <c r="CN889" i="13"/>
  <c r="CO889" i="13" s="1"/>
  <c r="CD811" i="13" a="1"/>
  <c r="CD811" i="13" s="1"/>
  <c r="CV814" i="13"/>
  <c r="CW814" i="13" s="1"/>
  <c r="CB788" i="13"/>
  <c r="CC788" i="13" s="1"/>
  <c r="CD777" i="13" a="1"/>
  <c r="CD777" i="13" s="1"/>
  <c r="CE777" i="13" a="1"/>
  <c r="CE777" i="13" s="1"/>
  <c r="CY761" i="13" a="1"/>
  <c r="CY761" i="13" s="1"/>
  <c r="CX761" i="13" a="1"/>
  <c r="CX761" i="13" s="1"/>
  <c r="BV734" i="13" a="1"/>
  <c r="BV734" i="13" s="1"/>
  <c r="CT730" i="13" a="1"/>
  <c r="CT730" i="13" s="1"/>
  <c r="BV710" i="13" a="1"/>
  <c r="BV710" i="13" s="1"/>
  <c r="CJ678" i="13"/>
  <c r="CK678" i="13" s="1"/>
  <c r="CL678" i="13" s="1" a="1"/>
  <c r="CL678" i="13" s="1"/>
  <c r="CV678" i="13"/>
  <c r="CW678" i="13" s="1"/>
  <c r="CD589" i="13" a="1"/>
  <c r="CD589" i="13" s="1"/>
  <c r="CE589" i="13" a="1"/>
  <c r="CE589" i="13" s="1"/>
  <c r="CD583" i="13" a="1"/>
  <c r="CD583" i="13" s="1"/>
  <c r="CE583" i="13" a="1"/>
  <c r="CE583" i="13" s="1"/>
  <c r="BV572" i="13" a="1"/>
  <c r="BV572" i="13" s="1"/>
  <c r="CX570" i="13" a="1"/>
  <c r="CX570" i="13" s="1"/>
  <c r="CY570" i="13" a="1"/>
  <c r="CY570" i="13" s="1"/>
  <c r="BX517" i="13"/>
  <c r="BY517" i="13" s="1"/>
  <c r="BT465" i="13"/>
  <c r="BU465" i="13" s="1"/>
  <c r="BV465" i="13" s="1" a="1"/>
  <c r="BV465" i="13" s="1"/>
  <c r="CY484" i="13" a="1"/>
  <c r="CY484" i="13" s="1"/>
  <c r="CX484" i="13" a="1"/>
  <c r="CX484" i="13" s="1"/>
  <c r="BT483" i="13"/>
  <c r="BU483" i="13" s="1"/>
  <c r="CJ470" i="13"/>
  <c r="CK470" i="13" s="1"/>
  <c r="CL470" i="13" s="1" a="1"/>
  <c r="CL470" i="13" s="1"/>
  <c r="BV987" i="13" a="1"/>
  <c r="BV987" i="13" s="1"/>
  <c r="CF987" i="13" s="1"/>
  <c r="R987" i="13" s="1"/>
  <c r="BV985" i="13" a="1"/>
  <c r="BV985" i="13" s="1"/>
  <c r="CN883" i="13"/>
  <c r="CO883" i="13" s="1"/>
  <c r="CP883" i="13" s="1" a="1"/>
  <c r="CP883" i="13" s="1"/>
  <c r="CY805" i="13" a="1"/>
  <c r="CY805" i="13" s="1"/>
  <c r="CX805" i="13" a="1"/>
  <c r="CX805" i="13" s="1"/>
  <c r="CZ805" i="13" s="1"/>
  <c r="Z805" i="13" s="1"/>
  <c r="BZ789" i="13" a="1"/>
  <c r="BZ789" i="13" s="1"/>
  <c r="CB814" i="13"/>
  <c r="CC814" i="13" s="1"/>
  <c r="CD733" i="13" a="1"/>
  <c r="CD733" i="13" s="1"/>
  <c r="CE733" i="13" a="1"/>
  <c r="CE733" i="13" s="1"/>
  <c r="CN788" i="13"/>
  <c r="CO788" i="13" s="1"/>
  <c r="CJ772" i="13"/>
  <c r="CK772" i="13" s="1"/>
  <c r="CL772" i="13" s="1" a="1"/>
  <c r="CL772" i="13" s="1"/>
  <c r="BT764" i="13"/>
  <c r="BU764" i="13" s="1"/>
  <c r="CV756" i="13"/>
  <c r="CW756" i="13" s="1"/>
  <c r="CJ660" i="13"/>
  <c r="CK660" i="13" s="1"/>
  <c r="CL660" i="13" s="1" a="1"/>
  <c r="CL660" i="13" s="1"/>
  <c r="CN628" i="13"/>
  <c r="CO628" i="13" s="1"/>
  <c r="CP628" i="13" s="1" a="1"/>
  <c r="CP628" i="13" s="1"/>
  <c r="CV676" i="13"/>
  <c r="CW676" i="13" s="1"/>
  <c r="BX676" i="13"/>
  <c r="BY676" i="13" s="1"/>
  <c r="BZ676" i="13" s="1" a="1"/>
  <c r="BZ676" i="13" s="1"/>
  <c r="CB676" i="13"/>
  <c r="CC676" i="13" s="1"/>
  <c r="CJ676" i="13"/>
  <c r="CK676" i="13" s="1"/>
  <c r="CL676" i="13" s="1" a="1"/>
  <c r="CL676" i="13" s="1"/>
  <c r="CN676" i="13"/>
  <c r="CO676" i="13" s="1"/>
  <c r="CP676" i="13" s="1" a="1"/>
  <c r="CP676" i="13" s="1"/>
  <c r="BP676" i="13"/>
  <c r="BQ676" i="13" s="1"/>
  <c r="BR676" i="13" s="1" a="1"/>
  <c r="BR676" i="13" s="1"/>
  <c r="CV619" i="13"/>
  <c r="CW619" i="13" s="1"/>
  <c r="BT667" i="13"/>
  <c r="BU667" i="13" s="1"/>
  <c r="BT594" i="13"/>
  <c r="BU594" i="13" s="1"/>
  <c r="BV594" i="13" s="1" a="1"/>
  <c r="BV594" i="13" s="1"/>
  <c r="BV593" i="13" a="1"/>
  <c r="BV593" i="13" s="1"/>
  <c r="CJ600" i="13"/>
  <c r="CK600" i="13" s="1"/>
  <c r="CL600" i="13" s="1" a="1"/>
  <c r="CL600" i="13" s="1"/>
  <c r="CR551" i="13"/>
  <c r="CS551" i="13" s="1"/>
  <c r="CJ535" i="13"/>
  <c r="CK535" i="13" s="1"/>
  <c r="CL535" i="13" s="1" a="1"/>
  <c r="CL535" i="13" s="1"/>
  <c r="CX548" i="13" a="1"/>
  <c r="CX548" i="13" s="1"/>
  <c r="CY548" i="13" a="1"/>
  <c r="CY548" i="13" s="1"/>
  <c r="CR456" i="13"/>
  <c r="CS456" i="13" s="1"/>
  <c r="CT456" i="13" s="1" a="1"/>
  <c r="CT456" i="13" s="1"/>
  <c r="CB503" i="13"/>
  <c r="CC503" i="13" s="1"/>
  <c r="CN1011" i="13"/>
  <c r="CO1011" i="13" s="1"/>
  <c r="CP1011" i="13" s="1" a="1"/>
  <c r="CP1011" i="13" s="1"/>
  <c r="CN800" i="13"/>
  <c r="CO800" i="13" s="1"/>
  <c r="CT800" i="13" s="1" a="1"/>
  <c r="CT800" i="13" s="1"/>
  <c r="BX741" i="13"/>
  <c r="BY741" i="13" s="1"/>
  <c r="CB808" i="13"/>
  <c r="CC808" i="13" s="1"/>
  <c r="BZ765" i="13" a="1"/>
  <c r="BZ765" i="13" s="1"/>
  <c r="CT712" i="13" a="1"/>
  <c r="CT712" i="13" s="1"/>
  <c r="CT738" i="13" a="1"/>
  <c r="CT738" i="13" s="1"/>
  <c r="BZ712" i="13" a="1"/>
  <c r="BZ712" i="13" s="1"/>
  <c r="CR651" i="13"/>
  <c r="CS651" i="13" s="1"/>
  <c r="CR658" i="13"/>
  <c r="CS658" i="13" s="1"/>
  <c r="CT658" i="13" s="1" a="1"/>
  <c r="CT658" i="13" s="1"/>
  <c r="CV629" i="13"/>
  <c r="CW629" i="13" s="1"/>
  <c r="CJ638" i="13"/>
  <c r="CK638" i="13" s="1"/>
  <c r="CL638" i="13" s="1" a="1"/>
  <c r="CL638" i="13" s="1"/>
  <c r="CR680" i="13"/>
  <c r="CS680" i="13" s="1"/>
  <c r="CT680" i="13" s="1" a="1"/>
  <c r="CT680" i="13" s="1"/>
  <c r="CN667" i="13"/>
  <c r="CO667" i="13" s="1"/>
  <c r="CT667" i="13" s="1" a="1"/>
  <c r="CT667" i="13" s="1"/>
  <c r="BT627" i="13"/>
  <c r="BU627" i="13" s="1"/>
  <c r="BP622" i="13"/>
  <c r="BQ622" i="13" s="1"/>
  <c r="BR622" i="13" s="1" a="1"/>
  <c r="BR622" i="13" s="1"/>
  <c r="CN622" i="13"/>
  <c r="CO622" i="13" s="1"/>
  <c r="CJ561" i="13"/>
  <c r="CK561" i="13" s="1"/>
  <c r="CL561" i="13" s="1" a="1"/>
  <c r="CL561" i="13" s="1"/>
  <c r="BZ566" i="13" a="1"/>
  <c r="BZ566" i="13" s="1"/>
  <c r="CY560" i="13" a="1"/>
  <c r="CY560" i="13" s="1"/>
  <c r="CX560" i="13" a="1"/>
  <c r="CX560" i="13" s="1"/>
  <c r="CV541" i="13"/>
  <c r="CW541" i="13" s="1"/>
  <c r="BZ556" i="13" a="1"/>
  <c r="BZ556" i="13" s="1"/>
  <c r="CV465" i="13"/>
  <c r="CW465" i="13" s="1"/>
  <c r="CP504" i="13" a="1"/>
  <c r="CP504" i="13" s="1"/>
  <c r="CN507" i="13"/>
  <c r="CO507" i="13" s="1"/>
  <c r="CP507" i="13" s="1" a="1"/>
  <c r="CP507" i="13" s="1"/>
  <c r="CR487" i="13"/>
  <c r="CS487" i="13" s="1"/>
  <c r="BT468" i="13"/>
  <c r="BU468" i="13" s="1"/>
  <c r="BV468" i="13" s="1" a="1"/>
  <c r="BV468" i="13" s="1"/>
  <c r="CJ1021" i="13"/>
  <c r="CK1021" i="13" s="1"/>
  <c r="CL1021" i="13" s="1" a="1"/>
  <c r="CL1021" i="13" s="1"/>
  <c r="BX914" i="13"/>
  <c r="BY914" i="13" s="1"/>
  <c r="BZ914" i="13" s="1" a="1"/>
  <c r="BZ914" i="13" s="1"/>
  <c r="CP890" i="13" a="1"/>
  <c r="CP890" i="13" s="1"/>
  <c r="CX854" i="13" a="1"/>
  <c r="CX854" i="13" s="1"/>
  <c r="CZ854" i="13" s="1"/>
  <c r="Z854" i="13" s="1"/>
  <c r="CD809" i="13" a="1"/>
  <c r="CD809" i="13" s="1"/>
  <c r="CT793" i="13" a="1"/>
  <c r="CT793" i="13" s="1"/>
  <c r="AF686" i="13"/>
  <c r="CT767" i="13" a="1"/>
  <c r="CT767" i="13" s="1"/>
  <c r="CD727" i="13" a="1"/>
  <c r="CD727" i="13" s="1"/>
  <c r="CE727" i="13" a="1"/>
  <c r="CE727" i="13" s="1"/>
  <c r="CV780" i="13"/>
  <c r="CW780" i="13" s="1"/>
  <c r="CJ754" i="13"/>
  <c r="CK754" i="13" s="1"/>
  <c r="CL754" i="13" s="1" a="1"/>
  <c r="CL754" i="13" s="1"/>
  <c r="CE718" i="13" a="1"/>
  <c r="CE718" i="13" s="1"/>
  <c r="CD718" i="13" a="1"/>
  <c r="CD718" i="13" s="1"/>
  <c r="CV645" i="13"/>
  <c r="CW645" i="13" s="1"/>
  <c r="CB679" i="13"/>
  <c r="CC679" i="13" s="1"/>
  <c r="CJ670" i="13"/>
  <c r="CK670" i="13" s="1"/>
  <c r="CL670" i="13" s="1" a="1"/>
  <c r="CL670" i="13" s="1"/>
  <c r="BP667" i="13"/>
  <c r="BQ667" i="13" s="1"/>
  <c r="BR667" i="13" s="1" a="1"/>
  <c r="BR667" i="13" s="1"/>
  <c r="BT602" i="13"/>
  <c r="BU602" i="13" s="1"/>
  <c r="BV602" i="13" s="1" a="1"/>
  <c r="BV602" i="13" s="1"/>
  <c r="CN602" i="13"/>
  <c r="CO602" i="13" s="1"/>
  <c r="BX602" i="13"/>
  <c r="BY602" i="13" s="1"/>
  <c r="CJ602" i="13"/>
  <c r="CK602" i="13" s="1"/>
  <c r="CL602" i="13" s="1" a="1"/>
  <c r="CL602" i="13" s="1"/>
  <c r="BP602" i="13"/>
  <c r="BQ602" i="13" s="1"/>
  <c r="BR602" i="13" s="1" a="1"/>
  <c r="BR602" i="13" s="1"/>
  <c r="CP581" i="13" a="1"/>
  <c r="CP581" i="13" s="1"/>
  <c r="CB606" i="13"/>
  <c r="CC606" i="13" s="1"/>
  <c r="CR627" i="13"/>
  <c r="CS627" i="13" s="1"/>
  <c r="BX624" i="13"/>
  <c r="BY624" i="13" s="1"/>
  <c r="CT546" i="13" a="1"/>
  <c r="CT546" i="13" s="1"/>
  <c r="CR586" i="13"/>
  <c r="CS586" i="13" s="1"/>
  <c r="CP534" i="13" a="1"/>
  <c r="CP534" i="13" s="1"/>
  <c r="CE476" i="13" a="1"/>
  <c r="CE476" i="13" s="1"/>
  <c r="CD476" i="13" a="1"/>
  <c r="CD476" i="13" s="1"/>
  <c r="CJ481" i="13"/>
  <c r="CK481" i="13" s="1"/>
  <c r="CL481" i="13" s="1" a="1"/>
  <c r="CL481" i="13" s="1"/>
  <c r="CR446" i="13"/>
  <c r="CS446" i="13" s="1"/>
  <c r="CT446" i="13" s="1" a="1"/>
  <c r="CT446" i="13" s="1"/>
  <c r="CD474" i="13" a="1"/>
  <c r="CD474" i="13" s="1"/>
  <c r="CE474" i="13" a="1"/>
  <c r="CE474" i="13" s="1"/>
  <c r="CB439" i="13"/>
  <c r="CC439" i="13" s="1"/>
  <c r="CB483" i="13"/>
  <c r="CC483" i="13" s="1"/>
  <c r="CX976" i="13" a="1"/>
  <c r="CX976" i="13" s="1"/>
  <c r="BP849" i="13"/>
  <c r="BQ849" i="13" s="1"/>
  <c r="BR849" i="13" s="1" a="1"/>
  <c r="BR849" i="13" s="1"/>
  <c r="CT769" i="13" a="1"/>
  <c r="CT769" i="13" s="1"/>
  <c r="CV752" i="13"/>
  <c r="CW752" i="13" s="1"/>
  <c r="CY732" i="13" a="1"/>
  <c r="CY732" i="13" s="1"/>
  <c r="CX732" i="13" a="1"/>
  <c r="CX732" i="13" s="1"/>
  <c r="CT728" i="13" a="1"/>
  <c r="CT728" i="13" s="1"/>
  <c r="BV706" i="13" a="1"/>
  <c r="BV706" i="13" s="1"/>
  <c r="CP698" i="13" a="1"/>
  <c r="CP698" i="13" s="1"/>
  <c r="BP632" i="13"/>
  <c r="BQ632" i="13" s="1"/>
  <c r="BR632" i="13" s="1" a="1"/>
  <c r="BR632" i="13" s="1"/>
  <c r="CV623" i="13"/>
  <c r="CW623" i="13" s="1"/>
  <c r="CB655" i="13"/>
  <c r="CC655" i="13" s="1"/>
  <c r="CN671" i="13"/>
  <c r="CO671" i="13" s="1"/>
  <c r="CP671" i="13" s="1" a="1"/>
  <c r="CP671" i="13" s="1"/>
  <c r="BP665" i="13"/>
  <c r="BQ665" i="13" s="1"/>
  <c r="BR665" i="13" s="1" a="1"/>
  <c r="BR665" i="13" s="1"/>
  <c r="BX658" i="13"/>
  <c r="BY658" i="13" s="1"/>
  <c r="BZ658" i="13" s="1" a="1"/>
  <c r="BZ658" i="13" s="1"/>
  <c r="BV581" i="13" a="1"/>
  <c r="BV581" i="13" s="1"/>
  <c r="CV624" i="13"/>
  <c r="CW624" i="13" s="1"/>
  <c r="CR623" i="13"/>
  <c r="CS623" i="13" s="1"/>
  <c r="CB649" i="13"/>
  <c r="CC649" i="13" s="1"/>
  <c r="BV583" i="13" a="1"/>
  <c r="BV583" i="13" s="1"/>
  <c r="CJ539" i="13"/>
  <c r="CK539" i="13" s="1"/>
  <c r="CL539" i="13" s="1" a="1"/>
  <c r="CL539" i="13" s="1"/>
  <c r="BZ530" i="13" a="1"/>
  <c r="BZ530" i="13" s="1"/>
  <c r="CV545" i="13"/>
  <c r="CW545" i="13" s="1"/>
  <c r="CV529" i="13"/>
  <c r="CW529" i="13" s="1"/>
  <c r="BV478" i="13" a="1"/>
  <c r="BV478" i="13" s="1"/>
  <c r="CB525" i="13"/>
  <c r="CC525" i="13" s="1"/>
  <c r="BV514" i="13" a="1"/>
  <c r="BV514" i="13" s="1"/>
  <c r="CB468" i="13"/>
  <c r="CC468" i="13" s="1"/>
  <c r="CR511" i="13"/>
  <c r="CS511" i="13" s="1"/>
  <c r="CX617" i="13" a="1"/>
  <c r="CX617" i="13" s="1"/>
  <c r="CJ456" i="13"/>
  <c r="CK456" i="13" s="1"/>
  <c r="CL456" i="13" s="1" a="1"/>
  <c r="CL456" i="13" s="1"/>
  <c r="BR462" i="13" a="1"/>
  <c r="BR462" i="13" s="1"/>
  <c r="CP333" i="13" a="1"/>
  <c r="CP333" i="13" s="1"/>
  <c r="BT342" i="13"/>
  <c r="BU342" i="13" s="1"/>
  <c r="CN342" i="13"/>
  <c r="CO342" i="13" s="1"/>
  <c r="CB342" i="13"/>
  <c r="CC342" i="13" s="1"/>
  <c r="BP342" i="13"/>
  <c r="BQ342" i="13" s="1"/>
  <c r="BR342" i="13" s="1" a="1"/>
  <c r="BR342" i="13" s="1"/>
  <c r="CV293" i="13"/>
  <c r="CW293" i="13" s="1"/>
  <c r="CB265" i="13"/>
  <c r="CC265" i="13" s="1"/>
  <c r="BX265" i="13"/>
  <c r="BY265" i="13" s="1"/>
  <c r="BP265" i="13"/>
  <c r="BQ265" i="13" s="1"/>
  <c r="BR265" i="13" s="1" a="1"/>
  <c r="BR265" i="13" s="1"/>
  <c r="CJ265" i="13"/>
  <c r="CK265" i="13" s="1"/>
  <c r="CL265" i="13" s="1" a="1"/>
  <c r="CL265" i="13" s="1"/>
  <c r="CN265" i="13"/>
  <c r="CO265" i="13" s="1"/>
  <c r="CP265" i="13" s="1" a="1"/>
  <c r="CP265" i="13" s="1"/>
  <c r="CT260" i="13" a="1"/>
  <c r="CT260" i="13" s="1"/>
  <c r="CD193" i="13" a="1"/>
  <c r="CD193" i="13" s="1"/>
  <c r="CE193" i="13" a="1"/>
  <c r="CE193" i="13" s="1"/>
  <c r="CP748" i="13" a="1"/>
  <c r="CP748" i="13" s="1"/>
  <c r="BZ688" i="13" a="1"/>
  <c r="BZ688" i="13" s="1"/>
  <c r="BZ595" i="13" a="1"/>
  <c r="BZ595" i="13" s="1"/>
  <c r="CX500" i="13" a="1"/>
  <c r="CX500" i="13" s="1"/>
  <c r="CR459" i="13"/>
  <c r="CS459" i="13" s="1"/>
  <c r="CT459" i="13" s="1" a="1"/>
  <c r="CT459" i="13" s="1"/>
  <c r="CE420" i="13" a="1"/>
  <c r="CE420" i="13" s="1"/>
  <c r="CD420" i="13" a="1"/>
  <c r="CD420" i="13" s="1"/>
  <c r="CT404" i="13" a="1"/>
  <c r="CT404" i="13" s="1"/>
  <c r="CY393" i="13" a="1"/>
  <c r="CY393" i="13" s="1"/>
  <c r="CX393" i="13" a="1"/>
  <c r="CX393" i="13" s="1"/>
  <c r="CT382" i="13" a="1"/>
  <c r="CT382" i="13" s="1"/>
  <c r="CB311" i="13"/>
  <c r="CC311" i="13" s="1"/>
  <c r="CR265" i="13"/>
  <c r="CS265" i="13" s="1"/>
  <c r="CT265" i="13" s="1" a="1"/>
  <c r="CT265" i="13" s="1"/>
  <c r="CP224" i="13" a="1"/>
  <c r="CP224" i="13" s="1"/>
  <c r="BV739" i="13" a="1"/>
  <c r="BV739" i="13" s="1"/>
  <c r="BP614" i="13"/>
  <c r="BQ614" i="13" s="1"/>
  <c r="BR614" i="13" s="1" a="1"/>
  <c r="BR614" i="13" s="1"/>
  <c r="CV621" i="13"/>
  <c r="CW621" i="13" s="1"/>
  <c r="BT584" i="13"/>
  <c r="BU584" i="13" s="1"/>
  <c r="BV584" i="13" s="1" a="1"/>
  <c r="BV584" i="13" s="1"/>
  <c r="CP564" i="13" a="1"/>
  <c r="CP564" i="13" s="1"/>
  <c r="BP448" i="13"/>
  <c r="BQ448" i="13" s="1"/>
  <c r="BR448" i="13" s="1" a="1"/>
  <c r="BR448" i="13" s="1"/>
  <c r="CV419" i="13"/>
  <c r="CW419" i="13" s="1"/>
  <c r="CX423" i="13" a="1"/>
  <c r="CX423" i="13" s="1"/>
  <c r="CY423" i="13" a="1"/>
  <c r="CY423" i="13" s="1"/>
  <c r="CX418" i="13" a="1"/>
  <c r="CX418" i="13" s="1"/>
  <c r="CY418" i="13" a="1"/>
  <c r="CY418" i="13" s="1"/>
  <c r="BP373" i="13"/>
  <c r="BQ373" i="13" s="1"/>
  <c r="BR373" i="13" s="1" a="1"/>
  <c r="BR373" i="13" s="1"/>
  <c r="BV333" i="13" a="1"/>
  <c r="BV333" i="13" s="1"/>
  <c r="BV304" i="13" a="1"/>
  <c r="BV304" i="13" s="1"/>
  <c r="CT290" i="13" a="1"/>
  <c r="CT290" i="13" s="1"/>
  <c r="BT273" i="13"/>
  <c r="BU273" i="13" s="1"/>
  <c r="CN299" i="13"/>
  <c r="CO299" i="13" s="1"/>
  <c r="CN752" i="13"/>
  <c r="CO752" i="13" s="1"/>
  <c r="BT640" i="13"/>
  <c r="BU640" i="13" s="1"/>
  <c r="CX597" i="13" a="1"/>
  <c r="CX597" i="13" s="1"/>
  <c r="CZ597" i="13" s="1"/>
  <c r="Z597" i="13" s="1"/>
  <c r="CV586" i="13"/>
  <c r="CW586" i="13" s="1"/>
  <c r="CX527" i="13" a="1"/>
  <c r="CX527" i="13" s="1"/>
  <c r="CV515" i="13"/>
  <c r="CW515" i="13" s="1"/>
  <c r="BX459" i="13"/>
  <c r="BY459" i="13" s="1"/>
  <c r="BZ459" i="13" s="1" a="1"/>
  <c r="BZ459" i="13" s="1"/>
  <c r="CE416" i="13" a="1"/>
  <c r="CE416" i="13" s="1"/>
  <c r="CD416" i="13" a="1"/>
  <c r="CD416" i="13" s="1"/>
  <c r="CE376" i="13" a="1"/>
  <c r="CE376" i="13" s="1"/>
  <c r="CD376" i="13" a="1"/>
  <c r="CD376" i="13" s="1"/>
  <c r="BZ364" i="13" a="1"/>
  <c r="BZ364" i="13" s="1"/>
  <c r="CP370" i="13" a="1"/>
  <c r="CP370" i="13" s="1"/>
  <c r="BZ356" i="13" a="1"/>
  <c r="BZ356" i="13" s="1"/>
  <c r="CX284" i="13" a="1"/>
  <c r="CX284" i="13" s="1"/>
  <c r="CY284" i="13" a="1"/>
  <c r="CY284" i="13" s="1"/>
  <c r="BX297" i="13"/>
  <c r="BY297" i="13" s="1"/>
  <c r="BZ297" i="13" s="1" a="1"/>
  <c r="BZ297" i="13" s="1"/>
  <c r="BP297" i="13"/>
  <c r="BQ297" i="13" s="1"/>
  <c r="BR297" i="13" s="1" a="1"/>
  <c r="BR297" i="13" s="1"/>
  <c r="BT297" i="13"/>
  <c r="BU297" i="13" s="1"/>
  <c r="CV269" i="13"/>
  <c r="CW269" i="13" s="1"/>
  <c r="CD268" i="13" a="1"/>
  <c r="CD268" i="13" s="1"/>
  <c r="CE268" i="13" a="1"/>
  <c r="CE268" i="13" s="1"/>
  <c r="CV265" i="13"/>
  <c r="CW265" i="13" s="1"/>
  <c r="BV234" i="13" a="1"/>
  <c r="BV234" i="13" s="1"/>
  <c r="BV687" i="13" a="1"/>
  <c r="BV687" i="13" s="1"/>
  <c r="CJ596" i="13"/>
  <c r="CK596" i="13" s="1"/>
  <c r="CL596" i="13" s="1" a="1"/>
  <c r="CL596" i="13" s="1"/>
  <c r="CN557" i="13"/>
  <c r="CO557" i="13" s="1"/>
  <c r="CT557" i="13" s="1" a="1"/>
  <c r="CT557" i="13" s="1"/>
  <c r="BZ526" i="13" a="1"/>
  <c r="BZ526" i="13" s="1"/>
  <c r="CD413" i="13" a="1"/>
  <c r="CD413" i="13" s="1"/>
  <c r="CE413" i="13" a="1"/>
  <c r="CE413" i="13" s="1"/>
  <c r="BZ406" i="13" a="1"/>
  <c r="BZ406" i="13" s="1"/>
  <c r="BV414" i="13" a="1"/>
  <c r="BV414" i="13" s="1"/>
  <c r="BP411" i="13"/>
  <c r="BQ411" i="13" s="1"/>
  <c r="BR411" i="13" s="1" a="1"/>
  <c r="BR411" i="13" s="1"/>
  <c r="CP366" i="13" a="1"/>
  <c r="CP366" i="13" s="1"/>
  <c r="BT322" i="13"/>
  <c r="BU322" i="13" s="1"/>
  <c r="CE331" i="13" a="1"/>
  <c r="CE331" i="13" s="1"/>
  <c r="CD331" i="13" a="1"/>
  <c r="CD331" i="13" s="1"/>
  <c r="BP308" i="13"/>
  <c r="BQ308" i="13" s="1"/>
  <c r="BR308" i="13" s="1" a="1"/>
  <c r="BR308" i="13" s="1"/>
  <c r="CD294" i="13" a="1"/>
  <c r="CD294" i="13" s="1"/>
  <c r="CE294" i="13" a="1"/>
  <c r="CE294" i="13" s="1"/>
  <c r="CB293" i="13"/>
  <c r="CC293" i="13" s="1"/>
  <c r="CV263" i="13"/>
  <c r="CW263" i="13" s="1"/>
  <c r="CT210" i="13" a="1"/>
  <c r="CT210" i="13" s="1"/>
  <c r="CV206" i="13"/>
  <c r="CW206" i="13" s="1"/>
  <c r="CR166" i="13"/>
  <c r="CS166" i="13" s="1"/>
  <c r="BT177" i="13"/>
  <c r="BU177" i="13" s="1"/>
  <c r="BV177" i="13" s="1" a="1"/>
  <c r="BV177" i="13" s="1"/>
  <c r="CB177" i="13"/>
  <c r="CC177" i="13" s="1"/>
  <c r="BP177" i="13"/>
  <c r="BQ177" i="13" s="1"/>
  <c r="BR177" i="13" s="1" a="1"/>
  <c r="BR177" i="13" s="1"/>
  <c r="BX637" i="13"/>
  <c r="BY637" i="13" s="1"/>
  <c r="BZ637" i="13" s="1" a="1"/>
  <c r="BZ637" i="13" s="1"/>
  <c r="CV590" i="13"/>
  <c r="CW590" i="13" s="1"/>
  <c r="CV519" i="13"/>
  <c r="CW519" i="13" s="1"/>
  <c r="CR443" i="13"/>
  <c r="CS443" i="13" s="1"/>
  <c r="CT443" i="13" s="1" a="1"/>
  <c r="CT443" i="13" s="1"/>
  <c r="CR467" i="13"/>
  <c r="CS467" i="13" s="1"/>
  <c r="CT467" i="13" s="1" a="1"/>
  <c r="CT467" i="13" s="1"/>
  <c r="BV410" i="13" a="1"/>
  <c r="BV410" i="13" s="1"/>
  <c r="CE404" i="13" a="1"/>
  <c r="CE404" i="13" s="1"/>
  <c r="CD404" i="13" a="1"/>
  <c r="CD404" i="13" s="1"/>
  <c r="BX357" i="13"/>
  <c r="BY357" i="13" s="1"/>
  <c r="BZ357" i="13" s="1" a="1"/>
  <c r="BZ357" i="13" s="1"/>
  <c r="BV310" i="13" a="1"/>
  <c r="BV310" i="13" s="1"/>
  <c r="BZ300" i="13" a="1"/>
  <c r="BZ300" i="13" s="1"/>
  <c r="CE300" i="13" a="1"/>
  <c r="CE300" i="13" s="1"/>
  <c r="CD300" i="13" a="1"/>
  <c r="CD300" i="13" s="1"/>
  <c r="BP273" i="13"/>
  <c r="BQ273" i="13" s="1"/>
  <c r="BR273" i="13" s="1" a="1"/>
  <c r="BR273" i="13" s="1"/>
  <c r="BP269" i="13"/>
  <c r="BQ269" i="13" s="1"/>
  <c r="BR269" i="13" s="1" a="1"/>
  <c r="BR269" i="13" s="1"/>
  <c r="CP266" i="13" a="1"/>
  <c r="CP266" i="13" s="1"/>
  <c r="BV211" i="13" a="1"/>
  <c r="BV211" i="13" s="1"/>
  <c r="CJ206" i="13"/>
  <c r="CK206" i="13" s="1"/>
  <c r="CL206" i="13" s="1" a="1"/>
  <c r="CL206" i="13" s="1"/>
  <c r="BV699" i="13" a="1"/>
  <c r="BV699" i="13" s="1"/>
  <c r="BZ601" i="13" a="1"/>
  <c r="BZ601" i="13" s="1"/>
  <c r="CT496" i="13" a="1"/>
  <c r="CT496" i="13" s="1"/>
  <c r="CN458" i="13"/>
  <c r="CO458" i="13" s="1"/>
  <c r="CP458" i="13" s="1" a="1"/>
  <c r="CP458" i="13" s="1"/>
  <c r="BX436" i="13"/>
  <c r="BY436" i="13" s="1"/>
  <c r="CV440" i="13"/>
  <c r="CW440" i="13" s="1"/>
  <c r="BT438" i="13"/>
  <c r="BU438" i="13" s="1"/>
  <c r="BV438" i="13" s="1" a="1"/>
  <c r="BV438" i="13" s="1"/>
  <c r="CR392" i="13"/>
  <c r="CS392" i="13" s="1"/>
  <c r="CT392" i="13" s="1" a="1"/>
  <c r="CT392" i="13" s="1"/>
  <c r="BT359" i="13"/>
  <c r="BU359" i="13" s="1"/>
  <c r="BZ359" i="13" s="1" a="1"/>
  <c r="BZ359" i="13" s="1"/>
  <c r="CB322" i="13"/>
  <c r="CC322" i="13" s="1"/>
  <c r="CE327" i="13" a="1"/>
  <c r="CE327" i="13" s="1"/>
  <c r="CD327" i="13" a="1"/>
  <c r="CD327" i="13" s="1"/>
  <c r="CV305" i="13"/>
  <c r="CW305" i="13" s="1"/>
  <c r="BX315" i="13"/>
  <c r="BY315" i="13" s="1"/>
  <c r="BP315" i="13"/>
  <c r="BQ315" i="13" s="1"/>
  <c r="BR315" i="13" s="1" a="1"/>
  <c r="BR315" i="13" s="1"/>
  <c r="BT315" i="13"/>
  <c r="BU315" i="13" s="1"/>
  <c r="BX295" i="13"/>
  <c r="BY295" i="13" s="1"/>
  <c r="BT295" i="13"/>
  <c r="BU295" i="13" s="1"/>
  <c r="BP295" i="13"/>
  <c r="BQ295" i="13" s="1"/>
  <c r="BR295" i="13" s="1" a="1"/>
  <c r="BR295" i="13" s="1"/>
  <c r="CX270" i="13" a="1"/>
  <c r="CX270" i="13" s="1"/>
  <c r="CZ270" i="13" s="1"/>
  <c r="Z270" i="13" s="1"/>
  <c r="CT270" i="13" a="1"/>
  <c r="CT270" i="13" s="1"/>
  <c r="BV253" i="13" a="1"/>
  <c r="BV253" i="13" s="1"/>
  <c r="BP231" i="13"/>
  <c r="BQ231" i="13" s="1"/>
  <c r="BR231" i="13" s="1" a="1"/>
  <c r="BR231" i="13" s="1"/>
  <c r="CX232" i="13" a="1"/>
  <c r="CX232" i="13" s="1"/>
  <c r="CY232" i="13" a="1"/>
  <c r="CY232" i="13" s="1"/>
  <c r="BZ240" i="13" a="1"/>
  <c r="BZ240" i="13" s="1"/>
  <c r="CY184" i="13" a="1"/>
  <c r="CY184" i="13" s="1"/>
  <c r="CX184" i="13" a="1"/>
  <c r="CX184" i="13" s="1"/>
  <c r="CN166" i="13"/>
  <c r="CO166" i="13" s="1"/>
  <c r="BX649" i="13"/>
  <c r="BY649" i="13" s="1"/>
  <c r="BZ649" i="13" s="1" a="1"/>
  <c r="BZ649" i="13" s="1"/>
  <c r="BZ516" i="13" a="1"/>
  <c r="BZ516" i="13" s="1"/>
  <c r="CT480" i="13" a="1"/>
  <c r="CT480" i="13" s="1"/>
  <c r="BP456" i="13"/>
  <c r="BQ456" i="13" s="1"/>
  <c r="BR456" i="13" s="1" a="1"/>
  <c r="BR456" i="13" s="1"/>
  <c r="BP461" i="13"/>
  <c r="BQ461" i="13" s="1"/>
  <c r="BR461" i="13" s="1" a="1"/>
  <c r="BR461" i="13" s="1"/>
  <c r="CR440" i="13"/>
  <c r="CS440" i="13" s="1"/>
  <c r="CN444" i="13"/>
  <c r="CO444" i="13" s="1"/>
  <c r="CT423" i="13" a="1"/>
  <c r="CT423" i="13" s="1"/>
  <c r="CZ423" i="13" s="1"/>
  <c r="Z423" i="13" s="1"/>
  <c r="CT428" i="13" a="1"/>
  <c r="CT428" i="13" s="1"/>
  <c r="BX369" i="13"/>
  <c r="BY369" i="13" s="1"/>
  <c r="BZ369" i="13" s="1" a="1"/>
  <c r="BZ369" i="13" s="1"/>
  <c r="CT358" i="13" a="1"/>
  <c r="CT358" i="13" s="1"/>
  <c r="CY347" i="13" a="1"/>
  <c r="CY347" i="13" s="1"/>
  <c r="CX347" i="13" a="1"/>
  <c r="CX347" i="13" s="1"/>
  <c r="CN336" i="13"/>
  <c r="CO336" i="13" s="1"/>
  <c r="CB336" i="13"/>
  <c r="CC336" i="13" s="1"/>
  <c r="BT336" i="13"/>
  <c r="BU336" i="13" s="1"/>
  <c r="BP336" i="13"/>
  <c r="BQ336" i="13" s="1"/>
  <c r="BR336" i="13" s="1" a="1"/>
  <c r="BR336" i="13" s="1"/>
  <c r="CP296" i="13" a="1"/>
  <c r="CP296" i="13" s="1"/>
  <c r="CV317" i="13"/>
  <c r="CW317" i="13" s="1"/>
  <c r="BX287" i="13"/>
  <c r="BY287" i="13" s="1"/>
  <c r="BZ287" i="13" s="1" a="1"/>
  <c r="BZ287" i="13" s="1"/>
  <c r="CR305" i="13"/>
  <c r="CS305" i="13" s="1"/>
  <c r="CT305" i="13" s="1" a="1"/>
  <c r="CT305" i="13" s="1"/>
  <c r="CJ275" i="13"/>
  <c r="CK275" i="13" s="1"/>
  <c r="CL275" i="13" s="1" a="1"/>
  <c r="CL275" i="13" s="1"/>
  <c r="CY248" i="13" a="1"/>
  <c r="CY248" i="13" s="1"/>
  <c r="CX248" i="13" a="1"/>
  <c r="CX248" i="13" s="1"/>
  <c r="CD232" i="13" a="1"/>
  <c r="CD232" i="13" s="1"/>
  <c r="CE232" i="13" a="1"/>
  <c r="CE232" i="13" s="1"/>
  <c r="BZ238" i="13" a="1"/>
  <c r="BZ238" i="13" s="1"/>
  <c r="CD213" i="13" a="1"/>
  <c r="CD213" i="13" s="1"/>
  <c r="CE213" i="13" a="1"/>
  <c r="CE213" i="13" s="1"/>
  <c r="CJ172" i="13"/>
  <c r="CK172" i="13" s="1"/>
  <c r="CL172" i="13" s="1" a="1"/>
  <c r="CL172" i="13" s="1"/>
  <c r="CP187" i="13" a="1"/>
  <c r="CP187" i="13" s="1"/>
  <c r="CZ187" i="13" s="1"/>
  <c r="Z187" i="13" s="1"/>
  <c r="CV171" i="13"/>
  <c r="CW171" i="13" s="1"/>
  <c r="BV314" i="13" a="1"/>
  <c r="BV314" i="13" s="1"/>
  <c r="CN179" i="13"/>
  <c r="CO179" i="13" s="1"/>
  <c r="CP179" i="13" s="1" a="1"/>
  <c r="CP179" i="13" s="1"/>
  <c r="BV155" i="13" a="1"/>
  <c r="BV155" i="13" s="1"/>
  <c r="CT160" i="13" a="1"/>
  <c r="CT160" i="13" s="1"/>
  <c r="CT333" i="13" a="1"/>
  <c r="CT333" i="13" s="1"/>
  <c r="BX263" i="13"/>
  <c r="BY263" i="13" s="1"/>
  <c r="CJ204" i="13"/>
  <c r="CK204" i="13" s="1"/>
  <c r="CL204" i="13" s="1" a="1"/>
  <c r="CL204" i="13" s="1"/>
  <c r="CT187" i="13" a="1"/>
  <c r="CT187" i="13" s="1"/>
  <c r="CE134" i="13" a="1"/>
  <c r="CE134" i="13" s="1"/>
  <c r="CD134" i="13" a="1"/>
  <c r="CD134" i="13" s="1"/>
  <c r="CD409" i="13" a="1"/>
  <c r="CD409" i="13" s="1"/>
  <c r="CF409" i="13" s="1"/>
  <c r="R409" i="13" s="1"/>
  <c r="CX221" i="13" a="1"/>
  <c r="CX221" i="13" s="1"/>
  <c r="CP162" i="13" a="1"/>
  <c r="CP162" i="13" s="1"/>
  <c r="BV259" i="13" a="1"/>
  <c r="BV259" i="13" s="1"/>
  <c r="BV210" i="13" a="1"/>
  <c r="BV210" i="13" s="1"/>
  <c r="CJ125" i="13"/>
  <c r="CK125" i="13" s="1"/>
  <c r="CL125" i="13" s="1" a="1"/>
  <c r="CL125" i="13" s="1"/>
  <c r="AF430" i="13"/>
  <c r="BV298" i="13" a="1"/>
  <c r="BV298" i="13" s="1"/>
  <c r="CB157" i="13"/>
  <c r="CC157" i="13" s="1"/>
  <c r="CJ131" i="13"/>
  <c r="CK131" i="13" s="1"/>
  <c r="CL131" i="13" s="1" a="1"/>
  <c r="CL131" i="13" s="1"/>
  <c r="BV417" i="13" a="1"/>
  <c r="BV417" i="13" s="1"/>
  <c r="BZ325" i="13" a="1"/>
  <c r="BZ325" i="13" s="1"/>
  <c r="CJ305" i="13"/>
  <c r="CK305" i="13" s="1"/>
  <c r="CL305" i="13" s="1" a="1"/>
  <c r="CL305" i="13" s="1"/>
  <c r="BP179" i="13"/>
  <c r="BQ179" i="13" s="1"/>
  <c r="BR179" i="13" s="1" a="1"/>
  <c r="BR179" i="13" s="1"/>
  <c r="CJ157" i="13"/>
  <c r="CK157" i="13" s="1"/>
  <c r="CL157" i="13" s="1" a="1"/>
  <c r="CL157" i="13" s="1"/>
  <c r="CN139" i="13"/>
  <c r="CO139" i="13" s="1"/>
  <c r="CP139" i="13" s="1" a="1"/>
  <c r="CP139" i="13" s="1"/>
  <c r="CD135" i="13" a="1"/>
  <c r="CD135" i="13" s="1"/>
  <c r="CE135" i="13" a="1"/>
  <c r="CE135" i="13" s="1"/>
  <c r="CX376" i="13" a="1"/>
  <c r="CX376" i="13" s="1"/>
  <c r="CN227" i="13"/>
  <c r="CO227" i="13" s="1"/>
  <c r="CP209" i="13" a="1"/>
  <c r="CP209" i="13" s="1"/>
  <c r="CV152" i="13"/>
  <c r="CW152" i="13" s="1"/>
  <c r="CY147" i="13" a="1"/>
  <c r="CY147" i="13" s="1"/>
  <c r="CX147" i="13" a="1"/>
  <c r="CX147" i="13" s="1"/>
  <c r="CX136" i="13" a="1"/>
  <c r="CX136" i="13" s="1"/>
  <c r="CY136" i="13" a="1"/>
  <c r="CY136" i="13" s="1"/>
  <c r="CY130" i="13" a="1"/>
  <c r="CY130" i="13" s="1"/>
  <c r="CX130" i="13" a="1"/>
  <c r="CX130" i="13" s="1"/>
  <c r="CN357" i="13"/>
  <c r="CO357" i="13" s="1"/>
  <c r="CP357" i="13" s="1" a="1"/>
  <c r="CP357" i="13" s="1"/>
  <c r="CN295" i="13"/>
  <c r="CO295" i="13" s="1"/>
  <c r="CP295" i="13" s="1" a="1"/>
  <c r="CP295" i="13" s="1"/>
  <c r="CX260" i="13" a="1"/>
  <c r="CX260" i="13" s="1"/>
  <c r="CX211" i="13" a="1"/>
  <c r="CX211" i="13" s="1"/>
  <c r="CD188" i="13" a="1"/>
  <c r="CD188" i="13" s="1"/>
  <c r="CF188" i="13" s="1"/>
  <c r="R188" i="13" s="1"/>
  <c r="BZ165" i="13" a="1"/>
  <c r="BZ165" i="13" s="1"/>
  <c r="CJ138" i="13"/>
  <c r="CK138" i="13" s="1"/>
  <c r="CL138" i="13" s="1" a="1"/>
  <c r="CL138" i="13" s="1"/>
  <c r="CT198" i="13" a="1"/>
  <c r="CT198" i="13" s="1"/>
  <c r="CV123" i="13"/>
  <c r="CW123" i="13" s="1"/>
  <c r="CJ140" i="13"/>
  <c r="CK140" i="13" s="1"/>
  <c r="CL140" i="13" s="1" a="1"/>
  <c r="CL140" i="13" s="1"/>
  <c r="BV979" i="13" a="1"/>
  <c r="BV979" i="13" s="1"/>
  <c r="CX895" i="13" a="1"/>
  <c r="CX895" i="13" s="1"/>
  <c r="CY895" i="13" a="1"/>
  <c r="CY895" i="13" s="1"/>
  <c r="CD783" i="13" a="1"/>
  <c r="CD783" i="13" s="1"/>
  <c r="CE783" i="13" a="1"/>
  <c r="CE783" i="13" s="1"/>
  <c r="CT823" i="13" a="1"/>
  <c r="CT823" i="13" s="1"/>
  <c r="CY985" i="13" a="1"/>
  <c r="CY985" i="13" s="1"/>
  <c r="CX985" i="13" a="1"/>
  <c r="CX985" i="13" s="1"/>
  <c r="CX973" i="13" a="1"/>
  <c r="CX973" i="13" s="1"/>
  <c r="CY973" i="13" a="1"/>
  <c r="CY973" i="13" s="1"/>
  <c r="CY974" i="13" a="1"/>
  <c r="CY974" i="13" s="1"/>
  <c r="CX974" i="13" a="1"/>
  <c r="CX974" i="13" s="1"/>
  <c r="CD900" i="13" a="1"/>
  <c r="CD900" i="13" s="1"/>
  <c r="CE900" i="13" a="1"/>
  <c r="CE900" i="13" s="1"/>
  <c r="BT810" i="13"/>
  <c r="BU810" i="13" s="1"/>
  <c r="BV810" i="13" s="1" a="1"/>
  <c r="BV810" i="13" s="1"/>
  <c r="CR897" i="13"/>
  <c r="CS897" i="13" s="1"/>
  <c r="CD832" i="13" a="1"/>
  <c r="CD832" i="13" s="1"/>
  <c r="CE832" i="13" a="1"/>
  <c r="CE832" i="13" s="1"/>
  <c r="CT889" i="13" a="1"/>
  <c r="CT889" i="13" s="1"/>
  <c r="CB873" i="13"/>
  <c r="CC873" i="13" s="1"/>
  <c r="CT784" i="13" a="1"/>
  <c r="CT784" i="13" s="1"/>
  <c r="CJ995" i="13"/>
  <c r="CK995" i="13" s="1"/>
  <c r="CL995" i="13" s="1" a="1"/>
  <c r="CL995" i="13" s="1"/>
  <c r="CD977" i="13" a="1"/>
  <c r="CD977" i="13" s="1"/>
  <c r="CE977" i="13" a="1"/>
  <c r="CE977" i="13" s="1"/>
  <c r="CX945" i="13" a="1"/>
  <c r="CX945" i="13" s="1"/>
  <c r="CY945" i="13" a="1"/>
  <c r="CY945" i="13" s="1"/>
  <c r="CY960" i="13" a="1"/>
  <c r="CY960" i="13" s="1"/>
  <c r="CX960" i="13" a="1"/>
  <c r="CX960" i="13" s="1"/>
  <c r="CX811" i="13" a="1"/>
  <c r="CX811" i="13" s="1"/>
  <c r="CY811" i="13" a="1"/>
  <c r="CY811" i="13" s="1"/>
  <c r="CB859" i="13"/>
  <c r="CC859" i="13" s="1"/>
  <c r="CN826" i="13"/>
  <c r="CO826" i="13" s="1"/>
  <c r="CJ826" i="13"/>
  <c r="CK826" i="13" s="1"/>
  <c r="CL826" i="13" s="1" a="1"/>
  <c r="CL826" i="13" s="1"/>
  <c r="BP826" i="13"/>
  <c r="BQ826" i="13" s="1"/>
  <c r="BR826" i="13" s="1" a="1"/>
  <c r="BR826" i="13" s="1"/>
  <c r="CX827" i="13" a="1"/>
  <c r="CX827" i="13" s="1"/>
  <c r="CY827" i="13" a="1"/>
  <c r="CY827" i="13" s="1"/>
  <c r="CD917" i="13" a="1"/>
  <c r="CD917" i="13" s="1"/>
  <c r="CE917" i="13" a="1"/>
  <c r="CE917" i="13" s="1"/>
  <c r="BT994" i="13"/>
  <c r="BU994" i="13" s="1"/>
  <c r="BV994" i="13" s="1" a="1"/>
  <c r="BV994" i="13" s="1"/>
  <c r="CB942" i="13"/>
  <c r="CC942" i="13" s="1"/>
  <c r="CT852" i="13" a="1"/>
  <c r="CT852" i="13" s="1"/>
  <c r="CD874" i="13" a="1"/>
  <c r="CD874" i="13" s="1"/>
  <c r="CE874" i="13" a="1"/>
  <c r="CE874" i="13" s="1"/>
  <c r="BT822" i="13"/>
  <c r="BU822" i="13" s="1"/>
  <c r="BZ822" i="13" s="1" a="1"/>
  <c r="BZ822" i="13" s="1"/>
  <c r="CV859" i="13"/>
  <c r="CW859" i="13" s="1"/>
  <c r="CT817" i="13" a="1"/>
  <c r="CT817" i="13" s="1"/>
  <c r="BX835" i="13"/>
  <c r="BY835" i="13" s="1"/>
  <c r="CV1015" i="13"/>
  <c r="CW1015" i="13" s="1"/>
  <c r="BV945" i="13" a="1"/>
  <c r="BV945" i="13" s="1"/>
  <c r="BV956" i="13" a="1"/>
  <c r="BV956" i="13" s="1"/>
  <c r="BT934" i="13"/>
  <c r="BU934" i="13" s="1"/>
  <c r="BV934" i="13" s="1" a="1"/>
  <c r="BV934" i="13" s="1"/>
  <c r="BT918" i="13"/>
  <c r="BU918" i="13" s="1"/>
  <c r="BV918" i="13" s="1" a="1"/>
  <c r="BV918" i="13" s="1"/>
  <c r="CD878" i="13" a="1"/>
  <c r="CD878" i="13" s="1"/>
  <c r="CE878" i="13" a="1"/>
  <c r="CE878" i="13" s="1"/>
  <c r="CV867" i="13"/>
  <c r="CW867" i="13" s="1"/>
  <c r="CT832" i="13" a="1"/>
  <c r="CT832" i="13" s="1"/>
  <c r="BV894" i="13" a="1"/>
  <c r="BV894" i="13" s="1"/>
  <c r="CX834" i="13" a="1"/>
  <c r="CX834" i="13" s="1"/>
  <c r="CY834" i="13" a="1"/>
  <c r="CY834" i="13" s="1"/>
  <c r="CJ873" i="13"/>
  <c r="CK873" i="13" s="1"/>
  <c r="CL873" i="13" s="1" a="1"/>
  <c r="CL873" i="13" s="1"/>
  <c r="BX843" i="13"/>
  <c r="BY843" i="13" s="1"/>
  <c r="CJ1019" i="13"/>
  <c r="CK1019" i="13" s="1"/>
  <c r="CL1019" i="13" s="1" a="1"/>
  <c r="CL1019" i="13" s="1"/>
  <c r="BX999" i="13"/>
  <c r="BY999" i="13" s="1"/>
  <c r="BZ999" i="13" s="1" a="1"/>
  <c r="BZ999" i="13" s="1"/>
  <c r="CX946" i="13" a="1"/>
  <c r="CX946" i="13" s="1"/>
  <c r="CY946" i="13" a="1"/>
  <c r="CY946" i="13" s="1"/>
  <c r="BZ927" i="13" a="1"/>
  <c r="BZ927" i="13" s="1"/>
  <c r="CX983" i="13" a="1"/>
  <c r="CX983" i="13" s="1"/>
  <c r="CY983" i="13" a="1"/>
  <c r="CY983" i="13" s="1"/>
  <c r="CB990" i="13"/>
  <c r="CC990" i="13" s="1"/>
  <c r="CN837" i="13"/>
  <c r="CO837" i="13" s="1"/>
  <c r="CT837" i="13" s="1" a="1"/>
  <c r="CT837" i="13" s="1"/>
  <c r="CN845" i="13"/>
  <c r="CO845" i="13" s="1"/>
  <c r="CP845" i="13" s="1" a="1"/>
  <c r="CP845" i="13" s="1"/>
  <c r="CP884" i="13" a="1"/>
  <c r="CP884" i="13" s="1"/>
  <c r="CD882" i="13" a="1"/>
  <c r="CD882" i="13" s="1"/>
  <c r="CE882" i="13" a="1"/>
  <c r="CE882" i="13" s="1"/>
  <c r="CT898" i="13" a="1"/>
  <c r="CT898" i="13" s="1"/>
  <c r="CZ898" i="13" s="1"/>
  <c r="Z898" i="13" s="1"/>
  <c r="CB835" i="13"/>
  <c r="CC835" i="13" s="1"/>
  <c r="BV807" i="13" a="1"/>
  <c r="BV807" i="13" s="1"/>
  <c r="BX873" i="13"/>
  <c r="BY873" i="13" s="1"/>
  <c r="CV810" i="13"/>
  <c r="CW810" i="13" s="1"/>
  <c r="BZ958" i="13" a="1"/>
  <c r="BZ958" i="13" s="1"/>
  <c r="CB997" i="13"/>
  <c r="CC997" i="13" s="1"/>
  <c r="CV991" i="13"/>
  <c r="CW991" i="13" s="1"/>
  <c r="CP946" i="13" a="1"/>
  <c r="CP946" i="13" s="1"/>
  <c r="CJ932" i="13"/>
  <c r="CK932" i="13" s="1"/>
  <c r="CL932" i="13" s="1" a="1"/>
  <c r="CL932" i="13" s="1"/>
  <c r="CJ916" i="13"/>
  <c r="CK916" i="13" s="1"/>
  <c r="CL916" i="13" s="1" a="1"/>
  <c r="CL916" i="13" s="1"/>
  <c r="CP868" i="13" a="1"/>
  <c r="CP868" i="13" s="1"/>
  <c r="CJ877" i="13"/>
  <c r="CK877" i="13" s="1"/>
  <c r="CL877" i="13" s="1" a="1"/>
  <c r="CL877" i="13" s="1"/>
  <c r="CY864" i="13" a="1"/>
  <c r="CY864" i="13" s="1"/>
  <c r="CX864" i="13" a="1"/>
  <c r="CX864" i="13" s="1"/>
  <c r="BV832" i="13" a="1"/>
  <c r="BV832" i="13" s="1"/>
  <c r="CY850" i="13" a="1"/>
  <c r="CY850" i="13" s="1"/>
  <c r="CX850" i="13" a="1"/>
  <c r="CX850" i="13" s="1"/>
  <c r="BZ838" i="13" a="1"/>
  <c r="BZ838" i="13" s="1"/>
  <c r="CX795" i="13" a="1"/>
  <c r="CX795" i="13" s="1"/>
  <c r="CY795" i="13" a="1"/>
  <c r="CY795" i="13" s="1"/>
  <c r="BT857" i="13"/>
  <c r="BU857" i="13" s="1"/>
  <c r="BV857" i="13" s="1" a="1"/>
  <c r="BV857" i="13" s="1"/>
  <c r="BX804" i="13"/>
  <c r="BY804" i="13" s="1"/>
  <c r="CJ1020" i="13"/>
  <c r="CK1020" i="13" s="1"/>
  <c r="CL1020" i="13" s="1" a="1"/>
  <c r="CL1020" i="13" s="1"/>
  <c r="CN1008" i="13"/>
  <c r="CO1008" i="13" s="1"/>
  <c r="CP1008" i="13" s="1" a="1"/>
  <c r="CP1008" i="13" s="1"/>
  <c r="BZ956" i="13" a="1"/>
  <c r="BZ956" i="13" s="1"/>
  <c r="CP923" i="13" a="1"/>
  <c r="CP923" i="13" s="1"/>
  <c r="BZ939" i="13" a="1"/>
  <c r="BZ939" i="13" s="1"/>
  <c r="CB994" i="13"/>
  <c r="CC994" i="13" s="1"/>
  <c r="CE872" i="13" a="1"/>
  <c r="CE872" i="13" s="1"/>
  <c r="CD872" i="13" a="1"/>
  <c r="CD872" i="13" s="1"/>
  <c r="CN895" i="13"/>
  <c r="CO895" i="13" s="1"/>
  <c r="CX821" i="13" a="1"/>
  <c r="CX821" i="13" s="1"/>
  <c r="CY821" i="13" a="1"/>
  <c r="CY821" i="13" s="1"/>
  <c r="BX808" i="13"/>
  <c r="BY808" i="13" s="1"/>
  <c r="CB837" i="13"/>
  <c r="CC837" i="13" s="1"/>
  <c r="BT871" i="13"/>
  <c r="BU871" i="13" s="1"/>
  <c r="BV871" i="13" s="1" a="1"/>
  <c r="BV871" i="13" s="1"/>
  <c r="CJ810" i="13"/>
  <c r="CK810" i="13" s="1"/>
  <c r="CL810" i="13" s="1" a="1"/>
  <c r="CL810" i="13" s="1"/>
  <c r="CN992" i="13"/>
  <c r="CO992" i="13" s="1"/>
  <c r="CP992" i="13" s="1" a="1"/>
  <c r="CP992" i="13" s="1"/>
  <c r="CT866" i="13" a="1"/>
  <c r="CT866" i="13" s="1"/>
  <c r="BZ797" i="13" a="1"/>
  <c r="BZ797" i="13" s="1"/>
  <c r="CD771" i="13" a="1"/>
  <c r="CD771" i="13" s="1"/>
  <c r="CE771" i="13" a="1"/>
  <c r="CE771" i="13" s="1"/>
  <c r="CB766" i="13"/>
  <c r="CC766" i="13" s="1"/>
  <c r="CJ784" i="13"/>
  <c r="CK784" i="13" s="1"/>
  <c r="CL784" i="13" s="1" a="1"/>
  <c r="CL784" i="13" s="1"/>
  <c r="CN774" i="13"/>
  <c r="CO774" i="13" s="1"/>
  <c r="CJ770" i="13"/>
  <c r="CK770" i="13" s="1"/>
  <c r="CL770" i="13" s="1" a="1"/>
  <c r="CL770" i="13" s="1"/>
  <c r="BP762" i="13"/>
  <c r="BQ762" i="13" s="1"/>
  <c r="BR762" i="13" s="1" a="1"/>
  <c r="BR762" i="13" s="1"/>
  <c r="CN661" i="13"/>
  <c r="CO661" i="13" s="1"/>
  <c r="CT661" i="13" s="1" a="1"/>
  <c r="CT661" i="13" s="1"/>
  <c r="BX661" i="13"/>
  <c r="BY661" i="13" s="1"/>
  <c r="BP661" i="13"/>
  <c r="BQ661" i="13" s="1"/>
  <c r="BR661" i="13" s="1" a="1"/>
  <c r="BR661" i="13" s="1"/>
  <c r="CJ650" i="13"/>
  <c r="CK650" i="13" s="1"/>
  <c r="CL650" i="13" s="1" a="1"/>
  <c r="CL650" i="13" s="1"/>
  <c r="CV582" i="13"/>
  <c r="CW582" i="13" s="1"/>
  <c r="CX550" i="13" a="1"/>
  <c r="CX550" i="13" s="1"/>
  <c r="CY550" i="13" a="1"/>
  <c r="CY550" i="13" s="1"/>
  <c r="BT503" i="13"/>
  <c r="BU503" i="13" s="1"/>
  <c r="CN1019" i="13"/>
  <c r="CO1019" i="13" s="1"/>
  <c r="CV899" i="13"/>
  <c r="CW899" i="13" s="1"/>
  <c r="BP845" i="13"/>
  <c r="BQ845" i="13" s="1"/>
  <c r="BR845" i="13" s="1" a="1"/>
  <c r="BR845" i="13" s="1"/>
  <c r="CT807" i="13" a="1"/>
  <c r="CT807" i="13" s="1"/>
  <c r="CX773" i="13" a="1"/>
  <c r="CX773" i="13" s="1"/>
  <c r="CY773" i="13" a="1"/>
  <c r="CY773" i="13" s="1"/>
  <c r="CE757" i="13" a="1"/>
  <c r="CE757" i="13" s="1"/>
  <c r="CD757" i="13" a="1"/>
  <c r="CD757" i="13" s="1"/>
  <c r="CD740" i="13" a="1"/>
  <c r="CD740" i="13" s="1"/>
  <c r="CE740" i="13" a="1"/>
  <c r="CE740" i="13" s="1"/>
  <c r="BV720" i="13" a="1"/>
  <c r="BV720" i="13" s="1"/>
  <c r="CP708" i="13" a="1"/>
  <c r="CP708" i="13" s="1"/>
  <c r="CN655" i="13"/>
  <c r="CO655" i="13" s="1"/>
  <c r="CP655" i="13" s="1" a="1"/>
  <c r="CP655" i="13" s="1"/>
  <c r="BP655" i="13"/>
  <c r="BQ655" i="13" s="1"/>
  <c r="BR655" i="13" s="1" a="1"/>
  <c r="BR655" i="13" s="1"/>
  <c r="BX655" i="13"/>
  <c r="BY655" i="13" s="1"/>
  <c r="CN627" i="13"/>
  <c r="CO627" i="13" s="1"/>
  <c r="CB630" i="13"/>
  <c r="CC630" i="13" s="1"/>
  <c r="CY558" i="13" a="1"/>
  <c r="CY558" i="13" s="1"/>
  <c r="CX558" i="13" a="1"/>
  <c r="CX558" i="13" s="1"/>
  <c r="CR559" i="13"/>
  <c r="CS559" i="13" s="1"/>
  <c r="CT559" i="13" s="1" a="1"/>
  <c r="CT559" i="13" s="1"/>
  <c r="CR569" i="13"/>
  <c r="CS569" i="13" s="1"/>
  <c r="CJ511" i="13"/>
  <c r="CK511" i="13" s="1"/>
  <c r="CL511" i="13" s="1" a="1"/>
  <c r="CL511" i="13" s="1"/>
  <c r="CR441" i="13"/>
  <c r="CS441" i="13" s="1"/>
  <c r="BP472" i="13"/>
  <c r="BQ472" i="13" s="1"/>
  <c r="BR472" i="13" s="1" a="1"/>
  <c r="BR472" i="13" s="1"/>
  <c r="CB472" i="13"/>
  <c r="CC472" i="13" s="1"/>
  <c r="BT472" i="13"/>
  <c r="BU472" i="13" s="1"/>
  <c r="BX472" i="13"/>
  <c r="BY472" i="13" s="1"/>
  <c r="CN472" i="13"/>
  <c r="CO472" i="13" s="1"/>
  <c r="CP472" i="13" s="1" a="1"/>
  <c r="CP472" i="13" s="1"/>
  <c r="BP1007" i="13"/>
  <c r="BQ1007" i="13" s="1"/>
  <c r="BR1007" i="13" s="1" a="1"/>
  <c r="BR1007" i="13" s="1"/>
  <c r="CT989" i="13" a="1"/>
  <c r="CT989" i="13" s="1"/>
  <c r="CN1014" i="13"/>
  <c r="CO1014" i="13" s="1"/>
  <c r="CP1014" i="13" s="1" a="1"/>
  <c r="CP1014" i="13" s="1"/>
  <c r="BZ949" i="13" a="1"/>
  <c r="BZ949" i="13" s="1"/>
  <c r="CN891" i="13"/>
  <c r="CO891" i="13" s="1"/>
  <c r="CP801" i="13" a="1"/>
  <c r="CP801" i="13" s="1"/>
  <c r="BZ759" i="13" a="1"/>
  <c r="BZ759" i="13" s="1"/>
  <c r="BT749" i="13"/>
  <c r="BU749" i="13" s="1"/>
  <c r="BX633" i="13"/>
  <c r="BY633" i="13" s="1"/>
  <c r="BZ633" i="13" s="1" a="1"/>
  <c r="BZ633" i="13" s="1"/>
  <c r="CR678" i="13"/>
  <c r="CS678" i="13" s="1"/>
  <c r="CE597" i="13" a="1"/>
  <c r="CE597" i="13" s="1"/>
  <c r="CD597" i="13" a="1"/>
  <c r="CD597" i="13" s="1"/>
  <c r="BV603" i="13" a="1"/>
  <c r="BV603" i="13" s="1"/>
  <c r="BT559" i="13"/>
  <c r="BU559" i="13" s="1"/>
  <c r="BX559" i="13"/>
  <c r="BY559" i="13" s="1"/>
  <c r="CD559" i="13" s="1" a="1"/>
  <c r="CD559" i="13" s="1"/>
  <c r="BV524" i="13" a="1"/>
  <c r="BV524" i="13" s="1"/>
  <c r="CJ489" i="13"/>
  <c r="CK489" i="13" s="1"/>
  <c r="CL489" i="13" s="1" a="1"/>
  <c r="CL489" i="13" s="1"/>
  <c r="CP462" i="13" a="1"/>
  <c r="CP462" i="13" s="1"/>
  <c r="CP987" i="13" a="1"/>
  <c r="CP987" i="13" s="1"/>
  <c r="CP838" i="13" a="1"/>
  <c r="CP838" i="13" s="1"/>
  <c r="BZ821" i="13" a="1"/>
  <c r="BZ821" i="13" s="1"/>
  <c r="BZ777" i="13" a="1"/>
  <c r="BZ777" i="13" s="1"/>
  <c r="CB772" i="13"/>
  <c r="CC772" i="13" s="1"/>
  <c r="CY716" i="13" a="1"/>
  <c r="CY716" i="13" s="1"/>
  <c r="CX716" i="13" a="1"/>
  <c r="CX716" i="13" s="1"/>
  <c r="CP710" i="13" a="1"/>
  <c r="CP710" i="13" s="1"/>
  <c r="CV667" i="13"/>
  <c r="CW667" i="13" s="1"/>
  <c r="BP678" i="13"/>
  <c r="BQ678" i="13" s="1"/>
  <c r="BR678" i="13" s="1" a="1"/>
  <c r="BR678" i="13" s="1"/>
  <c r="BT623" i="13"/>
  <c r="BU623" i="13" s="1"/>
  <c r="CE581" i="13" a="1"/>
  <c r="CE581" i="13" s="1"/>
  <c r="CD581" i="13" a="1"/>
  <c r="CD581" i="13" s="1"/>
  <c r="CN573" i="13"/>
  <c r="CO573" i="13" s="1"/>
  <c r="CB586" i="13"/>
  <c r="CC586" i="13" s="1"/>
  <c r="BP559" i="13"/>
  <c r="BQ559" i="13" s="1"/>
  <c r="BR559" i="13" s="1" a="1"/>
  <c r="BR559" i="13" s="1"/>
  <c r="BT561" i="13"/>
  <c r="BU561" i="13" s="1"/>
  <c r="BV561" i="13" s="1" a="1"/>
  <c r="BV561" i="13" s="1"/>
  <c r="BX539" i="13"/>
  <c r="BY539" i="13" s="1"/>
  <c r="CX480" i="13" a="1"/>
  <c r="CX480" i="13" s="1"/>
  <c r="CY480" i="13" a="1"/>
  <c r="CY480" i="13" s="1"/>
  <c r="CR525" i="13"/>
  <c r="CS525" i="13" s="1"/>
  <c r="CX525" i="13" s="1" a="1"/>
  <c r="CX525" i="13" s="1"/>
  <c r="CN483" i="13"/>
  <c r="CO483" i="13" s="1"/>
  <c r="CP483" i="13" s="1" a="1"/>
  <c r="CP483" i="13" s="1"/>
  <c r="CX977" i="13" a="1"/>
  <c r="CX977" i="13" s="1"/>
  <c r="BZ945" i="13" a="1"/>
  <c r="BZ945" i="13" s="1"/>
  <c r="CJ841" i="13"/>
  <c r="CK841" i="13" s="1"/>
  <c r="CL841" i="13" s="1" a="1"/>
  <c r="CL841" i="13" s="1"/>
  <c r="CR810" i="13"/>
  <c r="CS810" i="13" s="1"/>
  <c r="CT810" i="13" s="1" a="1"/>
  <c r="CT810" i="13" s="1"/>
  <c r="CV808" i="13"/>
  <c r="CW808" i="13" s="1"/>
  <c r="CB782" i="13"/>
  <c r="CC782" i="13" s="1"/>
  <c r="BZ763" i="13" a="1"/>
  <c r="BZ763" i="13" s="1"/>
  <c r="CD713" i="13" a="1"/>
  <c r="CD713" i="13" s="1"/>
  <c r="CE713" i="13" a="1"/>
  <c r="CE713" i="13" s="1"/>
  <c r="CV788" i="13"/>
  <c r="CW788" i="13" s="1"/>
  <c r="BP764" i="13"/>
  <c r="BQ764" i="13" s="1"/>
  <c r="BR764" i="13" s="1" a="1"/>
  <c r="BR764" i="13" s="1"/>
  <c r="BT756" i="13"/>
  <c r="BU756" i="13" s="1"/>
  <c r="BP660" i="13"/>
  <c r="BQ660" i="13" s="1"/>
  <c r="BR660" i="13" s="1" a="1"/>
  <c r="BR660" i="13" s="1"/>
  <c r="CR670" i="13"/>
  <c r="CS670" i="13" s="1"/>
  <c r="CT670" i="13" s="1" a="1"/>
  <c r="CT670" i="13" s="1"/>
  <c r="CV651" i="13"/>
  <c r="CW651" i="13" s="1"/>
  <c r="CB644" i="13"/>
  <c r="CC644" i="13" s="1"/>
  <c r="CN565" i="13"/>
  <c r="CO565" i="13" s="1"/>
  <c r="CP565" i="13" s="1" a="1"/>
  <c r="CP565" i="13" s="1"/>
  <c r="CB565" i="13"/>
  <c r="CC565" i="13" s="1"/>
  <c r="BX561" i="13"/>
  <c r="BY561" i="13" s="1"/>
  <c r="BZ561" i="13" s="1" a="1"/>
  <c r="BZ561" i="13" s="1"/>
  <c r="BZ546" i="13" a="1"/>
  <c r="BZ546" i="13" s="1"/>
  <c r="CD492" i="13" a="1"/>
  <c r="CD492" i="13" s="1"/>
  <c r="CE492" i="13" a="1"/>
  <c r="CE492" i="13" s="1"/>
  <c r="BZ496" i="13" a="1"/>
  <c r="BZ496" i="13" s="1"/>
  <c r="CR465" i="13"/>
  <c r="CS465" i="13" s="1"/>
  <c r="CN453" i="13"/>
  <c r="CO453" i="13" s="1"/>
  <c r="BP449" i="13"/>
  <c r="BQ449" i="13" s="1"/>
  <c r="BR449" i="13" s="1" a="1"/>
  <c r="BR449" i="13" s="1"/>
  <c r="CN449" i="13"/>
  <c r="CO449" i="13" s="1"/>
  <c r="CT449" i="13" s="1" a="1"/>
  <c r="CT449" i="13" s="1"/>
  <c r="CB495" i="13"/>
  <c r="CC495" i="13" s="1"/>
  <c r="CN897" i="13"/>
  <c r="CO897" i="13" s="1"/>
  <c r="CX852" i="13" a="1"/>
  <c r="CX852" i="13" s="1"/>
  <c r="CD825" i="13" a="1"/>
  <c r="CD825" i="13" s="1"/>
  <c r="CB800" i="13"/>
  <c r="CC800" i="13" s="1"/>
  <c r="CP745" i="13" a="1"/>
  <c r="CP745" i="13" s="1"/>
  <c r="CY704" i="13" a="1"/>
  <c r="CY704" i="13" s="1"/>
  <c r="CX704" i="13" a="1"/>
  <c r="CX704" i="13" s="1"/>
  <c r="CZ704" i="13" s="1"/>
  <c r="Z704" i="13" s="1"/>
  <c r="CJ652" i="13"/>
  <c r="CK652" i="13" s="1"/>
  <c r="CL652" i="13" s="1" a="1"/>
  <c r="CL652" i="13" s="1"/>
  <c r="CV679" i="13"/>
  <c r="CW679" i="13" s="1"/>
  <c r="CV673" i="13"/>
  <c r="CW673" i="13" s="1"/>
  <c r="CR664" i="13"/>
  <c r="CS664" i="13" s="1"/>
  <c r="CT664" i="13" s="1" a="1"/>
  <c r="CT664" i="13" s="1"/>
  <c r="CB600" i="13"/>
  <c r="CC600" i="13" s="1"/>
  <c r="CX591" i="13" a="1"/>
  <c r="CX591" i="13" s="1"/>
  <c r="CY591" i="13" a="1"/>
  <c r="CY591" i="13" s="1"/>
  <c r="BV609" i="13" a="1"/>
  <c r="BV609" i="13" s="1"/>
  <c r="CE560" i="13" a="1"/>
  <c r="CE560" i="13" s="1"/>
  <c r="CD560" i="13" a="1"/>
  <c r="CD560" i="13" s="1"/>
  <c r="BP535" i="13"/>
  <c r="BQ535" i="13" s="1"/>
  <c r="BR535" i="13" s="1" a="1"/>
  <c r="BR535" i="13" s="1"/>
  <c r="CV487" i="13"/>
  <c r="CW487" i="13" s="1"/>
  <c r="BP487" i="13"/>
  <c r="BQ487" i="13" s="1"/>
  <c r="BR487" i="13" s="1" a="1"/>
  <c r="BR487" i="13" s="1"/>
  <c r="CR454" i="13"/>
  <c r="CS454" i="13" s="1"/>
  <c r="CJ1010" i="13"/>
  <c r="CK1010" i="13" s="1"/>
  <c r="CL1010" i="13" s="1" a="1"/>
  <c r="CL1010" i="13" s="1"/>
  <c r="CT878" i="13" a="1"/>
  <c r="CT878" i="13" s="1"/>
  <c r="CV796" i="13"/>
  <c r="CW796" i="13" s="1"/>
  <c r="CB762" i="13"/>
  <c r="CC762" i="13" s="1"/>
  <c r="CB667" i="13"/>
  <c r="CC667" i="13" s="1"/>
  <c r="BT780" i="13"/>
  <c r="BU780" i="13" s="1"/>
  <c r="BX754" i="13"/>
  <c r="BY754" i="13" s="1"/>
  <c r="BZ718" i="13" a="1"/>
  <c r="BZ718" i="13" s="1"/>
  <c r="CF718" i="13" s="1"/>
  <c r="R718" i="13" s="1"/>
  <c r="BP638" i="13"/>
  <c r="BQ638" i="13" s="1"/>
  <c r="BR638" i="13" s="1" a="1"/>
  <c r="BR638" i="13" s="1"/>
  <c r="BT675" i="13"/>
  <c r="BU675" i="13" s="1"/>
  <c r="BP670" i="13"/>
  <c r="BQ670" i="13" s="1"/>
  <c r="BR670" i="13" s="1" a="1"/>
  <c r="BR670" i="13" s="1"/>
  <c r="CV656" i="13"/>
  <c r="CW656" i="13" s="1"/>
  <c r="BP656" i="13"/>
  <c r="BQ656" i="13" s="1"/>
  <c r="BR656" i="13" s="1" a="1"/>
  <c r="BR656" i="13" s="1"/>
  <c r="BT621" i="13"/>
  <c r="BU621" i="13" s="1"/>
  <c r="BV621" i="13" s="1" a="1"/>
  <c r="BV621" i="13" s="1"/>
  <c r="CB648" i="13"/>
  <c r="CC648" i="13" s="1"/>
  <c r="BT624" i="13"/>
  <c r="BU624" i="13" s="1"/>
  <c r="BV624" i="13" s="1" a="1"/>
  <c r="BV624" i="13" s="1"/>
  <c r="CE591" i="13" a="1"/>
  <c r="CE591" i="13" s="1"/>
  <c r="CD591" i="13" a="1"/>
  <c r="CD591" i="13" s="1"/>
  <c r="CJ598" i="13"/>
  <c r="CK598" i="13" s="1"/>
  <c r="CL598" i="13" s="1" a="1"/>
  <c r="CL598" i="13" s="1"/>
  <c r="CD536" i="13" a="1"/>
  <c r="CD536" i="13" s="1"/>
  <c r="CE536" i="13" a="1"/>
  <c r="CE536" i="13" s="1"/>
  <c r="CR582" i="13"/>
  <c r="CS582" i="13" s="1"/>
  <c r="CY528" i="13" a="1"/>
  <c r="CY528" i="13" s="1"/>
  <c r="CX528" i="13" a="1"/>
  <c r="CX528" i="13" s="1"/>
  <c r="BV532" i="13" a="1"/>
  <c r="BV532" i="13" s="1"/>
  <c r="CJ531" i="13"/>
  <c r="CK531" i="13" s="1"/>
  <c r="CL531" i="13" s="1" a="1"/>
  <c r="CL531" i="13" s="1"/>
  <c r="BT481" i="13"/>
  <c r="BU481" i="13" s="1"/>
  <c r="BV481" i="13" s="1" a="1"/>
  <c r="BV481" i="13" s="1"/>
  <c r="BX439" i="13"/>
  <c r="BY439" i="13" s="1"/>
  <c r="CP961" i="13" a="1"/>
  <c r="CP961" i="13" s="1"/>
  <c r="BV836" i="13" a="1"/>
  <c r="BV836" i="13" s="1"/>
  <c r="CJ867" i="13"/>
  <c r="CK867" i="13" s="1"/>
  <c r="CL867" i="13" s="1" a="1"/>
  <c r="CL867" i="13" s="1"/>
  <c r="CB812" i="13"/>
  <c r="CC812" i="13" s="1"/>
  <c r="CX769" i="13" a="1"/>
  <c r="CX769" i="13" s="1"/>
  <c r="CY769" i="13" a="1"/>
  <c r="CY769" i="13" s="1"/>
  <c r="CB764" i="13"/>
  <c r="CC764" i="13" s="1"/>
  <c r="CT710" i="13" a="1"/>
  <c r="CT710" i="13" s="1"/>
  <c r="CB752" i="13"/>
  <c r="CC752" i="13" s="1"/>
  <c r="CY724" i="13" a="1"/>
  <c r="CY724" i="13" s="1"/>
  <c r="CX724" i="13" a="1"/>
  <c r="CX724" i="13" s="1"/>
  <c r="CP706" i="13" a="1"/>
  <c r="CP706" i="13" s="1"/>
  <c r="CV675" i="13"/>
  <c r="CW675" i="13" s="1"/>
  <c r="CN625" i="13"/>
  <c r="CO625" i="13" s="1"/>
  <c r="CT625" i="13" s="1" a="1"/>
  <c r="CT625" i="13" s="1"/>
  <c r="CV671" i="13"/>
  <c r="CW671" i="13" s="1"/>
  <c r="CV665" i="13"/>
  <c r="CW665" i="13" s="1"/>
  <c r="CR656" i="13"/>
  <c r="CS656" i="13" s="1"/>
  <c r="CR620" i="13"/>
  <c r="CS620" i="13" s="1"/>
  <c r="BT569" i="13"/>
  <c r="BU569" i="13" s="1"/>
  <c r="BT614" i="13"/>
  <c r="BU614" i="13" s="1"/>
  <c r="BV614" i="13" s="1" a="1"/>
  <c r="BV614" i="13" s="1"/>
  <c r="CR619" i="13"/>
  <c r="CS619" i="13" s="1"/>
  <c r="CB641" i="13"/>
  <c r="CC641" i="13" s="1"/>
  <c r="CB594" i="13"/>
  <c r="CC594" i="13" s="1"/>
  <c r="CR543" i="13"/>
  <c r="CS543" i="13" s="1"/>
  <c r="CT543" i="13" s="1" a="1"/>
  <c r="CT543" i="13" s="1"/>
  <c r="CX502" i="13" a="1"/>
  <c r="CX502" i="13" s="1"/>
  <c r="CY502" i="13" a="1"/>
  <c r="CY502" i="13" s="1"/>
  <c r="BV510" i="13" a="1"/>
  <c r="BV510" i="13" s="1"/>
  <c r="CT520" i="13" a="1"/>
  <c r="CT520" i="13" s="1"/>
  <c r="CR539" i="13"/>
  <c r="CS539" i="13" s="1"/>
  <c r="BZ518" i="13" a="1"/>
  <c r="BZ518" i="13" s="1"/>
  <c r="CR503" i="13"/>
  <c r="CS503" i="13" s="1"/>
  <c r="CT503" i="13" s="1" a="1"/>
  <c r="CT503" i="13" s="1"/>
  <c r="BV711" i="13" a="1"/>
  <c r="BV711" i="13" s="1"/>
  <c r="BZ597" i="13" a="1"/>
  <c r="BZ597" i="13" s="1"/>
  <c r="BP515" i="13"/>
  <c r="BQ515" i="13" s="1"/>
  <c r="BR515" i="13" s="1" a="1"/>
  <c r="BR515" i="13" s="1"/>
  <c r="BX419" i="13"/>
  <c r="BY419" i="13" s="1"/>
  <c r="BZ419" i="13" s="1" a="1"/>
  <c r="BZ419" i="13" s="1"/>
  <c r="CP264" i="13" a="1"/>
  <c r="CP264" i="13" s="1"/>
  <c r="CN199" i="13"/>
  <c r="CO199" i="13" s="1"/>
  <c r="CB199" i="13"/>
  <c r="CC199" i="13" s="1"/>
  <c r="BP199" i="13"/>
  <c r="BQ199" i="13" s="1"/>
  <c r="BR199" i="13" s="1" a="1"/>
  <c r="BR199" i="13" s="1"/>
  <c r="BT199" i="13"/>
  <c r="BU199" i="13" s="1"/>
  <c r="CV199" i="13"/>
  <c r="CW199" i="13" s="1"/>
  <c r="CJ199" i="13"/>
  <c r="CK199" i="13" s="1"/>
  <c r="CL199" i="13" s="1" a="1"/>
  <c r="CL199" i="13" s="1"/>
  <c r="BV725" i="13" a="1"/>
  <c r="BV725" i="13" s="1"/>
  <c r="CT601" i="13" a="1"/>
  <c r="CT601" i="13" s="1"/>
  <c r="CZ601" i="13" s="1"/>
  <c r="Z601" i="13" s="1"/>
  <c r="BP517" i="13"/>
  <c r="BQ517" i="13" s="1"/>
  <c r="BR517" i="13" s="1" a="1"/>
  <c r="BR517" i="13" s="1"/>
  <c r="CX486" i="13" a="1"/>
  <c r="CX486" i="13" s="1"/>
  <c r="CT466" i="13" a="1"/>
  <c r="CT466" i="13" s="1"/>
  <c r="BP419" i="13"/>
  <c r="BQ419" i="13" s="1"/>
  <c r="BR419" i="13" s="1" a="1"/>
  <c r="BR419" i="13" s="1"/>
  <c r="CN394" i="13"/>
  <c r="CO394" i="13" s="1"/>
  <c r="CJ394" i="13"/>
  <c r="CK394" i="13" s="1"/>
  <c r="CL394" i="13" s="1" a="1"/>
  <c r="CL394" i="13" s="1"/>
  <c r="BP394" i="13"/>
  <c r="BQ394" i="13" s="1"/>
  <c r="BR394" i="13" s="1" a="1"/>
  <c r="BR394" i="13" s="1"/>
  <c r="CR394" i="13"/>
  <c r="CS394" i="13" s="1"/>
  <c r="CT394" i="13" s="1" a="1"/>
  <c r="CT394" i="13" s="1"/>
  <c r="CV394" i="13"/>
  <c r="CW394" i="13" s="1"/>
  <c r="CD393" i="13" a="1"/>
  <c r="CD393" i="13" s="1"/>
  <c r="CE393" i="13" a="1"/>
  <c r="CE393" i="13" s="1"/>
  <c r="BZ382" i="13" a="1"/>
  <c r="BZ382" i="13" s="1"/>
  <c r="CN308" i="13"/>
  <c r="CO308" i="13" s="1"/>
  <c r="CR273" i="13"/>
  <c r="CS273" i="13" s="1"/>
  <c r="CY258" i="13" a="1"/>
  <c r="CY258" i="13" s="1"/>
  <c r="CX258" i="13" a="1"/>
  <c r="CX258" i="13" s="1"/>
  <c r="BV242" i="13" a="1"/>
  <c r="BV242" i="13" s="1"/>
  <c r="BR242" i="13" a="1"/>
  <c r="BR242" i="13" s="1"/>
  <c r="CF242" i="13" s="1"/>
  <c r="R242" i="13" s="1"/>
  <c r="CR223" i="13"/>
  <c r="CS223" i="13" s="1"/>
  <c r="CX223" i="13" s="1" a="1"/>
  <c r="CX223" i="13" s="1"/>
  <c r="CY218" i="13" a="1"/>
  <c r="CY218" i="13" s="1"/>
  <c r="CX218" i="13" a="1"/>
  <c r="CX218" i="13" s="1"/>
  <c r="BV723" i="13" a="1"/>
  <c r="BV723" i="13" s="1"/>
  <c r="CV644" i="13"/>
  <c r="CW644" i="13" s="1"/>
  <c r="CP612" i="13" a="1"/>
  <c r="CP612" i="13" s="1"/>
  <c r="CV565" i="13"/>
  <c r="CW565" i="13" s="1"/>
  <c r="BP533" i="13"/>
  <c r="BQ533" i="13" s="1"/>
  <c r="BR533" i="13" s="1" a="1"/>
  <c r="BR533" i="13" s="1"/>
  <c r="CV489" i="13"/>
  <c r="CW489" i="13" s="1"/>
  <c r="CY408" i="13" a="1"/>
  <c r="CY408" i="13" s="1"/>
  <c r="CX408" i="13" a="1"/>
  <c r="CX408" i="13" s="1"/>
  <c r="CY391" i="13" a="1"/>
  <c r="CY391" i="13" s="1"/>
  <c r="CX391" i="13" a="1"/>
  <c r="CX391" i="13" s="1"/>
  <c r="CD362" i="13" a="1"/>
  <c r="CD362" i="13" s="1"/>
  <c r="CE362" i="13" a="1"/>
  <c r="CE362" i="13" s="1"/>
  <c r="BT338" i="13"/>
  <c r="BU338" i="13" s="1"/>
  <c r="BV338" i="13" s="1" a="1"/>
  <c r="BV338" i="13" s="1"/>
  <c r="CN338" i="13"/>
  <c r="CO338" i="13" s="1"/>
  <c r="CP338" i="13" s="1" a="1"/>
  <c r="CP338" i="13" s="1"/>
  <c r="CB338" i="13"/>
  <c r="CC338" i="13" s="1"/>
  <c r="BP338" i="13"/>
  <c r="BQ338" i="13" s="1"/>
  <c r="BR338" i="13" s="1" a="1"/>
  <c r="BR338" i="13" s="1"/>
  <c r="BT319" i="13"/>
  <c r="BU319" i="13" s="1"/>
  <c r="BP319" i="13"/>
  <c r="BQ319" i="13" s="1"/>
  <c r="BR319" i="13" s="1" a="1"/>
  <c r="BR319" i="13" s="1"/>
  <c r="BX319" i="13"/>
  <c r="BY319" i="13" s="1"/>
  <c r="BZ319" i="13" s="1" a="1"/>
  <c r="BZ319" i="13" s="1"/>
  <c r="CV273" i="13"/>
  <c r="CW273" i="13" s="1"/>
  <c r="CR269" i="13"/>
  <c r="CS269" i="13" s="1"/>
  <c r="CT269" i="13" s="1" a="1"/>
  <c r="CT269" i="13" s="1"/>
  <c r="CY252" i="13" a="1"/>
  <c r="CY252" i="13" s="1"/>
  <c r="CX252" i="13" a="1"/>
  <c r="CX252" i="13" s="1"/>
  <c r="CV674" i="13"/>
  <c r="CW674" i="13" s="1"/>
  <c r="BP636" i="13"/>
  <c r="BQ636" i="13" s="1"/>
  <c r="BR636" i="13" s="1" a="1"/>
  <c r="BR636" i="13" s="1"/>
  <c r="CV643" i="13"/>
  <c r="CW643" i="13" s="1"/>
  <c r="CD574" i="13" a="1"/>
  <c r="CD574" i="13" s="1"/>
  <c r="CV499" i="13"/>
  <c r="CW499" i="13" s="1"/>
  <c r="CV437" i="13"/>
  <c r="CW437" i="13" s="1"/>
  <c r="BV364" i="13" a="1"/>
  <c r="BV364" i="13" s="1"/>
  <c r="CN373" i="13"/>
  <c r="CO373" i="13" s="1"/>
  <c r="CP373" i="13" s="1" a="1"/>
  <c r="CP373" i="13" s="1"/>
  <c r="CT356" i="13" a="1"/>
  <c r="CT356" i="13" s="1"/>
  <c r="CR338" i="13"/>
  <c r="CS338" i="13" s="1"/>
  <c r="CR319" i="13"/>
  <c r="CS319" i="13" s="1"/>
  <c r="CX277" i="13" a="1"/>
  <c r="CX277" i="13" s="1"/>
  <c r="CY277" i="13" a="1"/>
  <c r="CY277" i="13" s="1"/>
  <c r="CV625" i="13"/>
  <c r="CW625" i="13" s="1"/>
  <c r="CT400" i="13" a="1"/>
  <c r="CT400" i="13" s="1"/>
  <c r="CJ411" i="13"/>
  <c r="CK411" i="13" s="1"/>
  <c r="CL411" i="13" s="1" a="1"/>
  <c r="CL411" i="13" s="1"/>
  <c r="CD397" i="13" a="1"/>
  <c r="CD397" i="13" s="1"/>
  <c r="CE397" i="13" a="1"/>
  <c r="CE397" i="13" s="1"/>
  <c r="CN355" i="13"/>
  <c r="CO355" i="13" s="1"/>
  <c r="CP355" i="13" s="1" a="1"/>
  <c r="CP355" i="13" s="1"/>
  <c r="BP355" i="13"/>
  <c r="BQ355" i="13" s="1"/>
  <c r="BR355" i="13" s="1" a="1"/>
  <c r="BR355" i="13" s="1"/>
  <c r="CJ355" i="13"/>
  <c r="CK355" i="13" s="1"/>
  <c r="CL355" i="13" s="1" a="1"/>
  <c r="CL355" i="13" s="1"/>
  <c r="BZ360" i="13" a="1"/>
  <c r="BZ360" i="13" s="1"/>
  <c r="CJ319" i="13"/>
  <c r="CK319" i="13" s="1"/>
  <c r="CL319" i="13" s="1" a="1"/>
  <c r="CL319" i="13" s="1"/>
  <c r="BV335" i="13" a="1"/>
  <c r="BV335" i="13" s="1"/>
  <c r="BX350" i="13"/>
  <c r="BY350" i="13" s="1"/>
  <c r="BP350" i="13"/>
  <c r="BQ350" i="13" s="1"/>
  <c r="BR350" i="13" s="1" a="1"/>
  <c r="BR350" i="13" s="1"/>
  <c r="CJ350" i="13"/>
  <c r="CK350" i="13" s="1"/>
  <c r="CL350" i="13" s="1" a="1"/>
  <c r="CL350" i="13" s="1"/>
  <c r="BT350" i="13"/>
  <c r="BU350" i="13" s="1"/>
  <c r="CN350" i="13"/>
  <c r="CO350" i="13" s="1"/>
  <c r="CB350" i="13"/>
  <c r="CC350" i="13" s="1"/>
  <c r="CJ322" i="13"/>
  <c r="CK322" i="13" s="1"/>
  <c r="CL322" i="13" s="1" a="1"/>
  <c r="CL322" i="13" s="1"/>
  <c r="CJ308" i="13"/>
  <c r="CK308" i="13" s="1"/>
  <c r="CL308" i="13" s="1" a="1"/>
  <c r="CL308" i="13" s="1"/>
  <c r="CY286" i="13" a="1"/>
  <c r="CY286" i="13" s="1"/>
  <c r="CX286" i="13" a="1"/>
  <c r="CX286" i="13" s="1"/>
  <c r="CE230" i="13" a="1"/>
  <c r="CE230" i="13" s="1"/>
  <c r="CD230" i="13" a="1"/>
  <c r="CD230" i="13" s="1"/>
  <c r="CR229" i="13"/>
  <c r="CS229" i="13" s="1"/>
  <c r="CT229" i="13" s="1" a="1"/>
  <c r="CT229" i="13" s="1"/>
  <c r="BV228" i="13" a="1"/>
  <c r="BV228" i="13" s="1"/>
  <c r="CN186" i="13"/>
  <c r="CO186" i="13" s="1"/>
  <c r="CJ195" i="13"/>
  <c r="CK195" i="13" s="1"/>
  <c r="CL195" i="13" s="1" a="1"/>
  <c r="CL195" i="13" s="1"/>
  <c r="BT195" i="13"/>
  <c r="BU195" i="13" s="1"/>
  <c r="BP195" i="13"/>
  <c r="BQ195" i="13" s="1"/>
  <c r="BR195" i="13" s="1" a="1"/>
  <c r="BR195" i="13" s="1"/>
  <c r="CV195" i="13"/>
  <c r="CW195" i="13" s="1"/>
  <c r="CN195" i="13"/>
  <c r="CO195" i="13" s="1"/>
  <c r="CB195" i="13"/>
  <c r="CC195" i="13" s="1"/>
  <c r="CJ619" i="13"/>
  <c r="CK619" i="13" s="1"/>
  <c r="CL619" i="13" s="1" a="1"/>
  <c r="CL619" i="13" s="1"/>
  <c r="BZ522" i="13" a="1"/>
  <c r="BZ522" i="13" s="1"/>
  <c r="CV521" i="13"/>
  <c r="CW521" i="13" s="1"/>
  <c r="CY405" i="13" a="1"/>
  <c r="CY405" i="13" s="1"/>
  <c r="CX405" i="13" a="1"/>
  <c r="CX405" i="13" s="1"/>
  <c r="CB355" i="13"/>
  <c r="CC355" i="13" s="1"/>
  <c r="CV365" i="13"/>
  <c r="CW365" i="13" s="1"/>
  <c r="CP354" i="13" a="1"/>
  <c r="CP354" i="13" s="1"/>
  <c r="CN322" i="13"/>
  <c r="CO322" i="13" s="1"/>
  <c r="BX328" i="13"/>
  <c r="BY328" i="13" s="1"/>
  <c r="BZ328" i="13" s="1" a="1"/>
  <c r="BZ328" i="13" s="1"/>
  <c r="BT275" i="13"/>
  <c r="BU275" i="13" s="1"/>
  <c r="BV275" i="13" s="1" a="1"/>
  <c r="BV275" i="13" s="1"/>
  <c r="CJ273" i="13"/>
  <c r="CK273" i="13" s="1"/>
  <c r="CL273" i="13" s="1" a="1"/>
  <c r="CL273" i="13" s="1"/>
  <c r="CE253" i="13" a="1"/>
  <c r="CE253" i="13" s="1"/>
  <c r="CD253" i="13" a="1"/>
  <c r="CD253" i="13" s="1"/>
  <c r="CT238" i="13" a="1"/>
  <c r="CT238" i="13" s="1"/>
  <c r="BX635" i="13"/>
  <c r="BY635" i="13" s="1"/>
  <c r="BZ635" i="13" s="1" a="1"/>
  <c r="BZ635" i="13" s="1"/>
  <c r="CD428" i="13" a="1"/>
  <c r="CD428" i="13" s="1"/>
  <c r="CE428" i="13" a="1"/>
  <c r="CE428" i="13" s="1"/>
  <c r="CB442" i="13"/>
  <c r="CC442" i="13" s="1"/>
  <c r="CV436" i="13"/>
  <c r="CW436" i="13" s="1"/>
  <c r="BT434" i="13"/>
  <c r="BU434" i="13" s="1"/>
  <c r="BV434" i="13" s="1" a="1"/>
  <c r="BV434" i="13" s="1"/>
  <c r="CJ367" i="13"/>
  <c r="CK367" i="13" s="1"/>
  <c r="CL367" i="13" s="1" a="1"/>
  <c r="CL367" i="13" s="1"/>
  <c r="CR365" i="13"/>
  <c r="CS365" i="13" s="1"/>
  <c r="CT365" i="13" s="1" a="1"/>
  <c r="CT365" i="13" s="1"/>
  <c r="CX329" i="13" a="1"/>
  <c r="CX329" i="13" s="1"/>
  <c r="CY329" i="13" a="1"/>
  <c r="CY329" i="13" s="1"/>
  <c r="CN311" i="13"/>
  <c r="CO311" i="13" s="1"/>
  <c r="CV328" i="13"/>
  <c r="CW328" i="13" s="1"/>
  <c r="CB324" i="13"/>
  <c r="CC324" i="13" s="1"/>
  <c r="BP318" i="13"/>
  <c r="BQ318" i="13" s="1"/>
  <c r="BR318" i="13" s="1" a="1"/>
  <c r="BR318" i="13" s="1"/>
  <c r="BX307" i="13"/>
  <c r="BY307" i="13" s="1"/>
  <c r="BZ307" i="13" s="1" a="1"/>
  <c r="BZ307" i="13" s="1"/>
  <c r="BP307" i="13"/>
  <c r="BQ307" i="13" s="1"/>
  <c r="BR307" i="13" s="1" a="1"/>
  <c r="BR307" i="13" s="1"/>
  <c r="BT307" i="13"/>
  <c r="BU307" i="13" s="1"/>
  <c r="CD281" i="13" a="1"/>
  <c r="CD281" i="13" s="1"/>
  <c r="CE281" i="13" a="1"/>
  <c r="CE281" i="13" s="1"/>
  <c r="CP242" i="13" a="1"/>
  <c r="CP242" i="13" s="1"/>
  <c r="CT253" i="13" a="1"/>
  <c r="CT253" i="13" s="1"/>
  <c r="CN206" i="13"/>
  <c r="CO206" i="13" s="1"/>
  <c r="CP206" i="13" s="1" a="1"/>
  <c r="CP206" i="13" s="1"/>
  <c r="CB201" i="13"/>
  <c r="CC201" i="13" s="1"/>
  <c r="CJ201" i="13"/>
  <c r="CK201" i="13" s="1"/>
  <c r="CL201" i="13" s="1" a="1"/>
  <c r="CL201" i="13" s="1"/>
  <c r="BT201" i="13"/>
  <c r="BU201" i="13" s="1"/>
  <c r="BP201" i="13"/>
  <c r="BQ201" i="13" s="1"/>
  <c r="BR201" i="13" s="1" a="1"/>
  <c r="BR201" i="13" s="1"/>
  <c r="CN201" i="13"/>
  <c r="CO201" i="13" s="1"/>
  <c r="CV201" i="13"/>
  <c r="CW201" i="13" s="1"/>
  <c r="CV166" i="13"/>
  <c r="CW166" i="13" s="1"/>
  <c r="CR157" i="13"/>
  <c r="CS157" i="13" s="1"/>
  <c r="CT157" i="13" s="1" a="1"/>
  <c r="CT157" i="13" s="1"/>
  <c r="BV729" i="13" a="1"/>
  <c r="BV729" i="13" s="1"/>
  <c r="BX606" i="13"/>
  <c r="BY606" i="13" s="1"/>
  <c r="BZ606" i="13" s="1" a="1"/>
  <c r="BZ606" i="13" s="1"/>
  <c r="BP633" i="13"/>
  <c r="BQ633" i="13" s="1"/>
  <c r="BR633" i="13" s="1" a="1"/>
  <c r="BR633" i="13" s="1"/>
  <c r="BP590" i="13"/>
  <c r="BQ590" i="13" s="1"/>
  <c r="BR590" i="13" s="1" a="1"/>
  <c r="BR590" i="13" s="1"/>
  <c r="BZ583" i="13" a="1"/>
  <c r="BZ583" i="13" s="1"/>
  <c r="CF583" i="13" s="1"/>
  <c r="R583" i="13" s="1"/>
  <c r="CV472" i="13"/>
  <c r="CW472" i="13" s="1"/>
  <c r="BX450" i="13"/>
  <c r="BY450" i="13" s="1"/>
  <c r="CD450" i="13" s="1" a="1"/>
  <c r="CD450" i="13" s="1"/>
  <c r="BT461" i="13"/>
  <c r="BU461" i="13" s="1"/>
  <c r="BV461" i="13" s="1" a="1"/>
  <c r="BV461" i="13" s="1"/>
  <c r="CR436" i="13"/>
  <c r="CS436" i="13" s="1"/>
  <c r="CJ444" i="13"/>
  <c r="CK444" i="13" s="1"/>
  <c r="CL444" i="13" s="1" a="1"/>
  <c r="CL444" i="13" s="1"/>
  <c r="CR411" i="13"/>
  <c r="CS411" i="13" s="1"/>
  <c r="CT411" i="13" s="1" a="1"/>
  <c r="CT411" i="13" s="1"/>
  <c r="BP390" i="13"/>
  <c r="BQ390" i="13" s="1"/>
  <c r="BR390" i="13" s="1" a="1"/>
  <c r="BR390" i="13" s="1"/>
  <c r="BX363" i="13"/>
  <c r="BY363" i="13" s="1"/>
  <c r="BZ363" i="13" s="1" a="1"/>
  <c r="BZ363" i="13" s="1"/>
  <c r="BT367" i="13"/>
  <c r="BU367" i="13" s="1"/>
  <c r="BZ367" i="13" s="1" a="1"/>
  <c r="BZ367" i="13" s="1"/>
  <c r="BP332" i="13"/>
  <c r="BQ332" i="13" s="1"/>
  <c r="BR332" i="13" s="1" a="1"/>
  <c r="BR332" i="13" s="1"/>
  <c r="BT332" i="13"/>
  <c r="BU332" i="13" s="1"/>
  <c r="BV332" i="13" s="1" a="1"/>
  <c r="BV332" i="13" s="1"/>
  <c r="CB318" i="13"/>
  <c r="CC318" i="13" s="1"/>
  <c r="CR299" i="13"/>
  <c r="CS299" i="13" s="1"/>
  <c r="CT299" i="13" s="1" a="1"/>
  <c r="CT299" i="13" s="1"/>
  <c r="CD251" i="13" a="1"/>
  <c r="CD251" i="13" s="1"/>
  <c r="CE251" i="13" a="1"/>
  <c r="CE251" i="13" s="1"/>
  <c r="CV279" i="13"/>
  <c r="CW279" i="13" s="1"/>
  <c r="BX279" i="13"/>
  <c r="BY279" i="13" s="1"/>
  <c r="CB279" i="13"/>
  <c r="CC279" i="13" s="1"/>
  <c r="BT229" i="13"/>
  <c r="BU229" i="13" s="1"/>
  <c r="CP215" i="13" a="1"/>
  <c r="CP215" i="13" s="1"/>
  <c r="BX201" i="13"/>
  <c r="BY201" i="13" s="1"/>
  <c r="CD184" i="13" a="1"/>
  <c r="CD184" i="13" s="1"/>
  <c r="CE184" i="13" a="1"/>
  <c r="CE184" i="13" s="1"/>
  <c r="CR176" i="13"/>
  <c r="CS176" i="13" s="1"/>
  <c r="CT176" i="13" s="1" a="1"/>
  <c r="CT176" i="13" s="1"/>
  <c r="BZ425" i="13" a="1"/>
  <c r="BZ425" i="13" s="1"/>
  <c r="AF249" i="13"/>
  <c r="BZ211" i="13" a="1"/>
  <c r="BZ211" i="13" s="1"/>
  <c r="BZ151" i="13" a="1"/>
  <c r="BZ151" i="13" s="1"/>
  <c r="CB392" i="13"/>
  <c r="CC392" i="13" s="1"/>
  <c r="CP381" i="13" a="1"/>
  <c r="CP381" i="13" s="1"/>
  <c r="AF341" i="13"/>
  <c r="CB176" i="13"/>
  <c r="CC176" i="13" s="1"/>
  <c r="BT133" i="13"/>
  <c r="BU133" i="13" s="1"/>
  <c r="BX133" i="13"/>
  <c r="BY133" i="13" s="1"/>
  <c r="BZ133" i="13" s="1" a="1"/>
  <c r="BZ133" i="13" s="1"/>
  <c r="BP133" i="13"/>
  <c r="BQ133" i="13" s="1"/>
  <c r="BR133" i="13" s="1" a="1"/>
  <c r="BR133" i="13" s="1"/>
  <c r="CT412" i="13" a="1"/>
  <c r="CT412" i="13" s="1"/>
  <c r="CP403" i="13" a="1"/>
  <c r="CP403" i="13" s="1"/>
  <c r="CB287" i="13"/>
  <c r="CC287" i="13" s="1"/>
  <c r="BZ158" i="13" a="1"/>
  <c r="BZ158" i="13" s="1"/>
  <c r="CR131" i="13"/>
  <c r="CS131" i="13" s="1"/>
  <c r="CT131" i="13" s="1" a="1"/>
  <c r="CT131" i="13" s="1"/>
  <c r="CJ307" i="13"/>
  <c r="CK307" i="13" s="1"/>
  <c r="CL307" i="13" s="1" a="1"/>
  <c r="CL307" i="13" s="1"/>
  <c r="BZ230" i="13" a="1"/>
  <c r="BZ230" i="13" s="1"/>
  <c r="CX135" i="13" a="1"/>
  <c r="CX135" i="13" s="1"/>
  <c r="CY135" i="13" a="1"/>
  <c r="CY135" i="13" s="1"/>
  <c r="CN131" i="13"/>
  <c r="CO131" i="13" s="1"/>
  <c r="CP131" i="13" s="1" a="1"/>
  <c r="CP131" i="13" s="1"/>
  <c r="BV418" i="13" a="1"/>
  <c r="BV418" i="13" s="1"/>
  <c r="CD246" i="13" a="1"/>
  <c r="CD246" i="13" s="1"/>
  <c r="CL221" i="13" a="1"/>
  <c r="CL221" i="13" s="1"/>
  <c r="CZ221" i="13" s="1"/>
  <c r="Z221" i="13" s="1"/>
  <c r="CN150" i="13"/>
  <c r="CO150" i="13" s="1"/>
  <c r="CP150" i="13" s="1" a="1"/>
  <c r="CP150" i="13" s="1"/>
  <c r="BT139" i="13"/>
  <c r="BU139" i="13" s="1"/>
  <c r="BX129" i="13"/>
  <c r="BY129" i="13" s="1"/>
  <c r="BZ410" i="13" a="1"/>
  <c r="BZ410" i="13" s="1"/>
  <c r="CP401" i="13" a="1"/>
  <c r="CP401" i="13" s="1"/>
  <c r="BX338" i="13"/>
  <c r="BY338" i="13" s="1"/>
  <c r="BZ338" i="13" s="1" a="1"/>
  <c r="BZ338" i="13" s="1"/>
  <c r="CJ297" i="13"/>
  <c r="CK297" i="13" s="1"/>
  <c r="CL297" i="13" s="1" a="1"/>
  <c r="CL297" i="13" s="1"/>
  <c r="CB159" i="13"/>
  <c r="CC159" i="13" s="1"/>
  <c r="CN157" i="13"/>
  <c r="CO157" i="13" s="1"/>
  <c r="CP157" i="13" s="1" a="1"/>
  <c r="CP157" i="13" s="1"/>
  <c r="CB133" i="13"/>
  <c r="CC133" i="13" s="1"/>
  <c r="CP246" i="13" a="1"/>
  <c r="CP246" i="13" s="1"/>
  <c r="CT215" i="13" a="1"/>
  <c r="CT215" i="13" s="1"/>
  <c r="CT144" i="13" a="1"/>
  <c r="CT144" i="13" s="1"/>
  <c r="CX144" i="13" a="1"/>
  <c r="CX144" i="13" s="1"/>
  <c r="BX125" i="13"/>
  <c r="BY125" i="13" s="1"/>
  <c r="BZ125" i="13" s="1" a="1"/>
  <c r="BZ125" i="13" s="1"/>
  <c r="CB129" i="13"/>
  <c r="CC129" i="13" s="1"/>
  <c r="BP437" i="13"/>
  <c r="BQ437" i="13" s="1"/>
  <c r="BR437" i="13" s="1" a="1"/>
  <c r="BR437" i="13" s="1"/>
  <c r="CT289" i="13" a="1"/>
  <c r="CT289" i="13" s="1"/>
  <c r="BV244" i="13" a="1"/>
  <c r="BV244" i="13" s="1"/>
  <c r="CN129" i="13"/>
  <c r="CO129" i="13" s="1"/>
  <c r="CP129" i="13" s="1" a="1"/>
  <c r="CP129" i="13" s="1"/>
  <c r="CT153" i="13" a="1"/>
  <c r="CT153" i="13" s="1"/>
  <c r="CP143" i="13" a="1"/>
  <c r="CP143" i="13" s="1"/>
  <c r="CX155" i="13" a="1"/>
  <c r="CX155" i="13" s="1"/>
  <c r="BV162" i="13" a="1"/>
  <c r="BV162" i="13" s="1"/>
  <c r="CX141" i="13" a="1"/>
  <c r="CX141" i="13" s="1"/>
  <c r="CZ141" i="13" s="1"/>
  <c r="Z141" i="13" s="1"/>
  <c r="CF145" i="13"/>
  <c r="R145" i="13" s="1"/>
  <c r="CD980" i="13" a="1"/>
  <c r="CD980" i="13" s="1"/>
  <c r="CE980" i="13" a="1"/>
  <c r="CE980" i="13" s="1"/>
  <c r="CY948" i="13" a="1"/>
  <c r="CY948" i="13" s="1"/>
  <c r="CX948" i="13" a="1"/>
  <c r="CX948" i="13" s="1"/>
  <c r="BX780" i="13"/>
  <c r="BY780" i="13" s="1"/>
  <c r="BZ780" i="13" s="1" a="1"/>
  <c r="BZ780" i="13" s="1"/>
  <c r="BV973" i="13" a="1"/>
  <c r="BV973" i="13" s="1"/>
  <c r="CX964" i="13" a="1"/>
  <c r="CX964" i="13" s="1"/>
  <c r="CY964" i="13" a="1"/>
  <c r="CY964" i="13" s="1"/>
  <c r="CD964" i="13" a="1"/>
  <c r="CD964" i="13" s="1"/>
  <c r="CE964" i="13" a="1"/>
  <c r="CE964" i="13" s="1"/>
  <c r="CV942" i="13"/>
  <c r="CW942" i="13" s="1"/>
  <c r="CP986" i="13" a="1"/>
  <c r="CP986" i="13" s="1"/>
  <c r="CD949" i="13" a="1"/>
  <c r="CD949" i="13" s="1"/>
  <c r="CE949" i="13" a="1"/>
  <c r="CE949" i="13" s="1"/>
  <c r="CP944" i="13" a="1"/>
  <c r="CP944" i="13" s="1"/>
  <c r="CR901" i="13"/>
  <c r="CS901" i="13" s="1"/>
  <c r="BT877" i="13"/>
  <c r="BU877" i="13" s="1"/>
  <c r="CE819" i="13" a="1"/>
  <c r="CE819" i="13" s="1"/>
  <c r="CD819" i="13" a="1"/>
  <c r="CD819" i="13" s="1"/>
  <c r="CD984" i="13" a="1"/>
  <c r="CD984" i="13" s="1"/>
  <c r="CE984" i="13" a="1"/>
  <c r="CE984" i="13" s="1"/>
  <c r="CD931" i="13" a="1"/>
  <c r="CD931" i="13" s="1"/>
  <c r="CE931" i="13" a="1"/>
  <c r="CE931" i="13" s="1"/>
  <c r="BZ931" i="13" a="1"/>
  <c r="BZ931" i="13" s="1"/>
  <c r="CD952" i="13" a="1"/>
  <c r="CD952" i="13" s="1"/>
  <c r="CE952" i="13" a="1"/>
  <c r="CE952" i="13" s="1"/>
  <c r="CX927" i="13" a="1"/>
  <c r="CX927" i="13" s="1"/>
  <c r="CY927" i="13" a="1"/>
  <c r="CY927" i="13" s="1"/>
  <c r="CZ927" i="13" s="1"/>
  <c r="Z927" i="13" s="1"/>
  <c r="CY947" i="13" a="1"/>
  <c r="CY947" i="13" s="1"/>
  <c r="CX947" i="13" a="1"/>
  <c r="CX947" i="13" s="1"/>
  <c r="CN912" i="13"/>
  <c r="CO912" i="13" s="1"/>
  <c r="CP912" i="13" s="1" a="1"/>
  <c r="CP912" i="13" s="1"/>
  <c r="CX830" i="13" a="1"/>
  <c r="CX830" i="13" s="1"/>
  <c r="CY830" i="13" a="1"/>
  <c r="CY830" i="13" s="1"/>
  <c r="CF836" i="13"/>
  <c r="R836" i="13" s="1"/>
  <c r="BT873" i="13"/>
  <c r="BU873" i="13" s="1"/>
  <c r="BV811" i="13" a="1"/>
  <c r="BV811" i="13" s="1"/>
  <c r="BV907" i="13" a="1"/>
  <c r="BV907" i="13" s="1"/>
  <c r="BZ935" i="13" a="1"/>
  <c r="BZ935" i="13" s="1"/>
  <c r="BZ929" i="13" a="1"/>
  <c r="BZ929" i="13" s="1"/>
  <c r="BT942" i="13"/>
  <c r="BU942" i="13" s="1"/>
  <c r="BZ942" i="13" s="1" a="1"/>
  <c r="BZ942" i="13" s="1"/>
  <c r="CV843" i="13"/>
  <c r="CW843" i="13" s="1"/>
  <c r="BV817" i="13" a="1"/>
  <c r="BV817" i="13" s="1"/>
  <c r="CP947" i="13" a="1"/>
  <c r="CP947" i="13" s="1"/>
  <c r="CY957" i="13" a="1"/>
  <c r="CY957" i="13" s="1"/>
  <c r="CX957" i="13" a="1"/>
  <c r="CX957" i="13" s="1"/>
  <c r="BX1004" i="13"/>
  <c r="BY1004" i="13" s="1"/>
  <c r="BZ1004" i="13" s="1" a="1"/>
  <c r="BZ1004" i="13" s="1"/>
  <c r="CP984" i="13" a="1"/>
  <c r="CP984" i="13" s="1"/>
  <c r="CJ1000" i="13"/>
  <c r="CK1000" i="13" s="1"/>
  <c r="CL1000" i="13" s="1" a="1"/>
  <c r="CL1000" i="13" s="1"/>
  <c r="CN934" i="13"/>
  <c r="CO934" i="13" s="1"/>
  <c r="CP934" i="13" s="1" a="1"/>
  <c r="CP934" i="13" s="1"/>
  <c r="CN918" i="13"/>
  <c r="CO918" i="13" s="1"/>
  <c r="CP918" i="13" s="1" a="1"/>
  <c r="CP918" i="13" s="1"/>
  <c r="CP846" i="13" a="1"/>
  <c r="CP846" i="13" s="1"/>
  <c r="CE830" i="13" a="1"/>
  <c r="CE830" i="13" s="1"/>
  <c r="CD830" i="13" a="1"/>
  <c r="CD830" i="13" s="1"/>
  <c r="CE894" i="13" a="1"/>
  <c r="CE894" i="13" s="1"/>
  <c r="CD894" i="13" a="1"/>
  <c r="CD894" i="13" s="1"/>
  <c r="CZ838" i="13"/>
  <c r="Z838" i="13" s="1"/>
  <c r="CP787" i="13" a="1"/>
  <c r="CP787" i="13" s="1"/>
  <c r="CN1018" i="13"/>
  <c r="CO1018" i="13" s="1"/>
  <c r="CP1018" i="13" s="1" a="1"/>
  <c r="CP1018" i="13" s="1"/>
  <c r="CY913" i="13" a="1"/>
  <c r="CY913" i="13" s="1"/>
  <c r="CX913" i="13" a="1"/>
  <c r="CX913" i="13" s="1"/>
  <c r="CP988" i="13" a="1"/>
  <c r="CP988" i="13" s="1"/>
  <c r="CT983" i="13" a="1"/>
  <c r="CT983" i="13" s="1"/>
  <c r="CX953" i="13" a="1"/>
  <c r="CX953" i="13" s="1"/>
  <c r="CY953" i="13" a="1"/>
  <c r="CY953" i="13" s="1"/>
  <c r="CT791" i="13" a="1"/>
  <c r="CT791" i="13" s="1"/>
  <c r="CX791" i="13" a="1"/>
  <c r="CX791" i="13" s="1"/>
  <c r="BT889" i="13"/>
  <c r="BU889" i="13" s="1"/>
  <c r="BZ856" i="13" a="1"/>
  <c r="BZ856" i="13" s="1"/>
  <c r="CN790" i="13"/>
  <c r="CO790" i="13" s="1"/>
  <c r="CP790" i="13" s="1" a="1"/>
  <c r="CP790" i="13" s="1"/>
  <c r="BT826" i="13"/>
  <c r="BU826" i="13" s="1"/>
  <c r="BV826" i="13" s="1" a="1"/>
  <c r="BV826" i="13" s="1"/>
  <c r="BZ813" i="13" a="1"/>
  <c r="BZ813" i="13" s="1"/>
  <c r="BX857" i="13"/>
  <c r="BY857" i="13" s="1"/>
  <c r="BZ857" i="13" s="1" a="1"/>
  <c r="BZ857" i="13" s="1"/>
  <c r="CJ991" i="13"/>
  <c r="CK991" i="13" s="1"/>
  <c r="CL991" i="13" s="1" a="1"/>
  <c r="CL991" i="13" s="1"/>
  <c r="CT943" i="13" a="1"/>
  <c r="CT943" i="13" s="1"/>
  <c r="CD979" i="13" a="1"/>
  <c r="CD979" i="13" s="1"/>
  <c r="CE979" i="13" a="1"/>
  <c r="CE979" i="13" s="1"/>
  <c r="CX963" i="13" a="1"/>
  <c r="CX963" i="13" s="1"/>
  <c r="CY963" i="13" a="1"/>
  <c r="CY963" i="13" s="1"/>
  <c r="CE963" i="13" a="1"/>
  <c r="CE963" i="13" s="1"/>
  <c r="CD963" i="13" a="1"/>
  <c r="CD963" i="13" s="1"/>
  <c r="BV965" i="13" a="1"/>
  <c r="BV965" i="13" s="1"/>
  <c r="CX888" i="13" a="1"/>
  <c r="CX888" i="13" s="1"/>
  <c r="CY888" i="13" a="1"/>
  <c r="CY888" i="13" s="1"/>
  <c r="CT940" i="13" a="1"/>
  <c r="CT940" i="13" s="1"/>
  <c r="BT932" i="13"/>
  <c r="BU932" i="13" s="1"/>
  <c r="BV932" i="13" s="1" a="1"/>
  <c r="BV932" i="13" s="1"/>
  <c r="BT916" i="13"/>
  <c r="BU916" i="13" s="1"/>
  <c r="BV916" i="13" s="1" a="1"/>
  <c r="BV916" i="13" s="1"/>
  <c r="CJ853" i="13"/>
  <c r="CK853" i="13" s="1"/>
  <c r="CL853" i="13" s="1" a="1"/>
  <c r="CL853" i="13" s="1"/>
  <c r="CV871" i="13"/>
  <c r="CW871" i="13" s="1"/>
  <c r="CE860" i="13" a="1"/>
  <c r="CE860" i="13" s="1"/>
  <c r="CD860" i="13" a="1"/>
  <c r="CD860" i="13" s="1"/>
  <c r="BV809" i="13" a="1"/>
  <c r="BV809" i="13" s="1"/>
  <c r="CF809" i="13" s="1"/>
  <c r="R809" i="13" s="1"/>
  <c r="CV857" i="13"/>
  <c r="CW857" i="13" s="1"/>
  <c r="BT853" i="13"/>
  <c r="BU853" i="13" s="1"/>
  <c r="BV853" i="13" s="1" a="1"/>
  <c r="BV853" i="13" s="1"/>
  <c r="CD791" i="13" a="1"/>
  <c r="CD791" i="13" s="1"/>
  <c r="CE791" i="13" a="1"/>
  <c r="CE791" i="13" s="1"/>
  <c r="BV750" i="13" a="1"/>
  <c r="BV750" i="13" s="1"/>
  <c r="BV971" i="13" a="1"/>
  <c r="BV971" i="13" s="1"/>
  <c r="CP933" i="13" a="1"/>
  <c r="CP933" i="13" s="1"/>
  <c r="CR1001" i="13"/>
  <c r="CS1001" i="13" s="1"/>
  <c r="CZ978" i="13"/>
  <c r="Z978" i="13" s="1"/>
  <c r="BZ907" i="13" a="1"/>
  <c r="BZ907" i="13" s="1"/>
  <c r="BV903" i="13" a="1"/>
  <c r="BV903" i="13" s="1"/>
  <c r="CX929" i="13" a="1"/>
  <c r="CX929" i="13" s="1"/>
  <c r="CY929" i="13" a="1"/>
  <c r="CY929" i="13" s="1"/>
  <c r="CD978" i="13" a="1"/>
  <c r="CD978" i="13" s="1"/>
  <c r="CF978" i="13" s="1"/>
  <c r="R978" i="13" s="1"/>
  <c r="BZ850" i="13" a="1"/>
  <c r="BZ850" i="13" s="1"/>
  <c r="CF850" i="13" s="1"/>
  <c r="R850" i="13" s="1"/>
  <c r="CZ864" i="13"/>
  <c r="Z864" i="13" s="1"/>
  <c r="CR908" i="13"/>
  <c r="CS908" i="13" s="1"/>
  <c r="CT908" i="13" s="1" a="1"/>
  <c r="CT908" i="13" s="1"/>
  <c r="CV883" i="13"/>
  <c r="CW883" i="13" s="1"/>
  <c r="CB916" i="13"/>
  <c r="CC916" i="13" s="1"/>
  <c r="CN869" i="13"/>
  <c r="CO869" i="13" s="1"/>
  <c r="CP869" i="13" s="1" a="1"/>
  <c r="CP869" i="13" s="1"/>
  <c r="CR859" i="13"/>
  <c r="CS859" i="13" s="1"/>
  <c r="BT808" i="13"/>
  <c r="BU808" i="13" s="1"/>
  <c r="CB829" i="13"/>
  <c r="CC829" i="13" s="1"/>
  <c r="BT831" i="13"/>
  <c r="BU831" i="13" s="1"/>
  <c r="BV831" i="13" s="1" a="1"/>
  <c r="BV831" i="13" s="1"/>
  <c r="CX799" i="13" a="1"/>
  <c r="CX799" i="13" s="1"/>
  <c r="CY799" i="13" a="1"/>
  <c r="CY799" i="13" s="1"/>
  <c r="BT1011" i="13"/>
  <c r="BU1011" i="13" s="1"/>
  <c r="BV1011" i="13" s="1" a="1"/>
  <c r="BV1011" i="13" s="1"/>
  <c r="CP973" i="13" a="1"/>
  <c r="CP973" i="13" s="1"/>
  <c r="CT813" i="13" a="1"/>
  <c r="CT813" i="13" s="1"/>
  <c r="CP797" i="13" a="1"/>
  <c r="CP797" i="13" s="1"/>
  <c r="BZ771" i="13" a="1"/>
  <c r="BZ771" i="13" s="1"/>
  <c r="CP755" i="13" a="1"/>
  <c r="CP755" i="13" s="1"/>
  <c r="CV784" i="13"/>
  <c r="CW784" i="13" s="1"/>
  <c r="CJ774" i="13"/>
  <c r="CK774" i="13" s="1"/>
  <c r="CL774" i="13" s="1" a="1"/>
  <c r="CL774" i="13" s="1"/>
  <c r="BP766" i="13"/>
  <c r="BQ766" i="13" s="1"/>
  <c r="BR766" i="13" s="1" a="1"/>
  <c r="BR766" i="13" s="1"/>
  <c r="CJ762" i="13"/>
  <c r="CK762" i="13" s="1"/>
  <c r="CL762" i="13" s="1" a="1"/>
  <c r="CL762" i="13" s="1"/>
  <c r="CF681" i="13"/>
  <c r="R681" i="13" s="1"/>
  <c r="BP650" i="13"/>
  <c r="BQ650" i="13" s="1"/>
  <c r="BR650" i="13" s="1" a="1"/>
  <c r="BR650" i="13" s="1"/>
  <c r="CN645" i="13"/>
  <c r="CO645" i="13" s="1"/>
  <c r="BP503" i="13"/>
  <c r="BQ503" i="13" s="1"/>
  <c r="BR503" i="13" s="1" a="1"/>
  <c r="BR503" i="13" s="1"/>
  <c r="CP894" i="13" a="1"/>
  <c r="CP894" i="13" s="1"/>
  <c r="BP829" i="13"/>
  <c r="BQ829" i="13" s="1"/>
  <c r="BR829" i="13" s="1" a="1"/>
  <c r="BR829" i="13" s="1"/>
  <c r="BZ757" i="13" a="1"/>
  <c r="BZ757" i="13" s="1"/>
  <c r="BP753" i="13"/>
  <c r="BQ753" i="13" s="1"/>
  <c r="BR753" i="13" s="1" a="1"/>
  <c r="BR753" i="13" s="1"/>
  <c r="CJ753" i="13"/>
  <c r="CK753" i="13" s="1"/>
  <c r="CL753" i="13" s="1" a="1"/>
  <c r="CL753" i="13" s="1"/>
  <c r="BZ748" i="13" a="1"/>
  <c r="BZ748" i="13" s="1"/>
  <c r="BX678" i="13"/>
  <c r="BY678" i="13" s="1"/>
  <c r="BZ678" i="13" s="1" a="1"/>
  <c r="BZ678" i="13" s="1"/>
  <c r="BZ740" i="13" a="1"/>
  <c r="BZ740" i="13" s="1"/>
  <c r="CP720" i="13" a="1"/>
  <c r="CP720" i="13" s="1"/>
  <c r="BZ700" i="13" a="1"/>
  <c r="BZ700" i="13" s="1"/>
  <c r="CY615" i="13" a="1"/>
  <c r="CY615" i="13" s="1"/>
  <c r="CX615" i="13" a="1"/>
  <c r="CX615" i="13" s="1"/>
  <c r="BP669" i="13"/>
  <c r="BQ669" i="13" s="1"/>
  <c r="BR669" i="13" s="1" a="1"/>
  <c r="BR669" i="13" s="1"/>
  <c r="BX669" i="13"/>
  <c r="BY669" i="13" s="1"/>
  <c r="BZ669" i="13" s="1" a="1"/>
  <c r="BZ669" i="13" s="1"/>
  <c r="CB669" i="13"/>
  <c r="CC669" i="13" s="1"/>
  <c r="CR600" i="13"/>
  <c r="CS600" i="13" s="1"/>
  <c r="CP605" i="13" a="1"/>
  <c r="CP605" i="13" s="1"/>
  <c r="CD599" i="13" a="1"/>
  <c r="CD599" i="13" s="1"/>
  <c r="CE599" i="13" a="1"/>
  <c r="CE599" i="13" s="1"/>
  <c r="CX562" i="13" a="1"/>
  <c r="CX562" i="13" s="1"/>
  <c r="CY562" i="13" a="1"/>
  <c r="CY562" i="13" s="1"/>
  <c r="CD532" i="13" a="1"/>
  <c r="CD532" i="13" s="1"/>
  <c r="CE532" i="13" a="1"/>
  <c r="CE532" i="13" s="1"/>
  <c r="CP516" i="13" a="1"/>
  <c r="CP516" i="13" s="1"/>
  <c r="CN511" i="13"/>
  <c r="CO511" i="13" s="1"/>
  <c r="CP511" i="13" s="1" a="1"/>
  <c r="CP511" i="13" s="1"/>
  <c r="CT424" i="13" a="1"/>
  <c r="CT424" i="13" s="1"/>
  <c r="CP424" i="13" a="1"/>
  <c r="CP424" i="13" s="1"/>
  <c r="BP991" i="13"/>
  <c r="BQ991" i="13" s="1"/>
  <c r="BR991" i="13" s="1" a="1"/>
  <c r="BR991" i="13" s="1"/>
  <c r="CP985" i="13" a="1"/>
  <c r="CP985" i="13" s="1"/>
  <c r="CJ1006" i="13"/>
  <c r="CK1006" i="13" s="1"/>
  <c r="CL1006" i="13" s="1" a="1"/>
  <c r="CL1006" i="13" s="1"/>
  <c r="BZ896" i="13" a="1"/>
  <c r="BZ896" i="13" s="1"/>
  <c r="CB810" i="13"/>
  <c r="CC810" i="13" s="1"/>
  <c r="BV775" i="13" a="1"/>
  <c r="BV775" i="13" s="1"/>
  <c r="CY736" i="13" a="1"/>
  <c r="CY736" i="13" s="1"/>
  <c r="CX736" i="13" a="1"/>
  <c r="CX736" i="13" s="1"/>
  <c r="CR753" i="13"/>
  <c r="CS753" i="13" s="1"/>
  <c r="CR669" i="13"/>
  <c r="CS669" i="13" s="1"/>
  <c r="BT600" i="13"/>
  <c r="BU600" i="13" s="1"/>
  <c r="BV600" i="13" s="1" a="1"/>
  <c r="BV600" i="13" s="1"/>
  <c r="BX573" i="13"/>
  <c r="BY573" i="13" s="1"/>
  <c r="BZ573" i="13" s="1" a="1"/>
  <c r="BZ573" i="13" s="1"/>
  <c r="CP603" i="13" a="1"/>
  <c r="CP603" i="13" s="1"/>
  <c r="CD556" i="13" a="1"/>
  <c r="CD556" i="13" s="1"/>
  <c r="CE556" i="13" a="1"/>
  <c r="CE556" i="13" s="1"/>
  <c r="CX508" i="13" a="1"/>
  <c r="CX508" i="13" s="1"/>
  <c r="CY508" i="13" a="1"/>
  <c r="CY508" i="13" s="1"/>
  <c r="CY544" i="13" a="1"/>
  <c r="CY544" i="13" s="1"/>
  <c r="CX544" i="13" a="1"/>
  <c r="CX544" i="13" s="1"/>
  <c r="CZ527" i="13"/>
  <c r="Z527" i="13" s="1"/>
  <c r="CP524" i="13" a="1"/>
  <c r="CP524" i="13" s="1"/>
  <c r="BX495" i="13"/>
  <c r="BY495" i="13" s="1"/>
  <c r="BZ495" i="13" s="1" a="1"/>
  <c r="BZ495" i="13" s="1"/>
  <c r="CP508" i="13" a="1"/>
  <c r="CP508" i="13" s="1"/>
  <c r="BZ476" i="13" a="1"/>
  <c r="BZ476" i="13" s="1"/>
  <c r="BT489" i="13"/>
  <c r="BU489" i="13" s="1"/>
  <c r="BV489" i="13" s="1" a="1"/>
  <c r="BV489" i="13" s="1"/>
  <c r="BT906" i="13"/>
  <c r="BU906" i="13" s="1"/>
  <c r="BV906" i="13" s="1" a="1"/>
  <c r="BV906" i="13" s="1"/>
  <c r="CN859" i="13"/>
  <c r="CO859" i="13" s="1"/>
  <c r="BT741" i="13"/>
  <c r="BU741" i="13" s="1"/>
  <c r="BV741" i="13" s="1" a="1"/>
  <c r="BV741" i="13" s="1"/>
  <c r="CP777" i="13" a="1"/>
  <c r="CP777" i="13" s="1"/>
  <c r="CE761" i="13" a="1"/>
  <c r="CE761" i="13" s="1"/>
  <c r="CD761" i="13" a="1"/>
  <c r="CD761" i="13" s="1"/>
  <c r="CT734" i="13" a="1"/>
  <c r="CT734" i="13" s="1"/>
  <c r="BV716" i="13" a="1"/>
  <c r="BV716" i="13" s="1"/>
  <c r="BZ702" i="13" a="1"/>
  <c r="BZ702" i="13" s="1"/>
  <c r="CN660" i="13"/>
  <c r="CO660" i="13" s="1"/>
  <c r="CP660" i="13" s="1" a="1"/>
  <c r="CP660" i="13" s="1"/>
  <c r="CV669" i="13"/>
  <c r="CW669" i="13" s="1"/>
  <c r="CR665" i="13"/>
  <c r="CS665" i="13" s="1"/>
  <c r="CV636" i="13"/>
  <c r="CW636" i="13" s="1"/>
  <c r="CJ578" i="13"/>
  <c r="CK578" i="13" s="1"/>
  <c r="CL578" i="13" s="1" a="1"/>
  <c r="CL578" i="13" s="1"/>
  <c r="CX608" i="13" a="1"/>
  <c r="CX608" i="13" s="1"/>
  <c r="CY608" i="13" a="1"/>
  <c r="CY608" i="13" s="1"/>
  <c r="CB645" i="13"/>
  <c r="CC645" i="13" s="1"/>
  <c r="CR573" i="13"/>
  <c r="CS573" i="13" s="1"/>
  <c r="CT573" i="13" s="1" a="1"/>
  <c r="CT573" i="13" s="1"/>
  <c r="CJ559" i="13"/>
  <c r="CK559" i="13" s="1"/>
  <c r="CL559" i="13" s="1" a="1"/>
  <c r="CL559" i="13" s="1"/>
  <c r="BT525" i="13"/>
  <c r="BU525" i="13" s="1"/>
  <c r="BZ525" i="13" s="1" a="1"/>
  <c r="BZ525" i="13" s="1"/>
  <c r="CY476" i="13" a="1"/>
  <c r="CY476" i="13" s="1"/>
  <c r="CX476" i="13" a="1"/>
  <c r="CX476" i="13" s="1"/>
  <c r="BT501" i="13"/>
  <c r="BU501" i="13" s="1"/>
  <c r="BV501" i="13" s="1" a="1"/>
  <c r="BV501" i="13" s="1"/>
  <c r="BT519" i="13"/>
  <c r="BU519" i="13" s="1"/>
  <c r="CJ1017" i="13"/>
  <c r="CK1017" i="13" s="1"/>
  <c r="CL1017" i="13" s="1" a="1"/>
  <c r="CL1017" i="13" s="1"/>
  <c r="BZ970" i="13" a="1"/>
  <c r="BZ970" i="13" s="1"/>
  <c r="CF970" i="13" s="1"/>
  <c r="R970" i="13" s="1"/>
  <c r="BZ941" i="13" a="1"/>
  <c r="BZ941" i="13" s="1"/>
  <c r="CP821" i="13" a="1"/>
  <c r="CP821" i="13" s="1"/>
  <c r="CD789" i="13" a="1"/>
  <c r="CD789" i="13" s="1"/>
  <c r="CE789" i="13" a="1"/>
  <c r="CE789" i="13" s="1"/>
  <c r="CN808" i="13"/>
  <c r="CO808" i="13" s="1"/>
  <c r="CP808" i="13" s="1" a="1"/>
  <c r="CP808" i="13" s="1"/>
  <c r="CB774" i="13"/>
  <c r="CC774" i="13" s="1"/>
  <c r="BX753" i="13"/>
  <c r="BY753" i="13" s="1"/>
  <c r="BZ753" i="13" s="1" a="1"/>
  <c r="BZ753" i="13" s="1"/>
  <c r="BP782" i="13"/>
  <c r="BQ782" i="13" s="1"/>
  <c r="BR782" i="13" s="1" a="1"/>
  <c r="BR782" i="13" s="1"/>
  <c r="CJ764" i="13"/>
  <c r="CK764" i="13" s="1"/>
  <c r="CL764" i="13" s="1" a="1"/>
  <c r="CL764" i="13" s="1"/>
  <c r="CN756" i="13"/>
  <c r="CO756" i="13" s="1"/>
  <c r="CP756" i="13" s="1" a="1"/>
  <c r="CP756" i="13" s="1"/>
  <c r="CY722" i="13" a="1"/>
  <c r="CY722" i="13" s="1"/>
  <c r="CX722" i="13" a="1"/>
  <c r="CX722" i="13" s="1"/>
  <c r="CR673" i="13"/>
  <c r="CS673" i="13" s="1"/>
  <c r="CT673" i="13" s="1" a="1"/>
  <c r="CT673" i="13" s="1"/>
  <c r="BV607" i="13" a="1"/>
  <c r="BV607" i="13" s="1"/>
  <c r="CB628" i="13"/>
  <c r="CC628" i="13" s="1"/>
  <c r="BT590" i="13"/>
  <c r="BU590" i="13" s="1"/>
  <c r="BV590" i="13" s="1" a="1"/>
  <c r="BV590" i="13" s="1"/>
  <c r="BX545" i="13"/>
  <c r="BY545" i="13" s="1"/>
  <c r="CB596" i="13"/>
  <c r="CC596" i="13" s="1"/>
  <c r="CT558" i="13" a="1"/>
  <c r="CT558" i="13" s="1"/>
  <c r="BZ490" i="13" a="1"/>
  <c r="BZ490" i="13" s="1"/>
  <c r="CP518" i="13" a="1"/>
  <c r="CP518" i="13" s="1"/>
  <c r="CT548" i="13" a="1"/>
  <c r="CT548" i="13" s="1"/>
  <c r="BZ488" i="13" a="1"/>
  <c r="BZ488" i="13" s="1"/>
  <c r="BX477" i="13"/>
  <c r="BY477" i="13" s="1"/>
  <c r="CD477" i="13" s="1" a="1"/>
  <c r="CD477" i="13" s="1"/>
  <c r="CR453" i="13"/>
  <c r="CS453" i="13" s="1"/>
  <c r="CB489" i="13"/>
  <c r="CC489" i="13" s="1"/>
  <c r="CN995" i="13"/>
  <c r="CO995" i="13" s="1"/>
  <c r="CP995" i="13" s="1" a="1"/>
  <c r="CP995" i="13" s="1"/>
  <c r="CD746" i="13" a="1"/>
  <c r="CD746" i="13" s="1"/>
  <c r="CE746" i="13" a="1"/>
  <c r="CE746" i="13" s="1"/>
  <c r="BV704" i="13" a="1"/>
  <c r="BV704" i="13" s="1"/>
  <c r="BP652" i="13"/>
  <c r="BQ652" i="13" s="1"/>
  <c r="BR652" i="13" s="1" a="1"/>
  <c r="BR652" i="13" s="1"/>
  <c r="CR681" i="13"/>
  <c r="CS681" i="13" s="1"/>
  <c r="CT681" i="13" s="1" a="1"/>
  <c r="CT681" i="13" s="1"/>
  <c r="CN606" i="13"/>
  <c r="CO606" i="13" s="1"/>
  <c r="CP579" i="13" a="1"/>
  <c r="CP579" i="13" s="1"/>
  <c r="CR565" i="13"/>
  <c r="CS565" i="13" s="1"/>
  <c r="CV531" i="13"/>
  <c r="CW531" i="13" s="1"/>
  <c r="CX506" i="13" a="1"/>
  <c r="CX506" i="13" s="1"/>
  <c r="CY506" i="13" a="1"/>
  <c r="CY506" i="13" s="1"/>
  <c r="CP540" i="13" a="1"/>
  <c r="CP540" i="13" s="1"/>
  <c r="BX537" i="13"/>
  <c r="BY537" i="13" s="1"/>
  <c r="BZ537" i="13" s="1" a="1"/>
  <c r="BZ537" i="13" s="1"/>
  <c r="CJ487" i="13"/>
  <c r="CK487" i="13" s="1"/>
  <c r="CL487" i="13" s="1" a="1"/>
  <c r="CL487" i="13" s="1"/>
  <c r="BP457" i="13"/>
  <c r="BQ457" i="13" s="1"/>
  <c r="BR457" i="13" s="1" a="1"/>
  <c r="BR457" i="13" s="1"/>
  <c r="CN457" i="13"/>
  <c r="CO457" i="13" s="1"/>
  <c r="CP457" i="13" s="1" a="1"/>
  <c r="CP457" i="13" s="1"/>
  <c r="CJ1002" i="13"/>
  <c r="CK1002" i="13" s="1"/>
  <c r="CL1002" i="13" s="1" a="1"/>
  <c r="CL1002" i="13" s="1"/>
  <c r="BV981" i="13" a="1"/>
  <c r="BV981" i="13" s="1"/>
  <c r="CF981" i="13" s="1"/>
  <c r="R981" i="13" s="1"/>
  <c r="CX793" i="13" a="1"/>
  <c r="CX793" i="13" s="1"/>
  <c r="CY793" i="13" a="1"/>
  <c r="CY793" i="13" s="1"/>
  <c r="CN796" i="13"/>
  <c r="CO796" i="13" s="1"/>
  <c r="CT796" i="13" s="1" a="1"/>
  <c r="CT796" i="13" s="1"/>
  <c r="CN786" i="13"/>
  <c r="CO786" i="13" s="1"/>
  <c r="BP780" i="13"/>
  <c r="BQ780" i="13" s="1"/>
  <c r="BR780" i="13" s="1" a="1"/>
  <c r="BR780" i="13" s="1"/>
  <c r="BT754" i="13"/>
  <c r="BU754" i="13" s="1"/>
  <c r="CJ632" i="13"/>
  <c r="CK632" i="13" s="1"/>
  <c r="CL632" i="13" s="1" a="1"/>
  <c r="CL632" i="13" s="1"/>
  <c r="CJ625" i="13"/>
  <c r="CK625" i="13" s="1"/>
  <c r="CL625" i="13" s="1" a="1"/>
  <c r="CL625" i="13" s="1"/>
  <c r="CN665" i="13"/>
  <c r="CO665" i="13" s="1"/>
  <c r="CP665" i="13" s="1" a="1"/>
  <c r="CP665" i="13" s="1"/>
  <c r="CV634" i="13"/>
  <c r="CW634" i="13" s="1"/>
  <c r="CD615" i="13" a="1"/>
  <c r="CD615" i="13" s="1"/>
  <c r="CE615" i="13" a="1"/>
  <c r="CE615" i="13" s="1"/>
  <c r="CB632" i="13"/>
  <c r="CC632" i="13" s="1"/>
  <c r="CD587" i="13" a="1"/>
  <c r="CD587" i="13" s="1"/>
  <c r="CE587" i="13" a="1"/>
  <c r="CE587" i="13" s="1"/>
  <c r="BT620" i="13"/>
  <c r="BU620" i="13" s="1"/>
  <c r="BV620" i="13" s="1" a="1"/>
  <c r="BV620" i="13" s="1"/>
  <c r="CV584" i="13"/>
  <c r="CW584" i="13" s="1"/>
  <c r="CJ590" i="13"/>
  <c r="CK590" i="13" s="1"/>
  <c r="CL590" i="13" s="1" a="1"/>
  <c r="CL590" i="13" s="1"/>
  <c r="BT517" i="13"/>
  <c r="BU517" i="13" s="1"/>
  <c r="BV517" i="13" s="1" a="1"/>
  <c r="BV517" i="13" s="1"/>
  <c r="CR578" i="13"/>
  <c r="CS578" i="13" s="1"/>
  <c r="CT540" i="13" a="1"/>
  <c r="CT540" i="13" s="1"/>
  <c r="CN571" i="13"/>
  <c r="CO571" i="13" s="1"/>
  <c r="BX575" i="13"/>
  <c r="BY575" i="13" s="1"/>
  <c r="BZ575" i="13" s="1" a="1"/>
  <c r="BZ575" i="13" s="1"/>
  <c r="BZ484" i="13" a="1"/>
  <c r="BZ484" i="13" s="1"/>
  <c r="CN481" i="13"/>
  <c r="CO481" i="13" s="1"/>
  <c r="BV474" i="13" a="1"/>
  <c r="BV474" i="13" s="1"/>
  <c r="CV461" i="13"/>
  <c r="CW461" i="13" s="1"/>
  <c r="BX470" i="13"/>
  <c r="BY470" i="13" s="1"/>
  <c r="BZ470" i="13" s="1" a="1"/>
  <c r="BZ470" i="13" s="1"/>
  <c r="CN1015" i="13"/>
  <c r="CO1015" i="13" s="1"/>
  <c r="CT1015" i="13" s="1" a="1"/>
  <c r="CT1015" i="13" s="1"/>
  <c r="CJ865" i="13"/>
  <c r="CK865" i="13" s="1"/>
  <c r="CL865" i="13" s="1" a="1"/>
  <c r="CL865" i="13" s="1"/>
  <c r="BZ823" i="13" a="1"/>
  <c r="BZ823" i="13" s="1"/>
  <c r="CV806" i="13"/>
  <c r="CW806" i="13" s="1"/>
  <c r="BZ769" i="13" a="1"/>
  <c r="BZ769" i="13" s="1"/>
  <c r="BT745" i="13"/>
  <c r="BU745" i="13" s="1"/>
  <c r="BV745" i="13" s="1" a="1"/>
  <c r="BV745" i="13" s="1"/>
  <c r="BP752" i="13"/>
  <c r="BQ752" i="13" s="1"/>
  <c r="BR752" i="13" s="1" a="1"/>
  <c r="BR752" i="13" s="1"/>
  <c r="CP742" i="13" a="1"/>
  <c r="CP742" i="13" s="1"/>
  <c r="BV724" i="13" a="1"/>
  <c r="BV724" i="13" s="1"/>
  <c r="CT698" i="13" a="1"/>
  <c r="CT698" i="13" s="1"/>
  <c r="CJ661" i="13"/>
  <c r="CK661" i="13" s="1"/>
  <c r="CL661" i="13" s="1" a="1"/>
  <c r="CL661" i="13" s="1"/>
  <c r="CV682" i="13"/>
  <c r="CW682" i="13" s="1"/>
  <c r="CJ657" i="13"/>
  <c r="CK657" i="13" s="1"/>
  <c r="CL657" i="13" s="1" a="1"/>
  <c r="CL657" i="13" s="1"/>
  <c r="CB657" i="13"/>
  <c r="CC657" i="13" s="1"/>
  <c r="CB654" i="13"/>
  <c r="CC654" i="13" s="1"/>
  <c r="CJ643" i="13"/>
  <c r="CK643" i="13" s="1"/>
  <c r="CL643" i="13" s="1" a="1"/>
  <c r="CL643" i="13" s="1"/>
  <c r="BZ611" i="13" a="1"/>
  <c r="BZ611" i="13" s="1"/>
  <c r="CB635" i="13"/>
  <c r="CC635" i="13" s="1"/>
  <c r="BP596" i="13"/>
  <c r="BQ596" i="13" s="1"/>
  <c r="BR596" i="13" s="1" a="1"/>
  <c r="BR596" i="13" s="1"/>
  <c r="CY538" i="13" a="1"/>
  <c r="CY538" i="13" s="1"/>
  <c r="CX538" i="13" a="1"/>
  <c r="CX538" i="13" s="1"/>
  <c r="CN588" i="13"/>
  <c r="CO588" i="13" s="1"/>
  <c r="CT588" i="13" s="1" a="1"/>
  <c r="CT588" i="13" s="1"/>
  <c r="CP538" i="13" a="1"/>
  <c r="CP538" i="13" s="1"/>
  <c r="BT541" i="13"/>
  <c r="BU541" i="13" s="1"/>
  <c r="BV541" i="13" s="1" a="1"/>
  <c r="BV541" i="13" s="1"/>
  <c r="CX510" i="13" a="1"/>
  <c r="CX510" i="13" s="1"/>
  <c r="CY510" i="13" a="1"/>
  <c r="CY510" i="13" s="1"/>
  <c r="BV520" i="13" a="1"/>
  <c r="BV520" i="13" s="1"/>
  <c r="CR535" i="13"/>
  <c r="CS535" i="13" s="1"/>
  <c r="CX535" i="13" s="1" a="1"/>
  <c r="CX535" i="13" s="1"/>
  <c r="CB539" i="13"/>
  <c r="CC539" i="13" s="1"/>
  <c r="CP514" i="13" a="1"/>
  <c r="CP514" i="13" s="1"/>
  <c r="CV454" i="13"/>
  <c r="CW454" i="13" s="1"/>
  <c r="BT439" i="13"/>
  <c r="BU439" i="13" s="1"/>
  <c r="BV695" i="13" a="1"/>
  <c r="BV695" i="13" s="1"/>
  <c r="CF695" i="13" s="1"/>
  <c r="R695" i="13" s="1"/>
  <c r="AF695" i="13" s="1"/>
  <c r="BZ581" i="13" a="1"/>
  <c r="BZ581" i="13" s="1"/>
  <c r="CF581" i="13" s="1"/>
  <c r="R581" i="13" s="1"/>
  <c r="BV534" i="13" a="1"/>
  <c r="BV534" i="13" s="1"/>
  <c r="CY427" i="13" a="1"/>
  <c r="CY427" i="13" s="1"/>
  <c r="CX427" i="13" a="1"/>
  <c r="CX427" i="13" s="1"/>
  <c r="CX417" i="13" a="1"/>
  <c r="CX417" i="13" s="1"/>
  <c r="CY417" i="13" a="1"/>
  <c r="CY417" i="13" s="1"/>
  <c r="CD415" i="13" a="1"/>
  <c r="CD415" i="13" s="1"/>
  <c r="CE415" i="13" a="1"/>
  <c r="CE415" i="13" s="1"/>
  <c r="CT409" i="13" a="1"/>
  <c r="CT409" i="13" s="1"/>
  <c r="CF353" i="13"/>
  <c r="R353" i="13" s="1"/>
  <c r="BV260" i="13" a="1"/>
  <c r="BV260" i="13" s="1"/>
  <c r="BX223" i="13"/>
  <c r="BY223" i="13" s="1"/>
  <c r="CE200" i="13" a="1"/>
  <c r="CE200" i="13" s="1"/>
  <c r="CD200" i="13" a="1"/>
  <c r="CD200" i="13" s="1"/>
  <c r="CB169" i="13"/>
  <c r="CC169" i="13" s="1"/>
  <c r="BT169" i="13"/>
  <c r="BU169" i="13" s="1"/>
  <c r="CN169" i="13"/>
  <c r="CO169" i="13" s="1"/>
  <c r="BX169" i="13"/>
  <c r="BY169" i="13" s="1"/>
  <c r="BP169" i="13"/>
  <c r="BQ169" i="13" s="1"/>
  <c r="BR169" i="13" s="1" a="1"/>
  <c r="BR169" i="13" s="1"/>
  <c r="BV709" i="13" a="1"/>
  <c r="BV709" i="13" s="1"/>
  <c r="CJ614" i="13"/>
  <c r="CK614" i="13" s="1"/>
  <c r="CL614" i="13" s="1" a="1"/>
  <c r="CL614" i="13" s="1"/>
  <c r="CX599" i="13" a="1"/>
  <c r="CX599" i="13" s="1"/>
  <c r="CZ599" i="13" s="1"/>
  <c r="Z599" i="13" s="1"/>
  <c r="BX586" i="13"/>
  <c r="BY586" i="13" s="1"/>
  <c r="BZ586" i="13" s="1" a="1"/>
  <c r="BZ586" i="13" s="1"/>
  <c r="CN549" i="13"/>
  <c r="CO549" i="13" s="1"/>
  <c r="CP549" i="13" s="1" a="1"/>
  <c r="CP549" i="13" s="1"/>
  <c r="CX478" i="13" a="1"/>
  <c r="CX478" i="13" s="1"/>
  <c r="CR458" i="13"/>
  <c r="CS458" i="13" s="1"/>
  <c r="CJ419" i="13"/>
  <c r="CK419" i="13" s="1"/>
  <c r="CL419" i="13" s="1" a="1"/>
  <c r="CL419" i="13" s="1"/>
  <c r="CT393" i="13" a="1"/>
  <c r="CT393" i="13" s="1"/>
  <c r="CY382" i="13" a="1"/>
  <c r="CY382" i="13" s="1"/>
  <c r="CX382" i="13" a="1"/>
  <c r="CX382" i="13" s="1"/>
  <c r="CT368" i="13" a="1"/>
  <c r="CT368" i="13" s="1"/>
  <c r="CJ348" i="13"/>
  <c r="CK348" i="13" s="1"/>
  <c r="CL348" i="13" s="1" a="1"/>
  <c r="CL348" i="13" s="1"/>
  <c r="BX348" i="13"/>
  <c r="BY348" i="13" s="1"/>
  <c r="CN348" i="13"/>
  <c r="CO348" i="13" s="1"/>
  <c r="CB348" i="13"/>
  <c r="CC348" i="13" s="1"/>
  <c r="BT348" i="13"/>
  <c r="BU348" i="13" s="1"/>
  <c r="BV348" i="13" s="1" a="1"/>
  <c r="BV348" i="13" s="1"/>
  <c r="BP348" i="13"/>
  <c r="BQ348" i="13" s="1"/>
  <c r="BR348" i="13" s="1" a="1"/>
  <c r="BR348" i="13" s="1"/>
  <c r="CR308" i="13"/>
  <c r="CS308" i="13" s="1"/>
  <c r="CT308" i="13" s="1" a="1"/>
  <c r="CT308" i="13" s="1"/>
  <c r="CY242" i="13" a="1"/>
  <c r="CY242" i="13" s="1"/>
  <c r="CX242" i="13" a="1"/>
  <c r="CX242" i="13" s="1"/>
  <c r="CX224" i="13" a="1"/>
  <c r="CX224" i="13" s="1"/>
  <c r="CY224" i="13" a="1"/>
  <c r="CY224" i="13" s="1"/>
  <c r="CD216" i="13" a="1"/>
  <c r="CD216" i="13" s="1"/>
  <c r="CE216" i="13" a="1"/>
  <c r="CE216" i="13" s="1"/>
  <c r="BX206" i="13"/>
  <c r="BY206" i="13" s="1"/>
  <c r="BV707" i="13" a="1"/>
  <c r="BV707" i="13" s="1"/>
  <c r="CF707" i="13" s="1"/>
  <c r="R707" i="13" s="1"/>
  <c r="AF707" i="13" s="1"/>
  <c r="CN592" i="13"/>
  <c r="CO592" i="13" s="1"/>
  <c r="CP592" i="13" s="1" a="1"/>
  <c r="CP592" i="13" s="1"/>
  <c r="CX401" i="13" a="1"/>
  <c r="CX401" i="13" s="1"/>
  <c r="CY401" i="13" a="1"/>
  <c r="CY401" i="13" s="1"/>
  <c r="CX407" i="13" a="1"/>
  <c r="CX407" i="13" s="1"/>
  <c r="CY407" i="13" a="1"/>
  <c r="CY407" i="13" s="1"/>
  <c r="BZ362" i="13" a="1"/>
  <c r="BZ362" i="13" s="1"/>
  <c r="CV342" i="13"/>
  <c r="CW342" i="13" s="1"/>
  <c r="CD298" i="13" a="1"/>
  <c r="CD298" i="13" s="1"/>
  <c r="CE298" i="13" a="1"/>
  <c r="CE298" i="13" s="1"/>
  <c r="CB269" i="13"/>
  <c r="CC269" i="13" s="1"/>
  <c r="CN662" i="13"/>
  <c r="CO662" i="13" s="1"/>
  <c r="CP662" i="13" s="1" a="1"/>
  <c r="CP662" i="13" s="1"/>
  <c r="CN656" i="13"/>
  <c r="CO656" i="13" s="1"/>
  <c r="CP656" i="13" s="1" a="1"/>
  <c r="CP656" i="13" s="1"/>
  <c r="CN631" i="13"/>
  <c r="CO631" i="13" s="1"/>
  <c r="CP631" i="13" s="1" a="1"/>
  <c r="CP631" i="13" s="1"/>
  <c r="CJ545" i="13"/>
  <c r="CK545" i="13" s="1"/>
  <c r="CL545" i="13" s="1" a="1"/>
  <c r="CL545" i="13" s="1"/>
  <c r="BZ591" i="13" a="1"/>
  <c r="BZ591" i="13" s="1"/>
  <c r="BZ510" i="13" a="1"/>
  <c r="BZ510" i="13" s="1"/>
  <c r="CN419" i="13"/>
  <c r="CO419" i="13" s="1"/>
  <c r="CT407" i="13" a="1"/>
  <c r="CT407" i="13" s="1"/>
  <c r="CY364" i="13" a="1"/>
  <c r="CY364" i="13" s="1"/>
  <c r="CX364" i="13" a="1"/>
  <c r="CX364" i="13" s="1"/>
  <c r="CY370" i="13" a="1"/>
  <c r="CY370" i="13" s="1"/>
  <c r="CX370" i="13" a="1"/>
  <c r="CX370" i="13" s="1"/>
  <c r="CR359" i="13"/>
  <c r="CS359" i="13" s="1"/>
  <c r="CT359" i="13" s="1" a="1"/>
  <c r="CT359" i="13" s="1"/>
  <c r="CV308" i="13"/>
  <c r="CW308" i="13" s="1"/>
  <c r="CB261" i="13"/>
  <c r="CC261" i="13" s="1"/>
  <c r="CN275" i="13"/>
  <c r="CO275" i="13" s="1"/>
  <c r="CP275" i="13" s="1" a="1"/>
  <c r="CP275" i="13" s="1"/>
  <c r="BZ268" i="13" a="1"/>
  <c r="BZ268" i="13" s="1"/>
  <c r="AF241" i="13"/>
  <c r="BV262" i="13" a="1"/>
  <c r="BV262" i="13" s="1"/>
  <c r="CD258" i="13" a="1"/>
  <c r="CD258" i="13" s="1"/>
  <c r="CE258" i="13" a="1"/>
  <c r="CE258" i="13" s="1"/>
  <c r="BP229" i="13"/>
  <c r="BQ229" i="13" s="1"/>
  <c r="BR229" i="13" s="1" a="1"/>
  <c r="BR229" i="13" s="1"/>
  <c r="CP226" i="13" a="1"/>
  <c r="CP226" i="13" s="1"/>
  <c r="CD716" i="13" a="1"/>
  <c r="CD716" i="13" s="1"/>
  <c r="CN648" i="13"/>
  <c r="CO648" i="13" s="1"/>
  <c r="CP648" i="13" s="1" a="1"/>
  <c r="CP648" i="13" s="1"/>
  <c r="CD506" i="13" a="1"/>
  <c r="CD506" i="13" s="1"/>
  <c r="BT471" i="13"/>
  <c r="BU471" i="13" s="1"/>
  <c r="CJ471" i="13"/>
  <c r="CK471" i="13" s="1"/>
  <c r="CL471" i="13" s="1" a="1"/>
  <c r="CL471" i="13" s="1"/>
  <c r="CV471" i="13"/>
  <c r="CW471" i="13" s="1"/>
  <c r="CB471" i="13"/>
  <c r="CC471" i="13" s="1"/>
  <c r="CN471" i="13"/>
  <c r="CO471" i="13" s="1"/>
  <c r="BX471" i="13"/>
  <c r="BY471" i="13" s="1"/>
  <c r="BP471" i="13"/>
  <c r="BQ471" i="13" s="1"/>
  <c r="BR471" i="13" s="1" a="1"/>
  <c r="BR471" i="13" s="1"/>
  <c r="BX458" i="13"/>
  <c r="BY458" i="13" s="1"/>
  <c r="CB473" i="13"/>
  <c r="CC473" i="13" s="1"/>
  <c r="CR442" i="13"/>
  <c r="CS442" i="13" s="1"/>
  <c r="CT442" i="13" s="1" a="1"/>
  <c r="CT442" i="13" s="1"/>
  <c r="CB440" i="13"/>
  <c r="CC440" i="13" s="1"/>
  <c r="BX437" i="13"/>
  <c r="BY437" i="13" s="1"/>
  <c r="BZ437" i="13" s="1" a="1"/>
  <c r="BZ437" i="13" s="1"/>
  <c r="BT394" i="13"/>
  <c r="BU394" i="13" s="1"/>
  <c r="BV394" i="13" s="1" a="1"/>
  <c r="BV394" i="13" s="1"/>
  <c r="CX366" i="13" a="1"/>
  <c r="CX366" i="13" s="1"/>
  <c r="CY366" i="13" a="1"/>
  <c r="CY366" i="13" s="1"/>
  <c r="CT360" i="13" a="1"/>
  <c r="CT360" i="13" s="1"/>
  <c r="CY337" i="13" a="1"/>
  <c r="CY337" i="13" s="1"/>
  <c r="CX337" i="13" a="1"/>
  <c r="CX337" i="13" s="1"/>
  <c r="CZ337" i="13" s="1"/>
  <c r="Z337" i="13" s="1"/>
  <c r="AF337" i="13" s="1"/>
  <c r="BP322" i="13"/>
  <c r="BQ322" i="13" s="1"/>
  <c r="BR322" i="13" s="1" a="1"/>
  <c r="BR322" i="13" s="1"/>
  <c r="CX325" i="13" a="1"/>
  <c r="CX325" i="13" s="1"/>
  <c r="CY325" i="13" a="1"/>
  <c r="CY325" i="13" s="1"/>
  <c r="CV256" i="13"/>
  <c r="CW256" i="13" s="1"/>
  <c r="CX228" i="13" a="1"/>
  <c r="CX228" i="13" s="1"/>
  <c r="CY228" i="13" a="1"/>
  <c r="CY228" i="13" s="1"/>
  <c r="BP250" i="13"/>
  <c r="BQ250" i="13" s="1"/>
  <c r="BR250" i="13" s="1" a="1"/>
  <c r="BR250" i="13" s="1"/>
  <c r="CD228" i="13" a="1"/>
  <c r="CD228" i="13" s="1"/>
  <c r="CE228" i="13" a="1"/>
  <c r="CE228" i="13" s="1"/>
  <c r="CX209" i="13" a="1"/>
  <c r="CX209" i="13" s="1"/>
  <c r="CY209" i="13" a="1"/>
  <c r="CY209" i="13" s="1"/>
  <c r="CN177" i="13"/>
  <c r="CO177" i="13" s="1"/>
  <c r="CP177" i="13" s="1" a="1"/>
  <c r="CP177" i="13" s="1"/>
  <c r="CV553" i="13"/>
  <c r="CW553" i="13" s="1"/>
  <c r="CV483" i="13"/>
  <c r="CW483" i="13" s="1"/>
  <c r="CV513" i="13"/>
  <c r="CW513" i="13" s="1"/>
  <c r="BZ384" i="13" a="1"/>
  <c r="BZ384" i="13" s="1"/>
  <c r="BZ399" i="13" a="1"/>
  <c r="BZ399" i="13" s="1"/>
  <c r="BZ412" i="13" a="1"/>
  <c r="BZ412" i="13" s="1"/>
  <c r="CN437" i="13"/>
  <c r="CO437" i="13" s="1"/>
  <c r="CD384" i="13" a="1"/>
  <c r="CD384" i="13" s="1"/>
  <c r="CE384" i="13" a="1"/>
  <c r="CE384" i="13" s="1"/>
  <c r="CJ365" i="13"/>
  <c r="CK365" i="13" s="1"/>
  <c r="CL365" i="13" s="1" a="1"/>
  <c r="CL365" i="13" s="1"/>
  <c r="CD316" i="13" a="1"/>
  <c r="CD316" i="13" s="1"/>
  <c r="CE316" i="13" a="1"/>
  <c r="CE316" i="13" s="1"/>
  <c r="CX310" i="13" a="1"/>
  <c r="CX310" i="13" s="1"/>
  <c r="CY310" i="13" a="1"/>
  <c r="CY310" i="13" s="1"/>
  <c r="BZ283" i="13" a="1"/>
  <c r="BZ283" i="13" s="1"/>
  <c r="CB303" i="13"/>
  <c r="CC303" i="13" s="1"/>
  <c r="BZ255" i="13" a="1"/>
  <c r="BZ255" i="13" s="1"/>
  <c r="BT225" i="13"/>
  <c r="BU225" i="13" s="1"/>
  <c r="BV225" i="13" s="1" a="1"/>
  <c r="BV225" i="13" s="1"/>
  <c r="CZ211" i="13"/>
  <c r="Z211" i="13" s="1"/>
  <c r="CB206" i="13"/>
  <c r="CC206" i="13" s="1"/>
  <c r="CR194" i="13"/>
  <c r="CS194" i="13" s="1"/>
  <c r="CT194" i="13" s="1" a="1"/>
  <c r="CT194" i="13" s="1"/>
  <c r="CD725" i="13" a="1"/>
  <c r="CD725" i="13" s="1"/>
  <c r="BP619" i="13"/>
  <c r="BQ619" i="13" s="1"/>
  <c r="BR619" i="13" s="1" a="1"/>
  <c r="BR619" i="13" s="1"/>
  <c r="CJ537" i="13"/>
  <c r="CK537" i="13" s="1"/>
  <c r="CL537" i="13" s="1" a="1"/>
  <c r="CL537" i="13" s="1"/>
  <c r="CN465" i="13"/>
  <c r="CO465" i="13" s="1"/>
  <c r="CP465" i="13" s="1" a="1"/>
  <c r="CP465" i="13" s="1"/>
  <c r="CV450" i="13"/>
  <c r="CW450" i="13" s="1"/>
  <c r="CB434" i="13"/>
  <c r="CC434" i="13" s="1"/>
  <c r="BX433" i="13"/>
  <c r="BY433" i="13" s="1"/>
  <c r="BT429" i="13"/>
  <c r="BU429" i="13" s="1"/>
  <c r="BV429" i="13" s="1" a="1"/>
  <c r="BV429" i="13" s="1"/>
  <c r="CE368" i="13" a="1"/>
  <c r="CE368" i="13" s="1"/>
  <c r="CD368" i="13" a="1"/>
  <c r="CD368" i="13" s="1"/>
  <c r="BP367" i="13"/>
  <c r="BQ367" i="13" s="1"/>
  <c r="BR367" i="13" s="1" a="1"/>
  <c r="BR367" i="13" s="1"/>
  <c r="CB371" i="13"/>
  <c r="CC371" i="13" s="1"/>
  <c r="BT330" i="13"/>
  <c r="BU330" i="13" s="1"/>
  <c r="BV330" i="13" s="1" a="1"/>
  <c r="BV330" i="13" s="1"/>
  <c r="CJ321" i="13"/>
  <c r="CK321" i="13" s="1"/>
  <c r="CL321" i="13" s="1" a="1"/>
  <c r="CL321" i="13" s="1"/>
  <c r="CX302" i="13" a="1"/>
  <c r="CX302" i="13" s="1"/>
  <c r="CY302" i="13" a="1"/>
  <c r="CY302" i="13" s="1"/>
  <c r="CJ318" i="13"/>
  <c r="CK318" i="13" s="1"/>
  <c r="CL318" i="13" s="1" a="1"/>
  <c r="CL318" i="13" s="1"/>
  <c r="BT261" i="13"/>
  <c r="BU261" i="13" s="1"/>
  <c r="BV261" i="13" s="1" a="1"/>
  <c r="BV261" i="13" s="1"/>
  <c r="BZ270" i="13" a="1"/>
  <c r="BZ270" i="13" s="1"/>
  <c r="CT254" i="13" a="1"/>
  <c r="CT254" i="13" s="1"/>
  <c r="CZ254" i="13" s="1"/>
  <c r="Z254" i="13" s="1"/>
  <c r="CB225" i="13"/>
  <c r="CC225" i="13" s="1"/>
  <c r="BP194" i="13"/>
  <c r="BQ194" i="13" s="1"/>
  <c r="BR194" i="13" s="1" a="1"/>
  <c r="BR194" i="13" s="1"/>
  <c r="BX653" i="13"/>
  <c r="BY653" i="13" s="1"/>
  <c r="CD653" i="13" s="1" a="1"/>
  <c r="CD653" i="13" s="1"/>
  <c r="CZ616" i="13"/>
  <c r="Z616" i="13" s="1"/>
  <c r="BP543" i="13"/>
  <c r="BQ543" i="13" s="1"/>
  <c r="BR543" i="13" s="1" a="1"/>
  <c r="BR543" i="13" s="1"/>
  <c r="CN529" i="13"/>
  <c r="CO529" i="13" s="1"/>
  <c r="CP529" i="13" s="1" a="1"/>
  <c r="CP529" i="13" s="1"/>
  <c r="CJ449" i="13"/>
  <c r="CK449" i="13" s="1"/>
  <c r="CL449" i="13" s="1" a="1"/>
  <c r="CL449" i="13" s="1"/>
  <c r="CB443" i="13"/>
  <c r="CC443" i="13" s="1"/>
  <c r="CB461" i="13"/>
  <c r="CC461" i="13" s="1"/>
  <c r="CP420" i="13" a="1"/>
  <c r="CP420" i="13" s="1"/>
  <c r="BT433" i="13"/>
  <c r="BU433" i="13" s="1"/>
  <c r="CN436" i="13"/>
  <c r="CO436" i="13" s="1"/>
  <c r="CP396" i="13" a="1"/>
  <c r="CP396" i="13" s="1"/>
  <c r="CJ390" i="13"/>
  <c r="CK390" i="13" s="1"/>
  <c r="CL390" i="13" s="1" a="1"/>
  <c r="CL390" i="13" s="1"/>
  <c r="CB361" i="13"/>
  <c r="CC361" i="13" s="1"/>
  <c r="BV358" i="13" a="1"/>
  <c r="BV358" i="13" s="1"/>
  <c r="CE333" i="13" a="1"/>
  <c r="CE333" i="13" s="1"/>
  <c r="CD333" i="13" a="1"/>
  <c r="CD333" i="13" s="1"/>
  <c r="BT323" i="13"/>
  <c r="BU323" i="13" s="1"/>
  <c r="CB323" i="13"/>
  <c r="CC323" i="13" s="1"/>
  <c r="CN323" i="13"/>
  <c r="CO323" i="13" s="1"/>
  <c r="BP323" i="13"/>
  <c r="BQ323" i="13" s="1"/>
  <c r="BR323" i="13" s="1" a="1"/>
  <c r="BR323" i="13" s="1"/>
  <c r="BX323" i="13"/>
  <c r="BY323" i="13" s="1"/>
  <c r="CJ323" i="13"/>
  <c r="CK323" i="13" s="1"/>
  <c r="CL323" i="13" s="1" a="1"/>
  <c r="CL323" i="13" s="1"/>
  <c r="CV323" i="13"/>
  <c r="CW323" i="13" s="1"/>
  <c r="CV315" i="13"/>
  <c r="CW315" i="13" s="1"/>
  <c r="CT282" i="13" a="1"/>
  <c r="CT282" i="13" s="1"/>
  <c r="CR293" i="13"/>
  <c r="CS293" i="13" s="1"/>
  <c r="BT279" i="13"/>
  <c r="BU279" i="13" s="1"/>
  <c r="BV279" i="13" s="1" a="1"/>
  <c r="BV279" i="13" s="1"/>
  <c r="BV222" i="13" a="1"/>
  <c r="BV222" i="13" s="1"/>
  <c r="CT232" i="13" a="1"/>
  <c r="CT232" i="13" s="1"/>
  <c r="CT208" i="13" a="1"/>
  <c r="CT208" i="13" s="1"/>
  <c r="BV196" i="13" a="1"/>
  <c r="BV196" i="13" s="1"/>
  <c r="CR159" i="13"/>
  <c r="CS159" i="13" s="1"/>
  <c r="CT159" i="13" s="1" a="1"/>
  <c r="CT159" i="13" s="1"/>
  <c r="BX157" i="13"/>
  <c r="BY157" i="13" s="1"/>
  <c r="CP306" i="13" a="1"/>
  <c r="CP306" i="13" s="1"/>
  <c r="CT242" i="13" a="1"/>
  <c r="CT242" i="13" s="1"/>
  <c r="CZ242" i="13" s="1"/>
  <c r="Z242" i="13" s="1"/>
  <c r="CR250" i="13"/>
  <c r="CS250" i="13" s="1"/>
  <c r="CR195" i="13"/>
  <c r="CS195" i="13" s="1"/>
  <c r="CJ171" i="13"/>
  <c r="CK171" i="13" s="1"/>
  <c r="CL171" i="13" s="1" a="1"/>
  <c r="CL171" i="13" s="1"/>
  <c r="CX160" i="13" a="1"/>
  <c r="CX160" i="13" s="1"/>
  <c r="CY160" i="13" a="1"/>
  <c r="CY160" i="13" s="1"/>
  <c r="CX126" i="13" a="1"/>
  <c r="CX126" i="13" s="1"/>
  <c r="CY126" i="13" a="1"/>
  <c r="CY126" i="13" s="1"/>
  <c r="CX409" i="13" a="1"/>
  <c r="CX409" i="13" s="1"/>
  <c r="CP248" i="13" a="1"/>
  <c r="CP248" i="13" s="1"/>
  <c r="BZ222" i="13" a="1"/>
  <c r="BZ222" i="13" s="1"/>
  <c r="BV153" i="13" a="1"/>
  <c r="BV153" i="13" s="1"/>
  <c r="BV423" i="13" a="1"/>
  <c r="BV423" i="13" s="1"/>
  <c r="CL399" i="13" a="1"/>
  <c r="CL399" i="13" s="1"/>
  <c r="CT294" i="13" a="1"/>
  <c r="CT294" i="13" s="1"/>
  <c r="CZ294" i="13" s="1"/>
  <c r="Z294" i="13" s="1"/>
  <c r="CV176" i="13"/>
  <c r="CW176" i="13" s="1"/>
  <c r="CT158" i="13" a="1"/>
  <c r="CT158" i="13" s="1"/>
  <c r="CT484" i="13" a="1"/>
  <c r="CT484" i="13" s="1"/>
  <c r="BX342" i="13"/>
  <c r="BY342" i="13" s="1"/>
  <c r="BZ342" i="13" s="1" a="1"/>
  <c r="BZ342" i="13" s="1"/>
  <c r="CJ299" i="13"/>
  <c r="CK299" i="13" s="1"/>
  <c r="CL299" i="13" s="1" a="1"/>
  <c r="CL299" i="13" s="1"/>
  <c r="CB174" i="13"/>
  <c r="CC174" i="13" s="1"/>
  <c r="CR150" i="13"/>
  <c r="CS150" i="13" s="1"/>
  <c r="CT150" i="13" s="1" a="1"/>
  <c r="CT150" i="13" s="1"/>
  <c r="CV133" i="13"/>
  <c r="CW133" i="13" s="1"/>
  <c r="CP126" i="13" a="1"/>
  <c r="CP126" i="13" s="1"/>
  <c r="BV426" i="13" a="1"/>
  <c r="BV426" i="13" s="1"/>
  <c r="CF426" i="13" s="1"/>
  <c r="R426" i="13" s="1"/>
  <c r="AF426" i="13" s="1"/>
  <c r="CP398" i="13" a="1"/>
  <c r="CP398" i="13" s="1"/>
  <c r="CP385" i="13" a="1"/>
  <c r="CP385" i="13" s="1"/>
  <c r="CZ385" i="13" s="1"/>
  <c r="Z385" i="13" s="1"/>
  <c r="BZ224" i="13" a="1"/>
  <c r="BZ224" i="13" s="1"/>
  <c r="CR125" i="13"/>
  <c r="CS125" i="13" s="1"/>
  <c r="CT125" i="13" s="1" a="1"/>
  <c r="CT125" i="13" s="1"/>
  <c r="CL397" i="13" a="1"/>
  <c r="CL397" i="13" s="1"/>
  <c r="BV316" i="13" a="1"/>
  <c r="BV316" i="13" s="1"/>
  <c r="CP236" i="13" a="1"/>
  <c r="CP236" i="13" s="1"/>
  <c r="CV174" i="13"/>
  <c r="CW174" i="13" s="1"/>
  <c r="BP159" i="13"/>
  <c r="BQ159" i="13" s="1"/>
  <c r="BR159" i="13" s="1" a="1"/>
  <c r="BR159" i="13" s="1"/>
  <c r="AF146" i="13"/>
  <c r="CD254" i="13" a="1"/>
  <c r="CD254" i="13" s="1"/>
  <c r="CT222" i="13" a="1"/>
  <c r="CT222" i="13" s="1"/>
  <c r="CZ222" i="13" s="1"/>
  <c r="Z222" i="13" s="1"/>
  <c r="CP219" i="13" a="1"/>
  <c r="CP219" i="13" s="1"/>
  <c r="CP147" i="13" a="1"/>
  <c r="CP147" i="13" s="1"/>
  <c r="CV129" i="13"/>
  <c r="CW129" i="13" s="1"/>
  <c r="BV396" i="13" a="1"/>
  <c r="BV396" i="13" s="1"/>
  <c r="CT234" i="13" a="1"/>
  <c r="CT234" i="13" s="1"/>
  <c r="BP178" i="13"/>
  <c r="BQ178" i="13" s="1"/>
  <c r="BR178" i="13" s="1" a="1"/>
  <c r="BR178" i="13" s="1"/>
  <c r="CD165" i="13" a="1"/>
  <c r="CD165" i="13" s="1"/>
  <c r="CE165" i="13" a="1"/>
  <c r="CE165" i="13" s="1"/>
  <c r="CX145" i="13" a="1"/>
  <c r="CX145" i="13" s="1"/>
  <c r="CY145" i="13" a="1"/>
  <c r="CY145" i="13" s="1"/>
  <c r="CX158" i="13" a="1"/>
  <c r="CX158" i="13" s="1"/>
  <c r="CJ152" i="13"/>
  <c r="CK152" i="13" s="1"/>
  <c r="CL152" i="13" s="1" a="1"/>
  <c r="CL152" i="13" s="1"/>
  <c r="CN137" i="13"/>
  <c r="CO137" i="13" s="1"/>
  <c r="CX132" i="13" a="1"/>
  <c r="CX132" i="13" s="1"/>
  <c r="CZ132" i="13" s="1"/>
  <c r="Z132" i="13" s="1"/>
  <c r="CD976" i="13" a="1"/>
  <c r="CD976" i="13" s="1"/>
  <c r="CE976" i="13" a="1"/>
  <c r="CE976" i="13" s="1"/>
  <c r="CY901" i="13" a="1"/>
  <c r="CY901" i="13" s="1"/>
  <c r="CX901" i="13" a="1"/>
  <c r="CX901" i="13" s="1"/>
  <c r="CD840" i="13" a="1"/>
  <c r="CD840" i="13" s="1"/>
  <c r="CE840" i="13" a="1"/>
  <c r="CE840" i="13" s="1"/>
  <c r="CD902" i="13" a="1"/>
  <c r="CD902" i="13" s="1"/>
  <c r="CE902" i="13" a="1"/>
  <c r="CE902" i="13" s="1"/>
  <c r="CE948" i="13" a="1"/>
  <c r="CE948" i="13" s="1"/>
  <c r="CD948" i="13" a="1"/>
  <c r="CD948" i="13" s="1"/>
  <c r="CX1004" i="13" a="1"/>
  <c r="CX1004" i="13" s="1"/>
  <c r="CY1004" i="13" a="1"/>
  <c r="CY1004" i="13" s="1"/>
  <c r="CE967" i="13" a="1"/>
  <c r="CE967" i="13" s="1"/>
  <c r="CD967" i="13" a="1"/>
  <c r="CD967" i="13" s="1"/>
  <c r="CT883" i="13" a="1"/>
  <c r="CT883" i="13" s="1"/>
  <c r="CT869" i="13" a="1"/>
  <c r="CT869" i="13" s="1"/>
  <c r="CY809" i="13" a="1"/>
  <c r="CY809" i="13" s="1"/>
  <c r="CX809" i="13" a="1"/>
  <c r="CX809" i="13" s="1"/>
  <c r="CX905" i="13" a="1"/>
  <c r="CX905" i="13" s="1"/>
  <c r="CY905" i="13" a="1"/>
  <c r="CY905" i="13" s="1"/>
  <c r="CX907" i="13" a="1"/>
  <c r="CX907" i="13" s="1"/>
  <c r="CY907" i="13" a="1"/>
  <c r="CY907" i="13" s="1"/>
  <c r="BV912" i="13" a="1"/>
  <c r="BV912" i="13" s="1"/>
  <c r="CY813" i="13" a="1"/>
  <c r="CY813" i="13" s="1"/>
  <c r="CX813" i="13" a="1"/>
  <c r="CX813" i="13" s="1"/>
  <c r="CY874" i="13" a="1"/>
  <c r="CY874" i="13" s="1"/>
  <c r="CX874" i="13" a="1"/>
  <c r="CX874" i="13" s="1"/>
  <c r="CN942" i="13"/>
  <c r="CO942" i="13" s="1"/>
  <c r="CP942" i="13" s="1" a="1"/>
  <c r="CP942" i="13" s="1"/>
  <c r="CP852" i="13" a="1"/>
  <c r="CP852" i="13" s="1"/>
  <c r="CZ852" i="13" s="1"/>
  <c r="Z852" i="13" s="1"/>
  <c r="CD823" i="13" a="1"/>
  <c r="CD823" i="13" s="1"/>
  <c r="CE823" i="13" a="1"/>
  <c r="CE823" i="13" s="1"/>
  <c r="CD803" i="13" a="1"/>
  <c r="CD803" i="13" s="1"/>
  <c r="CE803" i="13" a="1"/>
  <c r="CE803" i="13" s="1"/>
  <c r="CT808" i="13" a="1"/>
  <c r="CT808" i="13" s="1"/>
  <c r="CT774" i="13" a="1"/>
  <c r="CT774" i="13" s="1"/>
  <c r="CD933" i="13" a="1"/>
  <c r="CD933" i="13" s="1"/>
  <c r="CE933" i="13" a="1"/>
  <c r="CE933" i="13" s="1"/>
  <c r="CX950" i="13" a="1"/>
  <c r="CX950" i="13" s="1"/>
  <c r="CY950" i="13" a="1"/>
  <c r="CY950" i="13" s="1"/>
  <c r="CZ957" i="13"/>
  <c r="Z957" i="13" s="1"/>
  <c r="CP979" i="13" a="1"/>
  <c r="CP979" i="13" s="1"/>
  <c r="CJ990" i="13"/>
  <c r="CK990" i="13" s="1"/>
  <c r="CL990" i="13" s="1" a="1"/>
  <c r="CL990" i="13" s="1"/>
  <c r="CE838" i="13" a="1"/>
  <c r="CE838" i="13" s="1"/>
  <c r="CD838" i="13" a="1"/>
  <c r="CD838" i="13" s="1"/>
  <c r="CX807" i="13" a="1"/>
  <c r="CX807" i="13" s="1"/>
  <c r="CY807" i="13" a="1"/>
  <c r="CY807" i="13" s="1"/>
  <c r="CF894" i="13"/>
  <c r="R894" i="13" s="1"/>
  <c r="CX862" i="13" a="1"/>
  <c r="CX862" i="13" s="1"/>
  <c r="CY862" i="13" a="1"/>
  <c r="CY862" i="13" s="1"/>
  <c r="BV886" i="13" a="1"/>
  <c r="BV886" i="13" s="1"/>
  <c r="CT839" i="13" a="1"/>
  <c r="CT839" i="13" s="1"/>
  <c r="CV853" i="13"/>
  <c r="CW853" i="13" s="1"/>
  <c r="BV791" i="13" a="1"/>
  <c r="BV791" i="13" s="1"/>
  <c r="CN743" i="13"/>
  <c r="CO743" i="13" s="1"/>
  <c r="CV743" i="13"/>
  <c r="CW743" i="13" s="1"/>
  <c r="BP743" i="13"/>
  <c r="BQ743" i="13" s="1"/>
  <c r="BR743" i="13" s="1" a="1"/>
  <c r="BR743" i="13" s="1"/>
  <c r="CJ743" i="13"/>
  <c r="CK743" i="13" s="1"/>
  <c r="CL743" i="13" s="1" a="1"/>
  <c r="CL743" i="13" s="1"/>
  <c r="CN994" i="13"/>
  <c r="CO994" i="13" s="1"/>
  <c r="CT994" i="13" s="1" a="1"/>
  <c r="CT994" i="13" s="1"/>
  <c r="CE907" i="13" a="1"/>
  <c r="CE907" i="13" s="1"/>
  <c r="CD907" i="13" a="1"/>
  <c r="CD907" i="13" s="1"/>
  <c r="CT1016" i="13" a="1"/>
  <c r="CT1016" i="13" s="1"/>
  <c r="CE988" i="13" a="1"/>
  <c r="CE988" i="13" s="1"/>
  <c r="CD988" i="13" a="1"/>
  <c r="CD988" i="13" s="1"/>
  <c r="CZ983" i="13"/>
  <c r="Z983" i="13" s="1"/>
  <c r="CF935" i="13"/>
  <c r="R935" i="13" s="1"/>
  <c r="CB901" i="13"/>
  <c r="CC901" i="13" s="1"/>
  <c r="BP889" i="13"/>
  <c r="BQ889" i="13" s="1"/>
  <c r="BR889" i="13" s="1" a="1"/>
  <c r="BR889" i="13" s="1"/>
  <c r="BZ926" i="13" a="1"/>
  <c r="BZ926" i="13" s="1"/>
  <c r="CP926" i="13" a="1"/>
  <c r="CP926" i="13" s="1"/>
  <c r="CZ926" i="13" s="1"/>
  <c r="Z926" i="13" s="1"/>
  <c r="CV873" i="13"/>
  <c r="CW873" i="13" s="1"/>
  <c r="BZ886" i="13" a="1"/>
  <c r="BZ886" i="13" s="1"/>
  <c r="CT875" i="13" a="1"/>
  <c r="CT875" i="13" s="1"/>
  <c r="BV787" i="13" a="1"/>
  <c r="BV787" i="13" s="1"/>
  <c r="BP822" i="13"/>
  <c r="BQ822" i="13" s="1"/>
  <c r="BR822" i="13" s="1" a="1"/>
  <c r="BR822" i="13" s="1"/>
  <c r="BT800" i="13"/>
  <c r="BU800" i="13" s="1"/>
  <c r="CP795" i="13" a="1"/>
  <c r="CP795" i="13" s="1"/>
  <c r="CT795" i="13" a="1"/>
  <c r="CT795" i="13" s="1"/>
  <c r="CP812" i="13" a="1"/>
  <c r="CP812" i="13" s="1"/>
  <c r="CN1020" i="13"/>
  <c r="CO1020" i="13" s="1"/>
  <c r="CP1020" i="13" s="1" a="1"/>
  <c r="CP1020" i="13" s="1"/>
  <c r="CZ929" i="13"/>
  <c r="Z929" i="13" s="1"/>
  <c r="CD925" i="13" a="1"/>
  <c r="CD925" i="13" s="1"/>
  <c r="CE925" i="13" a="1"/>
  <c r="CE925" i="13" s="1"/>
  <c r="CD953" i="13" a="1"/>
  <c r="CD953" i="13" s="1"/>
  <c r="CE953" i="13" a="1"/>
  <c r="CE953" i="13" s="1"/>
  <c r="CX954" i="13" a="1"/>
  <c r="CX954" i="13" s="1"/>
  <c r="CY954" i="13" a="1"/>
  <c r="CY954" i="13" s="1"/>
  <c r="CE955" i="13" a="1"/>
  <c r="CE955" i="13" s="1"/>
  <c r="CD955" i="13" a="1"/>
  <c r="CD955" i="13" s="1"/>
  <c r="CT965" i="13" a="1"/>
  <c r="CT965" i="13" s="1"/>
  <c r="CN932" i="13"/>
  <c r="CO932" i="13" s="1"/>
  <c r="CP932" i="13" s="1" a="1"/>
  <c r="CP932" i="13" s="1"/>
  <c r="CN916" i="13"/>
  <c r="CO916" i="13" s="1"/>
  <c r="CP916" i="13" s="1" a="1"/>
  <c r="CP916" i="13" s="1"/>
  <c r="BV827" i="13" a="1"/>
  <c r="BV827" i="13" s="1"/>
  <c r="CF827" i="13" s="1"/>
  <c r="R827" i="13" s="1"/>
  <c r="CE852" i="13" a="1"/>
  <c r="CE852" i="13" s="1"/>
  <c r="CD852" i="13" a="1"/>
  <c r="CD852" i="13" s="1"/>
  <c r="CT900" i="13" a="1"/>
  <c r="CT900" i="13" s="1"/>
  <c r="CP885" i="13" a="1"/>
  <c r="CP885" i="13" s="1"/>
  <c r="CZ885" i="13" s="1"/>
  <c r="Z885" i="13" s="1"/>
  <c r="BT849" i="13"/>
  <c r="BU849" i="13" s="1"/>
  <c r="BV849" i="13" s="1" a="1"/>
  <c r="BV849" i="13" s="1"/>
  <c r="BX1015" i="13"/>
  <c r="BY1015" i="13" s="1"/>
  <c r="CD1015" i="13" s="1" a="1"/>
  <c r="CD1015" i="13" s="1"/>
  <c r="CV928" i="13"/>
  <c r="CW928" i="13" s="1"/>
  <c r="CP1017" i="13" a="1"/>
  <c r="CP1017" i="13" s="1"/>
  <c r="CX1009" i="13" a="1"/>
  <c r="CX1009" i="13" s="1"/>
  <c r="CY1009" i="13" a="1"/>
  <c r="CY1009" i="13" s="1"/>
  <c r="CD1005" i="13" a="1"/>
  <c r="CD1005" i="13" s="1"/>
  <c r="CE1005" i="13" a="1"/>
  <c r="CE1005" i="13" s="1"/>
  <c r="BT998" i="13"/>
  <c r="BU998" i="13" s="1"/>
  <c r="BV998" i="13" s="1" a="1"/>
  <c r="BV998" i="13" s="1"/>
  <c r="CY890" i="13" a="1"/>
  <c r="CY890" i="13" s="1"/>
  <c r="CX890" i="13" a="1"/>
  <c r="CX890" i="13" s="1"/>
  <c r="BX1018" i="13"/>
  <c r="BY1018" i="13" s="1"/>
  <c r="BZ1018" i="13" s="1" a="1"/>
  <c r="BZ1018" i="13" s="1"/>
  <c r="CE911" i="13" a="1"/>
  <c r="CE911" i="13" s="1"/>
  <c r="CD911" i="13" a="1"/>
  <c r="CD911" i="13" s="1"/>
  <c r="BV840" i="13" a="1"/>
  <c r="BV840" i="13" s="1"/>
  <c r="CD936" i="13" a="1"/>
  <c r="CD936" i="13" s="1"/>
  <c r="CE936" i="13" a="1"/>
  <c r="CE936" i="13" s="1"/>
  <c r="BX897" i="13"/>
  <c r="BY897" i="13" s="1"/>
  <c r="CD897" i="13" s="1" a="1"/>
  <c r="CD897" i="13" s="1"/>
  <c r="CB912" i="13"/>
  <c r="CC912" i="13" s="1"/>
  <c r="CT862" i="13" a="1"/>
  <c r="CT862" i="13" s="1"/>
  <c r="BP808" i="13"/>
  <c r="BQ808" i="13" s="1"/>
  <c r="BR808" i="13" s="1" a="1"/>
  <c r="BR808" i="13" s="1"/>
  <c r="CB826" i="13"/>
  <c r="CC826" i="13" s="1"/>
  <c r="CE813" i="13" a="1"/>
  <c r="CE813" i="13" s="1"/>
  <c r="CD813" i="13" a="1"/>
  <c r="CD813" i="13" s="1"/>
  <c r="BX869" i="13"/>
  <c r="BY869" i="13" s="1"/>
  <c r="BT995" i="13"/>
  <c r="BU995" i="13" s="1"/>
  <c r="BV995" i="13" s="1" a="1"/>
  <c r="BV995" i="13" s="1"/>
  <c r="BZ979" i="13" a="1"/>
  <c r="BZ979" i="13" s="1"/>
  <c r="CF979" i="13" s="1"/>
  <c r="R979" i="13" s="1"/>
  <c r="CP834" i="13" a="1"/>
  <c r="CP834" i="13" s="1"/>
  <c r="CY771" i="13" a="1"/>
  <c r="CY771" i="13" s="1"/>
  <c r="CX771" i="13" a="1"/>
  <c r="CX771" i="13" s="1"/>
  <c r="CV778" i="13"/>
  <c r="CW778" i="13" s="1"/>
  <c r="CV774" i="13"/>
  <c r="CW774" i="13" s="1"/>
  <c r="CJ766" i="13"/>
  <c r="CK766" i="13" s="1"/>
  <c r="CL766" i="13" s="1" a="1"/>
  <c r="CL766" i="13" s="1"/>
  <c r="CN762" i="13"/>
  <c r="CO762" i="13" s="1"/>
  <c r="CP762" i="13" s="1" a="1"/>
  <c r="CP762" i="13" s="1"/>
  <c r="CD750" i="13" a="1"/>
  <c r="CD750" i="13" s="1"/>
  <c r="CF750" i="13" s="1"/>
  <c r="R750" i="13" s="1"/>
  <c r="BZ636" i="13" a="1"/>
  <c r="BZ636" i="13" s="1"/>
  <c r="BV424" i="13" a="1"/>
  <c r="BV424" i="13" s="1"/>
  <c r="BR424" i="13" a="1"/>
  <c r="BR424" i="13" s="1"/>
  <c r="CJ1003" i="13"/>
  <c r="CK1003" i="13" s="1"/>
  <c r="CL1003" i="13" s="1" a="1"/>
  <c r="CL1003" i="13" s="1"/>
  <c r="CT882" i="13" a="1"/>
  <c r="CT882" i="13" s="1"/>
  <c r="CJ843" i="13"/>
  <c r="CK843" i="13" s="1"/>
  <c r="CL843" i="13" s="1" a="1"/>
  <c r="CL843" i="13" s="1"/>
  <c r="CB780" i="13"/>
  <c r="CC780" i="13" s="1"/>
  <c r="CE739" i="13" a="1"/>
  <c r="CE739" i="13" s="1"/>
  <c r="CD739" i="13" a="1"/>
  <c r="CD739" i="13" s="1"/>
  <c r="CD723" i="13" a="1"/>
  <c r="CD723" i="13" s="1"/>
  <c r="CE723" i="13" a="1"/>
  <c r="CE723" i="13" s="1"/>
  <c r="CE708" i="13" a="1"/>
  <c r="CE708" i="13" s="1"/>
  <c r="CF708" i="13" s="1"/>
  <c r="R708" i="13" s="1"/>
  <c r="CD708" i="13" a="1"/>
  <c r="CD708" i="13" s="1"/>
  <c r="CE601" i="13" a="1"/>
  <c r="CE601" i="13" s="1"/>
  <c r="CD601" i="13" a="1"/>
  <c r="CD601" i="13" s="1"/>
  <c r="CE562" i="13" a="1"/>
  <c r="CE562" i="13" s="1"/>
  <c r="CD562" i="13" a="1"/>
  <c r="CD562" i="13" s="1"/>
  <c r="CX534" i="13" a="1"/>
  <c r="CX534" i="13" s="1"/>
  <c r="CY534" i="13" a="1"/>
  <c r="CY534" i="13" s="1"/>
  <c r="CY495" i="13" a="1"/>
  <c r="CY495" i="13" s="1"/>
  <c r="CJ1013" i="13"/>
  <c r="CK1013" i="13" s="1"/>
  <c r="CL1013" i="13" s="1" a="1"/>
  <c r="CL1013" i="13" s="1"/>
  <c r="CN990" i="13"/>
  <c r="CO990" i="13" s="1"/>
  <c r="CJ837" i="13"/>
  <c r="CK837" i="13" s="1"/>
  <c r="CL837" i="13" s="1" a="1"/>
  <c r="CL837" i="13" s="1"/>
  <c r="CY785" i="13" a="1"/>
  <c r="CY785" i="13" s="1"/>
  <c r="CX785" i="13" a="1"/>
  <c r="CX785" i="13" s="1"/>
  <c r="CJ749" i="13"/>
  <c r="CK749" i="13" s="1"/>
  <c r="CL749" i="13" s="1" a="1"/>
  <c r="CL749" i="13" s="1"/>
  <c r="CB798" i="13"/>
  <c r="CC798" i="13" s="1"/>
  <c r="CD775" i="13" a="1"/>
  <c r="CD775" i="13" s="1"/>
  <c r="CE775" i="13" a="1"/>
  <c r="CE775" i="13" s="1"/>
  <c r="CD726" i="13" a="1"/>
  <c r="CD726" i="13" s="1"/>
  <c r="CE726" i="13" a="1"/>
  <c r="CE726" i="13" s="1"/>
  <c r="CR571" i="13"/>
  <c r="CS571" i="13" s="1"/>
  <c r="CT571" i="13" s="1" a="1"/>
  <c r="CT571" i="13" s="1"/>
  <c r="BT557" i="13"/>
  <c r="BU557" i="13" s="1"/>
  <c r="CD534" i="13" a="1"/>
  <c r="CD534" i="13" s="1"/>
  <c r="CE534" i="13" a="1"/>
  <c r="CE534" i="13" s="1"/>
  <c r="CD508" i="13" a="1"/>
  <c r="CD508" i="13" s="1"/>
  <c r="CE508" i="13" a="1"/>
  <c r="CE508" i="13" s="1"/>
  <c r="CJ519" i="13"/>
  <c r="CK519" i="13" s="1"/>
  <c r="CL519" i="13" s="1" a="1"/>
  <c r="CL519" i="13" s="1"/>
  <c r="CN489" i="13"/>
  <c r="CO489" i="13" s="1"/>
  <c r="CN1007" i="13"/>
  <c r="CO1007" i="13" s="1"/>
  <c r="CD957" i="13" a="1"/>
  <c r="CD957" i="13" s="1"/>
  <c r="CN855" i="13"/>
  <c r="CO855" i="13" s="1"/>
  <c r="CB804" i="13"/>
  <c r="CC804" i="13" s="1"/>
  <c r="CN636" i="13"/>
  <c r="CO636" i="13" s="1"/>
  <c r="BX657" i="13"/>
  <c r="BY657" i="13" s="1"/>
  <c r="BZ657" i="13" s="1" a="1"/>
  <c r="BZ657" i="13" s="1"/>
  <c r="BV670" i="13" a="1"/>
  <c r="BV670" i="13" s="1"/>
  <c r="CF629" i="13"/>
  <c r="R629" i="13" s="1"/>
  <c r="CT644" i="13" a="1"/>
  <c r="CT644" i="13" s="1"/>
  <c r="CB650" i="13"/>
  <c r="CC650" i="13" s="1"/>
  <c r="CB627" i="13"/>
  <c r="CC627" i="13" s="1"/>
  <c r="CD570" i="13" a="1"/>
  <c r="CD570" i="13" s="1"/>
  <c r="CE570" i="13" a="1"/>
  <c r="CE570" i="13" s="1"/>
  <c r="CY526" i="13" a="1"/>
  <c r="CY526" i="13" s="1"/>
  <c r="CX526" i="13" a="1"/>
  <c r="CX526" i="13" s="1"/>
  <c r="BX455" i="13"/>
  <c r="BY455" i="13" s="1"/>
  <c r="BZ493" i="13" a="1"/>
  <c r="BZ493" i="13" s="1"/>
  <c r="CF493" i="13" s="1"/>
  <c r="R493" i="13" s="1"/>
  <c r="AF493" i="13" s="1"/>
  <c r="BZ984" i="13" a="1"/>
  <c r="BZ984" i="13" s="1"/>
  <c r="CX935" i="13" a="1"/>
  <c r="CX935" i="13" s="1"/>
  <c r="BV874" i="13" a="1"/>
  <c r="BV874" i="13" s="1"/>
  <c r="CT827" i="13" a="1"/>
  <c r="CT827" i="13" s="1"/>
  <c r="CZ827" i="13" s="1"/>
  <c r="Z827" i="13" s="1"/>
  <c r="CV741" i="13"/>
  <c r="CW741" i="13" s="1"/>
  <c r="CD719" i="13" a="1"/>
  <c r="CD719" i="13" s="1"/>
  <c r="CE719" i="13" a="1"/>
  <c r="CE719" i="13" s="1"/>
  <c r="BT782" i="13"/>
  <c r="BU782" i="13" s="1"/>
  <c r="BP756" i="13"/>
  <c r="BQ756" i="13" s="1"/>
  <c r="BR756" i="13" s="1" a="1"/>
  <c r="BR756" i="13" s="1"/>
  <c r="CE688" i="13" a="1"/>
  <c r="CE688" i="13" s="1"/>
  <c r="CD688" i="13" a="1"/>
  <c r="CD688" i="13" s="1"/>
  <c r="CF688" i="13" s="1"/>
  <c r="R688" i="13" s="1"/>
  <c r="BT665" i="13"/>
  <c r="BU665" i="13" s="1"/>
  <c r="BV665" i="13" s="1" a="1"/>
  <c r="BV665" i="13" s="1"/>
  <c r="CE593" i="13" a="1"/>
  <c r="CE593" i="13" s="1"/>
  <c r="CD593" i="13" a="1"/>
  <c r="CD593" i="13" s="1"/>
  <c r="CD554" i="13" a="1"/>
  <c r="CD554" i="13" s="1"/>
  <c r="CE554" i="13" a="1"/>
  <c r="CE554" i="13" s="1"/>
  <c r="CJ563" i="13"/>
  <c r="CK563" i="13" s="1"/>
  <c r="CL563" i="13" s="1" a="1"/>
  <c r="CL563" i="13" s="1"/>
  <c r="BP563" i="13"/>
  <c r="BQ563" i="13" s="1"/>
  <c r="BR563" i="13" s="1" a="1"/>
  <c r="BR563" i="13" s="1"/>
  <c r="CR477" i="13"/>
  <c r="CS477" i="13" s="1"/>
  <c r="CT477" i="13" s="1" a="1"/>
  <c r="CT477" i="13" s="1"/>
  <c r="CE481" i="13" a="1"/>
  <c r="CE481" i="13" s="1"/>
  <c r="BV983" i="13" a="1"/>
  <c r="BV983" i="13" s="1"/>
  <c r="BV815" i="13" a="1"/>
  <c r="BV815" i="13" s="1"/>
  <c r="CY712" i="13" a="1"/>
  <c r="CY712" i="13" s="1"/>
  <c r="CX712" i="13" a="1"/>
  <c r="CX712" i="13" s="1"/>
  <c r="CJ668" i="13"/>
  <c r="CK668" i="13" s="1"/>
  <c r="CL668" i="13" s="1" a="1"/>
  <c r="CL668" i="13" s="1"/>
  <c r="CV668" i="13"/>
  <c r="CW668" i="13" s="1"/>
  <c r="BX668" i="13"/>
  <c r="BY668" i="13" s="1"/>
  <c r="BZ668" i="13" s="1" a="1"/>
  <c r="BZ668" i="13" s="1"/>
  <c r="BP668" i="13"/>
  <c r="BQ668" i="13" s="1"/>
  <c r="BR668" i="13" s="1" a="1"/>
  <c r="BR668" i="13" s="1"/>
  <c r="CN668" i="13"/>
  <c r="CO668" i="13" s="1"/>
  <c r="CB668" i="13"/>
  <c r="CC668" i="13" s="1"/>
  <c r="BT673" i="13"/>
  <c r="BU673" i="13" s="1"/>
  <c r="BV673" i="13" s="1" a="1"/>
  <c r="BV673" i="13" s="1"/>
  <c r="CN634" i="13"/>
  <c r="CO634" i="13" s="1"/>
  <c r="CT634" i="13" s="1" a="1"/>
  <c r="CT634" i="13" s="1"/>
  <c r="CY587" i="13" a="1"/>
  <c r="CY587" i="13" s="1"/>
  <c r="CX587" i="13" a="1"/>
  <c r="CX587" i="13" s="1"/>
  <c r="BP571" i="13"/>
  <c r="BQ571" i="13" s="1"/>
  <c r="BR571" i="13" s="1" a="1"/>
  <c r="BR571" i="13" s="1"/>
  <c r="BT578" i="13"/>
  <c r="BU578" i="13" s="1"/>
  <c r="BT545" i="13"/>
  <c r="BU545" i="13" s="1"/>
  <c r="CB590" i="13"/>
  <c r="CC590" i="13" s="1"/>
  <c r="CD512" i="13" a="1"/>
  <c r="CD512" i="13" s="1"/>
  <c r="CE512" i="13" a="1"/>
  <c r="CE512" i="13" s="1"/>
  <c r="CD527" i="13" a="1"/>
  <c r="CD527" i="13" s="1"/>
  <c r="CE527" i="13" a="1"/>
  <c r="CE527" i="13" s="1"/>
  <c r="BT487" i="13"/>
  <c r="BU487" i="13" s="1"/>
  <c r="BV487" i="13" s="1" a="1"/>
  <c r="BV487" i="13" s="1"/>
  <c r="CN468" i="13"/>
  <c r="CO468" i="13" s="1"/>
  <c r="CP468" i="13" s="1" a="1"/>
  <c r="CP468" i="13" s="1"/>
  <c r="CP499" i="13" a="1"/>
  <c r="CP499" i="13" s="1"/>
  <c r="CN470" i="13"/>
  <c r="CO470" i="13" s="1"/>
  <c r="CP470" i="13" s="1" a="1"/>
  <c r="CP470" i="13" s="1"/>
  <c r="CP975" i="13" a="1"/>
  <c r="CP975" i="13" s="1"/>
  <c r="BV933" i="13" a="1"/>
  <c r="BV933" i="13" s="1"/>
  <c r="CF933" i="13" s="1"/>
  <c r="R933" i="13" s="1"/>
  <c r="CD793" i="13" a="1"/>
  <c r="CD793" i="13" s="1"/>
  <c r="CE793" i="13" a="1"/>
  <c r="CE793" i="13" s="1"/>
  <c r="CD776" i="13" a="1"/>
  <c r="CD776" i="13" s="1"/>
  <c r="CE776" i="13" a="1"/>
  <c r="CE776" i="13" s="1"/>
  <c r="CB818" i="13"/>
  <c r="CC818" i="13" s="1"/>
  <c r="CB790" i="13"/>
  <c r="CC790" i="13" s="1"/>
  <c r="CD767" i="13" a="1"/>
  <c r="CD767" i="13" s="1"/>
  <c r="CE767" i="13" a="1"/>
  <c r="CE767" i="13" s="1"/>
  <c r="CV786" i="13"/>
  <c r="CW786" i="13" s="1"/>
  <c r="CJ780" i="13"/>
  <c r="CK780" i="13" s="1"/>
  <c r="CL780" i="13" s="1" a="1"/>
  <c r="CL780" i="13" s="1"/>
  <c r="BP754" i="13"/>
  <c r="BQ754" i="13" s="1"/>
  <c r="BR754" i="13" s="1" a="1"/>
  <c r="BR754" i="13" s="1"/>
  <c r="BX643" i="13"/>
  <c r="BY643" i="13" s="1"/>
  <c r="BP651" i="13"/>
  <c r="BQ651" i="13" s="1"/>
  <c r="BR651" i="13" s="1" a="1"/>
  <c r="BR651" i="13" s="1"/>
  <c r="BP606" i="13"/>
  <c r="BQ606" i="13" s="1"/>
  <c r="BR606" i="13" s="1" a="1"/>
  <c r="BR606" i="13" s="1"/>
  <c r="BV579" i="13" a="1"/>
  <c r="BV579" i="13" s="1"/>
  <c r="CT589" i="13" a="1"/>
  <c r="CT589" i="13" s="1"/>
  <c r="CB625" i="13"/>
  <c r="CC625" i="13" s="1"/>
  <c r="CP583" i="13" a="1"/>
  <c r="CP583" i="13" s="1"/>
  <c r="CP532" i="13" a="1"/>
  <c r="CP532" i="13" s="1"/>
  <c r="CX568" i="13" a="1"/>
  <c r="CX568" i="13" s="1"/>
  <c r="CY568" i="13" a="1"/>
  <c r="CY568" i="13" s="1"/>
  <c r="BV492" i="13" a="1"/>
  <c r="BV492" i="13" s="1"/>
  <c r="CB535" i="13"/>
  <c r="CC535" i="13" s="1"/>
  <c r="BZ498" i="13" a="1"/>
  <c r="BZ498" i="13" s="1"/>
  <c r="BX465" i="13"/>
  <c r="BY465" i="13" s="1"/>
  <c r="BZ465" i="13" s="1" a="1"/>
  <c r="BZ465" i="13" s="1"/>
  <c r="CT521" i="13" a="1"/>
  <c r="CT521" i="13" s="1"/>
  <c r="CY474" i="13" a="1"/>
  <c r="CY474" i="13" s="1"/>
  <c r="CX474" i="13" a="1"/>
  <c r="CX474" i="13" s="1"/>
  <c r="BV872" i="13" a="1"/>
  <c r="BV872" i="13" s="1"/>
  <c r="CF872" i="13" s="1"/>
  <c r="R872" i="13" s="1"/>
  <c r="BZ819" i="13" a="1"/>
  <c r="BZ819" i="13" s="1"/>
  <c r="CV802" i="13"/>
  <c r="CW802" i="13" s="1"/>
  <c r="CB674" i="13"/>
  <c r="CC674" i="13" s="1"/>
  <c r="CD742" i="13" a="1"/>
  <c r="CD742" i="13" s="1"/>
  <c r="CE742" i="13" a="1"/>
  <c r="CE742" i="13" s="1"/>
  <c r="CN594" i="13"/>
  <c r="CO594" i="13" s="1"/>
  <c r="CP594" i="13" s="1" a="1"/>
  <c r="CP594" i="13" s="1"/>
  <c r="CJ682" i="13"/>
  <c r="CK682" i="13" s="1"/>
  <c r="CL682" i="13" s="1" a="1"/>
  <c r="CL682" i="13" s="1"/>
  <c r="CJ636" i="13"/>
  <c r="CK636" i="13" s="1"/>
  <c r="CL636" i="13" s="1" a="1"/>
  <c r="CL636" i="13" s="1"/>
  <c r="CJ645" i="13"/>
  <c r="CK645" i="13" s="1"/>
  <c r="CL645" i="13" s="1" a="1"/>
  <c r="CL645" i="13" s="1"/>
  <c r="CV649" i="13"/>
  <c r="CW649" i="13" s="1"/>
  <c r="CY662" i="13" a="1"/>
  <c r="CY662" i="13" s="1"/>
  <c r="CX662" i="13" a="1"/>
  <c r="CX662" i="13" s="1"/>
  <c r="BZ672" i="13" a="1"/>
  <c r="BZ672" i="13" s="1"/>
  <c r="CF672" i="13" s="1"/>
  <c r="R672" i="13" s="1"/>
  <c r="CR650" i="13"/>
  <c r="CS650" i="13" s="1"/>
  <c r="CT650" i="13" s="1" a="1"/>
  <c r="CT650" i="13" s="1"/>
  <c r="CT642" i="13" a="1"/>
  <c r="CT642" i="13" s="1"/>
  <c r="CZ642" i="13" s="1"/>
  <c r="Z642" i="13" s="1"/>
  <c r="CP611" i="13" a="1"/>
  <c r="CP611" i="13" s="1"/>
  <c r="CT585" i="13" a="1"/>
  <c r="CT585" i="13" s="1"/>
  <c r="CB619" i="13"/>
  <c r="CC619" i="13" s="1"/>
  <c r="CN545" i="13"/>
  <c r="CO545" i="13" s="1"/>
  <c r="CR590" i="13"/>
  <c r="CS590" i="13" s="1"/>
  <c r="BV530" i="13" a="1"/>
  <c r="BV530" i="13" s="1"/>
  <c r="CB578" i="13"/>
  <c r="CC578" i="13" s="1"/>
  <c r="CJ525" i="13"/>
  <c r="CK525" i="13" s="1"/>
  <c r="CL525" i="13" s="1" a="1"/>
  <c r="CL525" i="13" s="1"/>
  <c r="CJ517" i="13"/>
  <c r="CK517" i="13" s="1"/>
  <c r="CL517" i="13" s="1" a="1"/>
  <c r="CL517" i="13" s="1"/>
  <c r="CD496" i="13" a="1"/>
  <c r="CD496" i="13" s="1"/>
  <c r="CE496" i="13" a="1"/>
  <c r="CE496" i="13" s="1"/>
  <c r="CZ500" i="13"/>
  <c r="Z500" i="13" s="1"/>
  <c r="BT446" i="13"/>
  <c r="BU446" i="13" s="1"/>
  <c r="BV446" i="13" s="1" a="1"/>
  <c r="BV446" i="13" s="1"/>
  <c r="CY490" i="13" a="1"/>
  <c r="CY490" i="13" s="1"/>
  <c r="CX490" i="13" a="1"/>
  <c r="CX490" i="13" s="1"/>
  <c r="BX671" i="13"/>
  <c r="BY671" i="13" s="1"/>
  <c r="BZ671" i="13" s="1" a="1"/>
  <c r="BZ671" i="13" s="1"/>
  <c r="BX631" i="13"/>
  <c r="BY631" i="13" s="1"/>
  <c r="BZ631" i="13" s="1" a="1"/>
  <c r="BZ631" i="13" s="1"/>
  <c r="BZ608" i="13" a="1"/>
  <c r="BZ608" i="13" s="1"/>
  <c r="CP570" i="13" a="1"/>
  <c r="CP570" i="13" s="1"/>
  <c r="CV464" i="13"/>
  <c r="CW464" i="13" s="1"/>
  <c r="CE436" i="13" a="1"/>
  <c r="CE436" i="13" s="1"/>
  <c r="CD436" i="13" a="1"/>
  <c r="CD436" i="13" s="1"/>
  <c r="CX345" i="13" a="1"/>
  <c r="CX345" i="13" s="1"/>
  <c r="CY345" i="13" a="1"/>
  <c r="CY345" i="13" s="1"/>
  <c r="CD238" i="13" a="1"/>
  <c r="CD238" i="13" s="1"/>
  <c r="CE238" i="13" a="1"/>
  <c r="CE238" i="13" s="1"/>
  <c r="CY210" i="13" a="1"/>
  <c r="CY210" i="13" s="1"/>
  <c r="CX210" i="13" a="1"/>
  <c r="CX210" i="13" s="1"/>
  <c r="CX196" i="13" a="1"/>
  <c r="CX196" i="13" s="1"/>
  <c r="CY196" i="13" a="1"/>
  <c r="CY196" i="13" s="1"/>
  <c r="CR180" i="13"/>
  <c r="CS180" i="13" s="1"/>
  <c r="CN180" i="13"/>
  <c r="CO180" i="13" s="1"/>
  <c r="BV693" i="13" a="1"/>
  <c r="BV693" i="13" s="1"/>
  <c r="CV598" i="13"/>
  <c r="CW598" i="13" s="1"/>
  <c r="CV511" i="13"/>
  <c r="CW511" i="13" s="1"/>
  <c r="CF331" i="13"/>
  <c r="R331" i="13" s="1"/>
  <c r="CY240" i="13" a="1"/>
  <c r="CY240" i="13" s="1"/>
  <c r="CX240" i="13" a="1"/>
  <c r="CX240" i="13" s="1"/>
  <c r="CP253" i="13" a="1"/>
  <c r="CP253" i="13" s="1"/>
  <c r="CD219" i="13" a="1"/>
  <c r="CD219" i="13" s="1"/>
  <c r="CE219" i="13" a="1"/>
  <c r="CE219" i="13" s="1"/>
  <c r="CV652" i="13"/>
  <c r="CW652" i="13" s="1"/>
  <c r="BV691" i="13" a="1"/>
  <c r="BV691" i="13" s="1"/>
  <c r="CF691" i="13" s="1"/>
  <c r="R691" i="13" s="1"/>
  <c r="AF691" i="13" s="1"/>
  <c r="CX516" i="13" a="1"/>
  <c r="CX516" i="13" s="1"/>
  <c r="CN533" i="13"/>
  <c r="CO533" i="13" s="1"/>
  <c r="CB470" i="13"/>
  <c r="CC470" i="13" s="1"/>
  <c r="CD358" i="13" a="1"/>
  <c r="CD358" i="13" s="1"/>
  <c r="CE358" i="13" a="1"/>
  <c r="CE358" i="13" s="1"/>
  <c r="CY362" i="13" a="1"/>
  <c r="CY362" i="13" s="1"/>
  <c r="CX362" i="13" a="1"/>
  <c r="CX362" i="13" s="1"/>
  <c r="CY290" i="13" a="1"/>
  <c r="CY290" i="13" s="1"/>
  <c r="CX290" i="13" a="1"/>
  <c r="CX290" i="13" s="1"/>
  <c r="BT311" i="13"/>
  <c r="BU311" i="13" s="1"/>
  <c r="BX311" i="13"/>
  <c r="BY311" i="13" s="1"/>
  <c r="BZ311" i="13" s="1" a="1"/>
  <c r="BZ311" i="13" s="1"/>
  <c r="BP311" i="13"/>
  <c r="BQ311" i="13" s="1"/>
  <c r="BR311" i="13" s="1" a="1"/>
  <c r="BR311" i="13" s="1"/>
  <c r="BX303" i="13"/>
  <c r="BY303" i="13" s="1"/>
  <c r="BP303" i="13"/>
  <c r="BQ303" i="13" s="1"/>
  <c r="BR303" i="13" s="1" a="1"/>
  <c r="BR303" i="13" s="1"/>
  <c r="BT303" i="13"/>
  <c r="BU303" i="13" s="1"/>
  <c r="BV737" i="13" a="1"/>
  <c r="BV737" i="13" s="1"/>
  <c r="BP645" i="13"/>
  <c r="BQ645" i="13" s="1"/>
  <c r="BR645" i="13" s="1" a="1"/>
  <c r="BR645" i="13" s="1"/>
  <c r="BP628" i="13"/>
  <c r="BQ628" i="13" s="1"/>
  <c r="BR628" i="13" s="1" a="1"/>
  <c r="BR628" i="13" s="1"/>
  <c r="BX598" i="13"/>
  <c r="BY598" i="13" s="1"/>
  <c r="BZ598" i="13" s="1" a="1"/>
  <c r="BZ598" i="13" s="1"/>
  <c r="CJ453" i="13"/>
  <c r="CK453" i="13" s="1"/>
  <c r="CL453" i="13" s="1" a="1"/>
  <c r="CL453" i="13" s="1"/>
  <c r="CX416" i="13" a="1"/>
  <c r="CX416" i="13" s="1"/>
  <c r="CY416" i="13" a="1"/>
  <c r="CY416" i="13" s="1"/>
  <c r="BV411" i="13" a="1"/>
  <c r="BV411" i="13" s="1"/>
  <c r="CY400" i="13" a="1"/>
  <c r="CY400" i="13" s="1"/>
  <c r="CX400" i="13" a="1"/>
  <c r="CX400" i="13" s="1"/>
  <c r="CE364" i="13" a="1"/>
  <c r="CE364" i="13" s="1"/>
  <c r="CD364" i="13" a="1"/>
  <c r="CD364" i="13" s="1"/>
  <c r="CF364" i="13" s="1"/>
  <c r="R364" i="13" s="1"/>
  <c r="CD370" i="13" a="1"/>
  <c r="CD370" i="13" s="1"/>
  <c r="CE370" i="13" a="1"/>
  <c r="CE370" i="13" s="1"/>
  <c r="CX356" i="13" a="1"/>
  <c r="CX356" i="13" s="1"/>
  <c r="CY356" i="13" a="1"/>
  <c r="CY356" i="13" s="1"/>
  <c r="CV334" i="13"/>
  <c r="CW334" i="13" s="1"/>
  <c r="CD257" i="13" a="1"/>
  <c r="CD257" i="13" s="1"/>
  <c r="CE257" i="13" a="1"/>
  <c r="CE257" i="13" s="1"/>
  <c r="CN250" i="13"/>
  <c r="CO250" i="13" s="1"/>
  <c r="CP250" i="13" s="1" a="1"/>
  <c r="CP250" i="13" s="1"/>
  <c r="CZ692" i="13"/>
  <c r="Z692" i="13" s="1"/>
  <c r="AF692" i="13" s="1"/>
  <c r="CR450" i="13"/>
  <c r="CS450" i="13" s="1"/>
  <c r="CT450" i="13" s="1" a="1"/>
  <c r="CT450" i="13" s="1"/>
  <c r="CB432" i="13"/>
  <c r="CC432" i="13" s="1"/>
  <c r="BZ405" i="13" a="1"/>
  <c r="BZ405" i="13" s="1"/>
  <c r="CT391" i="13" a="1"/>
  <c r="CT391" i="13" s="1"/>
  <c r="CZ391" i="13" s="1"/>
  <c r="Z391" i="13" s="1"/>
  <c r="BT361" i="13"/>
  <c r="BU361" i="13" s="1"/>
  <c r="CD366" i="13" a="1"/>
  <c r="CD366" i="13" s="1"/>
  <c r="CE366" i="13" a="1"/>
  <c r="CE366" i="13" s="1"/>
  <c r="CX281" i="13" a="1"/>
  <c r="CX281" i="13" s="1"/>
  <c r="CY281" i="13" a="1"/>
  <c r="CY281" i="13" s="1"/>
  <c r="CV250" i="13"/>
  <c r="CW250" i="13" s="1"/>
  <c r="CJ250" i="13"/>
  <c r="CK250" i="13" s="1"/>
  <c r="CL250" i="13" s="1" a="1"/>
  <c r="CL250" i="13" s="1"/>
  <c r="CE218" i="13" a="1"/>
  <c r="CE218" i="13" s="1"/>
  <c r="CD218" i="13" a="1"/>
  <c r="CD218" i="13" s="1"/>
  <c r="CX589" i="13" a="1"/>
  <c r="CX589" i="13" s="1"/>
  <c r="BZ603" i="13" a="1"/>
  <c r="BZ603" i="13" s="1"/>
  <c r="CJ445" i="13"/>
  <c r="CK445" i="13" s="1"/>
  <c r="CL445" i="13" s="1" a="1"/>
  <c r="CL445" i="13" s="1"/>
  <c r="CV497" i="13"/>
  <c r="CW497" i="13" s="1"/>
  <c r="CB463" i="13"/>
  <c r="CC463" i="13" s="1"/>
  <c r="BX444" i="13"/>
  <c r="BY444" i="13" s="1"/>
  <c r="CV411" i="13"/>
  <c r="CW411" i="13" s="1"/>
  <c r="BT440" i="13"/>
  <c r="BU440" i="13" s="1"/>
  <c r="BV440" i="13" s="1" a="1"/>
  <c r="BV440" i="13" s="1"/>
  <c r="CJ437" i="13"/>
  <c r="CK437" i="13" s="1"/>
  <c r="CL437" i="13" s="1" a="1"/>
  <c r="CL437" i="13" s="1"/>
  <c r="CY283" i="13" a="1"/>
  <c r="CY283" i="13" s="1"/>
  <c r="CX283" i="13" a="1"/>
  <c r="CX283" i="13" s="1"/>
  <c r="CN297" i="13"/>
  <c r="CO297" i="13" s="1"/>
  <c r="CP297" i="13" s="1" a="1"/>
  <c r="CP297" i="13" s="1"/>
  <c r="CD271" i="13" a="1"/>
  <c r="CD271" i="13" s="1"/>
  <c r="CE271" i="13" a="1"/>
  <c r="CE271" i="13" s="1"/>
  <c r="CD266" i="13" a="1"/>
  <c r="CD266" i="13" s="1"/>
  <c r="CE266" i="13" a="1"/>
  <c r="CE266" i="13" s="1"/>
  <c r="CX230" i="13" a="1"/>
  <c r="CX230" i="13" s="1"/>
  <c r="CY230" i="13" a="1"/>
  <c r="CY230" i="13" s="1"/>
  <c r="BT250" i="13"/>
  <c r="BU250" i="13" s="1"/>
  <c r="BV250" i="13" s="1" a="1"/>
  <c r="BV250" i="13" s="1"/>
  <c r="CT202" i="13" a="1"/>
  <c r="CT202" i="13" s="1"/>
  <c r="CE187" i="13" a="1"/>
  <c r="CE187" i="13" s="1"/>
  <c r="CD187" i="13" a="1"/>
  <c r="CD187" i="13" s="1"/>
  <c r="CE158" i="13" a="1"/>
  <c r="CE158" i="13" s="1"/>
  <c r="CD158" i="13" a="1"/>
  <c r="CD158" i="13" s="1"/>
  <c r="CJ629" i="13"/>
  <c r="CK629" i="13" s="1"/>
  <c r="CL629" i="13" s="1" a="1"/>
  <c r="CL629" i="13" s="1"/>
  <c r="BP576" i="13"/>
  <c r="BQ576" i="13" s="1"/>
  <c r="BR576" i="13" s="1" a="1"/>
  <c r="BR576" i="13" s="1"/>
  <c r="BP447" i="13"/>
  <c r="BQ447" i="13" s="1"/>
  <c r="BR447" i="13" s="1" a="1"/>
  <c r="BR447" i="13" s="1"/>
  <c r="CV429" i="13"/>
  <c r="CW429" i="13" s="1"/>
  <c r="CL425" i="13" a="1"/>
  <c r="CL425" i="13" s="1"/>
  <c r="CZ425" i="13" s="1"/>
  <c r="Z425" i="13" s="1"/>
  <c r="CY415" i="13" a="1"/>
  <c r="CY415" i="13" s="1"/>
  <c r="CX415" i="13" a="1"/>
  <c r="CX415" i="13" s="1"/>
  <c r="CP384" i="13" a="1"/>
  <c r="CP384" i="13" s="1"/>
  <c r="CB367" i="13"/>
  <c r="CC367" i="13" s="1"/>
  <c r="CN346" i="13"/>
  <c r="CO346" i="13" s="1"/>
  <c r="CT346" i="13" s="1" a="1"/>
  <c r="CT346" i="13" s="1"/>
  <c r="CB346" i="13"/>
  <c r="CC346" i="13" s="1"/>
  <c r="BP346" i="13"/>
  <c r="BQ346" i="13" s="1"/>
  <c r="BR346" i="13" s="1" a="1"/>
  <c r="BR346" i="13" s="1"/>
  <c r="CJ346" i="13"/>
  <c r="CK346" i="13" s="1"/>
  <c r="CL346" i="13" s="1" a="1"/>
  <c r="CL346" i="13" s="1"/>
  <c r="BX346" i="13"/>
  <c r="BY346" i="13" s="1"/>
  <c r="BT346" i="13"/>
  <c r="BU346" i="13" s="1"/>
  <c r="BV346" i="13" s="1" a="1"/>
  <c r="BV346" i="13" s="1"/>
  <c r="BX261" i="13"/>
  <c r="BY261" i="13" s="1"/>
  <c r="BZ261" i="13" s="1" a="1"/>
  <c r="BZ261" i="13" s="1"/>
  <c r="BX225" i="13"/>
  <c r="BY225" i="13" s="1"/>
  <c r="BZ225" i="13" s="1" a="1"/>
  <c r="BZ225" i="13" s="1"/>
  <c r="CJ194" i="13"/>
  <c r="CK194" i="13" s="1"/>
  <c r="CL194" i="13" s="1" a="1"/>
  <c r="CL194" i="13" s="1"/>
  <c r="CT201" i="13" a="1"/>
  <c r="CT201" i="13" s="1"/>
  <c r="BV190" i="13" a="1"/>
  <c r="BV190" i="13" s="1"/>
  <c r="CB745" i="13"/>
  <c r="CC745" i="13" s="1"/>
  <c r="BP657" i="13"/>
  <c r="BQ657" i="13" s="1"/>
  <c r="BR657" i="13" s="1" a="1"/>
  <c r="BR657" i="13" s="1"/>
  <c r="CJ634" i="13"/>
  <c r="CK634" i="13" s="1"/>
  <c r="CL634" i="13" s="1" a="1"/>
  <c r="CL634" i="13" s="1"/>
  <c r="CX603" i="13" a="1"/>
  <c r="CX603" i="13" s="1"/>
  <c r="BX505" i="13"/>
  <c r="BY505" i="13" s="1"/>
  <c r="BZ505" i="13" s="1" a="1"/>
  <c r="BZ505" i="13" s="1"/>
  <c r="CV503" i="13"/>
  <c r="CW503" i="13" s="1"/>
  <c r="CP414" i="13" a="1"/>
  <c r="CP414" i="13" s="1"/>
  <c r="BZ381" i="13" a="1"/>
  <c r="BZ381" i="13" s="1"/>
  <c r="BZ375" i="13" a="1"/>
  <c r="BZ375" i="13" s="1"/>
  <c r="BX355" i="13"/>
  <c r="BY355" i="13" s="1"/>
  <c r="BZ355" i="13" s="1" a="1"/>
  <c r="BZ355" i="13" s="1"/>
  <c r="CV359" i="13"/>
  <c r="CW359" i="13" s="1"/>
  <c r="CZ327" i="13"/>
  <c r="Z327" i="13" s="1"/>
  <c r="CJ324" i="13"/>
  <c r="CK324" i="13" s="1"/>
  <c r="CL324" i="13" s="1" a="1"/>
  <c r="CL324" i="13" s="1"/>
  <c r="BZ304" i="13" a="1"/>
  <c r="BZ304" i="13" s="1"/>
  <c r="CD296" i="13" a="1"/>
  <c r="CD296" i="13" s="1"/>
  <c r="CE296" i="13" a="1"/>
  <c r="CE296" i="13" s="1"/>
  <c r="BX250" i="13"/>
  <c r="BY250" i="13" s="1"/>
  <c r="CP287" i="13" a="1"/>
  <c r="CP287" i="13" s="1"/>
  <c r="CJ227" i="13"/>
  <c r="CK227" i="13" s="1"/>
  <c r="CL227" i="13" s="1" a="1"/>
  <c r="CL227" i="13" s="1"/>
  <c r="CE222" i="13" a="1"/>
  <c r="CE222" i="13" s="1"/>
  <c r="CF222" i="13" s="1"/>
  <c r="R222" i="13" s="1"/>
  <c r="CD222" i="13" a="1"/>
  <c r="CD222" i="13" s="1"/>
  <c r="BZ202" i="13" a="1"/>
  <c r="BZ202" i="13" s="1"/>
  <c r="BT194" i="13"/>
  <c r="BU194" i="13" s="1"/>
  <c r="BV194" i="13" s="1" a="1"/>
  <c r="BV194" i="13" s="1"/>
  <c r="CN192" i="13"/>
  <c r="CO192" i="13" s="1"/>
  <c r="CP192" i="13" s="1" a="1"/>
  <c r="CP192" i="13" s="1"/>
  <c r="CZ184" i="13"/>
  <c r="Z184" i="13" s="1"/>
  <c r="BX159" i="13"/>
  <c r="BY159" i="13" s="1"/>
  <c r="BZ159" i="13" s="1" a="1"/>
  <c r="BZ159" i="13" s="1"/>
  <c r="BZ422" i="13" a="1"/>
  <c r="BZ422" i="13" s="1"/>
  <c r="CF422" i="13" s="1"/>
  <c r="R422" i="13" s="1"/>
  <c r="CD391" i="13" a="1"/>
  <c r="CD391" i="13" s="1"/>
  <c r="CX296" i="13" a="1"/>
  <c r="CX296" i="13" s="1"/>
  <c r="CZ296" i="13" s="1"/>
  <c r="Z296" i="13" s="1"/>
  <c r="CV172" i="13"/>
  <c r="CW172" i="13" s="1"/>
  <c r="CN173" i="13"/>
  <c r="CO173" i="13" s="1"/>
  <c r="CB173" i="13"/>
  <c r="CC173" i="13" s="1"/>
  <c r="BT173" i="13"/>
  <c r="BU173" i="13" s="1"/>
  <c r="BZ173" i="13" s="1" a="1"/>
  <c r="BZ173" i="13" s="1"/>
  <c r="BP173" i="13"/>
  <c r="BQ173" i="13" s="1"/>
  <c r="BR173" i="13" s="1" a="1"/>
  <c r="BR173" i="13" s="1"/>
  <c r="CP329" i="13" a="1"/>
  <c r="CP329" i="13" s="1"/>
  <c r="CZ329" i="13" s="1"/>
  <c r="Z329" i="13" s="1"/>
  <c r="AF329" i="13" s="1"/>
  <c r="CP244" i="13" a="1"/>
  <c r="CP244" i="13" s="1"/>
  <c r="CJ233" i="13"/>
  <c r="CK233" i="13" s="1"/>
  <c r="CL233" i="13" s="1" a="1"/>
  <c r="CL233" i="13" s="1"/>
  <c r="CP213" i="13" a="1"/>
  <c r="CP213" i="13" s="1"/>
  <c r="CJ169" i="13"/>
  <c r="CK169" i="13" s="1"/>
  <c r="CL169" i="13" s="1" a="1"/>
  <c r="CL169" i="13" s="1"/>
  <c r="CT476" i="13" a="1"/>
  <c r="CT476" i="13" s="1"/>
  <c r="CZ476" i="13" s="1"/>
  <c r="Z476" i="13" s="1"/>
  <c r="CV371" i="13"/>
  <c r="CW371" i="13" s="1"/>
  <c r="CJ336" i="13"/>
  <c r="CK336" i="13" s="1"/>
  <c r="CL336" i="13" s="1" a="1"/>
  <c r="CL336" i="13" s="1"/>
  <c r="CP314" i="13" a="1"/>
  <c r="CP314" i="13" s="1"/>
  <c r="CP417" i="13" a="1"/>
  <c r="CP417" i="13" s="1"/>
  <c r="CJ332" i="13"/>
  <c r="CK332" i="13" s="1"/>
  <c r="CL332" i="13" s="1" a="1"/>
  <c r="CL332" i="13" s="1"/>
  <c r="BZ282" i="13" a="1"/>
  <c r="BZ282" i="13" s="1"/>
  <c r="CP252" i="13" a="1"/>
  <c r="CP252" i="13" s="1"/>
  <c r="CZ252" i="13" s="1"/>
  <c r="Z252" i="13" s="1"/>
  <c r="BX131" i="13"/>
  <c r="BY131" i="13" s="1"/>
  <c r="BV290" i="13" a="1"/>
  <c r="BV290" i="13" s="1"/>
  <c r="BZ228" i="13" a="1"/>
  <c r="BZ228" i="13" s="1"/>
  <c r="CD144" i="13" a="1"/>
  <c r="CD144" i="13" s="1"/>
  <c r="CE144" i="13" a="1"/>
  <c r="CE144" i="13" s="1"/>
  <c r="BV147" i="13" a="1"/>
  <c r="BV147" i="13" s="1"/>
  <c r="CF147" i="13" s="1"/>
  <c r="R147" i="13" s="1"/>
  <c r="CX134" i="13" a="1"/>
  <c r="CX134" i="13" s="1"/>
  <c r="CY134" i="13" a="1"/>
  <c r="CY134" i="13" s="1"/>
  <c r="CX402" i="13" a="1"/>
  <c r="CX402" i="13" s="1"/>
  <c r="CZ402" i="13" s="1"/>
  <c r="Z402" i="13" s="1"/>
  <c r="CD382" i="13" a="1"/>
  <c r="CD382" i="13" s="1"/>
  <c r="CF327" i="13"/>
  <c r="R327" i="13" s="1"/>
  <c r="BX227" i="13"/>
  <c r="BY227" i="13" s="1"/>
  <c r="BZ227" i="13" s="1" a="1"/>
  <c r="BZ227" i="13" s="1"/>
  <c r="BV213" i="13" a="1"/>
  <c r="BV213" i="13" s="1"/>
  <c r="CF213" i="13" s="1"/>
  <c r="R213" i="13" s="1"/>
  <c r="BX154" i="13"/>
  <c r="BY154" i="13" s="1"/>
  <c r="BZ154" i="13" s="1" a="1"/>
  <c r="BZ154" i="13" s="1"/>
  <c r="CT134" i="13" a="1"/>
  <c r="CT134" i="13" s="1"/>
  <c r="BZ130" i="13" a="1"/>
  <c r="BZ130" i="13" s="1"/>
  <c r="CP142" i="13" a="1"/>
  <c r="CP142" i="13" s="1"/>
  <c r="CP163" i="13" a="1"/>
  <c r="CP163" i="13" s="1"/>
  <c r="CZ163" i="13" s="1"/>
  <c r="Z163" i="13" s="1"/>
  <c r="AF163" i="13" s="1"/>
  <c r="CX981" i="13" a="1"/>
  <c r="CX981" i="13" s="1"/>
  <c r="CY981" i="13" a="1"/>
  <c r="CY981" i="13" s="1"/>
  <c r="CD954" i="13" a="1"/>
  <c r="CD954" i="13" s="1"/>
  <c r="CE954" i="13" a="1"/>
  <c r="CE954" i="13" s="1"/>
  <c r="CT958" i="13" a="1"/>
  <c r="CT958" i="13" s="1"/>
  <c r="CJ895" i="13"/>
  <c r="CK895" i="13" s="1"/>
  <c r="CL895" i="13" s="1" a="1"/>
  <c r="CL895" i="13" s="1"/>
  <c r="CR788" i="13"/>
  <c r="CS788" i="13" s="1"/>
  <c r="CT788" i="13" s="1" a="1"/>
  <c r="CT788" i="13" s="1"/>
  <c r="CY943" i="13" a="1"/>
  <c r="CY943" i="13" s="1"/>
  <c r="CX943" i="13" a="1"/>
  <c r="CX943" i="13" s="1"/>
  <c r="CP925" i="13" a="1"/>
  <c r="CP925" i="13" s="1"/>
  <c r="CE947" i="13" a="1"/>
  <c r="CE947" i="13" s="1"/>
  <c r="CD947" i="13" a="1"/>
  <c r="CD947" i="13" s="1"/>
  <c r="BX990" i="13"/>
  <c r="BY990" i="13" s="1"/>
  <c r="BV961" i="13" a="1"/>
  <c r="BV961" i="13" s="1"/>
  <c r="CF961" i="13" s="1"/>
  <c r="R961" i="13" s="1"/>
  <c r="AF961" i="13" s="1"/>
  <c r="BZ961" i="13" a="1"/>
  <c r="BZ961" i="13" s="1"/>
  <c r="CY872" i="13" a="1"/>
  <c r="CY872" i="13" s="1"/>
  <c r="CX872" i="13" a="1"/>
  <c r="CX872" i="13" s="1"/>
  <c r="CD866" i="13" a="1"/>
  <c r="CD866" i="13" s="1"/>
  <c r="CE866" i="13" a="1"/>
  <c r="CE866" i="13" s="1"/>
  <c r="BT835" i="13"/>
  <c r="BU835" i="13" s="1"/>
  <c r="BV835" i="13" s="1" a="1"/>
  <c r="BV835" i="13" s="1"/>
  <c r="BT1000" i="13"/>
  <c r="BU1000" i="13" s="1"/>
  <c r="BV1000" i="13" s="1" a="1"/>
  <c r="BV1000" i="13" s="1"/>
  <c r="BV909" i="13" a="1"/>
  <c r="BV909" i="13" s="1"/>
  <c r="CD903" i="13" a="1"/>
  <c r="CD903" i="13" s="1"/>
  <c r="CE903" i="13" a="1"/>
  <c r="CE903" i="13" s="1"/>
  <c r="CD884" i="13" a="1"/>
  <c r="CD884" i="13" s="1"/>
  <c r="CE884" i="13" a="1"/>
  <c r="CE884" i="13" s="1"/>
  <c r="CD815" i="13" a="1"/>
  <c r="CD815" i="13" s="1"/>
  <c r="CE815" i="13" a="1"/>
  <c r="CE815" i="13" s="1"/>
  <c r="CF787" i="13"/>
  <c r="R787" i="13" s="1"/>
  <c r="BT859" i="13"/>
  <c r="BU859" i="13" s="1"/>
  <c r="BV859" i="13" s="1" a="1"/>
  <c r="BV859" i="13" s="1"/>
  <c r="BV813" i="13" a="1"/>
  <c r="BV813" i="13" s="1"/>
  <c r="BT997" i="13"/>
  <c r="BU997" i="13" s="1"/>
  <c r="BV997" i="13" s="1" a="1"/>
  <c r="BV997" i="13" s="1"/>
  <c r="CV990" i="13"/>
  <c r="CW990" i="13" s="1"/>
  <c r="CT982" i="13" a="1"/>
  <c r="CT982" i="13" s="1"/>
  <c r="BV915" i="13" a="1"/>
  <c r="BV915" i="13" s="1"/>
  <c r="BV952" i="13" a="1"/>
  <c r="BV952" i="13" s="1"/>
  <c r="BT895" i="13"/>
  <c r="BU895" i="13" s="1"/>
  <c r="BV895" i="13" s="1" a="1"/>
  <c r="BV895" i="13" s="1"/>
  <c r="CE846" i="13" a="1"/>
  <c r="CE846" i="13" s="1"/>
  <c r="CD846" i="13" a="1"/>
  <c r="CD846" i="13" s="1"/>
  <c r="CB934" i="13"/>
  <c r="CC934" i="13" s="1"/>
  <c r="BT897" i="13"/>
  <c r="BU897" i="13" s="1"/>
  <c r="BP796" i="13"/>
  <c r="BQ796" i="13" s="1"/>
  <c r="BR796" i="13" s="1" a="1"/>
  <c r="BR796" i="13" s="1"/>
  <c r="BX792" i="13"/>
  <c r="BY792" i="13" s="1"/>
  <c r="CD929" i="13" a="1"/>
  <c r="CD929" i="13" s="1"/>
  <c r="CE929" i="13" a="1"/>
  <c r="CE929" i="13" s="1"/>
  <c r="CF957" i="13"/>
  <c r="R957" i="13" s="1"/>
  <c r="AF957" i="13" s="1"/>
  <c r="CV995" i="13"/>
  <c r="CW995" i="13" s="1"/>
  <c r="CD958" i="13" a="1"/>
  <c r="CD958" i="13" s="1"/>
  <c r="CE958" i="13" a="1"/>
  <c r="CE958" i="13" s="1"/>
  <c r="CY971" i="13" a="1"/>
  <c r="CY971" i="13" s="1"/>
  <c r="CX971" i="13" a="1"/>
  <c r="CX971" i="13" s="1"/>
  <c r="CJ891" i="13"/>
  <c r="CK891" i="13" s="1"/>
  <c r="CL891" i="13" s="1" a="1"/>
  <c r="CL891" i="13" s="1"/>
  <c r="CN901" i="13"/>
  <c r="CO901" i="13" s="1"/>
  <c r="CX886" i="13" a="1"/>
  <c r="CX886" i="13" s="1"/>
  <c r="CY886" i="13" a="1"/>
  <c r="CY886" i="13" s="1"/>
  <c r="CN792" i="13"/>
  <c r="CO792" i="13" s="1"/>
  <c r="CV837" i="13"/>
  <c r="CW837" i="13" s="1"/>
  <c r="BT792" i="13"/>
  <c r="BU792" i="13" s="1"/>
  <c r="CX803" i="13" a="1"/>
  <c r="CX803" i="13" s="1"/>
  <c r="CY803" i="13" a="1"/>
  <c r="CY803" i="13" s="1"/>
  <c r="CR802" i="13"/>
  <c r="CS802" i="13" s="1"/>
  <c r="CT802" i="13" s="1" a="1"/>
  <c r="CT802" i="13" s="1"/>
  <c r="BP1018" i="13"/>
  <c r="BQ1018" i="13" s="1"/>
  <c r="BR1018" i="13" s="1" a="1"/>
  <c r="BR1018" i="13" s="1"/>
  <c r="CX975" i="13" a="1"/>
  <c r="CX975" i="13" s="1"/>
  <c r="CY975" i="13" a="1"/>
  <c r="CY975" i="13" s="1"/>
  <c r="CV932" i="13"/>
  <c r="CW932" i="13" s="1"/>
  <c r="CF977" i="13"/>
  <c r="R977" i="13" s="1"/>
  <c r="CB1011" i="13"/>
  <c r="CC1011" i="13" s="1"/>
  <c r="CP970" i="13" a="1"/>
  <c r="CP970" i="13" s="1"/>
  <c r="CF983" i="13"/>
  <c r="R983" i="13" s="1"/>
  <c r="AF983" i="13" s="1"/>
  <c r="BZ913" i="13" a="1"/>
  <c r="BZ913" i="13" s="1"/>
  <c r="CF913" i="13" s="1"/>
  <c r="R913" i="13" s="1"/>
  <c r="CJ889" i="13"/>
  <c r="CK889" i="13" s="1"/>
  <c r="CL889" i="13" s="1" a="1"/>
  <c r="CL889" i="13" s="1"/>
  <c r="CN829" i="13"/>
  <c r="CO829" i="13" s="1"/>
  <c r="CP829" i="13" s="1" a="1"/>
  <c r="CP829" i="13" s="1"/>
  <c r="CY866" i="13" a="1"/>
  <c r="CY866" i="13" s="1"/>
  <c r="CX866" i="13" a="1"/>
  <c r="CX866" i="13" s="1"/>
  <c r="CV881" i="13"/>
  <c r="CW881" i="13" s="1"/>
  <c r="CP809" i="13" a="1"/>
  <c r="CP809" i="13" s="1"/>
  <c r="CJ822" i="13"/>
  <c r="CK822" i="13" s="1"/>
  <c r="CL822" i="13" s="1" a="1"/>
  <c r="CL822" i="13" s="1"/>
  <c r="CD795" i="13" a="1"/>
  <c r="CD795" i="13" s="1"/>
  <c r="CE795" i="13" a="1"/>
  <c r="CE795" i="13" s="1"/>
  <c r="BP800" i="13"/>
  <c r="BQ800" i="13" s="1"/>
  <c r="BR800" i="13" s="1" a="1"/>
  <c r="BR800" i="13" s="1"/>
  <c r="BX790" i="13"/>
  <c r="BY790" i="13" s="1"/>
  <c r="BZ790" i="13" s="1" a="1"/>
  <c r="BZ790" i="13" s="1"/>
  <c r="CD944" i="13" a="1"/>
  <c r="CD944" i="13" s="1"/>
  <c r="CE944" i="13" a="1"/>
  <c r="CE944" i="13" s="1"/>
  <c r="BX906" i="13"/>
  <c r="BY906" i="13" s="1"/>
  <c r="BZ906" i="13" s="1" a="1"/>
  <c r="BZ906" i="13" s="1"/>
  <c r="BX924" i="13"/>
  <c r="BY924" i="13" s="1"/>
  <c r="CT949" i="13" a="1"/>
  <c r="CT949" i="13" s="1"/>
  <c r="CZ949" i="13" s="1"/>
  <c r="Z949" i="13" s="1"/>
  <c r="CX944" i="13" a="1"/>
  <c r="CX944" i="13" s="1"/>
  <c r="CY944" i="13" a="1"/>
  <c r="CY944" i="13" s="1"/>
  <c r="CP960" i="13" a="1"/>
  <c r="CP960" i="13" s="1"/>
  <c r="CZ960" i="13" s="1"/>
  <c r="Z960" i="13" s="1"/>
  <c r="BP924" i="13"/>
  <c r="BQ924" i="13" s="1"/>
  <c r="BR924" i="13" s="1" a="1"/>
  <c r="BR924" i="13" s="1"/>
  <c r="BP908" i="13"/>
  <c r="BQ908" i="13" s="1"/>
  <c r="BR908" i="13" s="1" a="1"/>
  <c r="BR908" i="13" s="1"/>
  <c r="BV900" i="13" a="1"/>
  <c r="BV900" i="13" s="1"/>
  <c r="CR891" i="13"/>
  <c r="CS891" i="13" s="1"/>
  <c r="CT891" i="13" s="1" a="1"/>
  <c r="CT891" i="13" s="1"/>
  <c r="CD880" i="13" a="1"/>
  <c r="CD880" i="13" s="1"/>
  <c r="CE880" i="13" a="1"/>
  <c r="CE880" i="13" s="1"/>
  <c r="CP803" i="13" a="1"/>
  <c r="CP803" i="13" s="1"/>
  <c r="CT803" i="13" a="1"/>
  <c r="CT803" i="13" s="1"/>
  <c r="BT843" i="13"/>
  <c r="BU843" i="13" s="1"/>
  <c r="BX855" i="13"/>
  <c r="BY855" i="13" s="1"/>
  <c r="CD855" i="13" s="1" a="1"/>
  <c r="CD855" i="13" s="1"/>
  <c r="BX770" i="13"/>
  <c r="BY770" i="13" s="1"/>
  <c r="BZ770" i="13" s="1" a="1"/>
  <c r="BZ770" i="13" s="1"/>
  <c r="CJ1015" i="13"/>
  <c r="CK1015" i="13" s="1"/>
  <c r="CL1015" i="13" s="1" a="1"/>
  <c r="CL1015" i="13" s="1"/>
  <c r="CN1001" i="13"/>
  <c r="CO1001" i="13" s="1"/>
  <c r="CV1010" i="13"/>
  <c r="CW1010" i="13" s="1"/>
  <c r="CP919" i="13" a="1"/>
  <c r="CP919" i="13" s="1"/>
  <c r="CR995" i="13"/>
  <c r="CS995" i="13" s="1"/>
  <c r="CT995" i="13" s="1" a="1"/>
  <c r="CT995" i="13" s="1"/>
  <c r="CP967" i="13" a="1"/>
  <c r="CP967" i="13" s="1"/>
  <c r="CV1013" i="13"/>
  <c r="CW1013" i="13" s="1"/>
  <c r="BZ951" i="13" a="1"/>
  <c r="BZ951" i="13" s="1"/>
  <c r="CT969" i="13" a="1"/>
  <c r="CT969" i="13" s="1"/>
  <c r="CX815" i="13" a="1"/>
  <c r="CX815" i="13" s="1"/>
  <c r="CY815" i="13" a="1"/>
  <c r="CY815" i="13" s="1"/>
  <c r="BV852" i="13" a="1"/>
  <c r="BV852" i="13" s="1"/>
  <c r="CF852" i="13" s="1"/>
  <c r="R852" i="13" s="1"/>
  <c r="AF852" i="13" s="1"/>
  <c r="CN877" i="13"/>
  <c r="CO877" i="13" s="1"/>
  <c r="CP877" i="13" s="1" a="1"/>
  <c r="CP877" i="13" s="1"/>
  <c r="CY832" i="13" a="1"/>
  <c r="CY832" i="13" s="1"/>
  <c r="CX832" i="13" a="1"/>
  <c r="CX832" i="13" s="1"/>
  <c r="CB908" i="13"/>
  <c r="CC908" i="13" s="1"/>
  <c r="BV854" i="13" a="1"/>
  <c r="BV854" i="13" s="1"/>
  <c r="CP811" i="13" a="1"/>
  <c r="CP811" i="13" s="1"/>
  <c r="CZ811" i="13" s="1"/>
  <c r="Z811" i="13" s="1"/>
  <c r="BX853" i="13"/>
  <c r="BY853" i="13" s="1"/>
  <c r="BZ853" i="13" s="1" a="1"/>
  <c r="BZ853" i="13" s="1"/>
  <c r="BZ963" i="13" a="1"/>
  <c r="BZ963" i="13" s="1"/>
  <c r="CF963" i="13" s="1"/>
  <c r="R963" i="13" s="1"/>
  <c r="CD921" i="13" a="1"/>
  <c r="CD921" i="13" s="1"/>
  <c r="CD781" i="13" a="1"/>
  <c r="CD781" i="13" s="1"/>
  <c r="CE781" i="13" a="1"/>
  <c r="CE781" i="13" s="1"/>
  <c r="CZ771" i="13"/>
  <c r="Z771" i="13" s="1"/>
  <c r="CD755" i="13" a="1"/>
  <c r="CD755" i="13" s="1"/>
  <c r="CE755" i="13" a="1"/>
  <c r="CE755" i="13" s="1"/>
  <c r="CN778" i="13"/>
  <c r="CO778" i="13" s="1"/>
  <c r="CP778" i="13" s="1" a="1"/>
  <c r="CP778" i="13" s="1"/>
  <c r="CN766" i="13"/>
  <c r="CO766" i="13" s="1"/>
  <c r="CP766" i="13" s="1" a="1"/>
  <c r="CP766" i="13" s="1"/>
  <c r="BP758" i="13"/>
  <c r="BQ758" i="13" s="1"/>
  <c r="BR758" i="13" s="1" a="1"/>
  <c r="BR758" i="13" s="1"/>
  <c r="BT645" i="13"/>
  <c r="BU645" i="13" s="1"/>
  <c r="BV645" i="13" s="1" a="1"/>
  <c r="BV645" i="13" s="1"/>
  <c r="CN582" i="13"/>
  <c r="CO582" i="13" s="1"/>
  <c r="BT535" i="13"/>
  <c r="BU535" i="13" s="1"/>
  <c r="BV535" i="13" s="1" a="1"/>
  <c r="BV535" i="13" s="1"/>
  <c r="BV502" i="13" a="1"/>
  <c r="BV502" i="13" s="1"/>
  <c r="BX908" i="13"/>
  <c r="BY908" i="13" s="1"/>
  <c r="BZ908" i="13" s="1" a="1"/>
  <c r="BZ908" i="13" s="1"/>
  <c r="BZ882" i="13" a="1"/>
  <c r="BZ882" i="13" s="1"/>
  <c r="CF882" i="13" s="1"/>
  <c r="R882" i="13" s="1"/>
  <c r="CN873" i="13"/>
  <c r="CO873" i="13" s="1"/>
  <c r="CP873" i="13" s="1" a="1"/>
  <c r="CP873" i="13" s="1"/>
  <c r="BX749" i="13"/>
  <c r="BY749" i="13" s="1"/>
  <c r="BZ749" i="13" s="1" a="1"/>
  <c r="BZ749" i="13" s="1"/>
  <c r="CX757" i="13" a="1"/>
  <c r="CX757" i="13" s="1"/>
  <c r="CY757" i="13" a="1"/>
  <c r="CY757" i="13" s="1"/>
  <c r="CX748" i="13" a="1"/>
  <c r="CX748" i="13" s="1"/>
  <c r="CY748" i="13" a="1"/>
  <c r="CY748" i="13" s="1"/>
  <c r="BV740" i="13" a="1"/>
  <c r="BV740" i="13" s="1"/>
  <c r="CF740" i="13" s="1"/>
  <c r="R740" i="13" s="1"/>
  <c r="CY581" i="13" a="1"/>
  <c r="CY581" i="13" s="1"/>
  <c r="CX581" i="13" a="1"/>
  <c r="CX581" i="13" s="1"/>
  <c r="CF562" i="13"/>
  <c r="R562" i="13" s="1"/>
  <c r="BZ527" i="13" a="1"/>
  <c r="BZ527" i="13" s="1"/>
  <c r="BT539" i="13"/>
  <c r="BU539" i="13" s="1"/>
  <c r="BV506" i="13" a="1"/>
  <c r="BV506" i="13" s="1"/>
  <c r="BZ950" i="13" a="1"/>
  <c r="BZ950" i="13" s="1"/>
  <c r="CF950" i="13" s="1"/>
  <c r="R950" i="13" s="1"/>
  <c r="CP909" i="13" a="1"/>
  <c r="CP909" i="13" s="1"/>
  <c r="BZ801" i="13" a="1"/>
  <c r="BZ801" i="13" s="1"/>
  <c r="CD785" i="13" a="1"/>
  <c r="CD785" i="13" s="1"/>
  <c r="CE785" i="13" a="1"/>
  <c r="CE785" i="13" s="1"/>
  <c r="BP749" i="13"/>
  <c r="BQ749" i="13" s="1"/>
  <c r="BR749" i="13" s="1" a="1"/>
  <c r="BR749" i="13" s="1"/>
  <c r="CP775" i="13" a="1"/>
  <c r="CP775" i="13" s="1"/>
  <c r="BZ736" i="13" a="1"/>
  <c r="BZ736" i="13" s="1"/>
  <c r="CD736" i="13" a="1"/>
  <c r="CD736" i="13" s="1"/>
  <c r="CV753" i="13"/>
  <c r="CW753" i="13" s="1"/>
  <c r="CY726" i="13" a="1"/>
  <c r="CY726" i="13" s="1"/>
  <c r="CX726" i="13" a="1"/>
  <c r="CX726" i="13" s="1"/>
  <c r="BP573" i="13"/>
  <c r="BQ573" i="13" s="1"/>
  <c r="BR573" i="13" s="1" a="1"/>
  <c r="BR573" i="13" s="1"/>
  <c r="CV559" i="13"/>
  <c r="CW559" i="13" s="1"/>
  <c r="BX501" i="13"/>
  <c r="BY501" i="13" s="1"/>
  <c r="BZ501" i="13" s="1" a="1"/>
  <c r="BZ501" i="13" s="1"/>
  <c r="BT509" i="13"/>
  <c r="BU509" i="13" s="1"/>
  <c r="BV509" i="13" s="1" a="1"/>
  <c r="BV509" i="13" s="1"/>
  <c r="CR495" i="13"/>
  <c r="CS495" i="13" s="1"/>
  <c r="CT495" i="13" s="1" a="1"/>
  <c r="CT495" i="13" s="1"/>
  <c r="CD542" i="13" a="1"/>
  <c r="CD542" i="13" s="1"/>
  <c r="CE542" i="13" a="1"/>
  <c r="CE542" i="13" s="1"/>
  <c r="CX498" i="13" a="1"/>
  <c r="CX498" i="13" s="1"/>
  <c r="CY498" i="13" a="1"/>
  <c r="CY498" i="13" s="1"/>
  <c r="BV967" i="13" a="1"/>
  <c r="BV967" i="13" s="1"/>
  <c r="CF967" i="13" s="1"/>
  <c r="R967" i="13" s="1"/>
  <c r="BV848" i="13" a="1"/>
  <c r="BV848" i="13" s="1"/>
  <c r="CF848" i="13" s="1"/>
  <c r="R848" i="13" s="1"/>
  <c r="CJ851" i="13"/>
  <c r="CK851" i="13" s="1"/>
  <c r="CL851" i="13" s="1" a="1"/>
  <c r="CL851" i="13" s="1"/>
  <c r="CN820" i="13"/>
  <c r="CO820" i="13" s="1"/>
  <c r="CP820" i="13" s="1" a="1"/>
  <c r="CP820" i="13" s="1"/>
  <c r="CF777" i="13"/>
  <c r="R777" i="13" s="1"/>
  <c r="BZ761" i="13" a="1"/>
  <c r="BZ761" i="13" s="1"/>
  <c r="CD734" i="13" a="1"/>
  <c r="CD734" i="13" s="1"/>
  <c r="CE734" i="13" a="1"/>
  <c r="CE734" i="13" s="1"/>
  <c r="CB665" i="13"/>
  <c r="CC665" i="13" s="1"/>
  <c r="BT655" i="13"/>
  <c r="BU655" i="13" s="1"/>
  <c r="BV655" i="13" s="1" a="1"/>
  <c r="BV655" i="13" s="1"/>
  <c r="CR660" i="13"/>
  <c r="CS660" i="13" s="1"/>
  <c r="CT660" i="13" s="1" a="1"/>
  <c r="CT660" i="13" s="1"/>
  <c r="BV589" i="13" a="1"/>
  <c r="BV589" i="13" s="1"/>
  <c r="CB634" i="13"/>
  <c r="CC634" i="13" s="1"/>
  <c r="CP595" i="13" a="1"/>
  <c r="CP595" i="13" s="1"/>
  <c r="CP530" i="13" a="1"/>
  <c r="CP530" i="13" s="1"/>
  <c r="CJ551" i="13"/>
  <c r="CK551" i="13" s="1"/>
  <c r="CL551" i="13" s="1" a="1"/>
  <c r="CL551" i="13" s="1"/>
  <c r="BP551" i="13"/>
  <c r="BQ551" i="13" s="1"/>
  <c r="BR551" i="13" s="1" a="1"/>
  <c r="BR551" i="13" s="1"/>
  <c r="CV551" i="13"/>
  <c r="CW551" i="13" s="1"/>
  <c r="BV570" i="13" a="1"/>
  <c r="BV570" i="13" s="1"/>
  <c r="CX522" i="13" a="1"/>
  <c r="CX522" i="13" s="1"/>
  <c r="CY522" i="13" a="1"/>
  <c r="CY522" i="13" s="1"/>
  <c r="CE486" i="13" a="1"/>
  <c r="CE486" i="13" s="1"/>
  <c r="CD486" i="13" a="1"/>
  <c r="CD486" i="13" s="1"/>
  <c r="CP526" i="13" a="1"/>
  <c r="CP526" i="13" s="1"/>
  <c r="CJ501" i="13"/>
  <c r="CK501" i="13" s="1"/>
  <c r="CL501" i="13" s="1" a="1"/>
  <c r="CL501" i="13" s="1"/>
  <c r="BX483" i="13"/>
  <c r="BY483" i="13" s="1"/>
  <c r="BZ483" i="13" s="1" a="1"/>
  <c r="BZ483" i="13" s="1"/>
  <c r="CV469" i="13"/>
  <c r="CW469" i="13" s="1"/>
  <c r="BT469" i="13"/>
  <c r="BU469" i="13" s="1"/>
  <c r="BV469" i="13" s="1" a="1"/>
  <c r="BV469" i="13" s="1"/>
  <c r="CJ469" i="13"/>
  <c r="CK469" i="13" s="1"/>
  <c r="CL469" i="13" s="1" a="1"/>
  <c r="CL469" i="13" s="1"/>
  <c r="CB469" i="13"/>
  <c r="CC469" i="13" s="1"/>
  <c r="BX469" i="13"/>
  <c r="BY469" i="13" s="1"/>
  <c r="CN469" i="13"/>
  <c r="CO469" i="13" s="1"/>
  <c r="BP469" i="13"/>
  <c r="BQ469" i="13" s="1"/>
  <c r="BR469" i="13" s="1" a="1"/>
  <c r="BR469" i="13" s="1"/>
  <c r="CJ1001" i="13"/>
  <c r="CK1001" i="13" s="1"/>
  <c r="CL1001" i="13" s="1" a="1"/>
  <c r="CL1001" i="13" s="1"/>
  <c r="CX967" i="13" a="1"/>
  <c r="CX967" i="13" s="1"/>
  <c r="CD971" i="13" a="1"/>
  <c r="CD971" i="13" s="1"/>
  <c r="CV904" i="13"/>
  <c r="CW904" i="13" s="1"/>
  <c r="BV858" i="13" a="1"/>
  <c r="BV858" i="13" s="1"/>
  <c r="CP779" i="13" a="1"/>
  <c r="CP779" i="13" s="1"/>
  <c r="CD805" i="13" a="1"/>
  <c r="CD805" i="13" s="1"/>
  <c r="CE805" i="13" a="1"/>
  <c r="CE805" i="13" s="1"/>
  <c r="CF789" i="13"/>
  <c r="R789" i="13" s="1"/>
  <c r="CD735" i="13" a="1"/>
  <c r="CD735" i="13" s="1"/>
  <c r="CE735" i="13" a="1"/>
  <c r="CE735" i="13" s="1"/>
  <c r="CB758" i="13"/>
  <c r="CC758" i="13" s="1"/>
  <c r="CT694" i="13" a="1"/>
  <c r="CT694" i="13" s="1"/>
  <c r="CJ782" i="13"/>
  <c r="CK782" i="13" s="1"/>
  <c r="CL782" i="13" s="1" a="1"/>
  <c r="CL782" i="13" s="1"/>
  <c r="CV772" i="13"/>
  <c r="CW772" i="13" s="1"/>
  <c r="CX688" i="13" a="1"/>
  <c r="CX688" i="13" s="1"/>
  <c r="CY688" i="13" a="1"/>
  <c r="CY688" i="13" s="1"/>
  <c r="CP722" i="13" a="1"/>
  <c r="CP722" i="13" s="1"/>
  <c r="CZ722" i="13" s="1"/>
  <c r="Z722" i="13" s="1"/>
  <c r="CR679" i="13"/>
  <c r="CS679" i="13" s="1"/>
  <c r="CT679" i="13" s="1" a="1"/>
  <c r="CT679" i="13" s="1"/>
  <c r="CJ675" i="13"/>
  <c r="CK675" i="13" s="1"/>
  <c r="CL675" i="13" s="1" a="1"/>
  <c r="CL675" i="13" s="1"/>
  <c r="CV588" i="13"/>
  <c r="CW588" i="13" s="1"/>
  <c r="BT582" i="13"/>
  <c r="BU582" i="13" s="1"/>
  <c r="CX585" i="13" a="1"/>
  <c r="CX585" i="13" s="1"/>
  <c r="CY585" i="13" a="1"/>
  <c r="CY585" i="13" s="1"/>
  <c r="CT593" i="13" a="1"/>
  <c r="CT593" i="13" s="1"/>
  <c r="CP585" i="13" a="1"/>
  <c r="CP585" i="13" s="1"/>
  <c r="BX628" i="13"/>
  <c r="BY628" i="13" s="1"/>
  <c r="BZ628" i="13" s="1" a="1"/>
  <c r="BZ628" i="13" s="1"/>
  <c r="CD544" i="13" a="1"/>
  <c r="CD544" i="13" s="1"/>
  <c r="CE544" i="13" a="1"/>
  <c r="CE544" i="13" s="1"/>
  <c r="CP558" i="13" a="1"/>
  <c r="CP558" i="13" s="1"/>
  <c r="CZ558" i="13" s="1"/>
  <c r="Z558" i="13" s="1"/>
  <c r="BZ558" i="13" a="1"/>
  <c r="BZ558" i="13" s="1"/>
  <c r="BP477" i="13"/>
  <c r="BQ477" i="13" s="1"/>
  <c r="BR477" i="13" s="1" a="1"/>
  <c r="BR477" i="13" s="1"/>
  <c r="BZ523" i="13" a="1"/>
  <c r="BZ523" i="13" s="1"/>
  <c r="CF523" i="13" s="1"/>
  <c r="R523" i="13" s="1"/>
  <c r="CR469" i="13"/>
  <c r="CS469" i="13" s="1"/>
  <c r="CV470" i="13"/>
  <c r="CW470" i="13" s="1"/>
  <c r="CP896" i="13" a="1"/>
  <c r="CP896" i="13" s="1"/>
  <c r="BP837" i="13"/>
  <c r="BQ837" i="13" s="1"/>
  <c r="BR837" i="13" s="1" a="1"/>
  <c r="BR837" i="13" s="1"/>
  <c r="CV790" i="13"/>
  <c r="CW790" i="13" s="1"/>
  <c r="CX765" i="13" a="1"/>
  <c r="CX765" i="13" s="1"/>
  <c r="CY765" i="13" a="1"/>
  <c r="CY765" i="13" s="1"/>
  <c r="BT751" i="13"/>
  <c r="BU751" i="13" s="1"/>
  <c r="BV751" i="13" s="1" a="1"/>
  <c r="BV751" i="13" s="1"/>
  <c r="CD704" i="13" a="1"/>
  <c r="CD704" i="13" s="1"/>
  <c r="CE704" i="13" a="1"/>
  <c r="CE704" i="13" s="1"/>
  <c r="CX746" i="13" a="1"/>
  <c r="CX746" i="13" s="1"/>
  <c r="CZ746" i="13" s="1"/>
  <c r="Z746" i="13" s="1"/>
  <c r="CY746" i="13" a="1"/>
  <c r="CY746" i="13" s="1"/>
  <c r="CD729" i="13" a="1"/>
  <c r="CD729" i="13" s="1"/>
  <c r="CE729" i="13" a="1"/>
  <c r="CE729" i="13" s="1"/>
  <c r="BT653" i="13"/>
  <c r="BU653" i="13" s="1"/>
  <c r="BV653" i="13" s="1" a="1"/>
  <c r="BV653" i="13" s="1"/>
  <c r="CN619" i="13"/>
  <c r="CO619" i="13" s="1"/>
  <c r="CP619" i="13" s="1" a="1"/>
  <c r="CP619" i="13" s="1"/>
  <c r="BT588" i="13"/>
  <c r="BU588" i="13" s="1"/>
  <c r="BV588" i="13" s="1" a="1"/>
  <c r="BV588" i="13" s="1"/>
  <c r="BX625" i="13"/>
  <c r="BY625" i="13" s="1"/>
  <c r="BZ625" i="13" s="1" a="1"/>
  <c r="BZ625" i="13" s="1"/>
  <c r="CF560" i="13"/>
  <c r="R560" i="13" s="1"/>
  <c r="CN584" i="13"/>
  <c r="CO584" i="13" s="1"/>
  <c r="CT584" i="13" s="1" a="1"/>
  <c r="CT584" i="13" s="1"/>
  <c r="BX507" i="13"/>
  <c r="BY507" i="13" s="1"/>
  <c r="CN487" i="13"/>
  <c r="CO487" i="13" s="1"/>
  <c r="CP487" i="13" s="1" a="1"/>
  <c r="CP487" i="13" s="1"/>
  <c r="CB455" i="13"/>
  <c r="CC455" i="13" s="1"/>
  <c r="CR461" i="13"/>
  <c r="CS461" i="13" s="1"/>
  <c r="CP917" i="13" a="1"/>
  <c r="CP917" i="13" s="1"/>
  <c r="CZ917" i="13" s="1"/>
  <c r="Z917" i="13" s="1"/>
  <c r="BV846" i="13" a="1"/>
  <c r="BV846" i="13" s="1"/>
  <c r="BZ793" i="13" a="1"/>
  <c r="BZ793" i="13" s="1"/>
  <c r="CF793" i="13" s="1"/>
  <c r="R793" i="13" s="1"/>
  <c r="CY767" i="13" a="1"/>
  <c r="CY767" i="13" s="1"/>
  <c r="CX767" i="13" a="1"/>
  <c r="CX767" i="13" s="1"/>
  <c r="CV747" i="13"/>
  <c r="CW747" i="13" s="1"/>
  <c r="BP786" i="13"/>
  <c r="BQ786" i="13" s="1"/>
  <c r="BR786" i="13" s="1" a="1"/>
  <c r="BR786" i="13" s="1"/>
  <c r="CR745" i="13"/>
  <c r="CS745" i="13" s="1"/>
  <c r="CT745" i="13" s="1" a="1"/>
  <c r="CT745" i="13" s="1"/>
  <c r="CY718" i="13" a="1"/>
  <c r="CY718" i="13" s="1"/>
  <c r="CX718" i="13" a="1"/>
  <c r="CX718" i="13" s="1"/>
  <c r="CN657" i="13"/>
  <c r="CO657" i="13" s="1"/>
  <c r="CP657" i="13" s="1" a="1"/>
  <c r="CP657" i="13" s="1"/>
  <c r="CJ633" i="13"/>
  <c r="CK633" i="13" s="1"/>
  <c r="CL633" i="13" s="1" a="1"/>
  <c r="CL633" i="13" s="1"/>
  <c r="CJ651" i="13"/>
  <c r="CK651" i="13" s="1"/>
  <c r="CL651" i="13" s="1" a="1"/>
  <c r="CL651" i="13" s="1"/>
  <c r="CR646" i="13"/>
  <c r="CS646" i="13" s="1"/>
  <c r="CX646" i="13" s="1" a="1"/>
  <c r="CX646" i="13" s="1"/>
  <c r="CJ606" i="13"/>
  <c r="CK606" i="13" s="1"/>
  <c r="CL606" i="13" s="1" a="1"/>
  <c r="CL606" i="13" s="1"/>
  <c r="CE609" i="13" a="1"/>
  <c r="CE609" i="13" s="1"/>
  <c r="CD609" i="13" a="1"/>
  <c r="CD609" i="13" s="1"/>
  <c r="CP608" i="13" a="1"/>
  <c r="CP608" i="13" s="1"/>
  <c r="CZ608" i="13" s="1"/>
  <c r="Z608" i="13" s="1"/>
  <c r="BT576" i="13"/>
  <c r="BU576" i="13" s="1"/>
  <c r="BV576" i="13" s="1" a="1"/>
  <c r="BV576" i="13" s="1"/>
  <c r="BX551" i="13"/>
  <c r="BY551" i="13" s="1"/>
  <c r="BZ551" i="13" s="1" a="1"/>
  <c r="BZ551" i="13" s="1"/>
  <c r="CB584" i="13"/>
  <c r="CC584" i="13" s="1"/>
  <c r="CE568" i="13" a="1"/>
  <c r="CE568" i="13" s="1"/>
  <c r="CD568" i="13" a="1"/>
  <c r="CD568" i="13" s="1"/>
  <c r="CP486" i="13" a="1"/>
  <c r="CP486" i="13" s="1"/>
  <c r="BX531" i="13"/>
  <c r="BY531" i="13" s="1"/>
  <c r="BZ531" i="13" s="1" a="1"/>
  <c r="BZ531" i="13" s="1"/>
  <c r="CB531" i="13"/>
  <c r="CC531" i="13" s="1"/>
  <c r="BV500" i="13" a="1"/>
  <c r="BV500" i="13" s="1"/>
  <c r="CF500" i="13" s="1"/>
  <c r="R500" i="13" s="1"/>
  <c r="AF500" i="13" s="1"/>
  <c r="BX453" i="13"/>
  <c r="BY453" i="13" s="1"/>
  <c r="CB517" i="13"/>
  <c r="CC517" i="13" s="1"/>
  <c r="CN999" i="13"/>
  <c r="CO999" i="13" s="1"/>
  <c r="CT999" i="13" s="1" a="1"/>
  <c r="CT999" i="13" s="1"/>
  <c r="BZ944" i="13" a="1"/>
  <c r="BZ944" i="13" s="1"/>
  <c r="BV911" i="13" a="1"/>
  <c r="BV911" i="13" s="1"/>
  <c r="CF911" i="13" s="1"/>
  <c r="R911" i="13" s="1"/>
  <c r="CP856" i="13" a="1"/>
  <c r="CP856" i="13" s="1"/>
  <c r="CJ857" i="13"/>
  <c r="CK857" i="13" s="1"/>
  <c r="CL857" i="13" s="1" a="1"/>
  <c r="CL857" i="13" s="1"/>
  <c r="CE700" i="13" a="1"/>
  <c r="CE700" i="13" s="1"/>
  <c r="CD700" i="13" a="1"/>
  <c r="CD700" i="13" s="1"/>
  <c r="CB796" i="13"/>
  <c r="CC796" i="13" s="1"/>
  <c r="CZ769" i="13"/>
  <c r="Z769" i="13" s="1"/>
  <c r="CD698" i="13" a="1"/>
  <c r="CD698" i="13" s="1"/>
  <c r="CE698" i="13" a="1"/>
  <c r="CE698" i="13" s="1"/>
  <c r="CR752" i="13"/>
  <c r="CS752" i="13" s="1"/>
  <c r="CT752" i="13" s="1" a="1"/>
  <c r="CT752" i="13" s="1"/>
  <c r="CY742" i="13" a="1"/>
  <c r="CY742" i="13" s="1"/>
  <c r="CX742" i="13" a="1"/>
  <c r="CX742" i="13" s="1"/>
  <c r="CZ742" i="13" s="1"/>
  <c r="Z742" i="13" s="1"/>
  <c r="CF699" i="13"/>
  <c r="R699" i="13" s="1"/>
  <c r="AF699" i="13" s="1"/>
  <c r="BT646" i="13"/>
  <c r="BU646" i="13" s="1"/>
  <c r="BZ646" i="13" s="1" a="1"/>
  <c r="BZ646" i="13" s="1"/>
  <c r="CN677" i="13"/>
  <c r="CO677" i="13" s="1"/>
  <c r="CP677" i="13" s="1" a="1"/>
  <c r="CP677" i="13" s="1"/>
  <c r="BX682" i="13"/>
  <c r="BY682" i="13" s="1"/>
  <c r="BZ682" i="13" s="1" a="1"/>
  <c r="BZ682" i="13" s="1"/>
  <c r="BX663" i="13"/>
  <c r="BY663" i="13" s="1"/>
  <c r="BZ663" i="13" s="1" a="1"/>
  <c r="BZ663" i="13" s="1"/>
  <c r="CV663" i="13"/>
  <c r="CW663" i="13" s="1"/>
  <c r="CN663" i="13"/>
  <c r="CO663" i="13" s="1"/>
  <c r="CP663" i="13" s="1" a="1"/>
  <c r="CP663" i="13" s="1"/>
  <c r="BP663" i="13"/>
  <c r="BQ663" i="13" s="1"/>
  <c r="BR663" i="13" s="1" a="1"/>
  <c r="BR663" i="13" s="1"/>
  <c r="CN637" i="13"/>
  <c r="CO637" i="13" s="1"/>
  <c r="CP637" i="13" s="1" a="1"/>
  <c r="CP637" i="13" s="1"/>
  <c r="CN630" i="13"/>
  <c r="CO630" i="13" s="1"/>
  <c r="CJ635" i="13"/>
  <c r="CK635" i="13" s="1"/>
  <c r="CL635" i="13" s="1" a="1"/>
  <c r="CL635" i="13" s="1"/>
  <c r="CN650" i="13"/>
  <c r="CO650" i="13" s="1"/>
  <c r="CP650" i="13" s="1" a="1"/>
  <c r="CP650" i="13" s="1"/>
  <c r="CR602" i="13"/>
  <c r="CS602" i="13" s="1"/>
  <c r="CT602" i="13" s="1" a="1"/>
  <c r="CT602" i="13" s="1"/>
  <c r="CB626" i="13"/>
  <c r="CC626" i="13" s="1"/>
  <c r="CR645" i="13"/>
  <c r="CS645" i="13" s="1"/>
  <c r="CT645" i="13" s="1" a="1"/>
  <c r="CT645" i="13" s="1"/>
  <c r="CP577" i="13" a="1"/>
  <c r="CP577" i="13" s="1"/>
  <c r="CR604" i="13"/>
  <c r="CS604" i="13" s="1"/>
  <c r="CT604" i="13" s="1" a="1"/>
  <c r="CT604" i="13" s="1"/>
  <c r="BP586" i="13"/>
  <c r="BQ586" i="13" s="1"/>
  <c r="BR586" i="13" s="1" a="1"/>
  <c r="BR586" i="13" s="1"/>
  <c r="CP574" i="13" a="1"/>
  <c r="CP574" i="13" s="1"/>
  <c r="CR575" i="13"/>
  <c r="CS575" i="13" s="1"/>
  <c r="CT575" i="13" s="1" a="1"/>
  <c r="CT575" i="13" s="1"/>
  <c r="CF496" i="13"/>
  <c r="R496" i="13" s="1"/>
  <c r="CX520" i="13" a="1"/>
  <c r="CX520" i="13" s="1"/>
  <c r="CY520" i="13" a="1"/>
  <c r="CY520" i="13" s="1"/>
  <c r="CX494" i="13" a="1"/>
  <c r="CX494" i="13" s="1"/>
  <c r="CY494" i="13" a="1"/>
  <c r="CY494" i="13" s="1"/>
  <c r="BX468" i="13"/>
  <c r="BY468" i="13" s="1"/>
  <c r="BZ468" i="13" s="1" a="1"/>
  <c r="BZ468" i="13" s="1"/>
  <c r="CR460" i="13"/>
  <c r="CS460" i="13" s="1"/>
  <c r="CT460" i="13" s="1" a="1"/>
  <c r="CT460" i="13" s="1"/>
  <c r="BX449" i="13"/>
  <c r="BY449" i="13" s="1"/>
  <c r="BZ449" i="13" s="1" a="1"/>
  <c r="BZ449" i="13" s="1"/>
  <c r="CV660" i="13"/>
  <c r="CW660" i="13" s="1"/>
  <c r="CT581" i="13" a="1"/>
  <c r="CT581" i="13" s="1"/>
  <c r="BP537" i="13"/>
  <c r="BQ537" i="13" s="1"/>
  <c r="BR537" i="13" s="1" a="1"/>
  <c r="BR537" i="13" s="1"/>
  <c r="CD410" i="13" a="1"/>
  <c r="CD410" i="13" s="1"/>
  <c r="CE410" i="13" a="1"/>
  <c r="CE410" i="13" s="1"/>
  <c r="CY368" i="13" a="1"/>
  <c r="CY368" i="13" s="1"/>
  <c r="CX368" i="13" a="1"/>
  <c r="CX368" i="13" s="1"/>
  <c r="CE302" i="13" a="1"/>
  <c r="CE302" i="13" s="1"/>
  <c r="CD302" i="13" a="1"/>
  <c r="CD302" i="13" s="1"/>
  <c r="BX273" i="13"/>
  <c r="BY273" i="13" s="1"/>
  <c r="BZ273" i="13" s="1" a="1"/>
  <c r="BZ273" i="13" s="1"/>
  <c r="BZ264" i="13" a="1"/>
  <c r="BZ264" i="13" s="1"/>
  <c r="CX246" i="13" a="1"/>
  <c r="CX246" i="13" s="1"/>
  <c r="CZ246" i="13" s="1"/>
  <c r="Z246" i="13" s="1"/>
  <c r="CY246" i="13" a="1"/>
  <c r="CY246" i="13" s="1"/>
  <c r="CY182" i="13" a="1"/>
  <c r="CY182" i="13" s="1"/>
  <c r="CX182" i="13" a="1"/>
  <c r="CX182" i="13" s="1"/>
  <c r="CV180" i="13"/>
  <c r="CW180" i="13" s="1"/>
  <c r="CT688" i="13" a="1"/>
  <c r="CT688" i="13" s="1"/>
  <c r="CZ688" i="13" s="1"/>
  <c r="Z688" i="13" s="1"/>
  <c r="CV657" i="13"/>
  <c r="CW657" i="13" s="1"/>
  <c r="CV650" i="13"/>
  <c r="CW650" i="13" s="1"/>
  <c r="CV627" i="13"/>
  <c r="CW627" i="13" s="1"/>
  <c r="CD558" i="13" a="1"/>
  <c r="CD558" i="13" s="1"/>
  <c r="CV517" i="13"/>
  <c r="CW517" i="13" s="1"/>
  <c r="BP475" i="13"/>
  <c r="BQ475" i="13" s="1"/>
  <c r="BR475" i="13" s="1" a="1"/>
  <c r="BR475" i="13" s="1"/>
  <c r="CJ475" i="13"/>
  <c r="CK475" i="13" s="1"/>
  <c r="CL475" i="13" s="1" a="1"/>
  <c r="CL475" i="13" s="1"/>
  <c r="BT475" i="13"/>
  <c r="BU475" i="13" s="1"/>
  <c r="BZ475" i="13" s="1" a="1"/>
  <c r="BZ475" i="13" s="1"/>
  <c r="BX464" i="13"/>
  <c r="BY464" i="13" s="1"/>
  <c r="CD464" i="13" s="1" a="1"/>
  <c r="CD464" i="13" s="1"/>
  <c r="CF382" i="13"/>
  <c r="R382" i="13" s="1"/>
  <c r="CZ325" i="13"/>
  <c r="Z325" i="13" s="1"/>
  <c r="CD244" i="13" a="1"/>
  <c r="CD244" i="13" s="1"/>
  <c r="CE244" i="13" a="1"/>
  <c r="CE244" i="13" s="1"/>
  <c r="BT223" i="13"/>
  <c r="BU223" i="13" s="1"/>
  <c r="CE224" i="13" a="1"/>
  <c r="CE224" i="13" s="1"/>
  <c r="CD224" i="13" a="1"/>
  <c r="CD224" i="13" s="1"/>
  <c r="CX202" i="13" a="1"/>
  <c r="CX202" i="13" s="1"/>
  <c r="CY202" i="13" a="1"/>
  <c r="CY202" i="13" s="1"/>
  <c r="CX198" i="13" a="1"/>
  <c r="CX198" i="13" s="1"/>
  <c r="CY198" i="13" a="1"/>
  <c r="CY198" i="13" s="1"/>
  <c r="CD690" i="13" a="1"/>
  <c r="CD690" i="13" s="1"/>
  <c r="BX679" i="13"/>
  <c r="BY679" i="13" s="1"/>
  <c r="BZ679" i="13" s="1" a="1"/>
  <c r="BZ679" i="13" s="1"/>
  <c r="CP607" i="13" a="1"/>
  <c r="CP607" i="13" s="1"/>
  <c r="CV576" i="13"/>
  <c r="CW576" i="13" s="1"/>
  <c r="BZ528" i="13" a="1"/>
  <c r="BZ528" i="13" s="1"/>
  <c r="CP492" i="13" a="1"/>
  <c r="CP492" i="13" s="1"/>
  <c r="CZ492" i="13" s="1"/>
  <c r="Z492" i="13" s="1"/>
  <c r="BP470" i="13"/>
  <c r="BQ470" i="13" s="1"/>
  <c r="BR470" i="13" s="1" a="1"/>
  <c r="BR470" i="13" s="1"/>
  <c r="BT436" i="13"/>
  <c r="BU436" i="13" s="1"/>
  <c r="BV436" i="13" s="1" a="1"/>
  <c r="BV436" i="13" s="1"/>
  <c r="CJ361" i="13"/>
  <c r="CK361" i="13" s="1"/>
  <c r="CL361" i="13" s="1" a="1"/>
  <c r="CL361" i="13" s="1"/>
  <c r="CX353" i="13" a="1"/>
  <c r="CX353" i="13" s="1"/>
  <c r="CZ353" i="13" s="1"/>
  <c r="Z353" i="13" s="1"/>
  <c r="CV322" i="13"/>
  <c r="CW322" i="13" s="1"/>
  <c r="CB275" i="13"/>
  <c r="CC275" i="13" s="1"/>
  <c r="CY266" i="13" a="1"/>
  <c r="CY266" i="13" s="1"/>
  <c r="CX266" i="13" a="1"/>
  <c r="CX266" i="13" s="1"/>
  <c r="BV705" i="13" a="1"/>
  <c r="BV705" i="13" s="1"/>
  <c r="CF705" i="13" s="1"/>
  <c r="R705" i="13" s="1"/>
  <c r="AF705" i="13" s="1"/>
  <c r="BX641" i="13"/>
  <c r="BY641" i="13" s="1"/>
  <c r="BZ641" i="13" s="1" a="1"/>
  <c r="BZ641" i="13" s="1"/>
  <c r="CJ604" i="13"/>
  <c r="CK604" i="13" s="1"/>
  <c r="CL604" i="13" s="1" a="1"/>
  <c r="CL604" i="13" s="1"/>
  <c r="BX582" i="13"/>
  <c r="BY582" i="13" s="1"/>
  <c r="BZ582" i="13" s="1" a="1"/>
  <c r="BZ582" i="13" s="1"/>
  <c r="CP556" i="13" a="1"/>
  <c r="CP556" i="13" s="1"/>
  <c r="BP531" i="13"/>
  <c r="BQ531" i="13" s="1"/>
  <c r="BR531" i="13" s="1" a="1"/>
  <c r="BR531" i="13" s="1"/>
  <c r="CT421" i="13" a="1"/>
  <c r="CT421" i="13" s="1"/>
  <c r="CP421" i="13" a="1"/>
  <c r="CP421" i="13" s="1"/>
  <c r="CN440" i="13"/>
  <c r="CO440" i="13" s="1"/>
  <c r="CB394" i="13"/>
  <c r="CC394" i="13" s="1"/>
  <c r="CR357" i="13"/>
  <c r="CS357" i="13" s="1"/>
  <c r="CT357" i="13" s="1" a="1"/>
  <c r="CT357" i="13" s="1"/>
  <c r="BT263" i="13"/>
  <c r="BU263" i="13" s="1"/>
  <c r="CN563" i="13"/>
  <c r="CO563" i="13" s="1"/>
  <c r="CP563" i="13" s="1" a="1"/>
  <c r="CP563" i="13" s="1"/>
  <c r="BP525" i="13"/>
  <c r="BQ525" i="13" s="1"/>
  <c r="BR525" i="13" s="1" a="1"/>
  <c r="BR525" i="13" s="1"/>
  <c r="CV459" i="13"/>
  <c r="CW459" i="13" s="1"/>
  <c r="CF391" i="13"/>
  <c r="R391" i="13" s="1"/>
  <c r="BZ383" i="13" a="1"/>
  <c r="BZ383" i="13" s="1"/>
  <c r="BV360" i="13" a="1"/>
  <c r="BV360" i="13" s="1"/>
  <c r="CX289" i="13" a="1"/>
  <c r="CX289" i="13" s="1"/>
  <c r="CY289" i="13" a="1"/>
  <c r="CY289" i="13" s="1"/>
  <c r="CX244" i="13" a="1"/>
  <c r="CX244" i="13" s="1"/>
  <c r="CY244" i="13" a="1"/>
  <c r="CY244" i="13" s="1"/>
  <c r="CV225" i="13"/>
  <c r="CW225" i="13" s="1"/>
  <c r="CT228" i="13" a="1"/>
  <c r="CT228" i="13" s="1"/>
  <c r="CP202" i="13" a="1"/>
  <c r="CP202" i="13" s="1"/>
  <c r="BV733" i="13" a="1"/>
  <c r="BV733" i="13" s="1"/>
  <c r="CX595" i="13" a="1"/>
  <c r="CX595" i="13" s="1"/>
  <c r="CT583" i="13" a="1"/>
  <c r="CT583" i="13" s="1"/>
  <c r="BZ587" i="13" a="1"/>
  <c r="BZ587" i="13" s="1"/>
  <c r="CF587" i="13" s="1"/>
  <c r="R587" i="13" s="1"/>
  <c r="CX482" i="13" a="1"/>
  <c r="CX482" i="13" s="1"/>
  <c r="CY482" i="13" a="1"/>
  <c r="CY482" i="13" s="1"/>
  <c r="CR471" i="13"/>
  <c r="CS471" i="13" s="1"/>
  <c r="CT471" i="13" s="1" a="1"/>
  <c r="CT471" i="13" s="1"/>
  <c r="BT463" i="13"/>
  <c r="BU463" i="13" s="1"/>
  <c r="BV463" i="13" s="1" a="1"/>
  <c r="BV463" i="13" s="1"/>
  <c r="BX440" i="13"/>
  <c r="BY440" i="13" s="1"/>
  <c r="BZ440" i="13" s="1" a="1"/>
  <c r="BZ440" i="13" s="1"/>
  <c r="BV421" i="13" a="1"/>
  <c r="BV421" i="13" s="1"/>
  <c r="CJ433" i="13"/>
  <c r="CK433" i="13" s="1"/>
  <c r="CL433" i="13" s="1" a="1"/>
  <c r="CL433" i="13" s="1"/>
  <c r="CP365" i="13" a="1"/>
  <c r="CP365" i="13" s="1"/>
  <c r="CR371" i="13"/>
  <c r="CS371" i="13" s="1"/>
  <c r="CX331" i="13" a="1"/>
  <c r="CX331" i="13" s="1"/>
  <c r="CY331" i="13" a="1"/>
  <c r="CY331" i="13" s="1"/>
  <c r="CV324" i="13"/>
  <c r="CW324" i="13" s="1"/>
  <c r="CF283" i="13"/>
  <c r="R283" i="13" s="1"/>
  <c r="BX256" i="13"/>
  <c r="BY256" i="13" s="1"/>
  <c r="CE255" i="13" a="1"/>
  <c r="CE255" i="13" s="1"/>
  <c r="CD255" i="13" a="1"/>
  <c r="CD255" i="13" s="1"/>
  <c r="CF230" i="13"/>
  <c r="R230" i="13" s="1"/>
  <c r="BP233" i="13"/>
  <c r="BQ233" i="13" s="1"/>
  <c r="BR233" i="13" s="1" a="1"/>
  <c r="BR233" i="13" s="1"/>
  <c r="CX219" i="13" a="1"/>
  <c r="CX219" i="13" s="1"/>
  <c r="CZ219" i="13" s="1"/>
  <c r="Z219" i="13" s="1"/>
  <c r="CV178" i="13"/>
  <c r="CW178" i="13" s="1"/>
  <c r="BX177" i="13"/>
  <c r="BY177" i="13" s="1"/>
  <c r="BZ177" i="13" s="1" a="1"/>
  <c r="BZ177" i="13" s="1"/>
  <c r="CZ158" i="13"/>
  <c r="Z158" i="13" s="1"/>
  <c r="CX694" i="13" a="1"/>
  <c r="CX694" i="13" s="1"/>
  <c r="CT528" i="13" a="1"/>
  <c r="CT528" i="13" s="1"/>
  <c r="CZ528" i="13" s="1"/>
  <c r="Z528" i="13" s="1"/>
  <c r="CB521" i="13"/>
  <c r="CC521" i="13" s="1"/>
  <c r="CD421" i="13" a="1"/>
  <c r="CD421" i="13" s="1"/>
  <c r="CE421" i="13" a="1"/>
  <c r="CE421" i="13" s="1"/>
  <c r="CD423" i="13" a="1"/>
  <c r="CD423" i="13" s="1"/>
  <c r="CE423" i="13" a="1"/>
  <c r="CE423" i="13" s="1"/>
  <c r="CP408" i="13" a="1"/>
  <c r="CP408" i="13" s="1"/>
  <c r="CF395" i="13"/>
  <c r="R395" i="13" s="1"/>
  <c r="AF395" i="13" s="1"/>
  <c r="CY381" i="13" a="1"/>
  <c r="CY381" i="13" s="1"/>
  <c r="CX381" i="13" a="1"/>
  <c r="CX381" i="13" s="1"/>
  <c r="CB373" i="13"/>
  <c r="CC373" i="13" s="1"/>
  <c r="CV350" i="13"/>
  <c r="CW350" i="13" s="1"/>
  <c r="CD330" i="13" a="1"/>
  <c r="CD330" i="13" s="1"/>
  <c r="CE330" i="13" a="1"/>
  <c r="CE330" i="13" s="1"/>
  <c r="BX267" i="13"/>
  <c r="BY267" i="13" s="1"/>
  <c r="CD267" i="13" s="1" a="1"/>
  <c r="CD267" i="13" s="1"/>
  <c r="CT240" i="13" a="1"/>
  <c r="CT240" i="13" s="1"/>
  <c r="BP186" i="13"/>
  <c r="BQ186" i="13" s="1"/>
  <c r="BR186" i="13" s="1" a="1"/>
  <c r="BR186" i="13" s="1"/>
  <c r="BP166" i="13"/>
  <c r="BQ166" i="13" s="1"/>
  <c r="BR166" i="13" s="1" a="1"/>
  <c r="BR166" i="13" s="1"/>
  <c r="CD694" i="13" a="1"/>
  <c r="CD694" i="13" s="1"/>
  <c r="CJ630" i="13"/>
  <c r="CK630" i="13" s="1"/>
  <c r="CL630" i="13" s="1" a="1"/>
  <c r="CL630" i="13" s="1"/>
  <c r="CX593" i="13" a="1"/>
  <c r="CX593" i="13" s="1"/>
  <c r="CX612" i="13" a="1"/>
  <c r="CX612" i="13" s="1"/>
  <c r="CV594" i="13"/>
  <c r="CW594" i="13" s="1"/>
  <c r="CT462" i="13" a="1"/>
  <c r="CT462" i="13" s="1"/>
  <c r="CF466" i="13"/>
  <c r="R466" i="13" s="1"/>
  <c r="CJ436" i="13"/>
  <c r="CK436" i="13" s="1"/>
  <c r="CL436" i="13" s="1" a="1"/>
  <c r="CL436" i="13" s="1"/>
  <c r="CJ446" i="13"/>
  <c r="CK446" i="13" s="1"/>
  <c r="CL446" i="13" s="1" a="1"/>
  <c r="CL446" i="13" s="1"/>
  <c r="BZ415" i="13" a="1"/>
  <c r="BZ415" i="13" s="1"/>
  <c r="CF415" i="13" s="1"/>
  <c r="R415" i="13" s="1"/>
  <c r="CE425" i="13" a="1"/>
  <c r="CE425" i="13" s="1"/>
  <c r="CD425" i="13" a="1"/>
  <c r="CD425" i="13" s="1"/>
  <c r="CY403" i="13" a="1"/>
  <c r="CY403" i="13" s="1"/>
  <c r="CX403" i="13" a="1"/>
  <c r="CX403" i="13" s="1"/>
  <c r="CY375" i="13" a="1"/>
  <c r="CY375" i="13" s="1"/>
  <c r="CX375" i="13" a="1"/>
  <c r="CX375" i="13" s="1"/>
  <c r="BV385" i="13" a="1"/>
  <c r="BV385" i="13" s="1"/>
  <c r="CN334" i="13"/>
  <c r="CO334" i="13" s="1"/>
  <c r="CP334" i="13" s="1" a="1"/>
  <c r="CP334" i="13" s="1"/>
  <c r="CJ301" i="13"/>
  <c r="CK301" i="13" s="1"/>
  <c r="CL301" i="13" s="1" a="1"/>
  <c r="CL301" i="13" s="1"/>
  <c r="BP324" i="13"/>
  <c r="BQ324" i="13" s="1"/>
  <c r="BR324" i="13" s="1" a="1"/>
  <c r="BR324" i="13" s="1"/>
  <c r="CD274" i="13" a="1"/>
  <c r="CD274" i="13" s="1"/>
  <c r="CE274" i="13" a="1"/>
  <c r="CE274" i="13" s="1"/>
  <c r="BX275" i="13"/>
  <c r="BY275" i="13" s="1"/>
  <c r="BZ275" i="13" s="1" a="1"/>
  <c r="BZ275" i="13" s="1"/>
  <c r="CT287" i="13" a="1"/>
  <c r="CT287" i="13" s="1"/>
  <c r="CZ215" i="13"/>
  <c r="Z215" i="13" s="1"/>
  <c r="CP232" i="13" a="1"/>
  <c r="CP232" i="13" s="1"/>
  <c r="CZ232" i="13" s="1"/>
  <c r="Z232" i="13" s="1"/>
  <c r="CX213" i="13" a="1"/>
  <c r="CX213" i="13" s="1"/>
  <c r="CY213" i="13" a="1"/>
  <c r="CY213" i="13" s="1"/>
  <c r="BX204" i="13"/>
  <c r="BY204" i="13" s="1"/>
  <c r="BZ204" i="13" s="1" a="1"/>
  <c r="BZ204" i="13" s="1"/>
  <c r="BX186" i="13"/>
  <c r="BY186" i="13" s="1"/>
  <c r="BZ186" i="13" s="1" a="1"/>
  <c r="BZ186" i="13" s="1"/>
  <c r="BT178" i="13"/>
  <c r="BU178" i="13" s="1"/>
  <c r="CT384" i="13" a="1"/>
  <c r="CT384" i="13" s="1"/>
  <c r="BZ335" i="13" a="1"/>
  <c r="BZ335" i="13" s="1"/>
  <c r="CD289" i="13" a="1"/>
  <c r="CD289" i="13" s="1"/>
  <c r="CF289" i="13" s="1"/>
  <c r="R289" i="13" s="1"/>
  <c r="BT179" i="13"/>
  <c r="BU179" i="13" s="1"/>
  <c r="BV179" i="13" s="1" a="1"/>
  <c r="BV179" i="13" s="1"/>
  <c r="CD155" i="13" a="1"/>
  <c r="CD155" i="13" s="1"/>
  <c r="CE155" i="13" a="1"/>
  <c r="CE155" i="13" s="1"/>
  <c r="BZ296" i="13" a="1"/>
  <c r="BZ296" i="13" s="1"/>
  <c r="CD277" i="13" a="1"/>
  <c r="CD277" i="13" s="1"/>
  <c r="BV248" i="13" a="1"/>
  <c r="BV248" i="13" s="1"/>
  <c r="CN172" i="13"/>
  <c r="CO172" i="13" s="1"/>
  <c r="CP172" i="13" s="1" a="1"/>
  <c r="CP172" i="13" s="1"/>
  <c r="BX181" i="13"/>
  <c r="BY181" i="13" s="1"/>
  <c r="CN181" i="13"/>
  <c r="CO181" i="13" s="1"/>
  <c r="CB181" i="13"/>
  <c r="CC181" i="13" s="1"/>
  <c r="CJ181" i="13"/>
  <c r="CK181" i="13" s="1"/>
  <c r="CL181" i="13" s="1" a="1"/>
  <c r="CL181" i="13" s="1"/>
  <c r="BP181" i="13"/>
  <c r="BQ181" i="13" s="1"/>
  <c r="BR181" i="13" s="1" a="1"/>
  <c r="BR181" i="13" s="1"/>
  <c r="CV181" i="13"/>
  <c r="CW181" i="13" s="1"/>
  <c r="BT181" i="13"/>
  <c r="BU181" i="13" s="1"/>
  <c r="CD153" i="13" a="1"/>
  <c r="CD153" i="13" s="1"/>
  <c r="CE153" i="13" a="1"/>
  <c r="CE153" i="13" s="1"/>
  <c r="CE124" i="13" a="1"/>
  <c r="CE124" i="13" s="1"/>
  <c r="CD124" i="13" a="1"/>
  <c r="CD124" i="13" s="1"/>
  <c r="CF325" i="13"/>
  <c r="R325" i="13" s="1"/>
  <c r="AF205" i="13"/>
  <c r="CB167" i="13"/>
  <c r="CC167" i="13" s="1"/>
  <c r="BP167" i="13"/>
  <c r="BQ167" i="13" s="1"/>
  <c r="BR167" i="13" s="1" a="1"/>
  <c r="BR167" i="13" s="1"/>
  <c r="BT167" i="13"/>
  <c r="BU167" i="13" s="1"/>
  <c r="BV167" i="13" s="1" a="1"/>
  <c r="BV167" i="13" s="1"/>
  <c r="BX167" i="13"/>
  <c r="BY167" i="13" s="1"/>
  <c r="BZ167" i="13" s="1" a="1"/>
  <c r="BZ167" i="13" s="1"/>
  <c r="CE150" i="13" a="1"/>
  <c r="CE150" i="13" s="1"/>
  <c r="CD150" i="13" a="1"/>
  <c r="CD150" i="13" s="1"/>
  <c r="CN433" i="13"/>
  <c r="CO433" i="13" s="1"/>
  <c r="CT433" i="13" s="1" a="1"/>
  <c r="CT433" i="13" s="1"/>
  <c r="CD403" i="13" a="1"/>
  <c r="CD403" i="13" s="1"/>
  <c r="CP376" i="13" a="1"/>
  <c r="CP376" i="13" s="1"/>
  <c r="CX264" i="13" a="1"/>
  <c r="CX264" i="13" s="1"/>
  <c r="CZ264" i="13" s="1"/>
  <c r="Z264" i="13" s="1"/>
  <c r="CX217" i="13" a="1"/>
  <c r="CX217" i="13" s="1"/>
  <c r="CN204" i="13"/>
  <c r="CO204" i="13" s="1"/>
  <c r="CP204" i="13" s="1" a="1"/>
  <c r="CP204" i="13" s="1"/>
  <c r="CT139" i="13" a="1"/>
  <c r="CT139" i="13" s="1"/>
  <c r="CY128" i="13" a="1"/>
  <c r="CY128" i="13" s="1"/>
  <c r="CX128" i="13" a="1"/>
  <c r="CX128" i="13" s="1"/>
  <c r="CT408" i="13" a="1"/>
  <c r="CT408" i="13" s="1"/>
  <c r="CX379" i="13" a="1"/>
  <c r="CX379" i="13" s="1"/>
  <c r="CJ334" i="13"/>
  <c r="CK334" i="13" s="1"/>
  <c r="CL334" i="13" s="1" a="1"/>
  <c r="CL334" i="13" s="1"/>
  <c r="CD304" i="13" a="1"/>
  <c r="CD304" i="13" s="1"/>
  <c r="CP280" i="13" a="1"/>
  <c r="CP280" i="13" s="1"/>
  <c r="CZ280" i="13" s="1"/>
  <c r="Z280" i="13" s="1"/>
  <c r="BV184" i="13" a="1"/>
  <c r="BV184" i="13" s="1"/>
  <c r="CF184" i="13" s="1"/>
  <c r="R184" i="13" s="1"/>
  <c r="AF184" i="13" s="1"/>
  <c r="CJ123" i="13"/>
  <c r="CK123" i="13" s="1"/>
  <c r="CL123" i="13" s="1" a="1"/>
  <c r="CL123" i="13" s="1"/>
  <c r="BP123" i="13"/>
  <c r="BQ123" i="13" s="1"/>
  <c r="BR123" i="13" s="1" a="1"/>
  <c r="BR123" i="13" s="1"/>
  <c r="BV182" i="13" a="1"/>
  <c r="BV182" i="13" s="1"/>
  <c r="CV367" i="13"/>
  <c r="CW367" i="13" s="1"/>
  <c r="BX336" i="13"/>
  <c r="BY336" i="13" s="1"/>
  <c r="BZ336" i="13" s="1" a="1"/>
  <c r="BZ336" i="13" s="1"/>
  <c r="BV246" i="13" a="1"/>
  <c r="BV246" i="13" s="1"/>
  <c r="BP204" i="13"/>
  <c r="BQ204" i="13" s="1"/>
  <c r="BR204" i="13" s="1" a="1"/>
  <c r="BR204" i="13" s="1"/>
  <c r="CJ173" i="13"/>
  <c r="CK173" i="13" s="1"/>
  <c r="CL173" i="13" s="1" a="1"/>
  <c r="CL173" i="13" s="1"/>
  <c r="CZ144" i="13"/>
  <c r="Z144" i="13" s="1"/>
  <c r="CB131" i="13"/>
  <c r="CC131" i="13" s="1"/>
  <c r="BV215" i="13" a="1"/>
  <c r="BV215" i="13" s="1"/>
  <c r="CD209" i="13" a="1"/>
  <c r="CD209" i="13" s="1"/>
  <c r="CF209" i="13" s="1"/>
  <c r="R209" i="13" s="1"/>
  <c r="CT165" i="13" a="1"/>
  <c r="CT165" i="13" s="1"/>
  <c r="BP154" i="13"/>
  <c r="BQ154" i="13" s="1"/>
  <c r="BR154" i="13" s="1" a="1"/>
  <c r="BR154" i="13" s="1"/>
  <c r="BX137" i="13"/>
  <c r="BY137" i="13" s="1"/>
  <c r="BZ137" i="13" s="1" a="1"/>
  <c r="BZ137" i="13" s="1"/>
  <c r="BX123" i="13"/>
  <c r="BY123" i="13" s="1"/>
  <c r="BZ123" i="13" s="1" a="1"/>
  <c r="BZ123" i="13" s="1"/>
  <c r="CD141" i="13" a="1"/>
  <c r="CD141" i="13" s="1"/>
  <c r="CF141" i="13" s="1"/>
  <c r="R141" i="13" s="1"/>
  <c r="BV144" i="13" a="1"/>
  <c r="BV144" i="13" s="1"/>
  <c r="CF144" i="13" s="1"/>
  <c r="R144" i="13" s="1"/>
  <c r="CP124" i="13" a="1"/>
  <c r="CP124" i="13" s="1"/>
  <c r="BV148" i="13" a="1"/>
  <c r="BV148" i="13" s="1"/>
  <c r="BV143" i="13" a="1"/>
  <c r="BV143" i="13" s="1"/>
  <c r="CF143" i="13" s="1"/>
  <c r="R143" i="13" s="1"/>
  <c r="CY900" i="13" a="1"/>
  <c r="CY900" i="13" s="1"/>
  <c r="CX900" i="13" a="1"/>
  <c r="CX900" i="13" s="1"/>
  <c r="BV980" i="13" a="1"/>
  <c r="BV980" i="13" s="1"/>
  <c r="CX933" i="13" a="1"/>
  <c r="CX933" i="13" s="1"/>
  <c r="CY933" i="13" a="1"/>
  <c r="CY933" i="13" s="1"/>
  <c r="CZ954" i="13"/>
  <c r="Z954" i="13" s="1"/>
  <c r="CP902" i="13" a="1"/>
  <c r="CP902" i="13" s="1"/>
  <c r="CZ823" i="13"/>
  <c r="Z823" i="13" s="1"/>
  <c r="BZ986" i="13" a="1"/>
  <c r="BZ986" i="13" s="1"/>
  <c r="CZ961" i="13"/>
  <c r="Z961" i="13" s="1"/>
  <c r="CX909" i="13" a="1"/>
  <c r="CX909" i="13" s="1"/>
  <c r="CY909" i="13" a="1"/>
  <c r="CY909" i="13" s="1"/>
  <c r="CZ890" i="13"/>
  <c r="Z890" i="13" s="1"/>
  <c r="CY987" i="13" a="1"/>
  <c r="CY987" i="13" s="1"/>
  <c r="CX987" i="13" a="1"/>
  <c r="CX987" i="13" s="1"/>
  <c r="CV1000" i="13"/>
  <c r="CW1000" i="13" s="1"/>
  <c r="CD973" i="13" a="1"/>
  <c r="CD973" i="13" s="1"/>
  <c r="CE973" i="13" a="1"/>
  <c r="CE973" i="13" s="1"/>
  <c r="CZ976" i="13"/>
  <c r="Z976" i="13" s="1"/>
  <c r="CX984" i="13" a="1"/>
  <c r="CX984" i="13" s="1"/>
  <c r="CY984" i="13" a="1"/>
  <c r="CY984" i="13" s="1"/>
  <c r="CT948" i="13" a="1"/>
  <c r="CT948" i="13" s="1"/>
  <c r="CY848" i="13" a="1"/>
  <c r="CY848" i="13" s="1"/>
  <c r="CX848" i="13" a="1"/>
  <c r="CX848" i="13" s="1"/>
  <c r="CN865" i="13"/>
  <c r="CO865" i="13" s="1"/>
  <c r="CP865" i="13" s="1" a="1"/>
  <c r="CP865" i="13" s="1"/>
  <c r="BT855" i="13"/>
  <c r="BU855" i="13" s="1"/>
  <c r="BV855" i="13" s="1" a="1"/>
  <c r="BV855" i="13" s="1"/>
  <c r="CD807" i="13" a="1"/>
  <c r="CD807" i="13" s="1"/>
  <c r="CE807" i="13" a="1"/>
  <c r="CE807" i="13" s="1"/>
  <c r="CJ1007" i="13"/>
  <c r="CK1007" i="13" s="1"/>
  <c r="CL1007" i="13" s="1" a="1"/>
  <c r="CL1007" i="13" s="1"/>
  <c r="BZ982" i="13" a="1"/>
  <c r="BZ982" i="13" s="1"/>
  <c r="CT964" i="13" a="1"/>
  <c r="CT964" i="13" s="1"/>
  <c r="CZ964" i="13" s="1"/>
  <c r="Z964" i="13" s="1"/>
  <c r="CX989" i="13" a="1"/>
  <c r="CX989" i="13" s="1"/>
  <c r="CY989" i="13" a="1"/>
  <c r="CY989" i="13" s="1"/>
  <c r="CY965" i="13" a="1"/>
  <c r="CY965" i="13" s="1"/>
  <c r="CX965" i="13" a="1"/>
  <c r="CX965" i="13" s="1"/>
  <c r="CP952" i="13" a="1"/>
  <c r="CP952" i="13" s="1"/>
  <c r="BV892" i="13" a="1"/>
  <c r="BV892" i="13" s="1"/>
  <c r="CE844" i="13" a="1"/>
  <c r="CE844" i="13" s="1"/>
  <c r="CD844" i="13" a="1"/>
  <c r="CD844" i="13" s="1"/>
  <c r="CP842" i="13" a="1"/>
  <c r="CP842" i="13" s="1"/>
  <c r="CF874" i="13"/>
  <c r="R874" i="13" s="1"/>
  <c r="CJ796" i="13"/>
  <c r="CK796" i="13" s="1"/>
  <c r="CL796" i="13" s="1" a="1"/>
  <c r="CL796" i="13" s="1"/>
  <c r="CP791" i="13" a="1"/>
  <c r="CP791" i="13" s="1"/>
  <c r="CZ791" i="13" s="1"/>
  <c r="Z791" i="13" s="1"/>
  <c r="BX784" i="13"/>
  <c r="BY784" i="13" s="1"/>
  <c r="CV924" i="13"/>
  <c r="CW924" i="13" s="1"/>
  <c r="CY941" i="13" a="1"/>
  <c r="CY941" i="13" s="1"/>
  <c r="CX941" i="13" a="1"/>
  <c r="CX941" i="13" s="1"/>
  <c r="CX902" i="13" a="1"/>
  <c r="CX902" i="13" s="1"/>
  <c r="CY902" i="13" a="1"/>
  <c r="CY902" i="13" s="1"/>
  <c r="CE941" i="13" a="1"/>
  <c r="CE941" i="13" s="1"/>
  <c r="CD941" i="13" a="1"/>
  <c r="CD941" i="13" s="1"/>
  <c r="BZ955" i="13" a="1"/>
  <c r="BZ955" i="13" s="1"/>
  <c r="CX878" i="13" a="1"/>
  <c r="CX878" i="13" s="1"/>
  <c r="CY878" i="13" a="1"/>
  <c r="CY878" i="13" s="1"/>
  <c r="BX891" i="13"/>
  <c r="BY891" i="13" s="1"/>
  <c r="BZ891" i="13" s="1" a="1"/>
  <c r="BZ891" i="13" s="1"/>
  <c r="CT874" i="13" a="1"/>
  <c r="CT874" i="13" s="1"/>
  <c r="BV783" i="13" a="1"/>
  <c r="BV783" i="13" s="1"/>
  <c r="BP792" i="13"/>
  <c r="BQ792" i="13" s="1"/>
  <c r="BR792" i="13" s="1" a="1"/>
  <c r="BR792" i="13" s="1"/>
  <c r="BZ791" i="13" a="1"/>
  <c r="BZ791" i="13" s="1"/>
  <c r="BV962" i="13" a="1"/>
  <c r="BV962" i="13" s="1"/>
  <c r="CE927" i="13" a="1"/>
  <c r="CE927" i="13" s="1"/>
  <c r="CD927" i="13" a="1"/>
  <c r="CD927" i="13" s="1"/>
  <c r="CX970" i="13" a="1"/>
  <c r="CX970" i="13" s="1"/>
  <c r="CY970" i="13" a="1"/>
  <c r="CY970" i="13" s="1"/>
  <c r="CB991" i="13"/>
  <c r="CC991" i="13" s="1"/>
  <c r="CD939" i="13" a="1"/>
  <c r="CD939" i="13" s="1"/>
  <c r="CE939" i="13" a="1"/>
  <c r="CE939" i="13" s="1"/>
  <c r="CF949" i="13"/>
  <c r="R949" i="13" s="1"/>
  <c r="CF1016" i="13"/>
  <c r="R1016" i="13" s="1"/>
  <c r="CD956" i="13" a="1"/>
  <c r="CD956" i="13" s="1"/>
  <c r="CE956" i="13" a="1"/>
  <c r="CE956" i="13" s="1"/>
  <c r="CB895" i="13"/>
  <c r="CC895" i="13" s="1"/>
  <c r="CP872" i="13" a="1"/>
  <c r="CP872" i="13" s="1"/>
  <c r="CZ872" i="13" s="1"/>
  <c r="Z872" i="13" s="1"/>
  <c r="BP901" i="13"/>
  <c r="BQ901" i="13" s="1"/>
  <c r="BR901" i="13" s="1" a="1"/>
  <c r="BR901" i="13" s="1"/>
  <c r="CE842" i="13" a="1"/>
  <c r="CE842" i="13" s="1"/>
  <c r="CD842" i="13" a="1"/>
  <c r="CD842" i="13" s="1"/>
  <c r="CD834" i="13" a="1"/>
  <c r="CD834" i="13" s="1"/>
  <c r="CE834" i="13" a="1"/>
  <c r="CE834" i="13" s="1"/>
  <c r="CF815" i="13"/>
  <c r="R815" i="13" s="1"/>
  <c r="CJ800" i="13"/>
  <c r="CK800" i="13" s="1"/>
  <c r="CL800" i="13" s="1" a="1"/>
  <c r="CL800" i="13" s="1"/>
  <c r="BX820" i="13"/>
  <c r="BY820" i="13" s="1"/>
  <c r="CN1010" i="13"/>
  <c r="CO1010" i="13" s="1"/>
  <c r="CP1010" i="13" s="1" a="1"/>
  <c r="CP1010" i="13" s="1"/>
  <c r="CE905" i="13" a="1"/>
  <c r="CE905" i="13" s="1"/>
  <c r="CD905" i="13" a="1"/>
  <c r="CD905" i="13" s="1"/>
  <c r="CF931" i="13"/>
  <c r="R931" i="13" s="1"/>
  <c r="CD896" i="13" a="1"/>
  <c r="CD896" i="13" s="1"/>
  <c r="CE896" i="13" a="1"/>
  <c r="CE896" i="13" s="1"/>
  <c r="CD909" i="13" a="1"/>
  <c r="CD909" i="13" s="1"/>
  <c r="CE909" i="13" a="1"/>
  <c r="CE909" i="13" s="1"/>
  <c r="CP941" i="13" a="1"/>
  <c r="CP941" i="13" s="1"/>
  <c r="CZ941" i="13" s="1"/>
  <c r="Z941" i="13" s="1"/>
  <c r="BV974" i="13" a="1"/>
  <c r="BV974" i="13" s="1"/>
  <c r="CX940" i="13" a="1"/>
  <c r="CX940" i="13" s="1"/>
  <c r="CY940" i="13" a="1"/>
  <c r="CY940" i="13" s="1"/>
  <c r="CJ998" i="13"/>
  <c r="CK998" i="13" s="1"/>
  <c r="CL998" i="13" s="1" a="1"/>
  <c r="CL998" i="13" s="1"/>
  <c r="CT946" i="13" a="1"/>
  <c r="CT946" i="13" s="1"/>
  <c r="CD940" i="13" a="1"/>
  <c r="CD940" i="13" s="1"/>
  <c r="CE940" i="13" a="1"/>
  <c r="CE940" i="13" s="1"/>
  <c r="CJ924" i="13"/>
  <c r="CK924" i="13" s="1"/>
  <c r="CL924" i="13" s="1" a="1"/>
  <c r="CL924" i="13" s="1"/>
  <c r="CJ908" i="13"/>
  <c r="CK908" i="13" s="1"/>
  <c r="CL908" i="13" s="1" a="1"/>
  <c r="CL908" i="13" s="1"/>
  <c r="BX883" i="13"/>
  <c r="BY883" i="13" s="1"/>
  <c r="CJ835" i="13"/>
  <c r="CK835" i="13" s="1"/>
  <c r="CL835" i="13" s="1" a="1"/>
  <c r="CL835" i="13" s="1"/>
  <c r="CF900" i="13"/>
  <c r="R900" i="13" s="1"/>
  <c r="CR853" i="13"/>
  <c r="CS853" i="13" s="1"/>
  <c r="CN1002" i="13"/>
  <c r="CO1002" i="13" s="1"/>
  <c r="CP1002" i="13" s="1" a="1"/>
  <c r="CP1002" i="13" s="1"/>
  <c r="CN1003" i="13"/>
  <c r="CO1003" i="13" s="1"/>
  <c r="CV998" i="13"/>
  <c r="CW998" i="13" s="1"/>
  <c r="BX904" i="13"/>
  <c r="BY904" i="13" s="1"/>
  <c r="BZ904" i="13" s="1" a="1"/>
  <c r="BZ904" i="13" s="1"/>
  <c r="CP953" i="13" a="1"/>
  <c r="CP953" i="13" s="1"/>
  <c r="CZ953" i="13" s="1"/>
  <c r="Z953" i="13" s="1"/>
  <c r="BV943" i="13" a="1"/>
  <c r="BV943" i="13" s="1"/>
  <c r="BX1002" i="13"/>
  <c r="BY1002" i="13" s="1"/>
  <c r="BZ1002" i="13" s="1" a="1"/>
  <c r="BZ1002" i="13" s="1"/>
  <c r="CR1000" i="13"/>
  <c r="CS1000" i="13" s="1"/>
  <c r="CE937" i="13" a="1"/>
  <c r="CE937" i="13" s="1"/>
  <c r="CD937" i="13" a="1"/>
  <c r="CD937" i="13" s="1"/>
  <c r="BP877" i="13"/>
  <c r="BQ877" i="13" s="1"/>
  <c r="BR877" i="13" s="1" a="1"/>
  <c r="BR877" i="13" s="1"/>
  <c r="CT842" i="13" a="1"/>
  <c r="CT842" i="13" s="1"/>
  <c r="CV891" i="13"/>
  <c r="CW891" i="13" s="1"/>
  <c r="CZ850" i="13"/>
  <c r="Z850" i="13" s="1"/>
  <c r="BV825" i="13" a="1"/>
  <c r="BV825" i="13" s="1"/>
  <c r="CX783" i="13" a="1"/>
  <c r="CX783" i="13" s="1"/>
  <c r="CY783" i="13" a="1"/>
  <c r="CY783" i="13" s="1"/>
  <c r="BX839" i="13"/>
  <c r="BY839" i="13" s="1"/>
  <c r="BZ839" i="13" s="1" a="1"/>
  <c r="BZ839" i="13" s="1"/>
  <c r="BZ975" i="13" a="1"/>
  <c r="BZ975" i="13" s="1"/>
  <c r="CX781" i="13" a="1"/>
  <c r="CX781" i="13" s="1"/>
  <c r="CZ781" i="13" s="1"/>
  <c r="Z781" i="13" s="1"/>
  <c r="CY781" i="13" a="1"/>
  <c r="CY781" i="13" s="1"/>
  <c r="BV771" i="13" a="1"/>
  <c r="BV771" i="13" s="1"/>
  <c r="BT778" i="13"/>
  <c r="BU778" i="13" s="1"/>
  <c r="CV770" i="13"/>
  <c r="CW770" i="13" s="1"/>
  <c r="CV766" i="13"/>
  <c r="CW766" i="13" s="1"/>
  <c r="CN758" i="13"/>
  <c r="CO758" i="13" s="1"/>
  <c r="CT758" i="13" s="1" a="1"/>
  <c r="CT758" i="13" s="1"/>
  <c r="CD731" i="13" a="1"/>
  <c r="CD731" i="13" s="1"/>
  <c r="CE731" i="13" a="1"/>
  <c r="CE731" i="13" s="1"/>
  <c r="CB636" i="13"/>
  <c r="CC636" i="13" s="1"/>
  <c r="CN569" i="13"/>
  <c r="CO569" i="13" s="1"/>
  <c r="CP569" i="13" s="1" a="1"/>
  <c r="CP569" i="13" s="1"/>
  <c r="CV569" i="13"/>
  <c r="CW569" i="13" s="1"/>
  <c r="CJ569" i="13"/>
  <c r="CK569" i="13" s="1"/>
  <c r="CL569" i="13" s="1" a="1"/>
  <c r="CL569" i="13" s="1"/>
  <c r="CZ502" i="13"/>
  <c r="Z502" i="13" s="1"/>
  <c r="CJ441" i="13"/>
  <c r="CK441" i="13" s="1"/>
  <c r="CL441" i="13" s="1" a="1"/>
  <c r="CL441" i="13" s="1"/>
  <c r="BP441" i="13"/>
  <c r="BQ441" i="13" s="1"/>
  <c r="BR441" i="13" s="1" a="1"/>
  <c r="BR441" i="13" s="1"/>
  <c r="CN441" i="13"/>
  <c r="CO441" i="13" s="1"/>
  <c r="CP981" i="13" a="1"/>
  <c r="CP981" i="13" s="1"/>
  <c r="CZ981" i="13" s="1"/>
  <c r="Z981" i="13" s="1"/>
  <c r="CX951" i="13" a="1"/>
  <c r="CX951" i="13" s="1"/>
  <c r="CZ951" i="13" s="1"/>
  <c r="Z951" i="13" s="1"/>
  <c r="CP876" i="13" a="1"/>
  <c r="CP876" i="13" s="1"/>
  <c r="CZ876" i="13" s="1"/>
  <c r="Z876" i="13" s="1"/>
  <c r="CF757" i="13"/>
  <c r="R757" i="13" s="1"/>
  <c r="CE748" i="13" a="1"/>
  <c r="CE748" i="13" s="1"/>
  <c r="CD748" i="13" a="1"/>
  <c r="CD748" i="13" s="1"/>
  <c r="CT740" i="13" a="1"/>
  <c r="CT740" i="13" s="1"/>
  <c r="BZ720" i="13" a="1"/>
  <c r="BZ720" i="13" s="1"/>
  <c r="CY700" i="13" a="1"/>
  <c r="CY700" i="13" s="1"/>
  <c r="CX700" i="13" a="1"/>
  <c r="CX700" i="13" s="1"/>
  <c r="CN678" i="13"/>
  <c r="CO678" i="13" s="1"/>
  <c r="CP678" i="13" s="1" a="1"/>
  <c r="CP678" i="13" s="1"/>
  <c r="CD566" i="13" a="1"/>
  <c r="CD566" i="13" s="1"/>
  <c r="CE566" i="13" a="1"/>
  <c r="CE566" i="13" s="1"/>
  <c r="CB623" i="13"/>
  <c r="CC623" i="13" s="1"/>
  <c r="CX518" i="13" a="1"/>
  <c r="CX518" i="13" s="1"/>
  <c r="CY518" i="13" a="1"/>
  <c r="CY518" i="13" s="1"/>
  <c r="CX564" i="13" a="1"/>
  <c r="CX564" i="13" s="1"/>
  <c r="CY564" i="13" a="1"/>
  <c r="CY564" i="13" s="1"/>
  <c r="CZ486" i="13"/>
  <c r="Z486" i="13" s="1"/>
  <c r="CN519" i="13"/>
  <c r="CO519" i="13" s="1"/>
  <c r="CT519" i="13" s="1" a="1"/>
  <c r="CT519" i="13" s="1"/>
  <c r="CZ506" i="13"/>
  <c r="Z506" i="13" s="1"/>
  <c r="CJ997" i="13"/>
  <c r="CK997" i="13" s="1"/>
  <c r="CL997" i="13" s="1" a="1"/>
  <c r="CL997" i="13" s="1"/>
  <c r="CX988" i="13" a="1"/>
  <c r="CX988" i="13" s="1"/>
  <c r="CP886" i="13" a="1"/>
  <c r="CP886" i="13" s="1"/>
  <c r="CY801" i="13" a="1"/>
  <c r="CY801" i="13" s="1"/>
  <c r="CX801" i="13" a="1"/>
  <c r="CX801" i="13" s="1"/>
  <c r="BZ785" i="13" a="1"/>
  <c r="BZ785" i="13" s="1"/>
  <c r="CF785" i="13" s="1"/>
  <c r="R785" i="13" s="1"/>
  <c r="CR741" i="13"/>
  <c r="CS741" i="13" s="1"/>
  <c r="CX759" i="13" a="1"/>
  <c r="CX759" i="13" s="1"/>
  <c r="CY759" i="13" a="1"/>
  <c r="CY759" i="13" s="1"/>
  <c r="CR657" i="13"/>
  <c r="CS657" i="13" s="1"/>
  <c r="CF597" i="13"/>
  <c r="R597" i="13" s="1"/>
  <c r="CB633" i="13"/>
  <c r="CC633" i="13" s="1"/>
  <c r="CF556" i="13"/>
  <c r="R556" i="13" s="1"/>
  <c r="CN586" i="13"/>
  <c r="CO586" i="13" s="1"/>
  <c r="CP586" i="13" s="1" a="1"/>
  <c r="CP586" i="13" s="1"/>
  <c r="CP553" i="13" a="1"/>
  <c r="CP553" i="13" s="1"/>
  <c r="CB561" i="13"/>
  <c r="CC561" i="13" s="1"/>
  <c r="BX557" i="13"/>
  <c r="BY557" i="13" s="1"/>
  <c r="BZ557" i="13" s="1" a="1"/>
  <c r="BZ557" i="13" s="1"/>
  <c r="CX524" i="13" a="1"/>
  <c r="CX524" i="13" s="1"/>
  <c r="CY524" i="13" a="1"/>
  <c r="CY524" i="13" s="1"/>
  <c r="BP495" i="13"/>
  <c r="BQ495" i="13" s="1"/>
  <c r="BR495" i="13" s="1" a="1"/>
  <c r="BR495" i="13" s="1"/>
  <c r="BV498" i="13" a="1"/>
  <c r="BV498" i="13" s="1"/>
  <c r="BV947" i="13" a="1"/>
  <c r="BV947" i="13" s="1"/>
  <c r="CF947" i="13" s="1"/>
  <c r="R947" i="13" s="1"/>
  <c r="BZ834" i="13" a="1"/>
  <c r="BZ834" i="13" s="1"/>
  <c r="CF761" i="13"/>
  <c r="R761" i="13" s="1"/>
  <c r="CY744" i="13" a="1"/>
  <c r="CY744" i="13" s="1"/>
  <c r="CX744" i="13" a="1"/>
  <c r="CX744" i="13" s="1"/>
  <c r="CN749" i="13"/>
  <c r="CO749" i="13" s="1"/>
  <c r="CP749" i="13" s="1" a="1"/>
  <c r="CP749" i="13" s="1"/>
  <c r="CT716" i="13" a="1"/>
  <c r="CT716" i="13" s="1"/>
  <c r="CZ716" i="13" s="1"/>
  <c r="Z716" i="13" s="1"/>
  <c r="CY702" i="13" a="1"/>
  <c r="CY702" i="13" s="1"/>
  <c r="CX702" i="13" a="1"/>
  <c r="CX702" i="13" s="1"/>
  <c r="CV684" i="13"/>
  <c r="CW684" i="13" s="1"/>
  <c r="BX684" i="13"/>
  <c r="BY684" i="13" s="1"/>
  <c r="BZ684" i="13" s="1" a="1"/>
  <c r="BZ684" i="13" s="1"/>
  <c r="CN684" i="13"/>
  <c r="CO684" i="13" s="1"/>
  <c r="CP684" i="13" s="1" a="1"/>
  <c r="CP684" i="13" s="1"/>
  <c r="CB684" i="13"/>
  <c r="CC684" i="13" s="1"/>
  <c r="BP684" i="13"/>
  <c r="BQ684" i="13" s="1"/>
  <c r="BR684" i="13" s="1" a="1"/>
  <c r="BR684" i="13" s="1"/>
  <c r="CJ684" i="13"/>
  <c r="CK684" i="13" s="1"/>
  <c r="CL684" i="13" s="1" a="1"/>
  <c r="CL684" i="13" s="1"/>
  <c r="CV640" i="13"/>
  <c r="CW640" i="13" s="1"/>
  <c r="CP589" i="13" a="1"/>
  <c r="CP589" i="13" s="1"/>
  <c r="CB618" i="13"/>
  <c r="CC618" i="13" s="1"/>
  <c r="CF532" i="13"/>
  <c r="R532" i="13" s="1"/>
  <c r="CE482" i="13" a="1"/>
  <c r="CE482" i="13" s="1"/>
  <c r="CD482" i="13" a="1"/>
  <c r="CD482" i="13" s="1"/>
  <c r="CN501" i="13"/>
  <c r="CO501" i="13" s="1"/>
  <c r="CP501" i="13" s="1" a="1"/>
  <c r="CP501" i="13" s="1"/>
  <c r="CR483" i="13"/>
  <c r="CS483" i="13" s="1"/>
  <c r="CT483" i="13" s="1" a="1"/>
  <c r="CT483" i="13" s="1"/>
  <c r="CR445" i="13"/>
  <c r="CS445" i="13" s="1"/>
  <c r="CT445" i="13" s="1" a="1"/>
  <c r="CT445" i="13" s="1"/>
  <c r="BZ890" i="13" a="1"/>
  <c r="BZ890" i="13" s="1"/>
  <c r="CF890" i="13" s="1"/>
  <c r="R890" i="13" s="1"/>
  <c r="AF890" i="13" s="1"/>
  <c r="CX842" i="13" a="1"/>
  <c r="CX842" i="13" s="1"/>
  <c r="BX764" i="13"/>
  <c r="BY764" i="13" s="1"/>
  <c r="BZ764" i="13" s="1" a="1"/>
  <c r="BZ764" i="13" s="1"/>
  <c r="CT789" i="13" a="1"/>
  <c r="CT789" i="13" s="1"/>
  <c r="CV800" i="13"/>
  <c r="CW800" i="13" s="1"/>
  <c r="CY763" i="13" a="1"/>
  <c r="CY763" i="13" s="1"/>
  <c r="CX763" i="13" a="1"/>
  <c r="CX763" i="13" s="1"/>
  <c r="BP788" i="13"/>
  <c r="BQ788" i="13" s="1"/>
  <c r="BR788" i="13" s="1" a="1"/>
  <c r="BR788" i="13" s="1"/>
  <c r="CN782" i="13"/>
  <c r="CO782" i="13" s="1"/>
  <c r="CP782" i="13" s="1" a="1"/>
  <c r="CP782" i="13" s="1"/>
  <c r="BT772" i="13"/>
  <c r="BU772" i="13" s="1"/>
  <c r="BV772" i="13" s="1" a="1"/>
  <c r="BV772" i="13" s="1"/>
  <c r="CR751" i="13"/>
  <c r="CS751" i="13" s="1"/>
  <c r="CT751" i="13" s="1" a="1"/>
  <c r="CT751" i="13" s="1"/>
  <c r="CF725" i="13"/>
  <c r="R725" i="13" s="1"/>
  <c r="AF725" i="13" s="1"/>
  <c r="CR671" i="13"/>
  <c r="CS671" i="13" s="1"/>
  <c r="CT671" i="13" s="1" a="1"/>
  <c r="CT671" i="13" s="1"/>
  <c r="CJ654" i="13"/>
  <c r="CK654" i="13" s="1"/>
  <c r="CL654" i="13" s="1" a="1"/>
  <c r="CL654" i="13" s="1"/>
  <c r="CZ607" i="13"/>
  <c r="Z607" i="13" s="1"/>
  <c r="CR653" i="13"/>
  <c r="CS653" i="13" s="1"/>
  <c r="CT653" i="13" s="1" a="1"/>
  <c r="CT653" i="13" s="1"/>
  <c r="CJ685" i="13"/>
  <c r="CK685" i="13" s="1"/>
  <c r="CL685" i="13" s="1" a="1"/>
  <c r="CL685" i="13" s="1"/>
  <c r="BP685" i="13"/>
  <c r="BQ685" i="13" s="1"/>
  <c r="BR685" i="13" s="1" a="1"/>
  <c r="BR685" i="13" s="1"/>
  <c r="CR685" i="13"/>
  <c r="CS685" i="13" s="1"/>
  <c r="CT685" i="13" s="1" a="1"/>
  <c r="CT685" i="13" s="1"/>
  <c r="CB685" i="13"/>
  <c r="CC685" i="13" s="1"/>
  <c r="CN685" i="13"/>
  <c r="CO685" i="13" s="1"/>
  <c r="CP685" i="13" s="1" a="1"/>
  <c r="CP685" i="13" s="1"/>
  <c r="BX675" i="13"/>
  <c r="BY675" i="13" s="1"/>
  <c r="BZ675" i="13" s="1" a="1"/>
  <c r="BZ675" i="13" s="1"/>
  <c r="BT643" i="13"/>
  <c r="BU643" i="13" s="1"/>
  <c r="CF579" i="13"/>
  <c r="R579" i="13" s="1"/>
  <c r="CD577" i="13" a="1"/>
  <c r="CD577" i="13" s="1"/>
  <c r="CE577" i="13" a="1"/>
  <c r="CE577" i="13" s="1"/>
  <c r="CV573" i="13"/>
  <c r="CW573" i="13" s="1"/>
  <c r="BX571" i="13"/>
  <c r="BY571" i="13" s="1"/>
  <c r="CD571" i="13" s="1" a="1"/>
  <c r="CD571" i="13" s="1"/>
  <c r="CN537" i="13"/>
  <c r="CO537" i="13" s="1"/>
  <c r="CP537" i="13" s="1" a="1"/>
  <c r="CP537" i="13" s="1"/>
  <c r="CF558" i="13"/>
  <c r="R558" i="13" s="1"/>
  <c r="CE528" i="13" a="1"/>
  <c r="CE528" i="13" s="1"/>
  <c r="CD528" i="13" a="1"/>
  <c r="CD528" i="13" s="1"/>
  <c r="CF527" i="13"/>
  <c r="R527" i="13" s="1"/>
  <c r="AF527" i="13" s="1"/>
  <c r="CJ477" i="13"/>
  <c r="CK477" i="13" s="1"/>
  <c r="CL477" i="13" s="1" a="1"/>
  <c r="CL477" i="13" s="1"/>
  <c r="CX492" i="13" a="1"/>
  <c r="CX492" i="13" s="1"/>
  <c r="CY492" i="13" a="1"/>
  <c r="CY492" i="13" s="1"/>
  <c r="BP1020" i="13"/>
  <c r="BQ1020" i="13" s="1"/>
  <c r="BR1020" i="13" s="1" a="1"/>
  <c r="BR1020" i="13" s="1"/>
  <c r="BV923" i="13" a="1"/>
  <c r="BV923" i="13" s="1"/>
  <c r="CN835" i="13"/>
  <c r="CO835" i="13" s="1"/>
  <c r="CN818" i="13"/>
  <c r="CO818" i="13" s="1"/>
  <c r="CP818" i="13" s="1" a="1"/>
  <c r="CP818" i="13" s="1"/>
  <c r="CB784" i="13"/>
  <c r="CC784" i="13" s="1"/>
  <c r="CD765" i="13" a="1"/>
  <c r="CD765" i="13" s="1"/>
  <c r="CE765" i="13" a="1"/>
  <c r="CE765" i="13" s="1"/>
  <c r="CB753" i="13"/>
  <c r="CC753" i="13" s="1"/>
  <c r="BZ738" i="13" a="1"/>
  <c r="BZ738" i="13" s="1"/>
  <c r="BT652" i="13"/>
  <c r="BU652" i="13" s="1"/>
  <c r="BV652" i="13" s="1" a="1"/>
  <c r="BV652" i="13" s="1"/>
  <c r="CT746" i="13" a="1"/>
  <c r="CT746" i="13" s="1"/>
  <c r="CF729" i="13"/>
  <c r="R729" i="13" s="1"/>
  <c r="AF729" i="13" s="1"/>
  <c r="CR676" i="13"/>
  <c r="CS676" i="13" s="1"/>
  <c r="CT676" i="13" s="1" a="1"/>
  <c r="CT676" i="13" s="1"/>
  <c r="CR675" i="13"/>
  <c r="CS675" i="13" s="1"/>
  <c r="CT675" i="13" s="1" a="1"/>
  <c r="CT675" i="13" s="1"/>
  <c r="CR652" i="13"/>
  <c r="CS652" i="13" s="1"/>
  <c r="CT652" i="13" s="1" a="1"/>
  <c r="CT652" i="13" s="1"/>
  <c r="CV620" i="13"/>
  <c r="CW620" i="13" s="1"/>
  <c r="BV585" i="13" a="1"/>
  <c r="BV585" i="13" s="1"/>
  <c r="CR614" i="13"/>
  <c r="CS614" i="13" s="1"/>
  <c r="CT614" i="13" s="1" a="1"/>
  <c r="CT614" i="13" s="1"/>
  <c r="CY536" i="13" a="1"/>
  <c r="CY536" i="13" s="1"/>
  <c r="CX536" i="13" a="1"/>
  <c r="CX536" i="13" s="1"/>
  <c r="CJ533" i="13"/>
  <c r="CK533" i="13" s="1"/>
  <c r="CL533" i="13" s="1" a="1"/>
  <c r="CL533" i="13" s="1"/>
  <c r="CB557" i="13"/>
  <c r="CC557" i="13" s="1"/>
  <c r="CY554" i="13" a="1"/>
  <c r="CY554" i="13" s="1"/>
  <c r="CX554" i="13" a="1"/>
  <c r="CX554" i="13" s="1"/>
  <c r="CY504" i="13" a="1"/>
  <c r="CY504" i="13" s="1"/>
  <c r="CX504" i="13" a="1"/>
  <c r="CX504" i="13" s="1"/>
  <c r="CF522" i="13"/>
  <c r="R522" i="13" s="1"/>
  <c r="BT507" i="13"/>
  <c r="BU507" i="13" s="1"/>
  <c r="CD494" i="13" a="1"/>
  <c r="CD494" i="13" s="1"/>
  <c r="CE494" i="13" a="1"/>
  <c r="CE494" i="13" s="1"/>
  <c r="CV455" i="13"/>
  <c r="CW455" i="13" s="1"/>
  <c r="BT456" i="13"/>
  <c r="BU456" i="13" s="1"/>
  <c r="BV456" i="13" s="1" a="1"/>
  <c r="BV456" i="13" s="1"/>
  <c r="CX966" i="13" a="1"/>
  <c r="CX966" i="13" s="1"/>
  <c r="CD986" i="13" a="1"/>
  <c r="CD986" i="13" s="1"/>
  <c r="CD960" i="13" a="1"/>
  <c r="CD960" i="13" s="1"/>
  <c r="CF960" i="13" s="1"/>
  <c r="R960" i="13" s="1"/>
  <c r="AF960" i="13" s="1"/>
  <c r="BP897" i="13"/>
  <c r="BQ897" i="13" s="1"/>
  <c r="BR897" i="13" s="1" a="1"/>
  <c r="BR897" i="13" s="1"/>
  <c r="BV830" i="13" a="1"/>
  <c r="BV830" i="13" s="1"/>
  <c r="CF830" i="13" s="1"/>
  <c r="R830" i="13" s="1"/>
  <c r="BV793" i="13" a="1"/>
  <c r="BV793" i="13" s="1"/>
  <c r="BT747" i="13"/>
  <c r="BU747" i="13" s="1"/>
  <c r="CJ786" i="13"/>
  <c r="CK786" i="13" s="1"/>
  <c r="CL786" i="13" s="1" a="1"/>
  <c r="CL786" i="13" s="1"/>
  <c r="CV754" i="13"/>
  <c r="CW754" i="13" s="1"/>
  <c r="CT714" i="13" a="1"/>
  <c r="CT714" i="13" s="1"/>
  <c r="CB661" i="13"/>
  <c r="CC661" i="13" s="1"/>
  <c r="BX614" i="13"/>
  <c r="BY614" i="13" s="1"/>
  <c r="BZ614" i="13" s="1" a="1"/>
  <c r="BZ614" i="13" s="1"/>
  <c r="CN620" i="13"/>
  <c r="CO620" i="13" s="1"/>
  <c r="CN623" i="13"/>
  <c r="CO623" i="13" s="1"/>
  <c r="CP623" i="13" s="1" a="1"/>
  <c r="CP623" i="13" s="1"/>
  <c r="CV670" i="13"/>
  <c r="CW670" i="13" s="1"/>
  <c r="BX596" i="13"/>
  <c r="BY596" i="13" s="1"/>
  <c r="BZ596" i="13" s="1" a="1"/>
  <c r="BZ596" i="13" s="1"/>
  <c r="CF591" i="13"/>
  <c r="R591" i="13" s="1"/>
  <c r="BV542" i="13" a="1"/>
  <c r="BV542" i="13" s="1"/>
  <c r="CB545" i="13"/>
  <c r="CC545" i="13" s="1"/>
  <c r="CN578" i="13"/>
  <c r="CO578" i="13" s="1"/>
  <c r="CP578" i="13" s="1" a="1"/>
  <c r="CP578" i="13" s="1"/>
  <c r="CP482" i="13" a="1"/>
  <c r="CP482" i="13" s="1"/>
  <c r="CZ482" i="13" s="1"/>
  <c r="Z482" i="13" s="1"/>
  <c r="CE488" i="13" a="1"/>
  <c r="CE488" i="13" s="1"/>
  <c r="CD488" i="13" a="1"/>
  <c r="CD488" i="13" s="1"/>
  <c r="BX481" i="13"/>
  <c r="BY481" i="13" s="1"/>
  <c r="BZ481" i="13" s="1" a="1"/>
  <c r="BZ481" i="13" s="1"/>
  <c r="BT445" i="13"/>
  <c r="BU445" i="13" s="1"/>
  <c r="BV445" i="13" s="1" a="1"/>
  <c r="BV445" i="13" s="1"/>
  <c r="CF474" i="13"/>
  <c r="R474" i="13" s="1"/>
  <c r="CB509" i="13"/>
  <c r="CC509" i="13" s="1"/>
  <c r="BX928" i="13"/>
  <c r="BY928" i="13" s="1"/>
  <c r="BZ928" i="13" s="1" a="1"/>
  <c r="BZ928" i="13" s="1"/>
  <c r="CN853" i="13"/>
  <c r="CO853" i="13" s="1"/>
  <c r="CP853" i="13" s="1" a="1"/>
  <c r="CP853" i="13" s="1"/>
  <c r="BX747" i="13"/>
  <c r="BY747" i="13" s="1"/>
  <c r="CJ752" i="13"/>
  <c r="CK752" i="13" s="1"/>
  <c r="CL752" i="13" s="1" a="1"/>
  <c r="CL752" i="13" s="1"/>
  <c r="BZ742" i="13" a="1"/>
  <c r="BZ742" i="13" s="1"/>
  <c r="CF742" i="13" s="1"/>
  <c r="R742" i="13" s="1"/>
  <c r="CF687" i="13"/>
  <c r="R687" i="13" s="1"/>
  <c r="AF687" i="13" s="1"/>
  <c r="CP732" i="13" a="1"/>
  <c r="CP732" i="13" s="1"/>
  <c r="CZ732" i="13" s="1"/>
  <c r="Z732" i="13" s="1"/>
  <c r="CD724" i="13" a="1"/>
  <c r="CD724" i="13" s="1"/>
  <c r="CE724" i="13" a="1"/>
  <c r="CE724" i="13" s="1"/>
  <c r="CF706" i="13"/>
  <c r="R706" i="13" s="1"/>
  <c r="BP646" i="13"/>
  <c r="BQ646" i="13" s="1"/>
  <c r="BR646" i="13" s="1" a="1"/>
  <c r="BR646" i="13" s="1"/>
  <c r="CN669" i="13"/>
  <c r="CO669" i="13" s="1"/>
  <c r="BP682" i="13"/>
  <c r="BQ682" i="13" s="1"/>
  <c r="BR682" i="13" s="1" a="1"/>
  <c r="BR682" i="13" s="1"/>
  <c r="CN624" i="13"/>
  <c r="CO624" i="13" s="1"/>
  <c r="CT624" i="13" s="1" a="1"/>
  <c r="CT624" i="13" s="1"/>
  <c r="CN590" i="13"/>
  <c r="CO590" i="13" s="1"/>
  <c r="CP590" i="13" s="1" a="1"/>
  <c r="CP590" i="13" s="1"/>
  <c r="CP617" i="13" a="1"/>
  <c r="CP617" i="13" s="1"/>
  <c r="CZ617" i="13" s="1"/>
  <c r="Z617" i="13" s="1"/>
  <c r="AF617" i="13" s="1"/>
  <c r="CV633" i="13"/>
  <c r="CW633" i="13" s="1"/>
  <c r="CB614" i="13"/>
  <c r="CC614" i="13" s="1"/>
  <c r="CJ588" i="13"/>
  <c r="CK588" i="13" s="1"/>
  <c r="CL588" i="13" s="1" a="1"/>
  <c r="CL588" i="13" s="1"/>
  <c r="BX622" i="13"/>
  <c r="BY622" i="13" s="1"/>
  <c r="BZ622" i="13" s="1" a="1"/>
  <c r="BZ622" i="13" s="1"/>
  <c r="CT554" i="13" a="1"/>
  <c r="CT554" i="13" s="1"/>
  <c r="CZ554" i="13" s="1"/>
  <c r="Z554" i="13" s="1"/>
  <c r="BP582" i="13"/>
  <c r="BQ582" i="13" s="1"/>
  <c r="BR582" i="13" s="1" a="1"/>
  <c r="BR582" i="13" s="1"/>
  <c r="CN551" i="13"/>
  <c r="CO551" i="13" s="1"/>
  <c r="CP551" i="13" s="1" a="1"/>
  <c r="CP551" i="13" s="1"/>
  <c r="CB553" i="13"/>
  <c r="CC553" i="13" s="1"/>
  <c r="CP490" i="13" a="1"/>
  <c r="CP490" i="13" s="1"/>
  <c r="BX519" i="13"/>
  <c r="BY519" i="13" s="1"/>
  <c r="BZ519" i="13" s="1" a="1"/>
  <c r="BZ519" i="13" s="1"/>
  <c r="CR464" i="13"/>
  <c r="CS464" i="13" s="1"/>
  <c r="CT464" i="13" s="1" a="1"/>
  <c r="CT464" i="13" s="1"/>
  <c r="CX466" i="13" a="1"/>
  <c r="CX466" i="13" s="1"/>
  <c r="CY466" i="13" a="1"/>
  <c r="CY466" i="13" s="1"/>
  <c r="CP613" i="13" a="1"/>
  <c r="CP613" i="13" s="1"/>
  <c r="CD616" i="13" a="1"/>
  <c r="CD616" i="13" s="1"/>
  <c r="CF616" i="13" s="1"/>
  <c r="R616" i="13" s="1"/>
  <c r="AF616" i="13" s="1"/>
  <c r="CN455" i="13"/>
  <c r="CO455" i="13" s="1"/>
  <c r="CP455" i="13" s="1" a="1"/>
  <c r="CP455" i="13" s="1"/>
  <c r="CJ454" i="13"/>
  <c r="CK454" i="13" s="1"/>
  <c r="CL454" i="13" s="1" a="1"/>
  <c r="CL454" i="13" s="1"/>
  <c r="CX372" i="13" a="1"/>
  <c r="CX372" i="13" s="1"/>
  <c r="CY372" i="13" a="1"/>
  <c r="CY372" i="13" s="1"/>
  <c r="BZ334" i="13" a="1"/>
  <c r="BZ334" i="13" s="1"/>
  <c r="CY304" i="13" a="1"/>
  <c r="CY304" i="13" s="1"/>
  <c r="CX304" i="13" a="1"/>
  <c r="CX304" i="13" s="1"/>
  <c r="BX313" i="13"/>
  <c r="BY313" i="13" s="1"/>
  <c r="BP313" i="13"/>
  <c r="BQ313" i="13" s="1"/>
  <c r="BR313" i="13" s="1" a="1"/>
  <c r="BR313" i="13" s="1"/>
  <c r="BT313" i="13"/>
  <c r="BU313" i="13" s="1"/>
  <c r="BP305" i="13"/>
  <c r="BQ305" i="13" s="1"/>
  <c r="BR305" i="13" s="1" a="1"/>
  <c r="BR305" i="13" s="1"/>
  <c r="BT305" i="13"/>
  <c r="BU305" i="13" s="1"/>
  <c r="BX305" i="13"/>
  <c r="BY305" i="13" s="1"/>
  <c r="BP299" i="13"/>
  <c r="BQ299" i="13" s="1"/>
  <c r="BR299" i="13" s="1" a="1"/>
  <c r="BR299" i="13" s="1"/>
  <c r="BT299" i="13"/>
  <c r="BU299" i="13" s="1"/>
  <c r="BX299" i="13"/>
  <c r="BY299" i="13" s="1"/>
  <c r="CD260" i="13" a="1"/>
  <c r="CD260" i="13" s="1"/>
  <c r="CE260" i="13" a="1"/>
  <c r="CE260" i="13" s="1"/>
  <c r="CF246" i="13"/>
  <c r="R246" i="13" s="1"/>
  <c r="CF182" i="13"/>
  <c r="R182" i="13" s="1"/>
  <c r="CJ180" i="13"/>
  <c r="CK180" i="13" s="1"/>
  <c r="CL180" i="13" s="1" a="1"/>
  <c r="CL180" i="13" s="1"/>
  <c r="CJ582" i="13"/>
  <c r="CK582" i="13" s="1"/>
  <c r="CL582" i="13" s="1" a="1"/>
  <c r="CL582" i="13" s="1"/>
  <c r="CP568" i="13" a="1"/>
  <c r="CP568" i="13" s="1"/>
  <c r="CZ568" i="13" s="1"/>
  <c r="Z568" i="13" s="1"/>
  <c r="CV509" i="13"/>
  <c r="CW509" i="13" s="1"/>
  <c r="BP464" i="13"/>
  <c r="BQ464" i="13" s="1"/>
  <c r="BR464" i="13" s="1" a="1"/>
  <c r="BR464" i="13" s="1"/>
  <c r="CE427" i="13" a="1"/>
  <c r="CE427" i="13" s="1"/>
  <c r="CD427" i="13" a="1"/>
  <c r="CD427" i="13" s="1"/>
  <c r="CD399" i="13" a="1"/>
  <c r="CD399" i="13" s="1"/>
  <c r="CE399" i="13" a="1"/>
  <c r="CE399" i="13" s="1"/>
  <c r="CF399" i="13" s="1"/>
  <c r="R399" i="13" s="1"/>
  <c r="CR361" i="13"/>
  <c r="CS361" i="13" s="1"/>
  <c r="CX361" i="13" s="1" a="1"/>
  <c r="CX361" i="13" s="1"/>
  <c r="CR342" i="13"/>
  <c r="CS342" i="13" s="1"/>
  <c r="CT342" i="13" s="1" a="1"/>
  <c r="CT342" i="13" s="1"/>
  <c r="CD286" i="13" a="1"/>
  <c r="CD286" i="13" s="1"/>
  <c r="CE286" i="13" a="1"/>
  <c r="CE286" i="13" s="1"/>
  <c r="CP269" i="13" a="1"/>
  <c r="CP269" i="13" s="1"/>
  <c r="CE236" i="13" a="1"/>
  <c r="CE236" i="13" s="1"/>
  <c r="CD236" i="13" a="1"/>
  <c r="CD236" i="13" s="1"/>
  <c r="BP223" i="13"/>
  <c r="BQ223" i="13" s="1"/>
  <c r="BR223" i="13" s="1" a="1"/>
  <c r="BR223" i="13" s="1"/>
  <c r="CF224" i="13"/>
  <c r="R224" i="13" s="1"/>
  <c r="CX214" i="13" a="1"/>
  <c r="CX214" i="13" s="1"/>
  <c r="CY214" i="13" a="1"/>
  <c r="CY214" i="13" s="1"/>
  <c r="CD211" i="13" a="1"/>
  <c r="CD211" i="13" s="1"/>
  <c r="CE211" i="13" a="1"/>
  <c r="CE211" i="13" s="1"/>
  <c r="CN183" i="13"/>
  <c r="CO183" i="13" s="1"/>
  <c r="CV183" i="13"/>
  <c r="CW183" i="13" s="1"/>
  <c r="CJ183" i="13"/>
  <c r="CK183" i="13" s="1"/>
  <c r="CL183" i="13" s="1" a="1"/>
  <c r="CL183" i="13" s="1"/>
  <c r="BP183" i="13"/>
  <c r="BQ183" i="13" s="1"/>
  <c r="BR183" i="13" s="1" a="1"/>
  <c r="BR183" i="13" s="1"/>
  <c r="CB183" i="13"/>
  <c r="CC183" i="13" s="1"/>
  <c r="BX183" i="13"/>
  <c r="BY183" i="13" s="1"/>
  <c r="BT183" i="13"/>
  <c r="BU183" i="13" s="1"/>
  <c r="CR169" i="13"/>
  <c r="CS169" i="13" s="1"/>
  <c r="CT169" i="13" s="1" a="1"/>
  <c r="CT169" i="13" s="1"/>
  <c r="BP627" i="13"/>
  <c r="BQ627" i="13" s="1"/>
  <c r="BR627" i="13" s="1" a="1"/>
  <c r="BR627" i="13" s="1"/>
  <c r="BP569" i="13"/>
  <c r="BQ569" i="13" s="1"/>
  <c r="BR569" i="13" s="1" a="1"/>
  <c r="BR569" i="13" s="1"/>
  <c r="CD546" i="13" a="1"/>
  <c r="CD546" i="13" s="1"/>
  <c r="CF546" i="13" s="1"/>
  <c r="R546" i="13" s="1"/>
  <c r="CD504" i="13" a="1"/>
  <c r="CD504" i="13" s="1"/>
  <c r="CF504" i="13" s="1"/>
  <c r="R504" i="13" s="1"/>
  <c r="BT432" i="13"/>
  <c r="BU432" i="13" s="1"/>
  <c r="BV432" i="13" s="1" a="1"/>
  <c r="BV432" i="13" s="1"/>
  <c r="BP361" i="13"/>
  <c r="BQ361" i="13" s="1"/>
  <c r="BR361" i="13" s="1" a="1"/>
  <c r="BR361" i="13" s="1"/>
  <c r="CF362" i="13"/>
  <c r="R362" i="13" s="1"/>
  <c r="CB263" i="13"/>
  <c r="CC263" i="13" s="1"/>
  <c r="BP263" i="13"/>
  <c r="BQ263" i="13" s="1"/>
  <c r="BR263" i="13" s="1" a="1"/>
  <c r="BR263" i="13" s="1"/>
  <c r="BT265" i="13"/>
  <c r="BU265" i="13" s="1"/>
  <c r="BV265" i="13" s="1" a="1"/>
  <c r="BV265" i="13" s="1"/>
  <c r="CR263" i="13"/>
  <c r="CS263" i="13" s="1"/>
  <c r="CD234" i="13" a="1"/>
  <c r="CD234" i="13" s="1"/>
  <c r="CE234" i="13" a="1"/>
  <c r="CE234" i="13" s="1"/>
  <c r="CR235" i="13"/>
  <c r="CS235" i="13" s="1"/>
  <c r="CN235" i="13"/>
  <c r="CO235" i="13" s="1"/>
  <c r="CJ235" i="13"/>
  <c r="CK235" i="13" s="1"/>
  <c r="CL235" i="13" s="1" a="1"/>
  <c r="CL235" i="13" s="1"/>
  <c r="BP235" i="13"/>
  <c r="BQ235" i="13" s="1"/>
  <c r="BR235" i="13" s="1" a="1"/>
  <c r="BR235" i="13" s="1"/>
  <c r="BT235" i="13"/>
  <c r="BU235" i="13" s="1"/>
  <c r="CV235" i="13"/>
  <c r="CW235" i="13" s="1"/>
  <c r="CR186" i="13"/>
  <c r="CS186" i="13" s="1"/>
  <c r="CT186" i="13" s="1" a="1"/>
  <c r="CT186" i="13" s="1"/>
  <c r="CB751" i="13"/>
  <c r="CC751" i="13" s="1"/>
  <c r="BV689" i="13" a="1"/>
  <c r="BV689" i="13" s="1"/>
  <c r="CF689" i="13" s="1"/>
  <c r="R689" i="13" s="1"/>
  <c r="AF689" i="13" s="1"/>
  <c r="BX563" i="13"/>
  <c r="BY563" i="13" s="1"/>
  <c r="BZ563" i="13" s="1" a="1"/>
  <c r="BZ563" i="13" s="1"/>
  <c r="CN525" i="13"/>
  <c r="CO525" i="13" s="1"/>
  <c r="CP525" i="13" s="1" a="1"/>
  <c r="CP525" i="13" s="1"/>
  <c r="CJ448" i="13"/>
  <c r="CK448" i="13" s="1"/>
  <c r="CL448" i="13" s="1" a="1"/>
  <c r="CL448" i="13" s="1"/>
  <c r="CN447" i="13"/>
  <c r="CO447" i="13" s="1"/>
  <c r="CP447" i="13" s="1" a="1"/>
  <c r="CP447" i="13" s="1"/>
  <c r="CP474" i="13" a="1"/>
  <c r="CP474" i="13" s="1"/>
  <c r="CJ440" i="13"/>
  <c r="CK440" i="13" s="1"/>
  <c r="CL440" i="13" s="1" a="1"/>
  <c r="CL440" i="13" s="1"/>
  <c r="CD360" i="13" a="1"/>
  <c r="CD360" i="13" s="1"/>
  <c r="CE360" i="13" a="1"/>
  <c r="CE360" i="13" s="1"/>
  <c r="CZ370" i="13"/>
  <c r="Z370" i="13" s="1"/>
  <c r="CT335" i="13" a="1"/>
  <c r="CT335" i="13" s="1"/>
  <c r="CZ335" i="13" s="1"/>
  <c r="Z335" i="13" s="1"/>
  <c r="BT308" i="13"/>
  <c r="BU308" i="13" s="1"/>
  <c r="BV308" i="13" s="1" a="1"/>
  <c r="BV308" i="13" s="1"/>
  <c r="CF268" i="13"/>
  <c r="R268" i="13" s="1"/>
  <c r="CX234" i="13" a="1"/>
  <c r="CX234" i="13" s="1"/>
  <c r="CY234" i="13" a="1"/>
  <c r="CY234" i="13" s="1"/>
  <c r="BZ605" i="13" a="1"/>
  <c r="BZ605" i="13" s="1"/>
  <c r="CF605" i="13" s="1"/>
  <c r="R605" i="13" s="1"/>
  <c r="BP545" i="13"/>
  <c r="BQ545" i="13" s="1"/>
  <c r="BR545" i="13" s="1" a="1"/>
  <c r="BR545" i="13" s="1"/>
  <c r="CN539" i="13"/>
  <c r="CO539" i="13" s="1"/>
  <c r="CP539" i="13" s="1" a="1"/>
  <c r="CP539" i="13" s="1"/>
  <c r="CT498" i="13" a="1"/>
  <c r="CT498" i="13" s="1"/>
  <c r="CZ498" i="13" s="1"/>
  <c r="Z498" i="13" s="1"/>
  <c r="BZ416" i="13" a="1"/>
  <c r="BZ416" i="13" s="1"/>
  <c r="CF416" i="13" s="1"/>
  <c r="R416" i="13" s="1"/>
  <c r="CR419" i="13"/>
  <c r="CS419" i="13" s="1"/>
  <c r="CT419" i="13" s="1" a="1"/>
  <c r="CT419" i="13" s="1"/>
  <c r="CJ359" i="13"/>
  <c r="CK359" i="13" s="1"/>
  <c r="CL359" i="13" s="1" a="1"/>
  <c r="CL359" i="13" s="1"/>
  <c r="CZ366" i="13"/>
  <c r="Z366" i="13" s="1"/>
  <c r="CV338" i="13"/>
  <c r="CW338" i="13" s="1"/>
  <c r="BV221" i="13" a="1"/>
  <c r="BV221" i="13" s="1"/>
  <c r="CP189" i="13" a="1"/>
  <c r="CP189" i="13" s="1"/>
  <c r="CT189" i="13" a="1"/>
  <c r="CT189" i="13" s="1"/>
  <c r="BV717" i="13" a="1"/>
  <c r="BV717" i="13" s="1"/>
  <c r="CJ573" i="13"/>
  <c r="CK573" i="13" s="1"/>
  <c r="CL573" i="13" s="1" a="1"/>
  <c r="CL573" i="13" s="1"/>
  <c r="BP439" i="13"/>
  <c r="BQ439" i="13" s="1"/>
  <c r="BR439" i="13" s="1" a="1"/>
  <c r="BR439" i="13" s="1"/>
  <c r="CJ463" i="13"/>
  <c r="CK463" i="13" s="1"/>
  <c r="CL463" i="13" s="1" a="1"/>
  <c r="CL463" i="13" s="1"/>
  <c r="CV433" i="13"/>
  <c r="CW433" i="13" s="1"/>
  <c r="CX398" i="13" a="1"/>
  <c r="CX398" i="13" s="1"/>
  <c r="CY398" i="13" a="1"/>
  <c r="CY398" i="13" s="1"/>
  <c r="CP418" i="13" a="1"/>
  <c r="CP418" i="13" s="1"/>
  <c r="CZ418" i="13" s="1"/>
  <c r="Z418" i="13" s="1"/>
  <c r="CF383" i="13"/>
  <c r="R383" i="13" s="1"/>
  <c r="AF383" i="13" s="1"/>
  <c r="CN361" i="13"/>
  <c r="CO361" i="13" s="1"/>
  <c r="CP361" i="13" s="1" a="1"/>
  <c r="CP361" i="13" s="1"/>
  <c r="CX351" i="13" a="1"/>
  <c r="CX351" i="13" s="1"/>
  <c r="CY351" i="13" a="1"/>
  <c r="CY351" i="13" s="1"/>
  <c r="BV317" i="13" a="1"/>
  <c r="BV317" i="13" s="1"/>
  <c r="CF317" i="13" s="1"/>
  <c r="R317" i="13" s="1"/>
  <c r="CT271" i="13" a="1"/>
  <c r="CT271" i="13" s="1"/>
  <c r="BZ257" i="13" a="1"/>
  <c r="BZ257" i="13" s="1"/>
  <c r="CB223" i="13"/>
  <c r="CC223" i="13" s="1"/>
  <c r="BR217" i="13" a="1"/>
  <c r="BR217" i="13" s="1"/>
  <c r="CN652" i="13"/>
  <c r="CO652" i="13" s="1"/>
  <c r="CP652" i="13" s="1" a="1"/>
  <c r="CP652" i="13" s="1"/>
  <c r="CJ584" i="13"/>
  <c r="CK584" i="13" s="1"/>
  <c r="CL584" i="13" s="1" a="1"/>
  <c r="CL584" i="13" s="1"/>
  <c r="BV554" i="13" a="1"/>
  <c r="BV554" i="13" s="1"/>
  <c r="CF554" i="13" s="1"/>
  <c r="R554" i="13" s="1"/>
  <c r="CD518" i="13" a="1"/>
  <c r="CD518" i="13" s="1"/>
  <c r="BZ420" i="13" a="1"/>
  <c r="BZ420" i="13" s="1"/>
  <c r="CZ412" i="13"/>
  <c r="Z412" i="13" s="1"/>
  <c r="CB437" i="13"/>
  <c r="CC437" i="13" s="1"/>
  <c r="CT405" i="13" a="1"/>
  <c r="CT405" i="13" s="1"/>
  <c r="BV379" i="13" a="1"/>
  <c r="BV379" i="13" s="1"/>
  <c r="BT371" i="13"/>
  <c r="BU371" i="13" s="1"/>
  <c r="BV371" i="13" s="1" a="1"/>
  <c r="BV371" i="13" s="1"/>
  <c r="CN273" i="13"/>
  <c r="CO273" i="13" s="1"/>
  <c r="CP273" i="13" s="1" a="1"/>
  <c r="CP273" i="13" s="1"/>
  <c r="CB313" i="13"/>
  <c r="CC313" i="13" s="1"/>
  <c r="CR233" i="13"/>
  <c r="CS233" i="13" s="1"/>
  <c r="CT233" i="13" s="1" a="1"/>
  <c r="CT233" i="13" s="1"/>
  <c r="BV214" i="13" a="1"/>
  <c r="BV214" i="13" s="1"/>
  <c r="BZ219" i="13" a="1"/>
  <c r="BZ219" i="13" s="1"/>
  <c r="CF219" i="13" s="1"/>
  <c r="R219" i="13" s="1"/>
  <c r="CJ186" i="13"/>
  <c r="CK186" i="13" s="1"/>
  <c r="CL186" i="13" s="1" a="1"/>
  <c r="CL186" i="13" s="1"/>
  <c r="CJ166" i="13"/>
  <c r="CK166" i="13" s="1"/>
  <c r="CL166" i="13" s="1" a="1"/>
  <c r="CL166" i="13" s="1"/>
  <c r="CD714" i="13" a="1"/>
  <c r="CD714" i="13" s="1"/>
  <c r="CF714" i="13" s="1"/>
  <c r="R714" i="13" s="1"/>
  <c r="BP643" i="13"/>
  <c r="BQ643" i="13" s="1"/>
  <c r="BR643" i="13" s="1" a="1"/>
  <c r="BR643" i="13" s="1"/>
  <c r="CV639" i="13"/>
  <c r="CW639" i="13" s="1"/>
  <c r="CJ467" i="13"/>
  <c r="CK467" i="13" s="1"/>
  <c r="CL467" i="13" s="1" a="1"/>
  <c r="CL467" i="13" s="1"/>
  <c r="BT464" i="13"/>
  <c r="BU464" i="13" s="1"/>
  <c r="BV464" i="13" s="1" a="1"/>
  <c r="BV464" i="13" s="1"/>
  <c r="CB411" i="13"/>
  <c r="CC411" i="13" s="1"/>
  <c r="BV427" i="13" a="1"/>
  <c r="BV427" i="13" s="1"/>
  <c r="CR437" i="13"/>
  <c r="CS437" i="13" s="1"/>
  <c r="CT437" i="13" s="1" a="1"/>
  <c r="CT437" i="13" s="1"/>
  <c r="CR390" i="13"/>
  <c r="CS390" i="13" s="1"/>
  <c r="CT390" i="13" s="1" a="1"/>
  <c r="CT390" i="13" s="1"/>
  <c r="CT343" i="13" a="1"/>
  <c r="CT343" i="13" s="1"/>
  <c r="CZ343" i="13" s="1"/>
  <c r="Z343" i="13" s="1"/>
  <c r="AF343" i="13" s="1"/>
  <c r="CN352" i="13"/>
  <c r="CO352" i="13" s="1"/>
  <c r="CJ352" i="13"/>
  <c r="CK352" i="13" s="1"/>
  <c r="CL352" i="13" s="1" a="1"/>
  <c r="CL352" i="13" s="1"/>
  <c r="BT352" i="13"/>
  <c r="BU352" i="13" s="1"/>
  <c r="BP352" i="13"/>
  <c r="BQ352" i="13" s="1"/>
  <c r="BR352" i="13" s="1" a="1"/>
  <c r="BR352" i="13" s="1"/>
  <c r="CB352" i="13"/>
  <c r="CC352" i="13" s="1"/>
  <c r="BX352" i="13"/>
  <c r="BY352" i="13" s="1"/>
  <c r="BZ333" i="13" a="1"/>
  <c r="BZ333" i="13" s="1"/>
  <c r="CN313" i="13"/>
  <c r="CO313" i="13" s="1"/>
  <c r="CB319" i="13"/>
  <c r="CC319" i="13" s="1"/>
  <c r="CF282" i="13"/>
  <c r="R282" i="13" s="1"/>
  <c r="CB307" i="13"/>
  <c r="CC307" i="13" s="1"/>
  <c r="CF238" i="13"/>
  <c r="R238" i="13" s="1"/>
  <c r="BZ234" i="13" a="1"/>
  <c r="BZ234" i="13" s="1"/>
  <c r="CR231" i="13"/>
  <c r="CS231" i="13" s="1"/>
  <c r="CT231" i="13" s="1" a="1"/>
  <c r="CT231" i="13" s="1"/>
  <c r="CE196" i="13" a="1"/>
  <c r="CE196" i="13" s="1"/>
  <c r="CD196" i="13" a="1"/>
  <c r="CD196" i="13" s="1"/>
  <c r="BX178" i="13"/>
  <c r="BY178" i="13" s="1"/>
  <c r="BZ178" i="13" s="1" a="1"/>
  <c r="BZ178" i="13" s="1"/>
  <c r="CN175" i="13"/>
  <c r="CO175" i="13" s="1"/>
  <c r="BT175" i="13"/>
  <c r="BU175" i="13" s="1"/>
  <c r="BZ175" i="13" s="1" a="1"/>
  <c r="BZ175" i="13" s="1"/>
  <c r="BP175" i="13"/>
  <c r="BQ175" i="13" s="1"/>
  <c r="BR175" i="13" s="1" a="1"/>
  <c r="BR175" i="13" s="1"/>
  <c r="CB175" i="13"/>
  <c r="CC175" i="13" s="1"/>
  <c r="CP160" i="13" a="1"/>
  <c r="CP160" i="13" s="1"/>
  <c r="CZ160" i="13" s="1"/>
  <c r="Z160" i="13" s="1"/>
  <c r="CE151" i="13" a="1"/>
  <c r="CE151" i="13" s="1"/>
  <c r="CD151" i="13" a="1"/>
  <c r="CD151" i="13" s="1"/>
  <c r="CF151" i="13" s="1"/>
  <c r="R151" i="13" s="1"/>
  <c r="BP433" i="13"/>
  <c r="BQ433" i="13" s="1"/>
  <c r="BR433" i="13" s="1" a="1"/>
  <c r="BR433" i="13" s="1"/>
  <c r="CN263" i="13"/>
  <c r="CO263" i="13" s="1"/>
  <c r="CP263" i="13" s="1" a="1"/>
  <c r="CP263" i="13" s="1"/>
  <c r="BZ208" i="13" a="1"/>
  <c r="BZ208" i="13" s="1"/>
  <c r="CF208" i="13" s="1"/>
  <c r="R208" i="13" s="1"/>
  <c r="CZ153" i="13"/>
  <c r="Z153" i="13" s="1"/>
  <c r="CD248" i="13" a="1"/>
  <c r="CD248" i="13" s="1"/>
  <c r="CP196" i="13" a="1"/>
  <c r="CP196" i="13" s="1"/>
  <c r="CZ196" i="13" s="1"/>
  <c r="Z196" i="13" s="1"/>
  <c r="CR173" i="13"/>
  <c r="CS173" i="13" s="1"/>
  <c r="CR133" i="13"/>
  <c r="CS133" i="13" s="1"/>
  <c r="CD417" i="13" a="1"/>
  <c r="CD417" i="13" s="1"/>
  <c r="CF417" i="13" s="1"/>
  <c r="R417" i="13" s="1"/>
  <c r="CX300" i="13" a="1"/>
  <c r="CX300" i="13" s="1"/>
  <c r="CZ300" i="13" s="1"/>
  <c r="Z300" i="13" s="1"/>
  <c r="CT281" i="13" a="1"/>
  <c r="CT281" i="13" s="1"/>
  <c r="CP190" i="13" a="1"/>
  <c r="CP190" i="13" s="1"/>
  <c r="CZ190" i="13" s="1"/>
  <c r="Z190" i="13" s="1"/>
  <c r="CF148" i="13"/>
  <c r="R148" i="13" s="1"/>
  <c r="BP139" i="13"/>
  <c r="BQ139" i="13" s="1"/>
  <c r="BR139" i="13" s="1" a="1"/>
  <c r="BR139" i="13" s="1"/>
  <c r="CV139" i="13"/>
  <c r="CW139" i="13" s="1"/>
  <c r="BV291" i="13" a="1"/>
  <c r="BV291" i="13" s="1"/>
  <c r="CD221" i="13" a="1"/>
  <c r="CD221" i="13" s="1"/>
  <c r="CV150" i="13"/>
  <c r="CW150" i="13" s="1"/>
  <c r="CR373" i="13"/>
  <c r="CS373" i="13" s="1"/>
  <c r="CT373" i="13" s="1" a="1"/>
  <c r="CT373" i="13" s="1"/>
  <c r="CD291" i="13" a="1"/>
  <c r="CD291" i="13" s="1"/>
  <c r="CN223" i="13"/>
  <c r="CO223" i="13" s="1"/>
  <c r="CB179" i="13"/>
  <c r="CC179" i="13" s="1"/>
  <c r="CD126" i="13" a="1"/>
  <c r="CD126" i="13" s="1"/>
  <c r="CE126" i="13" a="1"/>
  <c r="CE126" i="13" s="1"/>
  <c r="BT129" i="13"/>
  <c r="BU129" i="13" s="1"/>
  <c r="CD381" i="13" a="1"/>
  <c r="CD381" i="13" s="1"/>
  <c r="CT354" i="13" a="1"/>
  <c r="CT354" i="13" s="1"/>
  <c r="CV207" i="13"/>
  <c r="CW207" i="13" s="1"/>
  <c r="BX199" i="13"/>
  <c r="BY199" i="13" s="1"/>
  <c r="BZ199" i="13" s="1" a="1"/>
  <c r="BZ199" i="13" s="1"/>
  <c r="BT157" i="13"/>
  <c r="BU157" i="13" s="1"/>
  <c r="BV157" i="13" s="1" a="1"/>
  <c r="BV157" i="13" s="1"/>
  <c r="CZ147" i="13"/>
  <c r="Z147" i="13" s="1"/>
  <c r="CR140" i="13"/>
  <c r="CS140" i="13" s="1"/>
  <c r="CT140" i="13" s="1" a="1"/>
  <c r="CT140" i="13" s="1"/>
  <c r="CV140" i="13"/>
  <c r="CW140" i="13" s="1"/>
  <c r="BP140" i="13"/>
  <c r="BQ140" i="13" s="1"/>
  <c r="BR140" i="13" s="1" a="1"/>
  <c r="BR140" i="13" s="1"/>
  <c r="BT140" i="13"/>
  <c r="BU140" i="13" s="1"/>
  <c r="BV140" i="13" s="1" a="1"/>
  <c r="BV140" i="13" s="1"/>
  <c r="CR137" i="13"/>
  <c r="CS137" i="13" s="1"/>
  <c r="CT137" i="13" s="1" a="1"/>
  <c r="CT137" i="13" s="1"/>
  <c r="BX394" i="13"/>
  <c r="BY394" i="13" s="1"/>
  <c r="BZ394" i="13" s="1" a="1"/>
  <c r="BZ394" i="13" s="1"/>
  <c r="CN267" i="13"/>
  <c r="CO267" i="13" s="1"/>
  <c r="CT267" i="13" s="1" a="1"/>
  <c r="CT267" i="13" s="1"/>
  <c r="CX165" i="13" a="1"/>
  <c r="CX165" i="13" s="1"/>
  <c r="CY165" i="13" a="1"/>
  <c r="CY165" i="13" s="1"/>
  <c r="CY142" i="13" a="1"/>
  <c r="CY142" i="13" s="1"/>
  <c r="CX142" i="13" a="1"/>
  <c r="CX142" i="13" s="1"/>
  <c r="CD142" i="13" a="1"/>
  <c r="CD142" i="13" s="1"/>
  <c r="CF142" i="13" s="1"/>
  <c r="R142" i="13" s="1"/>
  <c r="CP122" i="13" a="1"/>
  <c r="CP122" i="13" s="1"/>
  <c r="CL135" i="13" a="1"/>
  <c r="CL135" i="13" s="1"/>
  <c r="CZ135" i="13" s="1"/>
  <c r="Z135" i="13" s="1"/>
  <c r="CX882" i="13" a="1"/>
  <c r="CX882" i="13" s="1"/>
  <c r="CY882" i="13" a="1"/>
  <c r="CY882" i="13" s="1"/>
  <c r="CT980" i="13" a="1"/>
  <c r="CT980" i="13" s="1"/>
  <c r="CZ980" i="13" s="1"/>
  <c r="Z980" i="13" s="1"/>
  <c r="CZ821" i="13"/>
  <c r="Z821" i="13" s="1"/>
  <c r="CR780" i="13"/>
  <c r="CS780" i="13" s="1"/>
  <c r="CT780" i="13" s="1" a="1"/>
  <c r="CT780" i="13" s="1"/>
  <c r="CE919" i="13" a="1"/>
  <c r="CE919" i="13" s="1"/>
  <c r="CD919" i="13" a="1"/>
  <c r="CD919" i="13" s="1"/>
  <c r="CR990" i="13"/>
  <c r="CS990" i="13" s="1"/>
  <c r="CT990" i="13" s="1" a="1"/>
  <c r="CT990" i="13" s="1"/>
  <c r="CX931" i="13" a="1"/>
  <c r="CX931" i="13" s="1"/>
  <c r="CY931" i="13" a="1"/>
  <c r="CY931" i="13" s="1"/>
  <c r="CX846" i="13" a="1"/>
  <c r="CX846" i="13" s="1"/>
  <c r="CY846" i="13" a="1"/>
  <c r="CY846" i="13" s="1"/>
  <c r="CR893" i="13"/>
  <c r="CS893" i="13" s="1"/>
  <c r="CT893" i="13" s="1" a="1"/>
  <c r="CT893" i="13" s="1"/>
  <c r="CF832" i="13"/>
  <c r="R832" i="13" s="1"/>
  <c r="CF783" i="13"/>
  <c r="R783" i="13" s="1"/>
  <c r="CD817" i="13" a="1"/>
  <c r="CD817" i="13" s="1"/>
  <c r="CE817" i="13" a="1"/>
  <c r="CE817" i="13" s="1"/>
  <c r="BV795" i="13" a="1"/>
  <c r="BV795" i="13" s="1"/>
  <c r="CF811" i="13"/>
  <c r="R811" i="13" s="1"/>
  <c r="CV918" i="13"/>
  <c r="CW918" i="13" s="1"/>
  <c r="CZ966" i="13"/>
  <c r="Z966" i="13" s="1"/>
  <c r="CD868" i="13" a="1"/>
  <c r="CD868" i="13" s="1"/>
  <c r="CE868" i="13" a="1"/>
  <c r="CE868" i="13" s="1"/>
  <c r="CX858" i="13" a="1"/>
  <c r="CX858" i="13" s="1"/>
  <c r="CY858" i="13" a="1"/>
  <c r="CY858" i="13" s="1"/>
  <c r="BP869" i="13"/>
  <c r="BQ869" i="13" s="1"/>
  <c r="BR869" i="13" s="1" a="1"/>
  <c r="BR869" i="13" s="1"/>
  <c r="CF982" i="13"/>
  <c r="R982" i="13" s="1"/>
  <c r="BV964" i="13" a="1"/>
  <c r="BV964" i="13" s="1"/>
  <c r="CB995" i="13"/>
  <c r="CC995" i="13" s="1"/>
  <c r="BV951" i="13" a="1"/>
  <c r="BV951" i="13" s="1"/>
  <c r="CE951" i="13" a="1"/>
  <c r="CE951" i="13" s="1"/>
  <c r="CD951" i="13" a="1"/>
  <c r="CD951" i="13" s="1"/>
  <c r="CY955" i="13" a="1"/>
  <c r="CY955" i="13" s="1"/>
  <c r="CX955" i="13" a="1"/>
  <c r="CX955" i="13" s="1"/>
  <c r="CR942" i="13"/>
  <c r="CS942" i="13" s="1"/>
  <c r="CT942" i="13" s="1" a="1"/>
  <c r="CT942" i="13" s="1"/>
  <c r="CD892" i="13" a="1"/>
  <c r="CD892" i="13" s="1"/>
  <c r="CE892" i="13" a="1"/>
  <c r="CE892" i="13" s="1"/>
  <c r="CP840" i="13" a="1"/>
  <c r="CP840" i="13" s="1"/>
  <c r="CV869" i="13"/>
  <c r="CW869" i="13" s="1"/>
  <c r="CT787" i="13" a="1"/>
  <c r="CT787" i="13" s="1"/>
  <c r="CX787" i="13" a="1"/>
  <c r="CX787" i="13" s="1"/>
  <c r="BX796" i="13"/>
  <c r="BY796" i="13" s="1"/>
  <c r="BZ796" i="13" s="1" a="1"/>
  <c r="BZ796" i="13" s="1"/>
  <c r="BX877" i="13"/>
  <c r="BY877" i="13" s="1"/>
  <c r="BZ877" i="13" s="1" a="1"/>
  <c r="BZ877" i="13" s="1"/>
  <c r="CN1000" i="13"/>
  <c r="CO1000" i="13" s="1"/>
  <c r="CP1000" i="13" s="1" a="1"/>
  <c r="CP1000" i="13" s="1"/>
  <c r="CF971" i="13"/>
  <c r="R971" i="13" s="1"/>
  <c r="BT1010" i="13"/>
  <c r="BU1010" i="13" s="1"/>
  <c r="BV1010" i="13" s="1" a="1"/>
  <c r="BV1010" i="13" s="1"/>
  <c r="CZ911" i="13"/>
  <c r="Z911" i="13" s="1"/>
  <c r="CE975" i="13" a="1"/>
  <c r="CE975" i="13" s="1"/>
  <c r="CD975" i="13" a="1"/>
  <c r="CD975" i="13" s="1"/>
  <c r="CY921" i="13" a="1"/>
  <c r="CY921" i="13" s="1"/>
  <c r="CX921" i="13" a="1"/>
  <c r="CX921" i="13" s="1"/>
  <c r="BZ937" i="13" a="1"/>
  <c r="BZ937" i="13" s="1"/>
  <c r="CF937" i="13" s="1"/>
  <c r="R937" i="13" s="1"/>
  <c r="CR934" i="13"/>
  <c r="CS934" i="13" s="1"/>
  <c r="CT934" i="13" s="1" a="1"/>
  <c r="CT934" i="13" s="1"/>
  <c r="CJ897" i="13"/>
  <c r="CK897" i="13" s="1"/>
  <c r="CL897" i="13" s="1" a="1"/>
  <c r="CL897" i="13" s="1"/>
  <c r="CY860" i="13" a="1"/>
  <c r="CY860" i="13" s="1"/>
  <c r="CX860" i="13" a="1"/>
  <c r="CX860" i="13" s="1"/>
  <c r="CX894" i="13" a="1"/>
  <c r="CX894" i="13" s="1"/>
  <c r="CY894" i="13" a="1"/>
  <c r="CY894" i="13" s="1"/>
  <c r="CY779" i="13" a="1"/>
  <c r="CY779" i="13" s="1"/>
  <c r="CX779" i="13" a="1"/>
  <c r="CX779" i="13" s="1"/>
  <c r="CJ792" i="13"/>
  <c r="CK792" i="13" s="1"/>
  <c r="CL792" i="13" s="1" a="1"/>
  <c r="CL792" i="13" s="1"/>
  <c r="BX766" i="13"/>
  <c r="BY766" i="13" s="1"/>
  <c r="BZ766" i="13" s="1" a="1"/>
  <c r="BZ766" i="13" s="1"/>
  <c r="BV959" i="13" a="1"/>
  <c r="BV959" i="13" s="1"/>
  <c r="BX1011" i="13"/>
  <c r="BY1011" i="13" s="1"/>
  <c r="BZ1011" i="13" s="1" a="1"/>
  <c r="BZ1011" i="13" s="1"/>
  <c r="CF962" i="13"/>
  <c r="R962" i="13" s="1"/>
  <c r="CZ985" i="13"/>
  <c r="Z985" i="13" s="1"/>
  <c r="BZ925" i="13" a="1"/>
  <c r="BZ925" i="13" s="1"/>
  <c r="CF925" i="13" s="1"/>
  <c r="R925" i="13" s="1"/>
  <c r="CE989" i="13" a="1"/>
  <c r="CE989" i="13" s="1"/>
  <c r="CD989" i="13" a="1"/>
  <c r="CD989" i="13" s="1"/>
  <c r="CE943" i="13" a="1"/>
  <c r="CE943" i="13" s="1"/>
  <c r="CD943" i="13" a="1"/>
  <c r="CD943" i="13" s="1"/>
  <c r="CZ988" i="13"/>
  <c r="Z988" i="13" s="1"/>
  <c r="CV889" i="13"/>
  <c r="CW889" i="13" s="1"/>
  <c r="CJ901" i="13"/>
  <c r="CK901" i="13" s="1"/>
  <c r="CL901" i="13" s="1" a="1"/>
  <c r="CL901" i="13" s="1"/>
  <c r="CZ834" i="13"/>
  <c r="Z834" i="13" s="1"/>
  <c r="BP873" i="13"/>
  <c r="BQ873" i="13" s="1"/>
  <c r="BR873" i="13" s="1" a="1"/>
  <c r="BR873" i="13" s="1"/>
  <c r="CB877" i="13"/>
  <c r="CC877" i="13" s="1"/>
  <c r="BT820" i="13"/>
  <c r="BU820" i="13" s="1"/>
  <c r="BV820" i="13" s="1" a="1"/>
  <c r="BV820" i="13" s="1"/>
  <c r="CN997" i="13"/>
  <c r="CO997" i="13" s="1"/>
  <c r="CB1021" i="13"/>
  <c r="CC1021" i="13" s="1"/>
  <c r="CV1019" i="13"/>
  <c r="CW1019" i="13" s="1"/>
  <c r="BZ909" i="13" a="1"/>
  <c r="BZ909" i="13" s="1"/>
  <c r="CB938" i="13"/>
  <c r="CC938" i="13" s="1"/>
  <c r="CJ994" i="13"/>
  <c r="CK994" i="13" s="1"/>
  <c r="CL994" i="13" s="1" a="1"/>
  <c r="CL994" i="13" s="1"/>
  <c r="BX912" i="13"/>
  <c r="BY912" i="13" s="1"/>
  <c r="BZ912" i="13" s="1" a="1"/>
  <c r="BZ912" i="13" s="1"/>
  <c r="CF946" i="13"/>
  <c r="R946" i="13" s="1"/>
  <c r="BV940" i="13" a="1"/>
  <c r="BV940" i="13" s="1"/>
  <c r="BT924" i="13"/>
  <c r="BU924" i="13" s="1"/>
  <c r="BT908" i="13"/>
  <c r="BU908" i="13" s="1"/>
  <c r="BV908" i="13" s="1" a="1"/>
  <c r="BV908" i="13" s="1"/>
  <c r="BT883" i="13"/>
  <c r="BU883" i="13" s="1"/>
  <c r="BV883" i="13" s="1" a="1"/>
  <c r="BV883" i="13" s="1"/>
  <c r="CP830" i="13" a="1"/>
  <c r="CP830" i="13" s="1"/>
  <c r="CZ830" i="13" s="1"/>
  <c r="Z830" i="13" s="1"/>
  <c r="BZ892" i="13" a="1"/>
  <c r="BZ892" i="13" s="1"/>
  <c r="CE870" i="13" a="1"/>
  <c r="CE870" i="13" s="1"/>
  <c r="CD870" i="13" a="1"/>
  <c r="CD870" i="13" s="1"/>
  <c r="CB851" i="13"/>
  <c r="CC851" i="13" s="1"/>
  <c r="CY750" i="13" a="1"/>
  <c r="CY750" i="13" s="1"/>
  <c r="CX750" i="13" a="1"/>
  <c r="CX750" i="13" s="1"/>
  <c r="BT804" i="13"/>
  <c r="BU804" i="13" s="1"/>
  <c r="BV804" i="13" s="1" a="1"/>
  <c r="BV804" i="13" s="1"/>
  <c r="CX819" i="13" a="1"/>
  <c r="CX819" i="13" s="1"/>
  <c r="CY819" i="13" a="1"/>
  <c r="CY819" i="13" s="1"/>
  <c r="BT743" i="13"/>
  <c r="BU743" i="13" s="1"/>
  <c r="BV743" i="13" s="1" a="1"/>
  <c r="BV743" i="13" s="1"/>
  <c r="CJ1016" i="13"/>
  <c r="CK1016" i="13" s="1"/>
  <c r="CL1016" i="13" s="1" a="1"/>
  <c r="CL1016" i="13" s="1"/>
  <c r="BX995" i="13"/>
  <c r="BY995" i="13" s="1"/>
  <c r="BZ995" i="13" s="1" a="1"/>
  <c r="BZ995" i="13" s="1"/>
  <c r="BT990" i="13"/>
  <c r="BU990" i="13" s="1"/>
  <c r="BV990" i="13" s="1" a="1"/>
  <c r="BV990" i="13" s="1"/>
  <c r="CP939" i="13" a="1"/>
  <c r="CP939" i="13" s="1"/>
  <c r="CZ939" i="13" s="1"/>
  <c r="Z939" i="13" s="1"/>
  <c r="CD923" i="13" a="1"/>
  <c r="CD923" i="13" s="1"/>
  <c r="CE923" i="13" a="1"/>
  <c r="CE923" i="13" s="1"/>
  <c r="CV997" i="13"/>
  <c r="CW997" i="13" s="1"/>
  <c r="BV868" i="13" a="1"/>
  <c r="BV868" i="13" s="1"/>
  <c r="BV842" i="13" a="1"/>
  <c r="BV842" i="13" s="1"/>
  <c r="CF842" i="13" s="1"/>
  <c r="R842" i="13" s="1"/>
  <c r="CX870" i="13" a="1"/>
  <c r="CX870" i="13" s="1"/>
  <c r="CY870" i="13" a="1"/>
  <c r="CY870" i="13" s="1"/>
  <c r="CX884" i="13" a="1"/>
  <c r="CX884" i="13" s="1"/>
  <c r="CY884" i="13" a="1"/>
  <c r="CY884" i="13" s="1"/>
  <c r="CT825" i="13" a="1"/>
  <c r="CT825" i="13" s="1"/>
  <c r="CV851" i="13"/>
  <c r="CW851" i="13" s="1"/>
  <c r="BX831" i="13"/>
  <c r="BY831" i="13" s="1"/>
  <c r="BZ831" i="13" s="1" a="1"/>
  <c r="BZ831" i="13" s="1"/>
  <c r="CP959" i="13" a="1"/>
  <c r="CP959" i="13" s="1"/>
  <c r="CX952" i="13" a="1"/>
  <c r="CX952" i="13" s="1"/>
  <c r="CD797" i="13" a="1"/>
  <c r="CD797" i="13" s="1"/>
  <c r="CE797" i="13" a="1"/>
  <c r="CE797" i="13" s="1"/>
  <c r="CF771" i="13"/>
  <c r="R771" i="13" s="1"/>
  <c r="AF771" i="13" s="1"/>
  <c r="CY755" i="13" a="1"/>
  <c r="CY755" i="13" s="1"/>
  <c r="CX755" i="13" a="1"/>
  <c r="CX755" i="13" s="1"/>
  <c r="CZ755" i="13" s="1"/>
  <c r="Z755" i="13" s="1"/>
  <c r="BT784" i="13"/>
  <c r="BU784" i="13" s="1"/>
  <c r="BV784" i="13" s="1" a="1"/>
  <c r="BV784" i="13" s="1"/>
  <c r="BP778" i="13"/>
  <c r="BQ778" i="13" s="1"/>
  <c r="BR778" i="13" s="1" a="1"/>
  <c r="BR778" i="13" s="1"/>
  <c r="CN770" i="13"/>
  <c r="CO770" i="13" s="1"/>
  <c r="CP770" i="13" s="1" a="1"/>
  <c r="CP770" i="13" s="1"/>
  <c r="CJ758" i="13"/>
  <c r="CK758" i="13" s="1"/>
  <c r="CL758" i="13" s="1" a="1"/>
  <c r="CL758" i="13" s="1"/>
  <c r="CE728" i="13" a="1"/>
  <c r="CE728" i="13" s="1"/>
  <c r="CD728" i="13" a="1"/>
  <c r="CD728" i="13" s="1"/>
  <c r="CY714" i="13" a="1"/>
  <c r="CY714" i="13" s="1"/>
  <c r="CX714" i="13" a="1"/>
  <c r="CX714" i="13" s="1"/>
  <c r="BZ972" i="13" a="1"/>
  <c r="BZ972" i="13" s="1"/>
  <c r="CF972" i="13" s="1"/>
  <c r="R972" i="13" s="1"/>
  <c r="BV860" i="13" a="1"/>
  <c r="BV860" i="13" s="1"/>
  <c r="CF860" i="13" s="1"/>
  <c r="R860" i="13" s="1"/>
  <c r="CX817" i="13" a="1"/>
  <c r="CX817" i="13" s="1"/>
  <c r="CZ817" i="13" s="1"/>
  <c r="Z817" i="13" s="1"/>
  <c r="CN798" i="13"/>
  <c r="CO798" i="13" s="1"/>
  <c r="CP798" i="13" s="1" a="1"/>
  <c r="CP798" i="13" s="1"/>
  <c r="CD773" i="13" a="1"/>
  <c r="CD773" i="13" s="1"/>
  <c r="CE773" i="13" a="1"/>
  <c r="CE773" i="13" s="1"/>
  <c r="CF720" i="13"/>
  <c r="R720" i="13" s="1"/>
  <c r="BV700" i="13" a="1"/>
  <c r="BV700" i="13" s="1"/>
  <c r="CZ605" i="13"/>
  <c r="Z605" i="13" s="1"/>
  <c r="CX540" i="13" a="1"/>
  <c r="CX540" i="13" s="1"/>
  <c r="CY540" i="13" a="1"/>
  <c r="CY540" i="13" s="1"/>
  <c r="CD564" i="13" a="1"/>
  <c r="CD564" i="13" s="1"/>
  <c r="CE564" i="13" a="1"/>
  <c r="CE564" i="13" s="1"/>
  <c r="CF516" i="13"/>
  <c r="R516" i="13" s="1"/>
  <c r="CD959" i="13" a="1"/>
  <c r="CD959" i="13" s="1"/>
  <c r="CV893" i="13"/>
  <c r="CW893" i="13" s="1"/>
  <c r="BT798" i="13"/>
  <c r="BU798" i="13" s="1"/>
  <c r="BV798" i="13" s="1" a="1"/>
  <c r="BV798" i="13" s="1"/>
  <c r="CF736" i="13"/>
  <c r="R736" i="13" s="1"/>
  <c r="CF709" i="13"/>
  <c r="R709" i="13" s="1"/>
  <c r="AF709" i="13" s="1"/>
  <c r="CF726" i="13"/>
  <c r="R726" i="13" s="1"/>
  <c r="CR674" i="13"/>
  <c r="CS674" i="13" s="1"/>
  <c r="CT674" i="13" s="1" a="1"/>
  <c r="CT674" i="13" s="1"/>
  <c r="CJ627" i="13"/>
  <c r="CK627" i="13" s="1"/>
  <c r="CL627" i="13" s="1" a="1"/>
  <c r="CL627" i="13" s="1"/>
  <c r="BX600" i="13"/>
  <c r="BY600" i="13" s="1"/>
  <c r="BZ600" i="13" s="1" a="1"/>
  <c r="BZ600" i="13" s="1"/>
  <c r="CF609" i="13"/>
  <c r="R609" i="13" s="1"/>
  <c r="BZ550" i="13" a="1"/>
  <c r="BZ550" i="13" s="1"/>
  <c r="CF550" i="13" s="1"/>
  <c r="R550" i="13" s="1"/>
  <c r="CF574" i="13"/>
  <c r="R574" i="13" s="1"/>
  <c r="BP557" i="13"/>
  <c r="BQ557" i="13" s="1"/>
  <c r="BR557" i="13" s="1" a="1"/>
  <c r="BR557" i="13" s="1"/>
  <c r="CJ495" i="13"/>
  <c r="CK495" i="13" s="1"/>
  <c r="CL495" i="13" s="1" a="1"/>
  <c r="CL495" i="13" s="1"/>
  <c r="BX489" i="13"/>
  <c r="BY489" i="13" s="1"/>
  <c r="BZ489" i="13" s="1" a="1"/>
  <c r="BZ489" i="13" s="1"/>
  <c r="CP509" i="13" a="1"/>
  <c r="CP509" i="13" s="1"/>
  <c r="CP977" i="13" a="1"/>
  <c r="CP977" i="13" s="1"/>
  <c r="CZ977" i="13" s="1"/>
  <c r="Z977" i="13" s="1"/>
  <c r="BV919" i="13" a="1"/>
  <c r="BV919" i="13" s="1"/>
  <c r="CF919" i="13" s="1"/>
  <c r="R919" i="13" s="1"/>
  <c r="CB820" i="13"/>
  <c r="CC820" i="13" s="1"/>
  <c r="CV794" i="13"/>
  <c r="CW794" i="13" s="1"/>
  <c r="CD744" i="13" a="1"/>
  <c r="CD744" i="13" s="1"/>
  <c r="CE744" i="13" a="1"/>
  <c r="CE744" i="13" s="1"/>
  <c r="CF717" i="13"/>
  <c r="R717" i="13" s="1"/>
  <c r="AF717" i="13" s="1"/>
  <c r="CY730" i="13" a="1"/>
  <c r="CY730" i="13" s="1"/>
  <c r="CX730" i="13" a="1"/>
  <c r="CX730" i="13" s="1"/>
  <c r="BV702" i="13" a="1"/>
  <c r="BV702" i="13" s="1"/>
  <c r="CN643" i="13"/>
  <c r="CO643" i="13" s="1"/>
  <c r="CP643" i="13" s="1" a="1"/>
  <c r="CP643" i="13" s="1"/>
  <c r="CJ640" i="13"/>
  <c r="CK640" i="13" s="1"/>
  <c r="CL640" i="13" s="1" a="1"/>
  <c r="CL640" i="13" s="1"/>
  <c r="BT639" i="13"/>
  <c r="BU639" i="13" s="1"/>
  <c r="BV639" i="13" s="1" a="1"/>
  <c r="BV639" i="13" s="1"/>
  <c r="CF589" i="13"/>
  <c r="R589" i="13" s="1"/>
  <c r="CV600" i="13"/>
  <c r="CW600" i="13" s="1"/>
  <c r="CD595" i="13" a="1"/>
  <c r="CD595" i="13" s="1"/>
  <c r="CE595" i="13" a="1"/>
  <c r="CE595" i="13" s="1"/>
  <c r="BX630" i="13"/>
  <c r="BY630" i="13" s="1"/>
  <c r="BZ630" i="13" s="1" a="1"/>
  <c r="BZ630" i="13" s="1"/>
  <c r="CP550" i="13" a="1"/>
  <c r="CP550" i="13" s="1"/>
  <c r="CZ550" i="13" s="1"/>
  <c r="Z550" i="13" s="1"/>
  <c r="CN535" i="13"/>
  <c r="CO535" i="13" s="1"/>
  <c r="CP535" i="13" s="1" a="1"/>
  <c r="CP535" i="13" s="1"/>
  <c r="CN567" i="13"/>
  <c r="CO567" i="13" s="1"/>
  <c r="CP567" i="13" s="1" a="1"/>
  <c r="CP567" i="13" s="1"/>
  <c r="CV567" i="13"/>
  <c r="CW567" i="13" s="1"/>
  <c r="CJ567" i="13"/>
  <c r="CK567" i="13" s="1"/>
  <c r="CL567" i="13" s="1" a="1"/>
  <c r="CL567" i="13" s="1"/>
  <c r="CZ570" i="13"/>
  <c r="Z570" i="13" s="1"/>
  <c r="CV561" i="13"/>
  <c r="CW561" i="13" s="1"/>
  <c r="CE478" i="13" a="1"/>
  <c r="CE478" i="13" s="1"/>
  <c r="CD478" i="13" a="1"/>
  <c r="CD478" i="13" s="1"/>
  <c r="CD526" i="13" a="1"/>
  <c r="CD526" i="13" s="1"/>
  <c r="CE526" i="13" a="1"/>
  <c r="CE526" i="13" s="1"/>
  <c r="CD498" i="13" a="1"/>
  <c r="CD498" i="13" s="1"/>
  <c r="CE498" i="13" a="1"/>
  <c r="CE498" i="13" s="1"/>
  <c r="BP483" i="13"/>
  <c r="BQ483" i="13" s="1"/>
  <c r="BR483" i="13" s="1" a="1"/>
  <c r="BR483" i="13" s="1"/>
  <c r="CB441" i="13"/>
  <c r="CC441" i="13" s="1"/>
  <c r="CX986" i="13" a="1"/>
  <c r="CX986" i="13" s="1"/>
  <c r="CJ1012" i="13"/>
  <c r="CK1012" i="13" s="1"/>
  <c r="CL1012" i="13" s="1" a="1"/>
  <c r="CL1012" i="13" s="1"/>
  <c r="CX956" i="13" a="1"/>
  <c r="CX956" i="13" s="1"/>
  <c r="CZ956" i="13" s="1"/>
  <c r="Z956" i="13" s="1"/>
  <c r="BZ902" i="13" a="1"/>
  <c r="BZ902" i="13" s="1"/>
  <c r="CF902" i="13" s="1"/>
  <c r="R902" i="13" s="1"/>
  <c r="BZ898" i="13" a="1"/>
  <c r="BZ898" i="13" s="1"/>
  <c r="CB794" i="13"/>
  <c r="CC794" i="13" s="1"/>
  <c r="CJ788" i="13"/>
  <c r="CK788" i="13" s="1"/>
  <c r="CL788" i="13" s="1" a="1"/>
  <c r="CL788" i="13" s="1"/>
  <c r="CN772" i="13"/>
  <c r="CO772" i="13" s="1"/>
  <c r="CP772" i="13" s="1" a="1"/>
  <c r="CP772" i="13" s="1"/>
  <c r="CN764" i="13"/>
  <c r="CO764" i="13" s="1"/>
  <c r="CP764" i="13" s="1" a="1"/>
  <c r="CP764" i="13" s="1"/>
  <c r="CB749" i="13"/>
  <c r="CC749" i="13" s="1"/>
  <c r="BP654" i="13"/>
  <c r="BQ654" i="13" s="1"/>
  <c r="BR654" i="13" s="1" a="1"/>
  <c r="BR654" i="13" s="1"/>
  <c r="CJ639" i="13"/>
  <c r="CK639" i="13" s="1"/>
  <c r="CL639" i="13" s="1" a="1"/>
  <c r="CL639" i="13" s="1"/>
  <c r="BP675" i="13"/>
  <c r="BQ675" i="13" s="1"/>
  <c r="BR675" i="13" s="1" a="1"/>
  <c r="BR675" i="13" s="1"/>
  <c r="CV606" i="13"/>
  <c r="CW606" i="13" s="1"/>
  <c r="CJ571" i="13"/>
  <c r="CK571" i="13" s="1"/>
  <c r="CL571" i="13" s="1" a="1"/>
  <c r="CL571" i="13" s="1"/>
  <c r="CY609" i="13" a="1"/>
  <c r="CY609" i="13" s="1"/>
  <c r="CX609" i="13" a="1"/>
  <c r="CX609" i="13" s="1"/>
  <c r="CN600" i="13"/>
  <c r="CO600" i="13" s="1"/>
  <c r="CP600" i="13" s="1" a="1"/>
  <c r="CP600" i="13" s="1"/>
  <c r="CR567" i="13"/>
  <c r="CS567" i="13" s="1"/>
  <c r="CF492" i="13"/>
  <c r="R492" i="13" s="1"/>
  <c r="BT477" i="13"/>
  <c r="BU477" i="13" s="1"/>
  <c r="BT455" i="13"/>
  <c r="BU455" i="13" s="1"/>
  <c r="CB519" i="13"/>
  <c r="CC519" i="13" s="1"/>
  <c r="CP907" i="13" a="1"/>
  <c r="CP907" i="13" s="1"/>
  <c r="CZ907" i="13" s="1"/>
  <c r="Z907" i="13" s="1"/>
  <c r="CD886" i="13" a="1"/>
  <c r="CD886" i="13" s="1"/>
  <c r="CN741" i="13"/>
  <c r="CO741" i="13" s="1"/>
  <c r="CP741" i="13" s="1" a="1"/>
  <c r="CP741" i="13" s="1"/>
  <c r="CX738" i="13" a="1"/>
  <c r="CX738" i="13" s="1"/>
  <c r="CY738" i="13" a="1"/>
  <c r="CY738" i="13" s="1"/>
  <c r="CN629" i="13"/>
  <c r="CO629" i="13" s="1"/>
  <c r="CX611" i="13" a="1"/>
  <c r="CX611" i="13" s="1"/>
  <c r="CY611" i="13" a="1"/>
  <c r="CY611" i="13" s="1"/>
  <c r="CE612" i="13" a="1"/>
  <c r="CE612" i="13" s="1"/>
  <c r="CD612" i="13" a="1"/>
  <c r="CD612" i="13" s="1"/>
  <c r="CT566" i="13" a="1"/>
  <c r="CT566" i="13" s="1"/>
  <c r="CR563" i="13"/>
  <c r="CS563" i="13" s="1"/>
  <c r="CT563" i="13" s="1" a="1"/>
  <c r="CT563" i="13" s="1"/>
  <c r="CP552" i="13" a="1"/>
  <c r="CP552" i="13" s="1"/>
  <c r="CZ552" i="13" s="1"/>
  <c r="Z552" i="13" s="1"/>
  <c r="BX553" i="13"/>
  <c r="BY553" i="13" s="1"/>
  <c r="CV533" i="13"/>
  <c r="CW533" i="13" s="1"/>
  <c r="BP507" i="13"/>
  <c r="BQ507" i="13" s="1"/>
  <c r="BR507" i="13" s="1" a="1"/>
  <c r="BR507" i="13" s="1"/>
  <c r="CE490" i="13" a="1"/>
  <c r="CE490" i="13" s="1"/>
  <c r="CD490" i="13" a="1"/>
  <c r="CD490" i="13" s="1"/>
  <c r="BT1015" i="13"/>
  <c r="BU1015" i="13" s="1"/>
  <c r="BV1015" i="13" s="1" a="1"/>
  <c r="BV1015" i="13" s="1"/>
  <c r="BZ968" i="13" a="1"/>
  <c r="BZ968" i="13" s="1"/>
  <c r="CF968" i="13" s="1"/>
  <c r="R968" i="13" s="1"/>
  <c r="BZ954" i="13" a="1"/>
  <c r="BZ954" i="13" s="1"/>
  <c r="CF954" i="13" s="1"/>
  <c r="R954" i="13" s="1"/>
  <c r="AF954" i="13" s="1"/>
  <c r="CZ739" i="13"/>
  <c r="Z739" i="13" s="1"/>
  <c r="CB778" i="13"/>
  <c r="CC778" i="13" s="1"/>
  <c r="CF711" i="13"/>
  <c r="R711" i="13" s="1"/>
  <c r="AF711" i="13" s="1"/>
  <c r="CR754" i="13"/>
  <c r="CS754" i="13" s="1"/>
  <c r="CT754" i="13" s="1" a="1"/>
  <c r="CT754" i="13" s="1"/>
  <c r="CF693" i="13"/>
  <c r="R693" i="13" s="1"/>
  <c r="AF693" i="13" s="1"/>
  <c r="CP718" i="13" a="1"/>
  <c r="CP718" i="13" s="1"/>
  <c r="CZ718" i="13" s="1"/>
  <c r="Z718" i="13" s="1"/>
  <c r="CN682" i="13"/>
  <c r="CO682" i="13" s="1"/>
  <c r="CP682" i="13" s="1" a="1"/>
  <c r="CP682" i="13" s="1"/>
  <c r="BT660" i="13"/>
  <c r="BU660" i="13" s="1"/>
  <c r="BV660" i="13" s="1" a="1"/>
  <c r="BV660" i="13" s="1"/>
  <c r="CJ667" i="13"/>
  <c r="CK667" i="13" s="1"/>
  <c r="CL667" i="13" s="1" a="1"/>
  <c r="CL667" i="13" s="1"/>
  <c r="BT565" i="13"/>
  <c r="BU565" i="13" s="1"/>
  <c r="BV565" i="13" s="1" a="1"/>
  <c r="BV565" i="13" s="1"/>
  <c r="CR596" i="13"/>
  <c r="CS596" i="13" s="1"/>
  <c r="BV538" i="13" a="1"/>
  <c r="BV538" i="13" s="1"/>
  <c r="BZ568" i="13" a="1"/>
  <c r="BZ568" i="13" s="1"/>
  <c r="CP478" i="13" a="1"/>
  <c r="CP478" i="13" s="1"/>
  <c r="CZ478" i="13" s="1"/>
  <c r="Z478" i="13" s="1"/>
  <c r="CE484" i="13" a="1"/>
  <c r="CE484" i="13" s="1"/>
  <c r="CD484" i="13" a="1"/>
  <c r="CD484" i="13" s="1"/>
  <c r="CR481" i="13"/>
  <c r="CS481" i="13" s="1"/>
  <c r="CT481" i="13" s="1" a="1"/>
  <c r="CT481" i="13" s="1"/>
  <c r="CV441" i="13"/>
  <c r="CW441" i="13" s="1"/>
  <c r="CV468" i="13"/>
  <c r="CW468" i="13" s="1"/>
  <c r="BZ966" i="13" a="1"/>
  <c r="BZ966" i="13" s="1"/>
  <c r="CF966" i="13" s="1"/>
  <c r="R966" i="13" s="1"/>
  <c r="AF966" i="13" s="1"/>
  <c r="BX895" i="13"/>
  <c r="BY895" i="13" s="1"/>
  <c r="BZ895" i="13" s="1" a="1"/>
  <c r="BZ895" i="13" s="1"/>
  <c r="CX840" i="13" a="1"/>
  <c r="CX840" i="13" s="1"/>
  <c r="CN849" i="13"/>
  <c r="CO849" i="13" s="1"/>
  <c r="CP849" i="13" s="1" a="1"/>
  <c r="CP849" i="13" s="1"/>
  <c r="CN822" i="13"/>
  <c r="CO822" i="13" s="1"/>
  <c r="CP822" i="13" s="1" a="1"/>
  <c r="CP822" i="13" s="1"/>
  <c r="BX752" i="13"/>
  <c r="BY752" i="13" s="1"/>
  <c r="BZ752" i="13" s="1" a="1"/>
  <c r="BZ752" i="13" s="1"/>
  <c r="CD732" i="13" a="1"/>
  <c r="CD732" i="13" s="1"/>
  <c r="CE732" i="13" a="1"/>
  <c r="CE732" i="13" s="1"/>
  <c r="CY728" i="13" a="1"/>
  <c r="CY728" i="13" s="1"/>
  <c r="CX728" i="13" a="1"/>
  <c r="CX728" i="13" s="1"/>
  <c r="CY698" i="13" a="1"/>
  <c r="CY698" i="13" s="1"/>
  <c r="CX698" i="13" a="1"/>
  <c r="CX698" i="13" s="1"/>
  <c r="CJ646" i="13"/>
  <c r="CK646" i="13" s="1"/>
  <c r="CL646" i="13" s="1" a="1"/>
  <c r="CL646" i="13" s="1"/>
  <c r="CN651" i="13"/>
  <c r="CO651" i="13" s="1"/>
  <c r="CP651" i="13" s="1" a="1"/>
  <c r="CP651" i="13" s="1"/>
  <c r="CZ613" i="13"/>
  <c r="Z613" i="13" s="1"/>
  <c r="AF613" i="13" s="1"/>
  <c r="CN596" i="13"/>
  <c r="CO596" i="13" s="1"/>
  <c r="CP596" i="13" s="1" a="1"/>
  <c r="CP596" i="13" s="1"/>
  <c r="CV596" i="13"/>
  <c r="CW596" i="13" s="1"/>
  <c r="CR633" i="13"/>
  <c r="CS633" i="13" s="1"/>
  <c r="CX583" i="13" a="1"/>
  <c r="CX583" i="13" s="1"/>
  <c r="CY583" i="13" a="1"/>
  <c r="CY583" i="13" s="1"/>
  <c r="CY542" i="13" a="1"/>
  <c r="CY542" i="13" s="1"/>
  <c r="CX542" i="13" a="1"/>
  <c r="CX542" i="13" s="1"/>
  <c r="BP578" i="13"/>
  <c r="BQ578" i="13" s="1"/>
  <c r="BR578" i="13" s="1" a="1"/>
  <c r="BR578" i="13" s="1"/>
  <c r="CT544" i="13" a="1"/>
  <c r="CT544" i="13" s="1"/>
  <c r="CZ544" i="13" s="1"/>
  <c r="Z544" i="13" s="1"/>
  <c r="CT534" i="13" a="1"/>
  <c r="CT534" i="13" s="1"/>
  <c r="CZ534" i="13" s="1"/>
  <c r="Z534" i="13" s="1"/>
  <c r="BV486" i="13" a="1"/>
  <c r="BV486" i="13" s="1"/>
  <c r="CF486" i="13" s="1"/>
  <c r="R486" i="13" s="1"/>
  <c r="CF510" i="13"/>
  <c r="R510" i="13" s="1"/>
  <c r="BT453" i="13"/>
  <c r="BU453" i="13" s="1"/>
  <c r="BV453" i="13" s="1" a="1"/>
  <c r="BV453" i="13" s="1"/>
  <c r="BX461" i="13"/>
  <c r="BY461" i="13" s="1"/>
  <c r="BZ461" i="13" s="1" a="1"/>
  <c r="BZ461" i="13" s="1"/>
  <c r="CT765" i="13" a="1"/>
  <c r="CT765" i="13" s="1"/>
  <c r="CZ765" i="13" s="1"/>
  <c r="Z765" i="13" s="1"/>
  <c r="CN633" i="13"/>
  <c r="CO633" i="13" s="1"/>
  <c r="BX588" i="13"/>
  <c r="BY588" i="13" s="1"/>
  <c r="BZ588" i="13" s="1" a="1"/>
  <c r="BZ588" i="13" s="1"/>
  <c r="CD524" i="13" a="1"/>
  <c r="CD524" i="13" s="1"/>
  <c r="CF524" i="13" s="1"/>
  <c r="R524" i="13" s="1"/>
  <c r="BP454" i="13"/>
  <c r="BQ454" i="13" s="1"/>
  <c r="BR454" i="13" s="1" a="1"/>
  <c r="BR454" i="13" s="1"/>
  <c r="CX410" i="13" a="1"/>
  <c r="CX410" i="13" s="1"/>
  <c r="CY410" i="13" a="1"/>
  <c r="CY410" i="13" s="1"/>
  <c r="CE372" i="13" a="1"/>
  <c r="CE372" i="13" s="1"/>
  <c r="CD372" i="13" a="1"/>
  <c r="CD372" i="13" s="1"/>
  <c r="BT293" i="13"/>
  <c r="BU293" i="13" s="1"/>
  <c r="BV293" i="13" s="1" a="1"/>
  <c r="BV293" i="13" s="1"/>
  <c r="BX293" i="13"/>
  <c r="BY293" i="13" s="1"/>
  <c r="BP293" i="13"/>
  <c r="BQ293" i="13" s="1"/>
  <c r="BR293" i="13" s="1" a="1"/>
  <c r="BR293" i="13" s="1"/>
  <c r="CD264" i="13" a="1"/>
  <c r="CD264" i="13" s="1"/>
  <c r="CE264" i="13" a="1"/>
  <c r="CE264" i="13" s="1"/>
  <c r="CP182" i="13" a="1"/>
  <c r="CP182" i="13" s="1"/>
  <c r="CL182" i="13" a="1"/>
  <c r="CL182" i="13" s="1"/>
  <c r="CJ669" i="13"/>
  <c r="CK669" i="13" s="1"/>
  <c r="CL669" i="13" s="1" a="1"/>
  <c r="CL669" i="13" s="1"/>
  <c r="CJ464" i="13"/>
  <c r="CK464" i="13" s="1"/>
  <c r="CL464" i="13" s="1" a="1"/>
  <c r="CL464" i="13" s="1"/>
  <c r="CY414" i="13" a="1"/>
  <c r="CY414" i="13" s="1"/>
  <c r="CX414" i="13" a="1"/>
  <c r="CX414" i="13" s="1"/>
  <c r="CD406" i="13" a="1"/>
  <c r="CD406" i="13" s="1"/>
  <c r="CF406" i="13" s="1"/>
  <c r="R406" i="13" s="1"/>
  <c r="CE406" i="13" a="1"/>
  <c r="CE406" i="13" s="1"/>
  <c r="CP393" i="13" a="1"/>
  <c r="CP393" i="13" s="1"/>
  <c r="CZ393" i="13" s="1"/>
  <c r="Z393" i="13" s="1"/>
  <c r="CP368" i="13" a="1"/>
  <c r="CP368" i="13" s="1"/>
  <c r="CZ368" i="13" s="1"/>
  <c r="Z368" i="13" s="1"/>
  <c r="CE290" i="13" a="1"/>
  <c r="CE290" i="13" s="1"/>
  <c r="CD290" i="13" a="1"/>
  <c r="CD290" i="13" s="1"/>
  <c r="BV324" i="13" a="1"/>
  <c r="BV324" i="13" s="1"/>
  <c r="CT274" i="13" a="1"/>
  <c r="CT274" i="13" s="1"/>
  <c r="CE280" i="13" a="1"/>
  <c r="CE280" i="13" s="1"/>
  <c r="CD280" i="13" a="1"/>
  <c r="CD280" i="13" s="1"/>
  <c r="CX238" i="13" a="1"/>
  <c r="CX238" i="13" s="1"/>
  <c r="CY238" i="13" a="1"/>
  <c r="CY238" i="13" s="1"/>
  <c r="CP251" i="13" a="1"/>
  <c r="CP251" i="13" s="1"/>
  <c r="CJ223" i="13"/>
  <c r="CK223" i="13" s="1"/>
  <c r="CL223" i="13" s="1" a="1"/>
  <c r="CL223" i="13" s="1"/>
  <c r="CX566" i="13" a="1"/>
  <c r="CX566" i="13" s="1"/>
  <c r="BZ593" i="13" a="1"/>
  <c r="BZ593" i="13" s="1"/>
  <c r="CF593" i="13" s="1"/>
  <c r="R593" i="13" s="1"/>
  <c r="CB487" i="13"/>
  <c r="CC487" i="13" s="1"/>
  <c r="CY413" i="13" a="1"/>
  <c r="CY413" i="13" s="1"/>
  <c r="CX413" i="13" a="1"/>
  <c r="CX413" i="13" s="1"/>
  <c r="BZ302" i="13" a="1"/>
  <c r="BZ302" i="13" s="1"/>
  <c r="CF302" i="13" s="1"/>
  <c r="R302" i="13" s="1"/>
  <c r="CX255" i="13" a="1"/>
  <c r="CX255" i="13" s="1"/>
  <c r="CY255" i="13" a="1"/>
  <c r="CY255" i="13" s="1"/>
  <c r="BV694" i="13" a="1"/>
  <c r="BV694" i="13" s="1"/>
  <c r="CV654" i="13"/>
  <c r="CW654" i="13" s="1"/>
  <c r="CJ622" i="13"/>
  <c r="CK622" i="13" s="1"/>
  <c r="CL622" i="13" s="1" a="1"/>
  <c r="CL622" i="13" s="1"/>
  <c r="BP455" i="13"/>
  <c r="BQ455" i="13" s="1"/>
  <c r="BR455" i="13" s="1" a="1"/>
  <c r="BR455" i="13" s="1"/>
  <c r="CN432" i="13"/>
  <c r="CO432" i="13" s="1"/>
  <c r="BT444" i="13"/>
  <c r="BU444" i="13" s="1"/>
  <c r="BV444" i="13" s="1" a="1"/>
  <c r="BV444" i="13" s="1"/>
  <c r="CT364" i="13" a="1"/>
  <c r="CT364" i="13" s="1"/>
  <c r="BZ370" i="13" a="1"/>
  <c r="BZ370" i="13" s="1"/>
  <c r="CZ356" i="13"/>
  <c r="Z356" i="13" s="1"/>
  <c r="CT284" i="13" a="1"/>
  <c r="CT284" i="13" s="1"/>
  <c r="CZ284" i="13" s="1"/>
  <c r="Z284" i="13" s="1"/>
  <c r="BP344" i="13"/>
  <c r="BQ344" i="13" s="1"/>
  <c r="BR344" i="13" s="1" a="1"/>
  <c r="BR344" i="13" s="1"/>
  <c r="BX344" i="13"/>
  <c r="BY344" i="13" s="1"/>
  <c r="BZ344" i="13" s="1" a="1"/>
  <c r="BZ344" i="13" s="1"/>
  <c r="CJ344" i="13"/>
  <c r="CK344" i="13" s="1"/>
  <c r="CL344" i="13" s="1" a="1"/>
  <c r="CL344" i="13" s="1"/>
  <c r="CN344" i="13"/>
  <c r="CO344" i="13" s="1"/>
  <c r="CB344" i="13"/>
  <c r="CC344" i="13" s="1"/>
  <c r="BT344" i="13"/>
  <c r="BU344" i="13" s="1"/>
  <c r="CP304" i="13" a="1"/>
  <c r="CP304" i="13" s="1"/>
  <c r="AF278" i="13"/>
  <c r="CB299" i="13"/>
  <c r="CC299" i="13" s="1"/>
  <c r="CP268" i="13" a="1"/>
  <c r="CP268" i="13" s="1"/>
  <c r="BZ258" i="13" a="1"/>
  <c r="BZ258" i="13" s="1"/>
  <c r="CF258" i="13" s="1"/>
  <c r="R258" i="13" s="1"/>
  <c r="CX226" i="13" a="1"/>
  <c r="CX226" i="13" s="1"/>
  <c r="CY226" i="13" a="1"/>
  <c r="CY226" i="13" s="1"/>
  <c r="CT700" i="13" a="1"/>
  <c r="CT700" i="13" s="1"/>
  <c r="CZ700" i="13" s="1"/>
  <c r="Z700" i="13" s="1"/>
  <c r="CN654" i="13"/>
  <c r="CO654" i="13" s="1"/>
  <c r="CP654" i="13" s="1" a="1"/>
  <c r="CP654" i="13" s="1"/>
  <c r="CP562" i="13" a="1"/>
  <c r="CP562" i="13" s="1"/>
  <c r="CZ562" i="13" s="1"/>
  <c r="Z562" i="13" s="1"/>
  <c r="CJ439" i="13"/>
  <c r="CK439" i="13" s="1"/>
  <c r="CL439" i="13" s="1" a="1"/>
  <c r="CL439" i="13" s="1"/>
  <c r="CX428" i="13" a="1"/>
  <c r="CX428" i="13" s="1"/>
  <c r="CY428" i="13" a="1"/>
  <c r="CY428" i="13" s="1"/>
  <c r="BZ407" i="13" a="1"/>
  <c r="BZ407" i="13" s="1"/>
  <c r="CF407" i="13" s="1"/>
  <c r="R407" i="13" s="1"/>
  <c r="CD414" i="13" a="1"/>
  <c r="CD414" i="13" s="1"/>
  <c r="CE414" i="13" a="1"/>
  <c r="CE414" i="13" s="1"/>
  <c r="BP359" i="13"/>
  <c r="BQ359" i="13" s="1"/>
  <c r="BR359" i="13" s="1" a="1"/>
  <c r="BR359" i="13" s="1"/>
  <c r="CB334" i="13"/>
  <c r="CC334" i="13" s="1"/>
  <c r="CY216" i="13" a="1"/>
  <c r="CY216" i="13" s="1"/>
  <c r="CX216" i="13" a="1"/>
  <c r="CX216" i="13" s="1"/>
  <c r="CP228" i="13" a="1"/>
  <c r="CP228" i="13" s="1"/>
  <c r="CE202" i="13" a="1"/>
  <c r="CE202" i="13" s="1"/>
  <c r="CD202" i="13" a="1"/>
  <c r="CD202" i="13" s="1"/>
  <c r="CF202" i="13" s="1"/>
  <c r="R202" i="13" s="1"/>
  <c r="BV690" i="13" a="1"/>
  <c r="BV690" i="13" s="1"/>
  <c r="CF690" i="13" s="1"/>
  <c r="R690" i="13" s="1"/>
  <c r="CD710" i="13" a="1"/>
  <c r="CD710" i="13" s="1"/>
  <c r="CF710" i="13" s="1"/>
  <c r="R710" i="13" s="1"/>
  <c r="BV701" i="13" a="1"/>
  <c r="BV701" i="13" s="1"/>
  <c r="CF701" i="13" s="1"/>
  <c r="R701" i="13" s="1"/>
  <c r="AF701" i="13" s="1"/>
  <c r="BX594" i="13"/>
  <c r="BY594" i="13" s="1"/>
  <c r="BZ594" i="13" s="1" a="1"/>
  <c r="BZ594" i="13" s="1"/>
  <c r="CB458" i="13"/>
  <c r="CC458" i="13" s="1"/>
  <c r="CP413" i="13" a="1"/>
  <c r="CP413" i="13" s="1"/>
  <c r="CX396" i="13" a="1"/>
  <c r="CX396" i="13" s="1"/>
  <c r="CY396" i="13" a="1"/>
  <c r="CY396" i="13" s="1"/>
  <c r="CZ396" i="13" s="1"/>
  <c r="Z396" i="13" s="1"/>
  <c r="CN371" i="13"/>
  <c r="CO371" i="13" s="1"/>
  <c r="CP371" i="13" s="1" a="1"/>
  <c r="CP371" i="13" s="1"/>
  <c r="CR350" i="13"/>
  <c r="CS350" i="13" s="1"/>
  <c r="CT350" i="13" s="1" a="1"/>
  <c r="CT350" i="13" s="1"/>
  <c r="CB340" i="13"/>
  <c r="CC340" i="13" s="1"/>
  <c r="BT340" i="13"/>
  <c r="BU340" i="13" s="1"/>
  <c r="BV340" i="13" s="1" a="1"/>
  <c r="BV340" i="13" s="1"/>
  <c r="BP340" i="13"/>
  <c r="BQ340" i="13" s="1"/>
  <c r="BR340" i="13" s="1" a="1"/>
  <c r="BR340" i="13" s="1"/>
  <c r="CN340" i="13"/>
  <c r="CO340" i="13" s="1"/>
  <c r="CP340" i="13" s="1" a="1"/>
  <c r="CP340" i="13" s="1"/>
  <c r="CR324" i="13"/>
  <c r="CS324" i="13" s="1"/>
  <c r="CY285" i="13" a="1"/>
  <c r="CY285" i="13" s="1"/>
  <c r="CX285" i="13" a="1"/>
  <c r="CX285" i="13" s="1"/>
  <c r="BV277" i="13" a="1"/>
  <c r="BV277" i="13" s="1"/>
  <c r="CF277" i="13" s="1"/>
  <c r="R277" i="13" s="1"/>
  <c r="CT255" i="13" a="1"/>
  <c r="CT255" i="13" s="1"/>
  <c r="CZ217" i="13"/>
  <c r="Z217" i="13" s="1"/>
  <c r="CB186" i="13"/>
  <c r="CC186" i="13" s="1"/>
  <c r="BP171" i="13"/>
  <c r="BQ171" i="13" s="1"/>
  <c r="BR171" i="13" s="1" a="1"/>
  <c r="BR171" i="13" s="1"/>
  <c r="CB171" i="13"/>
  <c r="CC171" i="13" s="1"/>
  <c r="BT171" i="13"/>
  <c r="BU171" i="13" s="1"/>
  <c r="BV171" i="13" s="1" a="1"/>
  <c r="BV171" i="13" s="1"/>
  <c r="BX171" i="13"/>
  <c r="BY171" i="13" s="1"/>
  <c r="CX556" i="13" a="1"/>
  <c r="CX556" i="13" s="1"/>
  <c r="CV481" i="13"/>
  <c r="CW481" i="13" s="1"/>
  <c r="CD418" i="13" a="1"/>
  <c r="CD418" i="13" s="1"/>
  <c r="CE418" i="13" a="1"/>
  <c r="CE418" i="13" s="1"/>
  <c r="CY404" i="13" a="1"/>
  <c r="CY404" i="13" s="1"/>
  <c r="CX404" i="13" a="1"/>
  <c r="CX404" i="13" s="1"/>
  <c r="CB433" i="13"/>
  <c r="CC433" i="13" s="1"/>
  <c r="CP405" i="13" a="1"/>
  <c r="CP405" i="13" s="1"/>
  <c r="CZ405" i="13" s="1"/>
  <c r="Z405" i="13" s="1"/>
  <c r="CY349" i="13" a="1"/>
  <c r="CY349" i="13" s="1"/>
  <c r="CX349" i="13" a="1"/>
  <c r="CX349" i="13" s="1"/>
  <c r="CR340" i="13"/>
  <c r="CS340" i="13" s="1"/>
  <c r="CT340" i="13" s="1" a="1"/>
  <c r="CT340" i="13" s="1"/>
  <c r="CN324" i="13"/>
  <c r="CO324" i="13" s="1"/>
  <c r="CP324" i="13" s="1" a="1"/>
  <c r="CP324" i="13" s="1"/>
  <c r="CD306" i="13" a="1"/>
  <c r="CD306" i="13" s="1"/>
  <c r="CE306" i="13" a="1"/>
  <c r="CE306" i="13" s="1"/>
  <c r="CZ281" i="13"/>
  <c r="Z281" i="13" s="1"/>
  <c r="CB297" i="13"/>
  <c r="CC297" i="13" s="1"/>
  <c r="CF248" i="13"/>
  <c r="R248" i="13" s="1"/>
  <c r="BT256" i="13"/>
  <c r="BU256" i="13" s="1"/>
  <c r="BV256" i="13" s="1" a="1"/>
  <c r="BV256" i="13" s="1"/>
  <c r="BX194" i="13"/>
  <c r="BY194" i="13" s="1"/>
  <c r="BZ194" i="13" s="1" a="1"/>
  <c r="BZ194" i="13" s="1"/>
  <c r="BT180" i="13"/>
  <c r="BU180" i="13" s="1"/>
  <c r="BV180" i="13" s="1" a="1"/>
  <c r="BV180" i="13" s="1"/>
  <c r="CV177" i="13"/>
  <c r="CW177" i="13" s="1"/>
  <c r="BX651" i="13"/>
  <c r="BY651" i="13" s="1"/>
  <c r="BZ651" i="13" s="1" a="1"/>
  <c r="BZ651" i="13" s="1"/>
  <c r="CN646" i="13"/>
  <c r="CO646" i="13" s="1"/>
  <c r="CD611" i="13" a="1"/>
  <c r="CD611" i="13" s="1"/>
  <c r="CT609" i="13" a="1"/>
  <c r="CT609" i="13" s="1"/>
  <c r="CV578" i="13"/>
  <c r="CW578" i="13" s="1"/>
  <c r="CD552" i="13" a="1"/>
  <c r="CD552" i="13" s="1"/>
  <c r="CF552" i="13" s="1"/>
  <c r="R552" i="13" s="1"/>
  <c r="CJ460" i="13"/>
  <c r="CK460" i="13" s="1"/>
  <c r="CL460" i="13" s="1" a="1"/>
  <c r="CL460" i="13" s="1"/>
  <c r="CN461" i="13"/>
  <c r="CO461" i="13" s="1"/>
  <c r="CP461" i="13" s="1" a="1"/>
  <c r="CP461" i="13" s="1"/>
  <c r="CF403" i="13"/>
  <c r="R403" i="13" s="1"/>
  <c r="CF427" i="13"/>
  <c r="R427" i="13" s="1"/>
  <c r="CE405" i="13" a="1"/>
  <c r="CE405" i="13" s="1"/>
  <c r="CD405" i="13" a="1"/>
  <c r="CD405" i="13" s="1"/>
  <c r="CE375" i="13" a="1"/>
  <c r="CE375" i="13" s="1"/>
  <c r="CD375" i="13" a="1"/>
  <c r="CD375" i="13" s="1"/>
  <c r="CX358" i="13" a="1"/>
  <c r="CX358" i="13" s="1"/>
  <c r="CY358" i="13" a="1"/>
  <c r="CY358" i="13" s="1"/>
  <c r="CE310" i="13" a="1"/>
  <c r="CE310" i="13" s="1"/>
  <c r="CD310" i="13" a="1"/>
  <c r="CD310" i="13" s="1"/>
  <c r="CV261" i="13"/>
  <c r="CW261" i="13" s="1"/>
  <c r="CY274" i="13" a="1"/>
  <c r="CY274" i="13" s="1"/>
  <c r="CX274" i="13" a="1"/>
  <c r="CX274" i="13" s="1"/>
  <c r="CY287" i="13" a="1"/>
  <c r="CY287" i="13" s="1"/>
  <c r="CX287" i="13" a="1"/>
  <c r="CX287" i="13" s="1"/>
  <c r="CT226" i="13" a="1"/>
  <c r="CT226" i="13" s="1"/>
  <c r="BT206" i="13"/>
  <c r="BU206" i="13" s="1"/>
  <c r="BV206" i="13" s="1" a="1"/>
  <c r="BV206" i="13" s="1"/>
  <c r="CR192" i="13"/>
  <c r="CS192" i="13" s="1"/>
  <c r="CT192" i="13" s="1" a="1"/>
  <c r="CT192" i="13" s="1"/>
  <c r="CR199" i="13"/>
  <c r="CS199" i="13" s="1"/>
  <c r="CT199" i="13" s="1" a="1"/>
  <c r="CT199" i="13" s="1"/>
  <c r="CY193" i="13" a="1"/>
  <c r="CY193" i="13" s="1"/>
  <c r="CX193" i="13" a="1"/>
  <c r="CX193" i="13" s="1"/>
  <c r="CX380" i="13" a="1"/>
  <c r="CX380" i="13" s="1"/>
  <c r="CZ380" i="13" s="1"/>
  <c r="Z380" i="13" s="1"/>
  <c r="AF380" i="13" s="1"/>
  <c r="CX306" i="13" a="1"/>
  <c r="CX306" i="13" s="1"/>
  <c r="CD160" i="13" a="1"/>
  <c r="CD160" i="13" s="1"/>
  <c r="CE160" i="13" a="1"/>
  <c r="CE160" i="13" s="1"/>
  <c r="BV413" i="13" a="1"/>
  <c r="BV413" i="13" s="1"/>
  <c r="CF413" i="13" s="1"/>
  <c r="R413" i="13" s="1"/>
  <c r="CJ340" i="13"/>
  <c r="CK340" i="13" s="1"/>
  <c r="CL340" i="13" s="1" a="1"/>
  <c r="CL340" i="13" s="1"/>
  <c r="CP276" i="13" a="1"/>
  <c r="CP276" i="13" s="1"/>
  <c r="CZ276" i="13" s="1"/>
  <c r="Z276" i="13" s="1"/>
  <c r="AF276" i="13" s="1"/>
  <c r="CD259" i="13" a="1"/>
  <c r="CD259" i="13" s="1"/>
  <c r="CF259" i="13" s="1"/>
  <c r="R259" i="13" s="1"/>
  <c r="AF259" i="13" s="1"/>
  <c r="CX236" i="13" a="1"/>
  <c r="CX236" i="13" s="1"/>
  <c r="CZ236" i="13" s="1"/>
  <c r="Z236" i="13" s="1"/>
  <c r="CD190" i="13" a="1"/>
  <c r="CD190" i="13" s="1"/>
  <c r="CF190" i="13" s="1"/>
  <c r="R190" i="13" s="1"/>
  <c r="CV169" i="13"/>
  <c r="CW169" i="13" s="1"/>
  <c r="BZ281" i="13" a="1"/>
  <c r="BZ281" i="13" s="1"/>
  <c r="CF281" i="13" s="1"/>
  <c r="R281" i="13" s="1"/>
  <c r="CY162" i="13" a="1"/>
  <c r="CY162" i="13" s="1"/>
  <c r="CX162" i="13" a="1"/>
  <c r="CX162" i="13" s="1"/>
  <c r="CP310" i="13" a="1"/>
  <c r="CP310" i="13" s="1"/>
  <c r="CZ310" i="13" s="1"/>
  <c r="Z310" i="13" s="1"/>
  <c r="CX143" i="13" a="1"/>
  <c r="CX143" i="13" s="1"/>
  <c r="CY143" i="13" a="1"/>
  <c r="CY143" i="13" s="1"/>
  <c r="CD122" i="13" a="1"/>
  <c r="CD122" i="13" s="1"/>
  <c r="CE122" i="13" a="1"/>
  <c r="CE122" i="13" s="1"/>
  <c r="BZ368" i="13" a="1"/>
  <c r="BZ368" i="13" s="1"/>
  <c r="CF368" i="13" s="1"/>
  <c r="R368" i="13" s="1"/>
  <c r="AF368" i="13" s="1"/>
  <c r="CX282" i="13" a="1"/>
  <c r="CX282" i="13" s="1"/>
  <c r="CZ282" i="13" s="1"/>
  <c r="Z282" i="13" s="1"/>
  <c r="BZ226" i="13" a="1"/>
  <c r="BZ226" i="13" s="1"/>
  <c r="CJ432" i="13"/>
  <c r="CK432" i="13" s="1"/>
  <c r="CL432" i="13" s="1" a="1"/>
  <c r="CL432" i="13" s="1"/>
  <c r="CD377" i="13" a="1"/>
  <c r="CD377" i="13" s="1"/>
  <c r="CF377" i="13" s="1"/>
  <c r="R377" i="13" s="1"/>
  <c r="AF377" i="13" s="1"/>
  <c r="BP334" i="13"/>
  <c r="BQ334" i="13" s="1"/>
  <c r="BR334" i="13" s="1" a="1"/>
  <c r="BR334" i="13" s="1"/>
  <c r="CV231" i="13"/>
  <c r="CW231" i="13" s="1"/>
  <c r="BX179" i="13"/>
  <c r="BY179" i="13" s="1"/>
  <c r="BZ179" i="13" s="1" a="1"/>
  <c r="BZ179" i="13" s="1"/>
  <c r="AF149" i="13"/>
  <c r="CJ137" i="13"/>
  <c r="CK137" i="13" s="1"/>
  <c r="CL137" i="13" s="1" a="1"/>
  <c r="CL137" i="13" s="1"/>
  <c r="BT131" i="13"/>
  <c r="BU131" i="13" s="1"/>
  <c r="BZ408" i="13" a="1"/>
  <c r="BZ408" i="13" s="1"/>
  <c r="CF408" i="13" s="1"/>
  <c r="R408" i="13" s="1"/>
  <c r="BX235" i="13"/>
  <c r="BY235" i="13" s="1"/>
  <c r="BZ235" i="13" s="1" a="1"/>
  <c r="BZ235" i="13" s="1"/>
  <c r="CD210" i="13" a="1"/>
  <c r="CD210" i="13" s="1"/>
  <c r="CF210" i="13" s="1"/>
  <c r="R210" i="13" s="1"/>
  <c r="BV193" i="13" a="1"/>
  <c r="BV193" i="13" s="1"/>
  <c r="CF193" i="13" s="1"/>
  <c r="R193" i="13" s="1"/>
  <c r="CF134" i="13"/>
  <c r="R134" i="13" s="1"/>
  <c r="CN133" i="13"/>
  <c r="CO133" i="13" s="1"/>
  <c r="CZ124" i="13"/>
  <c r="Z124" i="13" s="1"/>
  <c r="CJ311" i="13"/>
  <c r="CK311" i="13" s="1"/>
  <c r="CL311" i="13" s="1" a="1"/>
  <c r="CL311" i="13" s="1"/>
  <c r="CX151" i="13" a="1"/>
  <c r="CX151" i="13" s="1"/>
  <c r="CZ151" i="13" s="1"/>
  <c r="Z151" i="13" s="1"/>
  <c r="BX138" i="13"/>
  <c r="BY138" i="13" s="1"/>
  <c r="BZ138" i="13" s="1" a="1"/>
  <c r="BZ138" i="13" s="1"/>
  <c r="BP129" i="13"/>
  <c r="BQ129" i="13" s="1"/>
  <c r="BR129" i="13" s="1" a="1"/>
  <c r="BR129" i="13" s="1"/>
  <c r="BZ132" i="13" a="1"/>
  <c r="BZ132" i="13" s="1"/>
  <c r="CF132" i="13" s="1"/>
  <c r="R132" i="13" s="1"/>
  <c r="AF132" i="13" s="1"/>
  <c r="CP148" i="13" a="1"/>
  <c r="CP148" i="13" s="1"/>
  <c r="CZ148" i="13" s="1"/>
  <c r="Z148" i="13" s="1"/>
  <c r="CP130" i="13" a="1"/>
  <c r="CP130" i="13" s="1"/>
  <c r="CZ130" i="13" s="1"/>
  <c r="Z130" i="13" s="1"/>
  <c r="CT968" i="13" a="1"/>
  <c r="CT968" i="13" s="1"/>
  <c r="CZ968" i="13" s="1"/>
  <c r="Z968" i="13" s="1"/>
  <c r="CF980" i="13"/>
  <c r="R980" i="13" s="1"/>
  <c r="CY969" i="13" a="1"/>
  <c r="CY969" i="13" s="1"/>
  <c r="CX969" i="13" a="1"/>
  <c r="CX969" i="13" s="1"/>
  <c r="CZ969" i="13" s="1"/>
  <c r="Z969" i="13" s="1"/>
  <c r="BV888" i="13" a="1"/>
  <c r="BV888" i="13" s="1"/>
  <c r="CF888" i="13" s="1"/>
  <c r="R888" i="13" s="1"/>
  <c r="CD821" i="13" a="1"/>
  <c r="CD821" i="13" s="1"/>
  <c r="CE821" i="13" a="1"/>
  <c r="CE821" i="13" s="1"/>
  <c r="CZ919" i="13"/>
  <c r="Z919" i="13" s="1"/>
  <c r="CY1001" i="13" a="1"/>
  <c r="CY1001" i="13" s="1"/>
  <c r="CX1001" i="13" a="1"/>
  <c r="CX1001" i="13" s="1"/>
  <c r="CX903" i="13" a="1"/>
  <c r="CX903" i="13" s="1"/>
  <c r="CY903" i="13" a="1"/>
  <c r="CY903" i="13" s="1"/>
  <c r="CF1012" i="13"/>
  <c r="R1012" i="13" s="1"/>
  <c r="CX923" i="13" a="1"/>
  <c r="CX923" i="13" s="1"/>
  <c r="CY923" i="13" a="1"/>
  <c r="CY923" i="13" s="1"/>
  <c r="CF944" i="13"/>
  <c r="R944" i="13" s="1"/>
  <c r="CV865" i="13"/>
  <c r="CW865" i="13" s="1"/>
  <c r="BP843" i="13"/>
  <c r="BQ843" i="13" s="1"/>
  <c r="BR843" i="13" s="1" a="1"/>
  <c r="BR843" i="13" s="1"/>
  <c r="CN843" i="13"/>
  <c r="CO843" i="13" s="1"/>
  <c r="CP843" i="13" s="1" a="1"/>
  <c r="CP843" i="13" s="1"/>
  <c r="CD799" i="13" a="1"/>
  <c r="CD799" i="13" s="1"/>
  <c r="CF799" i="13" s="1"/>
  <c r="R799" i="13" s="1"/>
  <c r="CE799" i="13" a="1"/>
  <c r="CE799" i="13" s="1"/>
  <c r="CN1012" i="13"/>
  <c r="CO1012" i="13" s="1"/>
  <c r="CP1012" i="13" s="1" a="1"/>
  <c r="CP1012" i="13" s="1"/>
  <c r="CZ987" i="13"/>
  <c r="Z987" i="13" s="1"/>
  <c r="CF907" i="13"/>
  <c r="R907" i="13" s="1"/>
  <c r="CZ948" i="13"/>
  <c r="Z948" i="13" s="1"/>
  <c r="CY856" i="13" a="1"/>
  <c r="CY856" i="13" s="1"/>
  <c r="CX856" i="13" a="1"/>
  <c r="CX856" i="13" s="1"/>
  <c r="CE864" i="13" a="1"/>
  <c r="CE864" i="13" s="1"/>
  <c r="CD864" i="13" a="1"/>
  <c r="CD864" i="13" s="1"/>
  <c r="CZ874" i="13"/>
  <c r="Z874" i="13" s="1"/>
  <c r="CF854" i="13"/>
  <c r="R854" i="13" s="1"/>
  <c r="CZ982" i="13"/>
  <c r="Z982" i="13" s="1"/>
  <c r="CF964" i="13"/>
  <c r="R964" i="13" s="1"/>
  <c r="CE985" i="13" a="1"/>
  <c r="CE985" i="13" s="1"/>
  <c r="CD985" i="13" a="1"/>
  <c r="CD985" i="13" s="1"/>
  <c r="CF985" i="13" s="1"/>
  <c r="R985" i="13" s="1"/>
  <c r="AF985" i="13" s="1"/>
  <c r="CT945" i="13" a="1"/>
  <c r="CT945" i="13" s="1"/>
  <c r="CZ945" i="13" s="1"/>
  <c r="Z945" i="13" s="1"/>
  <c r="CD945" i="13" a="1"/>
  <c r="CD945" i="13" s="1"/>
  <c r="CE945" i="13" a="1"/>
  <c r="CE945" i="13" s="1"/>
  <c r="BP942" i="13"/>
  <c r="BQ942" i="13" s="1"/>
  <c r="BR942" i="13" s="1" a="1"/>
  <c r="BR942" i="13" s="1"/>
  <c r="BT901" i="13"/>
  <c r="BU901" i="13" s="1"/>
  <c r="CN899" i="13"/>
  <c r="CO899" i="13" s="1"/>
  <c r="CJ899" i="13"/>
  <c r="CK899" i="13" s="1"/>
  <c r="CL899" i="13" s="1" a="1"/>
  <c r="CL899" i="13" s="1"/>
  <c r="BP899" i="13"/>
  <c r="BQ899" i="13" s="1"/>
  <c r="BR899" i="13" s="1" a="1"/>
  <c r="BR899" i="13" s="1"/>
  <c r="CD858" i="13" a="1"/>
  <c r="CD858" i="13" s="1"/>
  <c r="CE858" i="13" a="1"/>
  <c r="CE858" i="13" s="1"/>
  <c r="CR826" i="13"/>
  <c r="CS826" i="13" s="1"/>
  <c r="CT826" i="13" s="1" a="1"/>
  <c r="CT826" i="13" s="1"/>
  <c r="CZ947" i="13"/>
  <c r="Z947" i="13" s="1"/>
  <c r="CV908" i="13"/>
  <c r="CW908" i="13" s="1"/>
  <c r="CE915" i="13" a="1"/>
  <c r="CE915" i="13" s="1"/>
  <c r="CD915" i="13" a="1"/>
  <c r="CD915" i="13" s="1"/>
  <c r="CF856" i="13"/>
  <c r="R856" i="13" s="1"/>
  <c r="CR899" i="13"/>
  <c r="CS899" i="13" s="1"/>
  <c r="CT899" i="13" s="1" a="1"/>
  <c r="CT899" i="13" s="1"/>
  <c r="CJ859" i="13"/>
  <c r="CK859" i="13" s="1"/>
  <c r="CL859" i="13" s="1" a="1"/>
  <c r="CL859" i="13" s="1"/>
  <c r="CP858" i="13" a="1"/>
  <c r="CP858" i="13" s="1"/>
  <c r="CE876" i="13" a="1"/>
  <c r="CE876" i="13" s="1"/>
  <c r="CD876" i="13" a="1"/>
  <c r="CD876" i="13" s="1"/>
  <c r="BT869" i="13"/>
  <c r="BU869" i="13" s="1"/>
  <c r="BV869" i="13" s="1" a="1"/>
  <c r="BV869" i="13" s="1"/>
  <c r="CY915" i="13" a="1"/>
  <c r="CY915" i="13" s="1"/>
  <c r="CX915" i="13" a="1"/>
  <c r="CX915" i="13" s="1"/>
  <c r="CZ915" i="13" s="1"/>
  <c r="Z915" i="13" s="1"/>
  <c r="CT972" i="13" a="1"/>
  <c r="CT972" i="13" s="1"/>
  <c r="CZ972" i="13" s="1"/>
  <c r="Z972" i="13" s="1"/>
  <c r="CZ937" i="13"/>
  <c r="Z937" i="13" s="1"/>
  <c r="CB893" i="13"/>
  <c r="CC893" i="13" s="1"/>
  <c r="CV897" i="13"/>
  <c r="CW897" i="13" s="1"/>
  <c r="CX825" i="13" a="1"/>
  <c r="CX825" i="13" s="1"/>
  <c r="CY825" i="13" a="1"/>
  <c r="CY825" i="13" s="1"/>
  <c r="CD898" i="13" a="1"/>
  <c r="CD898" i="13" s="1"/>
  <c r="CE898" i="13" a="1"/>
  <c r="CE898" i="13" s="1"/>
  <c r="CB865" i="13"/>
  <c r="CC865" i="13" s="1"/>
  <c r="CR743" i="13"/>
  <c r="CS743" i="13" s="1"/>
  <c r="CT743" i="13" s="1" a="1"/>
  <c r="CT743" i="13" s="1"/>
  <c r="BZ989" i="13" a="1"/>
  <c r="BZ989" i="13" s="1"/>
  <c r="BV921" i="13" a="1"/>
  <c r="BV921" i="13" s="1"/>
  <c r="CF921" i="13" s="1"/>
  <c r="R921" i="13" s="1"/>
  <c r="BX1008" i="13"/>
  <c r="BY1008" i="13" s="1"/>
  <c r="BZ1008" i="13" s="1" a="1"/>
  <c r="BZ1008" i="13" s="1"/>
  <c r="CF974" i="13"/>
  <c r="R974" i="13" s="1"/>
  <c r="CY925" i="13" a="1"/>
  <c r="CY925" i="13" s="1"/>
  <c r="CX925" i="13" a="1"/>
  <c r="CX925" i="13" s="1"/>
  <c r="CD969" i="13" a="1"/>
  <c r="CD969" i="13" s="1"/>
  <c r="CE969" i="13" a="1"/>
  <c r="CE969" i="13" s="1"/>
  <c r="CZ946" i="13"/>
  <c r="Z946" i="13" s="1"/>
  <c r="CX896" i="13" a="1"/>
  <c r="CX896" i="13" s="1"/>
  <c r="CY896" i="13" a="1"/>
  <c r="CY896" i="13" s="1"/>
  <c r="CJ855" i="13"/>
  <c r="CK855" i="13" s="1"/>
  <c r="CL855" i="13" s="1" a="1"/>
  <c r="CL855" i="13" s="1"/>
  <c r="CR835" i="13"/>
  <c r="CS835" i="13" s="1"/>
  <c r="CT835" i="13" s="1" a="1"/>
  <c r="CT835" i="13" s="1"/>
  <c r="CB843" i="13"/>
  <c r="CC843" i="13" s="1"/>
  <c r="BT865" i="13"/>
  <c r="BU865" i="13" s="1"/>
  <c r="BV865" i="13" s="1" a="1"/>
  <c r="BV865" i="13" s="1"/>
  <c r="CT819" i="13" a="1"/>
  <c r="CT819" i="13" s="1"/>
  <c r="CN1004" i="13"/>
  <c r="CO1004" i="13" s="1"/>
  <c r="CJ999" i="13"/>
  <c r="CK999" i="13" s="1"/>
  <c r="CL999" i="13" s="1" a="1"/>
  <c r="CL999" i="13" s="1"/>
  <c r="BX994" i="13"/>
  <c r="BY994" i="13" s="1"/>
  <c r="BZ994" i="13" s="1" a="1"/>
  <c r="BZ994" i="13" s="1"/>
  <c r="CT963" i="13" a="1"/>
  <c r="CT963" i="13" s="1"/>
  <c r="CZ963" i="13" s="1"/>
  <c r="Z963" i="13" s="1"/>
  <c r="BV905" i="13" a="1"/>
  <c r="BV905" i="13" s="1"/>
  <c r="CF905" i="13" s="1"/>
  <c r="R905" i="13" s="1"/>
  <c r="CP935" i="13" a="1"/>
  <c r="CP935" i="13" s="1"/>
  <c r="CZ935" i="13" s="1"/>
  <c r="Z935" i="13" s="1"/>
  <c r="CP860" i="13" a="1"/>
  <c r="CP860" i="13" s="1"/>
  <c r="CT884" i="13" a="1"/>
  <c r="CT884" i="13" s="1"/>
  <c r="CF825" i="13"/>
  <c r="R825" i="13" s="1"/>
  <c r="CB869" i="13"/>
  <c r="CC869" i="13" s="1"/>
  <c r="CV835" i="13"/>
  <c r="CW835" i="13" s="1"/>
  <c r="BV803" i="13" a="1"/>
  <c r="BV803" i="13" s="1"/>
  <c r="CF803" i="13" s="1"/>
  <c r="R803" i="13" s="1"/>
  <c r="CN1009" i="13"/>
  <c r="CO1009" i="13" s="1"/>
  <c r="CP1009" i="13" s="1" a="1"/>
  <c r="CP1009" i="13" s="1"/>
  <c r="CV1016" i="13"/>
  <c r="CW1016" i="13" s="1"/>
  <c r="CX836" i="13" a="1"/>
  <c r="CX836" i="13" s="1"/>
  <c r="CZ836" i="13" s="1"/>
  <c r="Z836" i="13" s="1"/>
  <c r="BX743" i="13"/>
  <c r="BY743" i="13" s="1"/>
  <c r="BZ743" i="13" s="1" a="1"/>
  <c r="BZ743" i="13" s="1"/>
  <c r="CZ797" i="13"/>
  <c r="Z797" i="13" s="1"/>
  <c r="CR630" i="13"/>
  <c r="CS630" i="13" s="1"/>
  <c r="CT630" i="13" s="1" a="1"/>
  <c r="CT630" i="13" s="1"/>
  <c r="CF542" i="13"/>
  <c r="R542" i="13" s="1"/>
  <c r="CX958" i="13" a="1"/>
  <c r="CX958" i="13" s="1"/>
  <c r="CZ958" i="13" s="1"/>
  <c r="Z958" i="13" s="1"/>
  <c r="CP931" i="13" a="1"/>
  <c r="CP931" i="13" s="1"/>
  <c r="CZ748" i="13"/>
  <c r="Z748" i="13" s="1"/>
  <c r="CP740" i="13" a="1"/>
  <c r="CP740" i="13" s="1"/>
  <c r="CZ740" i="13" s="1"/>
  <c r="Z740" i="13" s="1"/>
  <c r="CZ720" i="13"/>
  <c r="Z720" i="13" s="1"/>
  <c r="CY708" i="13" a="1"/>
  <c r="CY708" i="13" s="1"/>
  <c r="CX708" i="13" a="1"/>
  <c r="CX708" i="13" s="1"/>
  <c r="CZ708" i="13" s="1"/>
  <c r="Z708" i="13" s="1"/>
  <c r="BV599" i="13" a="1"/>
  <c r="BV599" i="13" s="1"/>
  <c r="CF599" i="13" s="1"/>
  <c r="R599" i="13" s="1"/>
  <c r="AF599" i="13" s="1"/>
  <c r="CZ538" i="13"/>
  <c r="Z538" i="13" s="1"/>
  <c r="BX511" i="13"/>
  <c r="BY511" i="13" s="1"/>
  <c r="BT511" i="13"/>
  <c r="BU511" i="13" s="1"/>
  <c r="BV511" i="13" s="1" a="1"/>
  <c r="BV511" i="13" s="1"/>
  <c r="CF506" i="13"/>
  <c r="R506" i="13" s="1"/>
  <c r="AF506" i="13" s="1"/>
  <c r="CP971" i="13" a="1"/>
  <c r="CP971" i="13" s="1"/>
  <c r="CZ971" i="13" s="1"/>
  <c r="Z971" i="13" s="1"/>
  <c r="BZ779" i="13" a="1"/>
  <c r="BZ779" i="13" s="1"/>
  <c r="CF779" i="13" s="1"/>
  <c r="R779" i="13" s="1"/>
  <c r="CD801" i="13" a="1"/>
  <c r="CD801" i="13" s="1"/>
  <c r="CE801" i="13" a="1"/>
  <c r="CE801" i="13" s="1"/>
  <c r="CX775" i="13" a="1"/>
  <c r="CX775" i="13" s="1"/>
  <c r="CY775" i="13" a="1"/>
  <c r="CY775" i="13" s="1"/>
  <c r="CD759" i="13" a="1"/>
  <c r="CD759" i="13" s="1"/>
  <c r="CF759" i="13" s="1"/>
  <c r="R759" i="13" s="1"/>
  <c r="CE759" i="13" a="1"/>
  <c r="CE759" i="13" s="1"/>
  <c r="CZ736" i="13"/>
  <c r="Z736" i="13" s="1"/>
  <c r="CE697" i="13" a="1"/>
  <c r="CE697" i="13" s="1"/>
  <c r="CD697" i="13" a="1"/>
  <c r="CD697" i="13" s="1"/>
  <c r="BT661" i="13"/>
  <c r="BU661" i="13" s="1"/>
  <c r="BV661" i="13" s="1" a="1"/>
  <c r="BV661" i="13" s="1"/>
  <c r="CT615" i="13" a="1"/>
  <c r="CT615" i="13" s="1"/>
  <c r="CZ615" i="13" s="1"/>
  <c r="Z615" i="13" s="1"/>
  <c r="CE603" i="13" a="1"/>
  <c r="CE603" i="13" s="1"/>
  <c r="CD603" i="13" a="1"/>
  <c r="CD603" i="13" s="1"/>
  <c r="CY574" i="13" a="1"/>
  <c r="CY574" i="13" s="1"/>
  <c r="CX574" i="13" a="1"/>
  <c r="CX574" i="13" s="1"/>
  <c r="CD540" i="13" a="1"/>
  <c r="CD540" i="13" s="1"/>
  <c r="CE540" i="13" a="1"/>
  <c r="CE540" i="13" s="1"/>
  <c r="CJ557" i="13"/>
  <c r="CK557" i="13" s="1"/>
  <c r="CL557" i="13" s="1" a="1"/>
  <c r="CL557" i="13" s="1"/>
  <c r="BV508" i="13" a="1"/>
  <c r="BV508" i="13" s="1"/>
  <c r="CF508" i="13" s="1"/>
  <c r="R508" i="13" s="1"/>
  <c r="CX959" i="13" a="1"/>
  <c r="CX959" i="13" s="1"/>
  <c r="CX962" i="13" a="1"/>
  <c r="CX962" i="13" s="1"/>
  <c r="CZ962" i="13" s="1"/>
  <c r="Z962" i="13" s="1"/>
  <c r="BV844" i="13" a="1"/>
  <c r="BV844" i="13" s="1"/>
  <c r="CF844" i="13" s="1"/>
  <c r="R844" i="13" s="1"/>
  <c r="CJ831" i="13"/>
  <c r="CK831" i="13" s="1"/>
  <c r="CL831" i="13" s="1" a="1"/>
  <c r="CL831" i="13" s="1"/>
  <c r="CY777" i="13" a="1"/>
  <c r="CY777" i="13" s="1"/>
  <c r="CX777" i="13" a="1"/>
  <c r="CX777" i="13" s="1"/>
  <c r="CP761" i="13" a="1"/>
  <c r="CP761" i="13" s="1"/>
  <c r="CZ761" i="13" s="1"/>
  <c r="Z761" i="13" s="1"/>
  <c r="CT744" i="13" a="1"/>
  <c r="CT744" i="13" s="1"/>
  <c r="CX734" i="13" a="1"/>
  <c r="CX734" i="13" s="1"/>
  <c r="CY734" i="13" a="1"/>
  <c r="CY734" i="13" s="1"/>
  <c r="BZ730" i="13" a="1"/>
  <c r="BZ730" i="13" s="1"/>
  <c r="CF730" i="13" s="1"/>
  <c r="R730" i="13" s="1"/>
  <c r="CF716" i="13"/>
  <c r="R716" i="13" s="1"/>
  <c r="CY710" i="13" a="1"/>
  <c r="CY710" i="13" s="1"/>
  <c r="CX710" i="13" a="1"/>
  <c r="CX710" i="13" s="1"/>
  <c r="CZ589" i="13"/>
  <c r="Z589" i="13" s="1"/>
  <c r="CX572" i="13" a="1"/>
  <c r="CX572" i="13" s="1"/>
  <c r="CY572" i="13" a="1"/>
  <c r="CY572" i="13" s="1"/>
  <c r="CF585" i="13"/>
  <c r="R585" i="13" s="1"/>
  <c r="CF530" i="13"/>
  <c r="R530" i="13" s="1"/>
  <c r="CD572" i="13" a="1"/>
  <c r="CD572" i="13" s="1"/>
  <c r="CE572" i="13" a="1"/>
  <c r="CE572" i="13" s="1"/>
  <c r="BP519" i="13"/>
  <c r="BQ519" i="13" s="1"/>
  <c r="BR519" i="13" s="1" a="1"/>
  <c r="BR519" i="13" s="1"/>
  <c r="CX488" i="13" a="1"/>
  <c r="CX488" i="13" s="1"/>
  <c r="CY488" i="13" a="1"/>
  <c r="CY488" i="13" s="1"/>
  <c r="CZ526" i="13"/>
  <c r="Z526" i="13" s="1"/>
  <c r="CX496" i="13" a="1"/>
  <c r="CX496" i="13" s="1"/>
  <c r="CZ496" i="13" s="1"/>
  <c r="Z496" i="13" s="1"/>
  <c r="CY496" i="13" a="1"/>
  <c r="CY496" i="13" s="1"/>
  <c r="BX441" i="13"/>
  <c r="BY441" i="13" s="1"/>
  <c r="BZ441" i="13" s="1" a="1"/>
  <c r="BZ441" i="13" s="1"/>
  <c r="CT439" i="13" a="1"/>
  <c r="CT439" i="13" s="1"/>
  <c r="CJ1004" i="13"/>
  <c r="CK1004" i="13" s="1"/>
  <c r="CL1004" i="13" s="1" a="1"/>
  <c r="CL1004" i="13" s="1"/>
  <c r="BZ948" i="13" a="1"/>
  <c r="BZ948" i="13" s="1"/>
  <c r="CF948" i="13" s="1"/>
  <c r="R948" i="13" s="1"/>
  <c r="CX844" i="13" a="1"/>
  <c r="CX844" i="13" s="1"/>
  <c r="CZ844" i="13" s="1"/>
  <c r="Z844" i="13" s="1"/>
  <c r="CF805" i="13"/>
  <c r="R805" i="13" s="1"/>
  <c r="CY789" i="13" a="1"/>
  <c r="CY789" i="13" s="1"/>
  <c r="CX789" i="13" a="1"/>
  <c r="CX789" i="13" s="1"/>
  <c r="CN747" i="13"/>
  <c r="CO747" i="13" s="1"/>
  <c r="CJ747" i="13"/>
  <c r="CK747" i="13" s="1"/>
  <c r="CL747" i="13" s="1" a="1"/>
  <c r="CL747" i="13" s="1"/>
  <c r="BP747" i="13"/>
  <c r="BQ747" i="13" s="1"/>
  <c r="BR747" i="13" s="1" a="1"/>
  <c r="BR747" i="13" s="1"/>
  <c r="CE763" i="13" a="1"/>
  <c r="CE763" i="13" s="1"/>
  <c r="CD763" i="13" a="1"/>
  <c r="CD763" i="13" s="1"/>
  <c r="CN753" i="13"/>
  <c r="CO753" i="13" s="1"/>
  <c r="CP753" i="13" s="1" a="1"/>
  <c r="CP753" i="13" s="1"/>
  <c r="CD722" i="13" a="1"/>
  <c r="CD722" i="13" s="1"/>
  <c r="BZ722" i="13" a="1"/>
  <c r="BZ722" i="13" s="1"/>
  <c r="CV661" i="13"/>
  <c r="CW661" i="13" s="1"/>
  <c r="BP640" i="13"/>
  <c r="BQ640" i="13" s="1"/>
  <c r="BR640" i="13" s="1" a="1"/>
  <c r="BR640" i="13" s="1"/>
  <c r="CV630" i="13"/>
  <c r="CW630" i="13" s="1"/>
  <c r="CB671" i="13"/>
  <c r="CC671" i="13" s="1"/>
  <c r="BP630" i="13"/>
  <c r="BQ630" i="13" s="1"/>
  <c r="BR630" i="13" s="1" a="1"/>
  <c r="BR630" i="13" s="1"/>
  <c r="CZ581" i="13"/>
  <c r="Z581" i="13" s="1"/>
  <c r="CB563" i="13"/>
  <c r="CC563" i="13" s="1"/>
  <c r="BZ502" i="13" a="1"/>
  <c r="BZ502" i="13" s="1"/>
  <c r="CZ484" i="13"/>
  <c r="Z484" i="13" s="1"/>
  <c r="BT1001" i="13"/>
  <c r="BU1001" i="13" s="1"/>
  <c r="BV1001" i="13" s="1" a="1"/>
  <c r="BV1001" i="13" s="1"/>
  <c r="CX979" i="13" a="1"/>
  <c r="CX979" i="13" s="1"/>
  <c r="CX828" i="13" a="1"/>
  <c r="CX828" i="13" s="1"/>
  <c r="CZ828" i="13" s="1"/>
  <c r="Z828" i="13" s="1"/>
  <c r="AF828" i="13" s="1"/>
  <c r="CX868" i="13" a="1"/>
  <c r="CX868" i="13" s="1"/>
  <c r="CZ868" i="13" s="1"/>
  <c r="Z868" i="13" s="1"/>
  <c r="CB741" i="13"/>
  <c r="CC741" i="13" s="1"/>
  <c r="BV765" i="13" a="1"/>
  <c r="BV765" i="13" s="1"/>
  <c r="CF765" i="13" s="1"/>
  <c r="R765" i="13" s="1"/>
  <c r="CD715" i="13" a="1"/>
  <c r="CD715" i="13" s="1"/>
  <c r="CF715" i="13" s="1"/>
  <c r="R715" i="13" s="1"/>
  <c r="AF715" i="13" s="1"/>
  <c r="CE715" i="13" a="1"/>
  <c r="CE715" i="13" s="1"/>
  <c r="CE712" i="13" a="1"/>
  <c r="CE712" i="13" s="1"/>
  <c r="CD712" i="13" a="1"/>
  <c r="CD712" i="13" s="1"/>
  <c r="CF704" i="13"/>
  <c r="R704" i="13" s="1"/>
  <c r="BT654" i="13"/>
  <c r="BU654" i="13" s="1"/>
  <c r="BV654" i="13" s="1" a="1"/>
  <c r="BV654" i="13" s="1"/>
  <c r="BT685" i="13"/>
  <c r="BU685" i="13" s="1"/>
  <c r="BV685" i="13" s="1" a="1"/>
  <c r="BV685" i="13" s="1"/>
  <c r="CE608" i="13" a="1"/>
  <c r="CE608" i="13" s="1"/>
  <c r="CD608" i="13" a="1"/>
  <c r="CD608" i="13" s="1"/>
  <c r="CZ566" i="13"/>
  <c r="Z566" i="13" s="1"/>
  <c r="CY546" i="13" a="1"/>
  <c r="CY546" i="13" s="1"/>
  <c r="CX546" i="13" a="1"/>
  <c r="CX546" i="13" s="1"/>
  <c r="CV571" i="13"/>
  <c r="CW571" i="13" s="1"/>
  <c r="CZ504" i="13"/>
  <c r="Z504" i="13" s="1"/>
  <c r="CP522" i="13" a="1"/>
  <c r="CP522" i="13" s="1"/>
  <c r="CZ522" i="13" s="1"/>
  <c r="Z522" i="13" s="1"/>
  <c r="BX445" i="13"/>
  <c r="BY445" i="13" s="1"/>
  <c r="BZ445" i="13" s="1" a="1"/>
  <c r="BZ445" i="13" s="1"/>
  <c r="CN454" i="13"/>
  <c r="CO454" i="13" s="1"/>
  <c r="CP454" i="13" s="1" a="1"/>
  <c r="CP454" i="13" s="1"/>
  <c r="CD965" i="13" a="1"/>
  <c r="CD965" i="13" s="1"/>
  <c r="CF965" i="13" s="1"/>
  <c r="R965" i="13" s="1"/>
  <c r="CX892" i="13" a="1"/>
  <c r="CX892" i="13" s="1"/>
  <c r="CZ892" i="13" s="1"/>
  <c r="Z892" i="13" s="1"/>
  <c r="BV862" i="13" a="1"/>
  <c r="BV862" i="13" s="1"/>
  <c r="CF862" i="13" s="1"/>
  <c r="R862" i="13" s="1"/>
  <c r="CF733" i="13"/>
  <c r="R733" i="13" s="1"/>
  <c r="AF733" i="13" s="1"/>
  <c r="BZ767" i="13" a="1"/>
  <c r="BZ767" i="13" s="1"/>
  <c r="CF767" i="13" s="1"/>
  <c r="R767" i="13" s="1"/>
  <c r="CT690" i="13" a="1"/>
  <c r="CT690" i="13" s="1"/>
  <c r="CZ690" i="13" s="1"/>
  <c r="Z690" i="13" s="1"/>
  <c r="CR668" i="13"/>
  <c r="CS668" i="13" s="1"/>
  <c r="CT668" i="13" s="1" a="1"/>
  <c r="CT668" i="13" s="1"/>
  <c r="BX683" i="13"/>
  <c r="BY683" i="13" s="1"/>
  <c r="BZ683" i="13" s="1" a="1"/>
  <c r="BZ683" i="13" s="1"/>
  <c r="CN683" i="13"/>
  <c r="CO683" i="13" s="1"/>
  <c r="CP683" i="13" s="1" a="1"/>
  <c r="CP683" i="13" s="1"/>
  <c r="BP683" i="13"/>
  <c r="BQ683" i="13" s="1"/>
  <c r="BR683" i="13" s="1" a="1"/>
  <c r="BR683" i="13" s="1"/>
  <c r="CJ683" i="13"/>
  <c r="CK683" i="13" s="1"/>
  <c r="CL683" i="13" s="1" a="1"/>
  <c r="CL683" i="13" s="1"/>
  <c r="CB683" i="13"/>
  <c r="CC683" i="13" s="1"/>
  <c r="CB677" i="13"/>
  <c r="CC677" i="13" s="1"/>
  <c r="BX677" i="13"/>
  <c r="BY677" i="13" s="1"/>
  <c r="BZ677" i="13" s="1" a="1"/>
  <c r="BZ677" i="13" s="1"/>
  <c r="BP677" i="13"/>
  <c r="BQ677" i="13" s="1"/>
  <c r="BR677" i="13" s="1" a="1"/>
  <c r="BR677" i="13" s="1"/>
  <c r="CT587" i="13" a="1"/>
  <c r="CT587" i="13" s="1"/>
  <c r="CZ587" i="13" s="1"/>
  <c r="Z587" i="13" s="1"/>
  <c r="CT530" i="13" a="1"/>
  <c r="CT530" i="13" s="1"/>
  <c r="BT553" i="13"/>
  <c r="BU553" i="13" s="1"/>
  <c r="CF568" i="13"/>
  <c r="R568" i="13" s="1"/>
  <c r="CD514" i="13" a="1"/>
  <c r="CD514" i="13" s="1"/>
  <c r="CE514" i="13" a="1"/>
  <c r="CE514" i="13" s="1"/>
  <c r="CE480" i="13" a="1"/>
  <c r="CE480" i="13" s="1"/>
  <c r="CD480" i="13" a="1"/>
  <c r="CD480" i="13" s="1"/>
  <c r="CY512" i="13" a="1"/>
  <c r="CY512" i="13" s="1"/>
  <c r="CX512" i="13" a="1"/>
  <c r="CX512" i="13" s="1"/>
  <c r="CZ512" i="13" s="1"/>
  <c r="Z512" i="13" s="1"/>
  <c r="CV456" i="13"/>
  <c r="CW456" i="13" s="1"/>
  <c r="CJ839" i="13"/>
  <c r="CK839" i="13" s="1"/>
  <c r="CL839" i="13" s="1" a="1"/>
  <c r="CL839" i="13" s="1"/>
  <c r="CD769" i="13" a="1"/>
  <c r="CD769" i="13" s="1"/>
  <c r="CE769" i="13" a="1"/>
  <c r="CE769" i="13" s="1"/>
  <c r="CE737" i="13" a="1"/>
  <c r="CE737" i="13" s="1"/>
  <c r="CD737" i="13" a="1"/>
  <c r="CD737" i="13" s="1"/>
  <c r="BZ728" i="13" a="1"/>
  <c r="BZ728" i="13" s="1"/>
  <c r="CF728" i="13" s="1"/>
  <c r="R728" i="13" s="1"/>
  <c r="CF724" i="13"/>
  <c r="R724" i="13" s="1"/>
  <c r="CY706" i="13" a="1"/>
  <c r="CY706" i="13" s="1"/>
  <c r="CX706" i="13" a="1"/>
  <c r="CX706" i="13" s="1"/>
  <c r="BX659" i="13"/>
  <c r="BY659" i="13" s="1"/>
  <c r="BZ659" i="13" s="1" a="1"/>
  <c r="BZ659" i="13" s="1"/>
  <c r="CV659" i="13"/>
  <c r="CW659" i="13" s="1"/>
  <c r="CR677" i="13"/>
  <c r="CS677" i="13" s="1"/>
  <c r="CT677" i="13" s="1" a="1"/>
  <c r="CT677" i="13" s="1"/>
  <c r="BX569" i="13"/>
  <c r="BY569" i="13" s="1"/>
  <c r="BZ569" i="13" s="1" a="1"/>
  <c r="BZ569" i="13" s="1"/>
  <c r="BP539" i="13"/>
  <c r="BQ539" i="13" s="1"/>
  <c r="BR539" i="13" s="1" a="1"/>
  <c r="BR539" i="13" s="1"/>
  <c r="CT532" i="13" a="1"/>
  <c r="CT532" i="13" s="1"/>
  <c r="CZ532" i="13" s="1"/>
  <c r="Z532" i="13" s="1"/>
  <c r="BV482" i="13" a="1"/>
  <c r="BV482" i="13" s="1"/>
  <c r="CP494" i="13" a="1"/>
  <c r="CP494" i="13" s="1"/>
  <c r="CF476" i="13"/>
  <c r="R476" i="13" s="1"/>
  <c r="CX514" i="13" a="1"/>
  <c r="CX514" i="13" s="1"/>
  <c r="CY514" i="13" a="1"/>
  <c r="CY514" i="13" s="1"/>
  <c r="CB445" i="13"/>
  <c r="CC445" i="13" s="1"/>
  <c r="BX456" i="13"/>
  <c r="BY456" i="13" s="1"/>
  <c r="CP448" i="13" a="1"/>
  <c r="CP448" i="13" s="1"/>
  <c r="CT763" i="13" a="1"/>
  <c r="CT763" i="13" s="1"/>
  <c r="CZ763" i="13" s="1"/>
  <c r="Z763" i="13" s="1"/>
  <c r="AF703" i="13"/>
  <c r="CJ624" i="13"/>
  <c r="CK624" i="13" s="1"/>
  <c r="CL624" i="13" s="1" a="1"/>
  <c r="CL624" i="13" s="1"/>
  <c r="CP560" i="13" a="1"/>
  <c r="CP560" i="13" s="1"/>
  <c r="CZ560" i="13" s="1"/>
  <c r="Z560" i="13" s="1"/>
  <c r="BV494" i="13" a="1"/>
  <c r="BV494" i="13" s="1"/>
  <c r="CF494" i="13" s="1"/>
  <c r="R494" i="13" s="1"/>
  <c r="CT372" i="13" a="1"/>
  <c r="CT372" i="13" s="1"/>
  <c r="CZ372" i="13" s="1"/>
  <c r="Z372" i="13" s="1"/>
  <c r="CX314" i="13" a="1"/>
  <c r="CX314" i="13" s="1"/>
  <c r="CY314" i="13" a="1"/>
  <c r="CY314" i="13" s="1"/>
  <c r="CZ260" i="13"/>
  <c r="Z260" i="13" s="1"/>
  <c r="CT757" i="13" a="1"/>
  <c r="CT757" i="13" s="1"/>
  <c r="CZ757" i="13" s="1"/>
  <c r="Z757" i="13" s="1"/>
  <c r="CD702" i="13" a="1"/>
  <c r="CD702" i="13" s="1"/>
  <c r="CJ618" i="13"/>
  <c r="CK618" i="13" s="1"/>
  <c r="CL618" i="13" s="1" a="1"/>
  <c r="CL618" i="13" s="1"/>
  <c r="BT571" i="13"/>
  <c r="BU571" i="13" s="1"/>
  <c r="BV571" i="13" s="1" a="1"/>
  <c r="BV571" i="13" s="1"/>
  <c r="CD548" i="13" a="1"/>
  <c r="CD548" i="13" s="1"/>
  <c r="CF548" i="13" s="1"/>
  <c r="R548" i="13" s="1"/>
  <c r="CD462" i="13" a="1"/>
  <c r="CD462" i="13" s="1"/>
  <c r="BV420" i="13" a="1"/>
  <c r="BV420" i="13" s="1"/>
  <c r="CF420" i="13" s="1"/>
  <c r="R420" i="13" s="1"/>
  <c r="AF420" i="13" s="1"/>
  <c r="CF425" i="13"/>
  <c r="R425" i="13" s="1"/>
  <c r="AF425" i="13" s="1"/>
  <c r="BV393" i="13" a="1"/>
  <c r="BV393" i="13" s="1"/>
  <c r="CF393" i="13" s="1"/>
  <c r="R393" i="13" s="1"/>
  <c r="CZ382" i="13"/>
  <c r="Z382" i="13" s="1"/>
  <c r="CR334" i="13"/>
  <c r="CS334" i="13" s="1"/>
  <c r="CT334" i="13" s="1" a="1"/>
  <c r="CT334" i="13" s="1"/>
  <c r="CT251" i="13" a="1"/>
  <c r="CT251" i="13" s="1"/>
  <c r="CY212" i="13" a="1"/>
  <c r="CY212" i="13" s="1"/>
  <c r="CX212" i="13" a="1"/>
  <c r="CX212" i="13" s="1"/>
  <c r="CZ212" i="13" s="1"/>
  <c r="Z212" i="13" s="1"/>
  <c r="CZ224" i="13"/>
  <c r="Z224" i="13" s="1"/>
  <c r="CF214" i="13"/>
  <c r="R214" i="13" s="1"/>
  <c r="BZ607" i="13" a="1"/>
  <c r="BZ607" i="13" s="1"/>
  <c r="CF607" i="13" s="1"/>
  <c r="R607" i="13" s="1"/>
  <c r="AF607" i="13" s="1"/>
  <c r="BZ577" i="13" a="1"/>
  <c r="BZ577" i="13" s="1"/>
  <c r="CF577" i="13" s="1"/>
  <c r="R577" i="13" s="1"/>
  <c r="CD538" i="13" a="1"/>
  <c r="CD538" i="13" s="1"/>
  <c r="BT458" i="13"/>
  <c r="BU458" i="13" s="1"/>
  <c r="BV458" i="13" s="1" a="1"/>
  <c r="BV458" i="13" s="1"/>
  <c r="CF397" i="13"/>
  <c r="R397" i="13" s="1"/>
  <c r="CX298" i="13" a="1"/>
  <c r="CX298" i="13" s="1"/>
  <c r="CZ298" i="13" s="1"/>
  <c r="Z298" i="13" s="1"/>
  <c r="CY298" i="13" a="1"/>
  <c r="CY298" i="13" s="1"/>
  <c r="CB305" i="13"/>
  <c r="CC305" i="13" s="1"/>
  <c r="BZ252" i="13" a="1"/>
  <c r="BZ252" i="13" s="1"/>
  <c r="CF252" i="13" s="1"/>
  <c r="R252" i="13" s="1"/>
  <c r="BZ271" i="13" a="1"/>
  <c r="BZ271" i="13" s="1"/>
  <c r="CF271" i="13" s="1"/>
  <c r="R271" i="13" s="1"/>
  <c r="CE198" i="13" a="1"/>
  <c r="CE198" i="13" s="1"/>
  <c r="CD198" i="13" a="1"/>
  <c r="CD198" i="13" s="1"/>
  <c r="CB197" i="13"/>
  <c r="CC197" i="13" s="1"/>
  <c r="CJ197" i="13"/>
  <c r="CK197" i="13" s="1"/>
  <c r="CL197" i="13" s="1" a="1"/>
  <c r="CL197" i="13" s="1"/>
  <c r="CN197" i="13"/>
  <c r="CO197" i="13" s="1"/>
  <c r="CV197" i="13"/>
  <c r="CW197" i="13" s="1"/>
  <c r="BP197" i="13"/>
  <c r="BQ197" i="13" s="1"/>
  <c r="BR197" i="13" s="1" a="1"/>
  <c r="BR197" i="13" s="1"/>
  <c r="BT197" i="13"/>
  <c r="BU197" i="13" s="1"/>
  <c r="BV197" i="13" s="1" a="1"/>
  <c r="BV197" i="13" s="1"/>
  <c r="CX579" i="13" a="1"/>
  <c r="CX579" i="13" s="1"/>
  <c r="CZ579" i="13" s="1"/>
  <c r="Z579" i="13" s="1"/>
  <c r="CD502" i="13" a="1"/>
  <c r="CD502" i="13" s="1"/>
  <c r="CJ523" i="13"/>
  <c r="CK523" i="13" s="1"/>
  <c r="CL523" i="13" s="1" a="1"/>
  <c r="CL523" i="13" s="1"/>
  <c r="CZ364" i="13"/>
  <c r="Z364" i="13" s="1"/>
  <c r="BX361" i="13"/>
  <c r="BY361" i="13" s="1"/>
  <c r="CF370" i="13"/>
  <c r="R370" i="13" s="1"/>
  <c r="AF370" i="13" s="1"/>
  <c r="CE356" i="13" a="1"/>
  <c r="CE356" i="13" s="1"/>
  <c r="CD356" i="13" a="1"/>
  <c r="CD356" i="13" s="1"/>
  <c r="BV284" i="13" a="1"/>
  <c r="BV284" i="13" s="1"/>
  <c r="CF284" i="13" s="1"/>
  <c r="R284" i="13" s="1"/>
  <c r="AF284" i="13" s="1"/>
  <c r="CV348" i="13"/>
  <c r="CW348" i="13" s="1"/>
  <c r="CF335" i="13"/>
  <c r="R335" i="13" s="1"/>
  <c r="BT269" i="13"/>
  <c r="BU269" i="13" s="1"/>
  <c r="BV269" i="13" s="1" a="1"/>
  <c r="BV269" i="13" s="1"/>
  <c r="CN293" i="13"/>
  <c r="CO293" i="13" s="1"/>
  <c r="CP293" i="13" s="1" a="1"/>
  <c r="CP293" i="13" s="1"/>
  <c r="BV257" i="13" a="1"/>
  <c r="BV257" i="13" s="1"/>
  <c r="CF257" i="13" s="1"/>
  <c r="R257" i="13" s="1"/>
  <c r="CD262" i="13" a="1"/>
  <c r="CD262" i="13" s="1"/>
  <c r="CE262" i="13" a="1"/>
  <c r="CE262" i="13" s="1"/>
  <c r="CT258" i="13" a="1"/>
  <c r="CT258" i="13" s="1"/>
  <c r="CZ258" i="13" s="1"/>
  <c r="Z258" i="13" s="1"/>
  <c r="CF226" i="13"/>
  <c r="R226" i="13" s="1"/>
  <c r="CT726" i="13" a="1"/>
  <c r="CT726" i="13" s="1"/>
  <c r="CZ726" i="13" s="1"/>
  <c r="Z726" i="13" s="1"/>
  <c r="BT650" i="13"/>
  <c r="BU650" i="13" s="1"/>
  <c r="BV650" i="13" s="1" a="1"/>
  <c r="BV650" i="13" s="1"/>
  <c r="BV735" i="13" a="1"/>
  <c r="BV735" i="13" s="1"/>
  <c r="CF735" i="13" s="1"/>
  <c r="R735" i="13" s="1"/>
  <c r="AF735" i="13" s="1"/>
  <c r="BP623" i="13"/>
  <c r="BQ623" i="13" s="1"/>
  <c r="BR623" i="13" s="1" a="1"/>
  <c r="BR623" i="13" s="1"/>
  <c r="BX580" i="13"/>
  <c r="BY580" i="13" s="1"/>
  <c r="BZ580" i="13" s="1" a="1"/>
  <c r="BZ580" i="13" s="1"/>
  <c r="BZ520" i="13" a="1"/>
  <c r="BZ520" i="13" s="1"/>
  <c r="CF520" i="13" s="1"/>
  <c r="R520" i="13" s="1"/>
  <c r="CX422" i="13" a="1"/>
  <c r="CX422" i="13" s="1"/>
  <c r="CY422" i="13" a="1"/>
  <c r="CY422" i="13" s="1"/>
  <c r="CZ414" i="13"/>
  <c r="Z414" i="13" s="1"/>
  <c r="CF385" i="13"/>
  <c r="R385" i="13" s="1"/>
  <c r="CF366" i="13"/>
  <c r="R366" i="13" s="1"/>
  <c r="CX360" i="13" a="1"/>
  <c r="CX360" i="13" s="1"/>
  <c r="CY360" i="13" a="1"/>
  <c r="CY360" i="13" s="1"/>
  <c r="CX333" i="13" a="1"/>
  <c r="CX333" i="13" s="1"/>
  <c r="CY333" i="13" a="1"/>
  <c r="CY333" i="13" s="1"/>
  <c r="CV319" i="13"/>
  <c r="CW319" i="13" s="1"/>
  <c r="BX309" i="13"/>
  <c r="BY309" i="13" s="1"/>
  <c r="BP309" i="13"/>
  <c r="BQ309" i="13" s="1"/>
  <c r="BR309" i="13" s="1" a="1"/>
  <c r="BR309" i="13" s="1"/>
  <c r="BT309" i="13"/>
  <c r="BU309" i="13" s="1"/>
  <c r="CB309" i="13"/>
  <c r="CC309" i="13" s="1"/>
  <c r="BP267" i="13"/>
  <c r="BQ267" i="13" s="1"/>
  <c r="BR267" i="13" s="1" a="1"/>
  <c r="BR267" i="13" s="1"/>
  <c r="CJ267" i="13"/>
  <c r="CK267" i="13" s="1"/>
  <c r="CL267" i="13" s="1" a="1"/>
  <c r="CL267" i="13" s="1"/>
  <c r="CX271" i="13" a="1"/>
  <c r="CX271" i="13" s="1"/>
  <c r="CY271" i="13" a="1"/>
  <c r="CY271" i="13" s="1"/>
  <c r="CR227" i="13"/>
  <c r="CS227" i="13" s="1"/>
  <c r="CT227" i="13" s="1" a="1"/>
  <c r="CT227" i="13" s="1"/>
  <c r="BX166" i="13"/>
  <c r="BY166" i="13" s="1"/>
  <c r="BZ166" i="13" s="1" a="1"/>
  <c r="BZ166" i="13" s="1"/>
  <c r="CN635" i="13"/>
  <c r="CO635" i="13" s="1"/>
  <c r="CP635" i="13" s="1" a="1"/>
  <c r="CP635" i="13" s="1"/>
  <c r="BT450" i="13"/>
  <c r="BU450" i="13" s="1"/>
  <c r="BV450" i="13" s="1" a="1"/>
  <c r="BV450" i="13" s="1"/>
  <c r="CJ442" i="13"/>
  <c r="CK442" i="13" s="1"/>
  <c r="CL442" i="13" s="1" a="1"/>
  <c r="CL442" i="13" s="1"/>
  <c r="CX399" i="13" a="1"/>
  <c r="CX399" i="13" s="1"/>
  <c r="CY399" i="13" a="1"/>
  <c r="CY399" i="13" s="1"/>
  <c r="CP410" i="13" a="1"/>
  <c r="CP410" i="13" s="1"/>
  <c r="CZ376" i="13"/>
  <c r="Z376" i="13" s="1"/>
  <c r="CV344" i="13"/>
  <c r="CW344" i="13" s="1"/>
  <c r="CE314" i="13" a="1"/>
  <c r="CE314" i="13" s="1"/>
  <c r="CD314" i="13" a="1"/>
  <c r="CD314" i="13" s="1"/>
  <c r="CV267" i="13"/>
  <c r="CW267" i="13" s="1"/>
  <c r="BX301" i="13"/>
  <c r="BY301" i="13" s="1"/>
  <c r="BP301" i="13"/>
  <c r="BQ301" i="13" s="1"/>
  <c r="BR301" i="13" s="1" a="1"/>
  <c r="BR301" i="13" s="1"/>
  <c r="BT301" i="13"/>
  <c r="BU301" i="13" s="1"/>
  <c r="BZ266" i="13" a="1"/>
  <c r="BZ266" i="13" s="1"/>
  <c r="CF266" i="13" s="1"/>
  <c r="R266" i="13" s="1"/>
  <c r="CX253" i="13" a="1"/>
  <c r="CX253" i="13" s="1"/>
  <c r="CY253" i="13" a="1"/>
  <c r="CY253" i="13" s="1"/>
  <c r="CF255" i="13"/>
  <c r="R255" i="13" s="1"/>
  <c r="CP230" i="13" a="1"/>
  <c r="CP230" i="13" s="1"/>
  <c r="CZ230" i="13" s="1"/>
  <c r="Z230" i="13" s="1"/>
  <c r="CF211" i="13"/>
  <c r="R211" i="13" s="1"/>
  <c r="AF211" i="13" s="1"/>
  <c r="CP193" i="13" a="1"/>
  <c r="CP193" i="13" s="1"/>
  <c r="CZ193" i="13" s="1"/>
  <c r="Z193" i="13" s="1"/>
  <c r="BX180" i="13"/>
  <c r="BY180" i="13" s="1"/>
  <c r="BZ180" i="13" s="1" a="1"/>
  <c r="BZ180" i="13" s="1"/>
  <c r="CR177" i="13"/>
  <c r="CS177" i="13" s="1"/>
  <c r="CT177" i="13" s="1" a="1"/>
  <c r="CT177" i="13" s="1"/>
  <c r="BV731" i="13" a="1"/>
  <c r="BV731" i="13" s="1"/>
  <c r="CJ620" i="13"/>
  <c r="CK620" i="13" s="1"/>
  <c r="CL620" i="13" s="1" a="1"/>
  <c r="CL620" i="13" s="1"/>
  <c r="CX577" i="13" a="1"/>
  <c r="CX577" i="13" s="1"/>
  <c r="BP553" i="13"/>
  <c r="BQ553" i="13" s="1"/>
  <c r="BR553" i="13" s="1" a="1"/>
  <c r="BR553" i="13" s="1"/>
  <c r="CE412" i="13" a="1"/>
  <c r="CE412" i="13" s="1"/>
  <c r="CD412" i="13" a="1"/>
  <c r="CD412" i="13" s="1"/>
  <c r="BZ404" i="13" a="1"/>
  <c r="BZ404" i="13" s="1"/>
  <c r="CF404" i="13" s="1"/>
  <c r="R404" i="13" s="1"/>
  <c r="CD401" i="13" a="1"/>
  <c r="CD401" i="13" s="1"/>
  <c r="CE401" i="13" a="1"/>
  <c r="CE401" i="13" s="1"/>
  <c r="CZ379" i="13"/>
  <c r="Z379" i="13" s="1"/>
  <c r="CN363" i="13"/>
  <c r="CO363" i="13" s="1"/>
  <c r="CP363" i="13" s="1" a="1"/>
  <c r="CP363" i="13" s="1"/>
  <c r="CB363" i="13"/>
  <c r="CC363" i="13" s="1"/>
  <c r="CT331" i="13" a="1"/>
  <c r="CT331" i="13" s="1"/>
  <c r="CZ331" i="13" s="1"/>
  <c r="Z331" i="13" s="1"/>
  <c r="CR317" i="13"/>
  <c r="CS317" i="13" s="1"/>
  <c r="CT317" i="13" s="1" a="1"/>
  <c r="CT317" i="13" s="1"/>
  <c r="CD270" i="13" a="1"/>
  <c r="CD270" i="13" s="1"/>
  <c r="CE270" i="13" a="1"/>
  <c r="CE270" i="13" s="1"/>
  <c r="BT267" i="13"/>
  <c r="BU267" i="13" s="1"/>
  <c r="CZ248" i="13"/>
  <c r="Z248" i="13" s="1"/>
  <c r="CE217" i="13" a="1"/>
  <c r="CE217" i="13" s="1"/>
  <c r="CD217" i="13" a="1"/>
  <c r="CD217" i="13" s="1"/>
  <c r="CR179" i="13"/>
  <c r="CS179" i="13" s="1"/>
  <c r="CT179" i="13" s="1" a="1"/>
  <c r="CT179" i="13" s="1"/>
  <c r="CR171" i="13"/>
  <c r="CS171" i="13" s="1"/>
  <c r="CT171" i="13" s="1" a="1"/>
  <c r="CT171" i="13" s="1"/>
  <c r="CD738" i="13" a="1"/>
  <c r="CD738" i="13" s="1"/>
  <c r="CP572" i="13" a="1"/>
  <c r="CP572" i="13" s="1"/>
  <c r="BV540" i="13" a="1"/>
  <c r="BV540" i="13" s="1"/>
  <c r="CF540" i="13" s="1"/>
  <c r="R540" i="13" s="1"/>
  <c r="CT488" i="13" a="1"/>
  <c r="CT488" i="13" s="1"/>
  <c r="CZ488" i="13" s="1"/>
  <c r="Z488" i="13" s="1"/>
  <c r="CX462" i="13" a="1"/>
  <c r="CX462" i="13" s="1"/>
  <c r="CY462" i="13" a="1"/>
  <c r="CY462" i="13" s="1"/>
  <c r="CY397" i="13" a="1"/>
  <c r="CY397" i="13" s="1"/>
  <c r="CX397" i="13" a="1"/>
  <c r="CX397" i="13" s="1"/>
  <c r="CP427" i="13" a="1"/>
  <c r="CP427" i="13" s="1"/>
  <c r="CZ427" i="13" s="1"/>
  <c r="Z427" i="13" s="1"/>
  <c r="BV428" i="13" a="1"/>
  <c r="BV428" i="13" s="1"/>
  <c r="CF428" i="13" s="1"/>
  <c r="R428" i="13" s="1"/>
  <c r="CT406" i="13" a="1"/>
  <c r="CT406" i="13" s="1"/>
  <c r="CB390" i="13"/>
  <c r="CC390" i="13" s="1"/>
  <c r="CD396" i="13" a="1"/>
  <c r="CD396" i="13" s="1"/>
  <c r="CE396" i="13" a="1"/>
  <c r="CE396" i="13" s="1"/>
  <c r="BT365" i="13"/>
  <c r="BU365" i="13" s="1"/>
  <c r="BV365" i="13" s="1" a="1"/>
  <c r="BV365" i="13" s="1"/>
  <c r="BZ358" i="13" a="1"/>
  <c r="BZ358" i="13" s="1"/>
  <c r="CX320" i="13" a="1"/>
  <c r="CX320" i="13" s="1"/>
  <c r="CY320" i="13" a="1"/>
  <c r="CY320" i="13" s="1"/>
  <c r="CP257" i="13" a="1"/>
  <c r="CP257" i="13" s="1"/>
  <c r="CR313" i="13"/>
  <c r="CS313" i="13" s="1"/>
  <c r="BZ236" i="13" a="1"/>
  <c r="BZ236" i="13" s="1"/>
  <c r="CF236" i="13" s="1"/>
  <c r="R236" i="13" s="1"/>
  <c r="CN256" i="13"/>
  <c r="CO256" i="13" s="1"/>
  <c r="CP256" i="13" s="1" a="1"/>
  <c r="CP256" i="13" s="1"/>
  <c r="BV232" i="13" a="1"/>
  <c r="BV232" i="13" s="1"/>
  <c r="CF232" i="13" s="1"/>
  <c r="R232" i="13" s="1"/>
  <c r="AF232" i="13" s="1"/>
  <c r="CX208" i="13" a="1"/>
  <c r="CX208" i="13" s="1"/>
  <c r="CY208" i="13" a="1"/>
  <c r="CY208" i="13" s="1"/>
  <c r="BZ198" i="13" a="1"/>
  <c r="BZ198" i="13" s="1"/>
  <c r="CV192" i="13"/>
  <c r="CW192" i="13" s="1"/>
  <c r="CT420" i="13" a="1"/>
  <c r="CT420" i="13" s="1"/>
  <c r="CZ420" i="13" s="1"/>
  <c r="Z420" i="13" s="1"/>
  <c r="CJ342" i="13"/>
  <c r="CK342" i="13" s="1"/>
  <c r="CL342" i="13" s="1" a="1"/>
  <c r="CL342" i="13" s="1"/>
  <c r="CN319" i="13"/>
  <c r="CO319" i="13" s="1"/>
  <c r="CP319" i="13" s="1" a="1"/>
  <c r="CP319" i="13" s="1"/>
  <c r="CZ155" i="13"/>
  <c r="Z155" i="13" s="1"/>
  <c r="BZ160" i="13" a="1"/>
  <c r="BZ160" i="13" s="1"/>
  <c r="CX406" i="13" a="1"/>
  <c r="CX406" i="13" s="1"/>
  <c r="BZ310" i="13" a="1"/>
  <c r="BZ310" i="13" s="1"/>
  <c r="CF310" i="13" s="1"/>
  <c r="R310" i="13" s="1"/>
  <c r="AF310" i="13" s="1"/>
  <c r="CD215" i="13" a="1"/>
  <c r="CD215" i="13" s="1"/>
  <c r="CD379" i="13" a="1"/>
  <c r="CD379" i="13" s="1"/>
  <c r="CF379" i="13" s="1"/>
  <c r="R379" i="13" s="1"/>
  <c r="CP283" i="13" a="1"/>
  <c r="CP283" i="13" s="1"/>
  <c r="CZ283" i="13" s="1"/>
  <c r="Z283" i="13" s="1"/>
  <c r="CX268" i="13" a="1"/>
  <c r="CX268" i="13" s="1"/>
  <c r="CX257" i="13" a="1"/>
  <c r="CX257" i="13" s="1"/>
  <c r="CE162" i="13" a="1"/>
  <c r="CE162" i="13" s="1"/>
  <c r="CD162" i="13" a="1"/>
  <c r="CD162" i="13" s="1"/>
  <c r="CR129" i="13"/>
  <c r="CS129" i="13" s="1"/>
  <c r="CT129" i="13" s="1" a="1"/>
  <c r="CT129" i="13" s="1"/>
  <c r="BZ402" i="13" a="1"/>
  <c r="BZ402" i="13" s="1"/>
  <c r="CF402" i="13" s="1"/>
  <c r="R402" i="13" s="1"/>
  <c r="AF402" i="13" s="1"/>
  <c r="CD385" i="13" a="1"/>
  <c r="CD385" i="13" s="1"/>
  <c r="CP316" i="13" a="1"/>
  <c r="CP316" i="13" s="1"/>
  <c r="CZ316" i="13" s="1"/>
  <c r="Z316" i="13" s="1"/>
  <c r="CX262" i="13" a="1"/>
  <c r="CX262" i="13" s="1"/>
  <c r="CZ262" i="13" s="1"/>
  <c r="Z262" i="13" s="1"/>
  <c r="BX340" i="13"/>
  <c r="BY340" i="13" s="1"/>
  <c r="CX243" i="13" a="1"/>
  <c r="CX243" i="13" s="1"/>
  <c r="CZ243" i="13" s="1"/>
  <c r="Z243" i="13" s="1"/>
  <c r="AF243" i="13" s="1"/>
  <c r="CJ175" i="13"/>
  <c r="CK175" i="13" s="1"/>
  <c r="CL175" i="13" s="1" a="1"/>
  <c r="CL175" i="13" s="1"/>
  <c r="BP152" i="13"/>
  <c r="BQ152" i="13" s="1"/>
  <c r="BR152" i="13" s="1" a="1"/>
  <c r="BR152" i="13" s="1"/>
  <c r="CB152" i="13"/>
  <c r="CC152" i="13" s="1"/>
  <c r="BX139" i="13"/>
  <c r="BY139" i="13" s="1"/>
  <c r="BZ139" i="13" s="1" a="1"/>
  <c r="BZ139" i="13" s="1"/>
  <c r="BP131" i="13"/>
  <c r="BQ131" i="13" s="1"/>
  <c r="BR131" i="13" s="1" a="1"/>
  <c r="BR131" i="13" s="1"/>
  <c r="CJ313" i="13"/>
  <c r="CK313" i="13" s="1"/>
  <c r="CL313" i="13" s="1" a="1"/>
  <c r="CL313" i="13" s="1"/>
  <c r="CF254" i="13"/>
  <c r="R254" i="13" s="1"/>
  <c r="CF135" i="13"/>
  <c r="R135" i="13" s="1"/>
  <c r="AF135" i="13" s="1"/>
  <c r="CR123" i="13"/>
  <c r="CS123" i="13" s="1"/>
  <c r="CT123" i="13" s="1" a="1"/>
  <c r="CT123" i="13" s="1"/>
  <c r="CT410" i="13" a="1"/>
  <c r="CT410" i="13" s="1"/>
  <c r="CT286" i="13" a="1"/>
  <c r="CT286" i="13" s="1"/>
  <c r="CZ286" i="13" s="1"/>
  <c r="Z286" i="13" s="1"/>
  <c r="CY188" i="13" a="1"/>
  <c r="CY188" i="13" s="1"/>
  <c r="CX188" i="13" a="1"/>
  <c r="CX188" i="13" s="1"/>
  <c r="CL136" i="13" a="1"/>
  <c r="CL136" i="13" s="1"/>
  <c r="CZ136" i="13" s="1"/>
  <c r="Z136" i="13" s="1"/>
  <c r="AF136" i="13" s="1"/>
  <c r="CP136" i="13" a="1"/>
  <c r="CP136" i="13" s="1"/>
  <c r="CJ133" i="13"/>
  <c r="CK133" i="13" s="1"/>
  <c r="CL133" i="13" s="1" a="1"/>
  <c r="CL133" i="13" s="1"/>
  <c r="CE130" i="13" a="1"/>
  <c r="CE130" i="13" s="1"/>
  <c r="CD130" i="13" a="1"/>
  <c r="CD130" i="13" s="1"/>
  <c r="CT375" i="13" a="1"/>
  <c r="CT375" i="13" s="1"/>
  <c r="CZ375" i="13" s="1"/>
  <c r="Z375" i="13" s="1"/>
  <c r="CJ303" i="13"/>
  <c r="CK303" i="13" s="1"/>
  <c r="CL303" i="13" s="1" a="1"/>
  <c r="CL303" i="13" s="1"/>
  <c r="CD240" i="13" a="1"/>
  <c r="CD240" i="13" s="1"/>
  <c r="CF240" i="13" s="1"/>
  <c r="R240" i="13" s="1"/>
  <c r="BV165" i="13" a="1"/>
  <c r="BV165" i="13" s="1"/>
  <c r="CF165" i="13" s="1"/>
  <c r="R165" i="13" s="1"/>
  <c r="BP138" i="13"/>
  <c r="BQ138" i="13" s="1"/>
  <c r="BR138" i="13" s="1" a="1"/>
  <c r="BR138" i="13" s="1"/>
  <c r="CE128" i="13" a="1"/>
  <c r="CE128" i="13" s="1"/>
  <c r="CD128" i="13" a="1"/>
  <c r="CD128" i="13" s="1"/>
  <c r="CF128" i="13" s="1"/>
  <c r="R128" i="13" s="1"/>
  <c r="CX122" i="13" a="1"/>
  <c r="CX122" i="13" s="1"/>
  <c r="BX152" i="13"/>
  <c r="BY152" i="13" s="1"/>
  <c r="BZ152" i="13" s="1" a="1"/>
  <c r="BZ152" i="13" s="1"/>
  <c r="BP74" i="13"/>
  <c r="BQ74" i="13" s="1"/>
  <c r="BR74" i="13" s="1" a="1"/>
  <c r="BR74" i="13" s="1"/>
  <c r="BP84" i="13"/>
  <c r="BQ84" i="13" s="1"/>
  <c r="BR84" i="13" s="1" a="1"/>
  <c r="BR84" i="13" s="1"/>
  <c r="BX63" i="13"/>
  <c r="BY63" i="13" s="1"/>
  <c r="BZ63" i="13" s="1" a="1"/>
  <c r="BZ63" i="13" s="1"/>
  <c r="BT81" i="13"/>
  <c r="BU81" i="13" s="1"/>
  <c r="BV81" i="13" s="1" a="1"/>
  <c r="BV81" i="13" s="1"/>
  <c r="CX53" i="13" a="1"/>
  <c r="CX53" i="13" s="1"/>
  <c r="CD90" i="13" a="1"/>
  <c r="CD90" i="13" s="1"/>
  <c r="CJ103" i="13"/>
  <c r="CK103" i="13" s="1"/>
  <c r="CL103" i="13" s="1" a="1"/>
  <c r="CL103" i="13" s="1"/>
  <c r="BZ33" i="13" a="1"/>
  <c r="BZ33" i="13" s="1"/>
  <c r="CD110" i="13" a="1"/>
  <c r="CD110" i="13" s="1"/>
  <c r="BZ25" i="13" a="1"/>
  <c r="BZ25" i="13" s="1"/>
  <c r="CF25" i="13" s="1"/>
  <c r="R25" i="13" s="1"/>
  <c r="CR66" i="13"/>
  <c r="CS66" i="13" s="1"/>
  <c r="CT66" i="13" s="1" a="1"/>
  <c r="CT66" i="13" s="1"/>
  <c r="BP66" i="13"/>
  <c r="BQ66" i="13" s="1"/>
  <c r="BR66" i="13" s="1" a="1"/>
  <c r="BR66" i="13" s="1"/>
  <c r="CP89" i="13" a="1"/>
  <c r="CP89" i="13" s="1"/>
  <c r="CJ116" i="13"/>
  <c r="CK116" i="13" s="1"/>
  <c r="CL116" i="13" s="1" a="1"/>
  <c r="CL116" i="13" s="1"/>
  <c r="BT119" i="13"/>
  <c r="BU119" i="13" s="1"/>
  <c r="BZ119" i="13" s="1" a="1"/>
  <c r="BZ119" i="13" s="1"/>
  <c r="CN66" i="13"/>
  <c r="CO66" i="13" s="1"/>
  <c r="CB74" i="13"/>
  <c r="CC74" i="13" s="1"/>
  <c r="CR81" i="13"/>
  <c r="CS81" i="13" s="1"/>
  <c r="CT81" i="13" s="1" a="1"/>
  <c r="CT81" i="13" s="1"/>
  <c r="CR109" i="13"/>
  <c r="CS109" i="13" s="1"/>
  <c r="CT109" i="13" s="1" a="1"/>
  <c r="CT109" i="13" s="1"/>
  <c r="CN115" i="13"/>
  <c r="CO115" i="13" s="1"/>
  <c r="CB106" i="13"/>
  <c r="CC106" i="13" s="1"/>
  <c r="BV98" i="13" a="1"/>
  <c r="BV98" i="13" s="1"/>
  <c r="CF98" i="13" s="1"/>
  <c r="R98" i="13" s="1"/>
  <c r="CP28" i="13" a="1"/>
  <c r="CP28" i="13" s="1"/>
  <c r="BZ49" i="13" a="1"/>
  <c r="BZ49" i="13" s="1"/>
  <c r="CP45" i="13" a="1"/>
  <c r="CP45" i="13" s="1"/>
  <c r="CJ109" i="13"/>
  <c r="CK109" i="13" s="1"/>
  <c r="CL109" i="13" s="1" a="1"/>
  <c r="CL109" i="13" s="1"/>
  <c r="CY53" i="13" a="1"/>
  <c r="CY53" i="13" s="1"/>
  <c r="CN116" i="13"/>
  <c r="CO116" i="13" s="1"/>
  <c r="CR85" i="13"/>
  <c r="CS85" i="13" s="1"/>
  <c r="BZ52" i="13" a="1"/>
  <c r="BZ52" i="13" s="1"/>
  <c r="BV33" i="13" a="1"/>
  <c r="BV33" i="13" s="1"/>
  <c r="BP106" i="13"/>
  <c r="BQ106" i="13" s="1"/>
  <c r="BR106" i="13" s="1" a="1"/>
  <c r="BR106" i="13" s="1"/>
  <c r="BP116" i="13"/>
  <c r="BQ116" i="13" s="1"/>
  <c r="BR116" i="13" s="1" a="1"/>
  <c r="BR116" i="13" s="1"/>
  <c r="BV89" i="13" a="1"/>
  <c r="BV89" i="13" s="1"/>
  <c r="CP51" i="13" a="1"/>
  <c r="CP51" i="13" s="1"/>
  <c r="BZ71" i="13" a="1"/>
  <c r="BZ71" i="13" s="1"/>
  <c r="CB61" i="13"/>
  <c r="CC61" i="13" s="1"/>
  <c r="CE61" i="13" s="1" a="1"/>
  <c r="CE61" i="13" s="1"/>
  <c r="BP109" i="13"/>
  <c r="BQ109" i="13" s="1"/>
  <c r="BR109" i="13" s="1" a="1"/>
  <c r="BR109" i="13" s="1"/>
  <c r="BZ29" i="13" a="1"/>
  <c r="BZ29" i="13" s="1"/>
  <c r="CD39" i="13" a="1"/>
  <c r="CD39" i="13" s="1"/>
  <c r="CN109" i="13"/>
  <c r="CO109" i="13" s="1"/>
  <c r="CR108" i="13"/>
  <c r="CS108" i="13" s="1"/>
  <c r="BV23" i="13" a="1"/>
  <c r="BV23" i="13" s="1"/>
  <c r="CT88" i="13" a="1"/>
  <c r="CT88" i="13" s="1"/>
  <c r="CP22" i="13" a="1"/>
  <c r="CP22" i="13" s="1"/>
  <c r="BV59" i="13" a="1"/>
  <c r="BV59" i="13" s="1"/>
  <c r="CP60" i="13" a="1"/>
  <c r="CP60" i="13" s="1"/>
  <c r="CP93" i="13" a="1"/>
  <c r="CP93" i="13" s="1"/>
  <c r="CB116" i="13"/>
  <c r="CC116" i="13" s="1"/>
  <c r="CB81" i="13"/>
  <c r="CC81" i="13" s="1"/>
  <c r="CD81" i="13" s="1" a="1"/>
  <c r="CD81" i="13" s="1"/>
  <c r="BP81" i="13"/>
  <c r="BQ81" i="13" s="1"/>
  <c r="BR81" i="13" s="1" a="1"/>
  <c r="BR81" i="13" s="1"/>
  <c r="CT96" i="13" a="1"/>
  <c r="CT96" i="13" s="1"/>
  <c r="CP50" i="13" a="1"/>
  <c r="CP50" i="13" s="1"/>
  <c r="BZ81" i="13" a="1"/>
  <c r="BZ81" i="13" s="1"/>
  <c r="BV50" i="13" a="1"/>
  <c r="BV50" i="13" s="1"/>
  <c r="BT115" i="13"/>
  <c r="BU115" i="13" s="1"/>
  <c r="CR115" i="13"/>
  <c r="CS115" i="13" s="1"/>
  <c r="CT26" i="13" a="1"/>
  <c r="CT26" i="13" s="1"/>
  <c r="BZ22" i="13" a="1"/>
  <c r="BZ22" i="13" s="1"/>
  <c r="CF22" i="13" s="1"/>
  <c r="R22" i="13" s="1"/>
  <c r="CP96" i="13" a="1"/>
  <c r="CP96" i="13" s="1"/>
  <c r="CP92" i="13" a="1"/>
  <c r="CP92" i="13" s="1"/>
  <c r="CX121" i="13" a="1"/>
  <c r="CX121" i="13" s="1"/>
  <c r="BV116" i="13" a="1"/>
  <c r="BV116" i="13" s="1"/>
  <c r="BT118" i="13"/>
  <c r="BU118" i="13" s="1"/>
  <c r="BV118" i="13" s="1" a="1"/>
  <c r="BV118" i="13" s="1"/>
  <c r="CD25" i="13" a="1"/>
  <c r="CD25" i="13" s="1"/>
  <c r="BV30" i="13" a="1"/>
  <c r="BV30" i="13" s="1"/>
  <c r="CR65" i="13"/>
  <c r="CS65" i="13" s="1"/>
  <c r="CV78" i="13"/>
  <c r="CW78" i="13" s="1"/>
  <c r="CT59" i="13" a="1"/>
  <c r="CT59" i="13" s="1"/>
  <c r="CJ118" i="13"/>
  <c r="CK118" i="13" s="1"/>
  <c r="CL118" i="13" s="1" a="1"/>
  <c r="CL118" i="13" s="1"/>
  <c r="CL91" i="13" a="1"/>
  <c r="CL91" i="13" s="1"/>
  <c r="CT71" i="13" a="1"/>
  <c r="CT71" i="13" s="1"/>
  <c r="CT34" i="13" a="1"/>
  <c r="CT34" i="13" s="1"/>
  <c r="BV24" i="13" a="1"/>
  <c r="BV24" i="13" s="1"/>
  <c r="BX70" i="13"/>
  <c r="BY70" i="13" s="1"/>
  <c r="CP69" i="13" a="1"/>
  <c r="CP69" i="13" s="1"/>
  <c r="CJ84" i="13"/>
  <c r="CK84" i="13" s="1"/>
  <c r="CL84" i="13" s="1" a="1"/>
  <c r="CL84" i="13" s="1"/>
  <c r="CV112" i="13"/>
  <c r="CW112" i="13" s="1"/>
  <c r="CY112" i="13" s="1" a="1"/>
  <c r="CY112" i="13" s="1"/>
  <c r="CX59" i="13" a="1"/>
  <c r="CX59" i="13" s="1"/>
  <c r="BV22" i="13" a="1"/>
  <c r="BV22" i="13" s="1"/>
  <c r="CP119" i="13" a="1"/>
  <c r="CP119" i="13" s="1"/>
  <c r="CV80" i="13"/>
  <c r="CW80" i="13" s="1"/>
  <c r="CY80" i="13" s="1" a="1"/>
  <c r="CY80" i="13" s="1"/>
  <c r="CP102" i="13" a="1"/>
  <c r="CP102" i="13" s="1"/>
  <c r="CR118" i="13"/>
  <c r="CS118" i="13" s="1"/>
  <c r="BP115" i="13"/>
  <c r="BQ115" i="13" s="1"/>
  <c r="BR115" i="13" s="1" a="1"/>
  <c r="BR115" i="13" s="1"/>
  <c r="BT106" i="13"/>
  <c r="BU106" i="13" s="1"/>
  <c r="BV106" i="13" s="1" a="1"/>
  <c r="BV106" i="13" s="1"/>
  <c r="BX116" i="13"/>
  <c r="BY116" i="13" s="1"/>
  <c r="CD116" i="13" s="1" a="1"/>
  <c r="CD116" i="13" s="1"/>
  <c r="BV25" i="13" a="1"/>
  <c r="BV25" i="13" s="1"/>
  <c r="CP100" i="13" a="1"/>
  <c r="CP100" i="13" s="1"/>
  <c r="CB101" i="13"/>
  <c r="CC101" i="13" s="1"/>
  <c r="BV105" i="13" a="1"/>
  <c r="BV105" i="13" s="1"/>
  <c r="CN74" i="13"/>
  <c r="CO74" i="13" s="1"/>
  <c r="CT74" i="13" s="1" a="1"/>
  <c r="CT74" i="13" s="1"/>
  <c r="CR101" i="13"/>
  <c r="CS101" i="13" s="1"/>
  <c r="CT101" i="13" s="1" a="1"/>
  <c r="CT101" i="13" s="1"/>
  <c r="BV39" i="13" a="1"/>
  <c r="BV39" i="13" s="1"/>
  <c r="CF39" i="13" s="1"/>
  <c r="R39" i="13" s="1"/>
  <c r="BZ77" i="13" a="1"/>
  <c r="BZ77" i="13" s="1"/>
  <c r="BV34" i="13" a="1"/>
  <c r="BV34" i="13" s="1"/>
  <c r="CN70" i="13"/>
  <c r="CO70" i="13" s="1"/>
  <c r="BV74" i="13" a="1"/>
  <c r="BV74" i="13" s="1"/>
  <c r="CP25" i="13" a="1"/>
  <c r="CP25" i="13" s="1"/>
  <c r="CV66" i="13"/>
  <c r="CW66" i="13" s="1"/>
  <c r="CB71" i="13"/>
  <c r="CC71" i="13" s="1"/>
  <c r="CE71" i="13" s="1" a="1"/>
  <c r="CE71" i="13" s="1"/>
  <c r="BZ69" i="13" a="1"/>
  <c r="BZ69" i="13" s="1"/>
  <c r="BP101" i="13"/>
  <c r="BQ101" i="13" s="1"/>
  <c r="BR101" i="13" s="1" a="1"/>
  <c r="BR101" i="13" s="1"/>
  <c r="BP112" i="13"/>
  <c r="BQ112" i="13" s="1"/>
  <c r="BR112" i="13" s="1" a="1"/>
  <c r="BR112" i="13" s="1"/>
  <c r="CR80" i="13"/>
  <c r="CS80" i="13" s="1"/>
  <c r="CD54" i="13" a="1"/>
  <c r="CD54" i="13" s="1"/>
  <c r="BZ43" i="13" a="1"/>
  <c r="BZ43" i="13" s="1"/>
  <c r="CB83" i="13"/>
  <c r="CC83" i="13" s="1"/>
  <c r="CR79" i="13"/>
  <c r="CS79" i="13" s="1"/>
  <c r="BT97" i="13"/>
  <c r="BU97" i="13" s="1"/>
  <c r="CJ106" i="13"/>
  <c r="CK106" i="13" s="1"/>
  <c r="CL106" i="13" s="1" a="1"/>
  <c r="CL106" i="13" s="1"/>
  <c r="CR119" i="13"/>
  <c r="CS119" i="13" s="1"/>
  <c r="CX119" i="13" s="1" a="1"/>
  <c r="CX119" i="13" s="1"/>
  <c r="CE25" i="13" a="1"/>
  <c r="CE25" i="13" s="1"/>
  <c r="CN112" i="13"/>
  <c r="CO112" i="13" s="1"/>
  <c r="CP88" i="13" a="1"/>
  <c r="CP88" i="13" s="1"/>
  <c r="BZ57" i="13" a="1"/>
  <c r="BZ57" i="13" s="1"/>
  <c r="CP38" i="13" a="1"/>
  <c r="CP38" i="13" s="1"/>
  <c r="BZ35" i="13" a="1"/>
  <c r="BZ35" i="13" s="1"/>
  <c r="BZ48" i="13" a="1"/>
  <c r="BZ48" i="13" s="1"/>
  <c r="BV58" i="13" a="1"/>
  <c r="BV58" i="13" s="1"/>
  <c r="CJ71" i="13"/>
  <c r="CK71" i="13" s="1"/>
  <c r="CL71" i="13" s="1" a="1"/>
  <c r="CL71" i="13" s="1"/>
  <c r="CR70" i="13"/>
  <c r="CS70" i="13" s="1"/>
  <c r="CX70" i="13" s="1" a="1"/>
  <c r="CX70" i="13" s="1"/>
  <c r="BP70" i="13"/>
  <c r="BQ70" i="13" s="1"/>
  <c r="BR70" i="13" s="1" a="1"/>
  <c r="BR70" i="13" s="1"/>
  <c r="BV38" i="13" a="1"/>
  <c r="BV38" i="13" s="1"/>
  <c r="CJ66" i="13"/>
  <c r="CK66" i="13" s="1"/>
  <c r="CL66" i="13" s="1" a="1"/>
  <c r="CL66" i="13" s="1"/>
  <c r="BZ27" i="13" a="1"/>
  <c r="BZ27" i="13" s="1"/>
  <c r="BV44" i="13" a="1"/>
  <c r="BV44" i="13" s="1"/>
  <c r="CJ101" i="13"/>
  <c r="CK101" i="13" s="1"/>
  <c r="CL101" i="13" s="1" a="1"/>
  <c r="CL101" i="13" s="1"/>
  <c r="BX95" i="13"/>
  <c r="BY95" i="13" s="1"/>
  <c r="CP56" i="13" a="1"/>
  <c r="CP56" i="13" s="1"/>
  <c r="BT101" i="13"/>
  <c r="BU101" i="13" s="1"/>
  <c r="BV101" i="13" s="1" a="1"/>
  <c r="BV101" i="13" s="1"/>
  <c r="BT83" i="13"/>
  <c r="BU83" i="13" s="1"/>
  <c r="CJ81" i="13"/>
  <c r="CK81" i="13" s="1"/>
  <c r="CL81" i="13" s="1" a="1"/>
  <c r="CL81" i="13" s="1"/>
  <c r="CV116" i="13"/>
  <c r="CW116" i="13" s="1"/>
  <c r="CX116" i="13" s="1" a="1"/>
  <c r="CX116" i="13" s="1"/>
  <c r="CX35" i="13" a="1"/>
  <c r="CX35" i="13" s="1"/>
  <c r="CT121" i="13" a="1"/>
  <c r="CT121" i="13" s="1"/>
  <c r="BV56" i="13" a="1"/>
  <c r="BV56" i="13" s="1"/>
  <c r="BV104" i="13" a="1"/>
  <c r="BV104" i="13" s="1"/>
  <c r="CT43" i="13" a="1"/>
  <c r="CT43" i="13" s="1"/>
  <c r="CJ95" i="13"/>
  <c r="CK95" i="13" s="1"/>
  <c r="CL95" i="13" s="1" a="1"/>
  <c r="CL95" i="13" s="1"/>
  <c r="CL94" i="13" a="1"/>
  <c r="CL94" i="13" s="1"/>
  <c r="BZ47" i="13" a="1"/>
  <c r="BZ47" i="13" s="1"/>
  <c r="CR76" i="13"/>
  <c r="CS76" i="13" s="1"/>
  <c r="CT41" i="13" a="1"/>
  <c r="CT41" i="13" s="1"/>
  <c r="BV60" i="13" a="1"/>
  <c r="BV60" i="13" s="1"/>
  <c r="BZ56" i="13" a="1"/>
  <c r="BZ56" i="13" s="1"/>
  <c r="BX76" i="13"/>
  <c r="BY76" i="13" s="1"/>
  <c r="BZ89" i="13" a="1"/>
  <c r="BZ89" i="13" s="1"/>
  <c r="CJ120" i="13"/>
  <c r="CK120" i="13" s="1"/>
  <c r="CL120" i="13" s="1" a="1"/>
  <c r="CL120" i="13" s="1"/>
  <c r="CJ61" i="13"/>
  <c r="CK61" i="13" s="1"/>
  <c r="CL61" i="13" s="1" a="1"/>
  <c r="CL61" i="13" s="1"/>
  <c r="CT115" i="13" a="1"/>
  <c r="CT115" i="13" s="1"/>
  <c r="CX58" i="13" a="1"/>
  <c r="CX58" i="13" s="1"/>
  <c r="CD35" i="13" a="1"/>
  <c r="CD35" i="13" s="1"/>
  <c r="BP95" i="13"/>
  <c r="BQ95" i="13" s="1"/>
  <c r="BR95" i="13" s="1" a="1"/>
  <c r="BR95" i="13" s="1"/>
  <c r="BV102" i="13" a="1"/>
  <c r="BV102" i="13" s="1"/>
  <c r="CF102" i="13" s="1"/>
  <c r="R102" i="13" s="1"/>
  <c r="CX91" i="13" a="1"/>
  <c r="CX91" i="13" s="1"/>
  <c r="CP61" i="13" a="1"/>
  <c r="CP61" i="13" s="1"/>
  <c r="CB84" i="13"/>
  <c r="CC84" i="13" s="1"/>
  <c r="BZ28" i="13" a="1"/>
  <c r="BZ28" i="13" s="1"/>
  <c r="CN84" i="13"/>
  <c r="CO84" i="13" s="1"/>
  <c r="BV53" i="13" a="1"/>
  <c r="BV53" i="13" s="1"/>
  <c r="BX61" i="13"/>
  <c r="BY61" i="13" s="1"/>
  <c r="BZ23" i="13" a="1"/>
  <c r="BZ23" i="13" s="1"/>
  <c r="BV93" i="13" a="1"/>
  <c r="BV93" i="13" s="1"/>
  <c r="CP105" i="13" a="1"/>
  <c r="CP105" i="13" s="1"/>
  <c r="BV86" i="13" a="1"/>
  <c r="BV86" i="13" s="1"/>
  <c r="BP120" i="13"/>
  <c r="BQ120" i="13" s="1"/>
  <c r="BR120" i="13" s="1" a="1"/>
  <c r="BR120" i="13" s="1"/>
  <c r="BP61" i="13"/>
  <c r="BQ61" i="13" s="1"/>
  <c r="BR61" i="13" s="1" a="1"/>
  <c r="BR61" i="13" s="1"/>
  <c r="CN103" i="13"/>
  <c r="CO103" i="13" s="1"/>
  <c r="CP103" i="13" s="1" a="1"/>
  <c r="CP103" i="13" s="1"/>
  <c r="CT86" i="13" a="1"/>
  <c r="CT86" i="13" s="1"/>
  <c r="CR106" i="13"/>
  <c r="CS106" i="13" s="1"/>
  <c r="CT106" i="13" s="1" a="1"/>
  <c r="CT106" i="13" s="1"/>
  <c r="CB73" i="13"/>
  <c r="CC73" i="13" s="1"/>
  <c r="BX106" i="13"/>
  <c r="BY106" i="13" s="1"/>
  <c r="BX86" i="13"/>
  <c r="BY86" i="13" s="1"/>
  <c r="CY119" i="13" a="1"/>
  <c r="CY119" i="13" s="1"/>
  <c r="CX81" i="13" a="1"/>
  <c r="CX81" i="13" s="1"/>
  <c r="CY81" i="13" a="1"/>
  <c r="CY81" i="13" s="1"/>
  <c r="CY100" i="13" a="1"/>
  <c r="CY100" i="13" s="1"/>
  <c r="CZ100" i="13" s="1"/>
  <c r="Z100" i="13" s="1"/>
  <c r="CX100" i="13" a="1"/>
  <c r="CX100" i="13" s="1"/>
  <c r="CT100" i="13" a="1"/>
  <c r="CT100" i="13" s="1"/>
  <c r="CE66" i="13" a="1"/>
  <c r="CE66" i="13" s="1"/>
  <c r="CD66" i="13" a="1"/>
  <c r="CD66" i="13" s="1"/>
  <c r="CY66" i="13" a="1"/>
  <c r="CY66" i="13" s="1"/>
  <c r="CE109" i="13" a="1"/>
  <c r="CE109" i="13" s="1"/>
  <c r="CY67" i="13" a="1"/>
  <c r="CY67" i="13" s="1"/>
  <c r="CE83" i="13" a="1"/>
  <c r="CE83" i="13" s="1"/>
  <c r="CD119" i="13" a="1"/>
  <c r="CD119" i="13" s="1"/>
  <c r="CE119" i="13" a="1"/>
  <c r="CE119" i="13" s="1"/>
  <c r="CE67" i="13" a="1"/>
  <c r="CE67" i="13" s="1"/>
  <c r="CP112" i="13" a="1"/>
  <c r="CP112" i="13" s="1"/>
  <c r="BV71" i="13" a="1"/>
  <c r="BV71" i="13" s="1"/>
  <c r="BZ95" i="13" a="1"/>
  <c r="BZ95" i="13" s="1"/>
  <c r="CY115" i="13" a="1"/>
  <c r="CY115" i="13" s="1"/>
  <c r="CX115" i="13" a="1"/>
  <c r="CX115" i="13" s="1"/>
  <c r="BV119" i="13" a="1"/>
  <c r="BV119" i="13" s="1"/>
  <c r="CX68" i="13" a="1"/>
  <c r="CX68" i="13" s="1"/>
  <c r="CY68" i="13" a="1"/>
  <c r="CY68" i="13" s="1"/>
  <c r="CE78" i="13" a="1"/>
  <c r="CE78" i="13" s="1"/>
  <c r="CY70" i="13" a="1"/>
  <c r="CY70" i="13" s="1"/>
  <c r="BV84" i="13" a="1"/>
  <c r="BV84" i="13" s="1"/>
  <c r="BV100" i="13" a="1"/>
  <c r="BV100" i="13" s="1"/>
  <c r="CY117" i="13" a="1"/>
  <c r="CY117" i="13" s="1"/>
  <c r="CE97" i="13" a="1"/>
  <c r="CE97" i="13" s="1"/>
  <c r="CD86" i="13" a="1"/>
  <c r="CD86" i="13" s="1"/>
  <c r="CE86" i="13" a="1"/>
  <c r="CE86" i="13" s="1"/>
  <c r="CY113" i="13" a="1"/>
  <c r="CY113" i="13" s="1"/>
  <c r="CX113" i="13" a="1"/>
  <c r="CX113" i="13" s="1"/>
  <c r="CE116" i="13" a="1"/>
  <c r="CE116" i="13" s="1"/>
  <c r="CY71" i="13" a="1"/>
  <c r="CY71" i="13" s="1"/>
  <c r="CX71" i="13" a="1"/>
  <c r="CX71" i="13" s="1"/>
  <c r="CY78" i="13" a="1"/>
  <c r="CY78" i="13" s="1"/>
  <c r="CY111" i="13" a="1"/>
  <c r="CY111" i="13" s="1"/>
  <c r="CX111" i="13" a="1"/>
  <c r="CX111" i="13" s="1"/>
  <c r="CX86" i="13" a="1"/>
  <c r="CX86" i="13" s="1"/>
  <c r="CY86" i="13" a="1"/>
  <c r="CY86" i="13" s="1"/>
  <c r="CE100" i="13" a="1"/>
  <c r="CE100" i="13" s="1"/>
  <c r="CD100" i="13" a="1"/>
  <c r="CD100" i="13" s="1"/>
  <c r="CE84" i="13" a="1"/>
  <c r="CE84" i="13" s="1"/>
  <c r="CY62" i="13" a="1"/>
  <c r="CY62" i="13" s="1"/>
  <c r="CY73" i="13" a="1"/>
  <c r="CY73" i="13" s="1"/>
  <c r="CE69" i="13" a="1"/>
  <c r="CE69" i="13" s="1"/>
  <c r="CD69" i="13" a="1"/>
  <c r="CD69" i="13" s="1"/>
  <c r="CE118" i="13" a="1"/>
  <c r="CE118" i="13" s="1"/>
  <c r="CY106" i="13" a="1"/>
  <c r="CY106" i="13" s="1"/>
  <c r="CX106" i="13" a="1"/>
  <c r="CX106" i="13" s="1"/>
  <c r="CE73" i="13" a="1"/>
  <c r="CE73" i="13" s="1"/>
  <c r="CE113" i="13" a="1"/>
  <c r="CE113" i="13" s="1"/>
  <c r="BZ86" i="13" a="1"/>
  <c r="BZ86" i="13" s="1"/>
  <c r="CD22" i="13" a="1"/>
  <c r="CD22" i="13" s="1"/>
  <c r="CE22" i="13" a="1"/>
  <c r="CE22" i="13" s="1"/>
  <c r="BV31" i="13" a="1"/>
  <c r="BV31" i="13" s="1"/>
  <c r="BP78" i="13"/>
  <c r="BQ78" i="13" s="1"/>
  <c r="BR78" i="13" s="1" a="1"/>
  <c r="BR78" i="13" s="1"/>
  <c r="BT61" i="13"/>
  <c r="BU61" i="13" s="1"/>
  <c r="BV61" i="13" s="1" a="1"/>
  <c r="BV61" i="13" s="1"/>
  <c r="BX73" i="13"/>
  <c r="BY73" i="13" s="1"/>
  <c r="CJ74" i="13"/>
  <c r="CK74" i="13" s="1"/>
  <c r="CL74" i="13" s="1" a="1"/>
  <c r="CL74" i="13" s="1"/>
  <c r="CX41" i="13" a="1"/>
  <c r="CX41" i="13" s="1"/>
  <c r="CY41" i="13" a="1"/>
  <c r="CY41" i="13" s="1"/>
  <c r="CR75" i="13"/>
  <c r="CS75" i="13" s="1"/>
  <c r="CT75" i="13" s="1" a="1"/>
  <c r="CT75" i="13" s="1"/>
  <c r="CR84" i="13"/>
  <c r="CS84" i="13" s="1"/>
  <c r="CT84" i="13" s="1" a="1"/>
  <c r="CT84" i="13" s="1"/>
  <c r="BX78" i="13"/>
  <c r="BY78" i="13" s="1"/>
  <c r="CD78" i="13" s="1" a="1"/>
  <c r="CD78" i="13" s="1"/>
  <c r="BR40" i="13" a="1"/>
  <c r="BR40" i="13" s="1"/>
  <c r="BV40" i="13" a="1"/>
  <c r="BV40" i="13" s="1"/>
  <c r="CB68" i="13"/>
  <c r="CC68" i="13" s="1"/>
  <c r="BP62" i="13"/>
  <c r="BQ62" i="13" s="1"/>
  <c r="BR62" i="13" s="1" a="1"/>
  <c r="BR62" i="13" s="1"/>
  <c r="BX67" i="13"/>
  <c r="BY67" i="13" s="1"/>
  <c r="BZ67" i="13" s="1" a="1"/>
  <c r="BZ67" i="13" s="1"/>
  <c r="CT46" i="13" a="1"/>
  <c r="CT46" i="13" s="1"/>
  <c r="CP36" i="13" a="1"/>
  <c r="CP36" i="13" s="1"/>
  <c r="CR61" i="13"/>
  <c r="CS61" i="13" s="1"/>
  <c r="CT61" i="13" s="1" a="1"/>
  <c r="CT61" i="13" s="1"/>
  <c r="CN73" i="13"/>
  <c r="CO73" i="13" s="1"/>
  <c r="CX90" i="13" a="1"/>
  <c r="CX90" i="13" s="1"/>
  <c r="CY90" i="13" a="1"/>
  <c r="CY90" i="13" s="1"/>
  <c r="CN72" i="13"/>
  <c r="CO72" i="13" s="1"/>
  <c r="BX80" i="13"/>
  <c r="BY80" i="13" s="1"/>
  <c r="BZ80" i="13" s="1" a="1"/>
  <c r="BZ80" i="13" s="1"/>
  <c r="CJ85" i="13"/>
  <c r="CK85" i="13" s="1"/>
  <c r="CL85" i="13" s="1" a="1"/>
  <c r="CL85" i="13" s="1"/>
  <c r="CE81" i="13" a="1"/>
  <c r="CE81" i="13" s="1"/>
  <c r="CN78" i="13"/>
  <c r="CO78" i="13" s="1"/>
  <c r="BP107" i="13"/>
  <c r="BQ107" i="13" s="1"/>
  <c r="BR107" i="13" s="1" a="1"/>
  <c r="BR107" i="13" s="1"/>
  <c r="CT32" i="13" a="1"/>
  <c r="CT32" i="13" s="1"/>
  <c r="BT103" i="13"/>
  <c r="BU103" i="13" s="1"/>
  <c r="BV103" i="13" s="1" a="1"/>
  <c r="BV103" i="13" s="1"/>
  <c r="BP79" i="13"/>
  <c r="BQ79" i="13" s="1"/>
  <c r="BR79" i="13" s="1" a="1"/>
  <c r="BR79" i="13" s="1"/>
  <c r="BT120" i="13"/>
  <c r="BU120" i="13" s="1"/>
  <c r="CN108" i="13"/>
  <c r="CO108" i="13" s="1"/>
  <c r="CP108" i="13" s="1" a="1"/>
  <c r="CP108" i="13" s="1"/>
  <c r="BZ51" i="13" a="1"/>
  <c r="BZ51" i="13" s="1"/>
  <c r="CY102" i="13" a="1"/>
  <c r="CY102" i="13" s="1"/>
  <c r="CX102" i="13" a="1"/>
  <c r="CX102" i="13" s="1"/>
  <c r="BX111" i="13"/>
  <c r="BY111" i="13" s="1"/>
  <c r="BZ111" i="13" s="1" a="1"/>
  <c r="BZ111" i="13" s="1"/>
  <c r="CN111" i="13"/>
  <c r="CO111" i="13" s="1"/>
  <c r="BP111" i="13"/>
  <c r="BQ111" i="13" s="1"/>
  <c r="BR111" i="13" s="1" a="1"/>
  <c r="BR111" i="13" s="1"/>
  <c r="CJ111" i="13"/>
  <c r="CK111" i="13" s="1"/>
  <c r="CL111" i="13" s="1" a="1"/>
  <c r="CL111" i="13" s="1"/>
  <c r="CN114" i="13"/>
  <c r="CO114" i="13" s="1"/>
  <c r="CY36" i="13" a="1"/>
  <c r="CY36" i="13" s="1"/>
  <c r="CX36" i="13" a="1"/>
  <c r="CX36" i="13" s="1"/>
  <c r="CB111" i="13"/>
  <c r="CC111" i="13" s="1"/>
  <c r="CB63" i="13"/>
  <c r="CC63" i="13" s="1"/>
  <c r="CB120" i="13"/>
  <c r="CC120" i="13" s="1"/>
  <c r="CV95" i="13"/>
  <c r="CW95" i="13" s="1"/>
  <c r="CR69" i="13"/>
  <c r="CS69" i="13" s="1"/>
  <c r="CT69" i="13" s="1" a="1"/>
  <c r="CT69" i="13" s="1"/>
  <c r="CP58" i="13" a="1"/>
  <c r="CP58" i="13" s="1"/>
  <c r="CZ58" i="13" s="1"/>
  <c r="Z58" i="13" s="1"/>
  <c r="BV94" i="13" a="1"/>
  <c r="BV94" i="13" s="1"/>
  <c r="CF94" i="13" s="1"/>
  <c r="R94" i="13" s="1"/>
  <c r="CN95" i="13"/>
  <c r="CO95" i="13" s="1"/>
  <c r="CR114" i="13"/>
  <c r="CS114" i="13" s="1"/>
  <c r="CY92" i="13" a="1"/>
  <c r="CY92" i="13" s="1"/>
  <c r="CX92" i="13" a="1"/>
  <c r="CX92" i="13" s="1"/>
  <c r="CB114" i="13"/>
  <c r="CC114" i="13" s="1"/>
  <c r="BV87" i="13" a="1"/>
  <c r="BV87" i="13" s="1"/>
  <c r="CJ82" i="13"/>
  <c r="CK82" i="13" s="1"/>
  <c r="CL82" i="13" s="1" a="1"/>
  <c r="CL82" i="13" s="1"/>
  <c r="CX94" i="13" a="1"/>
  <c r="CX94" i="13" s="1"/>
  <c r="CD28" i="13" a="1"/>
  <c r="CD28" i="13" s="1"/>
  <c r="CE28" i="13" a="1"/>
  <c r="CE28" i="13" s="1"/>
  <c r="CT113" i="13" a="1"/>
  <c r="CT113" i="13" s="1"/>
  <c r="CT45" i="13" a="1"/>
  <c r="CT45" i="13" s="1"/>
  <c r="CJ73" i="13"/>
  <c r="CK73" i="13" s="1"/>
  <c r="CL73" i="13" s="1" a="1"/>
  <c r="CL73" i="13" s="1"/>
  <c r="CN82" i="13"/>
  <c r="CO82" i="13" s="1"/>
  <c r="BX82" i="13"/>
  <c r="BY82" i="13" s="1"/>
  <c r="CY46" i="13" a="1"/>
  <c r="CY46" i="13" s="1"/>
  <c r="CX46" i="13" a="1"/>
  <c r="CX46" i="13" s="1"/>
  <c r="CY49" i="13" a="1"/>
  <c r="CY49" i="13" s="1"/>
  <c r="CX49" i="13" a="1"/>
  <c r="CX49" i="13" s="1"/>
  <c r="BX99" i="13"/>
  <c r="BY99" i="13" s="1"/>
  <c r="CX54" i="13" a="1"/>
  <c r="CX54" i="13" s="1"/>
  <c r="BV32" i="13" a="1"/>
  <c r="BV32" i="13" s="1"/>
  <c r="CJ67" i="13"/>
  <c r="CK67" i="13" s="1"/>
  <c r="CL67" i="13" s="1" a="1"/>
  <c r="CL67" i="13" s="1"/>
  <c r="CD104" i="13" a="1"/>
  <c r="CD104" i="13" s="1"/>
  <c r="CE104" i="13" a="1"/>
  <c r="CE104" i="13" s="1"/>
  <c r="CJ80" i="13"/>
  <c r="CK80" i="13" s="1"/>
  <c r="CL80" i="13" s="1" a="1"/>
  <c r="CL80" i="13" s="1"/>
  <c r="CT111" i="13" a="1"/>
  <c r="CT111" i="13" s="1"/>
  <c r="CD26" i="13" a="1"/>
  <c r="CD26" i="13" s="1"/>
  <c r="CE26" i="13" a="1"/>
  <c r="CE26" i="13" s="1"/>
  <c r="CX110" i="13" a="1"/>
  <c r="CX110" i="13" s="1"/>
  <c r="CY110" i="13" a="1"/>
  <c r="CY110" i="13" s="1"/>
  <c r="CX104" i="13" a="1"/>
  <c r="CX104" i="13" s="1"/>
  <c r="CY104" i="13" a="1"/>
  <c r="CY104" i="13" s="1"/>
  <c r="CN117" i="13"/>
  <c r="CO117" i="13" s="1"/>
  <c r="BX107" i="13"/>
  <c r="BY107" i="13" s="1"/>
  <c r="BZ116" i="13" a="1"/>
  <c r="BZ116" i="13" s="1"/>
  <c r="CP57" i="13" a="1"/>
  <c r="CP57" i="13" s="1"/>
  <c r="CE105" i="13" a="1"/>
  <c r="CE105" i="13" s="1"/>
  <c r="CP110" i="13" a="1"/>
  <c r="CP110" i="13" s="1"/>
  <c r="BZ104" i="13" a="1"/>
  <c r="BZ104" i="13" s="1"/>
  <c r="CP121" i="13" a="1"/>
  <c r="CP121" i="13" s="1"/>
  <c r="CP31" i="13" a="1"/>
  <c r="CP31" i="13" s="1"/>
  <c r="CE59" i="13" a="1"/>
  <c r="CE59" i="13" s="1"/>
  <c r="CD59" i="13" a="1"/>
  <c r="CD59" i="13" s="1"/>
  <c r="CY103" i="13" a="1"/>
  <c r="CY103" i="13" s="1"/>
  <c r="CN65" i="13"/>
  <c r="CO65" i="13" s="1"/>
  <c r="CY87" i="13" a="1"/>
  <c r="CY87" i="13" s="1"/>
  <c r="CX87" i="13" a="1"/>
  <c r="CX87" i="13" s="1"/>
  <c r="CX42" i="13" a="1"/>
  <c r="CX42" i="13" s="1"/>
  <c r="CY42" i="13" a="1"/>
  <c r="CY42" i="13" s="1"/>
  <c r="CY28" i="13" a="1"/>
  <c r="CY28" i="13" s="1"/>
  <c r="CX28" i="13" a="1"/>
  <c r="CX28" i="13" s="1"/>
  <c r="BZ34" i="13" a="1"/>
  <c r="BZ34" i="13" s="1"/>
  <c r="CL30" i="13" a="1"/>
  <c r="CL30" i="13" s="1"/>
  <c r="CP30" i="13" a="1"/>
  <c r="CP30" i="13" s="1"/>
  <c r="BV42" i="13" a="1"/>
  <c r="BV42" i="13" s="1"/>
  <c r="CD60" i="13" a="1"/>
  <c r="CD60" i="13" s="1"/>
  <c r="CE60" i="13" a="1"/>
  <c r="CE60" i="13" s="1"/>
  <c r="BV57" i="13" a="1"/>
  <c r="BV57" i="13" s="1"/>
  <c r="CB79" i="13"/>
  <c r="CC79" i="13" s="1"/>
  <c r="CY29" i="13" a="1"/>
  <c r="CY29" i="13" s="1"/>
  <c r="CX29" i="13" a="1"/>
  <c r="CX29" i="13" s="1"/>
  <c r="CE40" i="13" a="1"/>
  <c r="CE40" i="13" s="1"/>
  <c r="CD40" i="13" a="1"/>
  <c r="CD40" i="13" s="1"/>
  <c r="BT62" i="13"/>
  <c r="BU62" i="13" s="1"/>
  <c r="CN64" i="13"/>
  <c r="CO64" i="13" s="1"/>
  <c r="CV84" i="13"/>
  <c r="CW84" i="13" s="1"/>
  <c r="CR78" i="13"/>
  <c r="CS78" i="13" s="1"/>
  <c r="BV49" i="13" a="1"/>
  <c r="BV49" i="13" s="1"/>
  <c r="CV69" i="13"/>
  <c r="CW69" i="13" s="1"/>
  <c r="BX64" i="13"/>
  <c r="BY64" i="13" s="1"/>
  <c r="BZ64" i="13" s="1" a="1"/>
  <c r="BZ64" i="13" s="1"/>
  <c r="CR82" i="13"/>
  <c r="CS82" i="13" s="1"/>
  <c r="CT82" i="13" s="1" a="1"/>
  <c r="CT82" i="13" s="1"/>
  <c r="CF44" i="13"/>
  <c r="R44" i="13" s="1"/>
  <c r="BV52" i="13" a="1"/>
  <c r="BV52" i="13" s="1"/>
  <c r="CF52" i="13" s="1"/>
  <c r="R52" i="13" s="1"/>
  <c r="BP73" i="13"/>
  <c r="BQ73" i="13" s="1"/>
  <c r="BR73" i="13" s="1" a="1"/>
  <c r="BR73" i="13" s="1"/>
  <c r="CR103" i="13"/>
  <c r="CS103" i="13" s="1"/>
  <c r="BV41" i="13" a="1"/>
  <c r="BV41" i="13" s="1"/>
  <c r="CF41" i="13" s="1"/>
  <c r="R41" i="13" s="1"/>
  <c r="CV63" i="13"/>
  <c r="CW63" i="13" s="1"/>
  <c r="BX84" i="13"/>
  <c r="BY84" i="13" s="1"/>
  <c r="BZ84" i="13" s="1" a="1"/>
  <c r="BZ84" i="13" s="1"/>
  <c r="CT90" i="13" a="1"/>
  <c r="CT90" i="13" s="1"/>
  <c r="BZ88" i="13" a="1"/>
  <c r="BZ88" i="13" s="1"/>
  <c r="CD27" i="13" a="1"/>
  <c r="CD27" i="13" s="1"/>
  <c r="CE27" i="13" a="1"/>
  <c r="CE27" i="13" s="1"/>
  <c r="CP48" i="13" a="1"/>
  <c r="CP48" i="13" s="1"/>
  <c r="CZ48" i="13" s="1"/>
  <c r="Z48" i="13" s="1"/>
  <c r="CV61" i="13"/>
  <c r="CW61" i="13" s="1"/>
  <c r="CV65" i="13"/>
  <c r="CW65" i="13" s="1"/>
  <c r="CY89" i="13" a="1"/>
  <c r="CY89" i="13" s="1"/>
  <c r="CX89" i="13" a="1"/>
  <c r="CX89" i="13" s="1"/>
  <c r="BT114" i="13"/>
  <c r="BU114" i="13" s="1"/>
  <c r="CV74" i="13"/>
  <c r="CW74" i="13" s="1"/>
  <c r="CV64" i="13"/>
  <c r="CW64" i="13" s="1"/>
  <c r="BP67" i="13"/>
  <c r="BQ67" i="13" s="1"/>
  <c r="BR67" i="13" s="1" a="1"/>
  <c r="BR67" i="13" s="1"/>
  <c r="CR95" i="13"/>
  <c r="CS95" i="13" s="1"/>
  <c r="CB107" i="13"/>
  <c r="CC107" i="13" s="1"/>
  <c r="CV83" i="13"/>
  <c r="CW83" i="13" s="1"/>
  <c r="BT112" i="13"/>
  <c r="BU112" i="13" s="1"/>
  <c r="BV112" i="13" s="1" a="1"/>
  <c r="BV112" i="13" s="1"/>
  <c r="CP24" i="13" a="1"/>
  <c r="CP24" i="13" s="1"/>
  <c r="CX56" i="13" a="1"/>
  <c r="CX56" i="13" s="1"/>
  <c r="CZ56" i="13" s="1"/>
  <c r="Z56" i="13" s="1"/>
  <c r="BP80" i="13"/>
  <c r="BQ80" i="13" s="1"/>
  <c r="BR80" i="13" s="1" a="1"/>
  <c r="BR80" i="13" s="1"/>
  <c r="BV29" i="13" a="1"/>
  <c r="BV29" i="13" s="1"/>
  <c r="CP44" i="13" a="1"/>
  <c r="CP44" i="13" s="1"/>
  <c r="CP26" i="13" a="1"/>
  <c r="CP26" i="13" s="1"/>
  <c r="CD48" i="13" a="1"/>
  <c r="CD48" i="13" s="1"/>
  <c r="CB70" i="13"/>
  <c r="CC70" i="13" s="1"/>
  <c r="CT98" i="13" a="1"/>
  <c r="CT98" i="13" s="1"/>
  <c r="CZ98" i="13" s="1"/>
  <c r="Z98" i="13" s="1"/>
  <c r="CJ86" i="13"/>
  <c r="CK86" i="13" s="1"/>
  <c r="CL86" i="13" s="1" a="1"/>
  <c r="CL86" i="13" s="1"/>
  <c r="BV110" i="13" a="1"/>
  <c r="BV110" i="13" s="1"/>
  <c r="BT107" i="13"/>
  <c r="BU107" i="13" s="1"/>
  <c r="BV107" i="13" s="1" a="1"/>
  <c r="BV107" i="13" s="1"/>
  <c r="BX115" i="13"/>
  <c r="BY115" i="13" s="1"/>
  <c r="BZ115" i="13" s="1" a="1"/>
  <c r="BZ115" i="13" s="1"/>
  <c r="CX33" i="13" a="1"/>
  <c r="CX33" i="13" s="1"/>
  <c r="CY33" i="13" a="1"/>
  <c r="CY33" i="13" s="1"/>
  <c r="CY22" i="13" a="1"/>
  <c r="CY22" i="13" s="1"/>
  <c r="CX22" i="13" a="1"/>
  <c r="CX22" i="13" s="1"/>
  <c r="CY43" i="13" a="1"/>
  <c r="CY43" i="13" s="1"/>
  <c r="CX43" i="13" a="1"/>
  <c r="CX43" i="13" s="1"/>
  <c r="BV47" i="13" a="1"/>
  <c r="BV47" i="13" s="1"/>
  <c r="BT65" i="13"/>
  <c r="BU65" i="13" s="1"/>
  <c r="BV65" i="13" s="1" a="1"/>
  <c r="BV65" i="13" s="1"/>
  <c r="CN85" i="13"/>
  <c r="CO85" i="13" s="1"/>
  <c r="CP85" i="13" s="1" a="1"/>
  <c r="CP85" i="13" s="1"/>
  <c r="CE89" i="13" a="1"/>
  <c r="CE89" i="13" s="1"/>
  <c r="CD89" i="13" a="1"/>
  <c r="CD89" i="13" s="1"/>
  <c r="CV114" i="13"/>
  <c r="CW114" i="13" s="1"/>
  <c r="BX113" i="13"/>
  <c r="BY113" i="13" s="1"/>
  <c r="BZ113" i="13" s="1" a="1"/>
  <c r="BZ113" i="13" s="1"/>
  <c r="CP33" i="13" a="1"/>
  <c r="CP33" i="13" s="1"/>
  <c r="CP104" i="13" a="1"/>
  <c r="CP104" i="13" s="1"/>
  <c r="CP35" i="13" a="1"/>
  <c r="CP35" i="13" s="1"/>
  <c r="CZ35" i="13" s="1"/>
  <c r="Z35" i="13" s="1"/>
  <c r="CD96" i="13" a="1"/>
  <c r="CD96" i="13" s="1"/>
  <c r="CF96" i="13" s="1"/>
  <c r="R96" i="13" s="1"/>
  <c r="CD42" i="13" a="1"/>
  <c r="CD42" i="13" s="1"/>
  <c r="CE42" i="13" a="1"/>
  <c r="CE42" i="13" s="1"/>
  <c r="CY93" i="13" a="1"/>
  <c r="CY93" i="13" s="1"/>
  <c r="CX93" i="13" a="1"/>
  <c r="CX93" i="13" s="1"/>
  <c r="CV99" i="13"/>
  <c r="CW99" i="13" s="1"/>
  <c r="CJ99" i="13"/>
  <c r="CK99" i="13" s="1"/>
  <c r="CL99" i="13" s="1" a="1"/>
  <c r="CL99" i="13" s="1"/>
  <c r="CR99" i="13"/>
  <c r="CS99" i="13" s="1"/>
  <c r="CN99" i="13"/>
  <c r="CO99" i="13" s="1"/>
  <c r="CE106" i="13" a="1"/>
  <c r="CE106" i="13" s="1"/>
  <c r="CD106" i="13" a="1"/>
  <c r="CD106" i="13" s="1"/>
  <c r="CT116" i="13" a="1"/>
  <c r="CT116" i="13" s="1"/>
  <c r="CB64" i="13"/>
  <c r="CC64" i="13" s="1"/>
  <c r="CV72" i="13"/>
  <c r="CW72" i="13" s="1"/>
  <c r="CB72" i="13"/>
  <c r="CC72" i="13" s="1"/>
  <c r="CJ72" i="13"/>
  <c r="CK72" i="13" s="1"/>
  <c r="CL72" i="13" s="1" a="1"/>
  <c r="CL72" i="13" s="1"/>
  <c r="BP72" i="13"/>
  <c r="BQ72" i="13" s="1"/>
  <c r="BR72" i="13" s="1" a="1"/>
  <c r="BR72" i="13" s="1"/>
  <c r="CY25" i="13" a="1"/>
  <c r="CY25" i="13" s="1"/>
  <c r="CX25" i="13" a="1"/>
  <c r="CX25" i="13" s="1"/>
  <c r="BV46" i="13" a="1"/>
  <c r="BV46" i="13" s="1"/>
  <c r="CR62" i="13"/>
  <c r="CS62" i="13" s="1"/>
  <c r="CX62" i="13" s="1" a="1"/>
  <c r="CX62" i="13" s="1"/>
  <c r="CY45" i="13" a="1"/>
  <c r="CY45" i="13" s="1"/>
  <c r="CX45" i="13" a="1"/>
  <c r="CX45" i="13" s="1"/>
  <c r="BV43" i="13" a="1"/>
  <c r="BV43" i="13" s="1"/>
  <c r="CP40" i="13" a="1"/>
  <c r="CP40" i="13" s="1"/>
  <c r="CY44" i="13" a="1"/>
  <c r="CY44" i="13" s="1"/>
  <c r="CX44" i="13" a="1"/>
  <c r="CX44" i="13" s="1"/>
  <c r="CT52" i="13" a="1"/>
  <c r="CT52" i="13" s="1"/>
  <c r="CX52" i="13" a="1"/>
  <c r="CX52" i="13" s="1"/>
  <c r="CP53" i="13" a="1"/>
  <c r="CP53" i="13" s="1"/>
  <c r="CN76" i="13"/>
  <c r="CO76" i="13" s="1"/>
  <c r="BX65" i="13"/>
  <c r="BY65" i="13" s="1"/>
  <c r="CB82" i="13"/>
  <c r="CC82" i="13" s="1"/>
  <c r="CT27" i="13" a="1"/>
  <c r="CT27" i="13" s="1"/>
  <c r="CV76" i="13"/>
  <c r="CW76" i="13" s="1"/>
  <c r="BT73" i="13"/>
  <c r="BU73" i="13" s="1"/>
  <c r="CB65" i="13"/>
  <c r="CC65" i="13" s="1"/>
  <c r="CR97" i="13"/>
  <c r="CS97" i="13" s="1"/>
  <c r="CV107" i="13"/>
  <c r="CW107" i="13" s="1"/>
  <c r="BZ53" i="13" a="1"/>
  <c r="BZ53" i="13" s="1"/>
  <c r="CV82" i="13"/>
  <c r="CW82" i="13" s="1"/>
  <c r="CV108" i="13"/>
  <c r="CW108" i="13" s="1"/>
  <c r="BX108" i="13"/>
  <c r="BY108" i="13" s="1"/>
  <c r="BT108" i="13"/>
  <c r="BU108" i="13" s="1"/>
  <c r="BZ24" i="13" a="1"/>
  <c r="BZ24" i="13" s="1"/>
  <c r="CF24" i="13" s="1"/>
  <c r="R24" i="13" s="1"/>
  <c r="CP23" i="13" a="1"/>
  <c r="CP23" i="13" s="1"/>
  <c r="CD55" i="13" a="1"/>
  <c r="CD55" i="13" s="1"/>
  <c r="CR83" i="13"/>
  <c r="CS83" i="13" s="1"/>
  <c r="CT83" i="13" s="1" a="1"/>
  <c r="CT83" i="13" s="1"/>
  <c r="CN118" i="13"/>
  <c r="CO118" i="13" s="1"/>
  <c r="CV118" i="13"/>
  <c r="CW118" i="13" s="1"/>
  <c r="CJ83" i="13"/>
  <c r="CK83" i="13" s="1"/>
  <c r="CL83" i="13" s="1" a="1"/>
  <c r="CL83" i="13" s="1"/>
  <c r="BV27" i="13" a="1"/>
  <c r="BV27" i="13" s="1"/>
  <c r="CD92" i="13" a="1"/>
  <c r="CD92" i="13" s="1"/>
  <c r="CE92" i="13" a="1"/>
  <c r="CE92" i="13" s="1"/>
  <c r="CE101" i="13" a="1"/>
  <c r="CE101" i="13" s="1"/>
  <c r="CD101" i="13" a="1"/>
  <c r="CD101" i="13" s="1"/>
  <c r="CB108" i="13"/>
  <c r="CC108" i="13" s="1"/>
  <c r="CB103" i="13"/>
  <c r="CC103" i="13" s="1"/>
  <c r="CT77" i="13" a="1"/>
  <c r="CT77" i="13" s="1"/>
  <c r="CD45" i="13" a="1"/>
  <c r="CD45" i="13" s="1"/>
  <c r="CP55" i="13" a="1"/>
  <c r="CP55" i="13" s="1"/>
  <c r="BX85" i="13"/>
  <c r="BY85" i="13" s="1"/>
  <c r="BT85" i="13"/>
  <c r="BU85" i="13" s="1"/>
  <c r="BV85" i="13" s="1" a="1"/>
  <c r="BV85" i="13" s="1"/>
  <c r="CN97" i="13"/>
  <c r="CO97" i="13" s="1"/>
  <c r="CD33" i="13" a="1"/>
  <c r="CD33" i="13" s="1"/>
  <c r="CE33" i="13" a="1"/>
  <c r="CE33" i="13" s="1"/>
  <c r="CT22" i="13" a="1"/>
  <c r="CT22" i="13" s="1"/>
  <c r="BT68" i="13"/>
  <c r="BU68" i="13" s="1"/>
  <c r="BZ68" i="13" s="1" a="1"/>
  <c r="BZ68" i="13" s="1"/>
  <c r="CX96" i="13" a="1"/>
  <c r="CX96" i="13" s="1"/>
  <c r="CY96" i="13" a="1"/>
  <c r="CY96" i="13" s="1"/>
  <c r="CJ114" i="13"/>
  <c r="CK114" i="13" s="1"/>
  <c r="CL114" i="13" s="1" a="1"/>
  <c r="CL114" i="13" s="1"/>
  <c r="BP113" i="13"/>
  <c r="BQ113" i="13" s="1"/>
  <c r="BR113" i="13" s="1" a="1"/>
  <c r="BR113" i="13" s="1"/>
  <c r="BV55" i="13" a="1"/>
  <c r="BV55" i="13" s="1"/>
  <c r="CN80" i="13"/>
  <c r="CO80" i="13" s="1"/>
  <c r="CP80" i="13" s="1" a="1"/>
  <c r="CP80" i="13" s="1"/>
  <c r="CV85" i="13"/>
  <c r="CW85" i="13" s="1"/>
  <c r="BV121" i="13" a="1"/>
  <c r="BV121" i="13" s="1"/>
  <c r="CX23" i="13" a="1"/>
  <c r="CX23" i="13" s="1"/>
  <c r="CP71" i="13" a="1"/>
  <c r="CP71" i="13" s="1"/>
  <c r="BZ31" i="13" a="1"/>
  <c r="BZ31" i="13" s="1"/>
  <c r="BV28" i="13" a="1"/>
  <c r="BV28" i="13" s="1"/>
  <c r="CN62" i="13"/>
  <c r="CO62" i="13" s="1"/>
  <c r="CT50" i="13" a="1"/>
  <c r="CT50" i="13" s="1"/>
  <c r="CY39" i="13" a="1"/>
  <c r="CY39" i="13" s="1"/>
  <c r="CX39" i="13" a="1"/>
  <c r="CX39" i="13" s="1"/>
  <c r="CR72" i="13"/>
  <c r="CS72" i="13" s="1"/>
  <c r="CT72" i="13" s="1" a="1"/>
  <c r="CT72" i="13" s="1"/>
  <c r="CN79" i="13"/>
  <c r="CO79" i="13" s="1"/>
  <c r="CP79" i="13" s="1" a="1"/>
  <c r="CP79" i="13" s="1"/>
  <c r="BP64" i="13"/>
  <c r="BQ64" i="13" s="1"/>
  <c r="BR64" i="13" s="1" a="1"/>
  <c r="BR64" i="13" s="1"/>
  <c r="CJ70" i="13"/>
  <c r="CK70" i="13" s="1"/>
  <c r="CL70" i="13" s="1" a="1"/>
  <c r="CL70" i="13" s="1"/>
  <c r="CP41" i="13" a="1"/>
  <c r="CP41" i="13" s="1"/>
  <c r="CZ41" i="13" s="1"/>
  <c r="Z41" i="13" s="1"/>
  <c r="CR63" i="13"/>
  <c r="CS63" i="13" s="1"/>
  <c r="CT63" i="13" s="1" a="1"/>
  <c r="CT63" i="13" s="1"/>
  <c r="BP63" i="13"/>
  <c r="BQ63" i="13" s="1"/>
  <c r="BR63" i="13" s="1" a="1"/>
  <c r="BR63" i="13" s="1"/>
  <c r="CJ63" i="13"/>
  <c r="CK63" i="13" s="1"/>
  <c r="CL63" i="13" s="1" a="1"/>
  <c r="CL63" i="13" s="1"/>
  <c r="CY60" i="13" a="1"/>
  <c r="CY60" i="13" s="1"/>
  <c r="CX60" i="13" a="1"/>
  <c r="CX60" i="13" s="1"/>
  <c r="BZ36" i="13" a="1"/>
  <c r="BZ36" i="13" s="1"/>
  <c r="CF36" i="13" s="1"/>
  <c r="R36" i="13" s="1"/>
  <c r="BZ50" i="13" a="1"/>
  <c r="BZ50" i="13" s="1"/>
  <c r="CD53" i="13" a="1"/>
  <c r="CD53" i="13" s="1"/>
  <c r="CE53" i="13" a="1"/>
  <c r="CE53" i="13" s="1"/>
  <c r="BT66" i="13"/>
  <c r="BU66" i="13" s="1"/>
  <c r="BV66" i="13" s="1" a="1"/>
  <c r="BV66" i="13" s="1"/>
  <c r="BX74" i="13"/>
  <c r="BY74" i="13" s="1"/>
  <c r="BZ74" i="13" s="1" a="1"/>
  <c r="BZ74" i="13" s="1"/>
  <c r="CY77" i="13" a="1"/>
  <c r="CY77" i="13" s="1"/>
  <c r="CX77" i="13" a="1"/>
  <c r="CX77" i="13" s="1"/>
  <c r="BZ30" i="13" a="1"/>
  <c r="BZ30" i="13" s="1"/>
  <c r="CF30" i="13" s="1"/>
  <c r="R30" i="13" s="1"/>
  <c r="CP39" i="13" a="1"/>
  <c r="CP39" i="13" s="1"/>
  <c r="CB76" i="13"/>
  <c r="CC76" i="13" s="1"/>
  <c r="CJ65" i="13"/>
  <c r="CK65" i="13" s="1"/>
  <c r="CL65" i="13" s="1" a="1"/>
  <c r="CL65" i="13" s="1"/>
  <c r="CV97" i="13"/>
  <c r="CW97" i="13" s="1"/>
  <c r="CT93" i="13" a="1"/>
  <c r="CT93" i="13" s="1"/>
  <c r="CT40" i="13" a="1"/>
  <c r="CT40" i="13" s="1"/>
  <c r="CP52" i="13" a="1"/>
  <c r="CP52" i="13" s="1"/>
  <c r="CT89" i="13" a="1"/>
  <c r="CT89" i="13" s="1"/>
  <c r="CD93" i="13" a="1"/>
  <c r="CD93" i="13" s="1"/>
  <c r="CE93" i="13" a="1"/>
  <c r="CE93" i="13" s="1"/>
  <c r="BV91" i="13" a="1"/>
  <c r="BV91" i="13" s="1"/>
  <c r="BZ32" i="13" a="1"/>
  <c r="BZ32" i="13" s="1"/>
  <c r="CX34" i="13" a="1"/>
  <c r="CX34" i="13" s="1"/>
  <c r="CT53" i="13" a="1"/>
  <c r="CT53" i="13" s="1"/>
  <c r="CB75" i="13"/>
  <c r="CC75" i="13" s="1"/>
  <c r="BX83" i="13"/>
  <c r="BY83" i="13" s="1"/>
  <c r="BZ83" i="13" s="1" a="1"/>
  <c r="BZ83" i="13" s="1"/>
  <c r="CR112" i="13"/>
  <c r="CS112" i="13" s="1"/>
  <c r="CT112" i="13" s="1" a="1"/>
  <c r="CT112" i="13" s="1"/>
  <c r="BP83" i="13"/>
  <c r="BQ83" i="13" s="1"/>
  <c r="BR83" i="13" s="1" a="1"/>
  <c r="BR83" i="13" s="1"/>
  <c r="CP29" i="13" a="1"/>
  <c r="CP29" i="13" s="1"/>
  <c r="CD51" i="13" a="1"/>
  <c r="CD51" i="13" s="1"/>
  <c r="CE51" i="13" a="1"/>
  <c r="CE51" i="13" s="1"/>
  <c r="BX79" i="13"/>
  <c r="BY79" i="13" s="1"/>
  <c r="CJ68" i="13"/>
  <c r="CK68" i="13" s="1"/>
  <c r="CL68" i="13" s="1" a="1"/>
  <c r="CL68" i="13" s="1"/>
  <c r="CT102" i="13" a="1"/>
  <c r="CT102" i="13" s="1"/>
  <c r="BP108" i="13"/>
  <c r="BQ108" i="13" s="1"/>
  <c r="BR108" i="13" s="1" a="1"/>
  <c r="BR108" i="13" s="1"/>
  <c r="BX117" i="13"/>
  <c r="BY117" i="13" s="1"/>
  <c r="CV101" i="13"/>
  <c r="CW101" i="13" s="1"/>
  <c r="BZ26" i="13" a="1"/>
  <c r="BZ26" i="13" s="1"/>
  <c r="CF26" i="13" s="1"/>
  <c r="R26" i="13" s="1"/>
  <c r="CP42" i="13" a="1"/>
  <c r="CP42" i="13" s="1"/>
  <c r="BV54" i="13" a="1"/>
  <c r="BV54" i="13" s="1"/>
  <c r="CF54" i="13" s="1"/>
  <c r="R54" i="13" s="1"/>
  <c r="CE88" i="13" a="1"/>
  <c r="CE88" i="13" s="1"/>
  <c r="CD88" i="13" a="1"/>
  <c r="CD88" i="13" s="1"/>
  <c r="CJ97" i="13"/>
  <c r="CK97" i="13" s="1"/>
  <c r="CL97" i="13" s="1" a="1"/>
  <c r="CL97" i="13" s="1"/>
  <c r="CD87" i="13" a="1"/>
  <c r="CD87" i="13" s="1"/>
  <c r="CE87" i="13" a="1"/>
  <c r="CE87" i="13" s="1"/>
  <c r="CJ115" i="13"/>
  <c r="CK115" i="13" s="1"/>
  <c r="CL115" i="13" s="1" a="1"/>
  <c r="CL115" i="13" s="1"/>
  <c r="BZ37" i="13" a="1"/>
  <c r="BZ37" i="13" s="1"/>
  <c r="CP87" i="13" a="1"/>
  <c r="CP87" i="13" s="1"/>
  <c r="BT99" i="13"/>
  <c r="BU99" i="13" s="1"/>
  <c r="BV99" i="13" s="1" a="1"/>
  <c r="BV99" i="13" s="1"/>
  <c r="BP114" i="13"/>
  <c r="BQ114" i="13" s="1"/>
  <c r="BR114" i="13" s="1" a="1"/>
  <c r="BR114" i="13" s="1"/>
  <c r="CJ113" i="13"/>
  <c r="CK113" i="13" s="1"/>
  <c r="CL113" i="13" s="1" a="1"/>
  <c r="CL113" i="13" s="1"/>
  <c r="CR67" i="13"/>
  <c r="CS67" i="13" s="1"/>
  <c r="BX118" i="13"/>
  <c r="BY118" i="13" s="1"/>
  <c r="BZ118" i="13" s="1" a="1"/>
  <c r="BZ118" i="13" s="1"/>
  <c r="CD43" i="13" a="1"/>
  <c r="CD43" i="13" s="1"/>
  <c r="BZ110" i="13" a="1"/>
  <c r="BZ110" i="13" s="1"/>
  <c r="CF110" i="13" s="1"/>
  <c r="R110" i="13" s="1"/>
  <c r="CX38" i="13" a="1"/>
  <c r="CX38" i="13" s="1"/>
  <c r="CY38" i="13" a="1"/>
  <c r="CY38" i="13" s="1"/>
  <c r="CE56" i="13" a="1"/>
  <c r="CE56" i="13" s="1"/>
  <c r="CD56" i="13" a="1"/>
  <c r="CD56" i="13" s="1"/>
  <c r="CT60" i="13" a="1"/>
  <c r="CT60" i="13" s="1"/>
  <c r="BZ100" i="13" a="1"/>
  <c r="BZ100" i="13" s="1"/>
  <c r="CE74" i="13" a="1"/>
  <c r="CE74" i="13" s="1"/>
  <c r="CT31" i="13" a="1"/>
  <c r="CT31" i="13" s="1"/>
  <c r="CZ31" i="13" s="1"/>
  <c r="Z31" i="13" s="1"/>
  <c r="CV79" i="13"/>
  <c r="CW79" i="13" s="1"/>
  <c r="BX72" i="13"/>
  <c r="BY72" i="13" s="1"/>
  <c r="BZ72" i="13" s="1" a="1"/>
  <c r="BZ72" i="13" s="1"/>
  <c r="CP34" i="13" a="1"/>
  <c r="CP34" i="13" s="1"/>
  <c r="BT79" i="13"/>
  <c r="BU79" i="13" s="1"/>
  <c r="BV79" i="13" s="1" a="1"/>
  <c r="BV79" i="13" s="1"/>
  <c r="CR73" i="13"/>
  <c r="CS73" i="13" s="1"/>
  <c r="CT73" i="13" s="1" a="1"/>
  <c r="CT73" i="13" s="1"/>
  <c r="CB80" i="13"/>
  <c r="CC80" i="13" s="1"/>
  <c r="BV48" i="13" a="1"/>
  <c r="BV48" i="13" s="1"/>
  <c r="CJ64" i="13"/>
  <c r="CK64" i="13" s="1"/>
  <c r="CL64" i="13" s="1" a="1"/>
  <c r="CL64" i="13" s="1"/>
  <c r="CP47" i="13" a="1"/>
  <c r="CP47" i="13" s="1"/>
  <c r="CB62" i="13"/>
  <c r="CC62" i="13" s="1"/>
  <c r="CT36" i="13" a="1"/>
  <c r="CT36" i="13" s="1"/>
  <c r="BT75" i="13"/>
  <c r="BU75" i="13" s="1"/>
  <c r="BV75" i="13" s="1" a="1"/>
  <c r="BV75" i="13" s="1"/>
  <c r="BT70" i="13"/>
  <c r="BU70" i="13" s="1"/>
  <c r="BV70" i="13" s="1" a="1"/>
  <c r="BV70" i="13" s="1"/>
  <c r="CP90" i="13" a="1"/>
  <c r="CP90" i="13" s="1"/>
  <c r="CY27" i="13" a="1"/>
  <c r="CY27" i="13" s="1"/>
  <c r="CX27" i="13" a="1"/>
  <c r="CX27" i="13" s="1"/>
  <c r="CN68" i="13"/>
  <c r="CO68" i="13" s="1"/>
  <c r="CP68" i="13" s="1" a="1"/>
  <c r="CP68" i="13" s="1"/>
  <c r="CJ76" i="13"/>
  <c r="CK76" i="13" s="1"/>
  <c r="CL76" i="13" s="1" a="1"/>
  <c r="CL76" i="13" s="1"/>
  <c r="CB85" i="13"/>
  <c r="CC85" i="13" s="1"/>
  <c r="BX103" i="13"/>
  <c r="BY103" i="13" s="1"/>
  <c r="BZ103" i="13" s="1" a="1"/>
  <c r="BZ103" i="13" s="1"/>
  <c r="CR64" i="13"/>
  <c r="CS64" i="13" s="1"/>
  <c r="BT117" i="13"/>
  <c r="BU117" i="13" s="1"/>
  <c r="CE32" i="13" a="1"/>
  <c r="CE32" i="13" s="1"/>
  <c r="CD32" i="13" a="1"/>
  <c r="CD32" i="13" s="1"/>
  <c r="CX50" i="13" a="1"/>
  <c r="CX50" i="13" s="1"/>
  <c r="CY50" i="13" a="1"/>
  <c r="CY50" i="13" s="1"/>
  <c r="CJ75" i="13"/>
  <c r="CK75" i="13" s="1"/>
  <c r="CL75" i="13" s="1" a="1"/>
  <c r="CL75" i="13" s="1"/>
  <c r="BX109" i="13"/>
  <c r="BY109" i="13" s="1"/>
  <c r="BZ109" i="13" s="1" a="1"/>
  <c r="BZ109" i="13" s="1"/>
  <c r="CB99" i="13"/>
  <c r="CC99" i="13" s="1"/>
  <c r="BV51" i="13" a="1"/>
  <c r="BV51" i="13" s="1"/>
  <c r="BP68" i="13"/>
  <c r="BQ68" i="13" s="1"/>
  <c r="BR68" i="13" s="1" a="1"/>
  <c r="BR68" i="13" s="1"/>
  <c r="BP117" i="13"/>
  <c r="BQ117" i="13" s="1"/>
  <c r="BR117" i="13" s="1" a="1"/>
  <c r="BR117" i="13" s="1"/>
  <c r="BX97" i="13"/>
  <c r="BY97" i="13" s="1"/>
  <c r="BZ58" i="13" a="1"/>
  <c r="BZ58" i="13" s="1"/>
  <c r="CF58" i="13" s="1"/>
  <c r="R58" i="13" s="1"/>
  <c r="CE57" i="13" a="1"/>
  <c r="CE57" i="13" s="1"/>
  <c r="CD57" i="13" a="1"/>
  <c r="CD57" i="13" s="1"/>
  <c r="BP97" i="13"/>
  <c r="BQ97" i="13" s="1"/>
  <c r="BR97" i="13" s="1" a="1"/>
  <c r="BR97" i="13" s="1"/>
  <c r="CD91" i="13" a="1"/>
  <c r="CD91" i="13" s="1"/>
  <c r="CE91" i="13" a="1"/>
  <c r="CE91" i="13" s="1"/>
  <c r="CB112" i="13"/>
  <c r="CC112" i="13" s="1"/>
  <c r="CD34" i="13" a="1"/>
  <c r="CD34" i="13" s="1"/>
  <c r="CF34" i="13" s="1"/>
  <c r="R34" i="13" s="1"/>
  <c r="CR117" i="13"/>
  <c r="CS117" i="13" s="1"/>
  <c r="CT117" i="13" s="1" a="1"/>
  <c r="CT117" i="13" s="1"/>
  <c r="CR120" i="13"/>
  <c r="CS120" i="13" s="1"/>
  <c r="CT120" i="13" s="1" a="1"/>
  <c r="CT120" i="13" s="1"/>
  <c r="CY37" i="13" a="1"/>
  <c r="CY37" i="13" s="1"/>
  <c r="CX37" i="13" a="1"/>
  <c r="CX37" i="13" s="1"/>
  <c r="BX62" i="13"/>
  <c r="BY62" i="13" s="1"/>
  <c r="BZ62" i="13" s="1" a="1"/>
  <c r="BZ62" i="13" s="1"/>
  <c r="CD77" i="13" a="1"/>
  <c r="CD77" i="13" s="1"/>
  <c r="CE77" i="13" a="1"/>
  <c r="CE77" i="13" s="1"/>
  <c r="CB95" i="13"/>
  <c r="CC95" i="13" s="1"/>
  <c r="CV105" i="13"/>
  <c r="CW105" i="13" s="1"/>
  <c r="BX105" i="13"/>
  <c r="BY105" i="13" s="1"/>
  <c r="BZ105" i="13" s="1" a="1"/>
  <c r="BZ105" i="13" s="1"/>
  <c r="CX55" i="13" a="1"/>
  <c r="CX55" i="13" s="1"/>
  <c r="BV45" i="13" a="1"/>
  <c r="BV45" i="13" s="1"/>
  <c r="CF45" i="13" s="1"/>
  <c r="R45" i="13" s="1"/>
  <c r="CX57" i="13" a="1"/>
  <c r="CX57" i="13" s="1"/>
  <c r="CV120" i="13"/>
  <c r="CW120" i="13" s="1"/>
  <c r="CD37" i="13" a="1"/>
  <c r="CD37" i="13" s="1"/>
  <c r="CT70" i="13" a="1"/>
  <c r="CT70" i="13" s="1"/>
  <c r="CY30" i="13" a="1"/>
  <c r="CY30" i="13" s="1"/>
  <c r="CX30" i="13" a="1"/>
  <c r="CX30" i="13" s="1"/>
  <c r="CF29" i="13"/>
  <c r="R29" i="13" s="1"/>
  <c r="CJ78" i="13"/>
  <c r="CK78" i="13" s="1"/>
  <c r="CL78" i="13" s="1" a="1"/>
  <c r="CL78" i="13" s="1"/>
  <c r="CT28" i="13" a="1"/>
  <c r="CT28" i="13" s="1"/>
  <c r="CZ28" i="13" s="1"/>
  <c r="Z28" i="13" s="1"/>
  <c r="CY24" i="13" a="1"/>
  <c r="CY24" i="13" s="1"/>
  <c r="CX24" i="13" a="1"/>
  <c r="CX24" i="13" s="1"/>
  <c r="CT49" i="13" a="1"/>
  <c r="CT49" i="13" s="1"/>
  <c r="CZ49" i="13" s="1"/>
  <c r="Z49" i="13" s="1"/>
  <c r="CN67" i="13"/>
  <c r="CO67" i="13" s="1"/>
  <c r="BT82" i="13"/>
  <c r="BU82" i="13" s="1"/>
  <c r="BV82" i="13" s="1" a="1"/>
  <c r="BV82" i="13" s="1"/>
  <c r="BT76" i="13"/>
  <c r="BU76" i="13" s="1"/>
  <c r="BV76" i="13" s="1" a="1"/>
  <c r="BV76" i="13" s="1"/>
  <c r="CX40" i="13" a="1"/>
  <c r="CX40" i="13" s="1"/>
  <c r="CY40" i="13" a="1"/>
  <c r="CY40" i="13" s="1"/>
  <c r="CJ62" i="13"/>
  <c r="CK62" i="13" s="1"/>
  <c r="CL62" i="13" s="1" a="1"/>
  <c r="CL62" i="13" s="1"/>
  <c r="CX47" i="13" a="1"/>
  <c r="CX47" i="13" s="1"/>
  <c r="CY47" i="13" a="1"/>
  <c r="CY47" i="13" s="1"/>
  <c r="CV75" i="13"/>
  <c r="CW75" i="13" s="1"/>
  <c r="BV90" i="13" a="1"/>
  <c r="BV90" i="13" s="1"/>
  <c r="BZ60" i="13" a="1"/>
  <c r="BZ60" i="13" s="1"/>
  <c r="BT78" i="13"/>
  <c r="BU78" i="13" s="1"/>
  <c r="CJ107" i="13"/>
  <c r="CK107" i="13" s="1"/>
  <c r="CL107" i="13" s="1" a="1"/>
  <c r="CL107" i="13" s="1"/>
  <c r="CX32" i="13" a="1"/>
  <c r="CX32" i="13" s="1"/>
  <c r="CY32" i="13" a="1"/>
  <c r="CY32" i="13" s="1"/>
  <c r="BZ46" i="13" a="1"/>
  <c r="BZ46" i="13" s="1"/>
  <c r="CD50" i="13" a="1"/>
  <c r="CD50" i="13" s="1"/>
  <c r="CE50" i="13" a="1"/>
  <c r="CE50" i="13" s="1"/>
  <c r="BX120" i="13"/>
  <c r="BY120" i="13" s="1"/>
  <c r="BZ120" i="13" s="1" a="1"/>
  <c r="BZ120" i="13" s="1"/>
  <c r="CD115" i="13" a="1"/>
  <c r="CD115" i="13" s="1"/>
  <c r="CE115" i="13" a="1"/>
  <c r="CE115" i="13" s="1"/>
  <c r="CN107" i="13"/>
  <c r="CO107" i="13" s="1"/>
  <c r="CT51" i="13" a="1"/>
  <c r="CT51" i="13" s="1"/>
  <c r="CV109" i="13"/>
  <c r="CW109" i="13" s="1"/>
  <c r="CJ117" i="13"/>
  <c r="CK117" i="13" s="1"/>
  <c r="CL117" i="13" s="1" a="1"/>
  <c r="CL117" i="13" s="1"/>
  <c r="CD23" i="13" a="1"/>
  <c r="CD23" i="13" s="1"/>
  <c r="CY26" i="13" a="1"/>
  <c r="CY26" i="13" s="1"/>
  <c r="CX26" i="13" a="1"/>
  <c r="CX26" i="13" s="1"/>
  <c r="CP106" i="13" a="1"/>
  <c r="CP106" i="13" s="1"/>
  <c r="CE49" i="13" a="1"/>
  <c r="CE49" i="13" s="1"/>
  <c r="CD49" i="13" a="1"/>
  <c r="CD49" i="13" s="1"/>
  <c r="CP54" i="13" a="1"/>
  <c r="CP54" i="13" s="1"/>
  <c r="CD38" i="13" a="1"/>
  <c r="CD38" i="13" s="1"/>
  <c r="CF38" i="13" s="1"/>
  <c r="R38" i="13" s="1"/>
  <c r="CT37" i="13" a="1"/>
  <c r="CT37" i="13" s="1"/>
  <c r="BV92" i="13" a="1"/>
  <c r="BV92" i="13" s="1"/>
  <c r="CD121" i="13" a="1"/>
  <c r="CD121" i="13" s="1"/>
  <c r="CP59" i="13" a="1"/>
  <c r="CP59" i="13" s="1"/>
  <c r="CB117" i="13"/>
  <c r="CC117" i="13" s="1"/>
  <c r="BZ59" i="13" a="1"/>
  <c r="BZ59" i="13" s="1"/>
  <c r="CX66" i="13" l="1" a="1"/>
  <c r="CX66" i="13" s="1"/>
  <c r="CX80" i="13" a="1"/>
  <c r="CX80" i="13" s="1"/>
  <c r="CP116" i="13" a="1"/>
  <c r="CP116" i="13" s="1"/>
  <c r="BZ340" i="13" a="1"/>
  <c r="BZ340" i="13" s="1"/>
  <c r="BV301" i="13" a="1"/>
  <c r="BV301" i="13" s="1"/>
  <c r="CF375" i="13"/>
  <c r="R375" i="13" s="1"/>
  <c r="CZ216" i="13"/>
  <c r="Z216" i="13" s="1"/>
  <c r="CF280" i="13"/>
  <c r="R280" i="13" s="1"/>
  <c r="AF280" i="13" s="1"/>
  <c r="CZ698" i="13"/>
  <c r="Z698" i="13" s="1"/>
  <c r="CF484" i="13"/>
  <c r="R484" i="13" s="1"/>
  <c r="CZ955" i="13"/>
  <c r="Z955" i="13" s="1"/>
  <c r="CF795" i="13"/>
  <c r="R795" i="13" s="1"/>
  <c r="BV129" i="13" a="1"/>
  <c r="BV129" i="13" s="1"/>
  <c r="CP352" i="13" a="1"/>
  <c r="CP352" i="13" s="1"/>
  <c r="BV299" i="13" a="1"/>
  <c r="BV299" i="13" s="1"/>
  <c r="CT657" i="13" a="1"/>
  <c r="CT657" i="13" s="1"/>
  <c r="CF807" i="13"/>
  <c r="R807" i="13" s="1"/>
  <c r="CP181" i="13" a="1"/>
  <c r="CP181" i="13" s="1"/>
  <c r="CZ416" i="13"/>
  <c r="Z416" i="13" s="1"/>
  <c r="BZ303" i="13" a="1"/>
  <c r="BZ303" i="13" s="1"/>
  <c r="BZ643" i="13" a="1"/>
  <c r="BZ643" i="13" s="1"/>
  <c r="CP675" i="13" a="1"/>
  <c r="CP675" i="13" s="1"/>
  <c r="CP1021" i="13" a="1"/>
  <c r="CP1021" i="13" s="1"/>
  <c r="CF200" i="13"/>
  <c r="R200" i="13" s="1"/>
  <c r="AF200" i="13" s="1"/>
  <c r="CT453" i="13" a="1"/>
  <c r="CT453" i="13" s="1"/>
  <c r="BZ201" i="13" a="1"/>
  <c r="BZ201" i="13" s="1"/>
  <c r="CP826" i="13" a="1"/>
  <c r="CP826" i="13" s="1"/>
  <c r="BV273" i="13" a="1"/>
  <c r="BV273" i="13" s="1"/>
  <c r="CF727" i="13"/>
  <c r="R727" i="13" s="1"/>
  <c r="AF727" i="13" s="1"/>
  <c r="BV861" i="13" a="1"/>
  <c r="BV861" i="13" s="1"/>
  <c r="CZ861" i="13"/>
  <c r="Z861" i="13" s="1"/>
  <c r="CZ485" i="13"/>
  <c r="Z485" i="13" s="1"/>
  <c r="AF485" i="13" s="1"/>
  <c r="CF881" i="13"/>
  <c r="R881" i="13" s="1"/>
  <c r="CP434" i="13" a="1"/>
  <c r="CP434" i="13" s="1"/>
  <c r="CZ434" i="13" s="1"/>
  <c r="Z434" i="13" s="1"/>
  <c r="CT154" i="13" a="1"/>
  <c r="CT154" i="13" s="1"/>
  <c r="CF189" i="13"/>
  <c r="R189" i="13" s="1"/>
  <c r="BV641" i="13" a="1"/>
  <c r="BV641" i="13" s="1"/>
  <c r="AF759" i="13"/>
  <c r="AF805" i="13"/>
  <c r="CP997" i="13" a="1"/>
  <c r="CP997" i="13" s="1"/>
  <c r="CT173" i="13" a="1"/>
  <c r="CT173" i="13" s="1"/>
  <c r="CZ474" i="13"/>
  <c r="Z474" i="13" s="1"/>
  <c r="CZ759" i="13"/>
  <c r="Z759" i="13" s="1"/>
  <c r="CP1003" i="13" a="1"/>
  <c r="CP1003" i="13" s="1"/>
  <c r="CF153" i="13"/>
  <c r="R153" i="13" s="1"/>
  <c r="CT1018" i="13" a="1"/>
  <c r="CT1018" i="13" s="1"/>
  <c r="CP481" i="13" a="1"/>
  <c r="CP481" i="13" s="1"/>
  <c r="CZ34" i="13"/>
  <c r="Z34" i="13" s="1"/>
  <c r="CT95" i="13" a="1"/>
  <c r="CT95" i="13" s="1"/>
  <c r="CT65" i="13" a="1"/>
  <c r="CT65" i="13" s="1"/>
  <c r="CP109" i="13" a="1"/>
  <c r="CP109" i="13" s="1"/>
  <c r="CZ744" i="13"/>
  <c r="Z744" i="13" s="1"/>
  <c r="CZ304" i="13"/>
  <c r="Z304" i="13" s="1"/>
  <c r="BV305" i="13" a="1"/>
  <c r="BV305" i="13" s="1"/>
  <c r="BZ747" i="13" a="1"/>
  <c r="BZ747" i="13" s="1"/>
  <c r="CF570" i="13"/>
  <c r="R570" i="13" s="1"/>
  <c r="CF952" i="13"/>
  <c r="R952" i="13" s="1"/>
  <c r="BV311" i="13" a="1"/>
  <c r="BV311" i="13" s="1"/>
  <c r="BV1007" i="13" a="1"/>
  <c r="BV1007" i="13" s="1"/>
  <c r="CF976" i="13"/>
  <c r="R976" i="13" s="1"/>
  <c r="CT458" i="13" a="1"/>
  <c r="CT458" i="13" s="1"/>
  <c r="CZ548" i="13"/>
  <c r="Z548" i="13" s="1"/>
  <c r="CT338" i="13" a="1"/>
  <c r="CT338" i="13" s="1"/>
  <c r="BV319" i="13" a="1"/>
  <c r="BV319" i="13" s="1"/>
  <c r="BZ472" i="13" a="1"/>
  <c r="BZ472" i="13" s="1"/>
  <c r="CF878" i="13"/>
  <c r="R878" i="13" s="1"/>
  <c r="CZ816" i="13"/>
  <c r="Z816" i="13" s="1"/>
  <c r="CF326" i="13"/>
  <c r="R326" i="13" s="1"/>
  <c r="CF312" i="13"/>
  <c r="R312" i="13" s="1"/>
  <c r="CF996" i="13"/>
  <c r="R996" i="13" s="1"/>
  <c r="BV887" i="13" a="1"/>
  <c r="BV887" i="13" s="1"/>
  <c r="CF887" i="13" s="1"/>
  <c r="R887" i="13" s="1"/>
  <c r="CP67" i="13" a="1"/>
  <c r="CP67" i="13" s="1"/>
  <c r="CT103" i="13" a="1"/>
  <c r="CT103" i="13" s="1"/>
  <c r="CT78" i="13" a="1"/>
  <c r="CT78" i="13" s="1"/>
  <c r="BZ101" i="13" a="1"/>
  <c r="BZ101" i="13" s="1"/>
  <c r="CT313" i="13" a="1"/>
  <c r="CT313" i="13" s="1"/>
  <c r="CZ494" i="13"/>
  <c r="Z494" i="13" s="1"/>
  <c r="BZ171" i="13" a="1"/>
  <c r="BZ171" i="13" s="1"/>
  <c r="AF416" i="13"/>
  <c r="CP183" i="13" a="1"/>
  <c r="CP183" i="13" s="1"/>
  <c r="BZ792" i="13" a="1"/>
  <c r="BZ792" i="13" s="1"/>
  <c r="CZ417" i="13"/>
  <c r="Z417" i="13" s="1"/>
  <c r="BV361" i="13" a="1"/>
  <c r="BV361" i="13" s="1"/>
  <c r="CP545" i="13" a="1"/>
  <c r="CP545" i="13" s="1"/>
  <c r="CP559" i="13" a="1"/>
  <c r="CP559" i="13" s="1"/>
  <c r="CZ795" i="13"/>
  <c r="Z795" i="13" s="1"/>
  <c r="CF823" i="13"/>
  <c r="R823" i="13" s="1"/>
  <c r="BV472" i="13" a="1"/>
  <c r="BV472" i="13" s="1"/>
  <c r="BZ295" i="13" a="1"/>
  <c r="BZ295" i="13" s="1"/>
  <c r="CF127" i="13"/>
  <c r="R127" i="13" s="1"/>
  <c r="BV904" i="13" a="1"/>
  <c r="BV904" i="13" s="1"/>
  <c r="CP515" i="13" a="1"/>
  <c r="CP515" i="13" s="1"/>
  <c r="BV812" i="13" a="1"/>
  <c r="BV812" i="13" s="1"/>
  <c r="CF116" i="13"/>
  <c r="R116" i="13" s="1"/>
  <c r="BV309" i="13" a="1"/>
  <c r="BV309" i="13" s="1"/>
  <c r="AF366" i="13"/>
  <c r="CP197" i="13" a="1"/>
  <c r="CP197" i="13" s="1"/>
  <c r="CF482" i="13"/>
  <c r="R482" i="13" s="1"/>
  <c r="BV901" i="13" a="1"/>
  <c r="BV901" i="13" s="1"/>
  <c r="CP439" i="13" a="1"/>
  <c r="CP439" i="13" s="1"/>
  <c r="CF700" i="13"/>
  <c r="R700" i="13" s="1"/>
  <c r="CZ490" i="13"/>
  <c r="Z490" i="13" s="1"/>
  <c r="CF296" i="13"/>
  <c r="R296" i="13" s="1"/>
  <c r="AF296" i="13" s="1"/>
  <c r="CZ415" i="13"/>
  <c r="Z415" i="13" s="1"/>
  <c r="BV782" i="13" a="1"/>
  <c r="BV782" i="13" s="1"/>
  <c r="CZ862" i="13"/>
  <c r="Z862" i="13" s="1"/>
  <c r="CT195" i="13" a="1"/>
  <c r="CT195" i="13" s="1"/>
  <c r="BZ323" i="13" a="1"/>
  <c r="BZ323" i="13" s="1"/>
  <c r="BZ471" i="13" a="1"/>
  <c r="BZ471" i="13" s="1"/>
  <c r="BV169" i="13" a="1"/>
  <c r="BV169" i="13" s="1"/>
  <c r="BV199" i="13" a="1"/>
  <c r="BV199" i="13" s="1"/>
  <c r="CP1019" i="13" a="1"/>
  <c r="CP1019" i="13" s="1"/>
  <c r="CZ879" i="13"/>
  <c r="Z879" i="13" s="1"/>
  <c r="CF592" i="13"/>
  <c r="R592" i="13" s="1"/>
  <c r="CF930" i="13"/>
  <c r="R930" i="13" s="1"/>
  <c r="CZ51" i="13"/>
  <c r="Z51" i="13" s="1"/>
  <c r="CZ43" i="13"/>
  <c r="Z43" i="13" s="1"/>
  <c r="CF47" i="13"/>
  <c r="R47" i="13" s="1"/>
  <c r="CF35" i="13"/>
  <c r="R35" i="13" s="1"/>
  <c r="CF731" i="13"/>
  <c r="R731" i="13" s="1"/>
  <c r="AF731" i="13" s="1"/>
  <c r="AF212" i="13"/>
  <c r="BZ456" i="13" a="1"/>
  <c r="BZ456" i="13" s="1"/>
  <c r="CP235" i="13" a="1"/>
  <c r="CP235" i="13" s="1"/>
  <c r="BV183" i="13" a="1"/>
  <c r="BV183" i="13" s="1"/>
  <c r="BZ256" i="13" a="1"/>
  <c r="BZ256" i="13" s="1"/>
  <c r="CP469" i="13" a="1"/>
  <c r="CP469" i="13" s="1"/>
  <c r="CF819" i="13"/>
  <c r="R819" i="13" s="1"/>
  <c r="CP489" i="13" a="1"/>
  <c r="CP489" i="13" s="1"/>
  <c r="CP471" i="13" a="1"/>
  <c r="CP471" i="13" s="1"/>
  <c r="CP419" i="13" a="1"/>
  <c r="CP419" i="13" s="1"/>
  <c r="CT565" i="13" a="1"/>
  <c r="CT565" i="13" s="1"/>
  <c r="AF491" i="13"/>
  <c r="CF389" i="13"/>
  <c r="R389" i="13" s="1"/>
  <c r="AF389" i="13" s="1"/>
  <c r="BV863" i="13" a="1"/>
  <c r="BV863" i="13" s="1"/>
  <c r="CF863" i="13" s="1"/>
  <c r="R863" i="13" s="1"/>
  <c r="CF48" i="13"/>
  <c r="R48" i="13" s="1"/>
  <c r="AF548" i="13"/>
  <c r="CP747" i="13" a="1"/>
  <c r="CP747" i="13" s="1"/>
  <c r="CZ358" i="13"/>
  <c r="Z358" i="13" s="1"/>
  <c r="CZ228" i="13"/>
  <c r="Z228" i="13" s="1"/>
  <c r="CP432" i="13" a="1"/>
  <c r="CP432" i="13" s="1"/>
  <c r="BV455" i="13" a="1"/>
  <c r="BV455" i="13" s="1"/>
  <c r="CF923" i="13"/>
  <c r="R923" i="13" s="1"/>
  <c r="CZ846" i="13"/>
  <c r="Z846" i="13" s="1"/>
  <c r="CP175" i="13" a="1"/>
  <c r="CP175" i="13" s="1"/>
  <c r="BZ183" i="13" a="1"/>
  <c r="BZ183" i="13" s="1"/>
  <c r="BZ313" i="13" a="1"/>
  <c r="BZ313" i="13" s="1"/>
  <c r="CZ886" i="13"/>
  <c r="Z886" i="13" s="1"/>
  <c r="BZ883" i="13" a="1"/>
  <c r="BZ883" i="13" s="1"/>
  <c r="CZ940" i="13"/>
  <c r="Z940" i="13" s="1"/>
  <c r="CF955" i="13"/>
  <c r="R955" i="13" s="1"/>
  <c r="CZ933" i="13"/>
  <c r="Z933" i="13" s="1"/>
  <c r="AF933" i="13" s="1"/>
  <c r="CF155" i="13"/>
  <c r="R155" i="13" s="1"/>
  <c r="CF734" i="13"/>
  <c r="R734" i="13" s="1"/>
  <c r="CF958" i="13"/>
  <c r="R958" i="13" s="1"/>
  <c r="BZ250" i="13" a="1"/>
  <c r="BZ250" i="13" s="1"/>
  <c r="CP990" i="13" a="1"/>
  <c r="CP990" i="13" s="1"/>
  <c r="CT578" i="13" a="1"/>
  <c r="CT578" i="13" s="1"/>
  <c r="CF251" i="13"/>
  <c r="R251" i="13" s="1"/>
  <c r="CP322" i="13" a="1"/>
  <c r="CP322" i="13" s="1"/>
  <c r="CZ920" i="13"/>
  <c r="Z920" i="13" s="1"/>
  <c r="CX922" i="13" a="1"/>
  <c r="CX922" i="13" s="1"/>
  <c r="CZ922" i="13" s="1"/>
  <c r="Z922" i="13" s="1"/>
  <c r="AF922" i="13" s="1"/>
  <c r="CF768" i="13"/>
  <c r="R768" i="13" s="1"/>
  <c r="BV644" i="13" a="1"/>
  <c r="BV644" i="13" s="1"/>
  <c r="BV321" i="13" a="1"/>
  <c r="BV321" i="13" s="1"/>
  <c r="CF321" i="13" s="1"/>
  <c r="R321" i="13" s="1"/>
  <c r="CT639" i="13" a="1"/>
  <c r="CT639" i="13" s="1"/>
  <c r="CZ91" i="13"/>
  <c r="Z91" i="13" s="1"/>
  <c r="CZ320" i="13"/>
  <c r="Z320" i="13" s="1"/>
  <c r="AF320" i="13" s="1"/>
  <c r="CF401" i="13"/>
  <c r="R401" i="13" s="1"/>
  <c r="CZ182" i="13"/>
  <c r="Z182" i="13" s="1"/>
  <c r="CF372" i="13"/>
  <c r="R372" i="13" s="1"/>
  <c r="CZ542" i="13"/>
  <c r="Z542" i="13" s="1"/>
  <c r="CZ730" i="13"/>
  <c r="Z730" i="13" s="1"/>
  <c r="CZ779" i="13"/>
  <c r="Z779" i="13" s="1"/>
  <c r="AF325" i="13"/>
  <c r="CF274" i="13"/>
  <c r="R274" i="13" s="1"/>
  <c r="CZ408" i="13"/>
  <c r="Z408" i="13" s="1"/>
  <c r="CZ595" i="13"/>
  <c r="Z595" i="13" s="1"/>
  <c r="CF884" i="13"/>
  <c r="R884" i="13" s="1"/>
  <c r="CF953" i="13"/>
  <c r="R953" i="13" s="1"/>
  <c r="CZ813" i="13"/>
  <c r="Z813" i="13" s="1"/>
  <c r="CF746" i="13"/>
  <c r="R746" i="13" s="1"/>
  <c r="CF536" i="13"/>
  <c r="R536" i="13" s="1"/>
  <c r="CZ974" i="13"/>
  <c r="Z974" i="13" s="1"/>
  <c r="AF974" i="13" s="1"/>
  <c r="CZ413" i="13"/>
  <c r="Z413" i="13" s="1"/>
  <c r="CF221" i="13"/>
  <c r="R221" i="13" s="1"/>
  <c r="AF221" i="13" s="1"/>
  <c r="CF150" i="13"/>
  <c r="R150" i="13" s="1"/>
  <c r="CZ213" i="13"/>
  <c r="Z213" i="13" s="1"/>
  <c r="CZ767" i="13"/>
  <c r="Z767" i="13" s="1"/>
  <c r="AF767" i="13" s="1"/>
  <c r="CZ508" i="13"/>
  <c r="Z508" i="13" s="1"/>
  <c r="CZ480" i="13"/>
  <c r="Z480" i="13" s="1"/>
  <c r="CZ626" i="13"/>
  <c r="Z626" i="13" s="1"/>
  <c r="CF431" i="13"/>
  <c r="R431" i="13" s="1"/>
  <c r="CZ110" i="13"/>
  <c r="Z110" i="13" s="1"/>
  <c r="CZ734" i="13"/>
  <c r="Z734" i="13" s="1"/>
  <c r="AF552" i="13"/>
  <c r="CF797" i="13"/>
  <c r="R797" i="13" s="1"/>
  <c r="CF291" i="13"/>
  <c r="R291" i="13" s="1"/>
  <c r="AF291" i="13" s="1"/>
  <c r="CF421" i="13"/>
  <c r="R421" i="13" s="1"/>
  <c r="AF421" i="13" s="1"/>
  <c r="CZ421" i="13"/>
  <c r="Z421" i="13" s="1"/>
  <c r="CF410" i="13"/>
  <c r="R410" i="13" s="1"/>
  <c r="CF544" i="13"/>
  <c r="R544" i="13" s="1"/>
  <c r="CZ909" i="13"/>
  <c r="Z909" i="13" s="1"/>
  <c r="CF615" i="13"/>
  <c r="R615" i="13" s="1"/>
  <c r="CF28" i="13"/>
  <c r="R28" i="13" s="1"/>
  <c r="CF262" i="13"/>
  <c r="R262" i="13" s="1"/>
  <c r="AF508" i="13"/>
  <c r="CZ870" i="13"/>
  <c r="Z870" i="13" s="1"/>
  <c r="CZ787" i="13"/>
  <c r="Z787" i="13" s="1"/>
  <c r="CF986" i="13"/>
  <c r="R986" i="13" s="1"/>
  <c r="AF153" i="13"/>
  <c r="CF846" i="13"/>
  <c r="R846" i="13" s="1"/>
  <c r="CF755" i="13"/>
  <c r="R755" i="13" s="1"/>
  <c r="CF840" i="13"/>
  <c r="R840" i="13" s="1"/>
  <c r="CF384" i="13"/>
  <c r="R384" i="13" s="1"/>
  <c r="CZ277" i="13"/>
  <c r="Z277" i="13" s="1"/>
  <c r="CZ591" i="13"/>
  <c r="Z591" i="13" s="1"/>
  <c r="CZ773" i="13"/>
  <c r="Z773" i="13" s="1"/>
  <c r="CF294" i="13"/>
  <c r="R294" i="13" s="1"/>
  <c r="CF452" i="13"/>
  <c r="R452" i="13" s="1"/>
  <c r="CZ760" i="13"/>
  <c r="Z760" i="13" s="1"/>
  <c r="CF867" i="13"/>
  <c r="R867" i="13" s="1"/>
  <c r="CF1003" i="13"/>
  <c r="R1003" i="13" s="1"/>
  <c r="CZ451" i="13"/>
  <c r="Z451" i="13" s="1"/>
  <c r="CF497" i="13"/>
  <c r="R497" i="13" s="1"/>
  <c r="CF666" i="13"/>
  <c r="R666" i="13" s="1"/>
  <c r="AF666" i="13" s="1"/>
  <c r="CZ706" i="13"/>
  <c r="Z706" i="13" s="1"/>
  <c r="AF277" i="13"/>
  <c r="CZ540" i="13"/>
  <c r="Z540" i="13" s="1"/>
  <c r="CF870" i="13"/>
  <c r="R870" i="13" s="1"/>
  <c r="CF943" i="13"/>
  <c r="R943" i="13" s="1"/>
  <c r="CF834" i="13"/>
  <c r="R834" i="13" s="1"/>
  <c r="CZ842" i="13"/>
  <c r="Z842" i="13" s="1"/>
  <c r="AF842" i="13" s="1"/>
  <c r="CZ989" i="13"/>
  <c r="Z989" i="13" s="1"/>
  <c r="CZ848" i="13"/>
  <c r="Z848" i="13" s="1"/>
  <c r="CZ381" i="13"/>
  <c r="Z381" i="13" s="1"/>
  <c r="CZ585" i="13"/>
  <c r="Z585" i="13" s="1"/>
  <c r="CZ967" i="13"/>
  <c r="Z967" i="13" s="1"/>
  <c r="AF967" i="13" s="1"/>
  <c r="CZ724" i="13"/>
  <c r="Z724" i="13" s="1"/>
  <c r="CF207" i="13"/>
  <c r="R207" i="13" s="1"/>
  <c r="CF1013" i="13"/>
  <c r="R1013" i="13" s="1"/>
  <c r="AF28" i="13"/>
  <c r="CZ257" i="13"/>
  <c r="Z257" i="13" s="1"/>
  <c r="CZ406" i="13"/>
  <c r="Z406" i="13" s="1"/>
  <c r="AF406" i="13" s="1"/>
  <c r="CZ546" i="13"/>
  <c r="Z546" i="13" s="1"/>
  <c r="CF712" i="13"/>
  <c r="R712" i="13" s="1"/>
  <c r="CZ710" i="13"/>
  <c r="Z710" i="13" s="1"/>
  <c r="CZ777" i="13"/>
  <c r="Z777" i="13" s="1"/>
  <c r="CF697" i="13"/>
  <c r="R697" i="13" s="1"/>
  <c r="AF697" i="13" s="1"/>
  <c r="CF538" i="13"/>
  <c r="R538" i="13" s="1"/>
  <c r="AF538" i="13" s="1"/>
  <c r="CF478" i="13"/>
  <c r="R478" i="13" s="1"/>
  <c r="CZ840" i="13"/>
  <c r="Z840" i="13" s="1"/>
  <c r="CZ702" i="13"/>
  <c r="Z702" i="13" s="1"/>
  <c r="CF158" i="13"/>
  <c r="R158" i="13" s="1"/>
  <c r="CF218" i="13"/>
  <c r="R218" i="13" s="1"/>
  <c r="AF976" i="13"/>
  <c r="CF198" i="13"/>
  <c r="R198" i="13" s="1"/>
  <c r="AF779" i="13"/>
  <c r="CF414" i="13"/>
  <c r="R414" i="13" s="1"/>
  <c r="AF414" i="13" s="1"/>
  <c r="CZ251" i="13"/>
  <c r="Z251" i="13" s="1"/>
  <c r="CF215" i="13"/>
  <c r="R215" i="13" s="1"/>
  <c r="AF215" i="13" s="1"/>
  <c r="CF698" i="13"/>
  <c r="R698" i="13" s="1"/>
  <c r="AF698" i="13" s="1"/>
  <c r="CF781" i="13"/>
  <c r="R781" i="13" s="1"/>
  <c r="CF866" i="13"/>
  <c r="R866" i="13" s="1"/>
  <c r="CZ950" i="13"/>
  <c r="Z950" i="13" s="1"/>
  <c r="CF917" i="13"/>
  <c r="R917" i="13" s="1"/>
  <c r="CZ930" i="13"/>
  <c r="Z930" i="13" s="1"/>
  <c r="CF56" i="13"/>
  <c r="R56" i="13" s="1"/>
  <c r="CZ29" i="13"/>
  <c r="Z29" i="13" s="1"/>
  <c r="CZ860" i="13"/>
  <c r="Z860" i="13" s="1"/>
  <c r="AF860" i="13" s="1"/>
  <c r="CF817" i="13"/>
  <c r="R817" i="13" s="1"/>
  <c r="CZ37" i="13"/>
  <c r="Z37" i="13" s="1"/>
  <c r="CF90" i="13"/>
  <c r="R90" i="13" s="1"/>
  <c r="CZ959" i="13"/>
  <c r="Z959" i="13" s="1"/>
  <c r="CZ572" i="13"/>
  <c r="Z572" i="13" s="1"/>
  <c r="CZ858" i="13"/>
  <c r="Z858" i="13" s="1"/>
  <c r="CF821" i="13"/>
  <c r="R821" i="13" s="1"/>
  <c r="AF821" i="13" s="1"/>
  <c r="CZ60" i="13"/>
  <c r="Z60" i="13" s="1"/>
  <c r="CF42" i="13"/>
  <c r="R42" i="13" s="1"/>
  <c r="AF888" i="13"/>
  <c r="CF951" i="13"/>
  <c r="R951" i="13" s="1"/>
  <c r="AF951" i="13" s="1"/>
  <c r="AF947" i="13"/>
  <c r="CZ577" i="13"/>
  <c r="Z577" i="13" s="1"/>
  <c r="AF577" i="13" s="1"/>
  <c r="AF958" i="13"/>
  <c r="CZ925" i="13"/>
  <c r="Z925" i="13" s="1"/>
  <c r="AF147" i="13"/>
  <c r="AF364" i="13"/>
  <c r="CZ583" i="13"/>
  <c r="Z583" i="13" s="1"/>
  <c r="CF791" i="13"/>
  <c r="R791" i="13" s="1"/>
  <c r="CF196" i="13"/>
  <c r="R196" i="13" s="1"/>
  <c r="CZ524" i="13"/>
  <c r="Z524" i="13" s="1"/>
  <c r="CZ603" i="13"/>
  <c r="Z603" i="13" s="1"/>
  <c r="CZ516" i="13"/>
  <c r="Z516" i="13" s="1"/>
  <c r="CZ986" i="13"/>
  <c r="Z986" i="13" s="1"/>
  <c r="AF986" i="13" s="1"/>
  <c r="CF518" i="13"/>
  <c r="R518" i="13" s="1"/>
  <c r="CZ878" i="13"/>
  <c r="Z878" i="13" s="1"/>
  <c r="CF927" i="13"/>
  <c r="R927" i="13" s="1"/>
  <c r="AF927" i="13" s="1"/>
  <c r="CF298" i="13"/>
  <c r="R298" i="13" s="1"/>
  <c r="AF987" i="13"/>
  <c r="CZ168" i="13"/>
  <c r="Z168" i="13" s="1"/>
  <c r="AF168" i="13" s="1"/>
  <c r="CF1017" i="13"/>
  <c r="R1017" i="13" s="1"/>
  <c r="CZ88" i="13"/>
  <c r="Z88" i="13" s="1"/>
  <c r="CF160" i="13"/>
  <c r="R160" i="13" s="1"/>
  <c r="AF160" i="13" s="1"/>
  <c r="CF270" i="13"/>
  <c r="R270" i="13" s="1"/>
  <c r="AF270" i="13" s="1"/>
  <c r="CZ410" i="13"/>
  <c r="Z410" i="13" s="1"/>
  <c r="AF482" i="13"/>
  <c r="CZ143" i="13"/>
  <c r="Z143" i="13" s="1"/>
  <c r="CZ428" i="13"/>
  <c r="Z428" i="13" s="1"/>
  <c r="CZ268" i="13"/>
  <c r="Z268" i="13" s="1"/>
  <c r="CF595" i="13"/>
  <c r="R595" i="13" s="1"/>
  <c r="AF595" i="13" s="1"/>
  <c r="CZ825" i="13"/>
  <c r="Z825" i="13" s="1"/>
  <c r="CF126" i="13"/>
  <c r="R126" i="13" s="1"/>
  <c r="AF605" i="13"/>
  <c r="CZ536" i="13"/>
  <c r="Z536" i="13" s="1"/>
  <c r="CF498" i="13"/>
  <c r="R498" i="13" s="1"/>
  <c r="AF498" i="13" s="1"/>
  <c r="CZ801" i="13"/>
  <c r="Z801" i="13" s="1"/>
  <c r="CF694" i="13"/>
  <c r="R694" i="13" s="1"/>
  <c r="CZ266" i="13"/>
  <c r="Z266" i="13" s="1"/>
  <c r="CF528" i="13"/>
  <c r="R528" i="13" s="1"/>
  <c r="AF528" i="13" s="1"/>
  <c r="CF264" i="13"/>
  <c r="R264" i="13" s="1"/>
  <c r="AF264" i="13" s="1"/>
  <c r="AF950" i="13"/>
  <c r="AF740" i="13"/>
  <c r="CZ815" i="13"/>
  <c r="Z815" i="13" s="1"/>
  <c r="CF880" i="13"/>
  <c r="R880" i="13" s="1"/>
  <c r="AF880" i="13" s="1"/>
  <c r="AF213" i="13"/>
  <c r="CZ208" i="13"/>
  <c r="Z208" i="13" s="1"/>
  <c r="CZ514" i="13"/>
  <c r="Z514" i="13" s="1"/>
  <c r="CF941" i="13"/>
  <c r="R941" i="13" s="1"/>
  <c r="AF941" i="13" s="1"/>
  <c r="CF896" i="13"/>
  <c r="R896" i="13" s="1"/>
  <c r="AF850" i="13"/>
  <c r="CZ888" i="13"/>
  <c r="Z888" i="13" s="1"/>
  <c r="CZ943" i="13"/>
  <c r="Z943" i="13" s="1"/>
  <c r="CZ401" i="13"/>
  <c r="Z401" i="13" s="1"/>
  <c r="AF401" i="13" s="1"/>
  <c r="CZ403" i="13"/>
  <c r="Z403" i="13" s="1"/>
  <c r="CZ354" i="13"/>
  <c r="Z354" i="13" s="1"/>
  <c r="AF354" i="13" s="1"/>
  <c r="CZ462" i="13"/>
  <c r="Z462" i="13" s="1"/>
  <c r="CF945" i="13"/>
  <c r="R945" i="13" s="1"/>
  <c r="CZ404" i="13"/>
  <c r="Z404" i="13" s="1"/>
  <c r="AF404" i="13" s="1"/>
  <c r="CZ438" i="13"/>
  <c r="Z438" i="13" s="1"/>
  <c r="CZ672" i="13"/>
  <c r="Z672" i="13" s="1"/>
  <c r="CZ863" i="13"/>
  <c r="Z863" i="13" s="1"/>
  <c r="AF863" i="13" s="1"/>
  <c r="CF647" i="13"/>
  <c r="R647" i="13" s="1"/>
  <c r="CZ154" i="13"/>
  <c r="Z154" i="13" s="1"/>
  <c r="CF841" i="13"/>
  <c r="R841" i="13" s="1"/>
  <c r="AF165" i="13"/>
  <c r="CZ422" i="13"/>
  <c r="Z422" i="13" s="1"/>
  <c r="CZ314" i="13"/>
  <c r="Z314" i="13" s="1"/>
  <c r="CZ903" i="13"/>
  <c r="Z903" i="13" s="1"/>
  <c r="CF418" i="13"/>
  <c r="R418" i="13" s="1"/>
  <c r="AF418" i="13" s="1"/>
  <c r="AF484" i="13"/>
  <c r="CF898" i="13"/>
  <c r="R898" i="13" s="1"/>
  <c r="AF898" i="13" s="1"/>
  <c r="CF909" i="13"/>
  <c r="R909" i="13" s="1"/>
  <c r="AF909" i="13" s="1"/>
  <c r="AF925" i="13"/>
  <c r="AF937" i="13"/>
  <c r="CF234" i="13"/>
  <c r="R234" i="13" s="1"/>
  <c r="CF286" i="13"/>
  <c r="R286" i="13" s="1"/>
  <c r="CF956" i="13"/>
  <c r="R956" i="13" s="1"/>
  <c r="AF956" i="13" s="1"/>
  <c r="CZ165" i="13"/>
  <c r="Z165" i="13" s="1"/>
  <c r="CZ520" i="13"/>
  <c r="Z520" i="13" s="1"/>
  <c r="AF520" i="13" s="1"/>
  <c r="CZ856" i="13"/>
  <c r="Z856" i="13" s="1"/>
  <c r="AF570" i="13"/>
  <c r="AF755" i="13"/>
  <c r="AF222" i="13"/>
  <c r="CZ384" i="13"/>
  <c r="Z384" i="13" s="1"/>
  <c r="AF158" i="13"/>
  <c r="CZ882" i="13"/>
  <c r="Z882" i="13" s="1"/>
  <c r="CF358" i="13"/>
  <c r="R358" i="13" s="1"/>
  <c r="AF358" i="13" s="1"/>
  <c r="CZ360" i="13"/>
  <c r="Z360" i="13" s="1"/>
  <c r="CF748" i="13"/>
  <c r="R748" i="13" s="1"/>
  <c r="AF748" i="13" s="1"/>
  <c r="AF978" i="13"/>
  <c r="CZ238" i="13"/>
  <c r="Z238" i="13" s="1"/>
  <c r="CZ612" i="13"/>
  <c r="Z612" i="13" s="1"/>
  <c r="CZ884" i="13"/>
  <c r="Z884" i="13" s="1"/>
  <c r="CZ832" i="13"/>
  <c r="Z832" i="13" s="1"/>
  <c r="CF739" i="13"/>
  <c r="R739" i="13" s="1"/>
  <c r="AF739" i="13" s="1"/>
  <c r="CZ452" i="13"/>
  <c r="Z452" i="13" s="1"/>
  <c r="AF452" i="13" s="1"/>
  <c r="CF680" i="13"/>
  <c r="R680" i="13" s="1"/>
  <c r="CZ330" i="13"/>
  <c r="Z330" i="13" s="1"/>
  <c r="CF910" i="13"/>
  <c r="R910" i="13" s="1"/>
  <c r="CF172" i="13"/>
  <c r="R172" i="13" s="1"/>
  <c r="CZ102" i="13"/>
  <c r="Z102" i="13" s="1"/>
  <c r="CZ89" i="13"/>
  <c r="Z89" i="13" s="1"/>
  <c r="CF101" i="13"/>
  <c r="R101" i="13" s="1"/>
  <c r="CZ188" i="13"/>
  <c r="Z188" i="13" s="1"/>
  <c r="AF188" i="13" s="1"/>
  <c r="CF572" i="13"/>
  <c r="R572" i="13" s="1"/>
  <c r="CZ162" i="13"/>
  <c r="Z162" i="13" s="1"/>
  <c r="CZ349" i="13"/>
  <c r="Z349" i="13" s="1"/>
  <c r="AF349" i="13" s="1"/>
  <c r="CZ255" i="13"/>
  <c r="Z255" i="13" s="1"/>
  <c r="AF255" i="13" s="1"/>
  <c r="CZ274" i="13"/>
  <c r="Z274" i="13" s="1"/>
  <c r="CF773" i="13"/>
  <c r="R773" i="13" s="1"/>
  <c r="AF773" i="13" s="1"/>
  <c r="CZ750" i="13"/>
  <c r="Z750" i="13" s="1"/>
  <c r="CZ921" i="13"/>
  <c r="Z921" i="13" s="1"/>
  <c r="CZ351" i="13"/>
  <c r="Z351" i="13" s="1"/>
  <c r="AF351" i="13" s="1"/>
  <c r="CZ234" i="13"/>
  <c r="Z234" i="13" s="1"/>
  <c r="AF234" i="13" s="1"/>
  <c r="CZ214" i="13"/>
  <c r="Z214" i="13" s="1"/>
  <c r="CZ714" i="13"/>
  <c r="Z714" i="13" s="1"/>
  <c r="AF714" i="13" s="1"/>
  <c r="AF597" i="13"/>
  <c r="CF892" i="13"/>
  <c r="R892" i="13" s="1"/>
  <c r="AF892" i="13" s="1"/>
  <c r="CZ902" i="13"/>
  <c r="Z902" i="13" s="1"/>
  <c r="AF902" i="13" s="1"/>
  <c r="CZ244" i="13"/>
  <c r="Z244" i="13" s="1"/>
  <c r="CZ556" i="13"/>
  <c r="Z556" i="13" s="1"/>
  <c r="AF556" i="13" s="1"/>
  <c r="AF911" i="13"/>
  <c r="CZ593" i="13"/>
  <c r="Z593" i="13" s="1"/>
  <c r="AF593" i="13" s="1"/>
  <c r="CZ775" i="13"/>
  <c r="Z775" i="13" s="1"/>
  <c r="AF775" i="13" s="1"/>
  <c r="CZ809" i="13"/>
  <c r="Z809" i="13" s="1"/>
  <c r="CF228" i="13"/>
  <c r="R228" i="13" s="1"/>
  <c r="AF228" i="13" s="1"/>
  <c r="CZ975" i="13"/>
  <c r="Z975" i="13" s="1"/>
  <c r="CF512" i="13"/>
  <c r="R512" i="13" s="1"/>
  <c r="CZ712" i="13"/>
  <c r="Z712" i="13" s="1"/>
  <c r="CF813" i="13"/>
  <c r="R813" i="13" s="1"/>
  <c r="AF813" i="13" s="1"/>
  <c r="CF936" i="13"/>
  <c r="R936" i="13" s="1"/>
  <c r="AF936" i="13" s="1"/>
  <c r="CF260" i="13"/>
  <c r="R260" i="13" s="1"/>
  <c r="AF260" i="13" s="1"/>
  <c r="CZ793" i="13"/>
  <c r="Z793" i="13" s="1"/>
  <c r="CZ807" i="13"/>
  <c r="Z807" i="13" s="1"/>
  <c r="AF807" i="13" s="1"/>
  <c r="CZ209" i="13"/>
  <c r="Z209" i="13" s="1"/>
  <c r="AF209" i="13" s="1"/>
  <c r="CF467" i="13"/>
  <c r="R467" i="13" s="1"/>
  <c r="AF127" i="13"/>
  <c r="CF833" i="13"/>
  <c r="R833" i="13" s="1"/>
  <c r="CF879" i="13"/>
  <c r="R879" i="13" s="1"/>
  <c r="CZ87" i="13"/>
  <c r="Z87" i="13" s="1"/>
  <c r="AF379" i="13"/>
  <c r="AF236" i="13"/>
  <c r="CF356" i="13"/>
  <c r="R356" i="13" s="1"/>
  <c r="AF356" i="13" s="1"/>
  <c r="AF494" i="13"/>
  <c r="CF737" i="13"/>
  <c r="R737" i="13" s="1"/>
  <c r="AF737" i="13" s="1"/>
  <c r="CF480" i="13"/>
  <c r="R480" i="13" s="1"/>
  <c r="CF608" i="13"/>
  <c r="R608" i="13" s="1"/>
  <c r="AF608" i="13" s="1"/>
  <c r="CF502" i="13"/>
  <c r="R502" i="13" s="1"/>
  <c r="AF502" i="13" s="1"/>
  <c r="CF722" i="13"/>
  <c r="R722" i="13" s="1"/>
  <c r="AF722" i="13" s="1"/>
  <c r="CZ789" i="13"/>
  <c r="Z789" i="13" s="1"/>
  <c r="AF789" i="13" s="1"/>
  <c r="AF730" i="13"/>
  <c r="AF844" i="13"/>
  <c r="CZ896" i="13"/>
  <c r="Z896" i="13" s="1"/>
  <c r="AF896" i="13" s="1"/>
  <c r="AF921" i="13"/>
  <c r="CF876" i="13"/>
  <c r="R876" i="13" s="1"/>
  <c r="AF876" i="13" s="1"/>
  <c r="AF413" i="13"/>
  <c r="CZ609" i="13"/>
  <c r="Z609" i="13" s="1"/>
  <c r="AF710" i="13"/>
  <c r="AF486" i="13"/>
  <c r="CZ728" i="13"/>
  <c r="Z728" i="13" s="1"/>
  <c r="AF728" i="13" s="1"/>
  <c r="CZ738" i="13"/>
  <c r="Z738" i="13" s="1"/>
  <c r="CF744" i="13"/>
  <c r="R744" i="13" s="1"/>
  <c r="AF744" i="13" s="1"/>
  <c r="CF564" i="13"/>
  <c r="R564" i="13" s="1"/>
  <c r="AF797" i="13"/>
  <c r="CZ894" i="13"/>
  <c r="Z894" i="13" s="1"/>
  <c r="AF811" i="13"/>
  <c r="CZ122" i="13"/>
  <c r="Z122" i="13" s="1"/>
  <c r="AF219" i="13"/>
  <c r="AF504" i="13"/>
  <c r="CF738" i="13"/>
  <c r="R738" i="13" s="1"/>
  <c r="AF955" i="13"/>
  <c r="CZ952" i="13"/>
  <c r="Z952" i="13" s="1"/>
  <c r="CZ240" i="13"/>
  <c r="Z240" i="13" s="1"/>
  <c r="CZ970" i="13"/>
  <c r="Z970" i="13" s="1"/>
  <c r="AF970" i="13" s="1"/>
  <c r="CF290" i="13"/>
  <c r="R290" i="13" s="1"/>
  <c r="CZ287" i="13"/>
  <c r="Z287" i="13" s="1"/>
  <c r="CF187" i="13"/>
  <c r="R187" i="13" s="1"/>
  <c r="AF187" i="13" s="1"/>
  <c r="CF405" i="13"/>
  <c r="R405" i="13" s="1"/>
  <c r="AF405" i="13" s="1"/>
  <c r="CZ362" i="13"/>
  <c r="Z362" i="13" s="1"/>
  <c r="CF984" i="13"/>
  <c r="R984" i="13" s="1"/>
  <c r="CF424" i="13"/>
  <c r="R424" i="13" s="1"/>
  <c r="AF840" i="13"/>
  <c r="CZ900" i="13"/>
  <c r="Z900" i="13" s="1"/>
  <c r="CF886" i="13"/>
  <c r="R886" i="13" s="1"/>
  <c r="AF886" i="13" s="1"/>
  <c r="CF396" i="13"/>
  <c r="R396" i="13" s="1"/>
  <c r="AF396" i="13" s="1"/>
  <c r="CZ407" i="13"/>
  <c r="Z407" i="13" s="1"/>
  <c r="CF534" i="13"/>
  <c r="R534" i="13" s="1"/>
  <c r="AF534" i="13" s="1"/>
  <c r="AF981" i="13"/>
  <c r="CZ518" i="13"/>
  <c r="Z518" i="13" s="1"/>
  <c r="AF518" i="13" s="1"/>
  <c r="CZ973" i="13"/>
  <c r="Z973" i="13" s="1"/>
  <c r="CZ984" i="13"/>
  <c r="Z984" i="13" s="1"/>
  <c r="CZ289" i="13"/>
  <c r="Z289" i="13" s="1"/>
  <c r="CF253" i="13"/>
  <c r="R253" i="13" s="1"/>
  <c r="CF723" i="13"/>
  <c r="R723" i="13" s="1"/>
  <c r="AF723" i="13" s="1"/>
  <c r="CF763" i="13"/>
  <c r="R763" i="13" s="1"/>
  <c r="AF763" i="13" s="1"/>
  <c r="CF939" i="13"/>
  <c r="R939" i="13" s="1"/>
  <c r="AF939" i="13" s="1"/>
  <c r="CZ198" i="13"/>
  <c r="Z198" i="13" s="1"/>
  <c r="AF198" i="13" s="1"/>
  <c r="CZ290" i="13"/>
  <c r="Z290" i="13" s="1"/>
  <c r="CZ388" i="13"/>
  <c r="Z388" i="13" s="1"/>
  <c r="CZ326" i="13"/>
  <c r="Z326" i="13" s="1"/>
  <c r="CF388" i="13"/>
  <c r="R388" i="13" s="1"/>
  <c r="AF388" i="13" s="1"/>
  <c r="AF816" i="13"/>
  <c r="CF847" i="13"/>
  <c r="R847" i="13" s="1"/>
  <c r="AF847" i="13" s="1"/>
  <c r="CZ610" i="13"/>
  <c r="Z610" i="13" s="1"/>
  <c r="CZ641" i="13"/>
  <c r="Z641" i="13" s="1"/>
  <c r="CF610" i="13"/>
  <c r="R610" i="13" s="1"/>
  <c r="CF920" i="13"/>
  <c r="R920" i="13" s="1"/>
  <c r="AF920" i="13" s="1"/>
  <c r="CZ647" i="13"/>
  <c r="Z647" i="13" s="1"/>
  <c r="CF314" i="13"/>
  <c r="R314" i="13" s="1"/>
  <c r="AF314" i="13" s="1"/>
  <c r="AF262" i="13"/>
  <c r="AF252" i="13"/>
  <c r="AF765" i="13"/>
  <c r="CF603" i="13"/>
  <c r="R603" i="13" s="1"/>
  <c r="CZ819" i="13"/>
  <c r="Z819" i="13" s="1"/>
  <c r="CF989" i="13"/>
  <c r="R989" i="13" s="1"/>
  <c r="AF989" i="13" s="1"/>
  <c r="AF281" i="13"/>
  <c r="CZ285" i="13"/>
  <c r="Z285" i="13" s="1"/>
  <c r="AF285" i="13" s="1"/>
  <c r="AF524" i="13"/>
  <c r="CF490" i="13"/>
  <c r="R490" i="13" s="1"/>
  <c r="AF490" i="13" s="1"/>
  <c r="CF612" i="13"/>
  <c r="R612" i="13" s="1"/>
  <c r="CF940" i="13"/>
  <c r="R940" i="13" s="1"/>
  <c r="AF940" i="13" s="1"/>
  <c r="AF142" i="13"/>
  <c r="AF208" i="13"/>
  <c r="AF742" i="13"/>
  <c r="CF975" i="13"/>
  <c r="R975" i="13" s="1"/>
  <c r="AF975" i="13" s="1"/>
  <c r="CZ965" i="13"/>
  <c r="Z965" i="13" s="1"/>
  <c r="AF965" i="13" s="1"/>
  <c r="AF144" i="13"/>
  <c r="CZ128" i="13"/>
  <c r="Z128" i="13" s="1"/>
  <c r="AF128" i="13" s="1"/>
  <c r="CF244" i="13"/>
  <c r="R244" i="13" s="1"/>
  <c r="AF244" i="13" s="1"/>
  <c r="CZ574" i="13"/>
  <c r="Z574" i="13" s="1"/>
  <c r="CZ866" i="13"/>
  <c r="Z866" i="13" s="1"/>
  <c r="CZ611" i="13"/>
  <c r="Z611" i="13" s="1"/>
  <c r="AF872" i="13"/>
  <c r="CZ785" i="13"/>
  <c r="Z785" i="13" s="1"/>
  <c r="CF988" i="13"/>
  <c r="R988" i="13" s="1"/>
  <c r="AF988" i="13" s="1"/>
  <c r="CZ979" i="13"/>
  <c r="Z979" i="13" s="1"/>
  <c r="AF979" i="13" s="1"/>
  <c r="CZ126" i="13"/>
  <c r="Z126" i="13" s="1"/>
  <c r="CZ306" i="13"/>
  <c r="Z306" i="13" s="1"/>
  <c r="CZ226" i="13"/>
  <c r="Z226" i="13" s="1"/>
  <c r="CZ409" i="13"/>
  <c r="Z409" i="13" s="1"/>
  <c r="AF581" i="13"/>
  <c r="CZ510" i="13"/>
  <c r="Z510" i="13" s="1"/>
  <c r="AF746" i="13"/>
  <c r="CZ424" i="13"/>
  <c r="Z424" i="13" s="1"/>
  <c r="CF903" i="13"/>
  <c r="R903" i="13" s="1"/>
  <c r="CF929" i="13"/>
  <c r="R929" i="13" s="1"/>
  <c r="AF929" i="13" s="1"/>
  <c r="CZ944" i="13"/>
  <c r="Z944" i="13" s="1"/>
  <c r="CZ218" i="13"/>
  <c r="Z218" i="13" s="1"/>
  <c r="AF218" i="13" s="1"/>
  <c r="CF838" i="13"/>
  <c r="R838" i="13" s="1"/>
  <c r="AF838" i="13" s="1"/>
  <c r="AF917" i="13"/>
  <c r="CZ347" i="13"/>
  <c r="Z347" i="13" s="1"/>
  <c r="AF347" i="13" s="1"/>
  <c r="CF304" i="13"/>
  <c r="R304" i="13" s="1"/>
  <c r="AF304" i="13" s="1"/>
  <c r="CZ435" i="13"/>
  <c r="Z435" i="13" s="1"/>
  <c r="CF555" i="13"/>
  <c r="R555" i="13" s="1"/>
  <c r="AF555" i="13" s="1"/>
  <c r="AF885" i="13"/>
  <c r="CZ875" i="13"/>
  <c r="Z875" i="13" s="1"/>
  <c r="AF875" i="13" s="1"/>
  <c r="CF664" i="13"/>
  <c r="R664" i="13" s="1"/>
  <c r="AF930" i="13"/>
  <c r="CF802" i="13"/>
  <c r="R802" i="13" s="1"/>
  <c r="CF488" i="13"/>
  <c r="R488" i="13" s="1"/>
  <c r="AF488" i="13" s="1"/>
  <c r="AF155" i="13"/>
  <c r="CF360" i="13"/>
  <c r="R360" i="13" s="1"/>
  <c r="CZ530" i="13"/>
  <c r="Z530" i="13" s="1"/>
  <c r="CF915" i="13"/>
  <c r="R915" i="13" s="1"/>
  <c r="AF915" i="13" s="1"/>
  <c r="CF130" i="13"/>
  <c r="R130" i="13" s="1"/>
  <c r="AF130" i="13" s="1"/>
  <c r="CF381" i="13"/>
  <c r="R381" i="13" s="1"/>
  <c r="AF381" i="13" s="1"/>
  <c r="CF316" i="13"/>
  <c r="R316" i="13" s="1"/>
  <c r="AF316" i="13" s="1"/>
  <c r="CF412" i="13"/>
  <c r="R412" i="13" s="1"/>
  <c r="AF412" i="13" s="1"/>
  <c r="CF611" i="13"/>
  <c r="R611" i="13" s="1"/>
  <c r="CF526" i="13"/>
  <c r="R526" i="13" s="1"/>
  <c r="AF526" i="13" s="1"/>
  <c r="CF333" i="13"/>
  <c r="R333" i="13" s="1"/>
  <c r="CZ564" i="13"/>
  <c r="Z564" i="13" s="1"/>
  <c r="CZ333" i="13"/>
  <c r="Z333" i="13" s="1"/>
  <c r="CF662" i="13"/>
  <c r="R662" i="13" s="1"/>
  <c r="CF824" i="13"/>
  <c r="R824" i="13" s="1"/>
  <c r="AF824" i="13" s="1"/>
  <c r="CF451" i="13"/>
  <c r="R451" i="13" s="1"/>
  <c r="AF451" i="13" s="1"/>
  <c r="CF162" i="13"/>
  <c r="R162" i="13" s="1"/>
  <c r="AF540" i="13"/>
  <c r="AF393" i="13"/>
  <c r="CF769" i="13"/>
  <c r="R769" i="13" s="1"/>
  <c r="AF769" i="13" s="1"/>
  <c r="CF514" i="13"/>
  <c r="R514" i="13" s="1"/>
  <c r="CZ931" i="13"/>
  <c r="Z931" i="13" s="1"/>
  <c r="CF969" i="13"/>
  <c r="R969" i="13" s="1"/>
  <c r="CF864" i="13"/>
  <c r="R864" i="13" s="1"/>
  <c r="AF864" i="13" s="1"/>
  <c r="CZ923" i="13"/>
  <c r="Z923" i="13" s="1"/>
  <c r="CF122" i="13"/>
  <c r="R122" i="13" s="1"/>
  <c r="CF306" i="13"/>
  <c r="R306" i="13" s="1"/>
  <c r="AF302" i="13"/>
  <c r="CF732" i="13"/>
  <c r="R732" i="13" s="1"/>
  <c r="AF732" i="13" s="1"/>
  <c r="CF702" i="13"/>
  <c r="R702" i="13" s="1"/>
  <c r="AF702" i="13" s="1"/>
  <c r="AF919" i="13"/>
  <c r="CF868" i="13"/>
  <c r="R868" i="13" s="1"/>
  <c r="AF868" i="13" s="1"/>
  <c r="CF959" i="13"/>
  <c r="R959" i="13" s="1"/>
  <c r="AF959" i="13" s="1"/>
  <c r="CZ142" i="13"/>
  <c r="Z142" i="13" s="1"/>
  <c r="CZ271" i="13"/>
  <c r="Z271" i="13" s="1"/>
  <c r="AF271" i="13" s="1"/>
  <c r="CZ398" i="13"/>
  <c r="Z398" i="13" s="1"/>
  <c r="AF398" i="13" s="1"/>
  <c r="CZ189" i="13"/>
  <c r="Z189" i="13" s="1"/>
  <c r="AF189" i="13" s="1"/>
  <c r="AF182" i="13"/>
  <c r="AF834" i="13"/>
  <c r="CF566" i="13"/>
  <c r="R566" i="13" s="1"/>
  <c r="AF566" i="13" s="1"/>
  <c r="CZ783" i="13"/>
  <c r="Z783" i="13" s="1"/>
  <c r="CF973" i="13"/>
  <c r="R973" i="13" s="1"/>
  <c r="CF423" i="13"/>
  <c r="R423" i="13" s="1"/>
  <c r="AF423" i="13" s="1"/>
  <c r="CZ202" i="13"/>
  <c r="Z202" i="13" s="1"/>
  <c r="CZ694" i="13"/>
  <c r="Z694" i="13" s="1"/>
  <c r="CF858" i="13"/>
  <c r="R858" i="13" s="1"/>
  <c r="CF801" i="13"/>
  <c r="R801" i="13" s="1"/>
  <c r="AF801" i="13" s="1"/>
  <c r="CZ803" i="13"/>
  <c r="Z803" i="13" s="1"/>
  <c r="AF803" i="13" s="1"/>
  <c r="CZ134" i="13"/>
  <c r="Z134" i="13" s="1"/>
  <c r="CZ253" i="13"/>
  <c r="Z253" i="13" s="1"/>
  <c r="CZ345" i="13"/>
  <c r="Z345" i="13" s="1"/>
  <c r="AF345" i="13" s="1"/>
  <c r="CF776" i="13"/>
  <c r="R776" i="13" s="1"/>
  <c r="CF601" i="13"/>
  <c r="R601" i="13" s="1"/>
  <c r="AF601" i="13" s="1"/>
  <c r="CZ905" i="13"/>
  <c r="Z905" i="13" s="1"/>
  <c r="AF905" i="13" s="1"/>
  <c r="CZ145" i="13"/>
  <c r="Z145" i="13" s="1"/>
  <c r="CZ399" i="13"/>
  <c r="Z399" i="13" s="1"/>
  <c r="AF399" i="13" s="1"/>
  <c r="CZ302" i="13"/>
  <c r="Z302" i="13" s="1"/>
  <c r="CF775" i="13"/>
  <c r="R775" i="13" s="1"/>
  <c r="CZ799" i="13"/>
  <c r="Z799" i="13" s="1"/>
  <c r="AF799" i="13" s="1"/>
  <c r="CZ913" i="13"/>
  <c r="Z913" i="13" s="1"/>
  <c r="AF913" i="13" s="1"/>
  <c r="CZ400" i="13"/>
  <c r="Z400" i="13" s="1"/>
  <c r="AF400" i="13" s="1"/>
  <c r="CZ466" i="13"/>
  <c r="Z466" i="13" s="1"/>
  <c r="AF466" i="13" s="1"/>
  <c r="CF300" i="13"/>
  <c r="R300" i="13" s="1"/>
  <c r="AF300" i="13" s="1"/>
  <c r="CZ210" i="13"/>
  <c r="Z210" i="13" s="1"/>
  <c r="AF210" i="13" s="1"/>
  <c r="CF376" i="13"/>
  <c r="R376" i="13" s="1"/>
  <c r="AF376" i="13" s="1"/>
  <c r="CZ170" i="13"/>
  <c r="Z170" i="13" s="1"/>
  <c r="CZ431" i="13"/>
  <c r="Z431" i="13" s="1"/>
  <c r="AF431" i="13" s="1"/>
  <c r="CZ580" i="13"/>
  <c r="Z580" i="13" s="1"/>
  <c r="CF926" i="13"/>
  <c r="R926" i="13" s="1"/>
  <c r="CZ776" i="13"/>
  <c r="Z776" i="13" s="1"/>
  <c r="CZ910" i="13"/>
  <c r="Z910" i="13" s="1"/>
  <c r="CF567" i="13"/>
  <c r="R567" i="13" s="1"/>
  <c r="CF499" i="13"/>
  <c r="R499" i="13" s="1"/>
  <c r="CF529" i="13"/>
  <c r="R529" i="13" s="1"/>
  <c r="AF240" i="13"/>
  <c r="AF572" i="13"/>
  <c r="AF968" i="13"/>
  <c r="AF587" i="13"/>
  <c r="AF848" i="13"/>
  <c r="AF422" i="13"/>
  <c r="AF512" i="13"/>
  <c r="AF294" i="13"/>
  <c r="AF312" i="13"/>
  <c r="AF879" i="13"/>
  <c r="AF690" i="13"/>
  <c r="AF546" i="13"/>
  <c r="AF781" i="13"/>
  <c r="AF952" i="13"/>
  <c r="AF903" i="13"/>
  <c r="AF257" i="13"/>
  <c r="AF478" i="13"/>
  <c r="AF550" i="13"/>
  <c r="AF141" i="13"/>
  <c r="AF734" i="13"/>
  <c r="AF583" i="13"/>
  <c r="AF536" i="13"/>
  <c r="AF642" i="13"/>
  <c r="AF428" i="13"/>
  <c r="AF969" i="13"/>
  <c r="AF193" i="13"/>
  <c r="AF122" i="13"/>
  <c r="AF190" i="13"/>
  <c r="AF407" i="13"/>
  <c r="AF972" i="13"/>
  <c r="AF417" i="13"/>
  <c r="AF973" i="13"/>
  <c r="AF858" i="13"/>
  <c r="AF963" i="13"/>
  <c r="AF409" i="13"/>
  <c r="AF926" i="13"/>
  <c r="AF266" i="13"/>
  <c r="AF258" i="13"/>
  <c r="AF372" i="13"/>
  <c r="AF700" i="13"/>
  <c r="AF830" i="13"/>
  <c r="AF785" i="13"/>
  <c r="AF544" i="13"/>
  <c r="AF866" i="13"/>
  <c r="AF672" i="13"/>
  <c r="AF750" i="13"/>
  <c r="AF953" i="13"/>
  <c r="AF791" i="13"/>
  <c r="AF196" i="13"/>
  <c r="AF615" i="13"/>
  <c r="AF251" i="13"/>
  <c r="AF298" i="13"/>
  <c r="AF554" i="13"/>
  <c r="AF945" i="13"/>
  <c r="AF647" i="13"/>
  <c r="AF408" i="13"/>
  <c r="AF286" i="13"/>
  <c r="AF143" i="13"/>
  <c r="AF688" i="13"/>
  <c r="AF326" i="13"/>
  <c r="CX531" i="13" a="1"/>
  <c r="CX531" i="13" s="1"/>
  <c r="CY531" i="13" a="1"/>
  <c r="CY531" i="13" s="1"/>
  <c r="CP859" i="13" a="1"/>
  <c r="CP859" i="13" s="1"/>
  <c r="CD810" i="13" a="1"/>
  <c r="CD810" i="13" s="1"/>
  <c r="CE810" i="13" a="1"/>
  <c r="CE810" i="13" s="1"/>
  <c r="CE829" i="13" a="1"/>
  <c r="CE829" i="13" s="1"/>
  <c r="CD829" i="13" a="1"/>
  <c r="CD829" i="13" s="1"/>
  <c r="CT1001" i="13" a="1"/>
  <c r="CT1001" i="13" s="1"/>
  <c r="CX857" i="13" a="1"/>
  <c r="CX857" i="13" s="1"/>
  <c r="CY857" i="13" a="1"/>
  <c r="CY857" i="13" s="1"/>
  <c r="BV889" i="13" a="1"/>
  <c r="BV889" i="13" s="1"/>
  <c r="BV133" i="13" a="1"/>
  <c r="BV133" i="13" s="1"/>
  <c r="CE318" i="13" a="1"/>
  <c r="CE318" i="13" s="1"/>
  <c r="CD318" i="13" a="1"/>
  <c r="CD318" i="13" s="1"/>
  <c r="CP201" i="13" a="1"/>
  <c r="CP201" i="13" s="1"/>
  <c r="CE324" i="13" a="1"/>
  <c r="CE324" i="13" s="1"/>
  <c r="CD324" i="13" a="1"/>
  <c r="CD324" i="13" s="1"/>
  <c r="CX365" i="13" a="1"/>
  <c r="CX365" i="13" s="1"/>
  <c r="CZ365" i="13" s="1"/>
  <c r="Z365" i="13" s="1"/>
  <c r="CY365" i="13" a="1"/>
  <c r="CY365" i="13" s="1"/>
  <c r="CD195" i="13" a="1"/>
  <c r="CD195" i="13" s="1"/>
  <c r="CE195" i="13" a="1"/>
  <c r="CE195" i="13" s="1"/>
  <c r="CT319" i="13" a="1"/>
  <c r="CT319" i="13" s="1"/>
  <c r="CY273" i="13" a="1"/>
  <c r="CY273" i="13" s="1"/>
  <c r="CX273" i="13" a="1"/>
  <c r="CX273" i="13" s="1"/>
  <c r="CY565" i="13" a="1"/>
  <c r="CY565" i="13" s="1"/>
  <c r="CX565" i="13" a="1"/>
  <c r="CX565" i="13" s="1"/>
  <c r="CZ565" i="13" s="1"/>
  <c r="Z565" i="13" s="1"/>
  <c r="CX199" i="13" a="1"/>
  <c r="CX199" i="13" s="1"/>
  <c r="CY199" i="13" a="1"/>
  <c r="CY199" i="13" s="1"/>
  <c r="CT539" i="13" a="1"/>
  <c r="CT539" i="13" s="1"/>
  <c r="CT619" i="13" a="1"/>
  <c r="CT619" i="13" s="1"/>
  <c r="CY675" i="13" a="1"/>
  <c r="CY675" i="13" s="1"/>
  <c r="CX675" i="13" a="1"/>
  <c r="CX675" i="13" s="1"/>
  <c r="CD764" i="13" a="1"/>
  <c r="CD764" i="13" s="1"/>
  <c r="CE764" i="13" a="1"/>
  <c r="CE764" i="13" s="1"/>
  <c r="CD667" i="13" a="1"/>
  <c r="CD667" i="13" s="1"/>
  <c r="CE667" i="13" a="1"/>
  <c r="CE667" i="13" s="1"/>
  <c r="CD565" i="13" a="1"/>
  <c r="CD565" i="13" s="1"/>
  <c r="CE565" i="13" a="1"/>
  <c r="CE565" i="13" s="1"/>
  <c r="BV756" i="13" a="1"/>
  <c r="BV756" i="13" s="1"/>
  <c r="BV623" i="13" a="1"/>
  <c r="BV623" i="13" s="1"/>
  <c r="CD772" i="13" a="1"/>
  <c r="CD772" i="13" s="1"/>
  <c r="CE772" i="13" a="1"/>
  <c r="CE772" i="13" s="1"/>
  <c r="CT678" i="13" a="1"/>
  <c r="CT678" i="13" s="1"/>
  <c r="CY582" i="13" a="1"/>
  <c r="CY582" i="13" s="1"/>
  <c r="CX582" i="13" a="1"/>
  <c r="CX582" i="13" s="1"/>
  <c r="CP895" i="13" a="1"/>
  <c r="CP895" i="13" s="1"/>
  <c r="CE859" i="13" a="1"/>
  <c r="CE859" i="13" s="1"/>
  <c r="CD859" i="13" a="1"/>
  <c r="CD859" i="13" s="1"/>
  <c r="CE157" i="13" a="1"/>
  <c r="CE157" i="13" s="1"/>
  <c r="CD157" i="13" a="1"/>
  <c r="CD157" i="13" s="1"/>
  <c r="CP336" i="13" a="1"/>
  <c r="CP336" i="13" s="1"/>
  <c r="CP166" i="13" a="1"/>
  <c r="CP166" i="13" s="1"/>
  <c r="BZ315" i="13" a="1"/>
  <c r="BZ315" i="13" s="1"/>
  <c r="CE177" i="13" a="1"/>
  <c r="CE177" i="13" s="1"/>
  <c r="CD177" i="13" a="1"/>
  <c r="CD177" i="13" s="1"/>
  <c r="CY515" i="13" a="1"/>
  <c r="CY515" i="13" s="1"/>
  <c r="CX515" i="13" a="1"/>
  <c r="CX515" i="13" s="1"/>
  <c r="CP299" i="13" a="1"/>
  <c r="CP299" i="13" s="1"/>
  <c r="CY621" i="13" a="1"/>
  <c r="CY621" i="13" s="1"/>
  <c r="CX621" i="13" a="1"/>
  <c r="CX621" i="13" s="1"/>
  <c r="BV342" i="13" a="1"/>
  <c r="BV342" i="13" s="1"/>
  <c r="CD649" i="13" a="1"/>
  <c r="CD649" i="13" s="1"/>
  <c r="CE649" i="13" a="1"/>
  <c r="CE649" i="13" s="1"/>
  <c r="CX623" i="13" a="1"/>
  <c r="CX623" i="13" s="1"/>
  <c r="CY623" i="13" a="1"/>
  <c r="CY623" i="13" s="1"/>
  <c r="CY752" i="13" a="1"/>
  <c r="CY752" i="13" s="1"/>
  <c r="CX752" i="13" a="1"/>
  <c r="CX752" i="13" s="1"/>
  <c r="CX645" i="13" a="1"/>
  <c r="CX645" i="13" s="1"/>
  <c r="CY645" i="13" a="1"/>
  <c r="CY645" i="13" s="1"/>
  <c r="CT487" i="13" a="1"/>
  <c r="CT487" i="13" s="1"/>
  <c r="CD676" i="13" a="1"/>
  <c r="CD676" i="13" s="1"/>
  <c r="CE676" i="13" a="1"/>
  <c r="CE676" i="13" s="1"/>
  <c r="BV764" i="13" a="1"/>
  <c r="BV764" i="13" s="1"/>
  <c r="CD786" i="13" a="1"/>
  <c r="CD786" i="13" s="1"/>
  <c r="CE786" i="13" a="1"/>
  <c r="CE786" i="13" s="1"/>
  <c r="CE998" i="13" a="1"/>
  <c r="CE998" i="13" s="1"/>
  <c r="CD998" i="13" a="1"/>
  <c r="CD998" i="13" s="1"/>
  <c r="BV899" i="13" a="1"/>
  <c r="BV899" i="13" s="1"/>
  <c r="CY1018" i="13" a="1"/>
  <c r="CY1018" i="13" s="1"/>
  <c r="CX1018" i="13" a="1"/>
  <c r="CX1018" i="13" s="1"/>
  <c r="AF170" i="13"/>
  <c r="BV318" i="13" a="1"/>
  <c r="BV318" i="13" s="1"/>
  <c r="BV334" i="13" a="1"/>
  <c r="BV334" i="13" s="1"/>
  <c r="CD580" i="13" a="1"/>
  <c r="CD580" i="13" s="1"/>
  <c r="CF580" i="13" s="1"/>
  <c r="R580" i="13" s="1"/>
  <c r="CD459" i="13" a="1"/>
  <c r="CD459" i="13" s="1"/>
  <c r="CF459" i="13" s="1"/>
  <c r="R459" i="13" s="1"/>
  <c r="BZ660" i="13" a="1"/>
  <c r="BZ660" i="13" s="1"/>
  <c r="BZ645" i="13" a="1"/>
  <c r="BZ645" i="13" s="1"/>
  <c r="CD904" i="13" a="1"/>
  <c r="CD904" i="13" s="1"/>
  <c r="CF904" i="13" s="1"/>
  <c r="R904" i="13" s="1"/>
  <c r="CP123" i="13" a="1"/>
  <c r="CP123" i="13" s="1"/>
  <c r="AF435" i="13"/>
  <c r="CP303" i="13" a="1"/>
  <c r="CP303" i="13" s="1"/>
  <c r="CT635" i="13" a="1"/>
  <c r="CT635" i="13" s="1"/>
  <c r="CX460" i="13" a="1"/>
  <c r="CX460" i="13" s="1"/>
  <c r="BZ665" i="13" a="1"/>
  <c r="BZ665" i="13" s="1"/>
  <c r="AF996" i="13"/>
  <c r="BV788" i="13" a="1"/>
  <c r="BV788" i="13" s="1"/>
  <c r="CT918" i="13" a="1"/>
  <c r="CT918" i="13" s="1"/>
  <c r="CD227" i="13" a="1"/>
  <c r="CD227" i="13" s="1"/>
  <c r="CF227" i="13" s="1"/>
  <c r="R227" i="13" s="1"/>
  <c r="CT997" i="13" a="1"/>
  <c r="CT997" i="13" s="1"/>
  <c r="CT747" i="13" a="1"/>
  <c r="CT747" i="13" s="1"/>
  <c r="CT778" i="13" a="1"/>
  <c r="CT778" i="13" s="1"/>
  <c r="BZ916" i="13" a="1"/>
  <c r="BZ916" i="13" s="1"/>
  <c r="BZ197" i="13" a="1"/>
  <c r="BZ197" i="13" s="1"/>
  <c r="CX159" i="13" a="1"/>
  <c r="CX159" i="13" s="1"/>
  <c r="CZ159" i="13" s="1"/>
  <c r="Z159" i="13" s="1"/>
  <c r="CP670" i="13" a="1"/>
  <c r="CP670" i="13" s="1"/>
  <c r="CD658" i="13" a="1"/>
  <c r="CD658" i="13" s="1"/>
  <c r="CF658" i="13" s="1"/>
  <c r="R658" i="13" s="1"/>
  <c r="CT790" i="13" a="1"/>
  <c r="CT790" i="13" s="1"/>
  <c r="BV123" i="13" a="1"/>
  <c r="BV123" i="13" s="1"/>
  <c r="CP305" i="13" a="1"/>
  <c r="CP305" i="13" s="1"/>
  <c r="BZ998" i="13" a="1"/>
  <c r="BZ998" i="13" s="1"/>
  <c r="CT887" i="13" a="1"/>
  <c r="CT887" i="13" s="1"/>
  <c r="CZ887" i="13" s="1"/>
  <c r="Z887" i="13" s="1"/>
  <c r="CT352" i="13" a="1"/>
  <c r="CT352" i="13" s="1"/>
  <c r="CZ352" i="13" s="1"/>
  <c r="Z352" i="13" s="1"/>
  <c r="BV619" i="13" a="1"/>
  <c r="BV619" i="13" s="1"/>
  <c r="CX539" i="13" a="1"/>
  <c r="CX539" i="13" s="1"/>
  <c r="CZ539" i="13" s="1"/>
  <c r="Z539" i="13" s="1"/>
  <c r="CD891" i="13" a="1"/>
  <c r="CD891" i="13" s="1"/>
  <c r="CF891" i="13" s="1"/>
  <c r="R891" i="13" s="1"/>
  <c r="CP780" i="13" a="1"/>
  <c r="CP780" i="13" s="1"/>
  <c r="BV355" i="13" a="1"/>
  <c r="BV355" i="13" s="1"/>
  <c r="CX357" i="13" a="1"/>
  <c r="CX357" i="13" s="1"/>
  <c r="CZ357" i="13" s="1"/>
  <c r="Z357" i="13" s="1"/>
  <c r="CX313" i="13" a="1"/>
  <c r="CX313" i="13" s="1"/>
  <c r="CX677" i="13" a="1"/>
  <c r="CX677" i="13" s="1"/>
  <c r="CZ677" i="13" s="1"/>
  <c r="Z677" i="13" s="1"/>
  <c r="BV633" i="13" a="1"/>
  <c r="BV633" i="13" s="1"/>
  <c r="CT772" i="13" a="1"/>
  <c r="CT772" i="13" s="1"/>
  <c r="BV766" i="13" a="1"/>
  <c r="BV766" i="13" s="1"/>
  <c r="CE433" i="13" a="1"/>
  <c r="CE433" i="13" s="1"/>
  <c r="CD433" i="13" a="1"/>
  <c r="CD433" i="13" s="1"/>
  <c r="CY654" i="13" a="1"/>
  <c r="CY654" i="13" s="1"/>
  <c r="CX654" i="13" a="1"/>
  <c r="CX654" i="13" s="1"/>
  <c r="CY459" i="13" a="1"/>
  <c r="CY459" i="13" s="1"/>
  <c r="CX459" i="13" a="1"/>
  <c r="CX459" i="13" s="1"/>
  <c r="CD578" i="13" a="1"/>
  <c r="CD578" i="13" s="1"/>
  <c r="CE578" i="13" a="1"/>
  <c r="CE578" i="13" s="1"/>
  <c r="CY778" i="13" a="1"/>
  <c r="CY778" i="13" s="1"/>
  <c r="CX778" i="13" a="1"/>
  <c r="CX778" i="13" s="1"/>
  <c r="AF817" i="13"/>
  <c r="CD363" i="13" a="1"/>
  <c r="CD363" i="13" s="1"/>
  <c r="CE363" i="13" a="1"/>
  <c r="CE363" i="13" s="1"/>
  <c r="AF385" i="13"/>
  <c r="CE445" i="13" a="1"/>
  <c r="CE445" i="13" s="1"/>
  <c r="CD445" i="13" a="1"/>
  <c r="CD445" i="13" s="1"/>
  <c r="CE671" i="13" a="1"/>
  <c r="CE671" i="13" s="1"/>
  <c r="CD671" i="13" a="1"/>
  <c r="CD671" i="13" s="1"/>
  <c r="CE869" i="13" a="1"/>
  <c r="CE869" i="13" s="1"/>
  <c r="CD869" i="13" a="1"/>
  <c r="CD869" i="13" s="1"/>
  <c r="AF375" i="13"/>
  <c r="CX177" i="13" a="1"/>
  <c r="CX177" i="13" s="1"/>
  <c r="CY177" i="13" a="1"/>
  <c r="CY177" i="13" s="1"/>
  <c r="CX468" i="13" a="1"/>
  <c r="CX468" i="13" s="1"/>
  <c r="CY468" i="13" a="1"/>
  <c r="CY468" i="13" s="1"/>
  <c r="BV477" i="13" a="1"/>
  <c r="BV477" i="13" s="1"/>
  <c r="CX606" i="13" a="1"/>
  <c r="CX606" i="13" s="1"/>
  <c r="CY606" i="13" a="1"/>
  <c r="CY606" i="13" s="1"/>
  <c r="CD794" i="13" a="1"/>
  <c r="CD794" i="13" s="1"/>
  <c r="CE794" i="13" a="1"/>
  <c r="CE794" i="13" s="1"/>
  <c r="CE441" i="13" a="1"/>
  <c r="CE441" i="13" s="1"/>
  <c r="CD441" i="13" a="1"/>
  <c r="CD441" i="13" s="1"/>
  <c r="CY561" i="13" a="1"/>
  <c r="CY561" i="13" s="1"/>
  <c r="CX561" i="13" a="1"/>
  <c r="CX561" i="13" s="1"/>
  <c r="AF516" i="13"/>
  <c r="AF946" i="13"/>
  <c r="AF962" i="13"/>
  <c r="AF982" i="13"/>
  <c r="AF832" i="13"/>
  <c r="BV352" i="13" a="1"/>
  <c r="BV352" i="13" s="1"/>
  <c r="AF268" i="13"/>
  <c r="CY235" i="13" a="1"/>
  <c r="CY235" i="13" s="1"/>
  <c r="CX235" i="13" a="1"/>
  <c r="CX235" i="13" s="1"/>
  <c r="CT263" i="13" a="1"/>
  <c r="CT263" i="13" s="1"/>
  <c r="CD183" i="13" a="1"/>
  <c r="CD183" i="13" s="1"/>
  <c r="CE183" i="13" a="1"/>
  <c r="CE183" i="13" s="1"/>
  <c r="AF246" i="13"/>
  <c r="CP669" i="13" a="1"/>
  <c r="CP669" i="13" s="1"/>
  <c r="CE633" i="13" a="1"/>
  <c r="CE633" i="13" s="1"/>
  <c r="CD633" i="13" a="1"/>
  <c r="CD633" i="13" s="1"/>
  <c r="BV778" i="13" a="1"/>
  <c r="BV778" i="13" s="1"/>
  <c r="BZ181" i="13" a="1"/>
  <c r="BZ181" i="13" s="1"/>
  <c r="CX350" i="13" a="1"/>
  <c r="CX350" i="13" s="1"/>
  <c r="CY350" i="13" a="1"/>
  <c r="CY350" i="13" s="1"/>
  <c r="AF283" i="13"/>
  <c r="CP440" i="13" a="1"/>
  <c r="CP440" i="13" s="1"/>
  <c r="BZ507" i="13" a="1"/>
  <c r="BZ507" i="13" s="1"/>
  <c r="BV539" i="13" a="1"/>
  <c r="BV539" i="13" s="1"/>
  <c r="CX881" i="13" a="1"/>
  <c r="CX881" i="13" s="1"/>
  <c r="CY881" i="13" a="1"/>
  <c r="CY881" i="13" s="1"/>
  <c r="CY995" i="13" a="1"/>
  <c r="CY995" i="13" s="1"/>
  <c r="CX995" i="13" a="1"/>
  <c r="CX995" i="13" s="1"/>
  <c r="BV897" i="13" a="1"/>
  <c r="BV897" i="13" s="1"/>
  <c r="BZ131" i="13" a="1"/>
  <c r="BZ131" i="13" s="1"/>
  <c r="CX371" i="13" a="1"/>
  <c r="CX371" i="13" s="1"/>
  <c r="CY371" i="13" a="1"/>
  <c r="CY371" i="13" s="1"/>
  <c r="CX359" i="13" a="1"/>
  <c r="CX359" i="13" s="1"/>
  <c r="CY359" i="13" a="1"/>
  <c r="CY359" i="13" s="1"/>
  <c r="CX250" i="13" a="1"/>
  <c r="CX250" i="13" s="1"/>
  <c r="CY250" i="13" a="1"/>
  <c r="CY250" i="13" s="1"/>
  <c r="CY334" i="13" a="1"/>
  <c r="CY334" i="13" s="1"/>
  <c r="CX334" i="13" a="1"/>
  <c r="CX334" i="13" s="1"/>
  <c r="CE470" i="13" a="1"/>
  <c r="CE470" i="13" s="1"/>
  <c r="CD470" i="13" a="1"/>
  <c r="CD470" i="13" s="1"/>
  <c r="CY598" i="13" a="1"/>
  <c r="CY598" i="13" s="1"/>
  <c r="CX598" i="13" a="1"/>
  <c r="CX598" i="13" s="1"/>
  <c r="BV545" i="13" a="1"/>
  <c r="BV545" i="13" s="1"/>
  <c r="CP668" i="13" a="1"/>
  <c r="CP668" i="13" s="1"/>
  <c r="CP639" i="13" a="1"/>
  <c r="CP639" i="13" s="1"/>
  <c r="CE798" i="13" a="1"/>
  <c r="CE798" i="13" s="1"/>
  <c r="CD798" i="13" a="1"/>
  <c r="CD798" i="13" s="1"/>
  <c r="CX495" i="13" a="1"/>
  <c r="CX495" i="13" s="1"/>
  <c r="CP137" i="13" a="1"/>
  <c r="CP137" i="13" s="1"/>
  <c r="CD174" i="13" a="1"/>
  <c r="CD174" i="13" s="1"/>
  <c r="CE174" i="13" a="1"/>
  <c r="CE174" i="13" s="1"/>
  <c r="CE371" i="13" a="1"/>
  <c r="CE371" i="13" s="1"/>
  <c r="CD371" i="13" a="1"/>
  <c r="CD371" i="13" s="1"/>
  <c r="CY450" i="13" a="1"/>
  <c r="CY450" i="13" s="1"/>
  <c r="CX450" i="13" a="1"/>
  <c r="CX450" i="13" s="1"/>
  <c r="CY513" i="13" a="1"/>
  <c r="CY513" i="13" s="1"/>
  <c r="CX513" i="13" a="1"/>
  <c r="CX513" i="13" s="1"/>
  <c r="CE440" i="13" a="1"/>
  <c r="CE440" i="13" s="1"/>
  <c r="CD440" i="13" a="1"/>
  <c r="CD440" i="13" s="1"/>
  <c r="CX471" i="13" a="1"/>
  <c r="CX471" i="13" s="1"/>
  <c r="CZ471" i="13" s="1"/>
  <c r="Z471" i="13" s="1"/>
  <c r="CY471" i="13" a="1"/>
  <c r="CY471" i="13" s="1"/>
  <c r="CE269" i="13" a="1"/>
  <c r="CE269" i="13" s="1"/>
  <c r="CD269" i="13" a="1"/>
  <c r="CD269" i="13" s="1"/>
  <c r="CF216" i="13"/>
  <c r="R216" i="13" s="1"/>
  <c r="AF216" i="13" s="1"/>
  <c r="CD348" i="13" a="1"/>
  <c r="CD348" i="13" s="1"/>
  <c r="CE348" i="13" a="1"/>
  <c r="CE348" i="13" s="1"/>
  <c r="CP786" i="13" a="1"/>
  <c r="CP786" i="13" s="1"/>
  <c r="BV808" i="13" a="1"/>
  <c r="BV808" i="13" s="1"/>
  <c r="BV229" i="13" a="1"/>
  <c r="BV229" i="13" s="1"/>
  <c r="CY328" i="13" a="1"/>
  <c r="CY328" i="13" s="1"/>
  <c r="CX328" i="13" a="1"/>
  <c r="CX328" i="13" s="1"/>
  <c r="CX436" i="13" a="1"/>
  <c r="CX436" i="13" s="1"/>
  <c r="CY436" i="13" a="1"/>
  <c r="CY436" i="13" s="1"/>
  <c r="CE355" i="13" a="1"/>
  <c r="CE355" i="13" s="1"/>
  <c r="CD355" i="13" a="1"/>
  <c r="CD355" i="13" s="1"/>
  <c r="CP195" i="13" a="1"/>
  <c r="CP195" i="13" s="1"/>
  <c r="CD350" i="13" a="1"/>
  <c r="CD350" i="13" s="1"/>
  <c r="CE350" i="13" a="1"/>
  <c r="CE350" i="13" s="1"/>
  <c r="CX643" i="13" a="1"/>
  <c r="CX643" i="13" s="1"/>
  <c r="CY643" i="13" a="1"/>
  <c r="CY643" i="13" s="1"/>
  <c r="AF242" i="13"/>
  <c r="CY656" i="13" a="1"/>
  <c r="CY656" i="13" s="1"/>
  <c r="CX656" i="13" a="1"/>
  <c r="CX656" i="13" s="1"/>
  <c r="CD762" i="13" a="1"/>
  <c r="CD762" i="13" s="1"/>
  <c r="CE762" i="13" a="1"/>
  <c r="CE762" i="13" s="1"/>
  <c r="CY487" i="13" a="1"/>
  <c r="CY487" i="13" s="1"/>
  <c r="CX487" i="13" a="1"/>
  <c r="CX487" i="13" s="1"/>
  <c r="BZ539" i="13" a="1"/>
  <c r="BZ539" i="13" s="1"/>
  <c r="CT441" i="13" a="1"/>
  <c r="CT441" i="13" s="1"/>
  <c r="CP774" i="13" a="1"/>
  <c r="CP774" i="13" s="1"/>
  <c r="CY991" i="13" a="1"/>
  <c r="CY991" i="13" s="1"/>
  <c r="CX991" i="13" a="1"/>
  <c r="CX991" i="13" s="1"/>
  <c r="CY867" i="13" a="1"/>
  <c r="CY867" i="13" s="1"/>
  <c r="CX867" i="13" a="1"/>
  <c r="CX867" i="13" s="1"/>
  <c r="CX1015" i="13" a="1"/>
  <c r="CX1015" i="13" s="1"/>
  <c r="CY1015" i="13" a="1"/>
  <c r="CY1015" i="13" s="1"/>
  <c r="CP444" i="13" a="1"/>
  <c r="CP444" i="13" s="1"/>
  <c r="CX269" i="13" a="1"/>
  <c r="CX269" i="13" s="1"/>
  <c r="CY269" i="13" a="1"/>
  <c r="CY269" i="13" s="1"/>
  <c r="CE525" i="13" a="1"/>
  <c r="CE525" i="13" s="1"/>
  <c r="CD525" i="13" a="1"/>
  <c r="CD525" i="13" s="1"/>
  <c r="CT623" i="13" a="1"/>
  <c r="CT623" i="13" s="1"/>
  <c r="CT586" i="13" a="1"/>
  <c r="CT586" i="13" s="1"/>
  <c r="CX629" i="13" a="1"/>
  <c r="CX629" i="13" s="1"/>
  <c r="CY629" i="13" a="1"/>
  <c r="CY629" i="13" s="1"/>
  <c r="CP889" i="13" a="1"/>
  <c r="CP889" i="13" s="1"/>
  <c r="CD640" i="13" a="1"/>
  <c r="CD640" i="13" s="1"/>
  <c r="CE640" i="13" a="1"/>
  <c r="CE640" i="13" s="1"/>
  <c r="CX804" i="13" a="1"/>
  <c r="CX804" i="13" s="1"/>
  <c r="CY804" i="13" a="1"/>
  <c r="CY804" i="13" s="1"/>
  <c r="BV758" i="13" a="1"/>
  <c r="BV758" i="13" s="1"/>
  <c r="BV829" i="13" a="1"/>
  <c r="BV829" i="13" s="1"/>
  <c r="CP138" i="13" a="1"/>
  <c r="CP138" i="13" s="1"/>
  <c r="CD180" i="13" a="1"/>
  <c r="CD180" i="13" s="1"/>
  <c r="CF180" i="13" s="1"/>
  <c r="R180" i="13" s="1"/>
  <c r="CD663" i="13" a="1"/>
  <c r="CD663" i="13" s="1"/>
  <c r="BV684" i="13" a="1"/>
  <c r="BV684" i="13" s="1"/>
  <c r="CP851" i="13" a="1"/>
  <c r="CP851" i="13" s="1"/>
  <c r="BZ899" i="13" a="1"/>
  <c r="BZ899" i="13" s="1"/>
  <c r="CT762" i="13" a="1"/>
  <c r="CT762" i="13" s="1"/>
  <c r="CZ762" i="13" s="1"/>
  <c r="Z762" i="13" s="1"/>
  <c r="BZ798" i="13" a="1"/>
  <c r="BZ798" i="13" s="1"/>
  <c r="CF798" i="13" s="1"/>
  <c r="R798" i="13" s="1"/>
  <c r="CT1020" i="13" a="1"/>
  <c r="CT1020" i="13" s="1"/>
  <c r="AF161" i="13"/>
  <c r="AF760" i="13"/>
  <c r="CP477" i="13" a="1"/>
  <c r="CP477" i="13" s="1"/>
  <c r="CD125" i="13" a="1"/>
  <c r="CD125" i="13" s="1"/>
  <c r="CF125" i="13" s="1"/>
  <c r="R125" i="13" s="1"/>
  <c r="CT256" i="13" a="1"/>
  <c r="CT256" i="13" s="1"/>
  <c r="BZ332" i="13" a="1"/>
  <c r="BZ332" i="13" s="1"/>
  <c r="CX614" i="13" a="1"/>
  <c r="CX614" i="13" s="1"/>
  <c r="BZ772" i="13" a="1"/>
  <c r="BZ772" i="13" s="1"/>
  <c r="CP140" i="13" a="1"/>
  <c r="CP140" i="13" s="1"/>
  <c r="BV563" i="13" a="1"/>
  <c r="BV563" i="13" s="1"/>
  <c r="CP456" i="13" a="1"/>
  <c r="CP456" i="13" s="1"/>
  <c r="BZ446" i="13" a="1"/>
  <c r="BZ446" i="13" s="1"/>
  <c r="CF446" i="13" s="1"/>
  <c r="R446" i="13" s="1"/>
  <c r="CD588" i="13" a="1"/>
  <c r="CD588" i="13" s="1"/>
  <c r="CF588" i="13" s="1"/>
  <c r="R588" i="13" s="1"/>
  <c r="CT895" i="13" a="1"/>
  <c r="CT895" i="13" s="1"/>
  <c r="CZ895" i="13" s="1"/>
  <c r="Z895" i="13" s="1"/>
  <c r="CD137" i="13" a="1"/>
  <c r="CD137" i="13" s="1"/>
  <c r="CF137" i="13" s="1"/>
  <c r="R137" i="13" s="1"/>
  <c r="CT172" i="13" a="1"/>
  <c r="CT172" i="13" s="1"/>
  <c r="BZ330" i="13" a="1"/>
  <c r="BZ330" i="13" s="1"/>
  <c r="CF330" i="13" s="1"/>
  <c r="R330" i="13" s="1"/>
  <c r="AF330" i="13" s="1"/>
  <c r="CP475" i="13" a="1"/>
  <c r="CP475" i="13" s="1"/>
  <c r="BZ673" i="13" a="1"/>
  <c r="BZ673" i="13" s="1"/>
  <c r="CF673" i="13" s="1"/>
  <c r="R673" i="13" s="1"/>
  <c r="CP640" i="13" a="1"/>
  <c r="CP640" i="13" s="1"/>
  <c r="CP1016" i="13" a="1"/>
  <c r="CP1016" i="13" s="1"/>
  <c r="CT912" i="13" a="1"/>
  <c r="CT912" i="13" s="1"/>
  <c r="CZ912" i="13" s="1"/>
  <c r="Z912" i="13" s="1"/>
  <c r="CP446" i="13" a="1"/>
  <c r="CP446" i="13" s="1"/>
  <c r="CX680" i="13" a="1"/>
  <c r="CX680" i="13" s="1"/>
  <c r="CZ680" i="13" s="1"/>
  <c r="Z680" i="13" s="1"/>
  <c r="AF680" i="13" s="1"/>
  <c r="CX453" i="13" a="1"/>
  <c r="CX453" i="13" s="1"/>
  <c r="CT906" i="13" a="1"/>
  <c r="CT906" i="13" s="1"/>
  <c r="CZ906" i="13" s="1"/>
  <c r="Z906" i="13" s="1"/>
  <c r="CX125" i="13" a="1"/>
  <c r="CX125" i="13" s="1"/>
  <c r="BV390" i="13" a="1"/>
  <c r="BV390" i="13" s="1"/>
  <c r="CT457" i="13" a="1"/>
  <c r="CT457" i="13" s="1"/>
  <c r="CZ457" i="13" s="1"/>
  <c r="Z457" i="13" s="1"/>
  <c r="BV454" i="13" a="1"/>
  <c r="BV454" i="13" s="1"/>
  <c r="CF454" i="13" s="1"/>
  <c r="R454" i="13" s="1"/>
  <c r="BV657" i="13" a="1"/>
  <c r="BV657" i="13" s="1"/>
  <c r="BZ861" i="13" a="1"/>
  <c r="BZ861" i="13" s="1"/>
  <c r="BZ829" i="13" a="1"/>
  <c r="BZ829" i="13" s="1"/>
  <c r="CT204" i="13" a="1"/>
  <c r="CT204" i="13" s="1"/>
  <c r="CD622" i="13" a="1"/>
  <c r="CD622" i="13" s="1"/>
  <c r="BV752" i="13" a="1"/>
  <c r="BV752" i="13" s="1"/>
  <c r="CP991" i="13" a="1"/>
  <c r="CP991" i="13" s="1"/>
  <c r="CT845" i="13" a="1"/>
  <c r="CT845" i="13" s="1"/>
  <c r="CZ845" i="13" s="1"/>
  <c r="Z845" i="13" s="1"/>
  <c r="CD883" i="13" a="1"/>
  <c r="CD883" i="13" s="1"/>
  <c r="CF883" i="13" s="1"/>
  <c r="R883" i="13" s="1"/>
  <c r="CD152" i="13" a="1"/>
  <c r="CD152" i="13" s="1"/>
  <c r="CE152" i="13" a="1"/>
  <c r="CE152" i="13" s="1"/>
  <c r="CY835" i="13" a="1"/>
  <c r="CY835" i="13" s="1"/>
  <c r="CX835" i="13" a="1"/>
  <c r="CX835" i="13" s="1"/>
  <c r="AF862" i="13"/>
  <c r="CY231" i="13" a="1"/>
  <c r="CY231" i="13" s="1"/>
  <c r="CX231" i="13" a="1"/>
  <c r="CX231" i="13" s="1"/>
  <c r="CE851" i="13" a="1"/>
  <c r="CE851" i="13" s="1"/>
  <c r="CD851" i="13" a="1"/>
  <c r="CD851" i="13" s="1"/>
  <c r="AF532" i="13"/>
  <c r="CX178" i="13" a="1"/>
  <c r="CX178" i="13" s="1"/>
  <c r="CY178" i="13" a="1"/>
  <c r="CY178" i="13" s="1"/>
  <c r="CY180" i="13" a="1"/>
  <c r="CY180" i="13" s="1"/>
  <c r="CX180" i="13" a="1"/>
  <c r="CX180" i="13" s="1"/>
  <c r="CX469" i="13" a="1"/>
  <c r="CX469" i="13" s="1"/>
  <c r="CY469" i="13" a="1"/>
  <c r="CY469" i="13" s="1"/>
  <c r="CY559" i="13" a="1"/>
  <c r="CY559" i="13" s="1"/>
  <c r="CX559" i="13" a="1"/>
  <c r="CX559" i="13" s="1"/>
  <c r="CZ559" i="13" s="1"/>
  <c r="Z559" i="13" s="1"/>
  <c r="AF787" i="13"/>
  <c r="CY308" i="13" a="1"/>
  <c r="CY308" i="13" s="1"/>
  <c r="CX308" i="13" a="1"/>
  <c r="CX308" i="13" s="1"/>
  <c r="CE390" i="13" a="1"/>
  <c r="CE390" i="13" s="1"/>
  <c r="CD390" i="13" a="1"/>
  <c r="CD390" i="13" s="1"/>
  <c r="BZ301" i="13" a="1"/>
  <c r="BZ301" i="13" s="1"/>
  <c r="BZ309" i="13" a="1"/>
  <c r="BZ309" i="13" s="1"/>
  <c r="CY197" i="13" a="1"/>
  <c r="CY197" i="13" s="1"/>
  <c r="CX197" i="13" a="1"/>
  <c r="CX197" i="13" s="1"/>
  <c r="CE305" i="13" a="1"/>
  <c r="CE305" i="13" s="1"/>
  <c r="CD305" i="13" a="1"/>
  <c r="CD305" i="13" s="1"/>
  <c r="AF214" i="13"/>
  <c r="CX630" i="13" a="1"/>
  <c r="CX630" i="13" s="1"/>
  <c r="CY630" i="13" a="1"/>
  <c r="CY630" i="13" s="1"/>
  <c r="AF825" i="13"/>
  <c r="AF854" i="13"/>
  <c r="CX865" i="13" a="1"/>
  <c r="CX865" i="13" s="1"/>
  <c r="CY865" i="13" a="1"/>
  <c r="CY865" i="13" s="1"/>
  <c r="AF980" i="13"/>
  <c r="CE171" i="13" a="1"/>
  <c r="CE171" i="13" s="1"/>
  <c r="CD171" i="13" a="1"/>
  <c r="CD171" i="13" s="1"/>
  <c r="CT324" i="13" a="1"/>
  <c r="CT324" i="13" s="1"/>
  <c r="BV344" i="13" a="1"/>
  <c r="BV344" i="13" s="1"/>
  <c r="CX441" i="13" a="1"/>
  <c r="CX441" i="13" s="1"/>
  <c r="CY441" i="13" a="1"/>
  <c r="CY441" i="13" s="1"/>
  <c r="CT596" i="13" a="1"/>
  <c r="CT596" i="13" s="1"/>
  <c r="CY794" i="13" a="1"/>
  <c r="CY794" i="13" s="1"/>
  <c r="CX794" i="13" a="1"/>
  <c r="CX794" i="13" s="1"/>
  <c r="AF726" i="13"/>
  <c r="AF720" i="13"/>
  <c r="CX851" i="13" a="1"/>
  <c r="CX851" i="13" s="1"/>
  <c r="CY851" i="13" a="1"/>
  <c r="CY851" i="13" s="1"/>
  <c r="CD877" i="13" a="1"/>
  <c r="CD877" i="13" s="1"/>
  <c r="CE877" i="13" a="1"/>
  <c r="CE877" i="13" s="1"/>
  <c r="CX918" i="13" a="1"/>
  <c r="CX918" i="13" s="1"/>
  <c r="CY918" i="13" a="1"/>
  <c r="CY918" i="13" s="1"/>
  <c r="CZ918" i="13" s="1"/>
  <c r="Z918" i="13" s="1"/>
  <c r="CT133" i="13" a="1"/>
  <c r="CT133" i="13" s="1"/>
  <c r="AF282" i="13"/>
  <c r="CD411" i="13" a="1"/>
  <c r="CD411" i="13" s="1"/>
  <c r="CE411" i="13" a="1"/>
  <c r="CE411" i="13" s="1"/>
  <c r="CY433" i="13" a="1"/>
  <c r="CY433" i="13" s="1"/>
  <c r="CX433" i="13" a="1"/>
  <c r="CX433" i="13" s="1"/>
  <c r="BV235" i="13" a="1"/>
  <c r="BV235" i="13" s="1"/>
  <c r="CF183" i="13"/>
  <c r="R183" i="13" s="1"/>
  <c r="AF224" i="13"/>
  <c r="BV313" i="13" a="1"/>
  <c r="BV313" i="13" s="1"/>
  <c r="AF591" i="13"/>
  <c r="CY754" i="13" a="1"/>
  <c r="CY754" i="13" s="1"/>
  <c r="CX754" i="13" a="1"/>
  <c r="CX754" i="13" s="1"/>
  <c r="CP835" i="13" a="1"/>
  <c r="CP835" i="13" s="1"/>
  <c r="AF579" i="13"/>
  <c r="AF708" i="13"/>
  <c r="CE636" i="13" a="1"/>
  <c r="CE636" i="13" s="1"/>
  <c r="CD636" i="13" a="1"/>
  <c r="CD636" i="13" s="1"/>
  <c r="CT1000" i="13" a="1"/>
  <c r="CT1000" i="13" s="1"/>
  <c r="CX924" i="13" a="1"/>
  <c r="CX924" i="13" s="1"/>
  <c r="CY924" i="13" a="1"/>
  <c r="CY924" i="13" s="1"/>
  <c r="CX1000" i="13" a="1"/>
  <c r="CX1000" i="13" s="1"/>
  <c r="CY1000" i="13" a="1"/>
  <c r="CY1000" i="13" s="1"/>
  <c r="CZ1000" i="13" s="1"/>
  <c r="Z1000" i="13" s="1"/>
  <c r="CZ334" i="13"/>
  <c r="Z334" i="13" s="1"/>
  <c r="CD373" i="13" a="1"/>
  <c r="CD373" i="13" s="1"/>
  <c r="CE373" i="13" a="1"/>
  <c r="CE373" i="13" s="1"/>
  <c r="CX324" i="13" a="1"/>
  <c r="CX324" i="13" s="1"/>
  <c r="CY324" i="13" a="1"/>
  <c r="CY324" i="13" s="1"/>
  <c r="CY517" i="13" a="1"/>
  <c r="CY517" i="13" s="1"/>
  <c r="CX517" i="13" a="1"/>
  <c r="CX517" i="13" s="1"/>
  <c r="AF496" i="13"/>
  <c r="CD626" i="13" a="1"/>
  <c r="CD626" i="13" s="1"/>
  <c r="CE626" i="13" a="1"/>
  <c r="CE626" i="13" s="1"/>
  <c r="CX663" i="13" a="1"/>
  <c r="CX663" i="13" s="1"/>
  <c r="CY663" i="13" a="1"/>
  <c r="CY663" i="13" s="1"/>
  <c r="CD531" i="13" a="1"/>
  <c r="CD531" i="13" s="1"/>
  <c r="CE531" i="13" a="1"/>
  <c r="CE531" i="13" s="1"/>
  <c r="CP584" i="13" a="1"/>
  <c r="CP584" i="13" s="1"/>
  <c r="CX790" i="13" a="1"/>
  <c r="CX790" i="13" s="1"/>
  <c r="CY790" i="13" a="1"/>
  <c r="CY790" i="13" s="1"/>
  <c r="AF777" i="13"/>
  <c r="CX1010" i="13" a="1"/>
  <c r="CX1010" i="13" s="1"/>
  <c r="CY1010" i="13" a="1"/>
  <c r="CY1010" i="13" s="1"/>
  <c r="CD1011" i="13" a="1"/>
  <c r="CD1011" i="13" s="1"/>
  <c r="CE1011" i="13" a="1"/>
  <c r="CE1011" i="13" s="1"/>
  <c r="CP901" i="13" a="1"/>
  <c r="CP901" i="13" s="1"/>
  <c r="CE934" i="13" a="1"/>
  <c r="CE934" i="13" s="1"/>
  <c r="CD934" i="13" a="1"/>
  <c r="CD934" i="13" s="1"/>
  <c r="BV173" i="13" a="1"/>
  <c r="BV173" i="13" s="1"/>
  <c r="BZ346" i="13" a="1"/>
  <c r="BZ346" i="13" s="1"/>
  <c r="CP533" i="13" a="1"/>
  <c r="CP533" i="13" s="1"/>
  <c r="CY464" i="13" a="1"/>
  <c r="CY464" i="13" s="1"/>
  <c r="CX464" i="13" a="1"/>
  <c r="CX464" i="13" s="1"/>
  <c r="CT590" i="13" a="1"/>
  <c r="CT590" i="13" s="1"/>
  <c r="BV578" i="13" a="1"/>
  <c r="BV578" i="13" s="1"/>
  <c r="CP855" i="13" a="1"/>
  <c r="CP855" i="13" s="1"/>
  <c r="BZ639" i="13" a="1"/>
  <c r="BZ639" i="13" s="1"/>
  <c r="CF639" i="13" s="1"/>
  <c r="R639" i="13" s="1"/>
  <c r="BZ654" i="13" a="1"/>
  <c r="BZ654" i="13" s="1"/>
  <c r="CD826" i="13" a="1"/>
  <c r="CD826" i="13" s="1"/>
  <c r="CE826" i="13" a="1"/>
  <c r="CE826" i="13" s="1"/>
  <c r="BV800" i="13" a="1"/>
  <c r="BV800" i="13" s="1"/>
  <c r="CY743" i="13" a="1"/>
  <c r="CY743" i="13" s="1"/>
  <c r="CX743" i="13" a="1"/>
  <c r="CX743" i="13" s="1"/>
  <c r="BZ157" i="13" a="1"/>
  <c r="BZ157" i="13" s="1"/>
  <c r="CP323" i="13" a="1"/>
  <c r="CP323" i="13" s="1"/>
  <c r="CY483" i="13" a="1"/>
  <c r="CY483" i="13" s="1"/>
  <c r="CX483" i="13" a="1"/>
  <c r="CX483" i="13" s="1"/>
  <c r="CP348" i="13" a="1"/>
  <c r="CP348" i="13" s="1"/>
  <c r="BV439" i="13" a="1"/>
  <c r="BV439" i="13" s="1"/>
  <c r="CY634" i="13" a="1"/>
  <c r="CY634" i="13" s="1"/>
  <c r="CX634" i="13" a="1"/>
  <c r="CX634" i="13" s="1"/>
  <c r="CZ487" i="13"/>
  <c r="Z487" i="13" s="1"/>
  <c r="CE628" i="13" a="1"/>
  <c r="CE628" i="13" s="1"/>
  <c r="CD628" i="13" a="1"/>
  <c r="CD628" i="13" s="1"/>
  <c r="CT859" i="13" a="1"/>
  <c r="CT859" i="13" s="1"/>
  <c r="BV873" i="13" a="1"/>
  <c r="BV873" i="13" s="1"/>
  <c r="CE287" i="13" a="1"/>
  <c r="CE287" i="13" s="1"/>
  <c r="CD287" i="13" a="1"/>
  <c r="CD287" i="13" s="1"/>
  <c r="CE176" i="13" a="1"/>
  <c r="CE176" i="13" s="1"/>
  <c r="CD176" i="13" a="1"/>
  <c r="CD176" i="13" s="1"/>
  <c r="CE279" i="13" a="1"/>
  <c r="CE279" i="13" s="1"/>
  <c r="CD279" i="13" a="1"/>
  <c r="CD279" i="13" s="1"/>
  <c r="CF332" i="13"/>
  <c r="R332" i="13" s="1"/>
  <c r="CF633" i="13"/>
  <c r="R633" i="13" s="1"/>
  <c r="BV201" i="13" a="1"/>
  <c r="BV201" i="13" s="1"/>
  <c r="CP311" i="13" a="1"/>
  <c r="CP311" i="13" s="1"/>
  <c r="CE442" i="13" a="1"/>
  <c r="CE442" i="13" s="1"/>
  <c r="CD442" i="13" a="1"/>
  <c r="CD442" i="13" s="1"/>
  <c r="CX195" i="13" a="1"/>
  <c r="CX195" i="13" s="1"/>
  <c r="CY195" i="13" a="1"/>
  <c r="CY195" i="13" s="1"/>
  <c r="CP350" i="13" a="1"/>
  <c r="CP350" i="13" s="1"/>
  <c r="CZ350" i="13" s="1"/>
  <c r="Z350" i="13" s="1"/>
  <c r="CY625" i="13" a="1"/>
  <c r="CY625" i="13" s="1"/>
  <c r="CX625" i="13" a="1"/>
  <c r="CX625" i="13" s="1"/>
  <c r="CX644" i="13" a="1"/>
  <c r="CX644" i="13" s="1"/>
  <c r="CY644" i="13" a="1"/>
  <c r="CY644" i="13" s="1"/>
  <c r="CX394" i="13" a="1"/>
  <c r="CX394" i="13" s="1"/>
  <c r="CY394" i="13" a="1"/>
  <c r="CY394" i="13" s="1"/>
  <c r="BV569" i="13" a="1"/>
  <c r="BV569" i="13" s="1"/>
  <c r="CF670" i="13"/>
  <c r="R670" i="13" s="1"/>
  <c r="CP897" i="13" a="1"/>
  <c r="CP897" i="13" s="1"/>
  <c r="CD644" i="13" a="1"/>
  <c r="CD644" i="13" s="1"/>
  <c r="CE644" i="13" a="1"/>
  <c r="CE644" i="13" s="1"/>
  <c r="CX788" i="13" a="1"/>
  <c r="CX788" i="13" s="1"/>
  <c r="CY788" i="13" a="1"/>
  <c r="CY788" i="13" s="1"/>
  <c r="CY667" i="13" a="1"/>
  <c r="CY667" i="13" s="1"/>
  <c r="CX667" i="13" a="1"/>
  <c r="CX667" i="13" s="1"/>
  <c r="BZ559" i="13" a="1"/>
  <c r="BZ559" i="13" s="1"/>
  <c r="BV749" i="13" a="1"/>
  <c r="BV749" i="13" s="1"/>
  <c r="CX899" i="13" a="1"/>
  <c r="CX899" i="13" s="1"/>
  <c r="CY899" i="13" a="1"/>
  <c r="CY899" i="13" s="1"/>
  <c r="CE997" i="13" a="1"/>
  <c r="CE997" i="13" s="1"/>
  <c r="CD997" i="13" a="1"/>
  <c r="CD997" i="13" s="1"/>
  <c r="BZ843" i="13" a="1"/>
  <c r="BZ843" i="13" s="1"/>
  <c r="BZ835" i="13" a="1"/>
  <c r="BZ835" i="13" s="1"/>
  <c r="CX152" i="13" a="1"/>
  <c r="CX152" i="13" s="1"/>
  <c r="CY152" i="13" a="1"/>
  <c r="CY152" i="13" s="1"/>
  <c r="CT440" i="13" a="1"/>
  <c r="CT440" i="13" s="1"/>
  <c r="CY305" i="13" a="1"/>
  <c r="CY305" i="13" s="1"/>
  <c r="CX305" i="13" a="1"/>
  <c r="CX305" i="13" s="1"/>
  <c r="CT166" i="13" a="1"/>
  <c r="CT166" i="13" s="1"/>
  <c r="BV297" i="13" a="1"/>
  <c r="BV297" i="13" s="1"/>
  <c r="CY586" i="13" a="1"/>
  <c r="CY586" i="13" s="1"/>
  <c r="CX586" i="13" a="1"/>
  <c r="CX586" i="13" s="1"/>
  <c r="BZ265" i="13" a="1"/>
  <c r="BZ265" i="13" s="1"/>
  <c r="CX624" i="13" a="1"/>
  <c r="CX624" i="13" s="1"/>
  <c r="CY624" i="13" a="1"/>
  <c r="CY624" i="13" s="1"/>
  <c r="BZ602" i="13" a="1"/>
  <c r="BZ602" i="13" s="1"/>
  <c r="CD808" i="13" a="1"/>
  <c r="CD808" i="13" s="1"/>
  <c r="CE808" i="13" a="1"/>
  <c r="CE808" i="13" s="1"/>
  <c r="CX676" i="13" a="1"/>
  <c r="CX676" i="13" s="1"/>
  <c r="CY676" i="13" a="1"/>
  <c r="CY676" i="13" s="1"/>
  <c r="CZ676" i="13" s="1"/>
  <c r="Z676" i="13" s="1"/>
  <c r="CP788" i="13" a="1"/>
  <c r="CP788" i="13" s="1"/>
  <c r="CT655" i="13" a="1"/>
  <c r="CT655" i="13" s="1"/>
  <c r="CZ655" i="13" s="1"/>
  <c r="Z655" i="13" s="1"/>
  <c r="CF861" i="13"/>
  <c r="R861" i="13" s="1"/>
  <c r="AF861" i="13" s="1"/>
  <c r="BV762" i="13" a="1"/>
  <c r="BV762" i="13" s="1"/>
  <c r="CD853" i="13" a="1"/>
  <c r="CD853" i="13" s="1"/>
  <c r="CE853" i="13" a="1"/>
  <c r="CE853" i="13" s="1"/>
  <c r="CE1000" i="13" a="1"/>
  <c r="CE1000" i="13" s="1"/>
  <c r="CD1000" i="13" a="1"/>
  <c r="CD1000" i="13" s="1"/>
  <c r="CD918" i="13" a="1"/>
  <c r="CD918" i="13" s="1"/>
  <c r="CE918" i="13" a="1"/>
  <c r="CE918" i="13" s="1"/>
  <c r="CD166" i="13" a="1"/>
  <c r="CD166" i="13" s="1"/>
  <c r="BV204" i="13" a="1"/>
  <c r="BV204" i="13" s="1"/>
  <c r="CT682" i="13" a="1"/>
  <c r="CT682" i="13" s="1"/>
  <c r="CP531" i="13" a="1"/>
  <c r="CP531" i="13" s="1"/>
  <c r="CD747" i="13" a="1"/>
  <c r="CD747" i="13" s="1"/>
  <c r="CP867" i="13" a="1"/>
  <c r="CP867" i="13" s="1"/>
  <c r="CZ867" i="13" s="1"/>
  <c r="Z867" i="13" s="1"/>
  <c r="AF867" i="13" s="1"/>
  <c r="BZ762" i="13" a="1"/>
  <c r="BZ762" i="13" s="1"/>
  <c r="CP152" i="13" a="1"/>
  <c r="CP152" i="13" s="1"/>
  <c r="CX194" i="13" a="1"/>
  <c r="CX194" i="13" s="1"/>
  <c r="CP523" i="13" a="1"/>
  <c r="CP523" i="13" s="1"/>
  <c r="CT822" i="13" a="1"/>
  <c r="CT822" i="13" s="1"/>
  <c r="CT181" i="13" a="1"/>
  <c r="CT181" i="13" s="1"/>
  <c r="BZ371" i="13" a="1"/>
  <c r="BZ371" i="13" s="1"/>
  <c r="CF371" i="13" s="1"/>
  <c r="R371" i="13" s="1"/>
  <c r="BZ269" i="13" a="1"/>
  <c r="BZ269" i="13" s="1"/>
  <c r="CT631" i="13" a="1"/>
  <c r="CT631" i="13" s="1"/>
  <c r="CZ631" i="13" s="1"/>
  <c r="Z631" i="13" s="1"/>
  <c r="CD501" i="13" a="1"/>
  <c r="CD501" i="13" s="1"/>
  <c r="CF501" i="13" s="1"/>
  <c r="R501" i="13" s="1"/>
  <c r="CD569" i="13" a="1"/>
  <c r="CD569" i="13" s="1"/>
  <c r="CT877" i="13" a="1"/>
  <c r="CT877" i="13" s="1"/>
  <c r="CZ877" i="13" s="1"/>
  <c r="Z877" i="13" s="1"/>
  <c r="BZ1001" i="13" a="1"/>
  <c r="BZ1001" i="13" s="1"/>
  <c r="CD273" i="13" a="1"/>
  <c r="CD273" i="13" s="1"/>
  <c r="BV447" i="13" a="1"/>
  <c r="BV447" i="13" s="1"/>
  <c r="CF447" i="13" s="1"/>
  <c r="R447" i="13" s="1"/>
  <c r="BV531" i="13" a="1"/>
  <c r="BV531" i="13" s="1"/>
  <c r="CD204" i="13" a="1"/>
  <c r="CD204" i="13" s="1"/>
  <c r="CX658" i="13" a="1"/>
  <c r="CX658" i="13" s="1"/>
  <c r="CZ658" i="13" s="1"/>
  <c r="Z658" i="13" s="1"/>
  <c r="BZ584" i="13" a="1"/>
  <c r="BZ584" i="13" s="1"/>
  <c r="BZ800" i="13" a="1"/>
  <c r="BZ800" i="13" s="1"/>
  <c r="CT348" i="13" a="1"/>
  <c r="CT348" i="13" s="1"/>
  <c r="CT323" i="13" a="1"/>
  <c r="CT323" i="13" s="1"/>
  <c r="CP638" i="13" a="1"/>
  <c r="CP638" i="13" s="1"/>
  <c r="CZ638" i="13" s="1"/>
  <c r="Z638" i="13" s="1"/>
  <c r="BZ621" i="13" a="1"/>
  <c r="BZ621" i="13" s="1"/>
  <c r="CF621" i="13" s="1"/>
  <c r="R621" i="13" s="1"/>
  <c r="CD643" i="13" a="1"/>
  <c r="CD643" i="13" s="1"/>
  <c r="CD598" i="13" a="1"/>
  <c r="CD598" i="13" s="1"/>
  <c r="CF598" i="13" s="1"/>
  <c r="R598" i="13" s="1"/>
  <c r="CX655" i="13" a="1"/>
  <c r="CX655" i="13" s="1"/>
  <c r="CT932" i="13" a="1"/>
  <c r="CT932" i="13" s="1"/>
  <c r="BZ429" i="13" a="1"/>
  <c r="BZ429" i="13" s="1"/>
  <c r="CF429" i="13" s="1"/>
  <c r="R429" i="13" s="1"/>
  <c r="BV651" i="13" a="1"/>
  <c r="BV651" i="13" s="1"/>
  <c r="CT648" i="13" a="1"/>
  <c r="CT648" i="13" s="1"/>
  <c r="CZ648" i="13" s="1"/>
  <c r="Z648" i="13" s="1"/>
  <c r="CP467" i="13" a="1"/>
  <c r="CP467" i="13" s="1"/>
  <c r="BV663" i="13" a="1"/>
  <c r="BV663" i="13" s="1"/>
  <c r="CF663" i="13" s="1"/>
  <c r="R663" i="13" s="1"/>
  <c r="BZ535" i="13" a="1"/>
  <c r="BZ535" i="13" s="1"/>
  <c r="CT1014" i="13" a="1"/>
  <c r="CT1014" i="13" s="1"/>
  <c r="CZ1014" i="13" s="1"/>
  <c r="Z1014" i="13" s="1"/>
  <c r="AF1014" i="13" s="1"/>
  <c r="CP998" i="13" a="1"/>
  <c r="CP998" i="13" s="1"/>
  <c r="CD235" i="13" a="1"/>
  <c r="CD235" i="13" s="1"/>
  <c r="BV437" i="13" a="1"/>
  <c r="BV437" i="13" s="1"/>
  <c r="CT322" i="13" a="1"/>
  <c r="CT322" i="13" s="1"/>
  <c r="BV676" i="13" a="1"/>
  <c r="BV676" i="13" s="1"/>
  <c r="BV622" i="13" a="1"/>
  <c r="BV622" i="13" s="1"/>
  <c r="BV449" i="13" a="1"/>
  <c r="BV449" i="13" s="1"/>
  <c r="BZ565" i="13" a="1"/>
  <c r="BZ565" i="13" s="1"/>
  <c r="CP833" i="13" a="1"/>
  <c r="CP833" i="13" s="1"/>
  <c r="BZ1010" i="13" a="1"/>
  <c r="BZ1010" i="13" s="1"/>
  <c r="CF1010" i="13" s="1"/>
  <c r="R1010" i="13" s="1"/>
  <c r="CT849" i="13" a="1"/>
  <c r="CT849" i="13" s="1"/>
  <c r="CZ849" i="13" s="1"/>
  <c r="Z849" i="13" s="1"/>
  <c r="AF724" i="13"/>
  <c r="AF923" i="13"/>
  <c r="AF948" i="13"/>
  <c r="CE307" i="13" a="1"/>
  <c r="CE307" i="13" s="1"/>
  <c r="CD307" i="13" a="1"/>
  <c r="CD307" i="13" s="1"/>
  <c r="AF289" i="13"/>
  <c r="AF522" i="13"/>
  <c r="CD394" i="13" a="1"/>
  <c r="CD394" i="13" s="1"/>
  <c r="CE394" i="13" a="1"/>
  <c r="CE394" i="13" s="1"/>
  <c r="BZ453" i="13" a="1"/>
  <c r="BZ453" i="13" s="1"/>
  <c r="CY511" i="13" a="1"/>
  <c r="CY511" i="13" s="1"/>
  <c r="CX511" i="13" a="1"/>
  <c r="CX511" i="13" s="1"/>
  <c r="CE206" i="13" a="1"/>
  <c r="CE206" i="13" s="1"/>
  <c r="CD206" i="13" a="1"/>
  <c r="CD206" i="13" s="1"/>
  <c r="CD471" i="13" a="1"/>
  <c r="CD471" i="13" s="1"/>
  <c r="CE471" i="13" a="1"/>
  <c r="CE471" i="13" s="1"/>
  <c r="CY192" i="13" a="1"/>
  <c r="CY192" i="13" s="1"/>
  <c r="CX192" i="13" a="1"/>
  <c r="CX192" i="13" s="1"/>
  <c r="CY267" i="13" a="1"/>
  <c r="CY267" i="13" s="1"/>
  <c r="CX267" i="13" a="1"/>
  <c r="CX267" i="13" s="1"/>
  <c r="CX319" i="13" a="1"/>
  <c r="CX319" i="13" s="1"/>
  <c r="CY319" i="13" a="1"/>
  <c r="CY319" i="13" s="1"/>
  <c r="BZ361" i="13" a="1"/>
  <c r="BZ361" i="13" s="1"/>
  <c r="BZ511" i="13" a="1"/>
  <c r="BZ511" i="13" s="1"/>
  <c r="CP1004" i="13" a="1"/>
  <c r="CP1004" i="13" s="1"/>
  <c r="CY897" i="13" a="1"/>
  <c r="CY897" i="13" s="1"/>
  <c r="CX897" i="13" a="1"/>
  <c r="CX897" i="13" s="1"/>
  <c r="AF943" i="13"/>
  <c r="AF907" i="13"/>
  <c r="CD344" i="13" a="1"/>
  <c r="CD344" i="13" s="1"/>
  <c r="CE344" i="13" a="1"/>
  <c r="CE344" i="13" s="1"/>
  <c r="AF510" i="13"/>
  <c r="CD778" i="13" a="1"/>
  <c r="CD778" i="13" s="1"/>
  <c r="CE778" i="13" a="1"/>
  <c r="CE778" i="13" s="1"/>
  <c r="AF492" i="13"/>
  <c r="CD820" i="13" a="1"/>
  <c r="CD820" i="13" s="1"/>
  <c r="CE820" i="13" a="1"/>
  <c r="CE820" i="13" s="1"/>
  <c r="AF574" i="13"/>
  <c r="CX997" i="13" a="1"/>
  <c r="CX997" i="13" s="1"/>
  <c r="CY997" i="13" a="1"/>
  <c r="CY997" i="13" s="1"/>
  <c r="CZ997" i="13" s="1"/>
  <c r="Z997" i="13" s="1"/>
  <c r="CX869" i="13" a="1"/>
  <c r="CX869" i="13" s="1"/>
  <c r="CY869" i="13" a="1"/>
  <c r="CY869" i="13" s="1"/>
  <c r="CP267" i="13" a="1"/>
  <c r="CP267" i="13" s="1"/>
  <c r="CD179" i="13" a="1"/>
  <c r="CD179" i="13" s="1"/>
  <c r="CE179" i="13" a="1"/>
  <c r="CE179" i="13" s="1"/>
  <c r="CY139" i="13" a="1"/>
  <c r="CY139" i="13" s="1"/>
  <c r="CX139" i="13" a="1"/>
  <c r="CX139" i="13" s="1"/>
  <c r="CD319" i="13" a="1"/>
  <c r="CD319" i="13" s="1"/>
  <c r="CE319" i="13" a="1"/>
  <c r="CE319" i="13" s="1"/>
  <c r="CF217" i="13"/>
  <c r="R217" i="13" s="1"/>
  <c r="AF217" i="13" s="1"/>
  <c r="CZ448" i="13"/>
  <c r="Z448" i="13" s="1"/>
  <c r="CE614" i="13" a="1"/>
  <c r="CE614" i="13" s="1"/>
  <c r="CD614" i="13" a="1"/>
  <c r="CD614" i="13" s="1"/>
  <c r="CX620" i="13" a="1"/>
  <c r="CX620" i="13" s="1"/>
  <c r="CY620" i="13" a="1"/>
  <c r="CY620" i="13" s="1"/>
  <c r="CE618" i="13" a="1"/>
  <c r="CE618" i="13" s="1"/>
  <c r="CD618" i="13" a="1"/>
  <c r="CD618" i="13" s="1"/>
  <c r="CX684" i="13" a="1"/>
  <c r="CX684" i="13" s="1"/>
  <c r="CY684" i="13" a="1"/>
  <c r="CY684" i="13" s="1"/>
  <c r="AF761" i="13"/>
  <c r="CP441" i="13" a="1"/>
  <c r="CP441" i="13" s="1"/>
  <c r="CT853" i="13" a="1"/>
  <c r="CT853" i="13" s="1"/>
  <c r="AF949" i="13"/>
  <c r="CX367" i="13" a="1"/>
  <c r="CX367" i="13" s="1"/>
  <c r="CY367" i="13" a="1"/>
  <c r="CY367" i="13" s="1"/>
  <c r="CD167" i="13" a="1"/>
  <c r="CD167" i="13" s="1"/>
  <c r="CE167" i="13" a="1"/>
  <c r="CE167" i="13" s="1"/>
  <c r="BV181" i="13" a="1"/>
  <c r="BV181" i="13" s="1"/>
  <c r="CF324" i="13"/>
  <c r="R324" i="13" s="1"/>
  <c r="CD521" i="13" a="1"/>
  <c r="CD521" i="13" s="1"/>
  <c r="CE521" i="13" a="1"/>
  <c r="CE521" i="13" s="1"/>
  <c r="AF382" i="13"/>
  <c r="AF560" i="13"/>
  <c r="CX772" i="13" a="1"/>
  <c r="CX772" i="13" s="1"/>
  <c r="CY772" i="13" a="1"/>
  <c r="CY772" i="13" s="1"/>
  <c r="CY551" i="13" a="1"/>
  <c r="CY551" i="13" s="1"/>
  <c r="CX551" i="13" a="1"/>
  <c r="CX551" i="13" s="1"/>
  <c r="CP582" i="13" a="1"/>
  <c r="CP582" i="13" s="1"/>
  <c r="CP1001" i="13" a="1"/>
  <c r="CP1001" i="13" s="1"/>
  <c r="CZ1001" i="13" s="1"/>
  <c r="Z1001" i="13" s="1"/>
  <c r="AF977" i="13"/>
  <c r="CX990" i="13" a="1"/>
  <c r="CX990" i="13" s="1"/>
  <c r="CY990" i="13" a="1"/>
  <c r="CY990" i="13" s="1"/>
  <c r="CZ990" i="13" s="1"/>
  <c r="Z990" i="13" s="1"/>
  <c r="CD173" i="13" a="1"/>
  <c r="CD173" i="13" s="1"/>
  <c r="CE173" i="13" a="1"/>
  <c r="CE173" i="13" s="1"/>
  <c r="CD745" i="13" a="1"/>
  <c r="CD745" i="13" s="1"/>
  <c r="CE745" i="13" a="1"/>
  <c r="CE745" i="13" s="1"/>
  <c r="CE432" i="13" a="1"/>
  <c r="CE432" i="13" s="1"/>
  <c r="CD432" i="13" a="1"/>
  <c r="CD432" i="13" s="1"/>
  <c r="CP180" i="13" a="1"/>
  <c r="CP180" i="13" s="1"/>
  <c r="CD625" i="13" a="1"/>
  <c r="CD625" i="13" s="1"/>
  <c r="CE625" i="13" a="1"/>
  <c r="CE625" i="13" s="1"/>
  <c r="CP743" i="13" a="1"/>
  <c r="CP743" i="13" s="1"/>
  <c r="CY129" i="13" a="1"/>
  <c r="CY129" i="13" s="1"/>
  <c r="CX129" i="13" a="1"/>
  <c r="CX129" i="13" s="1"/>
  <c r="CT293" i="13" a="1"/>
  <c r="CT293" i="13" s="1"/>
  <c r="CD323" i="13" a="1"/>
  <c r="CD323" i="13" s="1"/>
  <c r="CE323" i="13" a="1"/>
  <c r="CE323" i="13" s="1"/>
  <c r="CY553" i="13" a="1"/>
  <c r="CY553" i="13" s="1"/>
  <c r="CX553" i="13" a="1"/>
  <c r="CX553" i="13" s="1"/>
  <c r="CD473" i="13" a="1"/>
  <c r="CD473" i="13" s="1"/>
  <c r="CE473" i="13" a="1"/>
  <c r="CE473" i="13" s="1"/>
  <c r="BV471" i="13" a="1"/>
  <c r="BV471" i="13" s="1"/>
  <c r="BZ348" i="13" a="1"/>
  <c r="BZ348" i="13" s="1"/>
  <c r="BZ223" i="13" a="1"/>
  <c r="BZ223" i="13" s="1"/>
  <c r="CY454" i="13" a="1"/>
  <c r="CY454" i="13" s="1"/>
  <c r="CX454" i="13" a="1"/>
  <c r="CX454" i="13" s="1"/>
  <c r="CY806" i="13" a="1"/>
  <c r="CY806" i="13" s="1"/>
  <c r="CX806" i="13" a="1"/>
  <c r="CX806" i="13" s="1"/>
  <c r="CY584" i="13" a="1"/>
  <c r="CY584" i="13" s="1"/>
  <c r="CX584" i="13" a="1"/>
  <c r="CX584" i="13" s="1"/>
  <c r="CP796" i="13" a="1"/>
  <c r="CP796" i="13" s="1"/>
  <c r="CP606" i="13" a="1"/>
  <c r="CP606" i="13" s="1"/>
  <c r="BV525" i="13" a="1"/>
  <c r="BV525" i="13" s="1"/>
  <c r="CF525" i="13" s="1"/>
  <c r="R525" i="13" s="1"/>
  <c r="CY636" i="13" a="1"/>
  <c r="CY636" i="13" s="1"/>
  <c r="CX636" i="13" a="1"/>
  <c r="CX636" i="13" s="1"/>
  <c r="CT669" i="13" a="1"/>
  <c r="CT669" i="13" s="1"/>
  <c r="CT600" i="13" a="1"/>
  <c r="CT600" i="13" s="1"/>
  <c r="BV942" i="13" a="1"/>
  <c r="BV942" i="13" s="1"/>
  <c r="AF145" i="13"/>
  <c r="BZ279" i="13" a="1"/>
  <c r="BZ279" i="13" s="1"/>
  <c r="CF279" i="13" s="1"/>
  <c r="R279" i="13" s="1"/>
  <c r="BV350" i="13" a="1"/>
  <c r="BV350" i="13" s="1"/>
  <c r="CY674" i="13" a="1"/>
  <c r="CY674" i="13" s="1"/>
  <c r="CX674" i="13" a="1"/>
  <c r="CX674" i="13" s="1"/>
  <c r="CZ674" i="13" s="1"/>
  <c r="Z674" i="13" s="1"/>
  <c r="CE199" i="13" a="1"/>
  <c r="CE199" i="13" s="1"/>
  <c r="CD199" i="13" a="1"/>
  <c r="CD199" i="13" s="1"/>
  <c r="CT620" i="13" a="1"/>
  <c r="CT620" i="13" s="1"/>
  <c r="CE812" i="13" a="1"/>
  <c r="CE812" i="13" s="1"/>
  <c r="CD812" i="13" a="1"/>
  <c r="CD812" i="13" s="1"/>
  <c r="BV675" i="13" a="1"/>
  <c r="BV675" i="13" s="1"/>
  <c r="CX796" i="13" a="1"/>
  <c r="CX796" i="13" s="1"/>
  <c r="CY796" i="13" a="1"/>
  <c r="CY796" i="13" s="1"/>
  <c r="CZ796" i="13" s="1"/>
  <c r="Z796" i="13" s="1"/>
  <c r="CD600" i="13" a="1"/>
  <c r="CD600" i="13" s="1"/>
  <c r="CE600" i="13" a="1"/>
  <c r="CE600" i="13" s="1"/>
  <c r="CE495" i="13" a="1"/>
  <c r="CE495" i="13" s="1"/>
  <c r="CD495" i="13" a="1"/>
  <c r="CD495" i="13" s="1"/>
  <c r="CX651" i="13" a="1"/>
  <c r="CX651" i="13" s="1"/>
  <c r="CY651" i="13" a="1"/>
  <c r="CY651" i="13" s="1"/>
  <c r="CF1007" i="13"/>
  <c r="R1007" i="13" s="1"/>
  <c r="CD630" i="13" a="1"/>
  <c r="CD630" i="13" s="1"/>
  <c r="CE630" i="13" a="1"/>
  <c r="CE630" i="13" s="1"/>
  <c r="AF878" i="13"/>
  <c r="CZ1020" i="13"/>
  <c r="Z1020" i="13" s="1"/>
  <c r="CT897" i="13" a="1"/>
  <c r="CT897" i="13" s="1"/>
  <c r="CY123" i="13" a="1"/>
  <c r="CY123" i="13" s="1"/>
  <c r="CX123" i="13" a="1"/>
  <c r="CX123" i="13" s="1"/>
  <c r="CF179" i="13"/>
  <c r="R179" i="13" s="1"/>
  <c r="CY317" i="13" a="1"/>
  <c r="CY317" i="13" s="1"/>
  <c r="CX317" i="13" a="1"/>
  <c r="CX317" i="13" s="1"/>
  <c r="CX206" i="13" a="1"/>
  <c r="CX206" i="13" s="1"/>
  <c r="CY206" i="13" a="1"/>
  <c r="CY206" i="13" s="1"/>
  <c r="CE265" i="13" a="1"/>
  <c r="CE265" i="13" s="1"/>
  <c r="CD265" i="13" a="1"/>
  <c r="CD265" i="13" s="1"/>
  <c r="CF462" i="13"/>
  <c r="R462" i="13" s="1"/>
  <c r="AF462" i="13" s="1"/>
  <c r="CY529" i="13" a="1"/>
  <c r="CY529" i="13" s="1"/>
  <c r="CX529" i="13" a="1"/>
  <c r="CX529" i="13" s="1"/>
  <c r="BZ624" i="13" a="1"/>
  <c r="BZ624" i="13" s="1"/>
  <c r="CP602" i="13" a="1"/>
  <c r="CP602" i="13" s="1"/>
  <c r="CY465" i="13" a="1"/>
  <c r="CY465" i="13" s="1"/>
  <c r="CX465" i="13" a="1"/>
  <c r="CX465" i="13" s="1"/>
  <c r="CP622" i="13" a="1"/>
  <c r="CP622" i="13" s="1"/>
  <c r="CT651" i="13" a="1"/>
  <c r="CT651" i="13" s="1"/>
  <c r="BZ741" i="13" a="1"/>
  <c r="BZ741" i="13" s="1"/>
  <c r="BV667" i="13" a="1"/>
  <c r="BV667" i="13" s="1"/>
  <c r="BZ517" i="13" a="1"/>
  <c r="BZ517" i="13" s="1"/>
  <c r="CY678" i="13" a="1"/>
  <c r="CY678" i="13" s="1"/>
  <c r="CX678" i="13" a="1"/>
  <c r="CX678" i="13" s="1"/>
  <c r="CZ812" i="13"/>
  <c r="Z812" i="13" s="1"/>
  <c r="BZ1000" i="13" a="1"/>
  <c r="BZ1000" i="13" s="1"/>
  <c r="CP442" i="13" a="1"/>
  <c r="CP442" i="13" s="1"/>
  <c r="BZ229" i="13" a="1"/>
  <c r="BZ229" i="13" s="1"/>
  <c r="CF229" i="13" s="1"/>
  <c r="R229" i="13" s="1"/>
  <c r="BV533" i="13" a="1"/>
  <c r="BV533" i="13" s="1"/>
  <c r="CF533" i="13" s="1"/>
  <c r="R533" i="13" s="1"/>
  <c r="CX604" i="13" a="1"/>
  <c r="CX604" i="13" s="1"/>
  <c r="BZ650" i="13" a="1"/>
  <c r="BZ650" i="13" s="1"/>
  <c r="BV770" i="13" a="1"/>
  <c r="BV770" i="13" s="1"/>
  <c r="BZ810" i="13" a="1"/>
  <c r="BZ810" i="13" s="1"/>
  <c r="CD357" i="13" a="1"/>
  <c r="CD357" i="13" s="1"/>
  <c r="CF357" i="13" s="1"/>
  <c r="R357" i="13" s="1"/>
  <c r="AF357" i="13" s="1"/>
  <c r="BV233" i="13" a="1"/>
  <c r="BV233" i="13" s="1"/>
  <c r="CF233" i="13" s="1"/>
  <c r="R233" i="13" s="1"/>
  <c r="BV419" i="13" a="1"/>
  <c r="BV419" i="13" s="1"/>
  <c r="CD575" i="13" a="1"/>
  <c r="CD575" i="13" s="1"/>
  <c r="CF575" i="13" s="1"/>
  <c r="R575" i="13" s="1"/>
  <c r="CT592" i="13" a="1"/>
  <c r="CT592" i="13" s="1"/>
  <c r="CZ592" i="13" s="1"/>
  <c r="Z592" i="13" s="1"/>
  <c r="AF592" i="13" s="1"/>
  <c r="CT992" i="13" a="1"/>
  <c r="CT992" i="13" s="1"/>
  <c r="CZ992" i="13" s="1"/>
  <c r="Z992" i="13" s="1"/>
  <c r="AF992" i="13" s="1"/>
  <c r="CX826" i="13" a="1"/>
  <c r="CX826" i="13" s="1"/>
  <c r="CZ826" i="13" s="1"/>
  <c r="Z826" i="13" s="1"/>
  <c r="CP332" i="13" a="1"/>
  <c r="CP332" i="13" s="1"/>
  <c r="CZ332" i="13" s="1"/>
  <c r="Z332" i="13" s="1"/>
  <c r="CP321" i="13" a="1"/>
  <c r="CP321" i="13" s="1"/>
  <c r="CT355" i="13" a="1"/>
  <c r="CT355" i="13" s="1"/>
  <c r="CZ355" i="13" s="1"/>
  <c r="Z355" i="13" s="1"/>
  <c r="CT770" i="13" a="1"/>
  <c r="CT770" i="13" s="1"/>
  <c r="CD139" i="13" a="1"/>
  <c r="CD139" i="13" s="1"/>
  <c r="CX233" i="13" a="1"/>
  <c r="CX233" i="13" s="1"/>
  <c r="CD315" i="13" a="1"/>
  <c r="CD315" i="13" s="1"/>
  <c r="AF547" i="13"/>
  <c r="CT533" i="13" a="1"/>
  <c r="CT533" i="13" s="1"/>
  <c r="CX745" i="13" a="1"/>
  <c r="CX745" i="13" s="1"/>
  <c r="CZ745" i="13" s="1"/>
  <c r="Z745" i="13" s="1"/>
  <c r="CP561" i="13" a="1"/>
  <c r="CP561" i="13" s="1"/>
  <c r="CZ561" i="13" s="1"/>
  <c r="Z561" i="13" s="1"/>
  <c r="BZ578" i="13" a="1"/>
  <c r="BZ578" i="13" s="1"/>
  <c r="CT756" i="13" a="1"/>
  <c r="CT756" i="13" s="1"/>
  <c r="BZ826" i="13" a="1"/>
  <c r="BZ826" i="13" s="1"/>
  <c r="BV796" i="13" a="1"/>
  <c r="BV796" i="13" s="1"/>
  <c r="CD1020" i="13" a="1"/>
  <c r="CD1020" i="13" s="1"/>
  <c r="CX458" i="13" a="1"/>
  <c r="CX458" i="13" s="1"/>
  <c r="CZ458" i="13" s="1"/>
  <c r="Z458" i="13" s="1"/>
  <c r="BZ541" i="13" a="1"/>
  <c r="BZ541" i="13" s="1"/>
  <c r="CF541" i="13" s="1"/>
  <c r="R541" i="13" s="1"/>
  <c r="CD651" i="13" a="1"/>
  <c r="CD651" i="13" s="1"/>
  <c r="CX445" i="13" a="1"/>
  <c r="CX445" i="13" s="1"/>
  <c r="BV678" i="13" a="1"/>
  <c r="BV678" i="13" s="1"/>
  <c r="CT829" i="13" a="1"/>
  <c r="CT829" i="13" s="1"/>
  <c r="CZ829" i="13" s="1"/>
  <c r="Z829" i="13" s="1"/>
  <c r="CP307" i="13" a="1"/>
  <c r="CP307" i="13" s="1"/>
  <c r="BZ487" i="13" a="1"/>
  <c r="BZ487" i="13" s="1"/>
  <c r="CT764" i="13" a="1"/>
  <c r="CT764" i="13" s="1"/>
  <c r="CZ764" i="13" s="1"/>
  <c r="Z764" i="13" s="1"/>
  <c r="BV786" i="13" a="1"/>
  <c r="BV786" i="13" s="1"/>
  <c r="CT1019" i="13" a="1"/>
  <c r="CT1019" i="13" s="1"/>
  <c r="CX173" i="13" a="1"/>
  <c r="CX173" i="13" s="1"/>
  <c r="CT206" i="13" a="1"/>
  <c r="CT206" i="13" s="1"/>
  <c r="CZ206" i="13" s="1"/>
  <c r="Z206" i="13" s="1"/>
  <c r="CT654" i="13" a="1"/>
  <c r="CT654" i="13" s="1"/>
  <c r="CX477" i="13" a="1"/>
  <c r="CX477" i="13" s="1"/>
  <c r="CT489" i="13" a="1"/>
  <c r="CT489" i="13" s="1"/>
  <c r="CT749" i="13" a="1"/>
  <c r="CT749" i="13" s="1"/>
  <c r="CZ749" i="13" s="1"/>
  <c r="Z749" i="13" s="1"/>
  <c r="CX179" i="13" a="1"/>
  <c r="CX179" i="13" s="1"/>
  <c r="CZ179" i="13" s="1"/>
  <c r="Z179" i="13" s="1"/>
  <c r="CX227" i="13" a="1"/>
  <c r="CX227" i="13" s="1"/>
  <c r="AF585" i="13"/>
  <c r="AF415" i="13"/>
  <c r="AF870" i="13"/>
  <c r="CY140" i="13" a="1"/>
  <c r="CY140" i="13" s="1"/>
  <c r="CX140" i="13" a="1"/>
  <c r="CX140" i="13" s="1"/>
  <c r="CE661" i="13" a="1"/>
  <c r="CE661" i="13" s="1"/>
  <c r="CD661" i="13" a="1"/>
  <c r="CD661" i="13" s="1"/>
  <c r="CE443" i="13" a="1"/>
  <c r="CE443" i="13" s="1"/>
  <c r="CD443" i="13" a="1"/>
  <c r="CD443" i="13" s="1"/>
  <c r="CY461" i="13" a="1"/>
  <c r="CY461" i="13" s="1"/>
  <c r="CX461" i="13" a="1"/>
  <c r="CX461" i="13" s="1"/>
  <c r="AF254" i="13"/>
  <c r="BV267" i="13" a="1"/>
  <c r="BV267" i="13" s="1"/>
  <c r="AF202" i="13"/>
  <c r="AF476" i="13"/>
  <c r="CX659" i="13" a="1"/>
  <c r="CX659" i="13" s="1"/>
  <c r="CY659" i="13" a="1"/>
  <c r="CY659" i="13" s="1"/>
  <c r="CE677" i="13" a="1"/>
  <c r="CE677" i="13" s="1"/>
  <c r="CD677" i="13" a="1"/>
  <c r="CD677" i="13" s="1"/>
  <c r="CX661" i="13" a="1"/>
  <c r="CX661" i="13" s="1"/>
  <c r="CY661" i="13" a="1"/>
  <c r="CY661" i="13" s="1"/>
  <c r="CE893" i="13" a="1"/>
  <c r="CE893" i="13" s="1"/>
  <c r="CD893" i="13" a="1"/>
  <c r="CD893" i="13" s="1"/>
  <c r="AF856" i="13"/>
  <c r="AF944" i="13"/>
  <c r="BV131" i="13" a="1"/>
  <c r="BV131" i="13" s="1"/>
  <c r="CX578" i="13" a="1"/>
  <c r="CX578" i="13" s="1"/>
  <c r="CY578" i="13" a="1"/>
  <c r="CY578" i="13" s="1"/>
  <c r="CD186" i="13" a="1"/>
  <c r="CD186" i="13" s="1"/>
  <c r="CE186" i="13" a="1"/>
  <c r="CE186" i="13" s="1"/>
  <c r="CE458" i="13" a="1"/>
  <c r="CE458" i="13" s="1"/>
  <c r="CD458" i="13" a="1"/>
  <c r="CD458" i="13" s="1"/>
  <c r="CP344" i="13" a="1"/>
  <c r="CP344" i="13" s="1"/>
  <c r="BZ293" i="13" a="1"/>
  <c r="BZ293" i="13" s="1"/>
  <c r="CT633" i="13" a="1"/>
  <c r="CT633" i="13" s="1"/>
  <c r="CT567" i="13" a="1"/>
  <c r="CT567" i="13" s="1"/>
  <c r="CX567" i="13" a="1"/>
  <c r="CX567" i="13" s="1"/>
  <c r="CY567" i="13" a="1"/>
  <c r="CY567" i="13" s="1"/>
  <c r="CY600" i="13" a="1"/>
  <c r="CY600" i="13" s="1"/>
  <c r="CX600" i="13" a="1"/>
  <c r="CX600" i="13" s="1"/>
  <c r="AF736" i="13"/>
  <c r="CE938" i="13" a="1"/>
  <c r="CE938" i="13" s="1"/>
  <c r="CD938" i="13" a="1"/>
  <c r="CD938" i="13" s="1"/>
  <c r="CP223" i="13" a="1"/>
  <c r="CP223" i="13" s="1"/>
  <c r="CP313" i="13" a="1"/>
  <c r="CP313" i="13" s="1"/>
  <c r="CE437" i="13" a="1"/>
  <c r="CE437" i="13" s="1"/>
  <c r="CD437" i="13" a="1"/>
  <c r="CD437" i="13" s="1"/>
  <c r="CE223" i="13" a="1"/>
  <c r="CE223" i="13" s="1"/>
  <c r="CD223" i="13" a="1"/>
  <c r="CD223" i="13" s="1"/>
  <c r="CE263" i="13" a="1"/>
  <c r="CE263" i="13" s="1"/>
  <c r="CD263" i="13" a="1"/>
  <c r="CD263" i="13" s="1"/>
  <c r="CF569" i="13"/>
  <c r="R569" i="13" s="1"/>
  <c r="CX183" i="13" a="1"/>
  <c r="CX183" i="13" s="1"/>
  <c r="CY183" i="13" a="1"/>
  <c r="CY183" i="13" s="1"/>
  <c r="CT361" i="13" a="1"/>
  <c r="CT361" i="13" s="1"/>
  <c r="CY509" i="13" a="1"/>
  <c r="CY509" i="13" s="1"/>
  <c r="CX509" i="13" a="1"/>
  <c r="CX509" i="13" s="1"/>
  <c r="BZ299" i="13" a="1"/>
  <c r="BZ299" i="13" s="1"/>
  <c r="CX633" i="13" a="1"/>
  <c r="CX633" i="13" s="1"/>
  <c r="CY633" i="13" a="1"/>
  <c r="CY633" i="13" s="1"/>
  <c r="AF706" i="13"/>
  <c r="CY670" i="13" a="1"/>
  <c r="CY670" i="13" s="1"/>
  <c r="CX670" i="13" a="1"/>
  <c r="CX670" i="13" s="1"/>
  <c r="BV747" i="13" a="1"/>
  <c r="BV747" i="13" s="1"/>
  <c r="CF747" i="13" s="1"/>
  <c r="R747" i="13" s="1"/>
  <c r="CX455" i="13" a="1"/>
  <c r="CX455" i="13" s="1"/>
  <c r="CY455" i="13" a="1"/>
  <c r="CY455" i="13" s="1"/>
  <c r="CD753" i="13" a="1"/>
  <c r="CD753" i="13" s="1"/>
  <c r="CE753" i="13" a="1"/>
  <c r="CE753" i="13" s="1"/>
  <c r="AF558" i="13"/>
  <c r="BV643" i="13" a="1"/>
  <c r="BV643" i="13" s="1"/>
  <c r="CE561" i="13" a="1"/>
  <c r="CE561" i="13" s="1"/>
  <c r="CD561" i="13" a="1"/>
  <c r="CD561" i="13" s="1"/>
  <c r="CD623" i="13" a="1"/>
  <c r="CD623" i="13" s="1"/>
  <c r="CE623" i="13" a="1"/>
  <c r="CE623" i="13" s="1"/>
  <c r="CY891" i="13" a="1"/>
  <c r="CY891" i="13" s="1"/>
  <c r="CX891" i="13" a="1"/>
  <c r="CX891" i="13" s="1"/>
  <c r="BZ820" i="13" a="1"/>
  <c r="BZ820" i="13" s="1"/>
  <c r="CF820" i="13" s="1"/>
  <c r="R820" i="13" s="1"/>
  <c r="BZ784" i="13" a="1"/>
  <c r="BZ784" i="13" s="1"/>
  <c r="CX181" i="13" a="1"/>
  <c r="CX181" i="13" s="1"/>
  <c r="CY181" i="13" a="1"/>
  <c r="CY181" i="13" s="1"/>
  <c r="CX594" i="13" a="1"/>
  <c r="CX594" i="13" s="1"/>
  <c r="CY594" i="13" a="1"/>
  <c r="CY594" i="13" s="1"/>
  <c r="AF230" i="13"/>
  <c r="BV263" i="13" a="1"/>
  <c r="BV263" i="13" s="1"/>
  <c r="CF531" i="13"/>
  <c r="R531" i="13" s="1"/>
  <c r="CD275" i="13" a="1"/>
  <c r="CD275" i="13" s="1"/>
  <c r="CE275" i="13" a="1"/>
  <c r="CE275" i="13" s="1"/>
  <c r="CX627" i="13" a="1"/>
  <c r="CX627" i="13" s="1"/>
  <c r="CY627" i="13" a="1"/>
  <c r="CY627" i="13" s="1"/>
  <c r="BV582" i="13" a="1"/>
  <c r="BV582" i="13" s="1"/>
  <c r="BZ469" i="13" a="1"/>
  <c r="BZ469" i="13" s="1"/>
  <c r="CY753" i="13" a="1"/>
  <c r="CY753" i="13" s="1"/>
  <c r="CX753" i="13" a="1"/>
  <c r="CX753" i="13" s="1"/>
  <c r="AF562" i="13"/>
  <c r="CY932" i="13" a="1"/>
  <c r="CY932" i="13" s="1"/>
  <c r="CX932" i="13" a="1"/>
  <c r="CX932" i="13" s="1"/>
  <c r="BV792" i="13" a="1"/>
  <c r="BV792" i="13" s="1"/>
  <c r="CP173" i="13" a="1"/>
  <c r="CP173" i="13" s="1"/>
  <c r="CZ173" i="13" s="1"/>
  <c r="Z173" i="13" s="1"/>
  <c r="CX411" i="13" a="1"/>
  <c r="CX411" i="13" s="1"/>
  <c r="CY411" i="13" a="1"/>
  <c r="CY411" i="13" s="1"/>
  <c r="BV303" i="13" a="1"/>
  <c r="BV303" i="13" s="1"/>
  <c r="CT180" i="13" a="1"/>
  <c r="CT180" i="13" s="1"/>
  <c r="CD619" i="13" a="1"/>
  <c r="CD619" i="13" s="1"/>
  <c r="CE619" i="13" a="1"/>
  <c r="CE619" i="13" s="1"/>
  <c r="CY649" i="13" a="1"/>
  <c r="CY649" i="13" s="1"/>
  <c r="CX649" i="13" a="1"/>
  <c r="CX649" i="13" s="1"/>
  <c r="CD674" i="13" a="1"/>
  <c r="CD674" i="13" s="1"/>
  <c r="CE674" i="13" a="1"/>
  <c r="CE674" i="13" s="1"/>
  <c r="CY786" i="13" a="1"/>
  <c r="CY786" i="13" s="1"/>
  <c r="CX786" i="13" a="1"/>
  <c r="CX786" i="13" s="1"/>
  <c r="CX668" i="13" a="1"/>
  <c r="CX668" i="13" s="1"/>
  <c r="CY668" i="13" a="1"/>
  <c r="CY668" i="13" s="1"/>
  <c r="CD481" i="13" a="1"/>
  <c r="CD481" i="13" s="1"/>
  <c r="CF481" i="13" s="1"/>
  <c r="R481" i="13" s="1"/>
  <c r="CP636" i="13" a="1"/>
  <c r="CP636" i="13" s="1"/>
  <c r="CP1007" i="13" a="1"/>
  <c r="CP1007" i="13" s="1"/>
  <c r="CD780" i="13" a="1"/>
  <c r="CD780" i="13" s="1"/>
  <c r="CE780" i="13" a="1"/>
  <c r="CE780" i="13" s="1"/>
  <c r="CE901" i="13" a="1"/>
  <c r="CE901" i="13" s="1"/>
  <c r="CD901" i="13" a="1"/>
  <c r="CD901" i="13" s="1"/>
  <c r="AF894" i="13"/>
  <c r="CX174" i="13" a="1"/>
  <c r="CX174" i="13" s="1"/>
  <c r="CY174" i="13" a="1"/>
  <c r="CY174" i="13" s="1"/>
  <c r="BV323" i="13" a="1"/>
  <c r="BV323" i="13" s="1"/>
  <c r="CP436" i="13" a="1"/>
  <c r="CP436" i="13" s="1"/>
  <c r="CE303" i="13" a="1"/>
  <c r="CE303" i="13" s="1"/>
  <c r="CD303" i="13" a="1"/>
  <c r="CD303" i="13" s="1"/>
  <c r="CY256" i="13" a="1"/>
  <c r="CY256" i="13" s="1"/>
  <c r="CX256" i="13" a="1"/>
  <c r="CX256" i="13" s="1"/>
  <c r="BZ458" i="13" a="1"/>
  <c r="BZ458" i="13" s="1"/>
  <c r="BZ169" i="13" a="1"/>
  <c r="BZ169" i="13" s="1"/>
  <c r="CP588" i="13" a="1"/>
  <c r="CP588" i="13" s="1"/>
  <c r="CT665" i="13" a="1"/>
  <c r="CT665" i="13" s="1"/>
  <c r="CT753" i="13" a="1"/>
  <c r="CT753" i="13" s="1"/>
  <c r="CZ753" i="13" s="1"/>
  <c r="Z753" i="13" s="1"/>
  <c r="CE916" i="13" a="1"/>
  <c r="CE916" i="13" s="1"/>
  <c r="CD916" i="13" a="1"/>
  <c r="CD916" i="13" s="1"/>
  <c r="AF836" i="13"/>
  <c r="BZ129" i="13" a="1"/>
  <c r="BZ129" i="13" s="1"/>
  <c r="CX279" i="13" a="1"/>
  <c r="CX279" i="13" s="1"/>
  <c r="CY279" i="13" a="1"/>
  <c r="CY279" i="13" s="1"/>
  <c r="CT436" i="13" a="1"/>
  <c r="CT436" i="13" s="1"/>
  <c r="CE201" i="13" a="1"/>
  <c r="CE201" i="13" s="1"/>
  <c r="CD201" i="13" a="1"/>
  <c r="CD201" i="13" s="1"/>
  <c r="BV307" i="13" a="1"/>
  <c r="BV307" i="13" s="1"/>
  <c r="CF307" i="13" s="1"/>
  <c r="R307" i="13" s="1"/>
  <c r="BV195" i="13" a="1"/>
  <c r="BV195" i="13" s="1"/>
  <c r="CP199" i="13" a="1"/>
  <c r="CP199" i="13" s="1"/>
  <c r="CT656" i="13" a="1"/>
  <c r="CT656" i="13" s="1"/>
  <c r="CZ656" i="13" s="1"/>
  <c r="Z656" i="13" s="1"/>
  <c r="CP449" i="13" a="1"/>
  <c r="CP449" i="13" s="1"/>
  <c r="CZ449" i="13" s="1"/>
  <c r="Z449" i="13" s="1"/>
  <c r="CF713" i="13"/>
  <c r="R713" i="13" s="1"/>
  <c r="AF713" i="13" s="1"/>
  <c r="CE586" i="13" a="1"/>
  <c r="CE586" i="13" s="1"/>
  <c r="CD586" i="13" a="1"/>
  <c r="CD586" i="13" s="1"/>
  <c r="BV559" i="13" a="1"/>
  <c r="BV559" i="13" s="1"/>
  <c r="CP627" i="13" a="1"/>
  <c r="CP627" i="13" s="1"/>
  <c r="BZ661" i="13" a="1"/>
  <c r="BZ661" i="13" s="1"/>
  <c r="CD766" i="13" a="1"/>
  <c r="CD766" i="13" s="1"/>
  <c r="CE766" i="13" a="1"/>
  <c r="CE766" i="13" s="1"/>
  <c r="CE837" i="13" a="1"/>
  <c r="CE837" i="13" s="1"/>
  <c r="CD837" i="13" a="1"/>
  <c r="CD837" i="13" s="1"/>
  <c r="CE994" i="13" a="1"/>
  <c r="CE994" i="13" s="1"/>
  <c r="CD994" i="13" a="1"/>
  <c r="CD994" i="13" s="1"/>
  <c r="CY810" i="13" a="1"/>
  <c r="CY810" i="13" s="1"/>
  <c r="CX810" i="13" a="1"/>
  <c r="CX810" i="13" s="1"/>
  <c r="CX859" i="13" a="1"/>
  <c r="CX859" i="13" s="1"/>
  <c r="CY859" i="13" a="1"/>
  <c r="CY859" i="13" s="1"/>
  <c r="CE942" i="13" a="1"/>
  <c r="CE942" i="13" s="1"/>
  <c r="CD942" i="13" a="1"/>
  <c r="CD942" i="13" s="1"/>
  <c r="BV295" i="13" a="1"/>
  <c r="BV295" i="13" s="1"/>
  <c r="CY440" i="13" a="1"/>
  <c r="CY440" i="13" s="1"/>
  <c r="CX440" i="13" a="1"/>
  <c r="CX440" i="13" s="1"/>
  <c r="CY519" i="13" a="1"/>
  <c r="CY519" i="13" s="1"/>
  <c r="CX519" i="13" a="1"/>
  <c r="CX519" i="13" s="1"/>
  <c r="BV322" i="13" a="1"/>
  <c r="BV322" i="13" s="1"/>
  <c r="BV640" i="13" a="1"/>
  <c r="BV640" i="13" s="1"/>
  <c r="CX419" i="13" a="1"/>
  <c r="CX419" i="13" s="1"/>
  <c r="CY419" i="13" a="1"/>
  <c r="CY419" i="13" s="1"/>
  <c r="CX293" i="13" a="1"/>
  <c r="CX293" i="13" s="1"/>
  <c r="CY293" i="13" a="1"/>
  <c r="CY293" i="13" s="1"/>
  <c r="CY545" i="13" a="1"/>
  <c r="CY545" i="13" s="1"/>
  <c r="CX545" i="13" a="1"/>
  <c r="CX545" i="13" s="1"/>
  <c r="CY780" i="13" a="1"/>
  <c r="CY780" i="13" s="1"/>
  <c r="CX780" i="13" a="1"/>
  <c r="CX780" i="13" s="1"/>
  <c r="CF622" i="13"/>
  <c r="R622" i="13" s="1"/>
  <c r="CP800" i="13" a="1"/>
  <c r="CP800" i="13" s="1"/>
  <c r="CX619" i="13" a="1"/>
  <c r="CX619" i="13" s="1"/>
  <c r="CY619" i="13" a="1"/>
  <c r="CY619" i="13" s="1"/>
  <c r="CZ833" i="13"/>
  <c r="Z833" i="13" s="1"/>
  <c r="AF833" i="13" s="1"/>
  <c r="CD924" i="13" a="1"/>
  <c r="CD924" i="13" s="1"/>
  <c r="CE924" i="13" a="1"/>
  <c r="CE924" i="13" s="1"/>
  <c r="CX1003" i="13" a="1"/>
  <c r="CX1003" i="13" s="1"/>
  <c r="CY1003" i="13" a="1"/>
  <c r="CY1003" i="13" s="1"/>
  <c r="CD849" i="13" a="1"/>
  <c r="CD849" i="13" s="1"/>
  <c r="CE849" i="13" a="1"/>
  <c r="CE849" i="13" s="1"/>
  <c r="CY1012" i="13" a="1"/>
  <c r="CY1012" i="13" s="1"/>
  <c r="CX1012" i="13" a="1"/>
  <c r="CX1012" i="13" s="1"/>
  <c r="BV668" i="13" a="1"/>
  <c r="BV668" i="13" s="1"/>
  <c r="BV551" i="13" a="1"/>
  <c r="BV551" i="13" s="1"/>
  <c r="BV632" i="13" a="1"/>
  <c r="BV632" i="13" s="1"/>
  <c r="CT818" i="13" a="1"/>
  <c r="CT818" i="13" s="1"/>
  <c r="CZ818" i="13" s="1"/>
  <c r="Z818" i="13" s="1"/>
  <c r="BZ745" i="13" a="1"/>
  <c r="BZ745" i="13" s="1"/>
  <c r="CP804" i="13" a="1"/>
  <c r="CP804" i="13" s="1"/>
  <c r="CZ804" i="13" s="1"/>
  <c r="Z804" i="13" s="1"/>
  <c r="CP318" i="13" a="1"/>
  <c r="CP318" i="13" s="1"/>
  <c r="CZ318" i="13" s="1"/>
  <c r="Z318" i="13" s="1"/>
  <c r="CD659" i="13" a="1"/>
  <c r="CD659" i="13" s="1"/>
  <c r="CF659" i="13" s="1"/>
  <c r="R659" i="13" s="1"/>
  <c r="BV993" i="13" a="1"/>
  <c r="BV993" i="13" s="1"/>
  <c r="CF993" i="13" s="1"/>
  <c r="R993" i="13" s="1"/>
  <c r="AF993" i="13" s="1"/>
  <c r="CD1004" i="13" a="1"/>
  <c r="CD1004" i="13" s="1"/>
  <c r="CF1004" i="13" s="1"/>
  <c r="R1004" i="13" s="1"/>
  <c r="BZ432" i="13" a="1"/>
  <c r="BZ432" i="13" s="1"/>
  <c r="CF432" i="13" s="1"/>
  <c r="R432" i="13" s="1"/>
  <c r="CX685" i="13" a="1"/>
  <c r="CX685" i="13" s="1"/>
  <c r="CZ685" i="13" s="1"/>
  <c r="Z685" i="13" s="1"/>
  <c r="CD914" i="13" a="1"/>
  <c r="CD914" i="13" s="1"/>
  <c r="CF914" i="13" s="1"/>
  <c r="R914" i="13" s="1"/>
  <c r="AF914" i="13" s="1"/>
  <c r="CD999" i="13" a="1"/>
  <c r="CD999" i="13" s="1"/>
  <c r="CF999" i="13" s="1"/>
  <c r="R999" i="13" s="1"/>
  <c r="BZ322" i="13" a="1"/>
  <c r="BZ322" i="13" s="1"/>
  <c r="CT336" i="13" a="1"/>
  <c r="CT336" i="13" s="1"/>
  <c r="BV537" i="13" a="1"/>
  <c r="BV537" i="13" s="1"/>
  <c r="BZ590" i="13" a="1"/>
  <c r="BZ590" i="13" s="1"/>
  <c r="CP632" i="13" a="1"/>
  <c r="CP632" i="13" s="1"/>
  <c r="CT1002" i="13" a="1"/>
  <c r="CT1002" i="13" s="1"/>
  <c r="BZ758" i="13" a="1"/>
  <c r="BZ758" i="13" s="1"/>
  <c r="BZ195" i="13" a="1"/>
  <c r="BZ195" i="13" s="1"/>
  <c r="CX392" i="13" a="1"/>
  <c r="CX392" i="13" s="1"/>
  <c r="CZ392" i="13" s="1"/>
  <c r="Z392" i="13" s="1"/>
  <c r="CD631" i="13" a="1"/>
  <c r="CD631" i="13" s="1"/>
  <c r="CF631" i="13" s="1"/>
  <c r="R631" i="13" s="1"/>
  <c r="AF631" i="13" s="1"/>
  <c r="BZ640" i="13" a="1"/>
  <c r="BZ640" i="13" s="1"/>
  <c r="BV457" i="13" a="1"/>
  <c r="BV457" i="13" s="1"/>
  <c r="CF457" i="13" s="1"/>
  <c r="R457" i="13" s="1"/>
  <c r="AF457" i="13" s="1"/>
  <c r="CT1008" i="13" a="1"/>
  <c r="CT1008" i="13" s="1"/>
  <c r="CD857" i="13" a="1"/>
  <c r="CD857" i="13" s="1"/>
  <c r="CF857" i="13" s="1"/>
  <c r="R857" i="13" s="1"/>
  <c r="CD624" i="13" a="1"/>
  <c r="CD624" i="13" s="1"/>
  <c r="BV753" i="13" a="1"/>
  <c r="BV753" i="13" s="1"/>
  <c r="BZ782" i="13" a="1"/>
  <c r="BZ782" i="13" s="1"/>
  <c r="CX934" i="13" a="1"/>
  <c r="CX934" i="13" s="1"/>
  <c r="BZ901" i="13" a="1"/>
  <c r="BZ901" i="13" s="1"/>
  <c r="CX137" i="13" a="1"/>
  <c r="CX137" i="13" s="1"/>
  <c r="CP517" i="13" a="1"/>
  <c r="CP517" i="13" s="1"/>
  <c r="CT432" i="13" a="1"/>
  <c r="CT432" i="13" s="1"/>
  <c r="CZ432" i="13" s="1"/>
  <c r="Z432" i="13" s="1"/>
  <c r="CT529" i="13" a="1"/>
  <c r="CT529" i="13" s="1"/>
  <c r="BV448" i="13" a="1"/>
  <c r="BV448" i="13" s="1"/>
  <c r="BZ1005" i="13" a="1"/>
  <c r="BZ1005" i="13" s="1"/>
  <c r="CF1005" i="13" s="1"/>
  <c r="R1005" i="13" s="1"/>
  <c r="AF1005" i="13" s="1"/>
  <c r="CD1019" i="13" a="1"/>
  <c r="CD1019" i="13" s="1"/>
  <c r="CF1019" i="13" s="1"/>
  <c r="R1019" i="13" s="1"/>
  <c r="CZ788" i="13"/>
  <c r="Z788" i="13" s="1"/>
  <c r="CE545" i="13" a="1"/>
  <c r="CE545" i="13" s="1"/>
  <c r="CD545" i="13" a="1"/>
  <c r="CD545" i="13" s="1"/>
  <c r="CD684" i="13" a="1"/>
  <c r="CD684" i="13" s="1"/>
  <c r="CE684" i="13" a="1"/>
  <c r="CE684" i="13" s="1"/>
  <c r="CF204" i="13"/>
  <c r="R204" i="13" s="1"/>
  <c r="CE634" i="13" a="1"/>
  <c r="CE634" i="13" s="1"/>
  <c r="CD634" i="13" a="1"/>
  <c r="CD634" i="13" s="1"/>
  <c r="CF634" i="13" s="1"/>
  <c r="R634" i="13" s="1"/>
  <c r="CE818" i="13" a="1"/>
  <c r="CE818" i="13" s="1"/>
  <c r="CD818" i="13" a="1"/>
  <c r="CD818" i="13" s="1"/>
  <c r="CD668" i="13" a="1"/>
  <c r="CD668" i="13" s="1"/>
  <c r="CE668" i="13" a="1"/>
  <c r="CE668" i="13" s="1"/>
  <c r="CY741" i="13" a="1"/>
  <c r="CY741" i="13" s="1"/>
  <c r="CX741" i="13" a="1"/>
  <c r="CX741" i="13" s="1"/>
  <c r="CE361" i="13" a="1"/>
  <c r="CE361" i="13" s="1"/>
  <c r="CD361" i="13" a="1"/>
  <c r="CD361" i="13" s="1"/>
  <c r="CE635" i="13" a="1"/>
  <c r="CE635" i="13" s="1"/>
  <c r="CD635" i="13" a="1"/>
  <c r="CD635" i="13" s="1"/>
  <c r="CZ313" i="13"/>
  <c r="Z313" i="13" s="1"/>
  <c r="AF151" i="13"/>
  <c r="AF226" i="13"/>
  <c r="AF335" i="13"/>
  <c r="CZ523" i="13"/>
  <c r="Z523" i="13" s="1"/>
  <c r="AF523" i="13" s="1"/>
  <c r="CE197" i="13" a="1"/>
  <c r="CE197" i="13" s="1"/>
  <c r="CD197" i="13" a="1"/>
  <c r="CD197" i="13" s="1"/>
  <c r="CD683" i="13" a="1"/>
  <c r="CD683" i="13" s="1"/>
  <c r="CE683" i="13" a="1"/>
  <c r="CE683" i="13" s="1"/>
  <c r="CE741" i="13" a="1"/>
  <c r="CE741" i="13" s="1"/>
  <c r="CD741" i="13" a="1"/>
  <c r="CD741" i="13" s="1"/>
  <c r="CE563" i="13" a="1"/>
  <c r="CE563" i="13" s="1"/>
  <c r="CD563" i="13" a="1"/>
  <c r="CD563" i="13" s="1"/>
  <c r="CX1016" i="13" a="1"/>
  <c r="CX1016" i="13" s="1"/>
  <c r="CY1016" i="13" a="1"/>
  <c r="CY1016" i="13" s="1"/>
  <c r="CF899" i="13"/>
  <c r="R899" i="13" s="1"/>
  <c r="CP133" i="13" a="1"/>
  <c r="CP133" i="13" s="1"/>
  <c r="CX261" i="13" a="1"/>
  <c r="CX261" i="13" s="1"/>
  <c r="CY261" i="13" a="1"/>
  <c r="CY261" i="13" s="1"/>
  <c r="AF248" i="13"/>
  <c r="CP633" i="13" a="1"/>
  <c r="CP633" i="13" s="1"/>
  <c r="CZ633" i="13" s="1"/>
  <c r="Z633" i="13" s="1"/>
  <c r="CX596" i="13" a="1"/>
  <c r="CX596" i="13" s="1"/>
  <c r="CY596" i="13" a="1"/>
  <c r="CY596" i="13" s="1"/>
  <c r="CY533" i="13" a="1"/>
  <c r="CY533" i="13" s="1"/>
  <c r="CX533" i="13" a="1"/>
  <c r="CX533" i="13" s="1"/>
  <c r="CD749" i="13" a="1"/>
  <c r="CD749" i="13" s="1"/>
  <c r="CE749" i="13" a="1"/>
  <c r="CE749" i="13" s="1"/>
  <c r="AF589" i="13"/>
  <c r="AF971" i="13"/>
  <c r="CY207" i="13" a="1"/>
  <c r="CY207" i="13" s="1"/>
  <c r="CX207" i="13" a="1"/>
  <c r="CX207" i="13" s="1"/>
  <c r="AF148" i="13"/>
  <c r="CE175" i="13" a="1"/>
  <c r="CE175" i="13" s="1"/>
  <c r="CD175" i="13" a="1"/>
  <c r="CD175" i="13" s="1"/>
  <c r="CY639" i="13" a="1"/>
  <c r="CY639" i="13" s="1"/>
  <c r="CX639" i="13" a="1"/>
  <c r="CX639" i="13" s="1"/>
  <c r="CX338" i="13" a="1"/>
  <c r="CX338" i="13" s="1"/>
  <c r="CY338" i="13" a="1"/>
  <c r="CY338" i="13" s="1"/>
  <c r="AF362" i="13"/>
  <c r="CE553" i="13" a="1"/>
  <c r="CE553" i="13" s="1"/>
  <c r="CD553" i="13" a="1"/>
  <c r="CD553" i="13" s="1"/>
  <c r="CE557" i="13" a="1"/>
  <c r="CE557" i="13" s="1"/>
  <c r="CD557" i="13" a="1"/>
  <c r="CD557" i="13" s="1"/>
  <c r="CZ654" i="13"/>
  <c r="Z654" i="13" s="1"/>
  <c r="CX640" i="13" a="1"/>
  <c r="CX640" i="13" s="1"/>
  <c r="CY640" i="13" a="1"/>
  <c r="CY640" i="13" s="1"/>
  <c r="CZ441" i="13"/>
  <c r="Z441" i="13" s="1"/>
  <c r="AF882" i="13"/>
  <c r="CE131" i="13" a="1"/>
  <c r="CE131" i="13" s="1"/>
  <c r="CD131" i="13" a="1"/>
  <c r="CD131" i="13" s="1"/>
  <c r="CP433" i="13" a="1"/>
  <c r="CP433" i="13" s="1"/>
  <c r="CZ433" i="13" s="1"/>
  <c r="Z433" i="13" s="1"/>
  <c r="BV178" i="13" a="1"/>
  <c r="BV178" i="13" s="1"/>
  <c r="BZ267" i="13" a="1"/>
  <c r="BZ267" i="13" s="1"/>
  <c r="CT371" i="13" a="1"/>
  <c r="CT371" i="13" s="1"/>
  <c r="CZ371" i="13" s="1"/>
  <c r="Z371" i="13" s="1"/>
  <c r="CX322" i="13" a="1"/>
  <c r="CX322" i="13" s="1"/>
  <c r="CY322" i="13" a="1"/>
  <c r="CY322" i="13" s="1"/>
  <c r="CX576" i="13" a="1"/>
  <c r="CX576" i="13" s="1"/>
  <c r="CY576" i="13" a="1"/>
  <c r="CY576" i="13" s="1"/>
  <c r="CY650" i="13" a="1"/>
  <c r="CY650" i="13" s="1"/>
  <c r="CX650" i="13" a="1"/>
  <c r="CX650" i="13" s="1"/>
  <c r="CZ635" i="13"/>
  <c r="Z635" i="13" s="1"/>
  <c r="CX470" i="13" a="1"/>
  <c r="CX470" i="13" s="1"/>
  <c r="CY470" i="13" a="1"/>
  <c r="CY470" i="13" s="1"/>
  <c r="CX588" i="13" a="1"/>
  <c r="CX588" i="13" s="1"/>
  <c r="CY588" i="13" a="1"/>
  <c r="CY588" i="13" s="1"/>
  <c r="CD469" i="13" a="1"/>
  <c r="CD469" i="13" s="1"/>
  <c r="CE469" i="13" a="1"/>
  <c r="CE469" i="13" s="1"/>
  <c r="CE908" i="13" a="1"/>
  <c r="CE908" i="13" s="1"/>
  <c r="CD908" i="13" a="1"/>
  <c r="CD908" i="13" s="1"/>
  <c r="CF908" i="13" s="1"/>
  <c r="R908" i="13" s="1"/>
  <c r="CY837" i="13" a="1"/>
  <c r="CY837" i="13" s="1"/>
  <c r="CX837" i="13" a="1"/>
  <c r="CX837" i="13" s="1"/>
  <c r="AF846" i="13"/>
  <c r="AF823" i="13"/>
  <c r="CY172" i="13" a="1"/>
  <c r="CY172" i="13" s="1"/>
  <c r="CX172" i="13" a="1"/>
  <c r="CX172" i="13" s="1"/>
  <c r="CD346" i="13" a="1"/>
  <c r="CD346" i="13" s="1"/>
  <c r="CE346" i="13" a="1"/>
  <c r="CE346" i="13" s="1"/>
  <c r="CY429" i="13" a="1"/>
  <c r="CY429" i="13" s="1"/>
  <c r="CX429" i="13" a="1"/>
  <c r="CX429" i="13" s="1"/>
  <c r="BZ444" i="13" a="1"/>
  <c r="BZ444" i="13" s="1"/>
  <c r="CY652" i="13" a="1"/>
  <c r="CY652" i="13" s="1"/>
  <c r="CX652" i="13" a="1"/>
  <c r="CX652" i="13" s="1"/>
  <c r="AF331" i="13"/>
  <c r="CY802" i="13" a="1"/>
  <c r="CY802" i="13" s="1"/>
  <c r="CX802" i="13" a="1"/>
  <c r="CX802" i="13" s="1"/>
  <c r="CE535" i="13" a="1"/>
  <c r="CE535" i="13" s="1"/>
  <c r="CD535" i="13" a="1"/>
  <c r="CD535" i="13" s="1"/>
  <c r="CD627" i="13" a="1"/>
  <c r="CD627" i="13" s="1"/>
  <c r="CE627" i="13" a="1"/>
  <c r="CE627" i="13" s="1"/>
  <c r="BV557" i="13" a="1"/>
  <c r="BV557" i="13" s="1"/>
  <c r="CD912" i="13" a="1"/>
  <c r="CD912" i="13" s="1"/>
  <c r="CE912" i="13" a="1"/>
  <c r="CE912" i="13" s="1"/>
  <c r="CX928" i="13" a="1"/>
  <c r="CX928" i="13" s="1"/>
  <c r="CY928" i="13" a="1"/>
  <c r="CY928" i="13" s="1"/>
  <c r="AF935" i="13"/>
  <c r="CX853" i="13" a="1"/>
  <c r="CX853" i="13" s="1"/>
  <c r="CY853" i="13" a="1"/>
  <c r="CY853" i="13" s="1"/>
  <c r="CT820" i="13" a="1"/>
  <c r="CT820" i="13" s="1"/>
  <c r="CZ820" i="13" s="1"/>
  <c r="Z820" i="13" s="1"/>
  <c r="AF827" i="13"/>
  <c r="CY315" i="13" a="1"/>
  <c r="CY315" i="13" s="1"/>
  <c r="CX315" i="13" a="1"/>
  <c r="CX315" i="13" s="1"/>
  <c r="BV433" i="13" a="1"/>
  <c r="BV433" i="13" s="1"/>
  <c r="BZ653" i="13" a="1"/>
  <c r="BZ653" i="13" s="1"/>
  <c r="CF653" i="13" s="1"/>
  <c r="R653" i="13" s="1"/>
  <c r="CP437" i="13" a="1"/>
  <c r="CP437" i="13" s="1"/>
  <c r="CF471" i="13"/>
  <c r="R471" i="13" s="1"/>
  <c r="CX342" i="13" a="1"/>
  <c r="CX342" i="13" s="1"/>
  <c r="CY342" i="13" a="1"/>
  <c r="CY342" i="13" s="1"/>
  <c r="CP169" i="13" a="1"/>
  <c r="CP169" i="13" s="1"/>
  <c r="CD539" i="13" a="1"/>
  <c r="CD539" i="13" s="1"/>
  <c r="CE539" i="13" a="1"/>
  <c r="CE539" i="13" s="1"/>
  <c r="CD654" i="13" a="1"/>
  <c r="CD654" i="13" s="1"/>
  <c r="CE654" i="13" a="1"/>
  <c r="CE654" i="13" s="1"/>
  <c r="CZ632" i="13"/>
  <c r="Z632" i="13" s="1"/>
  <c r="CE489" i="13" a="1"/>
  <c r="CE489" i="13" s="1"/>
  <c r="CD489" i="13" a="1"/>
  <c r="CD489" i="13" s="1"/>
  <c r="CE596" i="13" a="1"/>
  <c r="CE596" i="13" s="1"/>
  <c r="CD596" i="13" a="1"/>
  <c r="CD596" i="13" s="1"/>
  <c r="CD774" i="13" a="1"/>
  <c r="CD774" i="13" s="1"/>
  <c r="CE774" i="13" a="1"/>
  <c r="CE774" i="13" s="1"/>
  <c r="CZ1017" i="13"/>
  <c r="Z1017" i="13" s="1"/>
  <c r="AF1017" i="13" s="1"/>
  <c r="CY669" i="13" a="1"/>
  <c r="CY669" i="13" s="1"/>
  <c r="CX669" i="13" a="1"/>
  <c r="CX669" i="13" s="1"/>
  <c r="CE669" i="13" a="1"/>
  <c r="CE669" i="13" s="1"/>
  <c r="CD669" i="13" a="1"/>
  <c r="CD669" i="13" s="1"/>
  <c r="CX784" i="13" a="1"/>
  <c r="CX784" i="13" s="1"/>
  <c r="CY784" i="13" a="1"/>
  <c r="CY784" i="13" s="1"/>
  <c r="CY883" i="13" a="1"/>
  <c r="CY883" i="13" s="1"/>
  <c r="CX883" i="13" a="1"/>
  <c r="CX883" i="13" s="1"/>
  <c r="CY942" i="13" a="1"/>
  <c r="CY942" i="13" s="1"/>
  <c r="CX942" i="13" a="1"/>
  <c r="CX942" i="13" s="1"/>
  <c r="CE133" i="13" a="1"/>
  <c r="CE133" i="13" s="1"/>
  <c r="CD133" i="13" a="1"/>
  <c r="CD133" i="13" s="1"/>
  <c r="BV139" i="13" a="1"/>
  <c r="BV139" i="13" s="1"/>
  <c r="CD392" i="13" a="1"/>
  <c r="CD392" i="13" s="1"/>
  <c r="CE392" i="13" a="1"/>
  <c r="CE392" i="13" s="1"/>
  <c r="BV367" i="13" a="1"/>
  <c r="BV367" i="13" s="1"/>
  <c r="CY521" i="13" a="1"/>
  <c r="CY521" i="13" s="1"/>
  <c r="CX521" i="13" a="1"/>
  <c r="CX521" i="13" s="1"/>
  <c r="CD338" i="13" a="1"/>
  <c r="CD338" i="13" s="1"/>
  <c r="CE338" i="13" a="1"/>
  <c r="CE338" i="13" s="1"/>
  <c r="CT273" i="13" a="1"/>
  <c r="CT273" i="13" s="1"/>
  <c r="CZ273" i="13" s="1"/>
  <c r="Z273" i="13" s="1"/>
  <c r="CX665" i="13" a="1"/>
  <c r="CX665" i="13" s="1"/>
  <c r="CY665" i="13" a="1"/>
  <c r="CY665" i="13" s="1"/>
  <c r="CX673" i="13" a="1"/>
  <c r="CX673" i="13" s="1"/>
  <c r="CY673" i="13" a="1"/>
  <c r="CY673" i="13" s="1"/>
  <c r="CF660" i="13"/>
  <c r="R660" i="13" s="1"/>
  <c r="CP573" i="13" a="1"/>
  <c r="CP573" i="13" s="1"/>
  <c r="CT569" i="13" a="1"/>
  <c r="CT569" i="13" s="1"/>
  <c r="BZ655" i="13" a="1"/>
  <c r="BZ655" i="13" s="1"/>
  <c r="BV503" i="13" a="1"/>
  <c r="BV503" i="13" s="1"/>
  <c r="CP661" i="13" a="1"/>
  <c r="CP661" i="13" s="1"/>
  <c r="BZ808" i="13" a="1"/>
  <c r="BZ808" i="13" s="1"/>
  <c r="CF808" i="13" s="1"/>
  <c r="R808" i="13" s="1"/>
  <c r="BZ873" i="13" a="1"/>
  <c r="BZ873" i="13" s="1"/>
  <c r="BV822" i="13" a="1"/>
  <c r="BV822" i="13" s="1"/>
  <c r="CF822" i="13" s="1"/>
  <c r="R822" i="13" s="1"/>
  <c r="BV1018" i="13" a="1"/>
  <c r="BV1018" i="13" s="1"/>
  <c r="CF826" i="13"/>
  <c r="R826" i="13" s="1"/>
  <c r="CZ138" i="13"/>
  <c r="Z138" i="13" s="1"/>
  <c r="CP227" i="13" a="1"/>
  <c r="CP227" i="13" s="1"/>
  <c r="CZ227" i="13" s="1"/>
  <c r="Z227" i="13" s="1"/>
  <c r="CZ204" i="13"/>
  <c r="Z204" i="13" s="1"/>
  <c r="CE322" i="13" a="1"/>
  <c r="CE322" i="13" s="1"/>
  <c r="CD322" i="13" a="1"/>
  <c r="CD322" i="13" s="1"/>
  <c r="BZ436" i="13" a="1"/>
  <c r="BZ436" i="13" s="1"/>
  <c r="CF436" i="13" s="1"/>
  <c r="R436" i="13" s="1"/>
  <c r="CF269" i="13"/>
  <c r="R269" i="13" s="1"/>
  <c r="CX590" i="13" a="1"/>
  <c r="CX590" i="13" s="1"/>
  <c r="CY590" i="13" a="1"/>
  <c r="CY590" i="13" s="1"/>
  <c r="CX263" i="13" a="1"/>
  <c r="CX263" i="13" s="1"/>
  <c r="CY263" i="13" a="1"/>
  <c r="CY263" i="13" s="1"/>
  <c r="CP752" i="13" a="1"/>
  <c r="CP752" i="13" s="1"/>
  <c r="CF448" i="13"/>
  <c r="R448" i="13" s="1"/>
  <c r="AF448" i="13" s="1"/>
  <c r="CD311" i="13" a="1"/>
  <c r="CD311" i="13" s="1"/>
  <c r="CE311" i="13" a="1"/>
  <c r="CE311" i="13" s="1"/>
  <c r="CD483" i="13" a="1"/>
  <c r="CD483" i="13" s="1"/>
  <c r="CE483" i="13" a="1"/>
  <c r="CE483" i="13" s="1"/>
  <c r="CT627" i="13" a="1"/>
  <c r="CT627" i="13" s="1"/>
  <c r="CX541" i="13" a="1"/>
  <c r="CX541" i="13" s="1"/>
  <c r="CY541" i="13" a="1"/>
  <c r="CY541" i="13" s="1"/>
  <c r="BV627" i="13" a="1"/>
  <c r="BV627" i="13" s="1"/>
  <c r="CF676" i="13"/>
  <c r="R676" i="13" s="1"/>
  <c r="CT455" i="13" a="1"/>
  <c r="CT455" i="13" s="1"/>
  <c r="BZ503" i="13" a="1"/>
  <c r="BZ503" i="13" s="1"/>
  <c r="CP784" i="13" a="1"/>
  <c r="CP784" i="13" s="1"/>
  <c r="CZ1008" i="13"/>
  <c r="Z1008" i="13" s="1"/>
  <c r="CP857" i="13" a="1"/>
  <c r="CP857" i="13" s="1"/>
  <c r="CE1001" i="13" a="1"/>
  <c r="CE1001" i="13" s="1"/>
  <c r="CD1001" i="13" a="1"/>
  <c r="CD1001" i="13" s="1"/>
  <c r="CY1002" i="13" a="1"/>
  <c r="CY1002" i="13" s="1"/>
  <c r="CX1002" i="13" a="1"/>
  <c r="CX1002" i="13" s="1"/>
  <c r="CZ934" i="13"/>
  <c r="Z934" i="13" s="1"/>
  <c r="CT275" i="13" a="1"/>
  <c r="CT275" i="13" s="1"/>
  <c r="CZ275" i="13" s="1"/>
  <c r="Z275" i="13" s="1"/>
  <c r="BV682" i="13" a="1"/>
  <c r="BV682" i="13" s="1"/>
  <c r="CT643" i="13" a="1"/>
  <c r="CT643" i="13" s="1"/>
  <c r="CZ643" i="13" s="1"/>
  <c r="Z643" i="13" s="1"/>
  <c r="CX751" i="13" a="1"/>
  <c r="CX751" i="13" s="1"/>
  <c r="CZ751" i="13" s="1"/>
  <c r="Z751" i="13" s="1"/>
  <c r="CP125" i="13" a="1"/>
  <c r="CP125" i="13" s="1"/>
  <c r="CZ125" i="13" s="1"/>
  <c r="Z125" i="13" s="1"/>
  <c r="BZ434" i="13" a="1"/>
  <c r="BZ434" i="13" s="1"/>
  <c r="BV373" i="13" a="1"/>
  <c r="BV373" i="13" s="1"/>
  <c r="CT622" i="13" a="1"/>
  <c r="CT622" i="13" s="1"/>
  <c r="CT468" i="13" a="1"/>
  <c r="CT468" i="13" s="1"/>
  <c r="CZ468" i="13" s="1"/>
  <c r="Z468" i="13" s="1"/>
  <c r="CT662" i="13" a="1"/>
  <c r="CT662" i="13" s="1"/>
  <c r="CZ662" i="13" s="1"/>
  <c r="Z662" i="13" s="1"/>
  <c r="AF662" i="13" s="1"/>
  <c r="CD1002" i="13" a="1"/>
  <c r="CD1002" i="13" s="1"/>
  <c r="CF1002" i="13" s="1"/>
  <c r="R1002" i="13" s="1"/>
  <c r="CD831" i="13" a="1"/>
  <c r="CD831" i="13" s="1"/>
  <c r="CF831" i="13" s="1"/>
  <c r="R831" i="13" s="1"/>
  <c r="CT865" i="13" a="1"/>
  <c r="CT865" i="13" s="1"/>
  <c r="CZ865" i="13" s="1"/>
  <c r="Z865" i="13" s="1"/>
  <c r="CX390" i="13" a="1"/>
  <c r="CX390" i="13" s="1"/>
  <c r="CP464" i="13" a="1"/>
  <c r="CP464" i="13" s="1"/>
  <c r="CZ464" i="13" s="1"/>
  <c r="Z464" i="13" s="1"/>
  <c r="CX543" i="13" a="1"/>
  <c r="CX543" i="13" s="1"/>
  <c r="CZ543" i="13" s="1"/>
  <c r="Z543" i="13" s="1"/>
  <c r="BZ623" i="13" a="1"/>
  <c r="BZ623" i="13" s="1"/>
  <c r="CF623" i="13" s="1"/>
  <c r="R623" i="13" s="1"/>
  <c r="CP924" i="13" a="1"/>
  <c r="CP924" i="13" s="1"/>
  <c r="CZ924" i="13" s="1"/>
  <c r="Z924" i="13" s="1"/>
  <c r="BZ365" i="13" a="1"/>
  <c r="BZ365" i="13" s="1"/>
  <c r="CF365" i="13" s="1"/>
  <c r="R365" i="13" s="1"/>
  <c r="BV683" i="13" a="1"/>
  <c r="BV683" i="13" s="1"/>
  <c r="CF683" i="13" s="1"/>
  <c r="R683" i="13" s="1"/>
  <c r="CT916" i="13" a="1"/>
  <c r="CT916" i="13" s="1"/>
  <c r="CZ916" i="13" s="1"/>
  <c r="Z916" i="13" s="1"/>
  <c r="CT363" i="13" a="1"/>
  <c r="CT363" i="13" s="1"/>
  <c r="CZ363" i="13" s="1"/>
  <c r="Z363" i="13" s="1"/>
  <c r="CX442" i="13" a="1"/>
  <c r="CX442" i="13" s="1"/>
  <c r="CZ442" i="13" s="1"/>
  <c r="Z442" i="13" s="1"/>
  <c r="CD295" i="13" a="1"/>
  <c r="CD295" i="13" s="1"/>
  <c r="CX299" i="13" a="1"/>
  <c r="CX299" i="13" s="1"/>
  <c r="CZ299" i="13" s="1"/>
  <c r="Z299" i="13" s="1"/>
  <c r="CP604" i="13" a="1"/>
  <c r="CP604" i="13" s="1"/>
  <c r="CX681" i="13" a="1"/>
  <c r="CX681" i="13" s="1"/>
  <c r="CZ681" i="13" s="1"/>
  <c r="Z681" i="13" s="1"/>
  <c r="AF681" i="13" s="1"/>
  <c r="CP495" i="13" a="1"/>
  <c r="CP495" i="13" s="1"/>
  <c r="CZ495" i="13" s="1"/>
  <c r="Z495" i="13" s="1"/>
  <c r="CD573" i="13" a="1"/>
  <c r="CD573" i="13" s="1"/>
  <c r="CD138" i="13" a="1"/>
  <c r="CD138" i="13" s="1"/>
  <c r="CT295" i="13" a="1"/>
  <c r="CT295" i="13" s="1"/>
  <c r="CZ295" i="13" s="1"/>
  <c r="Z295" i="13" s="1"/>
  <c r="BZ576" i="13" a="1"/>
  <c r="BZ576" i="13" s="1"/>
  <c r="CP463" i="13" a="1"/>
  <c r="CP463" i="13" s="1"/>
  <c r="CZ463" i="13" s="1"/>
  <c r="Z463" i="13" s="1"/>
  <c r="BV470" i="13" a="1"/>
  <c r="BV470" i="13" s="1"/>
  <c r="CF470" i="13" s="1"/>
  <c r="R470" i="13" s="1"/>
  <c r="BZ627" i="13" a="1"/>
  <c r="BZ627" i="13" s="1"/>
  <c r="CP171" i="13" a="1"/>
  <c r="CP171" i="13" s="1"/>
  <c r="CX653" i="13" a="1"/>
  <c r="CX653" i="13" s="1"/>
  <c r="CZ653" i="13" s="1"/>
  <c r="Z653" i="13" s="1"/>
  <c r="BV495" i="13" a="1"/>
  <c r="BV495" i="13" s="1"/>
  <c r="CD453" i="13" a="1"/>
  <c r="CD453" i="13" s="1"/>
  <c r="CP841" i="13" a="1"/>
  <c r="CP841" i="13" s="1"/>
  <c r="CZ841" i="13" s="1"/>
  <c r="Z841" i="13" s="1"/>
  <c r="AF841" i="13" s="1"/>
  <c r="BV166" i="13" a="1"/>
  <c r="BV166" i="13" s="1"/>
  <c r="CF166" i="13" s="1"/>
  <c r="R166" i="13" s="1"/>
  <c r="BZ438" i="13" a="1"/>
  <c r="BZ438" i="13" s="1"/>
  <c r="CF438" i="13" s="1"/>
  <c r="R438" i="13" s="1"/>
  <c r="AF438" i="13" s="1"/>
  <c r="CX575" i="13" a="1"/>
  <c r="CX575" i="13" s="1"/>
  <c r="CZ575" i="13" s="1"/>
  <c r="Z575" i="13" s="1"/>
  <c r="BZ667" i="13" a="1"/>
  <c r="BZ667" i="13" s="1"/>
  <c r="CT1011" i="13" a="1"/>
  <c r="CT1011" i="13" s="1"/>
  <c r="CZ1011" i="13" s="1"/>
  <c r="Z1011" i="13" s="1"/>
  <c r="CX908" i="13" a="1"/>
  <c r="CX908" i="13" s="1"/>
  <c r="CY908" i="13" a="1"/>
  <c r="CY908" i="13" s="1"/>
  <c r="AF410" i="13"/>
  <c r="CX569" i="13" a="1"/>
  <c r="CX569" i="13" s="1"/>
  <c r="CY569" i="13" a="1"/>
  <c r="CY569" i="13" s="1"/>
  <c r="CX770" i="13" a="1"/>
  <c r="CX770" i="13" s="1"/>
  <c r="CY770" i="13" a="1"/>
  <c r="CY770" i="13" s="1"/>
  <c r="CZ475" i="13"/>
  <c r="Z475" i="13" s="1"/>
  <c r="CD804" i="13" a="1"/>
  <c r="CD804" i="13" s="1"/>
  <c r="CE804" i="13" a="1"/>
  <c r="CE804" i="13" s="1"/>
  <c r="CZ743" i="13"/>
  <c r="Z743" i="13" s="1"/>
  <c r="CX682" i="13" a="1"/>
  <c r="CX682" i="13" s="1"/>
  <c r="CY682" i="13" a="1"/>
  <c r="CY682" i="13" s="1"/>
  <c r="CX344" i="13" a="1"/>
  <c r="CX344" i="13" s="1"/>
  <c r="CY344" i="13" a="1"/>
  <c r="CY344" i="13" s="1"/>
  <c r="CX348" i="13" a="1"/>
  <c r="CX348" i="13" s="1"/>
  <c r="CY348" i="13" a="1"/>
  <c r="CY348" i="13" s="1"/>
  <c r="AF568" i="13"/>
  <c r="AF793" i="13"/>
  <c r="CY571" i="13" a="1"/>
  <c r="CY571" i="13" s="1"/>
  <c r="CX571" i="13" a="1"/>
  <c r="CX571" i="13" s="1"/>
  <c r="AF716" i="13"/>
  <c r="CE843" i="13" a="1"/>
  <c r="CE843" i="13" s="1"/>
  <c r="CD843" i="13" a="1"/>
  <c r="CD843" i="13" s="1"/>
  <c r="CE865" i="13" a="1"/>
  <c r="CE865" i="13" s="1"/>
  <c r="CD865" i="13" a="1"/>
  <c r="CD865" i="13" s="1"/>
  <c r="AF134" i="13"/>
  <c r="AF427" i="13"/>
  <c r="CE297" i="13" a="1"/>
  <c r="CE297" i="13" s="1"/>
  <c r="CD297" i="13" a="1"/>
  <c r="CD297" i="13" s="1"/>
  <c r="CX481" i="13" a="1"/>
  <c r="CX481" i="13" s="1"/>
  <c r="CY481" i="13" a="1"/>
  <c r="CY481" i="13" s="1"/>
  <c r="CD340" i="13" a="1"/>
  <c r="CD340" i="13" s="1"/>
  <c r="CE340" i="13" a="1"/>
  <c r="CE340" i="13" s="1"/>
  <c r="CZ439" i="13"/>
  <c r="Z439" i="13" s="1"/>
  <c r="BZ553" i="13" a="1"/>
  <c r="BZ553" i="13" s="1"/>
  <c r="CP629" i="13" a="1"/>
  <c r="CP629" i="13" s="1"/>
  <c r="CD519" i="13" a="1"/>
  <c r="CD519" i="13" s="1"/>
  <c r="CE519" i="13" a="1"/>
  <c r="CE519" i="13" s="1"/>
  <c r="CP618" i="13" a="1"/>
  <c r="CP618" i="13" s="1"/>
  <c r="CZ618" i="13" s="1"/>
  <c r="Z618" i="13" s="1"/>
  <c r="AF609" i="13"/>
  <c r="CY893" i="13" a="1"/>
  <c r="CY893" i="13" s="1"/>
  <c r="CX893" i="13" a="1"/>
  <c r="CX893" i="13" s="1"/>
  <c r="CX1019" i="13" a="1"/>
  <c r="CX1019" i="13" s="1"/>
  <c r="CY1019" i="13" a="1"/>
  <c r="CY1019" i="13" s="1"/>
  <c r="CY889" i="13" a="1"/>
  <c r="CY889" i="13" s="1"/>
  <c r="CX889" i="13" a="1"/>
  <c r="CX889" i="13" s="1"/>
  <c r="BZ352" i="13" a="1"/>
  <c r="BZ352" i="13" s="1"/>
  <c r="CF643" i="13"/>
  <c r="R643" i="13" s="1"/>
  <c r="CD313" i="13" a="1"/>
  <c r="CD313" i="13" s="1"/>
  <c r="CE313" i="13" a="1"/>
  <c r="CE313" i="13" s="1"/>
  <c r="CT235" i="13" a="1"/>
  <c r="CT235" i="13" s="1"/>
  <c r="CZ235" i="13" s="1"/>
  <c r="Z235" i="13" s="1"/>
  <c r="CF361" i="13"/>
  <c r="R361" i="13" s="1"/>
  <c r="CD509" i="13" a="1"/>
  <c r="CD509" i="13" s="1"/>
  <c r="CE509" i="13" a="1"/>
  <c r="CE509" i="13" s="1"/>
  <c r="CP620" i="13" a="1"/>
  <c r="CP620" i="13" s="1"/>
  <c r="CZ533" i="13"/>
  <c r="Z533" i="13" s="1"/>
  <c r="BZ571" i="13" a="1"/>
  <c r="BZ571" i="13" s="1"/>
  <c r="CF571" i="13" s="1"/>
  <c r="R571" i="13" s="1"/>
  <c r="CX800" i="13" a="1"/>
  <c r="CX800" i="13" s="1"/>
  <c r="CY800" i="13" a="1"/>
  <c r="CY800" i="13" s="1"/>
  <c r="CT741" i="13" a="1"/>
  <c r="CT741" i="13" s="1"/>
  <c r="CP519" i="13" a="1"/>
  <c r="CP519" i="13" s="1"/>
  <c r="CP758" i="13" a="1"/>
  <c r="CP758" i="13" s="1"/>
  <c r="CZ758" i="13" s="1"/>
  <c r="Z758" i="13" s="1"/>
  <c r="AF900" i="13"/>
  <c r="CD895" i="13" a="1"/>
  <c r="CD895" i="13" s="1"/>
  <c r="CE895" i="13" a="1"/>
  <c r="CE895" i="13" s="1"/>
  <c r="CE991" i="13" a="1"/>
  <c r="CE991" i="13" s="1"/>
  <c r="CD991" i="13" a="1"/>
  <c r="CD991" i="13" s="1"/>
  <c r="CZ123" i="13"/>
  <c r="Z123" i="13" s="1"/>
  <c r="CY225" i="13" a="1"/>
  <c r="CY225" i="13" s="1"/>
  <c r="CX225" i="13" a="1"/>
  <c r="CX225" i="13" s="1"/>
  <c r="BZ464" i="13" a="1"/>
  <c r="BZ464" i="13" s="1"/>
  <c r="CF464" i="13" s="1"/>
  <c r="R464" i="13" s="1"/>
  <c r="CY657" i="13" a="1"/>
  <c r="CY657" i="13" s="1"/>
  <c r="CX657" i="13" a="1"/>
  <c r="CX657" i="13" s="1"/>
  <c r="CP630" i="13" a="1"/>
  <c r="CP630" i="13" s="1"/>
  <c r="BV646" i="13" a="1"/>
  <c r="BV646" i="13" s="1"/>
  <c r="CF646" i="13" s="1"/>
  <c r="R646" i="13" s="1"/>
  <c r="CP999" i="13" a="1"/>
  <c r="CP999" i="13" s="1"/>
  <c r="CZ999" i="13" s="1"/>
  <c r="Z999" i="13" s="1"/>
  <c r="CT646" i="13" a="1"/>
  <c r="CT646" i="13" s="1"/>
  <c r="CF786" i="13"/>
  <c r="R786" i="13" s="1"/>
  <c r="CT461" i="13" a="1"/>
  <c r="CT461" i="13" s="1"/>
  <c r="CT469" i="13" a="1"/>
  <c r="CT469" i="13" s="1"/>
  <c r="CZ675" i="13"/>
  <c r="Z675" i="13" s="1"/>
  <c r="CD758" i="13" a="1"/>
  <c r="CD758" i="13" s="1"/>
  <c r="CE758" i="13" a="1"/>
  <c r="CE758" i="13" s="1"/>
  <c r="CX904" i="13" a="1"/>
  <c r="CX904" i="13" s="1"/>
  <c r="CY904" i="13" a="1"/>
  <c r="CY904" i="13" s="1"/>
  <c r="CE665" i="13" a="1"/>
  <c r="CE665" i="13" s="1"/>
  <c r="CD665" i="13" a="1"/>
  <c r="CD665" i="13" s="1"/>
  <c r="CX1013" i="13" a="1"/>
  <c r="CX1013" i="13" s="1"/>
  <c r="CY1013" i="13" a="1"/>
  <c r="CY1013" i="13" s="1"/>
  <c r="BZ855" i="13" a="1"/>
  <c r="BZ855" i="13" s="1"/>
  <c r="CF855" i="13" s="1"/>
  <c r="R855" i="13" s="1"/>
  <c r="CP792" i="13" a="1"/>
  <c r="CP792" i="13" s="1"/>
  <c r="BZ990" i="13" a="1"/>
  <c r="BZ990" i="13" s="1"/>
  <c r="AF327" i="13"/>
  <c r="CX503" i="13" a="1"/>
  <c r="CX503" i="13" s="1"/>
  <c r="CZ503" i="13" s="1"/>
  <c r="Z503" i="13" s="1"/>
  <c r="CY503" i="13" a="1"/>
  <c r="CY503" i="13" s="1"/>
  <c r="CP346" i="13" a="1"/>
  <c r="CP346" i="13" s="1"/>
  <c r="CZ346" i="13" s="1"/>
  <c r="Z346" i="13" s="1"/>
  <c r="CD463" i="13" a="1"/>
  <c r="CD463" i="13" s="1"/>
  <c r="CE463" i="13" a="1"/>
  <c r="CE463" i="13" s="1"/>
  <c r="CP634" i="13" a="1"/>
  <c r="CP634" i="13" s="1"/>
  <c r="CZ634" i="13" s="1"/>
  <c r="Z634" i="13" s="1"/>
  <c r="BZ455" i="13" a="1"/>
  <c r="BZ455" i="13" s="1"/>
  <c r="BZ897" i="13" a="1"/>
  <c r="BZ897" i="13" s="1"/>
  <c r="BZ1015" i="13" a="1"/>
  <c r="BZ1015" i="13" s="1"/>
  <c r="CF1015" i="13" s="1"/>
  <c r="R1015" i="13" s="1"/>
  <c r="CT798" i="13" a="1"/>
  <c r="CT798" i="13" s="1"/>
  <c r="CZ798" i="13" s="1"/>
  <c r="Z798" i="13" s="1"/>
  <c r="AF809" i="13"/>
  <c r="BZ849" i="13" a="1"/>
  <c r="BZ849" i="13" s="1"/>
  <c r="CF849" i="13" s="1"/>
  <c r="R849" i="13" s="1"/>
  <c r="AF849" i="13" s="1"/>
  <c r="CY176" i="13" a="1"/>
  <c r="CY176" i="13" s="1"/>
  <c r="CX176" i="13" a="1"/>
  <c r="CX176" i="13" s="1"/>
  <c r="CZ176" i="13" s="1"/>
  <c r="Z176" i="13" s="1"/>
  <c r="CX323" i="13" a="1"/>
  <c r="CX323" i="13" s="1"/>
  <c r="CY323" i="13" a="1"/>
  <c r="CY323" i="13" s="1"/>
  <c r="BZ433" i="13" a="1"/>
  <c r="BZ433" i="13" s="1"/>
  <c r="AF353" i="13"/>
  <c r="CT535" i="13" a="1"/>
  <c r="CT535" i="13" s="1"/>
  <c r="CZ535" i="13" s="1"/>
  <c r="Z535" i="13" s="1"/>
  <c r="CE657" i="13" a="1"/>
  <c r="CE657" i="13" s="1"/>
  <c r="CD657" i="13" a="1"/>
  <c r="CD657" i="13" s="1"/>
  <c r="CP1015" i="13" a="1"/>
  <c r="CP1015" i="13" s="1"/>
  <c r="CZ1015" i="13" s="1"/>
  <c r="Z1015" i="13" s="1"/>
  <c r="CP571" i="13" a="1"/>
  <c r="CP571" i="13" s="1"/>
  <c r="AF718" i="13"/>
  <c r="BZ545" i="13" a="1"/>
  <c r="BZ545" i="13" s="1"/>
  <c r="BV519" i="13" a="1"/>
  <c r="BV519" i="13" s="1"/>
  <c r="CD645" i="13" a="1"/>
  <c r="CD645" i="13" s="1"/>
  <c r="CE645" i="13" a="1"/>
  <c r="CE645" i="13" s="1"/>
  <c r="CP645" i="13" a="1"/>
  <c r="CP645" i="13" s="1"/>
  <c r="CX871" i="13" a="1"/>
  <c r="CX871" i="13" s="1"/>
  <c r="CY871" i="13" a="1"/>
  <c r="CY871" i="13" s="1"/>
  <c r="BV877" i="13" a="1"/>
  <c r="BV877" i="13" s="1"/>
  <c r="CF877" i="13" s="1"/>
  <c r="R877" i="13" s="1"/>
  <c r="AF877" i="13" s="1"/>
  <c r="CE129" i="13" a="1"/>
  <c r="CE129" i="13" s="1"/>
  <c r="CD129" i="13" a="1"/>
  <c r="CD129" i="13" s="1"/>
  <c r="CZ307" i="13"/>
  <c r="Z307" i="13" s="1"/>
  <c r="CF133" i="13"/>
  <c r="R133" i="13" s="1"/>
  <c r="BZ450" i="13" a="1"/>
  <c r="BZ450" i="13" s="1"/>
  <c r="CF450" i="13" s="1"/>
  <c r="R450" i="13" s="1"/>
  <c r="CY166" i="13" a="1"/>
  <c r="CY166" i="13" s="1"/>
  <c r="CX166" i="13" a="1"/>
  <c r="CX166" i="13" s="1"/>
  <c r="CP186" i="13" a="1"/>
  <c r="CP186" i="13" s="1"/>
  <c r="BZ350" i="13" a="1"/>
  <c r="BZ350" i="13" s="1"/>
  <c r="CF350" i="13" s="1"/>
  <c r="R350" i="13" s="1"/>
  <c r="CY437" i="13" a="1"/>
  <c r="CY437" i="13" s="1"/>
  <c r="CX437" i="13" a="1"/>
  <c r="CX437" i="13" s="1"/>
  <c r="CX489" i="13" a="1"/>
  <c r="CX489" i="13" s="1"/>
  <c r="CY489" i="13" a="1"/>
  <c r="CY489" i="13" s="1"/>
  <c r="CP308" i="13" a="1"/>
  <c r="CP308" i="13" s="1"/>
  <c r="CZ308" i="13" s="1"/>
  <c r="Z308" i="13" s="1"/>
  <c r="CP394" i="13" a="1"/>
  <c r="CP394" i="13" s="1"/>
  <c r="CZ394" i="13" s="1"/>
  <c r="Z394" i="13" s="1"/>
  <c r="CD594" i="13" a="1"/>
  <c r="CD594" i="13" s="1"/>
  <c r="CE594" i="13" a="1"/>
  <c r="CE594" i="13" s="1"/>
  <c r="CY671" i="13" a="1"/>
  <c r="CY671" i="13" s="1"/>
  <c r="CX671" i="13" a="1"/>
  <c r="CX671" i="13" s="1"/>
  <c r="CD752" i="13" a="1"/>
  <c r="CD752" i="13" s="1"/>
  <c r="CE752" i="13" a="1"/>
  <c r="CE752" i="13" s="1"/>
  <c r="CD648" i="13" a="1"/>
  <c r="CD648" i="13" s="1"/>
  <c r="CE648" i="13" a="1"/>
  <c r="CE648" i="13" s="1"/>
  <c r="BZ754" i="13" a="1"/>
  <c r="BZ754" i="13" s="1"/>
  <c r="CY679" i="13" a="1"/>
  <c r="CY679" i="13" s="1"/>
  <c r="CX679" i="13" a="1"/>
  <c r="CX679" i="13" s="1"/>
  <c r="CP453" i="13" a="1"/>
  <c r="CP453" i="13" s="1"/>
  <c r="CD782" i="13" a="1"/>
  <c r="CD782" i="13" s="1"/>
  <c r="CE782" i="13" a="1"/>
  <c r="CE782" i="13" s="1"/>
  <c r="CT525" i="13" a="1"/>
  <c r="CT525" i="13" s="1"/>
  <c r="BZ804" i="13" a="1"/>
  <c r="BZ804" i="13" s="1"/>
  <c r="CP837" i="13" a="1"/>
  <c r="CP837" i="13" s="1"/>
  <c r="CZ837" i="13" s="1"/>
  <c r="Z837" i="13" s="1"/>
  <c r="BZ263" i="13" a="1"/>
  <c r="BZ263" i="13" s="1"/>
  <c r="CY171" i="13" a="1"/>
  <c r="CY171" i="13" s="1"/>
  <c r="CX171" i="13" a="1"/>
  <c r="CX171" i="13" s="1"/>
  <c r="BV336" i="13" a="1"/>
  <c r="BV336" i="13" s="1"/>
  <c r="BV315" i="13" a="1"/>
  <c r="BV315" i="13" s="1"/>
  <c r="BV359" i="13" a="1"/>
  <c r="BV359" i="13" s="1"/>
  <c r="CF359" i="13" s="1"/>
  <c r="R359" i="13" s="1"/>
  <c r="CF273" i="13"/>
  <c r="R273" i="13" s="1"/>
  <c r="CE293" i="13" a="1"/>
  <c r="CE293" i="13" s="1"/>
  <c r="CD293" i="13" a="1"/>
  <c r="CD293" i="13" s="1"/>
  <c r="CX265" i="13" a="1"/>
  <c r="CX265" i="13" s="1"/>
  <c r="CY265" i="13" a="1"/>
  <c r="CY265" i="13" s="1"/>
  <c r="CP194" i="13" a="1"/>
  <c r="CP194" i="13" s="1"/>
  <c r="CD342" i="13" a="1"/>
  <c r="CD342" i="13" s="1"/>
  <c r="CE342" i="13" a="1"/>
  <c r="CE342" i="13" s="1"/>
  <c r="CT511" i="13" a="1"/>
  <c r="CT511" i="13" s="1"/>
  <c r="CE439" i="13" a="1"/>
  <c r="CE439" i="13" s="1"/>
  <c r="CD439" i="13" a="1"/>
  <c r="CD439" i="13" s="1"/>
  <c r="CD606" i="13" a="1"/>
  <c r="CD606" i="13" s="1"/>
  <c r="CE606" i="13" a="1"/>
  <c r="CE606" i="13" s="1"/>
  <c r="CZ670" i="13"/>
  <c r="Z670" i="13" s="1"/>
  <c r="CZ1021" i="13"/>
  <c r="Z1021" i="13" s="1"/>
  <c r="CP667" i="13" a="1"/>
  <c r="CP667" i="13" s="1"/>
  <c r="CZ667" i="13" s="1"/>
  <c r="Z667" i="13" s="1"/>
  <c r="CD503" i="13" a="1"/>
  <c r="CD503" i="13" s="1"/>
  <c r="CE503" i="13" a="1"/>
  <c r="CE503" i="13" s="1"/>
  <c r="CD814" i="13" a="1"/>
  <c r="CD814" i="13" s="1"/>
  <c r="CE814" i="13" a="1"/>
  <c r="CE814" i="13" s="1"/>
  <c r="BV483" i="13" a="1"/>
  <c r="BV483" i="13" s="1"/>
  <c r="CF483" i="13" s="1"/>
  <c r="R483" i="13" s="1"/>
  <c r="CE788" i="13" a="1"/>
  <c r="CE788" i="13" s="1"/>
  <c r="CD788" i="13" a="1"/>
  <c r="CD788" i="13" s="1"/>
  <c r="BV586" i="13" a="1"/>
  <c r="BV586" i="13" s="1"/>
  <c r="CF586" i="13" s="1"/>
  <c r="R586" i="13" s="1"/>
  <c r="CE792" i="13" a="1"/>
  <c r="CE792" i="13" s="1"/>
  <c r="CD792" i="13" a="1"/>
  <c r="CD792" i="13" s="1"/>
  <c r="BZ620" i="13" a="1"/>
  <c r="BZ620" i="13" s="1"/>
  <c r="CF620" i="13" s="1"/>
  <c r="R620" i="13" s="1"/>
  <c r="CP839" i="13" a="1"/>
  <c r="CP839" i="13" s="1"/>
  <c r="CZ839" i="13" s="1"/>
  <c r="Z839" i="13" s="1"/>
  <c r="BZ859" i="13" a="1"/>
  <c r="BZ859" i="13" s="1"/>
  <c r="CF859" i="13" s="1"/>
  <c r="R859" i="13" s="1"/>
  <c r="BV154" i="13" a="1"/>
  <c r="BV154" i="13" s="1"/>
  <c r="CT297" i="13" a="1"/>
  <c r="CT297" i="13" s="1"/>
  <c r="CZ297" i="13" s="1"/>
  <c r="Z297" i="13" s="1"/>
  <c r="CD505" i="13" a="1"/>
  <c r="CD505" i="13" s="1"/>
  <c r="CF505" i="13" s="1"/>
  <c r="R505" i="13" s="1"/>
  <c r="AF505" i="13" s="1"/>
  <c r="BV630" i="13" a="1"/>
  <c r="BV630" i="13" s="1"/>
  <c r="CD511" i="13" a="1"/>
  <c r="CD511" i="13" s="1"/>
  <c r="CD551" i="13" a="1"/>
  <c r="CD551" i="13" s="1"/>
  <c r="CP908" i="13" a="1"/>
  <c r="CP908" i="13" s="1"/>
  <c r="CX563" i="13" a="1"/>
  <c r="CX563" i="13" s="1"/>
  <c r="CZ563" i="13" s="1"/>
  <c r="Z563" i="13" s="1"/>
  <c r="CT472" i="13" a="1"/>
  <c r="CT472" i="13" s="1"/>
  <c r="CT606" i="13" a="1"/>
  <c r="CT606" i="13" s="1"/>
  <c r="CD743" i="13" a="1"/>
  <c r="CD743" i="13" s="1"/>
  <c r="CF743" i="13" s="1"/>
  <c r="R743" i="13" s="1"/>
  <c r="BV774" i="13" a="1"/>
  <c r="BV774" i="13" s="1"/>
  <c r="CF774" i="13" s="1"/>
  <c r="R774" i="13" s="1"/>
  <c r="CT766" i="13" a="1"/>
  <c r="CT766" i="13" s="1"/>
  <c r="CD123" i="13" a="1"/>
  <c r="CD123" i="13" s="1"/>
  <c r="CF123" i="13" s="1"/>
  <c r="R123" i="13" s="1"/>
  <c r="AF123" i="13" s="1"/>
  <c r="CT344" i="13" a="1"/>
  <c r="CT344" i="13" s="1"/>
  <c r="CZ344" i="13" s="1"/>
  <c r="Z344" i="13" s="1"/>
  <c r="CT183" i="13" a="1"/>
  <c r="CT183" i="13" s="1"/>
  <c r="CZ183" i="13" s="1"/>
  <c r="Z183" i="13" s="1"/>
  <c r="CD675" i="13" a="1"/>
  <c r="CD675" i="13" s="1"/>
  <c r="CD537" i="13" a="1"/>
  <c r="CD537" i="13" s="1"/>
  <c r="CF537" i="13" s="1"/>
  <c r="R537" i="13" s="1"/>
  <c r="CT782" i="13" a="1"/>
  <c r="CT782" i="13" s="1"/>
  <c r="CZ782" i="13" s="1"/>
  <c r="Z782" i="13" s="1"/>
  <c r="CD839" i="13" a="1"/>
  <c r="CD839" i="13" s="1"/>
  <c r="CF839" i="13" s="1"/>
  <c r="R839" i="13" s="1"/>
  <c r="CX340" i="13" a="1"/>
  <c r="CX340" i="13" s="1"/>
  <c r="CZ340" i="13" s="1"/>
  <c r="Z340" i="13" s="1"/>
  <c r="CT683" i="13" a="1"/>
  <c r="CT683" i="13" s="1"/>
  <c r="CZ683" i="13" s="1"/>
  <c r="Z683" i="13" s="1"/>
  <c r="CD682" i="13" a="1"/>
  <c r="CD682" i="13" s="1"/>
  <c r="CT447" i="13" a="1"/>
  <c r="CT447" i="13" s="1"/>
  <c r="CZ447" i="13" s="1"/>
  <c r="Z447" i="13" s="1"/>
  <c r="CT663" i="13" a="1"/>
  <c r="CT663" i="13" s="1"/>
  <c r="CZ663" i="13" s="1"/>
  <c r="Z663" i="13" s="1"/>
  <c r="CT786" i="13" a="1"/>
  <c r="CT786" i="13" s="1"/>
  <c r="CZ786" i="13" s="1"/>
  <c r="Z786" i="13" s="1"/>
  <c r="CT843" i="13" a="1"/>
  <c r="CT843" i="13" s="1"/>
  <c r="CX443" i="13" a="1"/>
  <c r="CX443" i="13" s="1"/>
  <c r="CZ443" i="13" s="1"/>
  <c r="Z443" i="13" s="1"/>
  <c r="CD419" i="13" a="1"/>
  <c r="CD419" i="13" s="1"/>
  <c r="CT537" i="13" a="1"/>
  <c r="CT537" i="13" s="1"/>
  <c r="CZ537" i="13" s="1"/>
  <c r="Z537" i="13" s="1"/>
  <c r="CD602" i="13" a="1"/>
  <c r="CD602" i="13" s="1"/>
  <c r="BZ509" i="13" a="1"/>
  <c r="BZ509" i="13" s="1"/>
  <c r="CF509" i="13" s="1"/>
  <c r="R509" i="13" s="1"/>
  <c r="CT594" i="13" a="1"/>
  <c r="CT594" i="13" s="1"/>
  <c r="CZ594" i="13" s="1"/>
  <c r="Z594" i="13" s="1"/>
  <c r="CD507" i="13" a="1"/>
  <c r="CD507" i="13" s="1"/>
  <c r="CP754" i="13" a="1"/>
  <c r="CP754" i="13" s="1"/>
  <c r="CZ754" i="13" s="1"/>
  <c r="Z754" i="13" s="1"/>
  <c r="BZ751" i="13" a="1"/>
  <c r="BZ751" i="13" s="1"/>
  <c r="CT1009" i="13" a="1"/>
  <c r="CT1009" i="13" s="1"/>
  <c r="CZ1009" i="13" s="1"/>
  <c r="Z1009" i="13" s="1"/>
  <c r="AF1009" i="13" s="1"/>
  <c r="CT855" i="13" a="1"/>
  <c r="CT855" i="13" s="1"/>
  <c r="CT792" i="13" a="1"/>
  <c r="CT792" i="13" s="1"/>
  <c r="BV991" i="13" a="1"/>
  <c r="BV991" i="13" s="1"/>
  <c r="CP367" i="13" a="1"/>
  <c r="CP367" i="13" s="1"/>
  <c r="CZ367" i="13" s="1"/>
  <c r="Z367" i="13" s="1"/>
  <c r="CX186" i="13" a="1"/>
  <c r="CX186" i="13" s="1"/>
  <c r="CX157" i="13" a="1"/>
  <c r="CX157" i="13" s="1"/>
  <c r="CZ157" i="13" s="1"/>
  <c r="Z157" i="13" s="1"/>
  <c r="CT549" i="13" a="1"/>
  <c r="CT549" i="13" s="1"/>
  <c r="CZ549" i="13" s="1"/>
  <c r="Z549" i="13" s="1"/>
  <c r="AF549" i="13" s="1"/>
  <c r="CT501" i="13" a="1"/>
  <c r="CT501" i="13" s="1"/>
  <c r="CZ501" i="13" s="1"/>
  <c r="Z501" i="13" s="1"/>
  <c r="CX602" i="13" a="1"/>
  <c r="CX602" i="13" s="1"/>
  <c r="CP614" i="13" a="1"/>
  <c r="CP614" i="13" s="1"/>
  <c r="CZ614" i="13" s="1"/>
  <c r="Z614" i="13" s="1"/>
  <c r="CT1010" i="13" a="1"/>
  <c r="CT1010" i="13" s="1"/>
  <c r="CZ1010" i="13" s="1"/>
  <c r="Z1010" i="13" s="1"/>
  <c r="CD154" i="13" a="1"/>
  <c r="CD154" i="13" s="1"/>
  <c r="CP301" i="13" a="1"/>
  <c r="CP301" i="13" s="1"/>
  <c r="CZ301" i="13" s="1"/>
  <c r="Z301" i="13" s="1"/>
  <c r="CD250" i="13" a="1"/>
  <c r="CD250" i="13" s="1"/>
  <c r="CF250" i="13" s="1"/>
  <c r="R250" i="13" s="1"/>
  <c r="BZ308" i="13" a="1"/>
  <c r="BZ308" i="13" s="1"/>
  <c r="CF308" i="13" s="1"/>
  <c r="R308" i="13" s="1"/>
  <c r="CT545" i="13" a="1"/>
  <c r="CT545" i="13" s="1"/>
  <c r="BV596" i="13" a="1"/>
  <c r="BV596" i="13" s="1"/>
  <c r="CF596" i="13" s="1"/>
  <c r="R596" i="13" s="1"/>
  <c r="CP1013" i="13" a="1"/>
  <c r="CP1013" i="13" s="1"/>
  <c r="BZ918" i="13" a="1"/>
  <c r="BZ918" i="13" s="1"/>
  <c r="CF918" i="13" s="1"/>
  <c r="R918" i="13" s="1"/>
  <c r="BV1020" i="13" a="1"/>
  <c r="BV1020" i="13" s="1"/>
  <c r="CF1020" i="13" s="1"/>
  <c r="R1020" i="13" s="1"/>
  <c r="AF1020" i="13" s="1"/>
  <c r="CP233" i="13" a="1"/>
  <c r="CP233" i="13" s="1"/>
  <c r="CZ233" i="13" s="1"/>
  <c r="Z233" i="13" s="1"/>
  <c r="CP411" i="13" a="1"/>
  <c r="CP411" i="13" s="1"/>
  <c r="CD194" i="13" a="1"/>
  <c r="CD194" i="13" s="1"/>
  <c r="CF194" i="13" s="1"/>
  <c r="R194" i="13" s="1"/>
  <c r="CD301" i="13" a="1"/>
  <c r="CD301" i="13" s="1"/>
  <c r="CD444" i="13" a="1"/>
  <c r="CD444" i="13" s="1"/>
  <c r="CP598" i="13" a="1"/>
  <c r="CP598" i="13" s="1"/>
  <c r="BV638" i="13" a="1"/>
  <c r="BV638" i="13" s="1"/>
  <c r="CF638" i="13" s="1"/>
  <c r="R638" i="13" s="1"/>
  <c r="BV515" i="13" a="1"/>
  <c r="BV515" i="13" s="1"/>
  <c r="CF515" i="13" s="1"/>
  <c r="R515" i="13" s="1"/>
  <c r="CX467" i="13" a="1"/>
  <c r="CX467" i="13" s="1"/>
  <c r="CZ467" i="13" s="1"/>
  <c r="Z467" i="13" s="1"/>
  <c r="AF467" i="13" s="1"/>
  <c r="CT1012" i="13" a="1"/>
  <c r="CT1012" i="13" s="1"/>
  <c r="CZ1012" i="13" s="1"/>
  <c r="Z1012" i="13" s="1"/>
  <c r="AF1012" i="13" s="1"/>
  <c r="AF964" i="13"/>
  <c r="AF931" i="13"/>
  <c r="CY660" i="13" a="1"/>
  <c r="CY660" i="13" s="1"/>
  <c r="CX660" i="13" a="1"/>
  <c r="CX660" i="13" s="1"/>
  <c r="CZ336" i="13"/>
  <c r="Z336" i="13" s="1"/>
  <c r="CD367" i="13" a="1"/>
  <c r="CD367" i="13" s="1"/>
  <c r="CE367" i="13" a="1"/>
  <c r="CE367" i="13" s="1"/>
  <c r="CZ303" i="13"/>
  <c r="Z303" i="13" s="1"/>
  <c r="CE309" i="13" a="1"/>
  <c r="CE309" i="13" s="1"/>
  <c r="CD309" i="13" a="1"/>
  <c r="CD309" i="13" s="1"/>
  <c r="CY456" i="13" a="1"/>
  <c r="CY456" i="13" s="1"/>
  <c r="CX456" i="13" a="1"/>
  <c r="CX456" i="13" s="1"/>
  <c r="BV553" i="13" a="1"/>
  <c r="BV553" i="13" s="1"/>
  <c r="AF704" i="13"/>
  <c r="AF530" i="13"/>
  <c r="AF542" i="13"/>
  <c r="CP899" i="13" a="1"/>
  <c r="CP899" i="13" s="1"/>
  <c r="CF129" i="13"/>
  <c r="R129" i="13" s="1"/>
  <c r="CY169" i="13" a="1"/>
  <c r="CY169" i="13" s="1"/>
  <c r="CX169" i="13" a="1"/>
  <c r="CX169" i="13" s="1"/>
  <c r="AF403" i="13"/>
  <c r="CP646" i="13" a="1"/>
  <c r="CP646" i="13" s="1"/>
  <c r="CZ646" i="13" s="1"/>
  <c r="Z646" i="13" s="1"/>
  <c r="CD334" i="13" a="1"/>
  <c r="CD334" i="13" s="1"/>
  <c r="CE334" i="13" a="1"/>
  <c r="CE334" i="13" s="1"/>
  <c r="CD299" i="13" a="1"/>
  <c r="CD299" i="13" s="1"/>
  <c r="CE299" i="13" a="1"/>
  <c r="CE299" i="13" s="1"/>
  <c r="CZ622" i="13"/>
  <c r="Z622" i="13" s="1"/>
  <c r="CE487" i="13" a="1"/>
  <c r="CE487" i="13" s="1"/>
  <c r="CD487" i="13" a="1"/>
  <c r="CD487" i="13" s="1"/>
  <c r="CF578" i="13"/>
  <c r="R578" i="13" s="1"/>
  <c r="BV924" i="13" a="1"/>
  <c r="BV924" i="13" s="1"/>
  <c r="CE1021" i="13" a="1"/>
  <c r="CE1021" i="13" s="1"/>
  <c r="CD1021" i="13" a="1"/>
  <c r="CD1021" i="13" s="1"/>
  <c r="CE995" i="13" a="1"/>
  <c r="CE995" i="13" s="1"/>
  <c r="CD995" i="13" a="1"/>
  <c r="CD995" i="13" s="1"/>
  <c r="AF783" i="13"/>
  <c r="CX150" i="13" a="1"/>
  <c r="CX150" i="13" s="1"/>
  <c r="CY150" i="13" a="1"/>
  <c r="CY150" i="13" s="1"/>
  <c r="BV175" i="13" a="1"/>
  <c r="BV175" i="13" s="1"/>
  <c r="CF175" i="13" s="1"/>
  <c r="R175" i="13" s="1"/>
  <c r="AF238" i="13"/>
  <c r="CD352" i="13" a="1"/>
  <c r="CD352" i="13" s="1"/>
  <c r="CE352" i="13" a="1"/>
  <c r="CE352" i="13" s="1"/>
  <c r="CD751" i="13" a="1"/>
  <c r="CD751" i="13" s="1"/>
  <c r="CE751" i="13" a="1"/>
  <c r="CE751" i="13" s="1"/>
  <c r="CZ180" i="13"/>
  <c r="Z180" i="13" s="1"/>
  <c r="BZ305" i="13" a="1"/>
  <c r="BZ305" i="13" s="1"/>
  <c r="CF305" i="13" s="1"/>
  <c r="R305" i="13" s="1"/>
  <c r="CP624" i="13" a="1"/>
  <c r="CP624" i="13" s="1"/>
  <c r="AF474" i="13"/>
  <c r="CF897" i="13"/>
  <c r="R897" i="13" s="1"/>
  <c r="BV507" i="13" a="1"/>
  <c r="BV507" i="13" s="1"/>
  <c r="CD784" i="13" a="1"/>
  <c r="CD784" i="13" s="1"/>
  <c r="CE784" i="13" a="1"/>
  <c r="CE784" i="13" s="1"/>
  <c r="CZ477" i="13"/>
  <c r="Z477" i="13" s="1"/>
  <c r="CX573" i="13" a="1"/>
  <c r="CX573" i="13" s="1"/>
  <c r="CY573" i="13" a="1"/>
  <c r="CY573" i="13" s="1"/>
  <c r="CE685" i="13" a="1"/>
  <c r="CE685" i="13" s="1"/>
  <c r="CD685" i="13" a="1"/>
  <c r="CD685" i="13" s="1"/>
  <c r="AF757" i="13"/>
  <c r="CZ569" i="13"/>
  <c r="Z569" i="13" s="1"/>
  <c r="CY766" i="13" a="1"/>
  <c r="CY766" i="13" s="1"/>
  <c r="CX766" i="13" a="1"/>
  <c r="CX766" i="13" s="1"/>
  <c r="CX998" i="13" a="1"/>
  <c r="CX998" i="13" s="1"/>
  <c r="CZ998" i="13" s="1"/>
  <c r="Z998" i="13" s="1"/>
  <c r="CY998" i="13" a="1"/>
  <c r="CY998" i="13" s="1"/>
  <c r="CZ835" i="13"/>
  <c r="Z835" i="13" s="1"/>
  <c r="AF815" i="13"/>
  <c r="AF874" i="13"/>
  <c r="CF124" i="13"/>
  <c r="R124" i="13" s="1"/>
  <c r="AF124" i="13" s="1"/>
  <c r="CD181" i="13" a="1"/>
  <c r="CD181" i="13" s="1"/>
  <c r="CE181" i="13" a="1"/>
  <c r="CE181" i="13" s="1"/>
  <c r="AF391" i="13"/>
  <c r="CZ604" i="13"/>
  <c r="Z604" i="13" s="1"/>
  <c r="AF604" i="13" s="1"/>
  <c r="CZ361" i="13"/>
  <c r="Z361" i="13" s="1"/>
  <c r="BV223" i="13" a="1"/>
  <c r="BV223" i="13" s="1"/>
  <c r="BV475" i="13" a="1"/>
  <c r="BV475" i="13" s="1"/>
  <c r="CF475" i="13" s="1"/>
  <c r="R475" i="13" s="1"/>
  <c r="AF475" i="13" s="1"/>
  <c r="CD796" i="13" a="1"/>
  <c r="CD796" i="13" s="1"/>
  <c r="CE796" i="13" a="1"/>
  <c r="CE796" i="13" s="1"/>
  <c r="CD517" i="13" a="1"/>
  <c r="CD517" i="13" s="1"/>
  <c r="CE517" i="13" a="1"/>
  <c r="CE517" i="13" s="1"/>
  <c r="CE584" i="13" a="1"/>
  <c r="CE584" i="13" s="1"/>
  <c r="CD584" i="13" a="1"/>
  <c r="CD584" i="13" s="1"/>
  <c r="CZ651" i="13"/>
  <c r="Z651" i="13" s="1"/>
  <c r="CX747" i="13" a="1"/>
  <c r="CX747" i="13" s="1"/>
  <c r="CY747" i="13" a="1"/>
  <c r="CY747" i="13" s="1"/>
  <c r="CE455" i="13" a="1"/>
  <c r="CE455" i="13" s="1"/>
  <c r="CD455" i="13" a="1"/>
  <c r="CD455" i="13" s="1"/>
  <c r="BV843" i="13" a="1"/>
  <c r="BV843" i="13" s="1"/>
  <c r="CF843" i="13" s="1"/>
  <c r="R843" i="13" s="1"/>
  <c r="BZ924" i="13" a="1"/>
  <c r="BZ924" i="13" s="1"/>
  <c r="CZ822" i="13"/>
  <c r="Z822" i="13" s="1"/>
  <c r="BV138" i="13" a="1"/>
  <c r="BV138" i="13" s="1"/>
  <c r="CF138" i="13" s="1"/>
  <c r="R138" i="13" s="1"/>
  <c r="AF138" i="13" s="1"/>
  <c r="CZ324" i="13"/>
  <c r="Z324" i="13" s="1"/>
  <c r="CF576" i="13"/>
  <c r="R576" i="13" s="1"/>
  <c r="CY497" i="13" a="1"/>
  <c r="CY497" i="13" s="1"/>
  <c r="CX497" i="13" a="1"/>
  <c r="CX497" i="13" s="1"/>
  <c r="CZ453" i="13"/>
  <c r="Z453" i="13" s="1"/>
  <c r="CZ525" i="13"/>
  <c r="Z525" i="13" s="1"/>
  <c r="CZ682" i="13"/>
  <c r="Z682" i="13" s="1"/>
  <c r="CF651" i="13"/>
  <c r="R651" i="13" s="1"/>
  <c r="AF651" i="13" s="1"/>
  <c r="CD790" i="13" a="1"/>
  <c r="CD790" i="13" s="1"/>
  <c r="CE790" i="13" a="1"/>
  <c r="CE790" i="13" s="1"/>
  <c r="CE590" i="13" a="1"/>
  <c r="CE590" i="13" s="1"/>
  <c r="CD590" i="13" a="1"/>
  <c r="CD590" i="13" s="1"/>
  <c r="BV628" i="13" a="1"/>
  <c r="BV628" i="13" s="1"/>
  <c r="CF628" i="13" s="1"/>
  <c r="R628" i="13" s="1"/>
  <c r="CF719" i="13"/>
  <c r="R719" i="13" s="1"/>
  <c r="AF719" i="13" s="1"/>
  <c r="CE650" i="13" a="1"/>
  <c r="CE650" i="13" s="1"/>
  <c r="CD650" i="13" a="1"/>
  <c r="CD650" i="13" s="1"/>
  <c r="BV606" i="13" a="1"/>
  <c r="BV606" i="13" s="1"/>
  <c r="CY774" i="13" a="1"/>
  <c r="CY774" i="13" s="1"/>
  <c r="CX774" i="13" a="1"/>
  <c r="CX774" i="13" s="1"/>
  <c r="BZ869" i="13" a="1"/>
  <c r="BZ869" i="13" s="1"/>
  <c r="CF869" i="13" s="1"/>
  <c r="R869" i="13" s="1"/>
  <c r="CX873" i="13" a="1"/>
  <c r="CX873" i="13" s="1"/>
  <c r="CY873" i="13" a="1"/>
  <c r="CY873" i="13" s="1"/>
  <c r="CP994" i="13" a="1"/>
  <c r="CP994" i="13" s="1"/>
  <c r="CZ994" i="13" s="1"/>
  <c r="Z994" i="13" s="1"/>
  <c r="CP831" i="13" a="1"/>
  <c r="CP831" i="13" s="1"/>
  <c r="CZ831" i="13" s="1"/>
  <c r="Z831" i="13" s="1"/>
  <c r="CZ397" i="13"/>
  <c r="Z397" i="13" s="1"/>
  <c r="AF397" i="13" s="1"/>
  <c r="CX133" i="13" a="1"/>
  <c r="CX133" i="13" s="1"/>
  <c r="CY133" i="13" a="1"/>
  <c r="CY133" i="13" s="1"/>
  <c r="CT250" i="13" a="1"/>
  <c r="CT250" i="13" s="1"/>
  <c r="CZ250" i="13" s="1"/>
  <c r="Z250" i="13" s="1"/>
  <c r="CE461" i="13" a="1"/>
  <c r="CE461" i="13" s="1"/>
  <c r="CD461" i="13" a="1"/>
  <c r="CD461" i="13" s="1"/>
  <c r="CD225" i="13" a="1"/>
  <c r="CD225" i="13" s="1"/>
  <c r="CE225" i="13" a="1"/>
  <c r="CE225" i="13" s="1"/>
  <c r="CZ321" i="13"/>
  <c r="Z321" i="13" s="1"/>
  <c r="AF321" i="13" s="1"/>
  <c r="CE434" i="13" a="1"/>
  <c r="CE434" i="13" s="1"/>
  <c r="CD434" i="13" a="1"/>
  <c r="CD434" i="13" s="1"/>
  <c r="CE261" i="13" a="1"/>
  <c r="CE261" i="13" s="1"/>
  <c r="CD261" i="13" a="1"/>
  <c r="CD261" i="13" s="1"/>
  <c r="BZ206" i="13" a="1"/>
  <c r="BZ206" i="13" s="1"/>
  <c r="CF206" i="13" s="1"/>
  <c r="R206" i="13" s="1"/>
  <c r="CF348" i="13"/>
  <c r="R348" i="13" s="1"/>
  <c r="CD169" i="13" a="1"/>
  <c r="CD169" i="13" s="1"/>
  <c r="CE169" i="13" a="1"/>
  <c r="CE169" i="13" s="1"/>
  <c r="CE632" i="13" a="1"/>
  <c r="CE632" i="13" s="1"/>
  <c r="CD632" i="13" a="1"/>
  <c r="CD632" i="13" s="1"/>
  <c r="BV754" i="13" a="1"/>
  <c r="BV754" i="13" s="1"/>
  <c r="CZ1002" i="13"/>
  <c r="Z1002" i="13" s="1"/>
  <c r="BZ477" i="13" a="1"/>
  <c r="BZ477" i="13" s="1"/>
  <c r="CF477" i="13" s="1"/>
  <c r="R477" i="13" s="1"/>
  <c r="AF477" i="13" s="1"/>
  <c r="CZ853" i="13"/>
  <c r="Z853" i="13" s="1"/>
  <c r="CZ991" i="13"/>
  <c r="Z991" i="13" s="1"/>
  <c r="CX843" i="13" a="1"/>
  <c r="CX843" i="13" s="1"/>
  <c r="CY843" i="13" a="1"/>
  <c r="CY843" i="13" s="1"/>
  <c r="CT901" i="13" a="1"/>
  <c r="CT901" i="13" s="1"/>
  <c r="CZ901" i="13" s="1"/>
  <c r="Z901" i="13" s="1"/>
  <c r="CD159" i="13" a="1"/>
  <c r="CD159" i="13" s="1"/>
  <c r="CE159" i="13" a="1"/>
  <c r="CE159" i="13" s="1"/>
  <c r="CF390" i="13"/>
  <c r="R390" i="13" s="1"/>
  <c r="CX472" i="13" a="1"/>
  <c r="CX472" i="13" s="1"/>
  <c r="CY472" i="13" a="1"/>
  <c r="CY472" i="13" s="1"/>
  <c r="CY201" i="13" a="1"/>
  <c r="CY201" i="13" s="1"/>
  <c r="CX201" i="13" a="1"/>
  <c r="CX201" i="13" s="1"/>
  <c r="CZ201" i="13" s="1"/>
  <c r="Z201" i="13" s="1"/>
  <c r="CF318" i="13"/>
  <c r="R318" i="13" s="1"/>
  <c r="CZ411" i="13"/>
  <c r="Z411" i="13" s="1"/>
  <c r="CX499" i="13" a="1"/>
  <c r="CX499" i="13" s="1"/>
  <c r="CZ499" i="13" s="1"/>
  <c r="Z499" i="13" s="1"/>
  <c r="AF499" i="13" s="1"/>
  <c r="CY499" i="13" a="1"/>
  <c r="CY499" i="13" s="1"/>
  <c r="CT223" i="13" a="1"/>
  <c r="CT223" i="13" s="1"/>
  <c r="CF419" i="13"/>
  <c r="R419" i="13" s="1"/>
  <c r="CZ199" i="13"/>
  <c r="Z199" i="13" s="1"/>
  <c r="CD641" i="13" a="1"/>
  <c r="CD641" i="13" s="1"/>
  <c r="CE641" i="13" a="1"/>
  <c r="CE641" i="13" s="1"/>
  <c r="CP625" i="13" a="1"/>
  <c r="CP625" i="13" s="1"/>
  <c r="CZ625" i="13" s="1"/>
  <c r="Z625" i="13" s="1"/>
  <c r="BZ439" i="13" a="1"/>
  <c r="BZ439" i="13" s="1"/>
  <c r="CF439" i="13" s="1"/>
  <c r="R439" i="13" s="1"/>
  <c r="AF439" i="13" s="1"/>
  <c r="CT582" i="13" a="1"/>
  <c r="CT582" i="13" s="1"/>
  <c r="CZ582" i="13" s="1"/>
  <c r="Z582" i="13" s="1"/>
  <c r="BV780" i="13" a="1"/>
  <c r="BV780" i="13" s="1"/>
  <c r="CF780" i="13" s="1"/>
  <c r="R780" i="13" s="1"/>
  <c r="CT454" i="13" a="1"/>
  <c r="CT454" i="13" s="1"/>
  <c r="CZ454" i="13" s="1"/>
  <c r="Z454" i="13" s="1"/>
  <c r="CZ652" i="13"/>
  <c r="Z652" i="13" s="1"/>
  <c r="CD800" i="13" a="1"/>
  <c r="CD800" i="13" s="1"/>
  <c r="CE800" i="13" a="1"/>
  <c r="CE800" i="13" s="1"/>
  <c r="CT465" i="13" a="1"/>
  <c r="CT465" i="13" s="1"/>
  <c r="CZ465" i="13" s="1"/>
  <c r="Z465" i="13" s="1"/>
  <c r="CY808" i="13" a="1"/>
  <c r="CY808" i="13" s="1"/>
  <c r="CX808" i="13" a="1"/>
  <c r="CX808" i="13" s="1"/>
  <c r="CP891" i="13" a="1"/>
  <c r="CP891" i="13" s="1"/>
  <c r="CD472" i="13" a="1"/>
  <c r="CD472" i="13" s="1"/>
  <c r="CE472" i="13" a="1"/>
  <c r="CE472" i="13" s="1"/>
  <c r="CF762" i="13"/>
  <c r="R762" i="13" s="1"/>
  <c r="CE835" i="13" a="1"/>
  <c r="CE835" i="13" s="1"/>
  <c r="CD835" i="13" a="1"/>
  <c r="CD835" i="13" s="1"/>
  <c r="CE990" i="13" a="1"/>
  <c r="CE990" i="13" s="1"/>
  <c r="CD990" i="13" a="1"/>
  <c r="CD990" i="13" s="1"/>
  <c r="CD873" i="13" a="1"/>
  <c r="CD873" i="13" s="1"/>
  <c r="CE873" i="13" a="1"/>
  <c r="CE873" i="13" s="1"/>
  <c r="CD336" i="13" a="1"/>
  <c r="CD336" i="13" s="1"/>
  <c r="CE336" i="13" a="1"/>
  <c r="CE336" i="13" s="1"/>
  <c r="CF315" i="13"/>
  <c r="R315" i="13" s="1"/>
  <c r="CF177" i="13"/>
  <c r="R177" i="13" s="1"/>
  <c r="CP557" i="13" a="1"/>
  <c r="CP557" i="13" s="1"/>
  <c r="CZ557" i="13" s="1"/>
  <c r="Z557" i="13" s="1"/>
  <c r="CF373" i="13"/>
  <c r="R373" i="13" s="1"/>
  <c r="CP342" i="13" a="1"/>
  <c r="CP342" i="13" s="1"/>
  <c r="CE468" i="13" a="1"/>
  <c r="CE468" i="13" s="1"/>
  <c r="CD468" i="13" a="1"/>
  <c r="CD468" i="13" s="1"/>
  <c r="CD655" i="13" a="1"/>
  <c r="CD655" i="13" s="1"/>
  <c r="CE655" i="13" a="1"/>
  <c r="CE655" i="13" s="1"/>
  <c r="CE679" i="13" a="1"/>
  <c r="CE679" i="13" s="1"/>
  <c r="CD679" i="13" a="1"/>
  <c r="CD679" i="13" s="1"/>
  <c r="CT551" i="13" a="1"/>
  <c r="CT551" i="13" s="1"/>
  <c r="CX756" i="13" a="1"/>
  <c r="CX756" i="13" s="1"/>
  <c r="CY756" i="13" a="1"/>
  <c r="CY756" i="13" s="1"/>
  <c r="CY814" i="13" a="1"/>
  <c r="CY814" i="13" s="1"/>
  <c r="CX814" i="13" a="1"/>
  <c r="CX814" i="13" s="1"/>
  <c r="CD770" i="13" a="1"/>
  <c r="CD770" i="13" s="1"/>
  <c r="CF770" i="13" s="1"/>
  <c r="R770" i="13" s="1"/>
  <c r="CE770" i="13" a="1"/>
  <c r="CE770" i="13" s="1"/>
  <c r="CZ741" i="13"/>
  <c r="Z741" i="13" s="1"/>
  <c r="CF810" i="13"/>
  <c r="R810" i="13" s="1"/>
  <c r="BV845" i="13" a="1"/>
  <c r="BV845" i="13" s="1"/>
  <c r="CF845" i="13" s="1"/>
  <c r="R845" i="13" s="1"/>
  <c r="CZ942" i="13"/>
  <c r="Z942" i="13" s="1"/>
  <c r="BZ865" i="13" a="1"/>
  <c r="BZ865" i="13" s="1"/>
  <c r="BV152" i="13" a="1"/>
  <c r="BV152" i="13" s="1"/>
  <c r="CF152" i="13" s="1"/>
  <c r="R152" i="13" s="1"/>
  <c r="CT444" i="13" a="1"/>
  <c r="CT444" i="13" s="1"/>
  <c r="CZ444" i="13" s="1"/>
  <c r="Z444" i="13" s="1"/>
  <c r="CT507" i="13" a="1"/>
  <c r="CT507" i="13" s="1"/>
  <c r="CZ507" i="13" s="1"/>
  <c r="Z507" i="13" s="1"/>
  <c r="CT684" i="13" a="1"/>
  <c r="CT684" i="13" s="1"/>
  <c r="CZ684" i="13" s="1"/>
  <c r="Z684" i="13" s="1"/>
  <c r="BV656" i="13" a="1"/>
  <c r="BV656" i="13" s="1"/>
  <c r="CF656" i="13" s="1"/>
  <c r="R656" i="13" s="1"/>
  <c r="CD678" i="13" a="1"/>
  <c r="CD678" i="13" s="1"/>
  <c r="CX446" i="13" a="1"/>
  <c r="CX446" i="13" s="1"/>
  <c r="CD369" i="13" a="1"/>
  <c r="CD369" i="13" s="1"/>
  <c r="CF369" i="13" s="1"/>
  <c r="R369" i="13" s="1"/>
  <c r="AF369" i="13" s="1"/>
  <c r="BV231" i="13" a="1"/>
  <c r="BV231" i="13" s="1"/>
  <c r="CF231" i="13" s="1"/>
  <c r="R231" i="13" s="1"/>
  <c r="CX664" i="13" a="1"/>
  <c r="CX664" i="13" s="1"/>
  <c r="CZ664" i="13" s="1"/>
  <c r="Z664" i="13" s="1"/>
  <c r="AF664" i="13" s="1"/>
  <c r="BZ756" i="13" a="1"/>
  <c r="BZ756" i="13" s="1"/>
  <c r="CF756" i="13" s="1"/>
  <c r="R756" i="13" s="1"/>
  <c r="BZ778" i="13" a="1"/>
  <c r="BZ778" i="13" s="1"/>
  <c r="BZ997" i="13" a="1"/>
  <c r="BZ997" i="13" s="1"/>
  <c r="CF997" i="13" s="1"/>
  <c r="R997" i="13" s="1"/>
  <c r="CT873" i="13" a="1"/>
  <c r="CT873" i="13" s="1"/>
  <c r="BZ140" i="13" a="1"/>
  <c r="BZ140" i="13" s="1"/>
  <c r="CF140" i="13" s="1"/>
  <c r="R140" i="13" s="1"/>
  <c r="CP390" i="13" a="1"/>
  <c r="CP390" i="13" s="1"/>
  <c r="CZ390" i="13" s="1"/>
  <c r="Z390" i="13" s="1"/>
  <c r="CT311" i="13" a="1"/>
  <c r="CT311" i="13" s="1"/>
  <c r="CZ311" i="13" s="1"/>
  <c r="Z311" i="13" s="1"/>
  <c r="CD178" i="13" a="1"/>
  <c r="CD178" i="13" s="1"/>
  <c r="BV186" i="13" a="1"/>
  <c r="BV186" i="13" s="1"/>
  <c r="BV543" i="13" a="1"/>
  <c r="BV543" i="13" s="1"/>
  <c r="CF543" i="13" s="1"/>
  <c r="R543" i="13" s="1"/>
  <c r="AF543" i="13" s="1"/>
  <c r="CP445" i="13" a="1"/>
  <c r="CP445" i="13" s="1"/>
  <c r="CZ445" i="13" s="1"/>
  <c r="Z445" i="13" s="1"/>
  <c r="BV677" i="13" a="1"/>
  <c r="BV677" i="13" s="1"/>
  <c r="CF677" i="13" s="1"/>
  <c r="R677" i="13" s="1"/>
  <c r="AF677" i="13" s="1"/>
  <c r="CD928" i="13" a="1"/>
  <c r="CD928" i="13" s="1"/>
  <c r="CF928" i="13" s="1"/>
  <c r="R928" i="13" s="1"/>
  <c r="BZ932" i="13" a="1"/>
  <c r="BZ932" i="13" s="1"/>
  <c r="CF932" i="13" s="1"/>
  <c r="R932" i="13" s="1"/>
  <c r="CX131" i="13" a="1"/>
  <c r="CX131" i="13" s="1"/>
  <c r="CZ131" i="13" s="1"/>
  <c r="Z131" i="13" s="1"/>
  <c r="CX373" i="13" a="1"/>
  <c r="CX373" i="13" s="1"/>
  <c r="CZ373" i="13" s="1"/>
  <c r="Z373" i="13" s="1"/>
  <c r="CT197" i="13" a="1"/>
  <c r="CT197" i="13" s="1"/>
  <c r="CZ197" i="13" s="1"/>
  <c r="Z197" i="13" s="1"/>
  <c r="BZ463" i="13" a="1"/>
  <c r="BZ463" i="13" s="1"/>
  <c r="CF463" i="13" s="1"/>
  <c r="R463" i="13" s="1"/>
  <c r="BV573" i="13" a="1"/>
  <c r="BV573" i="13" s="1"/>
  <c r="CF573" i="13" s="1"/>
  <c r="R573" i="13" s="1"/>
  <c r="CD449" i="13" a="1"/>
  <c r="CD449" i="13" s="1"/>
  <c r="CF449" i="13" s="1"/>
  <c r="R449" i="13" s="1"/>
  <c r="AF449" i="13" s="1"/>
  <c r="BV441" i="13" a="1"/>
  <c r="BV441" i="13" s="1"/>
  <c r="CF441" i="13" s="1"/>
  <c r="R441" i="13" s="1"/>
  <c r="AF441" i="13" s="1"/>
  <c r="CP1006" i="13" a="1"/>
  <c r="CP1006" i="13" s="1"/>
  <c r="CZ1006" i="13" s="1"/>
  <c r="Z1006" i="13" s="1"/>
  <c r="AF1006" i="13" s="1"/>
  <c r="CD1018" i="13" a="1"/>
  <c r="CD1018" i="13" s="1"/>
  <c r="CD906" i="13" a="1"/>
  <c r="CD906" i="13" s="1"/>
  <c r="CF906" i="13" s="1"/>
  <c r="R906" i="13" s="1"/>
  <c r="AF906" i="13" s="1"/>
  <c r="CD328" i="13" a="1"/>
  <c r="CD328" i="13" s="1"/>
  <c r="CF328" i="13" s="1"/>
  <c r="R328" i="13" s="1"/>
  <c r="BV159" i="13" a="1"/>
  <c r="BV159" i="13" s="1"/>
  <c r="CD456" i="13" a="1"/>
  <c r="CD456" i="13" s="1"/>
  <c r="CF456" i="13" s="1"/>
  <c r="R456" i="13" s="1"/>
  <c r="CD582" i="13" a="1"/>
  <c r="CD582" i="13" s="1"/>
  <c r="CF582" i="13" s="1"/>
  <c r="R582" i="13" s="1"/>
  <c r="AF582" i="13" s="1"/>
  <c r="BZ871" i="13" a="1"/>
  <c r="BZ871" i="13" s="1"/>
  <c r="CF871" i="13" s="1"/>
  <c r="R871" i="13" s="1"/>
  <c r="CP359" i="13" a="1"/>
  <c r="CP359" i="13" s="1"/>
  <c r="BZ652" i="13" a="1"/>
  <c r="BZ652" i="13" s="1"/>
  <c r="CF652" i="13" s="1"/>
  <c r="R652" i="13" s="1"/>
  <c r="CT637" i="13" a="1"/>
  <c r="CT637" i="13" s="1"/>
  <c r="CZ637" i="13" s="1"/>
  <c r="Z637" i="13" s="1"/>
  <c r="AF768" i="13"/>
  <c r="CT470" i="13" a="1"/>
  <c r="CT470" i="13" s="1"/>
  <c r="CZ470" i="13" s="1"/>
  <c r="Z470" i="13" s="1"/>
  <c r="BV669" i="13" a="1"/>
  <c r="BV669" i="13" s="1"/>
  <c r="CF669" i="13" s="1"/>
  <c r="R669" i="13" s="1"/>
  <c r="CP460" i="13" a="1"/>
  <c r="CP460" i="13" s="1"/>
  <c r="CZ460" i="13" s="1"/>
  <c r="Z460" i="13" s="1"/>
  <c r="AF460" i="13" s="1"/>
  <c r="CT636" i="13" a="1"/>
  <c r="CT636" i="13" s="1"/>
  <c r="CD1008" i="13" a="1"/>
  <c r="CD1008" i="13" s="1"/>
  <c r="CF1008" i="13" s="1"/>
  <c r="R1008" i="13" s="1"/>
  <c r="BV837" i="13" a="1"/>
  <c r="BV837" i="13" s="1"/>
  <c r="CF837" i="13" s="1"/>
  <c r="R837" i="13" s="1"/>
  <c r="AF837" i="13" s="1"/>
  <c r="CT1003" i="13" a="1"/>
  <c r="CT1003" i="13" s="1"/>
  <c r="BZ1021" i="13" a="1"/>
  <c r="BZ1021" i="13" s="1"/>
  <c r="BZ889" i="13" a="1"/>
  <c r="BZ889" i="13" s="1"/>
  <c r="CF889" i="13" s="1"/>
  <c r="R889" i="13" s="1"/>
  <c r="CD256" i="13" a="1"/>
  <c r="CD256" i="13" s="1"/>
  <c r="CF256" i="13" s="1"/>
  <c r="R256" i="13" s="1"/>
  <c r="CX229" i="13" a="1"/>
  <c r="CX229" i="13" s="1"/>
  <c r="CZ229" i="13" s="1"/>
  <c r="Z229" i="13" s="1"/>
  <c r="CD754" i="13" a="1"/>
  <c r="CD754" i="13" s="1"/>
  <c r="CT629" i="13" a="1"/>
  <c r="CT629" i="13" s="1"/>
  <c r="BV636" i="13" a="1"/>
  <c r="BV636" i="13" s="1"/>
  <c r="CF636" i="13" s="1"/>
  <c r="R636" i="13" s="1"/>
  <c r="CT1007" i="13" a="1"/>
  <c r="CT1007" i="13" s="1"/>
  <c r="CT1004" i="13" a="1"/>
  <c r="CT1004" i="13" s="1"/>
  <c r="CT175" i="13" a="1"/>
  <c r="CT175" i="13" s="1"/>
  <c r="CZ175" i="13" s="1"/>
  <c r="Z175" i="13" s="1"/>
  <c r="CD637" i="13" a="1"/>
  <c r="CD637" i="13" s="1"/>
  <c r="CF637" i="13" s="1"/>
  <c r="R637" i="13" s="1"/>
  <c r="CT628" i="13" a="1"/>
  <c r="CT628" i="13" s="1"/>
  <c r="CZ628" i="13" s="1"/>
  <c r="Z628" i="13" s="1"/>
  <c r="CD465" i="13" a="1"/>
  <c r="CD465" i="13" s="1"/>
  <c r="CF465" i="13" s="1"/>
  <c r="R465" i="13" s="1"/>
  <c r="BZ685" i="13" a="1"/>
  <c r="BZ685" i="13" s="1"/>
  <c r="CP810" i="13" a="1"/>
  <c r="CP810" i="13" s="1"/>
  <c r="CZ810" i="13" s="1"/>
  <c r="Z810" i="13" s="1"/>
  <c r="BZ934" i="13" a="1"/>
  <c r="BZ934" i="13" s="1"/>
  <c r="CF934" i="13" s="1"/>
  <c r="R934" i="13" s="1"/>
  <c r="AF934" i="13" s="1"/>
  <c r="CZ121" i="13"/>
  <c r="Z121" i="13" s="1"/>
  <c r="CZ94" i="13"/>
  <c r="Z94" i="13" s="1"/>
  <c r="AF94" i="13" s="1"/>
  <c r="CZ22" i="13"/>
  <c r="Z22" i="13" s="1"/>
  <c r="AF102" i="13"/>
  <c r="CF81" i="13"/>
  <c r="R81" i="13" s="1"/>
  <c r="CF31" i="13"/>
  <c r="R31" i="13" s="1"/>
  <c r="AF31" i="13" s="1"/>
  <c r="CT119" i="13" a="1"/>
  <c r="CT119" i="13" s="1"/>
  <c r="CZ119" i="13" s="1"/>
  <c r="Z119" i="13" s="1"/>
  <c r="BV120" i="13" a="1"/>
  <c r="BV120" i="13" s="1"/>
  <c r="AF98" i="13"/>
  <c r="CZ27" i="13"/>
  <c r="Z27" i="13" s="1"/>
  <c r="AF27" i="13" s="1"/>
  <c r="CF23" i="13"/>
  <c r="R23" i="13" s="1"/>
  <c r="CZ93" i="13"/>
  <c r="Z93" i="13" s="1"/>
  <c r="CP84" i="13" a="1"/>
  <c r="CP84" i="13" s="1"/>
  <c r="CZ96" i="13"/>
  <c r="Z96" i="13" s="1"/>
  <c r="AF96" i="13" s="1"/>
  <c r="CF59" i="13"/>
  <c r="R59" i="13" s="1"/>
  <c r="CZ54" i="13"/>
  <c r="Z54" i="13" s="1"/>
  <c r="AF54" i="13" s="1"/>
  <c r="CF51" i="13"/>
  <c r="R51" i="13" s="1"/>
  <c r="AF51" i="13" s="1"/>
  <c r="BV117" i="13" a="1"/>
  <c r="BV117" i="13" s="1"/>
  <c r="CZ55" i="13"/>
  <c r="Z55" i="13" s="1"/>
  <c r="CZ45" i="13"/>
  <c r="Z45" i="13" s="1"/>
  <c r="AF45" i="13" s="1"/>
  <c r="CF27" i="13"/>
  <c r="R27" i="13" s="1"/>
  <c r="CP86" i="13" a="1"/>
  <c r="CP86" i="13" s="1"/>
  <c r="CZ86" i="13" s="1"/>
  <c r="Z86" i="13" s="1"/>
  <c r="BV109" i="13" a="1"/>
  <c r="BV109" i="13" s="1"/>
  <c r="BV115" i="13" a="1"/>
  <c r="BV115" i="13" s="1"/>
  <c r="CF115" i="13" s="1"/>
  <c r="R115" i="13" s="1"/>
  <c r="CZ59" i="13"/>
  <c r="Z59" i="13" s="1"/>
  <c r="CP107" i="13" a="1"/>
  <c r="CP107" i="13" s="1"/>
  <c r="CT64" i="13" a="1"/>
  <c r="CT64" i="13" s="1"/>
  <c r="CF93" i="13"/>
  <c r="R93" i="13" s="1"/>
  <c r="AF93" i="13" s="1"/>
  <c r="CZ39" i="13"/>
  <c r="Z39" i="13" s="1"/>
  <c r="AF39" i="13" s="1"/>
  <c r="CP99" i="13" a="1"/>
  <c r="CP99" i="13" s="1"/>
  <c r="CZ92" i="13"/>
  <c r="Z92" i="13" s="1"/>
  <c r="CP120" i="13" a="1"/>
  <c r="CP120" i="13" s="1"/>
  <c r="CP74" i="13" a="1"/>
  <c r="CP74" i="13" s="1"/>
  <c r="CZ106" i="13"/>
  <c r="Z106" i="13" s="1"/>
  <c r="CD74" i="13" a="1"/>
  <c r="CD74" i="13" s="1"/>
  <c r="CF46" i="13"/>
  <c r="R46" i="13" s="1"/>
  <c r="CD61" i="13" a="1"/>
  <c r="CD61" i="13" s="1"/>
  <c r="CF119" i="13"/>
  <c r="R119" i="13" s="1"/>
  <c r="AF119" i="13" s="1"/>
  <c r="CD71" i="13" a="1"/>
  <c r="CD71" i="13" s="1"/>
  <c r="CF71" i="13" s="1"/>
  <c r="R71" i="13" s="1"/>
  <c r="CF92" i="13"/>
  <c r="R92" i="13" s="1"/>
  <c r="AF58" i="13"/>
  <c r="CP118" i="13" a="1"/>
  <c r="CP118" i="13" s="1"/>
  <c r="CD73" i="13" a="1"/>
  <c r="CD73" i="13" s="1"/>
  <c r="BZ106" i="13" a="1"/>
  <c r="BZ106" i="13" s="1"/>
  <c r="CF106" i="13" s="1"/>
  <c r="R106" i="13" s="1"/>
  <c r="CY116" i="13" a="1"/>
  <c r="CY116" i="13" s="1"/>
  <c r="CZ116" i="13" s="1"/>
  <c r="Z116" i="13" s="1"/>
  <c r="AF116" i="13" s="1"/>
  <c r="CF32" i="13"/>
  <c r="R32" i="13" s="1"/>
  <c r="CF60" i="13"/>
  <c r="R60" i="13" s="1"/>
  <c r="AF60" i="13" s="1"/>
  <c r="BZ97" i="13" a="1"/>
  <c r="BZ97" i="13" s="1"/>
  <c r="AF110" i="13"/>
  <c r="CZ71" i="13"/>
  <c r="Z71" i="13" s="1"/>
  <c r="CP95" i="13" a="1"/>
  <c r="CP95" i="13" s="1"/>
  <c r="CZ40" i="13"/>
  <c r="Z40" i="13" s="1"/>
  <c r="CF87" i="13"/>
  <c r="R87" i="13" s="1"/>
  <c r="AF87" i="13" s="1"/>
  <c r="CF53" i="13"/>
  <c r="R53" i="13" s="1"/>
  <c r="AF41" i="13"/>
  <c r="CZ25" i="13"/>
  <c r="Z25" i="13" s="1"/>
  <c r="AF25" i="13" s="1"/>
  <c r="AF48" i="13"/>
  <c r="AF35" i="13"/>
  <c r="CF69" i="13"/>
  <c r="R69" i="13" s="1"/>
  <c r="BV95" i="13" a="1"/>
  <c r="BV95" i="13" s="1"/>
  <c r="AF34" i="13"/>
  <c r="BZ76" i="13" a="1"/>
  <c r="BZ76" i="13" s="1"/>
  <c r="CZ38" i="13"/>
  <c r="Z38" i="13" s="1"/>
  <c r="BZ85" i="13" a="1"/>
  <c r="BZ85" i="13" s="1"/>
  <c r="CZ23" i="13"/>
  <c r="Z23" i="13" s="1"/>
  <c r="AF23" i="13" s="1"/>
  <c r="CT97" i="13" a="1"/>
  <c r="CT97" i="13" s="1"/>
  <c r="CZ53" i="13"/>
  <c r="Z53" i="13" s="1"/>
  <c r="CF43" i="13"/>
  <c r="R43" i="13" s="1"/>
  <c r="AF43" i="13" s="1"/>
  <c r="CZ57" i="13"/>
  <c r="Z57" i="13" s="1"/>
  <c r="CP73" i="13" a="1"/>
  <c r="CP73" i="13" s="1"/>
  <c r="AF38" i="13"/>
  <c r="CF50" i="13"/>
  <c r="R50" i="13" s="1"/>
  <c r="CF77" i="13"/>
  <c r="R77" i="13" s="1"/>
  <c r="CZ50" i="13"/>
  <c r="Z50" i="13" s="1"/>
  <c r="CZ52" i="13"/>
  <c r="Z52" i="13" s="1"/>
  <c r="AF52" i="13" s="1"/>
  <c r="CF121" i="13"/>
  <c r="R121" i="13" s="1"/>
  <c r="AF121" i="13" s="1"/>
  <c r="CZ24" i="13"/>
  <c r="Z24" i="13" s="1"/>
  <c r="AF24" i="13" s="1"/>
  <c r="CF88" i="13"/>
  <c r="R88" i="13" s="1"/>
  <c r="AF88" i="13" s="1"/>
  <c r="CZ46" i="13"/>
  <c r="Z46" i="13" s="1"/>
  <c r="AF46" i="13" s="1"/>
  <c r="CZ36" i="13"/>
  <c r="Z36" i="13" s="1"/>
  <c r="AF36" i="13" s="1"/>
  <c r="CF37" i="13"/>
  <c r="R37" i="13" s="1"/>
  <c r="AF37" i="13" s="1"/>
  <c r="BV108" i="13" a="1"/>
  <c r="BV108" i="13" s="1"/>
  <c r="CF89" i="13"/>
  <c r="R89" i="13" s="1"/>
  <c r="CZ90" i="13"/>
  <c r="Z90" i="13" s="1"/>
  <c r="AF90" i="13" s="1"/>
  <c r="CP114" i="13" a="1"/>
  <c r="CP114" i="13" s="1"/>
  <c r="CP101" i="13" a="1"/>
  <c r="CP101" i="13" s="1"/>
  <c r="AF56" i="13"/>
  <c r="CZ47" i="13"/>
  <c r="Z47" i="13" s="1"/>
  <c r="AF47" i="13" s="1"/>
  <c r="CF74" i="13"/>
  <c r="R74" i="13" s="1"/>
  <c r="CZ77" i="13"/>
  <c r="Z77" i="13" s="1"/>
  <c r="CZ42" i="13"/>
  <c r="Z42" i="13" s="1"/>
  <c r="AF42" i="13" s="1"/>
  <c r="CF100" i="13"/>
  <c r="R100" i="13" s="1"/>
  <c r="AF100" i="13" s="1"/>
  <c r="CP81" i="13" a="1"/>
  <c r="CP81" i="13" s="1"/>
  <c r="CZ81" i="13" s="1"/>
  <c r="Z81" i="13" s="1"/>
  <c r="AF81" i="13" s="1"/>
  <c r="CZ32" i="13"/>
  <c r="Z32" i="13" s="1"/>
  <c r="CF55" i="13"/>
  <c r="R55" i="13" s="1"/>
  <c r="CZ33" i="13"/>
  <c r="Z33" i="13" s="1"/>
  <c r="CZ26" i="13"/>
  <c r="Z26" i="13" s="1"/>
  <c r="AF26" i="13" s="1"/>
  <c r="CF86" i="13"/>
  <c r="R86" i="13" s="1"/>
  <c r="CF57" i="13"/>
  <c r="R57" i="13" s="1"/>
  <c r="AF29" i="13"/>
  <c r="CF91" i="13"/>
  <c r="R91" i="13" s="1"/>
  <c r="AF91" i="13" s="1"/>
  <c r="CF33" i="13"/>
  <c r="R33" i="13" s="1"/>
  <c r="CZ44" i="13"/>
  <c r="Z44" i="13" s="1"/>
  <c r="AF44" i="13" s="1"/>
  <c r="CF49" i="13"/>
  <c r="R49" i="13" s="1"/>
  <c r="AF49" i="13" s="1"/>
  <c r="CF104" i="13"/>
  <c r="R104" i="13" s="1"/>
  <c r="CZ104" i="13"/>
  <c r="Z104" i="13" s="1"/>
  <c r="CP111" i="13" a="1"/>
  <c r="CP111" i="13" s="1"/>
  <c r="CP66" i="13" a="1"/>
  <c r="CP66" i="13" s="1"/>
  <c r="CZ66" i="13" s="1"/>
  <c r="Z66" i="13" s="1"/>
  <c r="CT67" i="13" a="1"/>
  <c r="CT67" i="13" s="1"/>
  <c r="CX101" i="13" a="1"/>
  <c r="CX101" i="13" s="1"/>
  <c r="CY101" i="13" a="1"/>
  <c r="CY101" i="13" s="1"/>
  <c r="CP62" i="13" a="1"/>
  <c r="CP62" i="13" s="1"/>
  <c r="CX107" i="13" a="1"/>
  <c r="CX107" i="13" s="1"/>
  <c r="CY107" i="13" a="1"/>
  <c r="CY107" i="13" s="1"/>
  <c r="CP76" i="13" a="1"/>
  <c r="CP76" i="13" s="1"/>
  <c r="CE64" i="13" a="1"/>
  <c r="CE64" i="13" s="1"/>
  <c r="CD64" i="13" a="1"/>
  <c r="CD64" i="13" s="1"/>
  <c r="CX83" i="13" a="1"/>
  <c r="CX83" i="13" s="1"/>
  <c r="CY83" i="13" a="1"/>
  <c r="CY83" i="13" s="1"/>
  <c r="CD105" i="13" a="1"/>
  <c r="CD105" i="13" s="1"/>
  <c r="CF105" i="13" s="1"/>
  <c r="R105" i="13" s="1"/>
  <c r="CX112" i="13" a="1"/>
  <c r="CX112" i="13" s="1"/>
  <c r="CZ112" i="13" s="1"/>
  <c r="Z112" i="13" s="1"/>
  <c r="CD114" i="13" a="1"/>
  <c r="CD114" i="13" s="1"/>
  <c r="CE114" i="13" a="1"/>
  <c r="CE114" i="13" s="1"/>
  <c r="CP78" i="13" a="1"/>
  <c r="CP78" i="13" s="1"/>
  <c r="BV64" i="13" a="1"/>
  <c r="BV64" i="13" s="1"/>
  <c r="CD67" i="13" a="1"/>
  <c r="CD67" i="13" s="1"/>
  <c r="CT79" i="13" a="1"/>
  <c r="CT79" i="13" s="1"/>
  <c r="CT80" i="13" a="1"/>
  <c r="CT80" i="13" s="1"/>
  <c r="CZ80" i="13" s="1"/>
  <c r="Z80" i="13" s="1"/>
  <c r="CY120" i="13" a="1"/>
  <c r="CY120" i="13" s="1"/>
  <c r="CX120" i="13" a="1"/>
  <c r="CX120" i="13" s="1"/>
  <c r="CX109" i="13" a="1"/>
  <c r="CX109" i="13" s="1"/>
  <c r="CY109" i="13" a="1"/>
  <c r="CY109" i="13" s="1"/>
  <c r="CE103" i="13" a="1"/>
  <c r="CE103" i="13" s="1"/>
  <c r="CD103" i="13" a="1"/>
  <c r="CD103" i="13" s="1"/>
  <c r="CX118" i="13" a="1"/>
  <c r="CX118" i="13" s="1"/>
  <c r="CY118" i="13" a="1"/>
  <c r="CY118" i="13" s="1"/>
  <c r="BZ108" i="13" a="1"/>
  <c r="BZ108" i="13" s="1"/>
  <c r="CD65" i="13" a="1"/>
  <c r="CD65" i="13" s="1"/>
  <c r="CE65" i="13" a="1"/>
  <c r="CE65" i="13" s="1"/>
  <c r="CT99" i="13" a="1"/>
  <c r="CT99" i="13" s="1"/>
  <c r="BZ82" i="13" a="1"/>
  <c r="BZ82" i="13" s="1"/>
  <c r="CD68" i="13" a="1"/>
  <c r="CD68" i="13" s="1"/>
  <c r="CE68" i="13" a="1"/>
  <c r="CE68" i="13" s="1"/>
  <c r="CT85" i="13" a="1"/>
  <c r="CT85" i="13" s="1"/>
  <c r="CD83" i="13" a="1"/>
  <c r="CD83" i="13" s="1"/>
  <c r="CP70" i="13" a="1"/>
  <c r="CP70" i="13" s="1"/>
  <c r="CZ70" i="13" s="1"/>
  <c r="Z70" i="13" s="1"/>
  <c r="CE107" i="13" a="1"/>
  <c r="CE107" i="13" s="1"/>
  <c r="CD107" i="13" a="1"/>
  <c r="CD107" i="13" s="1"/>
  <c r="CD117" i="13" a="1"/>
  <c r="CD117" i="13" s="1"/>
  <c r="CE117" i="13" a="1"/>
  <c r="CE117" i="13" s="1"/>
  <c r="CD112" i="13" a="1"/>
  <c r="CD112" i="13" s="1"/>
  <c r="CE112" i="13" a="1"/>
  <c r="CE112" i="13" s="1"/>
  <c r="BZ75" i="13" a="1"/>
  <c r="BZ75" i="13" s="1"/>
  <c r="CP97" i="13" a="1"/>
  <c r="CP97" i="13" s="1"/>
  <c r="CD108" i="13" a="1"/>
  <c r="CD108" i="13" s="1"/>
  <c r="CE108" i="13" a="1"/>
  <c r="CE108" i="13" s="1"/>
  <c r="CY108" i="13" a="1"/>
  <c r="CY108" i="13" s="1"/>
  <c r="CX108" i="13" a="1"/>
  <c r="CX108" i="13" s="1"/>
  <c r="BV73" i="13" a="1"/>
  <c r="BV73" i="13" s="1"/>
  <c r="CY84" i="13" a="1"/>
  <c r="CY84" i="13" s="1"/>
  <c r="CX84" i="13" a="1"/>
  <c r="CX84" i="13" s="1"/>
  <c r="CE79" i="13" a="1"/>
  <c r="CE79" i="13" s="1"/>
  <c r="CD79" i="13" a="1"/>
  <c r="CD79" i="13" s="1"/>
  <c r="CZ30" i="13"/>
  <c r="Z30" i="13" s="1"/>
  <c r="AF30" i="13" s="1"/>
  <c r="BV113" i="13" a="1"/>
  <c r="BV113" i="13" s="1"/>
  <c r="BV83" i="13" a="1"/>
  <c r="BV83" i="13" s="1"/>
  <c r="CP82" i="13" a="1"/>
  <c r="CP82" i="13" s="1"/>
  <c r="CZ82" i="13" s="1"/>
  <c r="Z82" i="13" s="1"/>
  <c r="CT114" i="13" a="1"/>
  <c r="CT114" i="13" s="1"/>
  <c r="CX95" i="13" a="1"/>
  <c r="CX95" i="13" s="1"/>
  <c r="CY95" i="13" a="1"/>
  <c r="CY95" i="13" s="1"/>
  <c r="CZ111" i="13"/>
  <c r="Z111" i="13" s="1"/>
  <c r="CD84" i="13" a="1"/>
  <c r="CD84" i="13" s="1"/>
  <c r="CF84" i="13" s="1"/>
  <c r="R84" i="13" s="1"/>
  <c r="CX78" i="13" a="1"/>
  <c r="CX78" i="13" s="1"/>
  <c r="CP113" i="13" a="1"/>
  <c r="CP113" i="13" s="1"/>
  <c r="CZ113" i="13" s="1"/>
  <c r="Z113" i="13" s="1"/>
  <c r="CX117" i="13" a="1"/>
  <c r="CX117" i="13" s="1"/>
  <c r="CT107" i="13" a="1"/>
  <c r="CT107" i="13" s="1"/>
  <c r="CX67" i="13" a="1"/>
  <c r="CX67" i="13" s="1"/>
  <c r="BZ66" i="13" a="1"/>
  <c r="BZ66" i="13" s="1"/>
  <c r="CF66" i="13" s="1"/>
  <c r="R66" i="13" s="1"/>
  <c r="CY75" i="13" a="1"/>
  <c r="CY75" i="13" s="1"/>
  <c r="CX75" i="13" a="1"/>
  <c r="CX75" i="13" s="1"/>
  <c r="CE75" i="13" a="1"/>
  <c r="CE75" i="13" s="1"/>
  <c r="CD75" i="13" a="1"/>
  <c r="CD75" i="13" s="1"/>
  <c r="CP115" i="13" a="1"/>
  <c r="CP115" i="13" s="1"/>
  <c r="CZ115" i="13" s="1"/>
  <c r="Z115" i="13" s="1"/>
  <c r="CX82" i="13" a="1"/>
  <c r="CX82" i="13" s="1"/>
  <c r="CY82" i="13" a="1"/>
  <c r="CY82" i="13" s="1"/>
  <c r="CY76" i="13" a="1"/>
  <c r="CY76" i="13" s="1"/>
  <c r="CX76" i="13" a="1"/>
  <c r="CX76" i="13" s="1"/>
  <c r="CY99" i="13" a="1"/>
  <c r="CY99" i="13" s="1"/>
  <c r="CX99" i="13" a="1"/>
  <c r="CX99" i="13" s="1"/>
  <c r="CY65" i="13" a="1"/>
  <c r="CY65" i="13" s="1"/>
  <c r="CX65" i="13" a="1"/>
  <c r="CX65" i="13" s="1"/>
  <c r="CY63" i="13" a="1"/>
  <c r="CY63" i="13" s="1"/>
  <c r="CX63" i="13" a="1"/>
  <c r="CX63" i="13" s="1"/>
  <c r="CP64" i="13" a="1"/>
  <c r="CP64" i="13" s="1"/>
  <c r="BZ107" i="13" a="1"/>
  <c r="BZ107" i="13" s="1"/>
  <c r="BZ99" i="13" a="1"/>
  <c r="BZ99" i="13" s="1"/>
  <c r="CT76" i="13" a="1"/>
  <c r="CT76" i="13" s="1"/>
  <c r="CD120" i="13" a="1"/>
  <c r="CD120" i="13" s="1"/>
  <c r="CE120" i="13" a="1"/>
  <c r="CE120" i="13" s="1"/>
  <c r="CF40" i="13"/>
  <c r="R40" i="13" s="1"/>
  <c r="CD118" i="13" a="1"/>
  <c r="CD118" i="13" s="1"/>
  <c r="CF118" i="13" s="1"/>
  <c r="R118" i="13" s="1"/>
  <c r="CX73" i="13" a="1"/>
  <c r="CX73" i="13" s="1"/>
  <c r="CZ73" i="13" s="1"/>
  <c r="Z73" i="13" s="1"/>
  <c r="CP83" i="13" a="1"/>
  <c r="CP83" i="13" s="1"/>
  <c r="BV67" i="13" a="1"/>
  <c r="BV67" i="13" s="1"/>
  <c r="BV97" i="13" a="1"/>
  <c r="BV97" i="13" s="1"/>
  <c r="CD99" i="13" a="1"/>
  <c r="CD99" i="13" s="1"/>
  <c r="CE99" i="13" a="1"/>
  <c r="CE99" i="13" s="1"/>
  <c r="BZ79" i="13" a="1"/>
  <c r="BZ79" i="13" s="1"/>
  <c r="CD72" i="13" a="1"/>
  <c r="CD72" i="13" s="1"/>
  <c r="CE72" i="13" a="1"/>
  <c r="CE72" i="13" s="1"/>
  <c r="CX64" i="13" a="1"/>
  <c r="CX64" i="13" s="1"/>
  <c r="CY64" i="13" a="1"/>
  <c r="CY64" i="13" s="1"/>
  <c r="CX61" i="13" a="1"/>
  <c r="CX61" i="13" s="1"/>
  <c r="CY61" i="13" a="1"/>
  <c r="CY61" i="13" s="1"/>
  <c r="BV62" i="13" a="1"/>
  <c r="BV62" i="13" s="1"/>
  <c r="CP65" i="13" a="1"/>
  <c r="CP65" i="13" s="1"/>
  <c r="BZ70" i="13" a="1"/>
  <c r="BZ70" i="13" s="1"/>
  <c r="CD63" i="13" a="1"/>
  <c r="CD63" i="13" s="1"/>
  <c r="CE63" i="13" a="1"/>
  <c r="CE63" i="13" s="1"/>
  <c r="CP72" i="13" a="1"/>
  <c r="CP72" i="13" s="1"/>
  <c r="CD113" i="13" a="1"/>
  <c r="CD113" i="13" s="1"/>
  <c r="CT108" i="13" a="1"/>
  <c r="CT108" i="13" s="1"/>
  <c r="CT68" i="13" a="1"/>
  <c r="CT68" i="13" s="1"/>
  <c r="CZ68" i="13" s="1"/>
  <c r="Z68" i="13" s="1"/>
  <c r="CP63" i="13" a="1"/>
  <c r="CP63" i="13" s="1"/>
  <c r="BV80" i="13" a="1"/>
  <c r="BV80" i="13" s="1"/>
  <c r="CT118" i="13" a="1"/>
  <c r="CT118" i="13" s="1"/>
  <c r="CE62" i="13" a="1"/>
  <c r="CE62" i="13" s="1"/>
  <c r="CD62" i="13" a="1"/>
  <c r="CD62" i="13" s="1"/>
  <c r="CE76" i="13" a="1"/>
  <c r="CE76" i="13" s="1"/>
  <c r="CD76" i="13" a="1"/>
  <c r="CD76" i="13" s="1"/>
  <c r="CY105" i="13" a="1"/>
  <c r="CY105" i="13" s="1"/>
  <c r="CX105" i="13" a="1"/>
  <c r="CX105" i="13" s="1"/>
  <c r="CD85" i="13" a="1"/>
  <c r="CD85" i="13" s="1"/>
  <c r="CE85" i="13" a="1"/>
  <c r="CE85" i="13" s="1"/>
  <c r="CX79" i="13" a="1"/>
  <c r="CX79" i="13" s="1"/>
  <c r="CY79" i="13" a="1"/>
  <c r="CY79" i="13" s="1"/>
  <c r="AF22" i="13"/>
  <c r="BV68" i="13" a="1"/>
  <c r="BV68" i="13" s="1"/>
  <c r="CD82" i="13" a="1"/>
  <c r="CD82" i="13" s="1"/>
  <c r="CE82" i="13" a="1"/>
  <c r="CE82" i="13" s="1"/>
  <c r="CX72" i="13" a="1"/>
  <c r="CX72" i="13" s="1"/>
  <c r="CY72" i="13" a="1"/>
  <c r="CY72" i="13" s="1"/>
  <c r="CY114" i="13" a="1"/>
  <c r="CY114" i="13" s="1"/>
  <c r="CX114" i="13" a="1"/>
  <c r="CX114" i="13" s="1"/>
  <c r="CY74" i="13" a="1"/>
  <c r="CY74" i="13" s="1"/>
  <c r="CX74" i="13" a="1"/>
  <c r="CX74" i="13" s="1"/>
  <c r="CP117" i="13" a="1"/>
  <c r="CP117" i="13" s="1"/>
  <c r="CZ117" i="13" s="1"/>
  <c r="Z117" i="13" s="1"/>
  <c r="BZ61" i="13" a="1"/>
  <c r="BZ61" i="13" s="1"/>
  <c r="BZ112" i="13" a="1"/>
  <c r="BZ112" i="13" s="1"/>
  <c r="CP75" i="13" a="1"/>
  <c r="CP75" i="13" s="1"/>
  <c r="CD109" i="13" a="1"/>
  <c r="CD109" i="13" s="1"/>
  <c r="BZ117" i="13" a="1"/>
  <c r="BZ117" i="13" s="1"/>
  <c r="BV78" i="13" a="1"/>
  <c r="BV78" i="13" s="1"/>
  <c r="CD95" i="13" a="1"/>
  <c r="CD95" i="13" s="1"/>
  <c r="CE95" i="13" a="1"/>
  <c r="CE95" i="13" s="1"/>
  <c r="CD80" i="13" a="1"/>
  <c r="CD80" i="13" s="1"/>
  <c r="CE80" i="13" a="1"/>
  <c r="CE80" i="13" s="1"/>
  <c r="CY97" i="13" a="1"/>
  <c r="CY97" i="13" s="1"/>
  <c r="CX97" i="13" a="1"/>
  <c r="CX97" i="13" s="1"/>
  <c r="CX85" i="13" a="1"/>
  <c r="CX85" i="13" s="1"/>
  <c r="CY85" i="13" a="1"/>
  <c r="CY85" i="13" s="1"/>
  <c r="BZ65" i="13" a="1"/>
  <c r="BZ65" i="13" s="1"/>
  <c r="CT62" i="13" a="1"/>
  <c r="CT62" i="13" s="1"/>
  <c r="CZ62" i="13" s="1"/>
  <c r="Z62" i="13" s="1"/>
  <c r="CE70" i="13" a="1"/>
  <c r="CE70" i="13" s="1"/>
  <c r="CD70" i="13" a="1"/>
  <c r="CD70" i="13" s="1"/>
  <c r="BV114" i="13" a="1"/>
  <c r="BV114" i="13" s="1"/>
  <c r="CY69" i="13" a="1"/>
  <c r="CY69" i="13" s="1"/>
  <c r="CX69" i="13" a="1"/>
  <c r="CX69" i="13" s="1"/>
  <c r="CX103" i="13" a="1"/>
  <c r="CX103" i="13" s="1"/>
  <c r="CZ103" i="13" s="1"/>
  <c r="Z103" i="13" s="1"/>
  <c r="CD111" i="13" a="1"/>
  <c r="CD111" i="13" s="1"/>
  <c r="CE111" i="13" a="1"/>
  <c r="CE111" i="13" s="1"/>
  <c r="BZ78" i="13" a="1"/>
  <c r="BZ78" i="13" s="1"/>
  <c r="BZ73" i="13" a="1"/>
  <c r="BZ73" i="13" s="1"/>
  <c r="BV72" i="13" a="1"/>
  <c r="BV72" i="13" s="1"/>
  <c r="BV111" i="13" a="1"/>
  <c r="BV111" i="13" s="1"/>
  <c r="CD97" i="13" a="1"/>
  <c r="CD97" i="13" s="1"/>
  <c r="BZ114" i="13" a="1"/>
  <c r="BZ114" i="13" s="1"/>
  <c r="BV63" i="13" a="1"/>
  <c r="BV63" i="13" s="1"/>
  <c r="CZ63" i="13" l="1"/>
  <c r="Z63" i="13" s="1"/>
  <c r="CF895" i="13"/>
  <c r="R895" i="13" s="1"/>
  <c r="CF340" i="13"/>
  <c r="R340" i="13" s="1"/>
  <c r="CF311" i="13"/>
  <c r="R311" i="13" s="1"/>
  <c r="CZ669" i="13"/>
  <c r="Z669" i="13" s="1"/>
  <c r="CF489" i="13"/>
  <c r="R489" i="13" s="1"/>
  <c r="CZ261" i="13"/>
  <c r="Z261" i="13" s="1"/>
  <c r="CF437" i="13"/>
  <c r="R437" i="13" s="1"/>
  <c r="AF887" i="13"/>
  <c r="AF306" i="13"/>
  <c r="AF611" i="13"/>
  <c r="AF910" i="13"/>
  <c r="AF384" i="13"/>
  <c r="CZ908" i="13"/>
  <c r="Z908" i="13" s="1"/>
  <c r="AF464" i="13"/>
  <c r="CZ623" i="13"/>
  <c r="Z623" i="13" s="1"/>
  <c r="AF738" i="13"/>
  <c r="CF655" i="13"/>
  <c r="R655" i="13" s="1"/>
  <c r="AF655" i="13" s="1"/>
  <c r="CF800" i="13"/>
  <c r="R800" i="13" s="1"/>
  <c r="CF641" i="13"/>
  <c r="R641" i="13" s="1"/>
  <c r="AF641" i="13" s="1"/>
  <c r="CZ673" i="13"/>
  <c r="Z673" i="13" s="1"/>
  <c r="CF199" i="13"/>
  <c r="R199" i="13" s="1"/>
  <c r="AF819" i="13"/>
  <c r="AF712" i="13"/>
  <c r="CF468" i="13"/>
  <c r="R468" i="13" s="1"/>
  <c r="AF468" i="13" s="1"/>
  <c r="CF790" i="13"/>
  <c r="R790" i="13" s="1"/>
  <c r="CF594" i="13"/>
  <c r="R594" i="13" s="1"/>
  <c r="AF580" i="13"/>
  <c r="AF795" i="13"/>
  <c r="AF106" i="13"/>
  <c r="CF804" i="13"/>
  <c r="R804" i="13" s="1"/>
  <c r="AF804" i="13" s="1"/>
  <c r="CF661" i="13"/>
  <c r="R661" i="13" s="1"/>
  <c r="CF458" i="13"/>
  <c r="R458" i="13" s="1"/>
  <c r="AF458" i="13" s="1"/>
  <c r="CF440" i="13"/>
  <c r="R440" i="13" s="1"/>
  <c r="AF984" i="13"/>
  <c r="AF884" i="13"/>
  <c r="AF53" i="13"/>
  <c r="CZ873" i="13"/>
  <c r="Z873" i="13" s="1"/>
  <c r="CF225" i="13"/>
  <c r="R225" i="13" s="1"/>
  <c r="AF623" i="13"/>
  <c r="CZ181" i="13"/>
  <c r="Z181" i="13" s="1"/>
  <c r="CZ509" i="13"/>
  <c r="Z509" i="13" s="1"/>
  <c r="CF764" i="13"/>
  <c r="R764" i="13" s="1"/>
  <c r="CF112" i="13"/>
  <c r="R112" i="13" s="1"/>
  <c r="CZ118" i="13"/>
  <c r="Z118" i="13" s="1"/>
  <c r="CF924" i="13"/>
  <c r="R924" i="13" s="1"/>
  <c r="CF788" i="13"/>
  <c r="R788" i="13" s="1"/>
  <c r="AF788" i="13" s="1"/>
  <c r="CF916" i="13"/>
  <c r="R916" i="13" s="1"/>
  <c r="CF561" i="13"/>
  <c r="R561" i="13" s="1"/>
  <c r="CZ1013" i="13"/>
  <c r="Z1013" i="13" s="1"/>
  <c r="AF1013" i="13" s="1"/>
  <c r="CZ657" i="13"/>
  <c r="Z657" i="13" s="1"/>
  <c r="CF338" i="13"/>
  <c r="R338" i="13" s="1"/>
  <c r="CF912" i="13"/>
  <c r="R912" i="13" s="1"/>
  <c r="CF684" i="13"/>
  <c r="R684" i="13" s="1"/>
  <c r="CF303" i="13"/>
  <c r="R303" i="13" s="1"/>
  <c r="CF893" i="13"/>
  <c r="R893" i="13" s="1"/>
  <c r="CF812" i="13"/>
  <c r="R812" i="13" s="1"/>
  <c r="CF394" i="13"/>
  <c r="R394" i="13" s="1"/>
  <c r="CZ322" i="13"/>
  <c r="Z322" i="13" s="1"/>
  <c r="CZ851" i="13"/>
  <c r="Z851" i="13" s="1"/>
  <c r="CZ513" i="13"/>
  <c r="Z513" i="13" s="1"/>
  <c r="AF513" i="13" s="1"/>
  <c r="CZ137" i="13"/>
  <c r="Z137" i="13" s="1"/>
  <c r="AF137" i="13" s="1"/>
  <c r="CZ881" i="13"/>
  <c r="Z881" i="13" s="1"/>
  <c r="AF881" i="13" s="1"/>
  <c r="AF274" i="13"/>
  <c r="CF507" i="13"/>
  <c r="R507" i="13" s="1"/>
  <c r="CF645" i="13"/>
  <c r="R645" i="13" s="1"/>
  <c r="AF340" i="13"/>
  <c r="CF511" i="13"/>
  <c r="R511" i="13" s="1"/>
  <c r="CZ323" i="13"/>
  <c r="Z323" i="13" s="1"/>
  <c r="CF173" i="13"/>
  <c r="R173" i="13" s="1"/>
  <c r="AF173" i="13" s="1"/>
  <c r="CF829" i="13"/>
  <c r="R829" i="13" s="1"/>
  <c r="AF162" i="13"/>
  <c r="AF480" i="13"/>
  <c r="CF83" i="13"/>
  <c r="R83" i="13" s="1"/>
  <c r="AF32" i="13"/>
  <c r="CF650" i="13"/>
  <c r="R650" i="13" s="1"/>
  <c r="CF792" i="13"/>
  <c r="R792" i="13" s="1"/>
  <c r="CF519" i="13"/>
  <c r="R519" i="13" s="1"/>
  <c r="CF632" i="13"/>
  <c r="R632" i="13" s="1"/>
  <c r="AF632" i="13" s="1"/>
  <c r="CZ780" i="13"/>
  <c r="Z780" i="13" s="1"/>
  <c r="AF780" i="13" s="1"/>
  <c r="CF267" i="13"/>
  <c r="R267" i="13" s="1"/>
  <c r="CZ140" i="13"/>
  <c r="Z140" i="13" s="1"/>
  <c r="CF487" i="13"/>
  <c r="R487" i="13" s="1"/>
  <c r="AF487" i="13" s="1"/>
  <c r="CZ678" i="13"/>
  <c r="Z678" i="13" s="1"/>
  <c r="CZ139" i="13"/>
  <c r="Z139" i="13" s="1"/>
  <c r="CF344" i="13"/>
  <c r="R344" i="13" s="1"/>
  <c r="CF853" i="13"/>
  <c r="R853" i="13" s="1"/>
  <c r="AF853" i="13" s="1"/>
  <c r="CF176" i="13"/>
  <c r="R176" i="13" s="1"/>
  <c r="CZ790" i="13"/>
  <c r="Z790" i="13" s="1"/>
  <c r="AF790" i="13" s="1"/>
  <c r="CF171" i="13"/>
  <c r="R171" i="13" s="1"/>
  <c r="CZ630" i="13"/>
  <c r="Z630" i="13" s="1"/>
  <c r="CZ231" i="13"/>
  <c r="Z231" i="13" s="1"/>
  <c r="AF231" i="13" s="1"/>
  <c r="CZ76" i="13"/>
  <c r="Z76" i="13" s="1"/>
  <c r="CF469" i="13"/>
  <c r="R469" i="13" s="1"/>
  <c r="CZ223" i="13"/>
  <c r="Z223" i="13" s="1"/>
  <c r="CZ600" i="13"/>
  <c r="Z600" i="13" s="1"/>
  <c r="CF235" i="13"/>
  <c r="R235" i="13" s="1"/>
  <c r="AF424" i="13"/>
  <c r="CZ107" i="13"/>
  <c r="Z107" i="13" s="1"/>
  <c r="AF637" i="13"/>
  <c r="CF461" i="13"/>
  <c r="R461" i="13" s="1"/>
  <c r="CF334" i="13"/>
  <c r="R334" i="13" s="1"/>
  <c r="AF334" i="13" s="1"/>
  <c r="CF535" i="13"/>
  <c r="R535" i="13" s="1"/>
  <c r="CZ649" i="13"/>
  <c r="Z649" i="13" s="1"/>
  <c r="CZ806" i="13"/>
  <c r="Z806" i="13" s="1"/>
  <c r="AF806" i="13" s="1"/>
  <c r="CZ644" i="13"/>
  <c r="Z644" i="13" s="1"/>
  <c r="CF287" i="13"/>
  <c r="R287" i="13" s="1"/>
  <c r="AF287" i="13" s="1"/>
  <c r="CZ590" i="13"/>
  <c r="Z590" i="13" s="1"/>
  <c r="CZ517" i="13"/>
  <c r="Z517" i="13" s="1"/>
  <c r="CF355" i="13"/>
  <c r="R355" i="13" s="1"/>
  <c r="CZ305" i="13"/>
  <c r="Z305" i="13" s="1"/>
  <c r="AF305" i="13" s="1"/>
  <c r="AF612" i="13"/>
  <c r="AF610" i="13"/>
  <c r="CF293" i="13"/>
  <c r="R293" i="13" s="1"/>
  <c r="CF131" i="13"/>
  <c r="R131" i="13" s="1"/>
  <c r="AF575" i="13"/>
  <c r="AF533" i="13"/>
  <c r="CZ195" i="13"/>
  <c r="Z195" i="13" s="1"/>
  <c r="CZ668" i="13"/>
  <c r="Z668" i="13" s="1"/>
  <c r="CZ995" i="13"/>
  <c r="Z995" i="13" s="1"/>
  <c r="CF445" i="13"/>
  <c r="R445" i="13" s="1"/>
  <c r="AF115" i="13"/>
  <c r="CZ472" i="13"/>
  <c r="Z472" i="13" s="1"/>
  <c r="CZ871" i="13"/>
  <c r="Z871" i="13" s="1"/>
  <c r="CZ640" i="13"/>
  <c r="Z640" i="13" s="1"/>
  <c r="CZ338" i="13"/>
  <c r="Z338" i="13" s="1"/>
  <c r="CF625" i="13"/>
  <c r="R625" i="13" s="1"/>
  <c r="CZ897" i="13"/>
  <c r="Z897" i="13" s="1"/>
  <c r="AF897" i="13" s="1"/>
  <c r="CZ267" i="13"/>
  <c r="Z267" i="13" s="1"/>
  <c r="AF92" i="13"/>
  <c r="AF59" i="13"/>
  <c r="CZ774" i="13"/>
  <c r="Z774" i="13" s="1"/>
  <c r="CF181" i="13"/>
  <c r="R181" i="13" s="1"/>
  <c r="CF657" i="13"/>
  <c r="R657" i="13" s="1"/>
  <c r="CZ619" i="13"/>
  <c r="Z619" i="13" s="1"/>
  <c r="AF619" i="13" s="1"/>
  <c r="CZ440" i="13"/>
  <c r="Z440" i="13" s="1"/>
  <c r="AF440" i="13" s="1"/>
  <c r="CF619" i="13"/>
  <c r="R619" i="13" s="1"/>
  <c r="CZ932" i="13"/>
  <c r="Z932" i="13" s="1"/>
  <c r="CZ859" i="13"/>
  <c r="Z859" i="13" s="1"/>
  <c r="AF181" i="13"/>
  <c r="CF154" i="13"/>
  <c r="R154" i="13" s="1"/>
  <c r="AF154" i="13" s="1"/>
  <c r="CF1018" i="13"/>
  <c r="R1018" i="13" s="1"/>
  <c r="CF139" i="13"/>
  <c r="R139" i="13" s="1"/>
  <c r="CF433" i="13"/>
  <c r="R433" i="13" s="1"/>
  <c r="AF433" i="13" s="1"/>
  <c r="CF444" i="13"/>
  <c r="R444" i="13" s="1"/>
  <c r="CZ529" i="13"/>
  <c r="Z529" i="13" s="1"/>
  <c r="AF529" i="13" s="1"/>
  <c r="CF97" i="13"/>
  <c r="R97" i="13" s="1"/>
  <c r="AF465" i="13"/>
  <c r="CZ636" i="13"/>
  <c r="Z636" i="13" s="1"/>
  <c r="AF140" i="13"/>
  <c r="AF762" i="13"/>
  <c r="CF606" i="13"/>
  <c r="R606" i="13" s="1"/>
  <c r="CZ624" i="13"/>
  <c r="Z624" i="13" s="1"/>
  <c r="CZ598" i="13"/>
  <c r="Z598" i="13" s="1"/>
  <c r="AF598" i="13" s="1"/>
  <c r="CZ194" i="13"/>
  <c r="Z194" i="13" s="1"/>
  <c r="AF194" i="13" s="1"/>
  <c r="CF336" i="13"/>
  <c r="R336" i="13" s="1"/>
  <c r="AF336" i="13" s="1"/>
  <c r="CZ571" i="13"/>
  <c r="Z571" i="13" s="1"/>
  <c r="CF455" i="13"/>
  <c r="R455" i="13" s="1"/>
  <c r="CF665" i="13"/>
  <c r="R665" i="13" s="1"/>
  <c r="CZ461" i="13"/>
  <c r="Z461" i="13" s="1"/>
  <c r="CF313" i="13"/>
  <c r="R313" i="13" s="1"/>
  <c r="AF313" i="13" s="1"/>
  <c r="CF682" i="13"/>
  <c r="R682" i="13" s="1"/>
  <c r="AF682" i="13" s="1"/>
  <c r="CZ857" i="13"/>
  <c r="Z857" i="13" s="1"/>
  <c r="CZ752" i="13"/>
  <c r="Z752" i="13" s="1"/>
  <c r="CF873" i="13"/>
  <c r="R873" i="13" s="1"/>
  <c r="CZ521" i="13"/>
  <c r="Z521" i="13" s="1"/>
  <c r="CZ169" i="13"/>
  <c r="Z169" i="13" s="1"/>
  <c r="CZ802" i="13"/>
  <c r="Z802" i="13" s="1"/>
  <c r="AF802" i="13" s="1"/>
  <c r="CF197" i="13"/>
  <c r="R197" i="13" s="1"/>
  <c r="AF197" i="13" s="1"/>
  <c r="CF635" i="13"/>
  <c r="R635" i="13" s="1"/>
  <c r="AF635" i="13" s="1"/>
  <c r="CF766" i="13"/>
  <c r="R766" i="13" s="1"/>
  <c r="CF938" i="13"/>
  <c r="R938" i="13" s="1"/>
  <c r="AF938" i="13" s="1"/>
  <c r="CZ578" i="13"/>
  <c r="Z578" i="13" s="1"/>
  <c r="CF517" i="13"/>
  <c r="R517" i="13" s="1"/>
  <c r="AF517" i="13" s="1"/>
  <c r="CF624" i="13"/>
  <c r="R624" i="13" s="1"/>
  <c r="AF624" i="13" s="1"/>
  <c r="CZ317" i="13"/>
  <c r="Z317" i="13" s="1"/>
  <c r="AF317" i="13" s="1"/>
  <c r="CF600" i="13"/>
  <c r="R600" i="13" s="1"/>
  <c r="CZ129" i="13"/>
  <c r="Z129" i="13" s="1"/>
  <c r="CF319" i="13"/>
  <c r="R319" i="13" s="1"/>
  <c r="CZ1004" i="13"/>
  <c r="Z1004" i="13" s="1"/>
  <c r="AF1004" i="13" s="1"/>
  <c r="CZ192" i="13"/>
  <c r="Z192" i="13" s="1"/>
  <c r="AF192" i="13" s="1"/>
  <c r="CF453" i="13"/>
  <c r="R453" i="13" s="1"/>
  <c r="AF453" i="13" s="1"/>
  <c r="CF265" i="13"/>
  <c r="R265" i="13" s="1"/>
  <c r="AF265" i="13" s="1"/>
  <c r="CF749" i="13"/>
  <c r="R749" i="13" s="1"/>
  <c r="AF749" i="13" s="1"/>
  <c r="CF301" i="13"/>
  <c r="R301" i="13" s="1"/>
  <c r="AF301" i="13" s="1"/>
  <c r="CZ446" i="13"/>
  <c r="Z446" i="13" s="1"/>
  <c r="CF174" i="13"/>
  <c r="R174" i="13" s="1"/>
  <c r="CZ177" i="13"/>
  <c r="Z177" i="13" s="1"/>
  <c r="AF776" i="13"/>
  <c r="AF256" i="13"/>
  <c r="AF669" i="13"/>
  <c r="AF997" i="13"/>
  <c r="AF656" i="13"/>
  <c r="AF845" i="13"/>
  <c r="CF472" i="13"/>
  <c r="R472" i="13" s="1"/>
  <c r="CF754" i="13"/>
  <c r="R754" i="13" s="1"/>
  <c r="AF754" i="13" s="1"/>
  <c r="AF206" i="13"/>
  <c r="CZ747" i="13"/>
  <c r="Z747" i="13" s="1"/>
  <c r="CZ150" i="13"/>
  <c r="Z150" i="13" s="1"/>
  <c r="AF150" i="13" s="1"/>
  <c r="CZ545" i="13"/>
  <c r="Z545" i="13" s="1"/>
  <c r="CZ766" i="13"/>
  <c r="Z766" i="13" s="1"/>
  <c r="CF814" i="13"/>
  <c r="R814" i="13" s="1"/>
  <c r="CZ265" i="13"/>
  <c r="Z265" i="13" s="1"/>
  <c r="CZ489" i="13"/>
  <c r="Z489" i="13" s="1"/>
  <c r="CZ645" i="13"/>
  <c r="Z645" i="13" s="1"/>
  <c r="AF645" i="13" s="1"/>
  <c r="AF657" i="13"/>
  <c r="CZ620" i="13"/>
  <c r="Z620" i="13" s="1"/>
  <c r="CZ348" i="13"/>
  <c r="Z348" i="13" s="1"/>
  <c r="CZ784" i="13"/>
  <c r="Z784" i="13" s="1"/>
  <c r="CZ627" i="13"/>
  <c r="Z627" i="13" s="1"/>
  <c r="CZ661" i="13"/>
  <c r="Z661" i="13" s="1"/>
  <c r="AF661" i="13" s="1"/>
  <c r="CF557" i="13"/>
  <c r="R557" i="13" s="1"/>
  <c r="AF557" i="13" s="1"/>
  <c r="CF346" i="13"/>
  <c r="R346" i="13" s="1"/>
  <c r="AF346" i="13" s="1"/>
  <c r="CZ650" i="13"/>
  <c r="Z650" i="13" s="1"/>
  <c r="CF178" i="13"/>
  <c r="R178" i="13" s="1"/>
  <c r="CZ639" i="13"/>
  <c r="Z639" i="13" s="1"/>
  <c r="CF901" i="13"/>
  <c r="R901" i="13" s="1"/>
  <c r="CF551" i="13"/>
  <c r="R551" i="13" s="1"/>
  <c r="CF295" i="13"/>
  <c r="R295" i="13" s="1"/>
  <c r="AF295" i="13" s="1"/>
  <c r="CZ665" i="13"/>
  <c r="Z665" i="13" s="1"/>
  <c r="CF443" i="13"/>
  <c r="R443" i="13" s="1"/>
  <c r="AF443" i="13" s="1"/>
  <c r="CZ770" i="13"/>
  <c r="Z770" i="13" s="1"/>
  <c r="AF770" i="13" s="1"/>
  <c r="CF741" i="13"/>
  <c r="R741" i="13" s="1"/>
  <c r="AF741" i="13" s="1"/>
  <c r="CF473" i="13"/>
  <c r="R473" i="13" s="1"/>
  <c r="AF473" i="13" s="1"/>
  <c r="CF614" i="13"/>
  <c r="R614" i="13" s="1"/>
  <c r="CF835" i="13"/>
  <c r="R835" i="13" s="1"/>
  <c r="AF835" i="13" s="1"/>
  <c r="CZ1016" i="13"/>
  <c r="Z1016" i="13" s="1"/>
  <c r="AF1016" i="13" s="1"/>
  <c r="CZ256" i="13"/>
  <c r="Z256" i="13" s="1"/>
  <c r="CZ586" i="13"/>
  <c r="Z586" i="13" s="1"/>
  <c r="CF539" i="13"/>
  <c r="R539" i="13" s="1"/>
  <c r="AF539" i="13" s="1"/>
  <c r="CZ263" i="13"/>
  <c r="Z263" i="13" s="1"/>
  <c r="CZ459" i="13"/>
  <c r="Z459" i="13" s="1"/>
  <c r="AF333" i="13"/>
  <c r="AF126" i="13"/>
  <c r="AF620" i="13"/>
  <c r="CF590" i="13"/>
  <c r="R590" i="13" s="1"/>
  <c r="AF590" i="13" s="1"/>
  <c r="CZ756" i="13"/>
  <c r="Z756" i="13" s="1"/>
  <c r="CZ584" i="13"/>
  <c r="Z584" i="13" s="1"/>
  <c r="CF79" i="13"/>
  <c r="R79" i="13" s="1"/>
  <c r="CZ67" i="13"/>
  <c r="Z67" i="13" s="1"/>
  <c r="AF89" i="13"/>
  <c r="CF159" i="13"/>
  <c r="R159" i="13" s="1"/>
  <c r="AF159" i="13" s="1"/>
  <c r="AF463" i="13"/>
  <c r="CF778" i="13"/>
  <c r="R778" i="13" s="1"/>
  <c r="CZ342" i="13"/>
  <c r="Z342" i="13" s="1"/>
  <c r="CZ891" i="13"/>
  <c r="Z891" i="13" s="1"/>
  <c r="CF261" i="13"/>
  <c r="R261" i="13" s="1"/>
  <c r="CF223" i="13"/>
  <c r="R223" i="13" s="1"/>
  <c r="AF308" i="13"/>
  <c r="CF751" i="13"/>
  <c r="R751" i="13" s="1"/>
  <c r="AF751" i="13" s="1"/>
  <c r="CF630" i="13"/>
  <c r="R630" i="13" s="1"/>
  <c r="AF630" i="13" s="1"/>
  <c r="CZ679" i="13"/>
  <c r="Z679" i="13" s="1"/>
  <c r="CZ671" i="13"/>
  <c r="Z671" i="13" s="1"/>
  <c r="AF671" i="13" s="1"/>
  <c r="CF990" i="13"/>
  <c r="R990" i="13" s="1"/>
  <c r="AF990" i="13" s="1"/>
  <c r="CZ904" i="13"/>
  <c r="Z904" i="13" s="1"/>
  <c r="AF904" i="13" s="1"/>
  <c r="CZ889" i="13"/>
  <c r="Z889" i="13" s="1"/>
  <c r="AF889" i="13" s="1"/>
  <c r="CZ481" i="13"/>
  <c r="Z481" i="13" s="1"/>
  <c r="CF503" i="13"/>
  <c r="R503" i="13" s="1"/>
  <c r="AF503" i="13" s="1"/>
  <c r="CF367" i="13"/>
  <c r="R367" i="13" s="1"/>
  <c r="AF367" i="13" s="1"/>
  <c r="CZ883" i="13"/>
  <c r="Z883" i="13" s="1"/>
  <c r="AF471" i="13"/>
  <c r="CF668" i="13"/>
  <c r="R668" i="13" s="1"/>
  <c r="AF668" i="13" s="1"/>
  <c r="CZ419" i="13"/>
  <c r="Z419" i="13" s="1"/>
  <c r="CF994" i="13"/>
  <c r="R994" i="13" s="1"/>
  <c r="CF559" i="13"/>
  <c r="R559" i="13" s="1"/>
  <c r="AF559" i="13" s="1"/>
  <c r="CZ279" i="13"/>
  <c r="Z279" i="13" s="1"/>
  <c r="CF275" i="13"/>
  <c r="R275" i="13" s="1"/>
  <c r="CF784" i="13"/>
  <c r="R784" i="13" s="1"/>
  <c r="CZ1019" i="13"/>
  <c r="Z1019" i="13" s="1"/>
  <c r="AF1019" i="13" s="1"/>
  <c r="CF675" i="13"/>
  <c r="R675" i="13" s="1"/>
  <c r="AF675" i="13" s="1"/>
  <c r="CZ553" i="13"/>
  <c r="Z553" i="13" s="1"/>
  <c r="CF1001" i="13"/>
  <c r="R1001" i="13" s="1"/>
  <c r="CZ531" i="13"/>
  <c r="Z531" i="13" s="1"/>
  <c r="AF531" i="13" s="1"/>
  <c r="CZ483" i="13"/>
  <c r="Z483" i="13" s="1"/>
  <c r="AF483" i="13" s="1"/>
  <c r="CF1011" i="13"/>
  <c r="R1011" i="13" s="1"/>
  <c r="AF1011" i="13" s="1"/>
  <c r="CZ596" i="13"/>
  <c r="Z596" i="13" s="1"/>
  <c r="CF752" i="13"/>
  <c r="R752" i="13" s="1"/>
  <c r="AF752" i="13" s="1"/>
  <c r="CZ450" i="13"/>
  <c r="Z450" i="13" s="1"/>
  <c r="AF450" i="13" s="1"/>
  <c r="CZ1018" i="13"/>
  <c r="Z1018" i="13" s="1"/>
  <c r="AF360" i="13"/>
  <c r="AF253" i="13"/>
  <c r="CF678" i="13"/>
  <c r="R678" i="13" s="1"/>
  <c r="AF678" i="13" s="1"/>
  <c r="AF55" i="13"/>
  <c r="CF1021" i="13"/>
  <c r="R1021" i="13" s="1"/>
  <c r="AF1021" i="13" s="1"/>
  <c r="CF186" i="13"/>
  <c r="R186" i="13" s="1"/>
  <c r="AF756" i="13"/>
  <c r="CZ551" i="13"/>
  <c r="Z551" i="13" s="1"/>
  <c r="CZ808" i="13"/>
  <c r="Z808" i="13" s="1"/>
  <c r="AF808" i="13" s="1"/>
  <c r="CF995" i="13"/>
  <c r="R995" i="13" s="1"/>
  <c r="CF553" i="13"/>
  <c r="R553" i="13" s="1"/>
  <c r="AF250" i="13"/>
  <c r="CZ843" i="13"/>
  <c r="Z843" i="13" s="1"/>
  <c r="AF743" i="13"/>
  <c r="AF586" i="13"/>
  <c r="CZ792" i="13"/>
  <c r="Z792" i="13" s="1"/>
  <c r="AF646" i="13"/>
  <c r="CZ519" i="13"/>
  <c r="Z519" i="13" s="1"/>
  <c r="CF297" i="13"/>
  <c r="R297" i="13" s="1"/>
  <c r="AF297" i="13" s="1"/>
  <c r="CF495" i="13"/>
  <c r="R495" i="13" s="1"/>
  <c r="CF434" i="13"/>
  <c r="R434" i="13" s="1"/>
  <c r="AF434" i="13" s="1"/>
  <c r="CZ455" i="13"/>
  <c r="Z455" i="13" s="1"/>
  <c r="CZ437" i="13"/>
  <c r="Z437" i="13" s="1"/>
  <c r="AF437" i="13" s="1"/>
  <c r="CF782" i="13"/>
  <c r="R782" i="13" s="1"/>
  <c r="CF640" i="13"/>
  <c r="R640" i="13" s="1"/>
  <c r="AF640" i="13" s="1"/>
  <c r="CZ588" i="13"/>
  <c r="Z588" i="13" s="1"/>
  <c r="AF588" i="13" s="1"/>
  <c r="CZ436" i="13"/>
  <c r="Z436" i="13" s="1"/>
  <c r="AF436" i="13" s="1"/>
  <c r="AF820" i="13"/>
  <c r="CF1000" i="13"/>
  <c r="R1000" i="13" s="1"/>
  <c r="AF1000" i="13" s="1"/>
  <c r="AF812" i="13"/>
  <c r="CZ772" i="13"/>
  <c r="Z772" i="13" s="1"/>
  <c r="CZ166" i="13"/>
  <c r="Z166" i="13" s="1"/>
  <c r="AF564" i="13"/>
  <c r="AF694" i="13"/>
  <c r="AF895" i="13"/>
  <c r="AF166" i="13"/>
  <c r="AF912" i="13"/>
  <c r="CZ1003" i="13"/>
  <c r="Z1003" i="13" s="1"/>
  <c r="AF1003" i="13" s="1"/>
  <c r="CF679" i="13"/>
  <c r="R679" i="13" s="1"/>
  <c r="AF679" i="13" s="1"/>
  <c r="CZ456" i="13"/>
  <c r="Z456" i="13" s="1"/>
  <c r="AF456" i="13" s="1"/>
  <c r="CZ606" i="13"/>
  <c r="Z606" i="13" s="1"/>
  <c r="CZ511" i="13"/>
  <c r="Z511" i="13" s="1"/>
  <c r="AF511" i="13" s="1"/>
  <c r="AF350" i="13"/>
  <c r="CF758" i="13"/>
  <c r="R758" i="13" s="1"/>
  <c r="AF758" i="13" s="1"/>
  <c r="CZ629" i="13"/>
  <c r="Z629" i="13" s="1"/>
  <c r="AF629" i="13" s="1"/>
  <c r="CF392" i="13"/>
  <c r="R392" i="13" s="1"/>
  <c r="AF392" i="13" s="1"/>
  <c r="CF654" i="13"/>
  <c r="R654" i="13" s="1"/>
  <c r="AF654" i="13" s="1"/>
  <c r="CZ576" i="13"/>
  <c r="Z576" i="13" s="1"/>
  <c r="CF753" i="13"/>
  <c r="R753" i="13" s="1"/>
  <c r="AF753" i="13" s="1"/>
  <c r="CF322" i="13"/>
  <c r="R322" i="13" s="1"/>
  <c r="AF322" i="13" s="1"/>
  <c r="CF195" i="13"/>
  <c r="R195" i="13" s="1"/>
  <c r="CF169" i="13"/>
  <c r="R169" i="13" s="1"/>
  <c r="CF323" i="13"/>
  <c r="R323" i="13" s="1"/>
  <c r="AF323" i="13" s="1"/>
  <c r="CZ1007" i="13"/>
  <c r="Z1007" i="13" s="1"/>
  <c r="CF674" i="13"/>
  <c r="R674" i="13" s="1"/>
  <c r="CF263" i="13"/>
  <c r="R263" i="13" s="1"/>
  <c r="AF263" i="13" s="1"/>
  <c r="AF279" i="13"/>
  <c r="AF525" i="13"/>
  <c r="CF167" i="13"/>
  <c r="R167" i="13" s="1"/>
  <c r="AF167" i="13" s="1"/>
  <c r="CF565" i="13"/>
  <c r="R565" i="13" s="1"/>
  <c r="CF584" i="13"/>
  <c r="R584" i="13" s="1"/>
  <c r="AF584" i="13" s="1"/>
  <c r="CF602" i="13"/>
  <c r="R602" i="13" s="1"/>
  <c r="CF411" i="13"/>
  <c r="R411" i="13" s="1"/>
  <c r="AF411" i="13" s="1"/>
  <c r="CF563" i="13"/>
  <c r="R563" i="13" s="1"/>
  <c r="CF671" i="13"/>
  <c r="R671" i="13" s="1"/>
  <c r="CF998" i="13"/>
  <c r="R998" i="13" s="1"/>
  <c r="AF998" i="13" s="1"/>
  <c r="CF649" i="13"/>
  <c r="R649" i="13" s="1"/>
  <c r="CZ319" i="13"/>
  <c r="Z319" i="13" s="1"/>
  <c r="CF65" i="13"/>
  <c r="R65" i="13" s="1"/>
  <c r="AF652" i="13"/>
  <c r="AF843" i="13"/>
  <c r="CZ171" i="13"/>
  <c r="Z171" i="13" s="1"/>
  <c r="AF171" i="13" s="1"/>
  <c r="CZ573" i="13"/>
  <c r="Z573" i="13" s="1"/>
  <c r="AF573" i="13" s="1"/>
  <c r="AF639" i="13"/>
  <c r="AF180" i="13"/>
  <c r="CF352" i="13"/>
  <c r="R352" i="13" s="1"/>
  <c r="AF352" i="13" s="1"/>
  <c r="CZ778" i="13"/>
  <c r="Z778" i="13" s="1"/>
  <c r="AF459" i="13"/>
  <c r="AF290" i="13"/>
  <c r="AF636" i="13"/>
  <c r="CF545" i="13"/>
  <c r="R545" i="13" s="1"/>
  <c r="AF545" i="13" s="1"/>
  <c r="CF667" i="13"/>
  <c r="R667" i="13" s="1"/>
  <c r="AF667" i="13" s="1"/>
  <c r="AF338" i="13"/>
  <c r="CZ133" i="13"/>
  <c r="Z133" i="13" s="1"/>
  <c r="AF133" i="13" s="1"/>
  <c r="CF61" i="13"/>
  <c r="R61" i="13" s="1"/>
  <c r="CF67" i="13"/>
  <c r="R67" i="13" s="1"/>
  <c r="AF67" i="13" s="1"/>
  <c r="CF685" i="13"/>
  <c r="R685" i="13" s="1"/>
  <c r="AF685" i="13" s="1"/>
  <c r="AF1008" i="13"/>
  <c r="CZ359" i="13"/>
  <c r="Z359" i="13" s="1"/>
  <c r="AF932" i="13"/>
  <c r="CF865" i="13"/>
  <c r="R865" i="13" s="1"/>
  <c r="AF865" i="13" s="1"/>
  <c r="CZ814" i="13"/>
  <c r="Z814" i="13" s="1"/>
  <c r="CF299" i="13"/>
  <c r="R299" i="13" s="1"/>
  <c r="AF299" i="13" s="1"/>
  <c r="CZ899" i="13"/>
  <c r="Z899" i="13" s="1"/>
  <c r="AF899" i="13" s="1"/>
  <c r="CZ660" i="13"/>
  <c r="Z660" i="13" s="1"/>
  <c r="AF660" i="13" s="1"/>
  <c r="AF638" i="13"/>
  <c r="AF918" i="13"/>
  <c r="CF991" i="13"/>
  <c r="R991" i="13" s="1"/>
  <c r="AF991" i="13" s="1"/>
  <c r="AF509" i="13"/>
  <c r="AF859" i="13"/>
  <c r="CF342" i="13"/>
  <c r="R342" i="13" s="1"/>
  <c r="CZ186" i="13"/>
  <c r="Z186" i="13" s="1"/>
  <c r="CZ469" i="13"/>
  <c r="Z469" i="13" s="1"/>
  <c r="CZ800" i="13"/>
  <c r="Z800" i="13" s="1"/>
  <c r="AF800" i="13" s="1"/>
  <c r="CZ893" i="13"/>
  <c r="Z893" i="13" s="1"/>
  <c r="AF365" i="13"/>
  <c r="AF1002" i="13"/>
  <c r="CF627" i="13"/>
  <c r="R627" i="13" s="1"/>
  <c r="AF822" i="13"/>
  <c r="CZ315" i="13"/>
  <c r="Z315" i="13" s="1"/>
  <c r="AF315" i="13" s="1"/>
  <c r="CZ429" i="13"/>
  <c r="Z429" i="13" s="1"/>
  <c r="CZ207" i="13"/>
  <c r="Z207" i="13" s="1"/>
  <c r="AF207" i="13" s="1"/>
  <c r="CF745" i="13"/>
  <c r="R745" i="13" s="1"/>
  <c r="AF745" i="13" s="1"/>
  <c r="CZ174" i="13"/>
  <c r="Z174" i="13" s="1"/>
  <c r="CZ567" i="13"/>
  <c r="Z567" i="13" s="1"/>
  <c r="AF567" i="13" s="1"/>
  <c r="CF796" i="13"/>
  <c r="R796" i="13" s="1"/>
  <c r="AF796" i="13" s="1"/>
  <c r="CZ602" i="13"/>
  <c r="Z602" i="13" s="1"/>
  <c r="AF199" i="13"/>
  <c r="CF942" i="13"/>
  <c r="R942" i="13" s="1"/>
  <c r="AF942" i="13" s="1"/>
  <c r="CZ293" i="13"/>
  <c r="Z293" i="13" s="1"/>
  <c r="AF293" i="13" s="1"/>
  <c r="CZ869" i="13"/>
  <c r="Z869" i="13" s="1"/>
  <c r="AF869" i="13" s="1"/>
  <c r="CZ152" i="13"/>
  <c r="Z152" i="13" s="1"/>
  <c r="AF152" i="13" s="1"/>
  <c r="CF644" i="13"/>
  <c r="R644" i="13" s="1"/>
  <c r="AF644" i="13" s="1"/>
  <c r="CF201" i="13"/>
  <c r="R201" i="13" s="1"/>
  <c r="AF201" i="13" s="1"/>
  <c r="CF157" i="13"/>
  <c r="R157" i="13" s="1"/>
  <c r="AF157" i="13" s="1"/>
  <c r="CZ855" i="13"/>
  <c r="Z855" i="13" s="1"/>
  <c r="AF855" i="13" s="1"/>
  <c r="CF626" i="13"/>
  <c r="R626" i="13" s="1"/>
  <c r="AF626" i="13" s="1"/>
  <c r="CF309" i="13"/>
  <c r="R309" i="13" s="1"/>
  <c r="AF309" i="13" s="1"/>
  <c r="CZ172" i="13"/>
  <c r="Z172" i="13" s="1"/>
  <c r="AF172" i="13" s="1"/>
  <c r="CF772" i="13"/>
  <c r="R772" i="13" s="1"/>
  <c r="AF772" i="13" s="1"/>
  <c r="CZ269" i="13"/>
  <c r="Z269" i="13" s="1"/>
  <c r="AF269" i="13" s="1"/>
  <c r="AF514" i="13"/>
  <c r="AF603" i="13"/>
  <c r="AF472" i="13"/>
  <c r="AF461" i="13"/>
  <c r="AF634" i="13"/>
  <c r="AF901" i="13"/>
  <c r="AF561" i="13"/>
  <c r="AF747" i="13"/>
  <c r="AF229" i="13"/>
  <c r="AF614" i="13"/>
  <c r="AF839" i="13"/>
  <c r="AF774" i="13"/>
  <c r="AF994" i="13"/>
  <c r="AF275" i="13"/>
  <c r="AF429" i="13"/>
  <c r="AF1001" i="13"/>
  <c r="AF446" i="13"/>
  <c r="AF628" i="13"/>
  <c r="AF495" i="13"/>
  <c r="AF782" i="13"/>
  <c r="AF893" i="13"/>
  <c r="AF625" i="13"/>
  <c r="AF673" i="13"/>
  <c r="AF507" i="13"/>
  <c r="AF537" i="13"/>
  <c r="AF519" i="13"/>
  <c r="AF653" i="13"/>
  <c r="AF674" i="13"/>
  <c r="AF565" i="13"/>
  <c r="AF563" i="13"/>
  <c r="AF359" i="13"/>
  <c r="AF594" i="13"/>
  <c r="AF1015" i="13"/>
  <c r="AF831" i="13"/>
  <c r="AF535" i="13"/>
  <c r="AF444" i="13"/>
  <c r="AF999" i="13"/>
  <c r="AF501" i="13"/>
  <c r="AF857" i="13"/>
  <c r="AF481" i="13"/>
  <c r="AF663" i="13"/>
  <c r="AF445" i="13"/>
  <c r="AF175" i="13"/>
  <c r="AF571" i="13"/>
  <c r="AF470" i="13"/>
  <c r="AF873" i="13"/>
  <c r="AF883" i="13"/>
  <c r="AF798" i="13"/>
  <c r="AF891" i="13"/>
  <c r="AF432" i="13"/>
  <c r="AF371" i="13"/>
  <c r="AF658" i="13"/>
  <c r="AF227" i="13"/>
  <c r="AF390" i="13"/>
  <c r="AF273" i="13"/>
  <c r="AF786" i="13"/>
  <c r="CF818" i="13"/>
  <c r="R818" i="13" s="1"/>
  <c r="AF818" i="13" s="1"/>
  <c r="CZ178" i="13"/>
  <c r="Z178" i="13" s="1"/>
  <c r="AF178" i="13" s="1"/>
  <c r="AF125" i="13"/>
  <c r="CZ621" i="13"/>
  <c r="Z621" i="13" s="1"/>
  <c r="AF621" i="13" s="1"/>
  <c r="AF311" i="13"/>
  <c r="AF578" i="13"/>
  <c r="AF447" i="13"/>
  <c r="CZ225" i="13"/>
  <c r="Z225" i="13" s="1"/>
  <c r="AF225" i="13" s="1"/>
  <c r="AF676" i="13"/>
  <c r="CZ659" i="13"/>
  <c r="Z659" i="13" s="1"/>
  <c r="AF659" i="13" s="1"/>
  <c r="AF355" i="13"/>
  <c r="CF521" i="13"/>
  <c r="R521" i="13" s="1"/>
  <c r="AF670" i="13"/>
  <c r="AF633" i="13"/>
  <c r="AF596" i="13"/>
  <c r="AF361" i="13"/>
  <c r="AF569" i="13"/>
  <c r="AF829" i="13"/>
  <c r="AF324" i="13"/>
  <c r="AF332" i="13"/>
  <c r="AF810" i="13"/>
  <c r="AF318" i="13"/>
  <c r="AF908" i="13"/>
  <c r="AF684" i="13"/>
  <c r="AF131" i="13"/>
  <c r="AF916" i="13"/>
  <c r="AF394" i="13"/>
  <c r="AF235" i="13"/>
  <c r="AF183" i="13"/>
  <c r="CF851" i="13"/>
  <c r="R851" i="13" s="1"/>
  <c r="AF851" i="13" s="1"/>
  <c r="CF794" i="13"/>
  <c r="R794" i="13" s="1"/>
  <c r="CZ515" i="13"/>
  <c r="Z515" i="13" s="1"/>
  <c r="AF515" i="13" s="1"/>
  <c r="AF373" i="13"/>
  <c r="AF419" i="13"/>
  <c r="CZ497" i="13"/>
  <c r="Z497" i="13" s="1"/>
  <c r="AF497" i="13" s="1"/>
  <c r="AF683" i="13"/>
  <c r="CZ541" i="13"/>
  <c r="Z541" i="13" s="1"/>
  <c r="AF541" i="13" s="1"/>
  <c r="AF826" i="13"/>
  <c r="AF307" i="13"/>
  <c r="CZ928" i="13"/>
  <c r="Z928" i="13" s="1"/>
  <c r="AF928" i="13" s="1"/>
  <c r="AF303" i="13"/>
  <c r="AF348" i="13"/>
  <c r="AF344" i="13"/>
  <c r="CF648" i="13"/>
  <c r="R648" i="13" s="1"/>
  <c r="AF648" i="13" s="1"/>
  <c r="AF179" i="13"/>
  <c r="CF442" i="13"/>
  <c r="R442" i="13" s="1"/>
  <c r="AF442" i="13" s="1"/>
  <c r="AF176" i="13"/>
  <c r="AF764" i="13"/>
  <c r="AF177" i="13"/>
  <c r="AF576" i="13"/>
  <c r="AF129" i="13"/>
  <c r="AF643" i="13"/>
  <c r="AF622" i="13"/>
  <c r="CF618" i="13"/>
  <c r="R618" i="13" s="1"/>
  <c r="AF618" i="13" s="1"/>
  <c r="AF1010" i="13"/>
  <c r="CZ794" i="13"/>
  <c r="Z794" i="13" s="1"/>
  <c r="AF454" i="13"/>
  <c r="CZ328" i="13"/>
  <c r="Z328" i="13" s="1"/>
  <c r="AF328" i="13" s="1"/>
  <c r="AF871" i="13"/>
  <c r="AF924" i="13"/>
  <c r="AF204" i="13"/>
  <c r="AF1007" i="13"/>
  <c r="AF233" i="13"/>
  <c r="CF363" i="13"/>
  <c r="R363" i="13" s="1"/>
  <c r="AF363" i="13" s="1"/>
  <c r="CZ61" i="13"/>
  <c r="Z61" i="13" s="1"/>
  <c r="CF120" i="13"/>
  <c r="R120" i="13" s="1"/>
  <c r="AF71" i="13"/>
  <c r="CF63" i="13"/>
  <c r="R63" i="13" s="1"/>
  <c r="AF63" i="13" s="1"/>
  <c r="CZ83" i="13"/>
  <c r="Z83" i="13" s="1"/>
  <c r="AF83" i="13" s="1"/>
  <c r="CF103" i="13"/>
  <c r="R103" i="13" s="1"/>
  <c r="AF103" i="13" s="1"/>
  <c r="CF111" i="13"/>
  <c r="R111" i="13" s="1"/>
  <c r="CF95" i="13"/>
  <c r="R95" i="13" s="1"/>
  <c r="CF68" i="13"/>
  <c r="R68" i="13" s="1"/>
  <c r="AF68" i="13" s="1"/>
  <c r="CF108" i="13"/>
  <c r="R108" i="13" s="1"/>
  <c r="CF117" i="13"/>
  <c r="R117" i="13" s="1"/>
  <c r="AF117" i="13" s="1"/>
  <c r="CZ108" i="13"/>
  <c r="Z108" i="13" s="1"/>
  <c r="AF108" i="13" s="1"/>
  <c r="CZ120" i="13"/>
  <c r="Z120" i="13" s="1"/>
  <c r="AF120" i="13" s="1"/>
  <c r="CF109" i="13"/>
  <c r="R109" i="13" s="1"/>
  <c r="CZ75" i="13"/>
  <c r="Z75" i="13" s="1"/>
  <c r="AF57" i="13"/>
  <c r="CZ72" i="13"/>
  <c r="Z72" i="13" s="1"/>
  <c r="CZ95" i="13"/>
  <c r="Z95" i="13" s="1"/>
  <c r="CZ84" i="13"/>
  <c r="Z84" i="13" s="1"/>
  <c r="AF84" i="13" s="1"/>
  <c r="CF75" i="13"/>
  <c r="R75" i="13" s="1"/>
  <c r="AF112" i="13"/>
  <c r="AF104" i="13"/>
  <c r="AF50" i="13"/>
  <c r="CZ114" i="13"/>
  <c r="Z114" i="13" s="1"/>
  <c r="AF86" i="13"/>
  <c r="CF73" i="13"/>
  <c r="R73" i="13" s="1"/>
  <c r="AF73" i="13" s="1"/>
  <c r="CZ79" i="13"/>
  <c r="Z79" i="13" s="1"/>
  <c r="AF79" i="13" s="1"/>
  <c r="CZ69" i="13"/>
  <c r="Z69" i="13" s="1"/>
  <c r="AF69" i="13" s="1"/>
  <c r="CZ85" i="13"/>
  <c r="Z85" i="13" s="1"/>
  <c r="CF80" i="13"/>
  <c r="R80" i="13" s="1"/>
  <c r="AF80" i="13" s="1"/>
  <c r="CF99" i="13"/>
  <c r="R99" i="13" s="1"/>
  <c r="AF77" i="13"/>
  <c r="AF40" i="13"/>
  <c r="CZ105" i="13"/>
  <c r="Z105" i="13" s="1"/>
  <c r="AF105" i="13" s="1"/>
  <c r="CZ65" i="13"/>
  <c r="Z65" i="13" s="1"/>
  <c r="CF72" i="13"/>
  <c r="R72" i="13" s="1"/>
  <c r="CF113" i="13"/>
  <c r="R113" i="13" s="1"/>
  <c r="AF113" i="13" s="1"/>
  <c r="CF64" i="13"/>
  <c r="R64" i="13" s="1"/>
  <c r="AF33" i="13"/>
  <c r="CF114" i="13"/>
  <c r="R114" i="13" s="1"/>
  <c r="CZ97" i="13"/>
  <c r="Z97" i="13" s="1"/>
  <c r="CF78" i="13"/>
  <c r="R78" i="13" s="1"/>
  <c r="CF62" i="13"/>
  <c r="R62" i="13" s="1"/>
  <c r="AF62" i="13" s="1"/>
  <c r="AF118" i="13"/>
  <c r="CZ64" i="13"/>
  <c r="Z64" i="13" s="1"/>
  <c r="CF107" i="13"/>
  <c r="R107" i="13" s="1"/>
  <c r="AF107" i="13" s="1"/>
  <c r="CZ99" i="13"/>
  <c r="Z99" i="13" s="1"/>
  <c r="CZ78" i="13"/>
  <c r="Z78" i="13" s="1"/>
  <c r="CZ74" i="13"/>
  <c r="Z74" i="13" s="1"/>
  <c r="AF74" i="13" s="1"/>
  <c r="CF76" i="13"/>
  <c r="R76" i="13" s="1"/>
  <c r="AF76" i="13" s="1"/>
  <c r="AF111" i="13"/>
  <c r="CZ109" i="13"/>
  <c r="Z109" i="13" s="1"/>
  <c r="AF66" i="13"/>
  <c r="CF82" i="13"/>
  <c r="R82" i="13" s="1"/>
  <c r="AF82" i="13" s="1"/>
  <c r="CZ101" i="13"/>
  <c r="Z101" i="13" s="1"/>
  <c r="AF101" i="13" s="1"/>
  <c r="CF85" i="13"/>
  <c r="R85" i="13" s="1"/>
  <c r="CF70" i="13"/>
  <c r="R70" i="13" s="1"/>
  <c r="AF70" i="13" s="1"/>
  <c r="AF342" i="13" l="1"/>
  <c r="AF261" i="13"/>
  <c r="AF169" i="13"/>
  <c r="AF195" i="13"/>
  <c r="AF489" i="13"/>
  <c r="AF650" i="13"/>
  <c r="AF521" i="13"/>
  <c r="AF551" i="13"/>
  <c r="AF114" i="13"/>
  <c r="AF469" i="13"/>
  <c r="AF109" i="13"/>
  <c r="AF223" i="13"/>
  <c r="AF267" i="13"/>
  <c r="AF602" i="13"/>
  <c r="AF61" i="13"/>
  <c r="D16" i="13" s="1"/>
  <c r="H76" i="6" s="1"/>
  <c r="AF995" i="13"/>
  <c r="AF64" i="13"/>
  <c r="AF627" i="13"/>
  <c r="AF792" i="13"/>
  <c r="AF174" i="13"/>
  <c r="AF186" i="13"/>
  <c r="AF600" i="13"/>
  <c r="AF649" i="13"/>
  <c r="AF784" i="13"/>
  <c r="AF139" i="13"/>
  <c r="AF814" i="13"/>
  <c r="AF665" i="13"/>
  <c r="AF606" i="13"/>
  <c r="AF553" i="13"/>
  <c r="AF455" i="13"/>
  <c r="AF65" i="13"/>
  <c r="AF778" i="13"/>
  <c r="AF1018" i="13"/>
  <c r="AF97" i="13"/>
  <c r="AF319" i="13"/>
  <c r="AF766" i="13"/>
  <c r="AF794" i="13"/>
  <c r="AF95" i="13"/>
  <c r="AF72" i="13"/>
  <c r="AF75" i="13"/>
  <c r="AF99" i="13"/>
  <c r="AF78" i="13"/>
  <c r="AF85" i="13"/>
  <c r="T24" i="5" l="1"/>
  <c r="T25" i="5"/>
  <c r="T26" i="5" s="1"/>
  <c r="T27" i="5" s="1"/>
  <c r="T28" i="5"/>
  <c r="T29" i="5"/>
  <c r="T30" i="5"/>
  <c r="T31" i="5"/>
  <c r="T32" i="5"/>
  <c r="T33" i="5"/>
  <c r="T34" i="5"/>
  <c r="T35" i="5"/>
  <c r="T23" i="5"/>
  <c r="T22" i="5"/>
  <c r="C24" i="5"/>
  <c r="C25" i="5"/>
  <c r="C26" i="5"/>
  <c r="C27" i="5"/>
  <c r="C28" i="5"/>
  <c r="C29" i="5"/>
  <c r="C30" i="5"/>
  <c r="C31" i="5"/>
  <c r="C32" i="5"/>
  <c r="C33" i="5"/>
  <c r="C34" i="5"/>
  <c r="C35" i="5"/>
  <c r="B24" i="5"/>
  <c r="B25" i="5"/>
  <c r="B26" i="5"/>
  <c r="B27" i="5"/>
  <c r="B28" i="5"/>
  <c r="B29" i="5"/>
  <c r="B30" i="5"/>
  <c r="B31" i="5"/>
  <c r="B32" i="5"/>
  <c r="B33" i="5"/>
  <c r="B34" i="5"/>
  <c r="B35" i="5"/>
  <c r="B64" i="6"/>
  <c r="B61" i="6"/>
  <c r="B58" i="6"/>
  <c r="X34" i="6"/>
  <c r="P21" i="5" a="1"/>
  <c r="P21" i="5" s="1"/>
  <c r="C23" i="5"/>
  <c r="B23" i="5"/>
  <c r="L8" i="5"/>
  <c r="Q21" i="5" l="1"/>
  <c r="P22" i="5"/>
  <c r="B22" i="5" s="1"/>
  <c r="L11" i="6"/>
  <c r="X33" i="6"/>
  <c r="X69" i="6"/>
  <c r="X68" i="6"/>
  <c r="R6" i="5" a="1"/>
  <c r="R6" i="5" s="1"/>
  <c r="D1" i="13" l="1"/>
  <c r="S23" i="13" s="1" a="1"/>
  <c r="S23" i="13" s="1"/>
  <c r="B17" i="13" a="1"/>
  <c r="B17" i="13" s="1"/>
  <c r="C8" i="13" a="1"/>
  <c r="C8" i="13" s="1"/>
  <c r="B16" i="13" a="1"/>
  <c r="B16" i="13" s="1"/>
  <c r="C7" i="13" a="1"/>
  <c r="C7" i="13" s="1"/>
  <c r="B15" i="13" a="1"/>
  <c r="B15" i="13" s="1"/>
  <c r="B6" i="13" a="1"/>
  <c r="B6" i="13" s="1"/>
  <c r="B14" i="13" a="1"/>
  <c r="B14" i="13" s="1"/>
  <c r="B5" i="13" a="1"/>
  <c r="B5" i="13" s="1"/>
  <c r="C12" i="13" a="1"/>
  <c r="C12" i="13" s="1"/>
  <c r="B4" i="13" a="1"/>
  <c r="B4" i="13" s="1"/>
  <c r="C11" i="13" a="1"/>
  <c r="C11" i="13" s="1"/>
  <c r="B3" i="13" a="1"/>
  <c r="B3" i="13" s="1"/>
  <c r="C10" i="13" a="1"/>
  <c r="C10" i="13" s="1"/>
  <c r="B1" i="13" a="1"/>
  <c r="B1" i="13" s="1"/>
  <c r="C9" i="13" a="1"/>
  <c r="C9" i="13" s="1"/>
  <c r="AD20" i="13" a="1"/>
  <c r="AD20" i="13" s="1"/>
  <c r="L20" i="13" a="1"/>
  <c r="L20" i="13" s="1"/>
  <c r="C20" i="13" a="1"/>
  <c r="C20" i="13" s="1"/>
  <c r="G20" i="13" a="1"/>
  <c r="G20" i="13" s="1"/>
  <c r="AF20" i="13" a="1"/>
  <c r="AF20" i="13" s="1"/>
  <c r="W20" i="13" a="1"/>
  <c r="W20" i="13" s="1"/>
  <c r="N24" i="13" a="1"/>
  <c r="N24" i="13" s="1"/>
  <c r="X20" i="13" a="1"/>
  <c r="X20" i="13" s="1"/>
  <c r="S24" i="13" a="1"/>
  <c r="S24" i="13" s="1"/>
  <c r="P20" i="13" a="1"/>
  <c r="P20" i="13" s="1"/>
  <c r="B69" i="6" a="1"/>
  <c r="B69" i="6" s="1"/>
  <c r="B25" i="6" a="1"/>
  <c r="B25" i="6" s="1"/>
  <c r="B24" i="6" a="1"/>
  <c r="B24" i="6" s="1"/>
  <c r="C52" i="6" a="1"/>
  <c r="C52" i="6" s="1"/>
  <c r="C49" i="6" a="1"/>
  <c r="C49" i="6" s="1"/>
  <c r="R12" i="5"/>
  <c r="D22" i="5" a="1"/>
  <c r="D22" i="5" s="1"/>
  <c r="B2" i="6" a="1"/>
  <c r="B2" i="6" s="1"/>
  <c r="B13" i="5" a="1"/>
  <c r="B13" i="5" s="1"/>
  <c r="B79" i="6" a="1"/>
  <c r="B79" i="6" s="1"/>
  <c r="B81" i="6" a="1"/>
  <c r="B81" i="6" s="1"/>
  <c r="B80" i="6" a="1"/>
  <c r="B80" i="6" s="1"/>
  <c r="F16" i="5" a="1"/>
  <c r="F16" i="5" s="1"/>
  <c r="F15" i="5" a="1"/>
  <c r="F15" i="5" s="1"/>
  <c r="I8" i="5" a="1"/>
  <c r="I8" i="5" s="1"/>
  <c r="I9" i="5" a="1"/>
  <c r="I9" i="5" s="1"/>
  <c r="B77" i="6" a="1"/>
  <c r="B77" i="6" s="1"/>
  <c r="C21" i="5" a="1"/>
  <c r="C21" i="5" s="1"/>
  <c r="D21" i="5" a="1"/>
  <c r="D21" i="5" s="1"/>
  <c r="C58" i="6" a="1"/>
  <c r="C58" i="6" s="1"/>
  <c r="E35" i="6" a="1"/>
  <c r="E35" i="6" s="1"/>
  <c r="C61" i="6" a="1"/>
  <c r="C61" i="6" s="1"/>
  <c r="C64" i="6" a="1"/>
  <c r="C64" i="6" s="1"/>
  <c r="B68" i="6" a="1"/>
  <c r="B68" i="6" s="1"/>
  <c r="B10" i="6" a="1"/>
  <c r="B10" i="6" s="1"/>
  <c r="I6" i="5" a="1"/>
  <c r="I6" i="5" s="1"/>
  <c r="B42" i="5" a="1"/>
  <c r="B42" i="5" s="1"/>
  <c r="B41" i="5" a="1"/>
  <c r="B41" i="5" s="1"/>
  <c r="B15" i="5" a="1"/>
  <c r="B15" i="5" s="1"/>
  <c r="B16" i="5" a="1"/>
  <c r="B16" i="5" s="1"/>
  <c r="I2" i="5" a="1"/>
  <c r="I2" i="5" s="1"/>
  <c r="I4" i="5" a="1"/>
  <c r="I4" i="5" s="1"/>
  <c r="B19" i="5" a="1"/>
  <c r="B19" i="5" s="1"/>
  <c r="I3" i="5" a="1"/>
  <c r="I3" i="5" s="1"/>
  <c r="R20" i="13" l="1" a="1"/>
  <c r="R20" i="13" s="1"/>
  <c r="U20" i="13" a="1"/>
  <c r="U20" i="13" s="1"/>
  <c r="AE19" i="13" a="1"/>
  <c r="AE19" i="13" s="1"/>
  <c r="T20" i="13" a="1"/>
  <c r="T20" i="13" s="1"/>
  <c r="AB20" i="13" a="1"/>
  <c r="AB20" i="13" s="1"/>
  <c r="Q20" i="13" a="1"/>
  <c r="Q20" i="13" s="1"/>
  <c r="M20" i="13" a="1"/>
  <c r="M20" i="13" s="1"/>
  <c r="R19" i="13" a="1"/>
  <c r="R19" i="13" s="1"/>
  <c r="V20" i="13" a="1"/>
  <c r="V20" i="13" s="1"/>
  <c r="C19" i="13" a="1"/>
  <c r="C19" i="13" s="1"/>
  <c r="N22" i="13" a="1"/>
  <c r="N22" i="13" s="1"/>
  <c r="Y20" i="13" a="1"/>
  <c r="Y20" i="13" s="1"/>
  <c r="S22" i="13" a="1"/>
  <c r="S22" i="13" s="1"/>
  <c r="N19" i="13" a="1"/>
  <c r="N19" i="13" s="1"/>
  <c r="F20" i="13" a="1"/>
  <c r="F20" i="13" s="1"/>
  <c r="N23" i="13" a="1"/>
  <c r="N23" i="13" s="1"/>
  <c r="S20" i="13" a="1"/>
  <c r="S20" i="13" s="1"/>
  <c r="E20" i="13" a="1"/>
  <c r="E20" i="13" s="1"/>
  <c r="G19" i="13" a="1"/>
  <c r="G19" i="13" s="1"/>
  <c r="O20" i="13" a="1"/>
  <c r="O20" i="13" s="1"/>
  <c r="I20" i="13" a="1"/>
  <c r="I20" i="13" s="1"/>
  <c r="AC20" i="13" a="1"/>
  <c r="AC20" i="13" s="1"/>
  <c r="D20" i="13" a="1"/>
  <c r="D20" i="13" s="1"/>
  <c r="AE20" i="13" a="1"/>
  <c r="AE20" i="13" s="1"/>
  <c r="J20" i="13" a="1"/>
  <c r="J20" i="13" s="1"/>
  <c r="Z20" i="13" a="1"/>
  <c r="Z20" i="13" s="1"/>
  <c r="W19" i="13" a="1"/>
  <c r="W19" i="13" s="1"/>
  <c r="AA19" i="13" a="1"/>
  <c r="AA19" i="13" s="1"/>
  <c r="H20" i="13" a="1"/>
  <c r="H20" i="13" s="1"/>
  <c r="N20" i="13" a="1"/>
  <c r="N20" i="13" s="1"/>
  <c r="I34" i="6" a="1"/>
  <c r="I34" i="6" s="1"/>
  <c r="E34" i="6" a="1"/>
  <c r="E34" i="6" s="1"/>
  <c r="B34" i="6" a="1"/>
  <c r="B34" i="6" s="1"/>
  <c r="D35" i="5" a="1"/>
  <c r="D35" i="5" s="1"/>
  <c r="D30" i="5" a="1"/>
  <c r="D30" i="5" s="1"/>
  <c r="E37" i="6" a="1"/>
  <c r="E37" i="6" s="1"/>
  <c r="D34" i="5" a="1"/>
  <c r="D34" i="5" s="1"/>
  <c r="D31" i="5" a="1"/>
  <c r="D31" i="5" s="1"/>
  <c r="E36" i="6" a="1"/>
  <c r="E36" i="6" s="1"/>
  <c r="D24" i="5" a="1"/>
  <c r="D24" i="5" s="1"/>
  <c r="D32" i="5" a="1"/>
  <c r="D32" i="5" s="1"/>
  <c r="C55" i="6" a="1"/>
  <c r="C55" i="6" s="1"/>
  <c r="B36" i="6" a="1"/>
  <c r="B36" i="6" s="1"/>
  <c r="B38" i="6" a="1"/>
  <c r="B38" i="6" s="1"/>
  <c r="D25" i="5" a="1"/>
  <c r="D25" i="5" s="1"/>
  <c r="D33" i="5" a="1"/>
  <c r="D33" i="5" s="1"/>
  <c r="B39" i="6" a="1"/>
  <c r="B39" i="6" s="1"/>
  <c r="D23" i="5" a="1"/>
  <c r="D23" i="5" s="1"/>
  <c r="D26" i="5" a="1"/>
  <c r="D26" i="5" s="1"/>
  <c r="D27" i="5" a="1"/>
  <c r="D27" i="5" s="1"/>
  <c r="B37" i="6" a="1"/>
  <c r="B37" i="6" s="1"/>
  <c r="D28" i="5" a="1"/>
  <c r="D28" i="5" s="1"/>
  <c r="E39" i="6" a="1"/>
  <c r="E39" i="6" s="1"/>
  <c r="D29" i="5" a="1"/>
  <c r="D29" i="5" s="1"/>
  <c r="E38" i="6" a="1"/>
  <c r="E38" i="6" s="1"/>
  <c r="B23" i="6" a="1"/>
  <c r="B23" i="6" s="1"/>
  <c r="B33" i="6" a="1"/>
  <c r="B33" i="6" s="1"/>
  <c r="B20" i="6" a="1"/>
  <c r="B20" i="6" s="1"/>
  <c r="B32" i="6" a="1"/>
  <c r="B32" i="6" s="1"/>
  <c r="E33" i="6" a="1"/>
  <c r="E33" i="6" s="1"/>
  <c r="I33" i="6" a="1"/>
  <c r="I33" i="6" s="1"/>
  <c r="B9" i="6" a="1"/>
  <c r="B9" i="6" s="1"/>
  <c r="E32" i="6" a="1"/>
  <c r="E32" i="6" s="1"/>
  <c r="Q22" i="5"/>
  <c r="C22" i="5" s="1"/>
  <c r="K13" i="6"/>
  <c r="X23" i="6"/>
  <c r="R10" i="5" l="1"/>
  <c r="L12" i="6" s="1"/>
  <c r="B49" i="6"/>
  <c r="B52" i="6"/>
  <c r="B55" i="6"/>
  <c r="X32" i="6"/>
  <c r="X37" i="6"/>
  <c r="X38" i="6"/>
  <c r="X39" i="6"/>
  <c r="X36" i="6"/>
  <c r="X41" i="6"/>
  <c r="X40" i="6"/>
  <c r="X77" i="6"/>
  <c r="X15" i="6"/>
  <c r="X12" i="6"/>
  <c r="X13" i="6"/>
  <c r="X11" i="6"/>
  <c r="X72" i="6"/>
  <c r="X64" i="6"/>
  <c r="X49" i="6"/>
  <c r="X52" i="6"/>
  <c r="X55" i="6"/>
  <c r="X58" i="6"/>
  <c r="X61" i="6"/>
  <c r="X45" i="6"/>
  <c r="X28" i="6"/>
  <c r="X24" i="6"/>
  <c r="X20" i="6"/>
  <c r="X19" i="6"/>
  <c r="L9" i="5" l="1"/>
  <c r="B47" i="6" a="1"/>
  <c r="B47" i="6" s="1"/>
  <c r="I31" i="6" a="1"/>
  <c r="I31" i="6" s="1"/>
  <c r="B74" i="6" a="1"/>
  <c r="B74" i="6" s="1"/>
  <c r="B27" i="6" a="1"/>
  <c r="B27" i="6" s="1"/>
  <c r="B18" i="6" a="1"/>
  <c r="B18" i="6" s="1"/>
  <c r="B44" i="6" a="1"/>
  <c r="B44" i="6" s="1"/>
  <c r="B71" i="6" a="1"/>
  <c r="B71" i="6" s="1"/>
  <c r="B72" i="6" a="1"/>
  <c r="B72" i="6" s="1"/>
  <c r="I6" i="6" a="1"/>
  <c r="I6" i="6" s="1"/>
  <c r="I4" i="6" a="1"/>
  <c r="I4" i="6" s="1"/>
  <c r="I5" i="6" a="1"/>
  <c r="I5" i="6" s="1"/>
  <c r="B76" i="6" a="1"/>
  <c r="B76" i="6" s="1"/>
  <c r="E41" i="6" a="1"/>
  <c r="E41" i="6" s="1"/>
  <c r="B40" i="6" a="1"/>
  <c r="B40" i="6" s="1"/>
  <c r="E40" i="6" a="1"/>
  <c r="E40" i="6" s="1"/>
  <c r="B41" i="6" a="1"/>
  <c r="B41" i="6" s="1"/>
  <c r="B45" i="6" a="1"/>
  <c r="B45" i="6" s="1"/>
  <c r="B30" i="6" a="1"/>
  <c r="B30" i="6" s="1"/>
  <c r="E31" i="6" a="1"/>
  <c r="E31" i="6" s="1"/>
  <c r="B28" i="6" a="1"/>
  <c r="B28" i="6" s="1"/>
  <c r="B19" i="6" a="1"/>
  <c r="B19" i="6" s="1"/>
  <c r="B15" i="6" a="1"/>
  <c r="B15" i="6" s="1"/>
  <c r="B13" i="6" a="1"/>
  <c r="B13" i="6" s="1"/>
  <c r="B12" i="6" a="1"/>
  <c r="B12" i="6" s="1"/>
  <c r="B8" i="6" a="1"/>
  <c r="B8" i="6" s="1"/>
  <c r="B11" i="6" a="1"/>
  <c r="B11" i="6" s="1"/>
  <c r="B22" i="6" a="1"/>
  <c r="B22" i="6" s="1"/>
  <c r="B12" i="5" l="1"/>
  <c r="B7" i="5" s="1"/>
  <c r="E2" i="3" l="1" a="1"/>
  <c r="E2" i="3"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<sst xmlns="http://schemas.openxmlformats.org/spreadsheetml/2006/main" count="16486" uniqueCount="5128">
  <si>
    <t>PLZ</t>
  </si>
  <si>
    <t>Bern</t>
  </si>
  <si>
    <t>-</t>
  </si>
  <si>
    <t>Ortschaftsname</t>
  </si>
  <si>
    <t>Gemeindename</t>
  </si>
  <si>
    <t>Kantonskürzel</t>
  </si>
  <si>
    <t>Aeugst am Albis</t>
  </si>
  <si>
    <t>ZH</t>
  </si>
  <si>
    <t>Aeugstertal</t>
  </si>
  <si>
    <t>Zwillikon</t>
  </si>
  <si>
    <t>Affoltern am Albis</t>
  </si>
  <si>
    <t>Bonstetten</t>
  </si>
  <si>
    <t>Hausen am Albis</t>
  </si>
  <si>
    <t>Ebertswil</t>
  </si>
  <si>
    <t>Hedingen</t>
  </si>
  <si>
    <t>Kappel am Albis</t>
  </si>
  <si>
    <t>Hauptikon</t>
  </si>
  <si>
    <t>Uerzlikon</t>
  </si>
  <si>
    <t>Knonau</t>
  </si>
  <si>
    <t>Maschwanden</t>
  </si>
  <si>
    <t>Mettmenstetten</t>
  </si>
  <si>
    <t>Obfelden</t>
  </si>
  <si>
    <t>Ottenbach</t>
  </si>
  <si>
    <t>Rifferswil</t>
  </si>
  <si>
    <t>Stallikon</t>
  </si>
  <si>
    <t>Uetliberg</t>
  </si>
  <si>
    <t>Wettswil</t>
  </si>
  <si>
    <t>Wettswil am Albis</t>
  </si>
  <si>
    <t>Adlikon b. Andelfingen</t>
  </si>
  <si>
    <t>Adlikon</t>
  </si>
  <si>
    <t>Benken ZH</t>
  </si>
  <si>
    <t>Benken (ZH)</t>
  </si>
  <si>
    <t>Berg am Irchel</t>
  </si>
  <si>
    <t>Gräslikon</t>
  </si>
  <si>
    <t>Buch am Irchel</t>
  </si>
  <si>
    <t>Dachsen</t>
  </si>
  <si>
    <t>Dorf</t>
  </si>
  <si>
    <t>Feuerthalen</t>
  </si>
  <si>
    <t>Langwiesen</t>
  </si>
  <si>
    <t>Flaach</t>
  </si>
  <si>
    <t>Flurlingen</t>
  </si>
  <si>
    <t>Andelfingen</t>
  </si>
  <si>
    <t>Henggart</t>
  </si>
  <si>
    <t>Humlikon</t>
  </si>
  <si>
    <t>Kleinandelfingen</t>
  </si>
  <si>
    <t>Alten</t>
  </si>
  <si>
    <t>Oerlingen</t>
  </si>
  <si>
    <t>Nohl</t>
  </si>
  <si>
    <t>Laufen-Uhwiesen</t>
  </si>
  <si>
    <t>Uhwiesen</t>
  </si>
  <si>
    <t>Marthalen</t>
  </si>
  <si>
    <t>Ellikon am Rhein</t>
  </si>
  <si>
    <t>Ossingen</t>
  </si>
  <si>
    <t>Rheinau</t>
  </si>
  <si>
    <t>Thalheim an der Thur</t>
  </si>
  <si>
    <t>Rudolfingen</t>
  </si>
  <si>
    <t>Trüllikon</t>
  </si>
  <si>
    <t>Wildensbuch</t>
  </si>
  <si>
    <t>Truttikon</t>
  </si>
  <si>
    <t>Volken</t>
  </si>
  <si>
    <t>Bachenbülach</t>
  </si>
  <si>
    <t>Bassersdorf</t>
  </si>
  <si>
    <t>Bülach</t>
  </si>
  <si>
    <t>Dietlikon</t>
  </si>
  <si>
    <t>Eglisau</t>
  </si>
  <si>
    <t>Embrach</t>
  </si>
  <si>
    <t>Freienstein</t>
  </si>
  <si>
    <t>Freienstein-Teufen</t>
  </si>
  <si>
    <t>Teufen ZH</t>
  </si>
  <si>
    <t>Glattfelden</t>
  </si>
  <si>
    <t>Zweidlen</t>
  </si>
  <si>
    <t>Hochfelden</t>
  </si>
  <si>
    <t>Höri</t>
  </si>
  <si>
    <t>Hüntwangen</t>
  </si>
  <si>
    <t>Kloten</t>
  </si>
  <si>
    <t>Lufingen</t>
  </si>
  <si>
    <t>Nürensdorf</t>
  </si>
  <si>
    <t>Oberembrach</t>
  </si>
  <si>
    <t>Glattbrugg</t>
  </si>
  <si>
    <t>Opfikon</t>
  </si>
  <si>
    <t>Glattpark (Opfikon)</t>
  </si>
  <si>
    <t>Rafz</t>
  </si>
  <si>
    <t>Rorbas</t>
  </si>
  <si>
    <t>Wallisellen</t>
  </si>
  <si>
    <t>Wasterkingen</t>
  </si>
  <si>
    <t>Wil ZH</t>
  </si>
  <si>
    <t>Wil (ZH)</t>
  </si>
  <si>
    <t>Winkel</t>
  </si>
  <si>
    <t>Bachs</t>
  </si>
  <si>
    <t>Boppelsen</t>
  </si>
  <si>
    <t>Buchs ZH</t>
  </si>
  <si>
    <t>Buchs (ZH)</t>
  </si>
  <si>
    <t>Dällikon</t>
  </si>
  <si>
    <t>Dänikon ZH</t>
  </si>
  <si>
    <t>Dänikon</t>
  </si>
  <si>
    <t>Dielsdorf</t>
  </si>
  <si>
    <t>Hüttikon</t>
  </si>
  <si>
    <t>Neerach</t>
  </si>
  <si>
    <t>Niederglatt ZH</t>
  </si>
  <si>
    <t>Niederglatt</t>
  </si>
  <si>
    <t>Niederhasli</t>
  </si>
  <si>
    <t>Nassenwil</t>
  </si>
  <si>
    <t>Oberhasli</t>
  </si>
  <si>
    <t>Niederweningen</t>
  </si>
  <si>
    <t>Oberglatt ZH</t>
  </si>
  <si>
    <t>Oberglatt</t>
  </si>
  <si>
    <t>Oberweningen</t>
  </si>
  <si>
    <t>Otelfingen</t>
  </si>
  <si>
    <t>Regensberg</t>
  </si>
  <si>
    <t>Regensdorf</t>
  </si>
  <si>
    <t>Watt</t>
  </si>
  <si>
    <t>Adlikon b. Regensdorf</t>
  </si>
  <si>
    <t>Rümlang</t>
  </si>
  <si>
    <t>Schleinikon</t>
  </si>
  <si>
    <t>Schöfflisdorf</t>
  </si>
  <si>
    <t>Stadel b. Niederglatt</t>
  </si>
  <si>
    <t>Stadel</t>
  </si>
  <si>
    <t>Windlach</t>
  </si>
  <si>
    <t>Steinmaur</t>
  </si>
  <si>
    <t>Sünikon</t>
  </si>
  <si>
    <t>Weiach</t>
  </si>
  <si>
    <t>Bäretswil</t>
  </si>
  <si>
    <t>Adetswil</t>
  </si>
  <si>
    <t>Bubikon</t>
  </si>
  <si>
    <t>Wolfhausen</t>
  </si>
  <si>
    <t>Tann</t>
  </si>
  <si>
    <t>Dürnten</t>
  </si>
  <si>
    <t>Steg im Tösstal</t>
  </si>
  <si>
    <t>Fischenthal</t>
  </si>
  <si>
    <t>Gibswil</t>
  </si>
  <si>
    <t>Bertschikon (Gossau ZH)</t>
  </si>
  <si>
    <t>Gossau (ZH)</t>
  </si>
  <si>
    <t>Grüt (Gossau ZH)</t>
  </si>
  <si>
    <t>Gossau ZH</t>
  </si>
  <si>
    <t>Ottikon (Gossau ZH)</t>
  </si>
  <si>
    <t>Grüningen</t>
  </si>
  <si>
    <t>Hinwil</t>
  </si>
  <si>
    <t>Wernetshausen</t>
  </si>
  <si>
    <t>Rüti ZH</t>
  </si>
  <si>
    <t>Rüti (ZH)</t>
  </si>
  <si>
    <t>Aathal-Seegräben</t>
  </si>
  <si>
    <t>Seegräben</t>
  </si>
  <si>
    <t>Wald ZH</t>
  </si>
  <si>
    <t>Wald (ZH)</t>
  </si>
  <si>
    <t>Laupen ZH</t>
  </si>
  <si>
    <t>Wetzikon ZH</t>
  </si>
  <si>
    <t>Wetzikon (ZH)</t>
  </si>
  <si>
    <t>Adliswil</t>
  </si>
  <si>
    <t>Kilchberg ZH</t>
  </si>
  <si>
    <t>Kilchberg (ZH)</t>
  </si>
  <si>
    <t>Langnau am Albis</t>
  </si>
  <si>
    <t>Oberrieden</t>
  </si>
  <si>
    <t>Richterswil</t>
  </si>
  <si>
    <t>Samstagern</t>
  </si>
  <si>
    <t>Rüschlikon</t>
  </si>
  <si>
    <t>Gattikon</t>
  </si>
  <si>
    <t>Thalwil</t>
  </si>
  <si>
    <t>Erlenbach ZH</t>
  </si>
  <si>
    <t>Erlenbach (ZH)</t>
  </si>
  <si>
    <t>Herrliberg</t>
  </si>
  <si>
    <t>Hombrechtikon</t>
  </si>
  <si>
    <t>Feldbach</t>
  </si>
  <si>
    <t>Forch</t>
  </si>
  <si>
    <t>Küsnacht (ZH)</t>
  </si>
  <si>
    <t>Küsnacht ZH</t>
  </si>
  <si>
    <t>Männedorf</t>
  </si>
  <si>
    <t>Meilen</t>
  </si>
  <si>
    <t>Oetwil am See</t>
  </si>
  <si>
    <t>Stäfa</t>
  </si>
  <si>
    <t>Uerikon</t>
  </si>
  <si>
    <t>Uetikon am See</t>
  </si>
  <si>
    <t>Zumikon</t>
  </si>
  <si>
    <t>Zollikerberg</t>
  </si>
  <si>
    <t>Zollikon</t>
  </si>
  <si>
    <t>Fehraltorf</t>
  </si>
  <si>
    <t>Hittnau</t>
  </si>
  <si>
    <t>Kemptthal</t>
  </si>
  <si>
    <t>Lindau</t>
  </si>
  <si>
    <t>Grafstal</t>
  </si>
  <si>
    <t>Winterberg ZH</t>
  </si>
  <si>
    <t>Tagelswangen</t>
  </si>
  <si>
    <t>Pfäffikon ZH</t>
  </si>
  <si>
    <t>Pfäffikon</t>
  </si>
  <si>
    <t>Auslikon</t>
  </si>
  <si>
    <t>Madetswil</t>
  </si>
  <si>
    <t>Russikon</t>
  </si>
  <si>
    <t>Gündisau</t>
  </si>
  <si>
    <t>Rumlikon</t>
  </si>
  <si>
    <t>Weisslingen</t>
  </si>
  <si>
    <t>Neschwil</t>
  </si>
  <si>
    <t>Theilingen</t>
  </si>
  <si>
    <t>Wila</t>
  </si>
  <si>
    <t>Wildberg</t>
  </si>
  <si>
    <t>Schalchen</t>
  </si>
  <si>
    <t>Ehrikon</t>
  </si>
  <si>
    <t>Gockhausen</t>
  </si>
  <si>
    <t>Dübendorf</t>
  </si>
  <si>
    <t>Egg b. Zürich</t>
  </si>
  <si>
    <t>Egg</t>
  </si>
  <si>
    <t>Hinteregg</t>
  </si>
  <si>
    <t>Esslingen</t>
  </si>
  <si>
    <t>Fällanden</t>
  </si>
  <si>
    <t>Pfaffhausen</t>
  </si>
  <si>
    <t>Benglen</t>
  </si>
  <si>
    <t>Greifensee</t>
  </si>
  <si>
    <t>Binz</t>
  </si>
  <si>
    <t>Maur</t>
  </si>
  <si>
    <t>Ebmatingen</t>
  </si>
  <si>
    <t>Mönchaltorf</t>
  </si>
  <si>
    <t>Schwerzenbach</t>
  </si>
  <si>
    <t>Nänikon</t>
  </si>
  <si>
    <t>Uster</t>
  </si>
  <si>
    <t>Sulzbach</t>
  </si>
  <si>
    <t>Wermatswil</t>
  </si>
  <si>
    <t>Freudwil</t>
  </si>
  <si>
    <t>Riedikon</t>
  </si>
  <si>
    <t>Volketswil</t>
  </si>
  <si>
    <t>Gutenswil</t>
  </si>
  <si>
    <t>Brüttisellen</t>
  </si>
  <si>
    <t>Wangen-Brüttisellen</t>
  </si>
  <si>
    <t>Wangen b. Dübendorf</t>
  </si>
  <si>
    <t>Altikon</t>
  </si>
  <si>
    <t>Brütten</t>
  </si>
  <si>
    <t>Rutschwil (Dägerlen)</t>
  </si>
  <si>
    <t>Dägerlen</t>
  </si>
  <si>
    <t>Oberwil (Dägerlen)</t>
  </si>
  <si>
    <t>Berg (Dägerlen)</t>
  </si>
  <si>
    <t>Bänk (Dägerlen)</t>
  </si>
  <si>
    <t>Dättlikon</t>
  </si>
  <si>
    <t>Dinhard</t>
  </si>
  <si>
    <t>Ellikon an der Thur</t>
  </si>
  <si>
    <t>Elsau</t>
  </si>
  <si>
    <t>Hagenbuch ZH</t>
  </si>
  <si>
    <t>Hagenbuch</t>
  </si>
  <si>
    <t>Hettlingen</t>
  </si>
  <si>
    <t>Aesch (Neftenbach)</t>
  </si>
  <si>
    <t>Neftenbach</t>
  </si>
  <si>
    <t>Riet (Neftenbach)</t>
  </si>
  <si>
    <t>Hünikon (Neftenbach)</t>
  </si>
  <si>
    <t>Pfungen</t>
  </si>
  <si>
    <t>Rickenbach ZH</t>
  </si>
  <si>
    <t>Rickenbach (ZH)</t>
  </si>
  <si>
    <t>Rickenbach Sulz</t>
  </si>
  <si>
    <t>Schlatt ZH</t>
  </si>
  <si>
    <t>Schlatt (ZH)</t>
  </si>
  <si>
    <t>Seuzach</t>
  </si>
  <si>
    <t>Turbenthal</t>
  </si>
  <si>
    <t>Schmidrüti</t>
  </si>
  <si>
    <t>Ricketwil (Winterthur)</t>
  </si>
  <si>
    <t>Winterthur</t>
  </si>
  <si>
    <t>Reutlingen (Winterthur)</t>
  </si>
  <si>
    <t>Stadel (Winterthur)</t>
  </si>
  <si>
    <t>Sennhof (Winterthur)</t>
  </si>
  <si>
    <t>Kollbrunn</t>
  </si>
  <si>
    <t>Zell (ZH)</t>
  </si>
  <si>
    <t>Rikon im Tösstal</t>
  </si>
  <si>
    <t>Zell ZH</t>
  </si>
  <si>
    <t>Rämismühle</t>
  </si>
  <si>
    <t>Aesch ZH</t>
  </si>
  <si>
    <t>Aesch (ZH)</t>
  </si>
  <si>
    <t>Birmensdorf ZH</t>
  </si>
  <si>
    <t>Birmensdorf (ZH)</t>
  </si>
  <si>
    <t>Dietikon</t>
  </si>
  <si>
    <t>Fahrweid</t>
  </si>
  <si>
    <t>Geroldswil</t>
  </si>
  <si>
    <t>Oberengstringen</t>
  </si>
  <si>
    <t>Oetwil an der Limmat</t>
  </si>
  <si>
    <t>Schlieren</t>
  </si>
  <si>
    <t>Uitikon Waldegg</t>
  </si>
  <si>
    <t>Uitikon</t>
  </si>
  <si>
    <t>Unterengstringen</t>
  </si>
  <si>
    <t>Urdorf</t>
  </si>
  <si>
    <t>Weiningen ZH</t>
  </si>
  <si>
    <t>Weiningen (ZH)</t>
  </si>
  <si>
    <t>Zürich</t>
  </si>
  <si>
    <t>Waltalingen</t>
  </si>
  <si>
    <t>Stammheim</t>
  </si>
  <si>
    <t>Guntalingen</t>
  </si>
  <si>
    <t>Unterstammheim</t>
  </si>
  <si>
    <t>Oberstammheim</t>
  </si>
  <si>
    <t>Wilen b. Neunforn</t>
  </si>
  <si>
    <t>Au ZH</t>
  </si>
  <si>
    <t>Wädenswil</t>
  </si>
  <si>
    <t>Schönenberg ZH</t>
  </si>
  <si>
    <t>Hütten</t>
  </si>
  <si>
    <t>Elgg</t>
  </si>
  <si>
    <t>Hofstetten ZH</t>
  </si>
  <si>
    <t>Dickbuch</t>
  </si>
  <si>
    <t>Sihlbrugg Station</t>
  </si>
  <si>
    <t>Horgen</t>
  </si>
  <si>
    <t>Sihlwald</t>
  </si>
  <si>
    <t>Horgenberg</t>
  </si>
  <si>
    <t>Hirzel</t>
  </si>
  <si>
    <t>Effretikon</t>
  </si>
  <si>
    <t>Illnau-Effretikon</t>
  </si>
  <si>
    <t>Ottikon b. Kemptthal</t>
  </si>
  <si>
    <t>Illnau</t>
  </si>
  <si>
    <t>Agasul</t>
  </si>
  <si>
    <t>Kyburg</t>
  </si>
  <si>
    <t>Saland</t>
  </si>
  <si>
    <t>Bauma</t>
  </si>
  <si>
    <t>Sternenberg</t>
  </si>
  <si>
    <t>Wiesendangen</t>
  </si>
  <si>
    <t>Bertschikon</t>
  </si>
  <si>
    <t>Gundetswil</t>
  </si>
  <si>
    <t>Kefikon ZH</t>
  </si>
  <si>
    <t>Attikon</t>
  </si>
  <si>
    <t>Menzengrüt</t>
  </si>
  <si>
    <t>Aarberg</t>
  </si>
  <si>
    <t>BE</t>
  </si>
  <si>
    <t>Bargen BE</t>
  </si>
  <si>
    <t>Bargen (BE)</t>
  </si>
  <si>
    <t>Grossaffoltern</t>
  </si>
  <si>
    <t>Ammerzwil BE</t>
  </si>
  <si>
    <t>Suberg</t>
  </si>
  <si>
    <t>Golaten</t>
  </si>
  <si>
    <t>Kallnach</t>
  </si>
  <si>
    <t>Niederried b. Kallnach</t>
  </si>
  <si>
    <t>Kappelen</t>
  </si>
  <si>
    <t>Lyss</t>
  </si>
  <si>
    <t>Busswil BE</t>
  </si>
  <si>
    <t>Ortschwaben</t>
  </si>
  <si>
    <t>Meikirch</t>
  </si>
  <si>
    <t>Wahlendorf</t>
  </si>
  <si>
    <t>Detligen</t>
  </si>
  <si>
    <t>Radelfingen</t>
  </si>
  <si>
    <t>Radelfingen b. Aarberg</t>
  </si>
  <si>
    <t>Lätti</t>
  </si>
  <si>
    <t>Rapperswil (BE)</t>
  </si>
  <si>
    <t>Ruppoldsried</t>
  </si>
  <si>
    <t>Rapperswil BE</t>
  </si>
  <si>
    <t>Dieterswil</t>
  </si>
  <si>
    <t>Bangerten b. Dieterswil</t>
  </si>
  <si>
    <t>Seewil</t>
  </si>
  <si>
    <t>Schüpfen</t>
  </si>
  <si>
    <t>Frieswil</t>
  </si>
  <si>
    <t>Seedorf (BE)</t>
  </si>
  <si>
    <t>Wiler b. Seedorf</t>
  </si>
  <si>
    <t>Seedorf BE</t>
  </si>
  <si>
    <t>Lobsigen</t>
  </si>
  <si>
    <t>Aarwangen</t>
  </si>
  <si>
    <t>Auswil</t>
  </si>
  <si>
    <t>Bannwil</t>
  </si>
  <si>
    <t>Bleienbach</t>
  </si>
  <si>
    <t>Busswil b. Melchnau</t>
  </si>
  <si>
    <t>Busswil bei Melchnau</t>
  </si>
  <si>
    <t>Gondiswil</t>
  </si>
  <si>
    <t>Langenthal</t>
  </si>
  <si>
    <t>Untersteckholz</t>
  </si>
  <si>
    <t>Obersteckholz</t>
  </si>
  <si>
    <t>Lotzwil</t>
  </si>
  <si>
    <t>Gutenburg</t>
  </si>
  <si>
    <t>Madiswil</t>
  </si>
  <si>
    <t>Leimiswil</t>
  </si>
  <si>
    <t>Kleindietwil</t>
  </si>
  <si>
    <t>Melchnau</t>
  </si>
  <si>
    <t>Oeschenbach</t>
  </si>
  <si>
    <t>Reisiswil</t>
  </si>
  <si>
    <t>Roggwil BE</t>
  </si>
  <si>
    <t>Roggwil (BE)</t>
  </si>
  <si>
    <t>Rohrbach</t>
  </si>
  <si>
    <t>Rohrbachgraben</t>
  </si>
  <si>
    <t>Rütschelen</t>
  </si>
  <si>
    <t>Schwarzhäusern</t>
  </si>
  <si>
    <t>Bützberg</t>
  </si>
  <si>
    <t>Thunstetten</t>
  </si>
  <si>
    <t>Ursenbach</t>
  </si>
  <si>
    <t>Wynau</t>
  </si>
  <si>
    <t>Bolligen</t>
  </si>
  <si>
    <t>Bremgarten b. Bern</t>
  </si>
  <si>
    <t>Bremgarten bei Bern</t>
  </si>
  <si>
    <t>Herrenschwanden</t>
  </si>
  <si>
    <t>Kirchlindach</t>
  </si>
  <si>
    <t>Wabern</t>
  </si>
  <si>
    <t>Köniz</t>
  </si>
  <si>
    <t>Spiegel b. Bern</t>
  </si>
  <si>
    <t>Liebefeld</t>
  </si>
  <si>
    <t>Schliern b. Köniz</t>
  </si>
  <si>
    <t>Gasel</t>
  </si>
  <si>
    <t>Niederscherli</t>
  </si>
  <si>
    <t>Mittelhäusern</t>
  </si>
  <si>
    <t>Niederwangen b. Bern</t>
  </si>
  <si>
    <t>Oberwangen b. Bern</t>
  </si>
  <si>
    <t>Thörishaus</t>
  </si>
  <si>
    <t>Gümligen</t>
  </si>
  <si>
    <t>Muri bei Bern</t>
  </si>
  <si>
    <t>Muri b. Bern</t>
  </si>
  <si>
    <t>Oberbalm</t>
  </si>
  <si>
    <t>Stettlen</t>
  </si>
  <si>
    <t>Boll</t>
  </si>
  <si>
    <t>Vechigen</t>
  </si>
  <si>
    <t>Utzigen</t>
  </si>
  <si>
    <t>Hinterkappelen</t>
  </si>
  <si>
    <t>Wohlen bei Bern</t>
  </si>
  <si>
    <t>Wohlen b. Bern</t>
  </si>
  <si>
    <t>Murzelen</t>
  </si>
  <si>
    <t>Uettligen</t>
  </si>
  <si>
    <t>Innerberg</t>
  </si>
  <si>
    <t>Säriswil</t>
  </si>
  <si>
    <t>Zollikofen</t>
  </si>
  <si>
    <t>Worblaufen</t>
  </si>
  <si>
    <t>Ittigen</t>
  </si>
  <si>
    <t>Ostermundigen</t>
  </si>
  <si>
    <t>Biel/Bienne</t>
  </si>
  <si>
    <t>Magglingen/Macolin</t>
  </si>
  <si>
    <t>Evilard</t>
  </si>
  <si>
    <t>Arch</t>
  </si>
  <si>
    <t>Büetigen</t>
  </si>
  <si>
    <t>Büren an der Aare</t>
  </si>
  <si>
    <t>Diessbach b. Büren</t>
  </si>
  <si>
    <t>Diessbach bei Büren</t>
  </si>
  <si>
    <t>Dotzigen</t>
  </si>
  <si>
    <t>Lengnau BE</t>
  </si>
  <si>
    <t>Lengnau (BE)</t>
  </si>
  <si>
    <t>Leuzigen</t>
  </si>
  <si>
    <t>Meienried</t>
  </si>
  <si>
    <t>Meinisberg</t>
  </si>
  <si>
    <t>Oberwil b. Büren</t>
  </si>
  <si>
    <t>Oberwil bei Büren</t>
  </si>
  <si>
    <t>Pieterlen</t>
  </si>
  <si>
    <t>Rüti b. Büren</t>
  </si>
  <si>
    <t>Rüti bei Büren</t>
  </si>
  <si>
    <t>Wengi b. Büren</t>
  </si>
  <si>
    <t>Wengi</t>
  </si>
  <si>
    <t>Aefligen</t>
  </si>
  <si>
    <t>Alchenstorf</t>
  </si>
  <si>
    <t>Bäriswil BE</t>
  </si>
  <si>
    <t>Bäriswil</t>
  </si>
  <si>
    <t>Burgdorf</t>
  </si>
  <si>
    <t>Ersigen</t>
  </si>
  <si>
    <t>Niederösch</t>
  </si>
  <si>
    <t>Oberösch</t>
  </si>
  <si>
    <t>Hasle b. Burgdorf</t>
  </si>
  <si>
    <t>Hasle bei Burgdorf</t>
  </si>
  <si>
    <t>Schafhausen im Emmental</t>
  </si>
  <si>
    <t>Biembach im Emmental</t>
  </si>
  <si>
    <t>Heimiswil</t>
  </si>
  <si>
    <t>Kaltacker</t>
  </si>
  <si>
    <t>Hellsau</t>
  </si>
  <si>
    <t>Hindelbank</t>
  </si>
  <si>
    <t>Mötschwil</t>
  </si>
  <si>
    <t>Höchstetten</t>
  </si>
  <si>
    <t>Kernenried</t>
  </si>
  <si>
    <t>Kirchberg BE</t>
  </si>
  <si>
    <t>Kirchberg (BE)</t>
  </si>
  <si>
    <t>Koppigen</t>
  </si>
  <si>
    <t>Hettiswil b. Hindelbank</t>
  </si>
  <si>
    <t>Krauchthal</t>
  </si>
  <si>
    <t>Lyssach</t>
  </si>
  <si>
    <t>Oberburg</t>
  </si>
  <si>
    <t>Rüdtligen</t>
  </si>
  <si>
    <t>Rüdtligen-Alchenflüh</t>
  </si>
  <si>
    <t>Alchenflüh</t>
  </si>
  <si>
    <t>Rumendingen</t>
  </si>
  <si>
    <t>Rüti b. Lyssach</t>
  </si>
  <si>
    <t>Rüti bei Lyssach</t>
  </si>
  <si>
    <t>Willadingen</t>
  </si>
  <si>
    <t>Wynigen</t>
  </si>
  <si>
    <t>Rüedisbach</t>
  </si>
  <si>
    <t>Corgémont</t>
  </si>
  <si>
    <t>Mont-Crosin</t>
  </si>
  <si>
    <t>Cormoret</t>
  </si>
  <si>
    <t>Cortébert</t>
  </si>
  <si>
    <t>Montagne-de-Courtelary</t>
  </si>
  <si>
    <t>Courtelary</t>
  </si>
  <si>
    <t>La Ferrière</t>
  </si>
  <si>
    <t>Mont-Tramelan</t>
  </si>
  <si>
    <t>Orvin</t>
  </si>
  <si>
    <t>Les Prés-d'Orvin</t>
  </si>
  <si>
    <t>Renan BE</t>
  </si>
  <si>
    <t>Renan (BE)</t>
  </si>
  <si>
    <t>Romont BE</t>
  </si>
  <si>
    <t>Romont (BE)</t>
  </si>
  <si>
    <t>St-Imier</t>
  </si>
  <si>
    <t>Saint-Imier</t>
  </si>
  <si>
    <t>Mont-Soleil</t>
  </si>
  <si>
    <t>Les Pontins</t>
  </si>
  <si>
    <t>Sonceboz-Sombeval</t>
  </si>
  <si>
    <t>Sonvilier</t>
  </si>
  <si>
    <t>Montagne-de-Sonvilier</t>
  </si>
  <si>
    <t>Tramelan</t>
  </si>
  <si>
    <t>Les Reussilles</t>
  </si>
  <si>
    <t>Villeret</t>
  </si>
  <si>
    <t>Frinvillier</t>
  </si>
  <si>
    <t>Sauge</t>
  </si>
  <si>
    <t>Plagne</t>
  </si>
  <si>
    <t>Vauffelin</t>
  </si>
  <si>
    <t>Péry</t>
  </si>
  <si>
    <t>Péry-La Heutte</t>
  </si>
  <si>
    <t>La Heutte</t>
  </si>
  <si>
    <t>Brüttelen</t>
  </si>
  <si>
    <t>Erlach</t>
  </si>
  <si>
    <t>Finsterhennen</t>
  </si>
  <si>
    <t>Gals</t>
  </si>
  <si>
    <t>Gampelen</t>
  </si>
  <si>
    <t>Ins</t>
  </si>
  <si>
    <t>Lüscherz</t>
  </si>
  <si>
    <t>Müntschemier</t>
  </si>
  <si>
    <t>Siselen BE</t>
  </si>
  <si>
    <t>Siselen</t>
  </si>
  <si>
    <t>Treiten</t>
  </si>
  <si>
    <t>Tschugg</t>
  </si>
  <si>
    <t>Vinelz</t>
  </si>
  <si>
    <t>Bätterkinden</t>
  </si>
  <si>
    <t>Kräiligen</t>
  </si>
  <si>
    <t>Deisswil b. Münchenbuchsee</t>
  </si>
  <si>
    <t>Deisswil bei Münchenbuchsee</t>
  </si>
  <si>
    <t>Diemerswil</t>
  </si>
  <si>
    <t>Etzelkofen</t>
  </si>
  <si>
    <t>Fraubrunnen</t>
  </si>
  <si>
    <t>Grafenried</t>
  </si>
  <si>
    <t>Zauggenried</t>
  </si>
  <si>
    <t>Büren zum Hof</t>
  </si>
  <si>
    <t>Schalunen</t>
  </si>
  <si>
    <t>Limpach</t>
  </si>
  <si>
    <t>Mülchi</t>
  </si>
  <si>
    <t>Jegenstorf</t>
  </si>
  <si>
    <t>Münchringen</t>
  </si>
  <si>
    <t>Ballmoos</t>
  </si>
  <si>
    <t>Scheunen</t>
  </si>
  <si>
    <t>Iffwil</t>
  </si>
  <si>
    <t>Mattstetten</t>
  </si>
  <si>
    <t>Moosseedorf</t>
  </si>
  <si>
    <t>Münchenbuchsee</t>
  </si>
  <si>
    <t>Urtenen-Schönbühl</t>
  </si>
  <si>
    <t>Utzenstorf</t>
  </si>
  <si>
    <t>Wiggiswil</t>
  </si>
  <si>
    <t>Wiler b. Utzenstorf</t>
  </si>
  <si>
    <t>Wiler bei Utzenstorf</t>
  </si>
  <si>
    <t>Zielebach</t>
  </si>
  <si>
    <t>Zuzwil BE</t>
  </si>
  <si>
    <t>Zuzwil (BE)</t>
  </si>
  <si>
    <t>Adelboden</t>
  </si>
  <si>
    <t>Aeschi b. Spiez</t>
  </si>
  <si>
    <t>Aeschi bei Spiez</t>
  </si>
  <si>
    <t>Aeschiried</t>
  </si>
  <si>
    <t>Emdthal</t>
  </si>
  <si>
    <t>Frutigen</t>
  </si>
  <si>
    <t>Ried (Frutigen)</t>
  </si>
  <si>
    <t>Achseten</t>
  </si>
  <si>
    <t>Kandergrund</t>
  </si>
  <si>
    <t>Blausee-Mitholz</t>
  </si>
  <si>
    <t>Kandersteg</t>
  </si>
  <si>
    <t>Krattigen</t>
  </si>
  <si>
    <t>Mülenen</t>
  </si>
  <si>
    <t>Reichenbach im Kandertal</t>
  </si>
  <si>
    <t>Wengi b. Frutigen</t>
  </si>
  <si>
    <t>Scharnachtal</t>
  </si>
  <si>
    <t>Kiental</t>
  </si>
  <si>
    <t>Sundlauenen</t>
  </si>
  <si>
    <t>Beatenberg</t>
  </si>
  <si>
    <t>Bönigen b. Interlaken</t>
  </si>
  <si>
    <t>Bönigen</t>
  </si>
  <si>
    <t>Brienz BE</t>
  </si>
  <si>
    <t>Brienz (BE)</t>
  </si>
  <si>
    <t>Axalp</t>
  </si>
  <si>
    <t>Brienzwiler</t>
  </si>
  <si>
    <t>Därligen</t>
  </si>
  <si>
    <t>Burglauenen</t>
  </si>
  <si>
    <t>Grindelwald</t>
  </si>
  <si>
    <t>Gsteigwiler</t>
  </si>
  <si>
    <t>Wilderswil</t>
  </si>
  <si>
    <t>Gündlischwand</t>
  </si>
  <si>
    <t>Zweilütschinen</t>
  </si>
  <si>
    <t>Habkern</t>
  </si>
  <si>
    <t>Hofstetten b. Brienz</t>
  </si>
  <si>
    <t>Hofstetten bei Brienz</t>
  </si>
  <si>
    <t>Interlaken</t>
  </si>
  <si>
    <t>Iseltwald</t>
  </si>
  <si>
    <t>Lauterbrunnen</t>
  </si>
  <si>
    <t>Isenfluh</t>
  </si>
  <si>
    <t>Wengen</t>
  </si>
  <si>
    <t>Kleine Scheidegg</t>
  </si>
  <si>
    <t>Eigergletscher</t>
  </si>
  <si>
    <t>Stechelberg</t>
  </si>
  <si>
    <t>Mürren</t>
  </si>
  <si>
    <t>Gimmelwald</t>
  </si>
  <si>
    <t>Leissigen</t>
  </si>
  <si>
    <t>Lütschental</t>
  </si>
  <si>
    <t>Matten b. Interlaken</t>
  </si>
  <si>
    <t>Matten bei Interlaken</t>
  </si>
  <si>
    <t>Niederried b. Interlaken</t>
  </si>
  <si>
    <t>Niederried bei Interlaken</t>
  </si>
  <si>
    <t>Oberried am Brienzersee</t>
  </si>
  <si>
    <t>Goldswil b. Interlaken</t>
  </si>
  <si>
    <t>Ringgenberg (BE)</t>
  </si>
  <si>
    <t>Ringgenberg BE</t>
  </si>
  <si>
    <t>Saxeten</t>
  </si>
  <si>
    <t>Schwanden b. Brienz</t>
  </si>
  <si>
    <t>Schwanden bei Brienz</t>
  </si>
  <si>
    <t>Unterseen</t>
  </si>
  <si>
    <t>Arni BE</t>
  </si>
  <si>
    <t>Arni (BE)</t>
  </si>
  <si>
    <t>Biglen</t>
  </si>
  <si>
    <t>Bowil</t>
  </si>
  <si>
    <t>Brenzikofen</t>
  </si>
  <si>
    <t>Freimettigen</t>
  </si>
  <si>
    <t>Schlosswil</t>
  </si>
  <si>
    <t>Grosshöchstetten</t>
  </si>
  <si>
    <t>Häutligen</t>
  </si>
  <si>
    <t>Herbligen</t>
  </si>
  <si>
    <t>Kiesen</t>
  </si>
  <si>
    <t>Gysenstein</t>
  </si>
  <si>
    <t>Konolfingen</t>
  </si>
  <si>
    <t>Obergoldbach</t>
  </si>
  <si>
    <t>Landiswil</t>
  </si>
  <si>
    <t>Linden</t>
  </si>
  <si>
    <t>Mirchel</t>
  </si>
  <si>
    <t>Trimstein</t>
  </si>
  <si>
    <t>Münsingen</t>
  </si>
  <si>
    <t>Tägertschi</t>
  </si>
  <si>
    <t>Niederhünigen</t>
  </si>
  <si>
    <t>Oberdiessbach</t>
  </si>
  <si>
    <t>Aeschlen b. Oberdiessbach</t>
  </si>
  <si>
    <t>Bleiken b. Oberdiessbach</t>
  </si>
  <si>
    <t>Oberthal</t>
  </si>
  <si>
    <t>Oppligen</t>
  </si>
  <si>
    <t>Rubigen</t>
  </si>
  <si>
    <t>Walkringen</t>
  </si>
  <si>
    <t>Bigenthal</t>
  </si>
  <si>
    <t>Rüfenacht BE</t>
  </si>
  <si>
    <t>Worb</t>
  </si>
  <si>
    <t>Vielbringen b. Worb</t>
  </si>
  <si>
    <t>Enggistein</t>
  </si>
  <si>
    <t>Richigen</t>
  </si>
  <si>
    <t>Zäziwil</t>
  </si>
  <si>
    <t>Oberhünigen</t>
  </si>
  <si>
    <t>Allmendingen b. Bern</t>
  </si>
  <si>
    <t>Allmendingen</t>
  </si>
  <si>
    <t>Wichtrach</t>
  </si>
  <si>
    <t>Rizenbach</t>
  </si>
  <si>
    <t>Ferenbalm</t>
  </si>
  <si>
    <t>Biberen</t>
  </si>
  <si>
    <t>Gammen</t>
  </si>
  <si>
    <t>Frauenkappelen</t>
  </si>
  <si>
    <t>Gurbrü</t>
  </si>
  <si>
    <t>Kriechenwil</t>
  </si>
  <si>
    <t>Laupen BE</t>
  </si>
  <si>
    <t>Laupen</t>
  </si>
  <si>
    <t>Mühleberg</t>
  </si>
  <si>
    <t>Rosshäusern</t>
  </si>
  <si>
    <t>Gümmenen</t>
  </si>
  <si>
    <t>Münchenwiler</t>
  </si>
  <si>
    <t>Neuenegg</t>
  </si>
  <si>
    <t>Wileroltigen</t>
  </si>
  <si>
    <t>Belprahon</t>
  </si>
  <si>
    <t>Champoz</t>
  </si>
  <si>
    <t>Corcelles BE</t>
  </si>
  <si>
    <t>Corcelles (BE)</t>
  </si>
  <si>
    <t>Court</t>
  </si>
  <si>
    <t>Crémines</t>
  </si>
  <si>
    <t>Eschert</t>
  </si>
  <si>
    <t>Grandval</t>
  </si>
  <si>
    <t>Loveresse</t>
  </si>
  <si>
    <t>Moutier</t>
  </si>
  <si>
    <t>Perrefitte</t>
  </si>
  <si>
    <t>Reconvilier</t>
  </si>
  <si>
    <t>Roches BE</t>
  </si>
  <si>
    <t>Roches (BE)</t>
  </si>
  <si>
    <t>Le Fuet</t>
  </si>
  <si>
    <t>Saicourt</t>
  </si>
  <si>
    <t>Bellelay</t>
  </si>
  <si>
    <t>Saules BE</t>
  </si>
  <si>
    <t>Saules (BE)</t>
  </si>
  <si>
    <t>Schelten</t>
  </si>
  <si>
    <t>Seehof</t>
  </si>
  <si>
    <t>Sorvilier</t>
  </si>
  <si>
    <t>Tavannes</t>
  </si>
  <si>
    <t>La Tanne</t>
  </si>
  <si>
    <t>Rebévelier</t>
  </si>
  <si>
    <t>Châtelat</t>
  </si>
  <si>
    <t>Petit-Val</t>
  </si>
  <si>
    <t>Monible</t>
  </si>
  <si>
    <t>Sornetan</t>
  </si>
  <si>
    <t>Fornet-Dessous</t>
  </si>
  <si>
    <t>Souboz</t>
  </si>
  <si>
    <t>Les Ecorcheresses</t>
  </si>
  <si>
    <t>Pontenet</t>
  </si>
  <si>
    <t>Valbirse</t>
  </si>
  <si>
    <t>Bévilard</t>
  </si>
  <si>
    <t>Malleray</t>
  </si>
  <si>
    <t>La Neuveville</t>
  </si>
  <si>
    <t>Nods</t>
  </si>
  <si>
    <t>Prêles</t>
  </si>
  <si>
    <t>Plateau de Diesse</t>
  </si>
  <si>
    <t>Lamboing</t>
  </si>
  <si>
    <t>Diesse</t>
  </si>
  <si>
    <t>Aegerten</t>
  </si>
  <si>
    <t>Bellmund</t>
  </si>
  <si>
    <t>Brügg BE</t>
  </si>
  <si>
    <t>Brügg</t>
  </si>
  <si>
    <t>Bühl b. Aarberg</t>
  </si>
  <si>
    <t>Bühl</t>
  </si>
  <si>
    <t>Epsach</t>
  </si>
  <si>
    <t>Hagneck</t>
  </si>
  <si>
    <t>Hermrigen</t>
  </si>
  <si>
    <t>Jens</t>
  </si>
  <si>
    <t>Ipsach</t>
  </si>
  <si>
    <t>Ligerz</t>
  </si>
  <si>
    <t>Merzligen</t>
  </si>
  <si>
    <t>Mörigen</t>
  </si>
  <si>
    <t>Nidau</t>
  </si>
  <si>
    <t>Orpund</t>
  </si>
  <si>
    <t>Port</t>
  </si>
  <si>
    <t>Safnern</t>
  </si>
  <si>
    <t>Scheuren</t>
  </si>
  <si>
    <t>Schwadernau</t>
  </si>
  <si>
    <t>Studen BE</t>
  </si>
  <si>
    <t>Studen (BE)</t>
  </si>
  <si>
    <t>Sutz</t>
  </si>
  <si>
    <t>Sutz-Lattrigen</t>
  </si>
  <si>
    <t>Täuffelen</t>
  </si>
  <si>
    <t>Gerolfingen</t>
  </si>
  <si>
    <t>Walperswil</t>
  </si>
  <si>
    <t>Worben</t>
  </si>
  <si>
    <t>Tüscherz-Alfermée</t>
  </si>
  <si>
    <t>Twann-Tüscherz</t>
  </si>
  <si>
    <t>Twann</t>
  </si>
  <si>
    <t>Därstetten</t>
  </si>
  <si>
    <t>Weissenburg</t>
  </si>
  <si>
    <t>Oey</t>
  </si>
  <si>
    <t>Diemtigen</t>
  </si>
  <si>
    <t>Horboden</t>
  </si>
  <si>
    <t>Zwischenflüh</t>
  </si>
  <si>
    <t>Schwenden im Diemtigtal</t>
  </si>
  <si>
    <t>Latterbach</t>
  </si>
  <si>
    <t>Erlenbach im Simmental</t>
  </si>
  <si>
    <t>Oberwil im Simmental</t>
  </si>
  <si>
    <t>Reutigen</t>
  </si>
  <si>
    <t>Einigen</t>
  </si>
  <si>
    <t>Spiez</t>
  </si>
  <si>
    <t>Hondrich</t>
  </si>
  <si>
    <t>Faulensee</t>
  </si>
  <si>
    <t>Wimmis</t>
  </si>
  <si>
    <t>Höfen b. Thun</t>
  </si>
  <si>
    <t>Stocken-Höfen</t>
  </si>
  <si>
    <t>Niederstocken</t>
  </si>
  <si>
    <t>Oberstocken</t>
  </si>
  <si>
    <t>Guttannen</t>
  </si>
  <si>
    <t>Hasliberg Hohfluh</t>
  </si>
  <si>
    <t>Hasliberg</t>
  </si>
  <si>
    <t>Hasliberg Wasserwendi</t>
  </si>
  <si>
    <t>Hasliberg Goldern</t>
  </si>
  <si>
    <t>Hasliberg Reuti</t>
  </si>
  <si>
    <t>Innertkirchen</t>
  </si>
  <si>
    <t>Gadmen</t>
  </si>
  <si>
    <t>Unterbach BE</t>
  </si>
  <si>
    <t>Meiringen</t>
  </si>
  <si>
    <t>Brünig</t>
  </si>
  <si>
    <t>Rosenlaui</t>
  </si>
  <si>
    <t>Schattenhalb</t>
  </si>
  <si>
    <t>Boltigen</t>
  </si>
  <si>
    <t>Lenk im Simmental</t>
  </si>
  <si>
    <t>Lenk</t>
  </si>
  <si>
    <t>St. Stephan</t>
  </si>
  <si>
    <t>Matten (St. Stephan)</t>
  </si>
  <si>
    <t>Zweisimmen</t>
  </si>
  <si>
    <t>Blankenburg</t>
  </si>
  <si>
    <t>Oeschseite</t>
  </si>
  <si>
    <t>Feutersoey</t>
  </si>
  <si>
    <t>Gsteig</t>
  </si>
  <si>
    <t>Gsteig b. Gstaad</t>
  </si>
  <si>
    <t>Lauenen b. Gstaad</t>
  </si>
  <si>
    <t>Lauenen</t>
  </si>
  <si>
    <t>Abländschen</t>
  </si>
  <si>
    <t>Saanen</t>
  </si>
  <si>
    <t>Saanenmöser</t>
  </si>
  <si>
    <t>Schönried</t>
  </si>
  <si>
    <t>Gstaad</t>
  </si>
  <si>
    <t>Turbach</t>
  </si>
  <si>
    <t>Grund b. Gstaad</t>
  </si>
  <si>
    <t>Sangernboden</t>
  </si>
  <si>
    <t>Guggisberg</t>
  </si>
  <si>
    <t>Riffenmatt</t>
  </si>
  <si>
    <t>Riedstätt</t>
  </si>
  <si>
    <t>Rüschegg Gambach</t>
  </si>
  <si>
    <t>Rüschegg</t>
  </si>
  <si>
    <t>Rüschegg Heubach</t>
  </si>
  <si>
    <t>Lanzenhäusern</t>
  </si>
  <si>
    <t>Schwarzenburg</t>
  </si>
  <si>
    <t>Mamishaus</t>
  </si>
  <si>
    <t>Milken</t>
  </si>
  <si>
    <t>Albligen</t>
  </si>
  <si>
    <t>Belp</t>
  </si>
  <si>
    <t>Belpberg</t>
  </si>
  <si>
    <t>Burgistein</t>
  </si>
  <si>
    <t>Gerzensee</t>
  </si>
  <si>
    <t>Gurzelen</t>
  </si>
  <si>
    <t>Jaberg</t>
  </si>
  <si>
    <t>Kaufdorf</t>
  </si>
  <si>
    <t>Kehrsatz</t>
  </si>
  <si>
    <t>Kirchdorf BE</t>
  </si>
  <si>
    <t>Kirchdorf (BE)</t>
  </si>
  <si>
    <t>Mühledorf BE</t>
  </si>
  <si>
    <t>Noflen BE</t>
  </si>
  <si>
    <t>Gelterfingen</t>
  </si>
  <si>
    <t>Niedermuhlern</t>
  </si>
  <si>
    <t>Rüti b. Riggisberg</t>
  </si>
  <si>
    <t>Riggisberg</t>
  </si>
  <si>
    <t>Rümligen</t>
  </si>
  <si>
    <t>Rüeggisberg</t>
  </si>
  <si>
    <t>Oberbütschel</t>
  </si>
  <si>
    <t>Hinterfultigen</t>
  </si>
  <si>
    <t>Helgisried-Rohrbach</t>
  </si>
  <si>
    <t>Seftigen</t>
  </si>
  <si>
    <t>Toffen</t>
  </si>
  <si>
    <t>Uttigen</t>
  </si>
  <si>
    <t>Wattenwil</t>
  </si>
  <si>
    <t>Zimmerwald</t>
  </si>
  <si>
    <t>Wald (BE)</t>
  </si>
  <si>
    <t>Englisberg</t>
  </si>
  <si>
    <t>Mühlethurnen</t>
  </si>
  <si>
    <t>Thurnen</t>
  </si>
  <si>
    <t>Lohnstorf</t>
  </si>
  <si>
    <t>Kirchenthurnen</t>
  </si>
  <si>
    <t>Aeschau</t>
  </si>
  <si>
    <t>Eggiwil</t>
  </si>
  <si>
    <t>Langnau im Emmental</t>
  </si>
  <si>
    <t>Oberfrittenbach</t>
  </si>
  <si>
    <t>Bärau</t>
  </si>
  <si>
    <t>Gohl</t>
  </si>
  <si>
    <t>Lauperswil</t>
  </si>
  <si>
    <t>Emmenmatt</t>
  </si>
  <si>
    <t>Röthenbach im Emmental</t>
  </si>
  <si>
    <t>Schwanden im Emmental</t>
  </si>
  <si>
    <t>Rüderswil</t>
  </si>
  <si>
    <t>Zollbrück</t>
  </si>
  <si>
    <t>Schangnau</t>
  </si>
  <si>
    <t>Signau</t>
  </si>
  <si>
    <t>Schüpbach</t>
  </si>
  <si>
    <t>Trub</t>
  </si>
  <si>
    <t>Fankhaus (Trub)</t>
  </si>
  <si>
    <t>Trubschachen</t>
  </si>
  <si>
    <t>Amsoldingen</t>
  </si>
  <si>
    <t>Blumenstein</t>
  </si>
  <si>
    <t>Heimenschwand</t>
  </si>
  <si>
    <t>Buchholterberg</t>
  </si>
  <si>
    <t>Eriz</t>
  </si>
  <si>
    <t>Fahrni b. Thun</t>
  </si>
  <si>
    <t>Fahrni</t>
  </si>
  <si>
    <t>Heiligenschwendi</t>
  </si>
  <si>
    <t>Heimberg</t>
  </si>
  <si>
    <t>Hünibach</t>
  </si>
  <si>
    <t>Hilterfingen</t>
  </si>
  <si>
    <t>Homberg b. Thun</t>
  </si>
  <si>
    <t>Homberg</t>
  </si>
  <si>
    <t>Horrenbach</t>
  </si>
  <si>
    <t>Horrenbach-Buchen</t>
  </si>
  <si>
    <t>Buchen BE</t>
  </si>
  <si>
    <t>Oberhofen am Thunersee</t>
  </si>
  <si>
    <t>Pohlern</t>
  </si>
  <si>
    <t>Gunten</t>
  </si>
  <si>
    <t>Sigriswil</t>
  </si>
  <si>
    <t>Tschingel ob Gunten</t>
  </si>
  <si>
    <t>Aeschlen ob Gunten</t>
  </si>
  <si>
    <t>Ringoldswil</t>
  </si>
  <si>
    <t>Schwanden (Sigriswil)</t>
  </si>
  <si>
    <t>Merligen</t>
  </si>
  <si>
    <t>Steffisburg</t>
  </si>
  <si>
    <t>Schwendibach</t>
  </si>
  <si>
    <t>Teuffenthal b. Thun</t>
  </si>
  <si>
    <t>Teuffenthal (BE)</t>
  </si>
  <si>
    <t>Thierachern</t>
  </si>
  <si>
    <t>Thun</t>
  </si>
  <si>
    <t>Goldiwil (Thun)</t>
  </si>
  <si>
    <t>Gwatt (Thun)</t>
  </si>
  <si>
    <t>Uebeschi</t>
  </si>
  <si>
    <t>Uetendorf</t>
  </si>
  <si>
    <t>Unterlangenegg</t>
  </si>
  <si>
    <t>Schwarzenegg</t>
  </si>
  <si>
    <t>Süderen</t>
  </si>
  <si>
    <t>Wachseldorn</t>
  </si>
  <si>
    <t>Zwieselberg</t>
  </si>
  <si>
    <t>Längenbühl</t>
  </si>
  <si>
    <t>Forst-Längenbühl</t>
  </si>
  <si>
    <t>Forst b. Längenbühl</t>
  </si>
  <si>
    <t>Affoltern im Emmental</t>
  </si>
  <si>
    <t>Weier im Emmental</t>
  </si>
  <si>
    <t>Häusernmoos im Emmental</t>
  </si>
  <si>
    <t>Dürrenroth</t>
  </si>
  <si>
    <t>Eriswil</t>
  </si>
  <si>
    <t>Huttwil</t>
  </si>
  <si>
    <t>Schwarzenbach (Huttwil)</t>
  </si>
  <si>
    <t>Lützelflüh-Goldbach</t>
  </si>
  <si>
    <t>Lützelflüh</t>
  </si>
  <si>
    <t>Ramsei</t>
  </si>
  <si>
    <t>Ranflüh</t>
  </si>
  <si>
    <t>Grünenmatt</t>
  </si>
  <si>
    <t>Rüegsauschachen</t>
  </si>
  <si>
    <t>Rüegsau</t>
  </si>
  <si>
    <t>Rüegsbach</t>
  </si>
  <si>
    <t>Sumiswald</t>
  </si>
  <si>
    <t>Grünen</t>
  </si>
  <si>
    <t>Wasen im Emmental</t>
  </si>
  <si>
    <t>Heimisbach</t>
  </si>
  <si>
    <t>Trachselwald</t>
  </si>
  <si>
    <t>Schmidigen-Mühleweg</t>
  </si>
  <si>
    <t>Walterswil (BE)</t>
  </si>
  <si>
    <t>Walterswil BE</t>
  </si>
  <si>
    <t>Wyssachen</t>
  </si>
  <si>
    <t>Attiswil</t>
  </si>
  <si>
    <t>Berken</t>
  </si>
  <si>
    <t>Bettenhausen</t>
  </si>
  <si>
    <t>Bollodingen</t>
  </si>
  <si>
    <t>Farnern</t>
  </si>
  <si>
    <t>Graben</t>
  </si>
  <si>
    <t>Wanzwil</t>
  </si>
  <si>
    <t>Heimenhausen</t>
  </si>
  <si>
    <t>Röthenbach Herzogenbuchsee</t>
  </si>
  <si>
    <t>Herzogenbuchsee</t>
  </si>
  <si>
    <t>Oberönz</t>
  </si>
  <si>
    <t>Inkwil</t>
  </si>
  <si>
    <t>Niederbipp</t>
  </si>
  <si>
    <t>Wolfisberg</t>
  </si>
  <si>
    <t>Niederönz</t>
  </si>
  <si>
    <t>Oberbipp</t>
  </si>
  <si>
    <t>Ochlenberg</t>
  </si>
  <si>
    <t>Oschwand</t>
  </si>
  <si>
    <t>Rumisberg</t>
  </si>
  <si>
    <t>Grasswil</t>
  </si>
  <si>
    <t>Seeberg</t>
  </si>
  <si>
    <t>Riedtwil</t>
  </si>
  <si>
    <t>Hermiswil</t>
  </si>
  <si>
    <t>Thörigen</t>
  </si>
  <si>
    <t>Walliswil b. Niederbipp</t>
  </si>
  <si>
    <t>Walliswil bei Niederbipp</t>
  </si>
  <si>
    <t>Walliswil b. Wangen</t>
  </si>
  <si>
    <t>Walliswil bei Wangen</t>
  </si>
  <si>
    <t>Wangen an der Aare</t>
  </si>
  <si>
    <t>Wangenried</t>
  </si>
  <si>
    <t>Wiedlisbach</t>
  </si>
  <si>
    <t>Doppleschwand</t>
  </si>
  <si>
    <t>LU</t>
  </si>
  <si>
    <t>Entlebuch</t>
  </si>
  <si>
    <t>Rengg</t>
  </si>
  <si>
    <t>Finsterwald b. Entlebuch</t>
  </si>
  <si>
    <t>Ebnet</t>
  </si>
  <si>
    <t>Flühli LU</t>
  </si>
  <si>
    <t>Flühli</t>
  </si>
  <si>
    <t>Sörenberg</t>
  </si>
  <si>
    <t>Hasle LU</t>
  </si>
  <si>
    <t>Hasle (LU)</t>
  </si>
  <si>
    <t>Fontannen b. Wolhusen</t>
  </si>
  <si>
    <t>Romoos</t>
  </si>
  <si>
    <t>Bramboden</t>
  </si>
  <si>
    <t>Schüpfheim</t>
  </si>
  <si>
    <t>Schachen LU</t>
  </si>
  <si>
    <t>Werthenstein</t>
  </si>
  <si>
    <t>Escholzmatt</t>
  </si>
  <si>
    <t>Escholzmatt-Marbach</t>
  </si>
  <si>
    <t>Wiggen</t>
  </si>
  <si>
    <t>Marbach LU</t>
  </si>
  <si>
    <t>Aesch LU</t>
  </si>
  <si>
    <t>Aesch (LU)</t>
  </si>
  <si>
    <t>Ballwil</t>
  </si>
  <si>
    <t>Emmenbrücke</t>
  </si>
  <si>
    <t>Emmen</t>
  </si>
  <si>
    <t>Ermensee</t>
  </si>
  <si>
    <t>Eschenbach LU</t>
  </si>
  <si>
    <t>Eschenbach (LU)</t>
  </si>
  <si>
    <t>Gelfingen</t>
  </si>
  <si>
    <t>Hitzkirch</t>
  </si>
  <si>
    <t>Sulz LU</t>
  </si>
  <si>
    <t>Retschwil</t>
  </si>
  <si>
    <t>Altwis</t>
  </si>
  <si>
    <t>Müswangen</t>
  </si>
  <si>
    <t>Hämikon</t>
  </si>
  <si>
    <t>Mosen</t>
  </si>
  <si>
    <t>Hochdorf</t>
  </si>
  <si>
    <t>Urswil</t>
  </si>
  <si>
    <t>Baldegg</t>
  </si>
  <si>
    <t>Hohenrain</t>
  </si>
  <si>
    <t>Kleinwangen</t>
  </si>
  <si>
    <t>Lieli LU</t>
  </si>
  <si>
    <t>Inwil</t>
  </si>
  <si>
    <t>Rain</t>
  </si>
  <si>
    <t>Römerswil LU</t>
  </si>
  <si>
    <t>Römerswil</t>
  </si>
  <si>
    <t>Herlisberg</t>
  </si>
  <si>
    <t>Rothenburg</t>
  </si>
  <si>
    <t>Schongau</t>
  </si>
  <si>
    <t>Adligenswil</t>
  </si>
  <si>
    <t>Buchrain</t>
  </si>
  <si>
    <t>Perlen</t>
  </si>
  <si>
    <t>Dierikon</t>
  </si>
  <si>
    <t>Ebikon</t>
  </si>
  <si>
    <t>Gisikon</t>
  </si>
  <si>
    <t>Greppen</t>
  </si>
  <si>
    <t>Honau</t>
  </si>
  <si>
    <t>St. Niklausen LU</t>
  </si>
  <si>
    <t>Horw</t>
  </si>
  <si>
    <t>Kastanienbaum</t>
  </si>
  <si>
    <t>Kriens</t>
  </si>
  <si>
    <t>Obernau</t>
  </si>
  <si>
    <t>Luzern</t>
  </si>
  <si>
    <t>Malters</t>
  </si>
  <si>
    <t>Meggen</t>
  </si>
  <si>
    <t>Meierskappel</t>
  </si>
  <si>
    <t>Root</t>
  </si>
  <si>
    <t>Root D4</t>
  </si>
  <si>
    <t>Eigenthal</t>
  </si>
  <si>
    <t>Schwarzenberg</t>
  </si>
  <si>
    <t>Schwarzenberg LU</t>
  </si>
  <si>
    <t>Udligenswil</t>
  </si>
  <si>
    <t>Vitznau</t>
  </si>
  <si>
    <t>Weggis</t>
  </si>
  <si>
    <t>Rigi Kaltbad</t>
  </si>
  <si>
    <t>Neudorf</t>
  </si>
  <si>
    <t>Beromünster</t>
  </si>
  <si>
    <t>Schwarzenbach LU</t>
  </si>
  <si>
    <t>Gunzwil</t>
  </si>
  <si>
    <t>Büron</t>
  </si>
  <si>
    <t>Buttisholz</t>
  </si>
  <si>
    <t>Eich</t>
  </si>
  <si>
    <t>Geuensee</t>
  </si>
  <si>
    <t>Grosswangen</t>
  </si>
  <si>
    <t>Hildisrieden</t>
  </si>
  <si>
    <t>St. Erhard</t>
  </si>
  <si>
    <t>Knutwil</t>
  </si>
  <si>
    <t>Kaltbach</t>
  </si>
  <si>
    <t>Mauensee</t>
  </si>
  <si>
    <t>Hellbühl</t>
  </si>
  <si>
    <t>Neuenkirch</t>
  </si>
  <si>
    <t>Sempach Station</t>
  </si>
  <si>
    <t>Nottwil</t>
  </si>
  <si>
    <t>Oberkirch LU</t>
  </si>
  <si>
    <t>Oberkirch</t>
  </si>
  <si>
    <t>Pfeffikon LU</t>
  </si>
  <si>
    <t>Rickenbach (LU)</t>
  </si>
  <si>
    <t>Rickenbach LU</t>
  </si>
  <si>
    <t>Ruswil</t>
  </si>
  <si>
    <t>Sigigen</t>
  </si>
  <si>
    <t>Schenkon</t>
  </si>
  <si>
    <t>Schlierbach</t>
  </si>
  <si>
    <t>Sempach</t>
  </si>
  <si>
    <t>Sursee</t>
  </si>
  <si>
    <t>Triengen</t>
  </si>
  <si>
    <t>Kulmerau</t>
  </si>
  <si>
    <t>Winikon</t>
  </si>
  <si>
    <t>Wilihof</t>
  </si>
  <si>
    <t>Wolhusen</t>
  </si>
  <si>
    <t>Steinhuserberg</t>
  </si>
  <si>
    <t>Alberswil</t>
  </si>
  <si>
    <t>Altbüron</t>
  </si>
  <si>
    <t>Ebersecken</t>
  </si>
  <si>
    <t>Altishofen</t>
  </si>
  <si>
    <t>Buchs LU</t>
  </si>
  <si>
    <t>Dagmersellen</t>
  </si>
  <si>
    <t>Uffikon</t>
  </si>
  <si>
    <t>Egolzwil</t>
  </si>
  <si>
    <t>Kottwil</t>
  </si>
  <si>
    <t>Ettiswil</t>
  </si>
  <si>
    <t>Fischbach LU</t>
  </si>
  <si>
    <t>Fischbach</t>
  </si>
  <si>
    <t>Grossdietwil</t>
  </si>
  <si>
    <t>Hergiswil b. Willisau</t>
  </si>
  <si>
    <t>Hergiswil bei Willisau</t>
  </si>
  <si>
    <t>Hofstatt</t>
  </si>
  <si>
    <t>Luthern</t>
  </si>
  <si>
    <t>Luthern Bad</t>
  </si>
  <si>
    <t>Menznau</t>
  </si>
  <si>
    <t>Geiss</t>
  </si>
  <si>
    <t>Menzberg</t>
  </si>
  <si>
    <t>Nebikon</t>
  </si>
  <si>
    <t>St. Urban</t>
  </si>
  <si>
    <t>Pfaffnau</t>
  </si>
  <si>
    <t>Reiden</t>
  </si>
  <si>
    <t>Reidermoos</t>
  </si>
  <si>
    <t>Mehlsecken</t>
  </si>
  <si>
    <t>Langnau b. Reiden</t>
  </si>
  <si>
    <t>Richenthal</t>
  </si>
  <si>
    <t>Roggliswil</t>
  </si>
  <si>
    <t>Ohmstal</t>
  </si>
  <si>
    <t>Schötz</t>
  </si>
  <si>
    <t>Ufhusen</t>
  </si>
  <si>
    <t>Wauwil</t>
  </si>
  <si>
    <t>Wikon</t>
  </si>
  <si>
    <t>Hintermoos</t>
  </si>
  <si>
    <t>Zell LU</t>
  </si>
  <si>
    <t>Zell (LU)</t>
  </si>
  <si>
    <t>Hüswil</t>
  </si>
  <si>
    <t>Daiwil</t>
  </si>
  <si>
    <t>Willisau</t>
  </si>
  <si>
    <t>Rohrmatt</t>
  </si>
  <si>
    <t>Gettnau</t>
  </si>
  <si>
    <t>Altdorf UR</t>
  </si>
  <si>
    <t>Altdorf (UR)</t>
  </si>
  <si>
    <t>UR</t>
  </si>
  <si>
    <t>Andermatt</t>
  </si>
  <si>
    <t>Attinghausen</t>
  </si>
  <si>
    <t>Bürglen UR</t>
  </si>
  <si>
    <t>Bürglen (UR)</t>
  </si>
  <si>
    <t>Erstfeld</t>
  </si>
  <si>
    <t>Flüelen</t>
  </si>
  <si>
    <t>Göschenen</t>
  </si>
  <si>
    <t>Intschi</t>
  </si>
  <si>
    <t>Gurtnellen</t>
  </si>
  <si>
    <t>Hospental</t>
  </si>
  <si>
    <t>Isenthal</t>
  </si>
  <si>
    <t>Realp</t>
  </si>
  <si>
    <t>Schattdorf</t>
  </si>
  <si>
    <t>Haldi b. Schattdorf</t>
  </si>
  <si>
    <t>Seedorf UR</t>
  </si>
  <si>
    <t>Seedorf (UR)</t>
  </si>
  <si>
    <t>Bauen</t>
  </si>
  <si>
    <t>Seelisberg</t>
  </si>
  <si>
    <t>Rütli</t>
  </si>
  <si>
    <t>Silenen</t>
  </si>
  <si>
    <t>Amsteg</t>
  </si>
  <si>
    <t>Bristen</t>
  </si>
  <si>
    <t>Sisikon</t>
  </si>
  <si>
    <t>Spiringen</t>
  </si>
  <si>
    <t>Urnerboden</t>
  </si>
  <si>
    <t>Unterschächen</t>
  </si>
  <si>
    <t>Wassen UR</t>
  </si>
  <si>
    <t>Wassen</t>
  </si>
  <si>
    <t>Meien</t>
  </si>
  <si>
    <t>Bennau</t>
  </si>
  <si>
    <t>Einsiedeln</t>
  </si>
  <si>
    <t>SZ</t>
  </si>
  <si>
    <t>Trachslau</t>
  </si>
  <si>
    <t>Gross</t>
  </si>
  <si>
    <t>Euthal</t>
  </si>
  <si>
    <t>Willerzell</t>
  </si>
  <si>
    <t>Egg SZ</t>
  </si>
  <si>
    <t>Rigi Scheidegg</t>
  </si>
  <si>
    <t>Gersau</t>
  </si>
  <si>
    <t>Schindellegi</t>
  </si>
  <si>
    <t>Feusisberg</t>
  </si>
  <si>
    <t>Hurden</t>
  </si>
  <si>
    <t>Freienbach</t>
  </si>
  <si>
    <t>Bäch SZ</t>
  </si>
  <si>
    <t>Pfäffikon SZ</t>
  </si>
  <si>
    <t>Wollerau</t>
  </si>
  <si>
    <t>Wilen b. Wollerau</t>
  </si>
  <si>
    <t>Merlischachen</t>
  </si>
  <si>
    <t>Küssnacht (SZ)</t>
  </si>
  <si>
    <t>Küssnacht am Rigi</t>
  </si>
  <si>
    <t>Immensee</t>
  </si>
  <si>
    <t>Altendorf</t>
  </si>
  <si>
    <t>Galgenen</t>
  </si>
  <si>
    <t>Innerthal</t>
  </si>
  <si>
    <t>Lachen SZ</t>
  </si>
  <si>
    <t>Lachen</t>
  </si>
  <si>
    <t>Reichenburg</t>
  </si>
  <si>
    <t>Siebnen</t>
  </si>
  <si>
    <t>Schübelbach</t>
  </si>
  <si>
    <t>Buttikon SZ</t>
  </si>
  <si>
    <t>Tuggen</t>
  </si>
  <si>
    <t>Vorderthal</t>
  </si>
  <si>
    <t>Wangen SZ</t>
  </si>
  <si>
    <t>Wangen (SZ)</t>
  </si>
  <si>
    <t>Alpthal</t>
  </si>
  <si>
    <t>Goldau</t>
  </si>
  <si>
    <t>Arth</t>
  </si>
  <si>
    <t>Rigi Klösterli</t>
  </si>
  <si>
    <t>Rigi Staffel</t>
  </si>
  <si>
    <t>Rigi Kulm</t>
  </si>
  <si>
    <t>Oberarth</t>
  </si>
  <si>
    <t>Illgau</t>
  </si>
  <si>
    <t>Brunnen</t>
  </si>
  <si>
    <t>Ingenbohl</t>
  </si>
  <si>
    <t>Lauerz</t>
  </si>
  <si>
    <t>Stoos SZ</t>
  </si>
  <si>
    <t>Morschach</t>
  </si>
  <si>
    <t>Muotathal</t>
  </si>
  <si>
    <t>Bisisthal</t>
  </si>
  <si>
    <t>Ried (Muotathal)</t>
  </si>
  <si>
    <t>Oberiberg</t>
  </si>
  <si>
    <t>Riemenstalden</t>
  </si>
  <si>
    <t>Rothenthurm</t>
  </si>
  <si>
    <t>Sattel</t>
  </si>
  <si>
    <t>Seewen SZ</t>
  </si>
  <si>
    <t>Schwyz</t>
  </si>
  <si>
    <t>Rickenbach b. Schwyz</t>
  </si>
  <si>
    <t>Ibach</t>
  </si>
  <si>
    <t>Steinen</t>
  </si>
  <si>
    <t>Steinerberg</t>
  </si>
  <si>
    <t>Unteriberg</t>
  </si>
  <si>
    <t>Studen SZ</t>
  </si>
  <si>
    <t>Pilatus Kulm</t>
  </si>
  <si>
    <t>Alpnach</t>
  </si>
  <si>
    <t>OW</t>
  </si>
  <si>
    <t>Alpnachstad</t>
  </si>
  <si>
    <t>Alpnach Dorf</t>
  </si>
  <si>
    <t>Grafenort</t>
  </si>
  <si>
    <t>Engelberg</t>
  </si>
  <si>
    <t>Giswil</t>
  </si>
  <si>
    <t>Kerns</t>
  </si>
  <si>
    <t>St. Niklausen OW</t>
  </si>
  <si>
    <t>Melchtal</t>
  </si>
  <si>
    <t>Melchsee-Frutt</t>
  </si>
  <si>
    <t>Lungern</t>
  </si>
  <si>
    <t>Bürglen OW</t>
  </si>
  <si>
    <t>Sachseln</t>
  </si>
  <si>
    <t>Flüeli-Ranft</t>
  </si>
  <si>
    <t>Kägiswil</t>
  </si>
  <si>
    <t>Sarnen</t>
  </si>
  <si>
    <t>Ramersberg</t>
  </si>
  <si>
    <t>Wilen (Sarnen)</t>
  </si>
  <si>
    <t>Stalden (Sarnen)</t>
  </si>
  <si>
    <t>Beckenried</t>
  </si>
  <si>
    <t>NW</t>
  </si>
  <si>
    <t>Buochs</t>
  </si>
  <si>
    <t>Dallenwil</t>
  </si>
  <si>
    <t>Wiesenberg</t>
  </si>
  <si>
    <t>Wirzweli</t>
  </si>
  <si>
    <t>Emmetten</t>
  </si>
  <si>
    <t>Bürgenstock</t>
  </si>
  <si>
    <t>Ennetbürgen</t>
  </si>
  <si>
    <t>Ennetmoos</t>
  </si>
  <si>
    <t>Hergiswil NW</t>
  </si>
  <si>
    <t>Hergiswil (NW)</t>
  </si>
  <si>
    <t>Oberdorf NW</t>
  </si>
  <si>
    <t>Oberdorf (NW)</t>
  </si>
  <si>
    <t>Büren NW</t>
  </si>
  <si>
    <t>Niederrickenbach</t>
  </si>
  <si>
    <t>Stans</t>
  </si>
  <si>
    <t>Stansstad</t>
  </si>
  <si>
    <t>Obbürgen</t>
  </si>
  <si>
    <t>Fürigen</t>
  </si>
  <si>
    <t>Kehrsiten</t>
  </si>
  <si>
    <t>Wolfenschiessen</t>
  </si>
  <si>
    <t>Oberrickenbach</t>
  </si>
  <si>
    <t>Näfels</t>
  </si>
  <si>
    <t>Glarus Nord</t>
  </si>
  <si>
    <t>GL</t>
  </si>
  <si>
    <t>Mollis</t>
  </si>
  <si>
    <t>Filzbach</t>
  </si>
  <si>
    <t>Obstalden</t>
  </si>
  <si>
    <t>Bilten</t>
  </si>
  <si>
    <t>Niederurnen</t>
  </si>
  <si>
    <t>Oberurnen</t>
  </si>
  <si>
    <t>Mühlehorn</t>
  </si>
  <si>
    <t>Mitlödi</t>
  </si>
  <si>
    <t>Glarus Süd</t>
  </si>
  <si>
    <t>Schwanden GL</t>
  </si>
  <si>
    <t>Schwändi b. Schwanden</t>
  </si>
  <si>
    <t>Sool</t>
  </si>
  <si>
    <t>Engi</t>
  </si>
  <si>
    <t>Matt</t>
  </si>
  <si>
    <t>Elm</t>
  </si>
  <si>
    <t>Nidfurn</t>
  </si>
  <si>
    <t>Haslen GL</t>
  </si>
  <si>
    <t>Leuggelbach</t>
  </si>
  <si>
    <t>Luchsingen</t>
  </si>
  <si>
    <t>Hätzingen</t>
  </si>
  <si>
    <t>Diesbach GL</t>
  </si>
  <si>
    <t>Betschwanden</t>
  </si>
  <si>
    <t>Rüti GL</t>
  </si>
  <si>
    <t>Linthal</t>
  </si>
  <si>
    <t>Braunwald</t>
  </si>
  <si>
    <t>Glarus</t>
  </si>
  <si>
    <t>Riedern</t>
  </si>
  <si>
    <t>Klöntal</t>
  </si>
  <si>
    <t>Netstal</t>
  </si>
  <si>
    <t>Ennenda</t>
  </si>
  <si>
    <t>Allenwinden</t>
  </si>
  <si>
    <t>Baar</t>
  </si>
  <si>
    <t>ZG</t>
  </si>
  <si>
    <t>Cham</t>
  </si>
  <si>
    <t>Hagendorn</t>
  </si>
  <si>
    <t>Hünenberg</t>
  </si>
  <si>
    <t>Hünenberg See</t>
  </si>
  <si>
    <t>Menzingen</t>
  </si>
  <si>
    <t>Edlibach</t>
  </si>
  <si>
    <t>Finstersee</t>
  </si>
  <si>
    <t>Sihlbrugg</t>
  </si>
  <si>
    <t>Neuheim</t>
  </si>
  <si>
    <t>Oberägeri</t>
  </si>
  <si>
    <t>Alosen</t>
  </si>
  <si>
    <t>Morgarten</t>
  </si>
  <si>
    <t>Rotkreuz</t>
  </si>
  <si>
    <t>Risch</t>
  </si>
  <si>
    <t>Buonas</t>
  </si>
  <si>
    <t>Holzhäusern ZG</t>
  </si>
  <si>
    <t>Steinhausen</t>
  </si>
  <si>
    <t>Unterägeri</t>
  </si>
  <si>
    <t>Neuägeri</t>
  </si>
  <si>
    <t>Walchwil</t>
  </si>
  <si>
    <t>Zug</t>
  </si>
  <si>
    <t>Zugerberg</t>
  </si>
  <si>
    <t>Oberwil b. Zug</t>
  </si>
  <si>
    <t>Châtillon FR</t>
  </si>
  <si>
    <t>Châtillon (FR)</t>
  </si>
  <si>
    <t>FR</t>
  </si>
  <si>
    <t>Cugy FR</t>
  </si>
  <si>
    <t>Cugy (FR)</t>
  </si>
  <si>
    <t>Vesin</t>
  </si>
  <si>
    <t>Fétigny</t>
  </si>
  <si>
    <t>Gletterens</t>
  </si>
  <si>
    <t>Lully FR</t>
  </si>
  <si>
    <t>Lully (FR)</t>
  </si>
  <si>
    <t>Seiry</t>
  </si>
  <si>
    <t>Bollion</t>
  </si>
  <si>
    <t>Ménières</t>
  </si>
  <si>
    <t>Cousset</t>
  </si>
  <si>
    <t>Montagny (FR)</t>
  </si>
  <si>
    <t>Montagny-les-Monts</t>
  </si>
  <si>
    <t>Mannens</t>
  </si>
  <si>
    <t>Grandsivaz</t>
  </si>
  <si>
    <t>Montagny-la-Ville</t>
  </si>
  <si>
    <t>Nuvilly</t>
  </si>
  <si>
    <t>Prévondavaux</t>
  </si>
  <si>
    <t>St-Aubin FR</t>
  </si>
  <si>
    <t>Saint-Aubin (FR)</t>
  </si>
  <si>
    <t>Les Friques</t>
  </si>
  <si>
    <t>Sévaz</t>
  </si>
  <si>
    <t>Villeneuve FR</t>
  </si>
  <si>
    <t>Surpierre</t>
  </si>
  <si>
    <t>Praratoud</t>
  </si>
  <si>
    <t>Cheiry</t>
  </si>
  <si>
    <t>Chapelle (Broye)</t>
  </si>
  <si>
    <t>Vallon</t>
  </si>
  <si>
    <t>Montet (Broye)</t>
  </si>
  <si>
    <t>Les Montets</t>
  </si>
  <si>
    <t>Frasses</t>
  </si>
  <si>
    <t>Aumont</t>
  </si>
  <si>
    <t>Granges-de-Vesin</t>
  </si>
  <si>
    <t>Delley</t>
  </si>
  <si>
    <t>Delley-Portalban</t>
  </si>
  <si>
    <t>Portalban</t>
  </si>
  <si>
    <t>Dompierre FR</t>
  </si>
  <si>
    <t>Belmont-Broye</t>
  </si>
  <si>
    <t>Domdidier</t>
  </si>
  <si>
    <t>Léchelles</t>
  </si>
  <si>
    <t>Chandon</t>
  </si>
  <si>
    <t>Russy</t>
  </si>
  <si>
    <t>Estavayer-le-Lac</t>
  </si>
  <si>
    <t>Estavayer</t>
  </si>
  <si>
    <t>Font</t>
  </si>
  <si>
    <t>Autavaux</t>
  </si>
  <si>
    <t>Forel FR</t>
  </si>
  <si>
    <t>Montbrelloz</t>
  </si>
  <si>
    <t>Vuissens</t>
  </si>
  <si>
    <t>Murist</t>
  </si>
  <si>
    <t>Bussy FR</t>
  </si>
  <si>
    <t>Morens FR</t>
  </si>
  <si>
    <t>Rueyres-les-Prés</t>
  </si>
  <si>
    <t>Cheyres</t>
  </si>
  <si>
    <t>Cheyres-Châbles</t>
  </si>
  <si>
    <t>Châbles FR</t>
  </si>
  <si>
    <t>Auboranges</t>
  </si>
  <si>
    <t>Billens</t>
  </si>
  <si>
    <t>Billens-Hennens</t>
  </si>
  <si>
    <t>Hennens</t>
  </si>
  <si>
    <t>Chapelle (Glâne)</t>
  </si>
  <si>
    <t>Le Châtelard-près-Romont</t>
  </si>
  <si>
    <t>Le Châtelard</t>
  </si>
  <si>
    <t>Châtonnaye</t>
  </si>
  <si>
    <t>Ecublens FR</t>
  </si>
  <si>
    <t>Ecublens (FR)</t>
  </si>
  <si>
    <t>Grangettes-près-Romont</t>
  </si>
  <si>
    <t>Grangettes</t>
  </si>
  <si>
    <t>Massonnens</t>
  </si>
  <si>
    <t>Berlens</t>
  </si>
  <si>
    <t>Mézières (FR)</t>
  </si>
  <si>
    <t>Mézières FR</t>
  </si>
  <si>
    <t>Montet (Glâne)</t>
  </si>
  <si>
    <t>Romont FR</t>
  </si>
  <si>
    <t>Romont (FR)</t>
  </si>
  <si>
    <t>Promasens</t>
  </si>
  <si>
    <t>Rue</t>
  </si>
  <si>
    <t>Gillarens</t>
  </si>
  <si>
    <t>Blessens</t>
  </si>
  <si>
    <t>Chavannes-les-Forts</t>
  </si>
  <si>
    <t>Siviriez</t>
  </si>
  <si>
    <t>Prez-vers-Siviriez</t>
  </si>
  <si>
    <t>Villaraboud</t>
  </si>
  <si>
    <t>Ursy</t>
  </si>
  <si>
    <t>Bionnens</t>
  </si>
  <si>
    <t>Esmonts</t>
  </si>
  <si>
    <t>Vuarmarens</t>
  </si>
  <si>
    <t>Morlens</t>
  </si>
  <si>
    <t>Vauderens</t>
  </si>
  <si>
    <t>Mossel</t>
  </si>
  <si>
    <t>Villariaz</t>
  </si>
  <si>
    <t>Vuisternens-devant-Romont</t>
  </si>
  <si>
    <t>La Neirigue</t>
  </si>
  <si>
    <t>La Magne</t>
  </si>
  <si>
    <t>Estévenens</t>
  </si>
  <si>
    <t>Sommentier</t>
  </si>
  <si>
    <t>Lieffrens</t>
  </si>
  <si>
    <t>La Joux FR</t>
  </si>
  <si>
    <t>Les Ecasseys</t>
  </si>
  <si>
    <t>Villarsiviriaux</t>
  </si>
  <si>
    <t>Villorsonnens</t>
  </si>
  <si>
    <t>Villargiroud</t>
  </si>
  <si>
    <t>Orsonnens</t>
  </si>
  <si>
    <t>Chavannes-sous-Orsonnens</t>
  </si>
  <si>
    <t>Torny-le-Grand</t>
  </si>
  <si>
    <t>Torny</t>
  </si>
  <si>
    <t>Middes</t>
  </si>
  <si>
    <t>Villaz-St-Pierre</t>
  </si>
  <si>
    <t>Villaz</t>
  </si>
  <si>
    <t>Lussy FR</t>
  </si>
  <si>
    <t>Villarimboud</t>
  </si>
  <si>
    <t>Albeuve</t>
  </si>
  <si>
    <t>Haut-Intyamon</t>
  </si>
  <si>
    <t>Lessoc</t>
  </si>
  <si>
    <t>Les Sciernes-d'Albeuve</t>
  </si>
  <si>
    <t>Neirivue</t>
  </si>
  <si>
    <t>Montbovon</t>
  </si>
  <si>
    <t>Gumefens</t>
  </si>
  <si>
    <t>Pont-en-Ogoz</t>
  </si>
  <si>
    <t>Avry-devant-Pont</t>
  </si>
  <si>
    <t>Le Bry</t>
  </si>
  <si>
    <t>Botterens</t>
  </si>
  <si>
    <t>Villarbeney</t>
  </si>
  <si>
    <t>Broc</t>
  </si>
  <si>
    <t>Bulle</t>
  </si>
  <si>
    <t>La Tour-de-Trême</t>
  </si>
  <si>
    <t>Châtel-sur-Montsalvens</t>
  </si>
  <si>
    <t>Corbières</t>
  </si>
  <si>
    <t>Villarvolard</t>
  </si>
  <si>
    <t>Crésuz</t>
  </si>
  <si>
    <t>Echarlens</t>
  </si>
  <si>
    <t>Grandvillard</t>
  </si>
  <si>
    <t>Gruyères</t>
  </si>
  <si>
    <t>Pringy</t>
  </si>
  <si>
    <t>Epagny</t>
  </si>
  <si>
    <t>Moléson-sur-Gruyères</t>
  </si>
  <si>
    <t>Hauteville</t>
  </si>
  <si>
    <t>Jaun</t>
  </si>
  <si>
    <t>Im Fang</t>
  </si>
  <si>
    <t>Marsens</t>
  </si>
  <si>
    <t>Vuippens</t>
  </si>
  <si>
    <t>Morlon</t>
  </si>
  <si>
    <t>Le Pâquier-Montbarry</t>
  </si>
  <si>
    <t>Le Pâquier (FR)</t>
  </si>
  <si>
    <t>Pont-la-Ville</t>
  </si>
  <si>
    <t>Riaz</t>
  </si>
  <si>
    <t>La Roche FR</t>
  </si>
  <si>
    <t>La Roche</t>
  </si>
  <si>
    <t>Sâles (Gruyère)</t>
  </si>
  <si>
    <t>Sâles</t>
  </si>
  <si>
    <t>Maules</t>
  </si>
  <si>
    <t>Romanens</t>
  </si>
  <si>
    <t>Treyfayes</t>
  </si>
  <si>
    <t>Rueyres-Treyfayes</t>
  </si>
  <si>
    <t>Sorens</t>
  </si>
  <si>
    <t>Vaulruz</t>
  </si>
  <si>
    <t>Vuadens</t>
  </si>
  <si>
    <t>Estavannens</t>
  </si>
  <si>
    <t>Bas-Intyamon</t>
  </si>
  <si>
    <t>Villars-sous-Mont</t>
  </si>
  <si>
    <t>Enney</t>
  </si>
  <si>
    <t>Charmey (Gruyère)</t>
  </si>
  <si>
    <t>Val-de-Charmey</t>
  </si>
  <si>
    <t>Cerniat FR</t>
  </si>
  <si>
    <t>Autigny</t>
  </si>
  <si>
    <t>Corjolens</t>
  </si>
  <si>
    <t>Avry</t>
  </si>
  <si>
    <t>Avry-sur-Matran</t>
  </si>
  <si>
    <t>Belfaux</t>
  </si>
  <si>
    <t>Autafond</t>
  </si>
  <si>
    <t>Chénens</t>
  </si>
  <si>
    <t>Corminboeuf</t>
  </si>
  <si>
    <t>Chésopelloz</t>
  </si>
  <si>
    <t>Cottens FR</t>
  </si>
  <si>
    <t>Cottens (FR)</t>
  </si>
  <si>
    <t>Ferpicloz</t>
  </si>
  <si>
    <t>Fribourg</t>
  </si>
  <si>
    <t>Bourguillon</t>
  </si>
  <si>
    <t>Givisiez</t>
  </si>
  <si>
    <t>Granges-Paccot</t>
  </si>
  <si>
    <t>Grolley</t>
  </si>
  <si>
    <t>Marly</t>
  </si>
  <si>
    <t>Matran</t>
  </si>
  <si>
    <t>Neyruz FR</t>
  </si>
  <si>
    <t>Neyruz (FR)</t>
  </si>
  <si>
    <t>Pierrafortscha</t>
  </si>
  <si>
    <t>Nierlet-les-Bois</t>
  </si>
  <si>
    <t>Ponthaux</t>
  </si>
  <si>
    <t>Le Mouret</t>
  </si>
  <si>
    <t>Essert FR</t>
  </si>
  <si>
    <t>Montévraz</t>
  </si>
  <si>
    <t>Oberried FR</t>
  </si>
  <si>
    <t>Zénauva</t>
  </si>
  <si>
    <t>Bonnefontaine</t>
  </si>
  <si>
    <t>Treyvaux</t>
  </si>
  <si>
    <t>Villars-sur-Glâne</t>
  </si>
  <si>
    <t>Villarsel-sur-Marly</t>
  </si>
  <si>
    <t>Posieux</t>
  </si>
  <si>
    <t>Hauterive (FR)</t>
  </si>
  <si>
    <t>Ecuvillens</t>
  </si>
  <si>
    <t>Lentigny</t>
  </si>
  <si>
    <t>La Brillaz</t>
  </si>
  <si>
    <t>Onnens FR</t>
  </si>
  <si>
    <t>Lovens</t>
  </si>
  <si>
    <t>Lossy</t>
  </si>
  <si>
    <t>La Sonnaz</t>
  </si>
  <si>
    <t>La Corbaz</t>
  </si>
  <si>
    <t>Cormagens</t>
  </si>
  <si>
    <t>Formangueires</t>
  </si>
  <si>
    <t>Villarlod</t>
  </si>
  <si>
    <t>Gibloux</t>
  </si>
  <si>
    <t>Rueyres-St-Laurent</t>
  </si>
  <si>
    <t>Estavayer-le-Gibloux</t>
  </si>
  <si>
    <t>Villarsel-le-Gibloux</t>
  </si>
  <si>
    <t>Vuisternens-en-Ogoz</t>
  </si>
  <si>
    <t>Farvagny-le-Grand</t>
  </si>
  <si>
    <t>Farvagny-le-Petit</t>
  </si>
  <si>
    <t>Grenilles</t>
  </si>
  <si>
    <t>Posat</t>
  </si>
  <si>
    <t>Corpataux</t>
  </si>
  <si>
    <t>Magnedens</t>
  </si>
  <si>
    <t>Rossens FR</t>
  </si>
  <si>
    <t>Prez-vers-Noréaz</t>
  </si>
  <si>
    <t>Prez</t>
  </si>
  <si>
    <t>Corserey</t>
  </si>
  <si>
    <t>Noréaz</t>
  </si>
  <si>
    <t>Senèdes</t>
  </si>
  <si>
    <t>Bois-d'Amont</t>
  </si>
  <si>
    <t>Ependes FR</t>
  </si>
  <si>
    <t>Arconciel</t>
  </si>
  <si>
    <t>Courgevaux</t>
  </si>
  <si>
    <t>Villarepos</t>
  </si>
  <si>
    <t>Courtepin</t>
  </si>
  <si>
    <t>Pensier</t>
  </si>
  <si>
    <t>Barberêche</t>
  </si>
  <si>
    <t>Wallenried</t>
  </si>
  <si>
    <t>Courtaman</t>
  </si>
  <si>
    <t>Cressier FR</t>
  </si>
  <si>
    <t>Cressier (FR)</t>
  </si>
  <si>
    <t>Fräschels</t>
  </si>
  <si>
    <t>Greng</t>
  </si>
  <si>
    <t>Cordast</t>
  </si>
  <si>
    <t>Gurmels</t>
  </si>
  <si>
    <t>Guschelmuth</t>
  </si>
  <si>
    <t>Wallenbuch</t>
  </si>
  <si>
    <t>Kleingurmels</t>
  </si>
  <si>
    <t>Liebistorf</t>
  </si>
  <si>
    <t>Kerzers</t>
  </si>
  <si>
    <t>Kleinbösingen</t>
  </si>
  <si>
    <t>Meyriez</t>
  </si>
  <si>
    <t>Misery</t>
  </si>
  <si>
    <t>Misery-Courtion</t>
  </si>
  <si>
    <t>Cormérod</t>
  </si>
  <si>
    <t>Courtion</t>
  </si>
  <si>
    <t>Cournillens</t>
  </si>
  <si>
    <t>Muntelier</t>
  </si>
  <si>
    <t>Clavaleyres</t>
  </si>
  <si>
    <t>Murten</t>
  </si>
  <si>
    <t>Jeuss</t>
  </si>
  <si>
    <t>Salvenach</t>
  </si>
  <si>
    <t>Courlevon</t>
  </si>
  <si>
    <t>Gempenach</t>
  </si>
  <si>
    <t>Büchslen</t>
  </si>
  <si>
    <t>Lurtigen</t>
  </si>
  <si>
    <t>Galmiz</t>
  </si>
  <si>
    <t>Ried b. Kerzers</t>
  </si>
  <si>
    <t>Ried bei Kerzers</t>
  </si>
  <si>
    <t>Agriswil</t>
  </si>
  <si>
    <t>Ulmiz</t>
  </si>
  <si>
    <t>Sugiez</t>
  </si>
  <si>
    <t>Mont-Vully</t>
  </si>
  <si>
    <t>Môtier (Vully)</t>
  </si>
  <si>
    <t>Mur (Vully) FR</t>
  </si>
  <si>
    <t>Praz (Vully)</t>
  </si>
  <si>
    <t>Lugnorre</t>
  </si>
  <si>
    <t>Brünisried</t>
  </si>
  <si>
    <t>Düdingen</t>
  </si>
  <si>
    <t>Giffers</t>
  </si>
  <si>
    <t>Bösingen</t>
  </si>
  <si>
    <t>Heitenried</t>
  </si>
  <si>
    <t>Plaffeien</t>
  </si>
  <si>
    <t>Oberschrot</t>
  </si>
  <si>
    <t>Schwarzsee</t>
  </si>
  <si>
    <t>Zumholz</t>
  </si>
  <si>
    <t>Plasselb</t>
  </si>
  <si>
    <t>Rechthalten</t>
  </si>
  <si>
    <t>St. Silvester</t>
  </si>
  <si>
    <t>St. Ursen</t>
  </si>
  <si>
    <t>Schmitten FR</t>
  </si>
  <si>
    <t>Schmitten (FR)</t>
  </si>
  <si>
    <t>Tafers</t>
  </si>
  <si>
    <t>St. Antoni</t>
  </si>
  <si>
    <t>Alterswil FR</t>
  </si>
  <si>
    <t>Tentlingen</t>
  </si>
  <si>
    <t>Ueberstorf</t>
  </si>
  <si>
    <t>Flamatt</t>
  </si>
  <si>
    <t>Wünnewil-Flamatt</t>
  </si>
  <si>
    <t>Wünnewil</t>
  </si>
  <si>
    <t>Attalens</t>
  </si>
  <si>
    <t>Tatroz</t>
  </si>
  <si>
    <t>Bossonnens</t>
  </si>
  <si>
    <t>Châtel-St-Denis</t>
  </si>
  <si>
    <t>Châtel-Saint-Denis</t>
  </si>
  <si>
    <t>Les Paccots</t>
  </si>
  <si>
    <t>Granges (Veveyse)</t>
  </si>
  <si>
    <t>Remaufens</t>
  </si>
  <si>
    <t>St-Martin FR</t>
  </si>
  <si>
    <t>Saint-Martin (FR)</t>
  </si>
  <si>
    <t>Besencens</t>
  </si>
  <si>
    <t>Fiaugères</t>
  </si>
  <si>
    <t>Semsales</t>
  </si>
  <si>
    <t>Porsel</t>
  </si>
  <si>
    <t>Le Flon</t>
  </si>
  <si>
    <t>Pont (Veveyse)</t>
  </si>
  <si>
    <t>Bouloz</t>
  </si>
  <si>
    <t>Le Crêt-près-Semsales</t>
  </si>
  <si>
    <t>La Verrerie</t>
  </si>
  <si>
    <t>Grattavache</t>
  </si>
  <si>
    <t>Progens</t>
  </si>
  <si>
    <t>Egerkingen</t>
  </si>
  <si>
    <t>SO</t>
  </si>
  <si>
    <t>Härkingen</t>
  </si>
  <si>
    <t>Kestenholz</t>
  </si>
  <si>
    <t>Neuendorf</t>
  </si>
  <si>
    <t>Niederbuchsiten</t>
  </si>
  <si>
    <t>Oberbuchsiten</t>
  </si>
  <si>
    <t>Oensingen</t>
  </si>
  <si>
    <t>Wolfwil</t>
  </si>
  <si>
    <t>Aedermannsdorf</t>
  </si>
  <si>
    <t>Balsthal</t>
  </si>
  <si>
    <t>Herbetswil</t>
  </si>
  <si>
    <t>Holderbank SO</t>
  </si>
  <si>
    <t>Holderbank (SO)</t>
  </si>
  <si>
    <t>Laupersdorf</t>
  </si>
  <si>
    <t>Matzendorf</t>
  </si>
  <si>
    <t>Mümliswil</t>
  </si>
  <si>
    <t>Mümliswil-Ramiswil</t>
  </si>
  <si>
    <t>Ramiswil</t>
  </si>
  <si>
    <t>Welschenrohr</t>
  </si>
  <si>
    <t>Welschenrohr-Gänsbrunnen</t>
  </si>
  <si>
    <t>Gänsbrunnen</t>
  </si>
  <si>
    <t>Biezwil</t>
  </si>
  <si>
    <t>Lüterkofen</t>
  </si>
  <si>
    <t>Lüterkofen-Ichertswil</t>
  </si>
  <si>
    <t>Ichertswil</t>
  </si>
  <si>
    <t>Lüterswil</t>
  </si>
  <si>
    <t>Lüterswil-Gächliwil</t>
  </si>
  <si>
    <t>Gächliwil</t>
  </si>
  <si>
    <t>Messen</t>
  </si>
  <si>
    <t>Balm b. Messen</t>
  </si>
  <si>
    <t>Brunnenthal</t>
  </si>
  <si>
    <t>Oberramsern</t>
  </si>
  <si>
    <t>Schnottwil</t>
  </si>
  <si>
    <t>Unterramsern</t>
  </si>
  <si>
    <t>Nennigkofen</t>
  </si>
  <si>
    <t>Lüsslingen-Nennigkofen</t>
  </si>
  <si>
    <t>Lüsslingen</t>
  </si>
  <si>
    <t>Tscheppach</t>
  </si>
  <si>
    <t>Buchegg</t>
  </si>
  <si>
    <t>Hessigkofen</t>
  </si>
  <si>
    <t>Bibern SO</t>
  </si>
  <si>
    <t>Gossliwil</t>
  </si>
  <si>
    <t>Küttigkofen</t>
  </si>
  <si>
    <t>Brügglen</t>
  </si>
  <si>
    <t>Mühledorf SO</t>
  </si>
  <si>
    <t>Aetigkofen</t>
  </si>
  <si>
    <t>Kyburg-Buchegg</t>
  </si>
  <si>
    <t>Aetingen</t>
  </si>
  <si>
    <t>Brittern</t>
  </si>
  <si>
    <t>Bättwil</t>
  </si>
  <si>
    <t>Büren SO</t>
  </si>
  <si>
    <t>Büren (SO)</t>
  </si>
  <si>
    <t>Dornach</t>
  </si>
  <si>
    <t>Gempen</t>
  </si>
  <si>
    <t>Hochwald</t>
  </si>
  <si>
    <t>Flüh</t>
  </si>
  <si>
    <t>Hofstetten-Flüh</t>
  </si>
  <si>
    <t>Hofstetten SO</t>
  </si>
  <si>
    <t>Mariastein</t>
  </si>
  <si>
    <t>Metzerlen-Mariastein</t>
  </si>
  <si>
    <t>Metzerlen</t>
  </si>
  <si>
    <t>Nuglar</t>
  </si>
  <si>
    <t>Nuglar-St. Pantaleon</t>
  </si>
  <si>
    <t>St. Pantaleon</t>
  </si>
  <si>
    <t>Rodersdorf</t>
  </si>
  <si>
    <t>Seewen SO</t>
  </si>
  <si>
    <t>Seewen</t>
  </si>
  <si>
    <t>Witterswil</t>
  </si>
  <si>
    <t>Hauenstein</t>
  </si>
  <si>
    <t>Hauenstein-Ifenthal</t>
  </si>
  <si>
    <t>Kienberg</t>
  </si>
  <si>
    <t>Lostorf</t>
  </si>
  <si>
    <t>Niedergösgen</t>
  </si>
  <si>
    <t>Obergösgen</t>
  </si>
  <si>
    <t>Stüsslingen</t>
  </si>
  <si>
    <t>Rohr b. Olten</t>
  </si>
  <si>
    <t>Trimbach</t>
  </si>
  <si>
    <t>Winznau</t>
  </si>
  <si>
    <t>Wisen SO</t>
  </si>
  <si>
    <t>Wisen (SO)</t>
  </si>
  <si>
    <t>Erlinsbach SO</t>
  </si>
  <si>
    <t>Erlinsbach (SO)</t>
  </si>
  <si>
    <t>Aeschi SO</t>
  </si>
  <si>
    <t>Aeschi (SO)</t>
  </si>
  <si>
    <t>Burgäschi</t>
  </si>
  <si>
    <t>Steinhof SO</t>
  </si>
  <si>
    <t>Biberist</t>
  </si>
  <si>
    <t>Bolken</t>
  </si>
  <si>
    <t>Deitingen</t>
  </si>
  <si>
    <t>Derendingen</t>
  </si>
  <si>
    <t>Etziken</t>
  </si>
  <si>
    <t>Gerlafingen</t>
  </si>
  <si>
    <t>Halten</t>
  </si>
  <si>
    <t>Horriwil</t>
  </si>
  <si>
    <t>Hüniken</t>
  </si>
  <si>
    <t>Kriegstetten</t>
  </si>
  <si>
    <t>Lohn-Ammannsegg</t>
  </si>
  <si>
    <t>Luterbach</t>
  </si>
  <si>
    <t>Obergerlafingen</t>
  </si>
  <si>
    <t>Oekingen</t>
  </si>
  <si>
    <t>Recherswil</t>
  </si>
  <si>
    <t>Subingen</t>
  </si>
  <si>
    <t>Zuchwil</t>
  </si>
  <si>
    <t>Hersiwil</t>
  </si>
  <si>
    <t>Drei Höfe</t>
  </si>
  <si>
    <t>Heinrichswil</t>
  </si>
  <si>
    <t>Winistorf</t>
  </si>
  <si>
    <t>Balmberg</t>
  </si>
  <si>
    <t>Balm bei Günsberg</t>
  </si>
  <si>
    <t>Oberbalmberg</t>
  </si>
  <si>
    <t>Balm b. Günsberg</t>
  </si>
  <si>
    <t>Bellach</t>
  </si>
  <si>
    <t>Bettlach</t>
  </si>
  <si>
    <t>Feldbrunnen</t>
  </si>
  <si>
    <t>Feldbrunnen-St. Niklaus</t>
  </si>
  <si>
    <t>Flumenthal</t>
  </si>
  <si>
    <t>Grenchen</t>
  </si>
  <si>
    <t>Günsberg</t>
  </si>
  <si>
    <t>Hubersdorf</t>
  </si>
  <si>
    <t>Kammersrohr</t>
  </si>
  <si>
    <t>Langendorf</t>
  </si>
  <si>
    <t>Lommiswil</t>
  </si>
  <si>
    <t>Oberdorf SO</t>
  </si>
  <si>
    <t>Oberdorf (SO)</t>
  </si>
  <si>
    <t>Weissenstein b. Solothurn</t>
  </si>
  <si>
    <t>Niederwil SO</t>
  </si>
  <si>
    <t>Riedholz</t>
  </si>
  <si>
    <t>Rüttenen</t>
  </si>
  <si>
    <t>Selzach</t>
  </si>
  <si>
    <t>Boningen</t>
  </si>
  <si>
    <t>Däniken SO</t>
  </si>
  <si>
    <t>Däniken</t>
  </si>
  <si>
    <t>Dulliken</t>
  </si>
  <si>
    <t>Wöschnau</t>
  </si>
  <si>
    <t>Eppenberg-Wöschnau</t>
  </si>
  <si>
    <t>Eppenberg</t>
  </si>
  <si>
    <t>Fulenbach</t>
  </si>
  <si>
    <t>Gretzenbach</t>
  </si>
  <si>
    <t>Gunzgen</t>
  </si>
  <si>
    <t>Hägendorf</t>
  </si>
  <si>
    <t>Allerheiligenberg</t>
  </si>
  <si>
    <t>Kappel SO</t>
  </si>
  <si>
    <t>Kappel (SO)</t>
  </si>
  <si>
    <t>Olten</t>
  </si>
  <si>
    <t>Rickenbach SO</t>
  </si>
  <si>
    <t>Rickenbach (SO)</t>
  </si>
  <si>
    <t>Schönenwerd</t>
  </si>
  <si>
    <t>Starrkirch-Wil</t>
  </si>
  <si>
    <t>Walterswil SO</t>
  </si>
  <si>
    <t>Walterswil (SO)</t>
  </si>
  <si>
    <t>Wangen b. Olten</t>
  </si>
  <si>
    <t>Wangen bei Olten</t>
  </si>
  <si>
    <t>Solothurn</t>
  </si>
  <si>
    <t>Bärschwil</t>
  </si>
  <si>
    <t>Beinwil SO</t>
  </si>
  <si>
    <t>Beinwil (SO)</t>
  </si>
  <si>
    <t>Breitenbach</t>
  </si>
  <si>
    <t>Büsserach</t>
  </si>
  <si>
    <t>Erschwil</t>
  </si>
  <si>
    <t>Fehren</t>
  </si>
  <si>
    <t>Grindel</t>
  </si>
  <si>
    <t>Himmelried</t>
  </si>
  <si>
    <t>Kleinlützel</t>
  </si>
  <si>
    <t>Meltingen</t>
  </si>
  <si>
    <t>Nunningen</t>
  </si>
  <si>
    <t>Zullwil</t>
  </si>
  <si>
    <t>Basel</t>
  </si>
  <si>
    <t>BS</t>
  </si>
  <si>
    <t>Bettingen</t>
  </si>
  <si>
    <t>Riehen</t>
  </si>
  <si>
    <t>Aesch BL</t>
  </si>
  <si>
    <t>Aesch (BL)</t>
  </si>
  <si>
    <t>BL</t>
  </si>
  <si>
    <t>Allschwil</t>
  </si>
  <si>
    <t>Arlesheim</t>
  </si>
  <si>
    <t>Biel-Benken BL</t>
  </si>
  <si>
    <t>Biel-Benken</t>
  </si>
  <si>
    <t>Bruderholz</t>
  </si>
  <si>
    <t>Binningen</t>
  </si>
  <si>
    <t>Birsfelden</t>
  </si>
  <si>
    <t>Bottmingen</t>
  </si>
  <si>
    <t>Ettingen</t>
  </si>
  <si>
    <t>Münchenstein</t>
  </si>
  <si>
    <t>Muttenz</t>
  </si>
  <si>
    <t>Oberwil BL</t>
  </si>
  <si>
    <t>Oberwil (BL)</t>
  </si>
  <si>
    <t>Pfeffingen</t>
  </si>
  <si>
    <t>Reinach BL</t>
  </si>
  <si>
    <t>Reinach (BL)</t>
  </si>
  <si>
    <t>Schönenbuch</t>
  </si>
  <si>
    <t>Therwil</t>
  </si>
  <si>
    <t>Blauen</t>
  </si>
  <si>
    <t>Brislach</t>
  </si>
  <si>
    <t>Burg im Leimental</t>
  </si>
  <si>
    <t>Dittingen</t>
  </si>
  <si>
    <t>Duggingen</t>
  </si>
  <si>
    <t>Grellingen</t>
  </si>
  <si>
    <t>Laufen</t>
  </si>
  <si>
    <t>Liesberg</t>
  </si>
  <si>
    <t>Liesberg Dorf</t>
  </si>
  <si>
    <t>Nenzlingen</t>
  </si>
  <si>
    <t>Roggenburg</t>
  </si>
  <si>
    <t>Röschenz</t>
  </si>
  <si>
    <t>Wahlen b. Laufen</t>
  </si>
  <si>
    <t>Wahlen</t>
  </si>
  <si>
    <t>Zwingen</t>
  </si>
  <si>
    <t>Arisdorf</t>
  </si>
  <si>
    <t>Augst BL</t>
  </si>
  <si>
    <t>Augst</t>
  </si>
  <si>
    <t>Bubendorf</t>
  </si>
  <si>
    <t>Frenkendorf</t>
  </si>
  <si>
    <t>Füllinsdorf</t>
  </si>
  <si>
    <t>Giebenach</t>
  </si>
  <si>
    <t>Hersberg</t>
  </si>
  <si>
    <t>Lausen</t>
  </si>
  <si>
    <t>Liestal</t>
  </si>
  <si>
    <t>Lupsingen</t>
  </si>
  <si>
    <t>Pratteln</t>
  </si>
  <si>
    <t>Ramlinsburg</t>
  </si>
  <si>
    <t>Seltisberg</t>
  </si>
  <si>
    <t>Ziefen</t>
  </si>
  <si>
    <t>Anwil</t>
  </si>
  <si>
    <t>Böckten</t>
  </si>
  <si>
    <t>Buckten</t>
  </si>
  <si>
    <t>Buus</t>
  </si>
  <si>
    <t>Diepflingen</t>
  </si>
  <si>
    <t>Gelterkinden</t>
  </si>
  <si>
    <t>Häfelfingen</t>
  </si>
  <si>
    <t>Hemmiken</t>
  </si>
  <si>
    <t>Itingen</t>
  </si>
  <si>
    <t>Känerkinden</t>
  </si>
  <si>
    <t>Kilchberg BL</t>
  </si>
  <si>
    <t>Kilchberg (BL)</t>
  </si>
  <si>
    <t>Läufelfingen</t>
  </si>
  <si>
    <t>Maisprach</t>
  </si>
  <si>
    <t>Nusshof</t>
  </si>
  <si>
    <t>Oltingen</t>
  </si>
  <si>
    <t>Ormalingen</t>
  </si>
  <si>
    <t>Rickenbach BL</t>
  </si>
  <si>
    <t>Rickenbach (BL)</t>
  </si>
  <si>
    <t>Rothenfluh</t>
  </si>
  <si>
    <t>Rümlingen</t>
  </si>
  <si>
    <t>Rünenberg</t>
  </si>
  <si>
    <t>Sissach</t>
  </si>
  <si>
    <t>Tecknau</t>
  </si>
  <si>
    <t>Tenniken</t>
  </si>
  <si>
    <t>Thürnen</t>
  </si>
  <si>
    <t>Wenslingen</t>
  </si>
  <si>
    <t>Wintersingen</t>
  </si>
  <si>
    <t>Wittinsburg</t>
  </si>
  <si>
    <t>Zeglingen</t>
  </si>
  <si>
    <t>Zunzgen</t>
  </si>
  <si>
    <t>Arboldswil</t>
  </si>
  <si>
    <t>Bennwil</t>
  </si>
  <si>
    <t>Bretzwil</t>
  </si>
  <si>
    <t>Diegten</t>
  </si>
  <si>
    <t>Eptingen</t>
  </si>
  <si>
    <t>Hölstein</t>
  </si>
  <si>
    <t>Lampenberg</t>
  </si>
  <si>
    <t>Langenbruck</t>
  </si>
  <si>
    <t>Lauwil</t>
  </si>
  <si>
    <t>Liedertswil</t>
  </si>
  <si>
    <t>Niederdorf</t>
  </si>
  <si>
    <t>Oberdorf BL</t>
  </si>
  <si>
    <t>Oberdorf (BL)</t>
  </si>
  <si>
    <t>Reigoldswil</t>
  </si>
  <si>
    <t>Titterten</t>
  </si>
  <si>
    <t>Waldenburg</t>
  </si>
  <si>
    <t>Gächlingen</t>
  </si>
  <si>
    <t>SH</t>
  </si>
  <si>
    <t>Löhningen</t>
  </si>
  <si>
    <t>Neunkirch</t>
  </si>
  <si>
    <t>Büttenhardt</t>
  </si>
  <si>
    <t>Dörflingen</t>
  </si>
  <si>
    <t>Lohn SH</t>
  </si>
  <si>
    <t>Lohn (SH)</t>
  </si>
  <si>
    <t>Stetten SH</t>
  </si>
  <si>
    <t>Stetten (SH)</t>
  </si>
  <si>
    <t>Opfertshofen SH</t>
  </si>
  <si>
    <t>Thayngen</t>
  </si>
  <si>
    <t>Barzheim</t>
  </si>
  <si>
    <t>Bibern SH</t>
  </si>
  <si>
    <t>Hofen SH</t>
  </si>
  <si>
    <t>Altdorf SH</t>
  </si>
  <si>
    <t>Bargen SH</t>
  </si>
  <si>
    <t>Bargen (SH)</t>
  </si>
  <si>
    <t>Beringen</t>
  </si>
  <si>
    <t>Guntmadingen</t>
  </si>
  <si>
    <t>Buchberg</t>
  </si>
  <si>
    <t>Merishausen</t>
  </si>
  <si>
    <t>Neuhausen am Rheinfall</t>
  </si>
  <si>
    <t>Rüdlingen</t>
  </si>
  <si>
    <t>Schaffhausen</t>
  </si>
  <si>
    <t>Hemmental</t>
  </si>
  <si>
    <t>Beggingen</t>
  </si>
  <si>
    <t>Schleitheim</t>
  </si>
  <si>
    <t>Siblingen</t>
  </si>
  <si>
    <t>Buch SH</t>
  </si>
  <si>
    <t>Buch (SH)</t>
  </si>
  <si>
    <t>Hemishofen</t>
  </si>
  <si>
    <t>Ramsen</t>
  </si>
  <si>
    <t>Stein am Rhein</t>
  </si>
  <si>
    <t>Hallau</t>
  </si>
  <si>
    <t>Oberhallau</t>
  </si>
  <si>
    <t>Trasadingen</t>
  </si>
  <si>
    <t>Wilchingen</t>
  </si>
  <si>
    <t>Osterfingen</t>
  </si>
  <si>
    <t>Herisau</t>
  </si>
  <si>
    <t>AR</t>
  </si>
  <si>
    <t>Schachen b. Herisau</t>
  </si>
  <si>
    <t>Hundwil</t>
  </si>
  <si>
    <t>Schönengrund</t>
  </si>
  <si>
    <t>Schwellbrunn</t>
  </si>
  <si>
    <t>Stein AR</t>
  </si>
  <si>
    <t>Stein (AR)</t>
  </si>
  <si>
    <t>Urnäsch</t>
  </si>
  <si>
    <t>Waldstatt</t>
  </si>
  <si>
    <t>Bühler</t>
  </si>
  <si>
    <t>Gais</t>
  </si>
  <si>
    <t>Speicherschwendi</t>
  </si>
  <si>
    <t>Speicher</t>
  </si>
  <si>
    <t>Niederteufen</t>
  </si>
  <si>
    <t>Teufen (AR)</t>
  </si>
  <si>
    <t>Teufen AR</t>
  </si>
  <si>
    <t>Lustmühle</t>
  </si>
  <si>
    <t>Trogen</t>
  </si>
  <si>
    <t>Grub AR</t>
  </si>
  <si>
    <t>Grub (AR)</t>
  </si>
  <si>
    <t>Heiden</t>
  </si>
  <si>
    <t>Wienacht-Tobel</t>
  </si>
  <si>
    <t>Lutzenberg</t>
  </si>
  <si>
    <t>Rehetobel</t>
  </si>
  <si>
    <t>Reute AR</t>
  </si>
  <si>
    <t>Reute (AR)</t>
  </si>
  <si>
    <t>Schachen b. Reute</t>
  </si>
  <si>
    <t>Wald AR</t>
  </si>
  <si>
    <t>Wald (AR)</t>
  </si>
  <si>
    <t>Walzenhausen</t>
  </si>
  <si>
    <t>Wolfhalden</t>
  </si>
  <si>
    <t>Appenzell</t>
  </si>
  <si>
    <t>AI</t>
  </si>
  <si>
    <t>Appenzell Meistersrüte</t>
  </si>
  <si>
    <t>Gonten</t>
  </si>
  <si>
    <t>Gontenbad</t>
  </si>
  <si>
    <t>Jakobsbad</t>
  </si>
  <si>
    <t>Appenzell Enggenhütten</t>
  </si>
  <si>
    <t>Schlatt-Haslen</t>
  </si>
  <si>
    <t>Appenzell Schlatt</t>
  </si>
  <si>
    <t>Haslen AI</t>
  </si>
  <si>
    <t>Oberegg</t>
  </si>
  <si>
    <t>Büriswilen</t>
  </si>
  <si>
    <t>Appenzell Eggerstanden</t>
  </si>
  <si>
    <t>Schwende-Rüte</t>
  </si>
  <si>
    <t>Appenzell Steinegg</t>
  </si>
  <si>
    <t>Weissbad</t>
  </si>
  <si>
    <t>Schwende</t>
  </si>
  <si>
    <t>Wasserauen</t>
  </si>
  <si>
    <t>Brülisau</t>
  </si>
  <si>
    <t>Lömmenschwil</t>
  </si>
  <si>
    <t>Häggenschwil</t>
  </si>
  <si>
    <t>SG</t>
  </si>
  <si>
    <t>Muolen</t>
  </si>
  <si>
    <t>St. Gallen</t>
  </si>
  <si>
    <t>Wittenbach</t>
  </si>
  <si>
    <t>Berg SG</t>
  </si>
  <si>
    <t>Berg (SG)</t>
  </si>
  <si>
    <t>Eggersriet</t>
  </si>
  <si>
    <t>Grub SG</t>
  </si>
  <si>
    <t>Goldach</t>
  </si>
  <si>
    <t>Mörschwil</t>
  </si>
  <si>
    <t>Rorschach</t>
  </si>
  <si>
    <t>Rorschacherberg</t>
  </si>
  <si>
    <t>Steinach</t>
  </si>
  <si>
    <t>Tübach</t>
  </si>
  <si>
    <t>Untereggen</t>
  </si>
  <si>
    <t>Au SG</t>
  </si>
  <si>
    <t>Au (SG)</t>
  </si>
  <si>
    <t>Heerbrugg</t>
  </si>
  <si>
    <t>Balgach</t>
  </si>
  <si>
    <t>Berneck</t>
  </si>
  <si>
    <t>Diepoldsau</t>
  </si>
  <si>
    <t>Rheineck</t>
  </si>
  <si>
    <t>St. Margrethen SG</t>
  </si>
  <si>
    <t>St. Margrethen</t>
  </si>
  <si>
    <t>Staad SG</t>
  </si>
  <si>
    <t>Thal</t>
  </si>
  <si>
    <t>Altenrhein</t>
  </si>
  <si>
    <t>Widnau</t>
  </si>
  <si>
    <t>Altstätten SG</t>
  </si>
  <si>
    <t>Altstätten</t>
  </si>
  <si>
    <t>Lüchingen</t>
  </si>
  <si>
    <t>Hinterforst</t>
  </si>
  <si>
    <t>Lienz</t>
  </si>
  <si>
    <t>Eichberg</t>
  </si>
  <si>
    <t>Marbach SG</t>
  </si>
  <si>
    <t>Marbach (SG)</t>
  </si>
  <si>
    <t>Kriessern</t>
  </si>
  <si>
    <t>Oberriet (SG)</t>
  </si>
  <si>
    <t>Montlingen</t>
  </si>
  <si>
    <t>Oberriet SG</t>
  </si>
  <si>
    <t>Rebstein</t>
  </si>
  <si>
    <t>Rüthi (Rheintal)</t>
  </si>
  <si>
    <t>Rüthi (SG)</t>
  </si>
  <si>
    <t>Buchs SG</t>
  </si>
  <si>
    <t>Buchs (SG)</t>
  </si>
  <si>
    <t>Gams</t>
  </si>
  <si>
    <t>Werdenberg</t>
  </si>
  <si>
    <t>Grabs</t>
  </si>
  <si>
    <t>Grabserberg</t>
  </si>
  <si>
    <t>Salez</t>
  </si>
  <si>
    <t>Sennwald</t>
  </si>
  <si>
    <t>Frümsen</t>
  </si>
  <si>
    <t>Sax</t>
  </si>
  <si>
    <t>Haag (Rheintal)</t>
  </si>
  <si>
    <t>Sevelen</t>
  </si>
  <si>
    <t>Weite</t>
  </si>
  <si>
    <t>Wartau</t>
  </si>
  <si>
    <t>Fontnas</t>
  </si>
  <si>
    <t>Trübbach</t>
  </si>
  <si>
    <t>Azmoos</t>
  </si>
  <si>
    <t>Oberschan</t>
  </si>
  <si>
    <t>Malans SG</t>
  </si>
  <si>
    <t>Gretschins</t>
  </si>
  <si>
    <t>Bad Ragaz</t>
  </si>
  <si>
    <t>Flums</t>
  </si>
  <si>
    <t>Flums Hochwiese</t>
  </si>
  <si>
    <t>Flumserberg Saxli</t>
  </si>
  <si>
    <t>Flumserberg Portels</t>
  </si>
  <si>
    <t>Flumserberg Bergheim</t>
  </si>
  <si>
    <t>Flumserberg Tannenheim</t>
  </si>
  <si>
    <t>Flumserberg Tannenbodenalp</t>
  </si>
  <si>
    <t>Schwendi im Weisstannental</t>
  </si>
  <si>
    <t>Mels</t>
  </si>
  <si>
    <t>Weisstannen</t>
  </si>
  <si>
    <t>Mädris-Vermol</t>
  </si>
  <si>
    <t>Heiligkreuz (Mels)</t>
  </si>
  <si>
    <t>Plons</t>
  </si>
  <si>
    <t>Pfäfers</t>
  </si>
  <si>
    <t>St. Margrethenberg</t>
  </si>
  <si>
    <t>Vadura</t>
  </si>
  <si>
    <t>Vättis</t>
  </si>
  <si>
    <t>Valens</t>
  </si>
  <si>
    <t>Vasön</t>
  </si>
  <si>
    <t>Murg</t>
  </si>
  <si>
    <t>Quarten</t>
  </si>
  <si>
    <t>Quinten</t>
  </si>
  <si>
    <t>Unterterzen</t>
  </si>
  <si>
    <t>Oberterzen</t>
  </si>
  <si>
    <t>Mols</t>
  </si>
  <si>
    <t>Sargans</t>
  </si>
  <si>
    <t>Wangs</t>
  </si>
  <si>
    <t>Vilters-Wangs</t>
  </si>
  <si>
    <t>Vilters</t>
  </si>
  <si>
    <t>Walenstadt</t>
  </si>
  <si>
    <t>Walenstadtberg</t>
  </si>
  <si>
    <t>Tscherlach</t>
  </si>
  <si>
    <t>Berschis</t>
  </si>
  <si>
    <t>Amden</t>
  </si>
  <si>
    <t>Benken SG</t>
  </si>
  <si>
    <t>Benken (SG)</t>
  </si>
  <si>
    <t>Kaltbrunn</t>
  </si>
  <si>
    <t>Schänis</t>
  </si>
  <si>
    <t>Rufi</t>
  </si>
  <si>
    <t>Maseltrangen</t>
  </si>
  <si>
    <t>Ziegelbrücke</t>
  </si>
  <si>
    <t>Weesen</t>
  </si>
  <si>
    <t>Schmerikon</t>
  </si>
  <si>
    <t>Uznach</t>
  </si>
  <si>
    <t>Rapperswil SG</t>
  </si>
  <si>
    <t>Rapperswil-Jona</t>
  </si>
  <si>
    <t>Jona</t>
  </si>
  <si>
    <t>Wagen</t>
  </si>
  <si>
    <t>Bollingen</t>
  </si>
  <si>
    <t>Ernetschwil</t>
  </si>
  <si>
    <t>Gommiswald</t>
  </si>
  <si>
    <t>Gebertingen</t>
  </si>
  <si>
    <t>Uetliburg SG</t>
  </si>
  <si>
    <t>Rieden SG</t>
  </si>
  <si>
    <t>Goldingen</t>
  </si>
  <si>
    <t>Eschenbach (SG)</t>
  </si>
  <si>
    <t>Walde SG</t>
  </si>
  <si>
    <t>Neuhaus SG</t>
  </si>
  <si>
    <t>Eschenbach SG</t>
  </si>
  <si>
    <t>Ermenswil</t>
  </si>
  <si>
    <t>St. Gallenkappel</t>
  </si>
  <si>
    <t>Rüeterswil</t>
  </si>
  <si>
    <t>Ebnat-Kappel</t>
  </si>
  <si>
    <t>Alt St. Johann</t>
  </si>
  <si>
    <t>Wildhaus-Alt St. Johann</t>
  </si>
  <si>
    <t>Unterwasser</t>
  </si>
  <si>
    <t>Wildhaus</t>
  </si>
  <si>
    <t>Krummenau</t>
  </si>
  <si>
    <t>Nesslau</t>
  </si>
  <si>
    <t>Ennetbühl</t>
  </si>
  <si>
    <t>Neu St. Johann</t>
  </si>
  <si>
    <t>Stein SG</t>
  </si>
  <si>
    <t>Hemberg</t>
  </si>
  <si>
    <t>Bächli (Hemberg)</t>
  </si>
  <si>
    <t>Lichtensteig</t>
  </si>
  <si>
    <t>Oberhelfenschwil</t>
  </si>
  <si>
    <t>Hoffeld</t>
  </si>
  <si>
    <t>Neckertal</t>
  </si>
  <si>
    <t>Dicken</t>
  </si>
  <si>
    <t>Mogelsberg</t>
  </si>
  <si>
    <t>Ebersol</t>
  </si>
  <si>
    <t>Nassen</t>
  </si>
  <si>
    <t>Brunnadern</t>
  </si>
  <si>
    <t>Necker</t>
  </si>
  <si>
    <t>St. Peterzell</t>
  </si>
  <si>
    <t>Ricken SG</t>
  </si>
  <si>
    <t>Wattwil</t>
  </si>
  <si>
    <t>Krinau</t>
  </si>
  <si>
    <t>Ulisbach</t>
  </si>
  <si>
    <t>Wil SG</t>
  </si>
  <si>
    <t>Kirchberg (SG)</t>
  </si>
  <si>
    <t>Kirchberg SG</t>
  </si>
  <si>
    <t>Dietschwil</t>
  </si>
  <si>
    <t>Gähwil</t>
  </si>
  <si>
    <t>Bazenheid</t>
  </si>
  <si>
    <t>Müselbach</t>
  </si>
  <si>
    <t>Lütisburg Station</t>
  </si>
  <si>
    <t>Lütisburg</t>
  </si>
  <si>
    <t>Unterrindal</t>
  </si>
  <si>
    <t>Mosnang</t>
  </si>
  <si>
    <t>Dreien</t>
  </si>
  <si>
    <t>Mühlrüti</t>
  </si>
  <si>
    <t>Libingen</t>
  </si>
  <si>
    <t>Bütschwil</t>
  </si>
  <si>
    <t>Bütschwil-Ganterschwil</t>
  </si>
  <si>
    <t>Ganterschwil</t>
  </si>
  <si>
    <t>Dietfurt</t>
  </si>
  <si>
    <t>Degersheim</t>
  </si>
  <si>
    <t>Wolfertswil</t>
  </si>
  <si>
    <t>Flawil</t>
  </si>
  <si>
    <t>Egg (Flawil)</t>
  </si>
  <si>
    <t>Jonschwil</t>
  </si>
  <si>
    <t>Rickenbach b. Wil</t>
  </si>
  <si>
    <t>Schwarzenbach SG</t>
  </si>
  <si>
    <t>Oberrindal</t>
  </si>
  <si>
    <t>Niederglatt SG</t>
  </si>
  <si>
    <t>Oberuzwil</t>
  </si>
  <si>
    <t>Bichwil</t>
  </si>
  <si>
    <t>Uzwil</t>
  </si>
  <si>
    <t>Niederuzwil</t>
  </si>
  <si>
    <t>Henau</t>
  </si>
  <si>
    <t>Algetshausen</t>
  </si>
  <si>
    <t>Niederstetten</t>
  </si>
  <si>
    <t>Oberstetten</t>
  </si>
  <si>
    <t>Niederbüren</t>
  </si>
  <si>
    <t>Lenggenwil</t>
  </si>
  <si>
    <t>Niederhelfenschwil</t>
  </si>
  <si>
    <t>Zuckenriet</t>
  </si>
  <si>
    <t>Niederwil SG</t>
  </si>
  <si>
    <t>Oberbüren</t>
  </si>
  <si>
    <t>Sonnental</t>
  </si>
  <si>
    <t>Züberwangen</t>
  </si>
  <si>
    <t>Zuzwil (SG)</t>
  </si>
  <si>
    <t>Zuzwil SG</t>
  </si>
  <si>
    <t>Wil (SG)</t>
  </si>
  <si>
    <t>Rossrüti</t>
  </si>
  <si>
    <t>Bronschhofen</t>
  </si>
  <si>
    <t>Andwil SG</t>
  </si>
  <si>
    <t>Andwil (SG)</t>
  </si>
  <si>
    <t>Abtwil SG</t>
  </si>
  <si>
    <t>Gaiserwald</t>
  </si>
  <si>
    <t>St. Josefen</t>
  </si>
  <si>
    <t>Engelburg</t>
  </si>
  <si>
    <t>Gossau SG</t>
  </si>
  <si>
    <t>Gossau (SG)</t>
  </si>
  <si>
    <t>Arnegg</t>
  </si>
  <si>
    <t>Waldkirch</t>
  </si>
  <si>
    <t>Bernhardzell</t>
  </si>
  <si>
    <t>Valbella</t>
  </si>
  <si>
    <t>Vaz/Obervaz</t>
  </si>
  <si>
    <t>GR</t>
  </si>
  <si>
    <t>Lenzerheide/Lai</t>
  </si>
  <si>
    <t>Tiefencastel</t>
  </si>
  <si>
    <t>Lantsch/Lenz</t>
  </si>
  <si>
    <t>Schmitten (Albula)</t>
  </si>
  <si>
    <t>Schmitten (GR)</t>
  </si>
  <si>
    <t>Brienz/Brinzauls GR</t>
  </si>
  <si>
    <t>Albula/Alvra</t>
  </si>
  <si>
    <t>Alvaschein</t>
  </si>
  <si>
    <t>Mon</t>
  </si>
  <si>
    <t>Stierva</t>
  </si>
  <si>
    <t>Surava</t>
  </si>
  <si>
    <t>Alvaneu Bad</t>
  </si>
  <si>
    <t>Alvaneu Dorf</t>
  </si>
  <si>
    <t>Cunter</t>
  </si>
  <si>
    <t>Surses</t>
  </si>
  <si>
    <t>Tinizong</t>
  </si>
  <si>
    <t>Rona</t>
  </si>
  <si>
    <t>Mulegns</t>
  </si>
  <si>
    <t>Sur</t>
  </si>
  <si>
    <t>Marmorera</t>
  </si>
  <si>
    <t>Bivio</t>
  </si>
  <si>
    <t>Savognin</t>
  </si>
  <si>
    <t>Salouf</t>
  </si>
  <si>
    <t>Riom</t>
  </si>
  <si>
    <t>Parsonz</t>
  </si>
  <si>
    <t>Filisur</t>
  </si>
  <si>
    <t>Bergün Filisur</t>
  </si>
  <si>
    <t>Bergün/Bravuogn</t>
  </si>
  <si>
    <t>Preda</t>
  </si>
  <si>
    <t>Stugl/Stuls</t>
  </si>
  <si>
    <t>Latsch</t>
  </si>
  <si>
    <t>Brusio</t>
  </si>
  <si>
    <t>Campocologno</t>
  </si>
  <si>
    <t>Viano</t>
  </si>
  <si>
    <t>Campascio</t>
  </si>
  <si>
    <t>Ospizio Bernina</t>
  </si>
  <si>
    <t>Poschiavo</t>
  </si>
  <si>
    <t>Alp Grüm</t>
  </si>
  <si>
    <t>S. Carlo (Poschiavo)</t>
  </si>
  <si>
    <t>Sfazù</t>
  </si>
  <si>
    <t>La Rösa</t>
  </si>
  <si>
    <t>Miralago</t>
  </si>
  <si>
    <t>Li Curt</t>
  </si>
  <si>
    <t>Le Prese</t>
  </si>
  <si>
    <t>Falera</t>
  </si>
  <si>
    <t>Laax GR</t>
  </si>
  <si>
    <t>Laax</t>
  </si>
  <si>
    <t>Laax GR 2</t>
  </si>
  <si>
    <t>Sagogn</t>
  </si>
  <si>
    <t>Schluein</t>
  </si>
  <si>
    <t>St. Martin (Lugnez)</t>
  </si>
  <si>
    <t>Vals</t>
  </si>
  <si>
    <t>Peiden</t>
  </si>
  <si>
    <t>Lumnezia</t>
  </si>
  <si>
    <t>Camuns</t>
  </si>
  <si>
    <t>Uors (Lumnezia)</t>
  </si>
  <si>
    <t>Surcasti</t>
  </si>
  <si>
    <t>Tersnaus</t>
  </si>
  <si>
    <t>Cumbel</t>
  </si>
  <si>
    <t>Morissen</t>
  </si>
  <si>
    <t>Vella</t>
  </si>
  <si>
    <t>Degen</t>
  </si>
  <si>
    <t>Vattiz</t>
  </si>
  <si>
    <t>Vignogn</t>
  </si>
  <si>
    <t>Lumbrein</t>
  </si>
  <si>
    <t>Vrin</t>
  </si>
  <si>
    <t>Pitasch</t>
  </si>
  <si>
    <t>Ilanz/Glion</t>
  </si>
  <si>
    <t>Duvin</t>
  </si>
  <si>
    <t>Castrisch</t>
  </si>
  <si>
    <t>Sevgein</t>
  </si>
  <si>
    <t>Riein</t>
  </si>
  <si>
    <t>Ilanz</t>
  </si>
  <si>
    <t>Schnaus</t>
  </si>
  <si>
    <t>Luven</t>
  </si>
  <si>
    <t>Ruschein</t>
  </si>
  <si>
    <t>Ladir</t>
  </si>
  <si>
    <t>Rueun</t>
  </si>
  <si>
    <t>Pigniu</t>
  </si>
  <si>
    <t>Siat</t>
  </si>
  <si>
    <t>Fürstenaubruck</t>
  </si>
  <si>
    <t>Fürstenau</t>
  </si>
  <si>
    <t>Rothenbrunnen</t>
  </si>
  <si>
    <t>Scharans</t>
  </si>
  <si>
    <t>Sils im Domleschg</t>
  </si>
  <si>
    <t>Cazis</t>
  </si>
  <si>
    <t>Summaprada</t>
  </si>
  <si>
    <t>Tartar</t>
  </si>
  <si>
    <t>Sarn</t>
  </si>
  <si>
    <t>Portein</t>
  </si>
  <si>
    <t>Präz</t>
  </si>
  <si>
    <t>Dalin</t>
  </si>
  <si>
    <t>Flerden</t>
  </si>
  <si>
    <t>Masein</t>
  </si>
  <si>
    <t>Thusis</t>
  </si>
  <si>
    <t>Mutten</t>
  </si>
  <si>
    <t>Obermutten</t>
  </si>
  <si>
    <t>Tschappina</t>
  </si>
  <si>
    <t>Urmein</t>
  </si>
  <si>
    <t>Versam</t>
  </si>
  <si>
    <t>Safiental</t>
  </si>
  <si>
    <t>Tenna</t>
  </si>
  <si>
    <t>Safien Platz</t>
  </si>
  <si>
    <t>Thalkirch</t>
  </si>
  <si>
    <t>Valendas</t>
  </si>
  <si>
    <t>Feldis/Veulden</t>
  </si>
  <si>
    <t>Domleschg</t>
  </si>
  <si>
    <t>Trans</t>
  </si>
  <si>
    <t>Rodels</t>
  </si>
  <si>
    <t>Pratval</t>
  </si>
  <si>
    <t>Almens</t>
  </si>
  <si>
    <t>Paspels</t>
  </si>
  <si>
    <t>Tumegl/Tomils</t>
  </si>
  <si>
    <t>Scheid</t>
  </si>
  <si>
    <t>Avers</t>
  </si>
  <si>
    <t>Juf</t>
  </si>
  <si>
    <t>Sufers</t>
  </si>
  <si>
    <t>Andeer</t>
  </si>
  <si>
    <t>Clugin</t>
  </si>
  <si>
    <t>Pignia</t>
  </si>
  <si>
    <t>Rongellen</t>
  </si>
  <si>
    <t>Zillis</t>
  </si>
  <si>
    <t>Zillis-Reischen</t>
  </si>
  <si>
    <t>Ausserferrera</t>
  </si>
  <si>
    <t>Ferrera</t>
  </si>
  <si>
    <t>Innerferrera</t>
  </si>
  <si>
    <t>Splügen</t>
  </si>
  <si>
    <t>Rheinwald</t>
  </si>
  <si>
    <t>Medels im Rheinwald</t>
  </si>
  <si>
    <t>Nufenen</t>
  </si>
  <si>
    <t>Hinterrhein</t>
  </si>
  <si>
    <t>Donat</t>
  </si>
  <si>
    <t>Muntogna da Schons</t>
  </si>
  <si>
    <t>Lohn GR</t>
  </si>
  <si>
    <t>Mathon</t>
  </si>
  <si>
    <t>Wergenstein</t>
  </si>
  <si>
    <t>Bonaduz</t>
  </si>
  <si>
    <t>Domat/Ems</t>
  </si>
  <si>
    <t>Rhäzüns</t>
  </si>
  <si>
    <t>Felsberg</t>
  </si>
  <si>
    <t>Flims Dorf</t>
  </si>
  <si>
    <t>Flims</t>
  </si>
  <si>
    <t>Flims Waldhaus</t>
  </si>
  <si>
    <t>Fidaz</t>
  </si>
  <si>
    <t>Tamins</t>
  </si>
  <si>
    <t>Trin</t>
  </si>
  <si>
    <t>Trin Mulin</t>
  </si>
  <si>
    <t>Brail</t>
  </si>
  <si>
    <t>Zernez</t>
  </si>
  <si>
    <t>Susch</t>
  </si>
  <si>
    <t>Lavin</t>
  </si>
  <si>
    <t>Samnaun-Compatsch</t>
  </si>
  <si>
    <t>Samnaun</t>
  </si>
  <si>
    <t>Samnaun Dorf</t>
  </si>
  <si>
    <t>Guarda</t>
  </si>
  <si>
    <t>Scuol</t>
  </si>
  <si>
    <t>Ardez</t>
  </si>
  <si>
    <t>Ftan</t>
  </si>
  <si>
    <t>Vulpera</t>
  </si>
  <si>
    <t>Tarasp</t>
  </si>
  <si>
    <t>Sent</t>
  </si>
  <si>
    <t>Ramosch</t>
  </si>
  <si>
    <t>Valsot</t>
  </si>
  <si>
    <t>Vnà</t>
  </si>
  <si>
    <t>Strada</t>
  </si>
  <si>
    <t>Tschlin</t>
  </si>
  <si>
    <t>Martina</t>
  </si>
  <si>
    <t>Bever</t>
  </si>
  <si>
    <t>Celerina/Schlarigna</t>
  </si>
  <si>
    <t>Madulain</t>
  </si>
  <si>
    <t>Pontresina</t>
  </si>
  <si>
    <t>La Punt Chamues-ch</t>
  </si>
  <si>
    <t>Samedan</t>
  </si>
  <si>
    <t>St. Moritz</t>
  </si>
  <si>
    <t>S-chanf</t>
  </si>
  <si>
    <t>Cinuos-chel</t>
  </si>
  <si>
    <t>Chapella</t>
  </si>
  <si>
    <t>Sils/Segl Maria</t>
  </si>
  <si>
    <t>Sils im Engadin/Segl</t>
  </si>
  <si>
    <t>Fex</t>
  </si>
  <si>
    <t>Sils/Segl Baselgia</t>
  </si>
  <si>
    <t>Plaun da Lej</t>
  </si>
  <si>
    <t>Champfèr</t>
  </si>
  <si>
    <t>Silvaplana</t>
  </si>
  <si>
    <t>Silvaplana-Surlej</t>
  </si>
  <si>
    <t>Zuoz</t>
  </si>
  <si>
    <t>Maloja</t>
  </si>
  <si>
    <t>Bregaglia</t>
  </si>
  <si>
    <t>Casaccia</t>
  </si>
  <si>
    <t>Vicosoprano</t>
  </si>
  <si>
    <t>Borgonovo</t>
  </si>
  <si>
    <t>Stampa</t>
  </si>
  <si>
    <t>Promontogno</t>
  </si>
  <si>
    <t>Bondo</t>
  </si>
  <si>
    <t>Castasegna</t>
  </si>
  <si>
    <t>Soglio</t>
  </si>
  <si>
    <t>Buseno</t>
  </si>
  <si>
    <t>Castaneda</t>
  </si>
  <si>
    <t>Rossa</t>
  </si>
  <si>
    <t>Augio</t>
  </si>
  <si>
    <t>Sta. Domenica</t>
  </si>
  <si>
    <t>Sta. Maria in Calanca</t>
  </si>
  <si>
    <t>Santa Maria in Calanca</t>
  </si>
  <si>
    <t>Lostallo</t>
  </si>
  <si>
    <t>Mesocco</t>
  </si>
  <si>
    <t>S. Bernardino</t>
  </si>
  <si>
    <t>Soazza</t>
  </si>
  <si>
    <t>Cama</t>
  </si>
  <si>
    <t>Grono</t>
  </si>
  <si>
    <t>Verdabbio</t>
  </si>
  <si>
    <t>Leggia</t>
  </si>
  <si>
    <t>Roveredo GR</t>
  </si>
  <si>
    <t>Roveredo (GR)</t>
  </si>
  <si>
    <t>Laura</t>
  </si>
  <si>
    <t>S. Vittore</t>
  </si>
  <si>
    <t>San Vittore</t>
  </si>
  <si>
    <t>Arvigo</t>
  </si>
  <si>
    <t>Calanca</t>
  </si>
  <si>
    <t>Braggio</t>
  </si>
  <si>
    <t>Selma</t>
  </si>
  <si>
    <t>Cauco</t>
  </si>
  <si>
    <t>Tschierv</t>
  </si>
  <si>
    <t>Val Müstair</t>
  </si>
  <si>
    <t>Fuldera</t>
  </si>
  <si>
    <t>Lü</t>
  </si>
  <si>
    <t>Valchava</t>
  </si>
  <si>
    <t>Sta. Maria Val Müstair</t>
  </si>
  <si>
    <t>Müstair</t>
  </si>
  <si>
    <t>Davos Dorf</t>
  </si>
  <si>
    <t>Davos</t>
  </si>
  <si>
    <t>Davos Wolfgang</t>
  </si>
  <si>
    <t>Davos Platz</t>
  </si>
  <si>
    <t>Davos Clavadel</t>
  </si>
  <si>
    <t>Davos Frauenkirch</t>
  </si>
  <si>
    <t>Davos Glaris</t>
  </si>
  <si>
    <t>Davos Monstein</t>
  </si>
  <si>
    <t>Davos Wiesen</t>
  </si>
  <si>
    <t>Fideris</t>
  </si>
  <si>
    <t>Furna</t>
  </si>
  <si>
    <t>Pragg-Jenaz</t>
  </si>
  <si>
    <t>Jenaz</t>
  </si>
  <si>
    <t>Saas im Prättigau</t>
  </si>
  <si>
    <t>Klosters</t>
  </si>
  <si>
    <t>Serneus</t>
  </si>
  <si>
    <t>Klosters Dorf</t>
  </si>
  <si>
    <t>Conters im Prättigau</t>
  </si>
  <si>
    <t>Küblis</t>
  </si>
  <si>
    <t>Buchen im Prättigau</t>
  </si>
  <si>
    <t>Luzein</t>
  </si>
  <si>
    <t>Putz</t>
  </si>
  <si>
    <t>Pany</t>
  </si>
  <si>
    <t>Gadenstätt</t>
  </si>
  <si>
    <t>Ascharina</t>
  </si>
  <si>
    <t>St. Antönien</t>
  </si>
  <si>
    <t>Chur</t>
  </si>
  <si>
    <t>Haldenstein</t>
  </si>
  <si>
    <t>Maladers</t>
  </si>
  <si>
    <t>Passugg</t>
  </si>
  <si>
    <t>Churwalden</t>
  </si>
  <si>
    <t>Malix</t>
  </si>
  <si>
    <t>Parpan</t>
  </si>
  <si>
    <t>Castiel</t>
  </si>
  <si>
    <t>Arosa</t>
  </si>
  <si>
    <t>Lüen</t>
  </si>
  <si>
    <t>Calfreisen</t>
  </si>
  <si>
    <t>St. Peter</t>
  </si>
  <si>
    <t>Pagig</t>
  </si>
  <si>
    <t>Peist</t>
  </si>
  <si>
    <t>Molinis</t>
  </si>
  <si>
    <t>Langwies</t>
  </si>
  <si>
    <t>Litzirüti</t>
  </si>
  <si>
    <t>Praden</t>
  </si>
  <si>
    <t>Tschiertschen-Praden</t>
  </si>
  <si>
    <t>Tschiertschen</t>
  </si>
  <si>
    <t>Says</t>
  </si>
  <si>
    <t>Trimmis</t>
  </si>
  <si>
    <t>Untervaz</t>
  </si>
  <si>
    <t>Zizers</t>
  </si>
  <si>
    <t>Fläsch</t>
  </si>
  <si>
    <t>Jenins</t>
  </si>
  <si>
    <t>Maienfeld</t>
  </si>
  <si>
    <t>Malans GR</t>
  </si>
  <si>
    <t>Malans</t>
  </si>
  <si>
    <t>Igis</t>
  </si>
  <si>
    <t>Landquart</t>
  </si>
  <si>
    <t>Mastrils</t>
  </si>
  <si>
    <t>Valzeina</t>
  </si>
  <si>
    <t>Grüsch</t>
  </si>
  <si>
    <t>Fanas</t>
  </si>
  <si>
    <t>Schiers</t>
  </si>
  <si>
    <t>Lunden</t>
  </si>
  <si>
    <t>Stels</t>
  </si>
  <si>
    <t>Fajauna</t>
  </si>
  <si>
    <t>Schuders</t>
  </si>
  <si>
    <t>Pusserein</t>
  </si>
  <si>
    <t>Seewis Dorf</t>
  </si>
  <si>
    <t>Seewis im Prättigau</t>
  </si>
  <si>
    <t>Seewis-Pardisla</t>
  </si>
  <si>
    <t>Seewis-Schmitten</t>
  </si>
  <si>
    <t>Waltensburg/Vuorz</t>
  </si>
  <si>
    <t>Breil/Brigels</t>
  </si>
  <si>
    <t>Andiast</t>
  </si>
  <si>
    <t>Tavanasa</t>
  </si>
  <si>
    <t>Danis</t>
  </si>
  <si>
    <t>Dardin</t>
  </si>
  <si>
    <t>Disentis/Mustér</t>
  </si>
  <si>
    <t>Cavardiras</t>
  </si>
  <si>
    <t>Mumpé Medel</t>
  </si>
  <si>
    <t>Segnas</t>
  </si>
  <si>
    <t>Curaglia</t>
  </si>
  <si>
    <t>Medel (Lucmagn)</t>
  </si>
  <si>
    <t>Platta</t>
  </si>
  <si>
    <t>Rabius</t>
  </si>
  <si>
    <t>Sumvitg</t>
  </si>
  <si>
    <t>Surrein</t>
  </si>
  <si>
    <t>S. Benedetg</t>
  </si>
  <si>
    <t>Cumpadials</t>
  </si>
  <si>
    <t>Camischolas</t>
  </si>
  <si>
    <t>Tujetsch</t>
  </si>
  <si>
    <t>Sedrun</t>
  </si>
  <si>
    <t>Rueras</t>
  </si>
  <si>
    <t>Trun</t>
  </si>
  <si>
    <t>Zignau</t>
  </si>
  <si>
    <t>Schlans</t>
  </si>
  <si>
    <t>Obersaxen</t>
  </si>
  <si>
    <t>Obersaxen Mundaun</t>
  </si>
  <si>
    <t>Flond</t>
  </si>
  <si>
    <t>Surcuolm</t>
  </si>
  <si>
    <t>Aarau</t>
  </si>
  <si>
    <t>AG</t>
  </si>
  <si>
    <t>Aarau Rohr</t>
  </si>
  <si>
    <t>Biberstein</t>
  </si>
  <si>
    <t>Buchs AG</t>
  </si>
  <si>
    <t>Buchs (AG)</t>
  </si>
  <si>
    <t>Asp</t>
  </si>
  <si>
    <t>Densbüren</t>
  </si>
  <si>
    <t>Barmelweid</t>
  </si>
  <si>
    <t>Erlinsbach (AG)</t>
  </si>
  <si>
    <t>Erlinsbach</t>
  </si>
  <si>
    <t>Gränichen</t>
  </si>
  <si>
    <t>Hirschthal</t>
  </si>
  <si>
    <t>Rombach</t>
  </si>
  <si>
    <t>Küttigen</t>
  </si>
  <si>
    <t>Muhen</t>
  </si>
  <si>
    <t>Oberentfelden</t>
  </si>
  <si>
    <t>Suhr</t>
  </si>
  <si>
    <t>Unterentfelden</t>
  </si>
  <si>
    <t>Baden</t>
  </si>
  <si>
    <t>Dättwil AG</t>
  </si>
  <si>
    <t>Rütihof</t>
  </si>
  <si>
    <t>Bellikon</t>
  </si>
  <si>
    <t>Bergdietikon</t>
  </si>
  <si>
    <t>Birmenstorf AG</t>
  </si>
  <si>
    <t>Birmenstorf (AG)</t>
  </si>
  <si>
    <t>Ennetbaden</t>
  </si>
  <si>
    <t>Fislisbach</t>
  </si>
  <si>
    <t>Freienwil</t>
  </si>
  <si>
    <t>Gebenstorf</t>
  </si>
  <si>
    <t>Vogelsang AG</t>
  </si>
  <si>
    <t>Killwangen</t>
  </si>
  <si>
    <t>Künten</t>
  </si>
  <si>
    <t>Mägenwil</t>
  </si>
  <si>
    <t>Mellingen</t>
  </si>
  <si>
    <t>Neuenhof</t>
  </si>
  <si>
    <t>Niederrohrdorf</t>
  </si>
  <si>
    <t>Oberrohrdorf</t>
  </si>
  <si>
    <t>Nussbaumen AG</t>
  </si>
  <si>
    <t>Obersiggenthal</t>
  </si>
  <si>
    <t>Hertenstein AG</t>
  </si>
  <si>
    <t>Rieden AG</t>
  </si>
  <si>
    <t>Kirchdorf AG</t>
  </si>
  <si>
    <t>Remetschwil</t>
  </si>
  <si>
    <t>Spreitenbach</t>
  </si>
  <si>
    <t>Stetten AG</t>
  </si>
  <si>
    <t>Stetten (AG)</t>
  </si>
  <si>
    <t>Turgi</t>
  </si>
  <si>
    <t>Siggenthal Station</t>
  </si>
  <si>
    <t>Untersiggenthal</t>
  </si>
  <si>
    <t>Wettingen</t>
  </si>
  <si>
    <t>Wohlenschwil</t>
  </si>
  <si>
    <t>Würenlingen</t>
  </si>
  <si>
    <t>Würenlos</t>
  </si>
  <si>
    <t>Kloster Fahr</t>
  </si>
  <si>
    <t>Ehrendingen</t>
  </si>
  <si>
    <t>Arni AG</t>
  </si>
  <si>
    <t>Arni (AG)</t>
  </si>
  <si>
    <t>Berikon</t>
  </si>
  <si>
    <t>Bremgarten AG</t>
  </si>
  <si>
    <t>Bremgarten (AG)</t>
  </si>
  <si>
    <t>Hermetschwil-Staffeln</t>
  </si>
  <si>
    <t>Büttikon AG</t>
  </si>
  <si>
    <t>Büttikon</t>
  </si>
  <si>
    <t>Dottikon</t>
  </si>
  <si>
    <t>Eggenwil</t>
  </si>
  <si>
    <t>Fischbach-Göslikon</t>
  </si>
  <si>
    <t>Hägglingen</t>
  </si>
  <si>
    <t>Jonen</t>
  </si>
  <si>
    <t>Niederwil AG</t>
  </si>
  <si>
    <t>Niederwil (AG)</t>
  </si>
  <si>
    <t>Nesselnbach</t>
  </si>
  <si>
    <t>Oberlunkhofen</t>
  </si>
  <si>
    <t>Oberwil-Lieli</t>
  </si>
  <si>
    <t>Rudolfstetten</t>
  </si>
  <si>
    <t>Rudolfstetten-Friedlisberg</t>
  </si>
  <si>
    <t>Sarmenstorf</t>
  </si>
  <si>
    <t>Tägerig</t>
  </si>
  <si>
    <t>Uezwil</t>
  </si>
  <si>
    <t>Unterlunkhofen</t>
  </si>
  <si>
    <t>Villmergen</t>
  </si>
  <si>
    <t>Hilfikon</t>
  </si>
  <si>
    <t>Widen</t>
  </si>
  <si>
    <t>Wohlen AG</t>
  </si>
  <si>
    <t>Wohlen (AG)</t>
  </si>
  <si>
    <t>Anglikon</t>
  </si>
  <si>
    <t>Zufikon</t>
  </si>
  <si>
    <t>Islisberg</t>
  </si>
  <si>
    <t>Auenstein</t>
  </si>
  <si>
    <t>Birr</t>
  </si>
  <si>
    <t>Birrhard</t>
  </si>
  <si>
    <t>Schinznach Bad</t>
  </si>
  <si>
    <t>Brugg</t>
  </si>
  <si>
    <t>Brugg AG</t>
  </si>
  <si>
    <t>Umiken</t>
  </si>
  <si>
    <t>Habsburg</t>
  </si>
  <si>
    <t>Hausen AG</t>
  </si>
  <si>
    <t>Hausen (AG)</t>
  </si>
  <si>
    <t>Lupfig</t>
  </si>
  <si>
    <t>Scherz</t>
  </si>
  <si>
    <t>Mandach</t>
  </si>
  <si>
    <t>Mönthal</t>
  </si>
  <si>
    <t>Mülligen</t>
  </si>
  <si>
    <t>Remigen</t>
  </si>
  <si>
    <t>Riniken</t>
  </si>
  <si>
    <t>Rüfenach AG</t>
  </si>
  <si>
    <t>Rüfenach</t>
  </si>
  <si>
    <t>Thalheim AG</t>
  </si>
  <si>
    <t>Thalheim (AG)</t>
  </si>
  <si>
    <t>Veltheim AG</t>
  </si>
  <si>
    <t>Veltheim (AG)</t>
  </si>
  <si>
    <t>Stilli</t>
  </si>
  <si>
    <t>Villigen</t>
  </si>
  <si>
    <t>Villnachern</t>
  </si>
  <si>
    <t>Windisch</t>
  </si>
  <si>
    <t>Bözberg</t>
  </si>
  <si>
    <t>Schinznach Dorf</t>
  </si>
  <si>
    <t>Schinznach</t>
  </si>
  <si>
    <t>Oberflachs</t>
  </si>
  <si>
    <t>Beinwil am See</t>
  </si>
  <si>
    <t>Birrwil</t>
  </si>
  <si>
    <t>Burg AG</t>
  </si>
  <si>
    <t>Burg (AG)</t>
  </si>
  <si>
    <t>Dürrenäsch</t>
  </si>
  <si>
    <t>Gontenschwil</t>
  </si>
  <si>
    <t>Holziken</t>
  </si>
  <si>
    <t>Leimbach AG</t>
  </si>
  <si>
    <t>Leimbach (AG)</t>
  </si>
  <si>
    <t>Leutwil</t>
  </si>
  <si>
    <t>Menziken</t>
  </si>
  <si>
    <t>Oberkulm</t>
  </si>
  <si>
    <t>Reinach AG</t>
  </si>
  <si>
    <t>Reinach (AG)</t>
  </si>
  <si>
    <t>Schlossrued</t>
  </si>
  <si>
    <t>Schmiedrued</t>
  </si>
  <si>
    <t>Walde AG</t>
  </si>
  <si>
    <t>Schöftland</t>
  </si>
  <si>
    <t>Teufenthal AG</t>
  </si>
  <si>
    <t>Teufenthal (AG)</t>
  </si>
  <si>
    <t>Unterkulm</t>
  </si>
  <si>
    <t>Zetzwil</t>
  </si>
  <si>
    <t>Eiken</t>
  </si>
  <si>
    <t>Frick</t>
  </si>
  <si>
    <t>Gansingen</t>
  </si>
  <si>
    <t>Gipf-Oberfrick</t>
  </si>
  <si>
    <t>Herznach</t>
  </si>
  <si>
    <t>Kaisten</t>
  </si>
  <si>
    <t>Ittenthal</t>
  </si>
  <si>
    <t>Laufenburg</t>
  </si>
  <si>
    <t>Rheinsulz</t>
  </si>
  <si>
    <t>Sulz AG</t>
  </si>
  <si>
    <t>Münchwilen AG</t>
  </si>
  <si>
    <t>Münchwilen (AG)</t>
  </si>
  <si>
    <t>Oberhof</t>
  </si>
  <si>
    <t>Oeschgen</t>
  </si>
  <si>
    <t>Schwaderloch</t>
  </si>
  <si>
    <t>Sisseln AG</t>
  </si>
  <si>
    <t>Sisseln</t>
  </si>
  <si>
    <t>Ueken</t>
  </si>
  <si>
    <t>Wittnau</t>
  </si>
  <si>
    <t>Wölflinswil</t>
  </si>
  <si>
    <t>Zeihen</t>
  </si>
  <si>
    <t>Oberhofen AG</t>
  </si>
  <si>
    <t>Mettauertal</t>
  </si>
  <si>
    <t>Mettau</t>
  </si>
  <si>
    <t>Etzgen</t>
  </si>
  <si>
    <t>Wil AG</t>
  </si>
  <si>
    <t>Hottwil</t>
  </si>
  <si>
    <t>Hornussen</t>
  </si>
  <si>
    <t>Böztal</t>
  </si>
  <si>
    <t>Bözen</t>
  </si>
  <si>
    <t>Elfingen</t>
  </si>
  <si>
    <t>Effingen</t>
  </si>
  <si>
    <t>Ammerswil AG</t>
  </si>
  <si>
    <t>Ammerswil</t>
  </si>
  <si>
    <t>Boniswil</t>
  </si>
  <si>
    <t>Brunegg</t>
  </si>
  <si>
    <t>Dintikon</t>
  </si>
  <si>
    <t>Egliswil</t>
  </si>
  <si>
    <t>Fahrwangen</t>
  </si>
  <si>
    <t>Hallwil</t>
  </si>
  <si>
    <t>Hendschiken</t>
  </si>
  <si>
    <t>Holderbank AG</t>
  </si>
  <si>
    <t>Holderbank (AG)</t>
  </si>
  <si>
    <t>Hunzenschwil</t>
  </si>
  <si>
    <t>Lenzburg</t>
  </si>
  <si>
    <t>Meisterschwanden</t>
  </si>
  <si>
    <t>Tennwil</t>
  </si>
  <si>
    <t>Wildegg</t>
  </si>
  <si>
    <t>Möriken-Wildegg</t>
  </si>
  <si>
    <t>Möriken AG</t>
  </si>
  <si>
    <t>Niederlenz</t>
  </si>
  <si>
    <t>Othmarsingen</t>
  </si>
  <si>
    <t>Rupperswil</t>
  </si>
  <si>
    <t>Schafisheim</t>
  </si>
  <si>
    <t>Seengen</t>
  </si>
  <si>
    <t>Seon</t>
  </si>
  <si>
    <t>Staufen</t>
  </si>
  <si>
    <t>Abtwil AG</t>
  </si>
  <si>
    <t>Abtwil</t>
  </si>
  <si>
    <t>Aristau</t>
  </si>
  <si>
    <t>Auw</t>
  </si>
  <si>
    <t>Beinwil (Freiamt)</t>
  </si>
  <si>
    <t>Besenbüren</t>
  </si>
  <si>
    <t>Bettwil</t>
  </si>
  <si>
    <t>Boswil</t>
  </si>
  <si>
    <t>Bünzen</t>
  </si>
  <si>
    <t>Waldhäusern AG</t>
  </si>
  <si>
    <t>Buttwil</t>
  </si>
  <si>
    <t>Dietwil</t>
  </si>
  <si>
    <t>Geltwil</t>
  </si>
  <si>
    <t>Kallern</t>
  </si>
  <si>
    <t>Merenschwand</t>
  </si>
  <si>
    <t>Benzenschwil</t>
  </si>
  <si>
    <t>Mühlau</t>
  </si>
  <si>
    <t>Muri AG</t>
  </si>
  <si>
    <t>Muri (AG)</t>
  </si>
  <si>
    <t>Oberrüti</t>
  </si>
  <si>
    <t>Rottenschwil</t>
  </si>
  <si>
    <t>Sins</t>
  </si>
  <si>
    <t>Alikon</t>
  </si>
  <si>
    <t>Meienberg</t>
  </si>
  <si>
    <t>Aettenschwil</t>
  </si>
  <si>
    <t>Fenkrieden</t>
  </si>
  <si>
    <t>Waltenschwil</t>
  </si>
  <si>
    <t>Hellikon</t>
  </si>
  <si>
    <t>Kaiseraugst</t>
  </si>
  <si>
    <t>Magden</t>
  </si>
  <si>
    <t>Möhlin</t>
  </si>
  <si>
    <t>Mumpf</t>
  </si>
  <si>
    <t>Obermumpf</t>
  </si>
  <si>
    <t>Olsberg</t>
  </si>
  <si>
    <t>Rheinfelden</t>
  </si>
  <si>
    <t>Schupfart</t>
  </si>
  <si>
    <t>Stein AG</t>
  </si>
  <si>
    <t>Stein (AG)</t>
  </si>
  <si>
    <t>Wallbach</t>
  </si>
  <si>
    <t>Wegenstetten</t>
  </si>
  <si>
    <t>Zeiningen</t>
  </si>
  <si>
    <t>Zuzgen</t>
  </si>
  <si>
    <t>Aarburg</t>
  </si>
  <si>
    <t>Bottenwil</t>
  </si>
  <si>
    <t>Brittnau</t>
  </si>
  <si>
    <t>Kirchleerau</t>
  </si>
  <si>
    <t>Kölliken</t>
  </si>
  <si>
    <t>Moosleerau</t>
  </si>
  <si>
    <t>Murgenthal</t>
  </si>
  <si>
    <t>Riken AG</t>
  </si>
  <si>
    <t>Glashütten</t>
  </si>
  <si>
    <t>Oftringen</t>
  </si>
  <si>
    <t>Attelwil</t>
  </si>
  <si>
    <t>Reitnau</t>
  </si>
  <si>
    <t>Rothrist</t>
  </si>
  <si>
    <t>Safenwil</t>
  </si>
  <si>
    <t>Staffelbach</t>
  </si>
  <si>
    <t>Wittwil</t>
  </si>
  <si>
    <t>Strengelbach</t>
  </si>
  <si>
    <t>Uerkheim</t>
  </si>
  <si>
    <t>Vordemwald</t>
  </si>
  <si>
    <t>Wiliberg</t>
  </si>
  <si>
    <t>Zofingen</t>
  </si>
  <si>
    <t>Mühlethal</t>
  </si>
  <si>
    <t>Kleindöttingen</t>
  </si>
  <si>
    <t>Böttstein</t>
  </si>
  <si>
    <t>Döttingen</t>
  </si>
  <si>
    <t>Endingen</t>
  </si>
  <si>
    <t>Unterendingen</t>
  </si>
  <si>
    <t>Fisibach</t>
  </si>
  <si>
    <t>Full-Reuenthal</t>
  </si>
  <si>
    <t>Klingnau</t>
  </si>
  <si>
    <t>Koblenz</t>
  </si>
  <si>
    <t>Leibstadt</t>
  </si>
  <si>
    <t>Lengnau AG</t>
  </si>
  <si>
    <t>Lengnau (AG)</t>
  </si>
  <si>
    <t>Leuggern</t>
  </si>
  <si>
    <t>Hettenschwil</t>
  </si>
  <si>
    <t>Mellikon</t>
  </si>
  <si>
    <t>Schneisingen</t>
  </si>
  <si>
    <t>Siglistorf</t>
  </si>
  <si>
    <t>Tegerfelden</t>
  </si>
  <si>
    <t>Rietheim</t>
  </si>
  <si>
    <t>Zurzach</t>
  </si>
  <si>
    <t>Bad Zurzach</t>
  </si>
  <si>
    <t>Rekingen AG</t>
  </si>
  <si>
    <t>Baldingen</t>
  </si>
  <si>
    <t>Böbikon</t>
  </si>
  <si>
    <t>Wislikofen</t>
  </si>
  <si>
    <t>Rümikon AG</t>
  </si>
  <si>
    <t>Kaiserstuhl AG</t>
  </si>
  <si>
    <t>Arbon</t>
  </si>
  <si>
    <t>TG</t>
  </si>
  <si>
    <t>Frasnacht</t>
  </si>
  <si>
    <t>Stachen</t>
  </si>
  <si>
    <t>Dozwil</t>
  </si>
  <si>
    <t>Steinebrunn</t>
  </si>
  <si>
    <t>Egnach</t>
  </si>
  <si>
    <t>Neukirch (Egnach)</t>
  </si>
  <si>
    <t>Winden</t>
  </si>
  <si>
    <t>Hefenhofen</t>
  </si>
  <si>
    <t>Horn</t>
  </si>
  <si>
    <t>Kesswil</t>
  </si>
  <si>
    <t>Freidorf TG</t>
  </si>
  <si>
    <t>Roggwil (TG)</t>
  </si>
  <si>
    <t>Roggwil TG</t>
  </si>
  <si>
    <t>Romanshorn</t>
  </si>
  <si>
    <t>Salmsach</t>
  </si>
  <si>
    <t>Sommeri</t>
  </si>
  <si>
    <t>Uttwil</t>
  </si>
  <si>
    <t>Amriswil</t>
  </si>
  <si>
    <t>Hagenwil b. Amriswil</t>
  </si>
  <si>
    <t>Biessenhofen</t>
  </si>
  <si>
    <t>Schocherswil</t>
  </si>
  <si>
    <t>Oberaach</t>
  </si>
  <si>
    <t>Bischofszell</t>
  </si>
  <si>
    <t>Schweizersholz</t>
  </si>
  <si>
    <t>Halden</t>
  </si>
  <si>
    <t>Erlen</t>
  </si>
  <si>
    <t>Kümmertshausen</t>
  </si>
  <si>
    <t>Riedt b. Erlen</t>
  </si>
  <si>
    <t>Buchackern</t>
  </si>
  <si>
    <t>Engishofen</t>
  </si>
  <si>
    <t>Ennetaach</t>
  </si>
  <si>
    <t>Hauptwil</t>
  </si>
  <si>
    <t>Hauptwil-Gottshaus</t>
  </si>
  <si>
    <t>Wilen (Gottshaus)</t>
  </si>
  <si>
    <t>St. Pelagiberg</t>
  </si>
  <si>
    <t>Heldswil</t>
  </si>
  <si>
    <t>Hohentannen</t>
  </si>
  <si>
    <t>Kradolf</t>
  </si>
  <si>
    <t>Kradolf-Schönenberg</t>
  </si>
  <si>
    <t>Schönenberg an der Thur</t>
  </si>
  <si>
    <t>Buhwil</t>
  </si>
  <si>
    <t>Neukirch an der Thur</t>
  </si>
  <si>
    <t>Sulgen</t>
  </si>
  <si>
    <t>Götighofen</t>
  </si>
  <si>
    <t>Donzhausen</t>
  </si>
  <si>
    <t>Zihlschlacht</t>
  </si>
  <si>
    <t>Zihlschlacht-Sitterdorf</t>
  </si>
  <si>
    <t>Sitterdorf</t>
  </si>
  <si>
    <t>Basadingen</t>
  </si>
  <si>
    <t>Basadingen-Schlattingen</t>
  </si>
  <si>
    <t>Schlattingen</t>
  </si>
  <si>
    <t>Diessenhofen</t>
  </si>
  <si>
    <t>Willisdorf</t>
  </si>
  <si>
    <t>Schlatt TG</t>
  </si>
  <si>
    <t>Schlatt (TG)</t>
  </si>
  <si>
    <t>Aadorf</t>
  </si>
  <si>
    <t>Ettenhausen TG</t>
  </si>
  <si>
    <t>Guntershausen b. Aadorf</t>
  </si>
  <si>
    <t>Häuslenen</t>
  </si>
  <si>
    <t>Aawangen</t>
  </si>
  <si>
    <t>Wittenwil</t>
  </si>
  <si>
    <t>Felben-Wellhausen</t>
  </si>
  <si>
    <t>Frauenfeld</t>
  </si>
  <si>
    <t>Gerlikon</t>
  </si>
  <si>
    <t>Islikon</t>
  </si>
  <si>
    <t>Gachnang</t>
  </si>
  <si>
    <t>Kefikon TG</t>
  </si>
  <si>
    <t>Harenwilen</t>
  </si>
  <si>
    <t>Hüttlingen</t>
  </si>
  <si>
    <t>Mettendorf TG</t>
  </si>
  <si>
    <t>Eschikofen</t>
  </si>
  <si>
    <t>Matzingen</t>
  </si>
  <si>
    <t>Niederneunforn</t>
  </si>
  <si>
    <t>Neunforn</t>
  </si>
  <si>
    <t>Oberneunforn</t>
  </si>
  <si>
    <t>Stettfurt</t>
  </si>
  <si>
    <t>Thundorf</t>
  </si>
  <si>
    <t>Lustdorf</t>
  </si>
  <si>
    <t>Wetzikon TG</t>
  </si>
  <si>
    <t>Uesslingen</t>
  </si>
  <si>
    <t>Uesslingen-Buch</t>
  </si>
  <si>
    <t>Buch b. Frauenfeld</t>
  </si>
  <si>
    <t>Warth</t>
  </si>
  <si>
    <t>Warth-Weiningen</t>
  </si>
  <si>
    <t>Weiningen TG</t>
  </si>
  <si>
    <t>Altnau</t>
  </si>
  <si>
    <t>Bottighofen</t>
  </si>
  <si>
    <t>Ermatingen</t>
  </si>
  <si>
    <t>Triboltingen</t>
  </si>
  <si>
    <t>Gottlieben</t>
  </si>
  <si>
    <t>Güttingen</t>
  </si>
  <si>
    <t>Hugelshofen</t>
  </si>
  <si>
    <t>Kemmental</t>
  </si>
  <si>
    <t>Neuwilen</t>
  </si>
  <si>
    <t>Dotnacht</t>
  </si>
  <si>
    <t>Ellighausen</t>
  </si>
  <si>
    <t>Lippoldswilen</t>
  </si>
  <si>
    <t>Siegershausen</t>
  </si>
  <si>
    <t>Alterswilen</t>
  </si>
  <si>
    <t>Altishausen</t>
  </si>
  <si>
    <t>Kreuzlingen</t>
  </si>
  <si>
    <t>Langrickenbach</t>
  </si>
  <si>
    <t>Zuben</t>
  </si>
  <si>
    <t>Schönenbaumgarten</t>
  </si>
  <si>
    <t>Herrenhof</t>
  </si>
  <si>
    <t>Illighausen</t>
  </si>
  <si>
    <t>Lengwil</t>
  </si>
  <si>
    <t>Oberhofen TG</t>
  </si>
  <si>
    <t>Dettighofen (Lengwil)</t>
  </si>
  <si>
    <t>Scherzingen</t>
  </si>
  <si>
    <t>Münsterlingen</t>
  </si>
  <si>
    <t>Landschlacht</t>
  </si>
  <si>
    <t>Tägerwilen</t>
  </si>
  <si>
    <t>Hefenhausen</t>
  </si>
  <si>
    <t>Wäldi</t>
  </si>
  <si>
    <t>Engwilen</t>
  </si>
  <si>
    <t>Sonterswil</t>
  </si>
  <si>
    <t>Lipperswil</t>
  </si>
  <si>
    <t>Hattenhausen</t>
  </si>
  <si>
    <t>Gunterswilen</t>
  </si>
  <si>
    <t>Affeltrangen</t>
  </si>
  <si>
    <t>Zezikon</t>
  </si>
  <si>
    <t>Märwil</t>
  </si>
  <si>
    <t>Buch b. Märwil</t>
  </si>
  <si>
    <t>Bettwiesen</t>
  </si>
  <si>
    <t>Balterswil</t>
  </si>
  <si>
    <t>Bichelsee-Balterswil</t>
  </si>
  <si>
    <t>Bichelsee</t>
  </si>
  <si>
    <t>Braunau</t>
  </si>
  <si>
    <t>Eschlikon TG</t>
  </si>
  <si>
    <t>Eschlikon</t>
  </si>
  <si>
    <t>Wallenwil</t>
  </si>
  <si>
    <t>Dussnang</t>
  </si>
  <si>
    <t>Fischingen</t>
  </si>
  <si>
    <t>Oberwangen TG</t>
  </si>
  <si>
    <t>Au TG</t>
  </si>
  <si>
    <t>Lommis</t>
  </si>
  <si>
    <t>Weingarten-Kalthäusern</t>
  </si>
  <si>
    <t>Münchwilen TG</t>
  </si>
  <si>
    <t>Münchwilen (TG)</t>
  </si>
  <si>
    <t>St. Margarethen TG</t>
  </si>
  <si>
    <t>Rickenbach (TG)</t>
  </si>
  <si>
    <t>Schönholzerswilen</t>
  </si>
  <si>
    <t>Sirnach</t>
  </si>
  <si>
    <t>Busswil TG</t>
  </si>
  <si>
    <t>Wiezikon b. Sirnach</t>
  </si>
  <si>
    <t>Littenheid</t>
  </si>
  <si>
    <t>Tägerschen</t>
  </si>
  <si>
    <t>Tobel-Tägerschen</t>
  </si>
  <si>
    <t>Tobel</t>
  </si>
  <si>
    <t>Wängi</t>
  </si>
  <si>
    <t>Tuttwil</t>
  </si>
  <si>
    <t>Wilen b. Wil</t>
  </si>
  <si>
    <t>Wilen (TG)</t>
  </si>
  <si>
    <t>Wuppenau</t>
  </si>
  <si>
    <t>Hosenruck</t>
  </si>
  <si>
    <t>Berlingen</t>
  </si>
  <si>
    <t>Eschenz</t>
  </si>
  <si>
    <t>Lanzenneunforn</t>
  </si>
  <si>
    <t>Herdern</t>
  </si>
  <si>
    <t>Hörhausen</t>
  </si>
  <si>
    <t>Homburg</t>
  </si>
  <si>
    <t>Hüttwilen</t>
  </si>
  <si>
    <t>Nussbaumen TG</t>
  </si>
  <si>
    <t>Uerschhausen</t>
  </si>
  <si>
    <t>Mammern</t>
  </si>
  <si>
    <t>Müllheim Dorf</t>
  </si>
  <si>
    <t>Müllheim</t>
  </si>
  <si>
    <t>Pfyn</t>
  </si>
  <si>
    <t>Dettighofen</t>
  </si>
  <si>
    <t>Raperswilen</t>
  </si>
  <si>
    <t>Mannenbach-Salenstein</t>
  </si>
  <si>
    <t>Salenstein</t>
  </si>
  <si>
    <t>Fruthwilen</t>
  </si>
  <si>
    <t>Steckborn</t>
  </si>
  <si>
    <t>Kaltenbach</t>
  </si>
  <si>
    <t>Wagenhausen</t>
  </si>
  <si>
    <t>Etzwilen</t>
  </si>
  <si>
    <t>Rheinklingen</t>
  </si>
  <si>
    <t>Amlikon-Bissegg</t>
  </si>
  <si>
    <t>Berg TG</t>
  </si>
  <si>
    <t>Berg (TG)</t>
  </si>
  <si>
    <t>Andhausen</t>
  </si>
  <si>
    <t>Graltshausen</t>
  </si>
  <si>
    <t>Guntershausen b. Berg</t>
  </si>
  <si>
    <t>Mauren TG</t>
  </si>
  <si>
    <t>Mattwil</t>
  </si>
  <si>
    <t>Birwinken</t>
  </si>
  <si>
    <t>Happerswil</t>
  </si>
  <si>
    <t>Klarsreuti</t>
  </si>
  <si>
    <t>Andwil TG</t>
  </si>
  <si>
    <t>Buch b. Kümmertshausen</t>
  </si>
  <si>
    <t>Bürglen TG</t>
  </si>
  <si>
    <t>Bürglen (TG)</t>
  </si>
  <si>
    <t>Istighofen</t>
  </si>
  <si>
    <t>Leimbach TG</t>
  </si>
  <si>
    <t>Opfershofen TG</t>
  </si>
  <si>
    <t>Stehrenberg</t>
  </si>
  <si>
    <t>Bussnang</t>
  </si>
  <si>
    <t>Lanterswil</t>
  </si>
  <si>
    <t>Friltschen</t>
  </si>
  <si>
    <t>Mettlen</t>
  </si>
  <si>
    <t>Oberbussnang</t>
  </si>
  <si>
    <t>Oppikon</t>
  </si>
  <si>
    <t>Schmidshof</t>
  </si>
  <si>
    <t>Rothenhausen</t>
  </si>
  <si>
    <t>Märstetten</t>
  </si>
  <si>
    <t>Ottoberg</t>
  </si>
  <si>
    <t>Weinfelden</t>
  </si>
  <si>
    <t>Müllheim-Wigoltingen</t>
  </si>
  <si>
    <t>Wigoltingen</t>
  </si>
  <si>
    <t>Bonau</t>
  </si>
  <si>
    <t>Engwang</t>
  </si>
  <si>
    <t>Illhart</t>
  </si>
  <si>
    <t>Lamperswil TG</t>
  </si>
  <si>
    <t>Wagerswil</t>
  </si>
  <si>
    <t>Arbedo</t>
  </si>
  <si>
    <t>Arbedo-Castione</t>
  </si>
  <si>
    <t>TI</t>
  </si>
  <si>
    <t>Castione</t>
  </si>
  <si>
    <t>Bellinzona</t>
  </si>
  <si>
    <t>Giubiasco</t>
  </si>
  <si>
    <t>Monte Carasso</t>
  </si>
  <si>
    <t>Sementina</t>
  </si>
  <si>
    <t>Gudo</t>
  </si>
  <si>
    <t>Gorduno</t>
  </si>
  <si>
    <t>Preonzo</t>
  </si>
  <si>
    <t>Moleno</t>
  </si>
  <si>
    <t>Gnosca</t>
  </si>
  <si>
    <t>Camorino</t>
  </si>
  <si>
    <t>Pianezzo</t>
  </si>
  <si>
    <t>S. Antonio (Val Morobbia)</t>
  </si>
  <si>
    <t>Carena</t>
  </si>
  <si>
    <t>Claro</t>
  </si>
  <si>
    <t>Cadenazzo</t>
  </si>
  <si>
    <t>Robasacco</t>
  </si>
  <si>
    <t>Isone</t>
  </si>
  <si>
    <t>Lumino</t>
  </si>
  <si>
    <t>S. Antonino</t>
  </si>
  <si>
    <t>Sant'Antonino</t>
  </si>
  <si>
    <t>Dongio</t>
  </si>
  <si>
    <t>Acquarossa</t>
  </si>
  <si>
    <t>Leontica</t>
  </si>
  <si>
    <t>Lottigna</t>
  </si>
  <si>
    <t>Motto (Blenio)</t>
  </si>
  <si>
    <t>Corzoneso</t>
  </si>
  <si>
    <t>Prugiasco</t>
  </si>
  <si>
    <t>Castro</t>
  </si>
  <si>
    <t>Marolta</t>
  </si>
  <si>
    <t>Ponto Valentino</t>
  </si>
  <si>
    <t>Largario</t>
  </si>
  <si>
    <t>Dangio</t>
  </si>
  <si>
    <t>Blenio</t>
  </si>
  <si>
    <t>Torre</t>
  </si>
  <si>
    <t>Olivone</t>
  </si>
  <si>
    <t>Camperio</t>
  </si>
  <si>
    <t>Aquila</t>
  </si>
  <si>
    <t>Campo (Blenio)</t>
  </si>
  <si>
    <t>Ghirone</t>
  </si>
  <si>
    <t>Malvaglia</t>
  </si>
  <si>
    <t>Serravalle</t>
  </si>
  <si>
    <t>Semione</t>
  </si>
  <si>
    <t>Ludiano</t>
  </si>
  <si>
    <t>Airolo</t>
  </si>
  <si>
    <t>Madrano</t>
  </si>
  <si>
    <t>Villa Bedretto</t>
  </si>
  <si>
    <t>Bedretto</t>
  </si>
  <si>
    <t>Bodio TI</t>
  </si>
  <si>
    <t>Bodio</t>
  </si>
  <si>
    <t>Dalpe</t>
  </si>
  <si>
    <t>Lavorgo</t>
  </si>
  <si>
    <t>Faido</t>
  </si>
  <si>
    <t>Calonico</t>
  </si>
  <si>
    <t>Nivo</t>
  </si>
  <si>
    <t>Chironico</t>
  </si>
  <si>
    <t>Anzonico</t>
  </si>
  <si>
    <t>Sobrio</t>
  </si>
  <si>
    <t>Cavagnago</t>
  </si>
  <si>
    <t>Molare</t>
  </si>
  <si>
    <t>Calpiogna</t>
  </si>
  <si>
    <t>Campello</t>
  </si>
  <si>
    <t>Carì</t>
  </si>
  <si>
    <t>Rossura</t>
  </si>
  <si>
    <t>Osco</t>
  </si>
  <si>
    <t>Mairengo</t>
  </si>
  <si>
    <t>Chiggiogna</t>
  </si>
  <si>
    <t>Giornico</t>
  </si>
  <si>
    <t>Personico</t>
  </si>
  <si>
    <t>Pollegio</t>
  </si>
  <si>
    <t>Rodi-Fiesso</t>
  </si>
  <si>
    <t>Prato (Leventina)</t>
  </si>
  <si>
    <t>Ambrì</t>
  </si>
  <si>
    <t>Quinto</t>
  </si>
  <si>
    <t>Piotta</t>
  </si>
  <si>
    <t>Varenzo</t>
  </si>
  <si>
    <t>Ascona</t>
  </si>
  <si>
    <t>Brione sopra Minusio</t>
  </si>
  <si>
    <t>Brissago</t>
  </si>
  <si>
    <t>Isole di Brissago</t>
  </si>
  <si>
    <t>Gordola</t>
  </si>
  <si>
    <t>Riazzino</t>
  </si>
  <si>
    <t>Lavertezzo</t>
  </si>
  <si>
    <t>Locarno</t>
  </si>
  <si>
    <t>Solduno</t>
  </si>
  <si>
    <t>Losone</t>
  </si>
  <si>
    <t>Arcegno</t>
  </si>
  <si>
    <t>Mergoscia</t>
  </si>
  <si>
    <t>Minusio</t>
  </si>
  <si>
    <t>Muralto</t>
  </si>
  <si>
    <t>Orselina</t>
  </si>
  <si>
    <t>Porto Ronco</t>
  </si>
  <si>
    <t>Ronco sopra Ascona</t>
  </si>
  <si>
    <t>Tenero</t>
  </si>
  <si>
    <t>Tenero-Contra</t>
  </si>
  <si>
    <t>Contra</t>
  </si>
  <si>
    <t>Mosogno</t>
  </si>
  <si>
    <t>Onsernone</t>
  </si>
  <si>
    <t>Gresso</t>
  </si>
  <si>
    <t>Crana</t>
  </si>
  <si>
    <t>Loco</t>
  </si>
  <si>
    <t>Auressio</t>
  </si>
  <si>
    <t>Berzona</t>
  </si>
  <si>
    <t>Russo</t>
  </si>
  <si>
    <t>Comologno</t>
  </si>
  <si>
    <t>Spruga</t>
  </si>
  <si>
    <t>Vergeletto</t>
  </si>
  <si>
    <t>Cugnasco</t>
  </si>
  <si>
    <t>Cugnasco-Gerra</t>
  </si>
  <si>
    <t>Agarone</t>
  </si>
  <si>
    <t>Agno</t>
  </si>
  <si>
    <t>Cassina d'Agno</t>
  </si>
  <si>
    <t>Aranno</t>
  </si>
  <si>
    <t>Arogno</t>
  </si>
  <si>
    <t>Pugerna</t>
  </si>
  <si>
    <t>Astano</t>
  </si>
  <si>
    <t>Bedano</t>
  </si>
  <si>
    <t>Bedigliora</t>
  </si>
  <si>
    <t>Banco</t>
  </si>
  <si>
    <t>Beride di Bedigliora</t>
  </si>
  <si>
    <t>Bioggio</t>
  </si>
  <si>
    <t>Bosco Luganese</t>
  </si>
  <si>
    <t>Cimo</t>
  </si>
  <si>
    <t>Iseo</t>
  </si>
  <si>
    <t>Bissone</t>
  </si>
  <si>
    <t>Brusino Arsizio</t>
  </si>
  <si>
    <t>Serpiano</t>
  </si>
  <si>
    <t>Cademario</t>
  </si>
  <si>
    <t>Cadempino</t>
  </si>
  <si>
    <t>Canobbio</t>
  </si>
  <si>
    <t>Caslano</t>
  </si>
  <si>
    <t>Comano</t>
  </si>
  <si>
    <t>Cureglia</t>
  </si>
  <si>
    <t>Bombinasco</t>
  </si>
  <si>
    <t>Curio</t>
  </si>
  <si>
    <t>Grancia</t>
  </si>
  <si>
    <t>Gravesano</t>
  </si>
  <si>
    <t>Lamone</t>
  </si>
  <si>
    <t>Lugano</t>
  </si>
  <si>
    <t>Pazzallo</t>
  </si>
  <si>
    <t>Carabbia</t>
  </si>
  <si>
    <t>Carona</t>
  </si>
  <si>
    <t>Pambio-Noranco</t>
  </si>
  <si>
    <t>Barbengo</t>
  </si>
  <si>
    <t>Figino</t>
  </si>
  <si>
    <t>Breganzona</t>
  </si>
  <si>
    <t>Insone</t>
  </si>
  <si>
    <t>Scareglia</t>
  </si>
  <si>
    <t>Colla</t>
  </si>
  <si>
    <t>Bogno</t>
  </si>
  <si>
    <t>Cozzo</t>
  </si>
  <si>
    <t>Signôra</t>
  </si>
  <si>
    <t>Maglio di Colla</t>
  </si>
  <si>
    <t>Certara</t>
  </si>
  <si>
    <t>Curtina</t>
  </si>
  <si>
    <t>Cimadera</t>
  </si>
  <si>
    <t>Piandera Paese</t>
  </si>
  <si>
    <t>Viganello</t>
  </si>
  <si>
    <t>Pregassona</t>
  </si>
  <si>
    <t>Cureggia</t>
  </si>
  <si>
    <t>Davesco-Soragno</t>
  </si>
  <si>
    <t>Cadro</t>
  </si>
  <si>
    <t>Villa Luganese</t>
  </si>
  <si>
    <t>Dino</t>
  </si>
  <si>
    <t>Sonvico</t>
  </si>
  <si>
    <t>Aldesago</t>
  </si>
  <si>
    <t>Castagnola</t>
  </si>
  <si>
    <t>Ruvigliana</t>
  </si>
  <si>
    <t>Gandria</t>
  </si>
  <si>
    <t>Brè sopra Lugano</t>
  </si>
  <si>
    <t>Magliaso</t>
  </si>
  <si>
    <t>Manno</t>
  </si>
  <si>
    <t>Massagno</t>
  </si>
  <si>
    <t>Melide</t>
  </si>
  <si>
    <t>Mezzovico</t>
  </si>
  <si>
    <t>Mezzovico-Vira</t>
  </si>
  <si>
    <t>Miglieglia</t>
  </si>
  <si>
    <t>Morcote</t>
  </si>
  <si>
    <t>Muzzano</t>
  </si>
  <si>
    <t>Neggio</t>
  </si>
  <si>
    <t>Novaggio</t>
  </si>
  <si>
    <t>Origlio</t>
  </si>
  <si>
    <t>Paradiso</t>
  </si>
  <si>
    <t>Ponte Capriasca</t>
  </si>
  <si>
    <t>Porza</t>
  </si>
  <si>
    <t>Pura</t>
  </si>
  <si>
    <t>Savosa</t>
  </si>
  <si>
    <t>Sorengo</t>
  </si>
  <si>
    <t>Taverne</t>
  </si>
  <si>
    <t>Capriasca</t>
  </si>
  <si>
    <t>Vaglio</t>
  </si>
  <si>
    <t>Tesserete</t>
  </si>
  <si>
    <t>Lugaggia</t>
  </si>
  <si>
    <t>Sala Capriasca</t>
  </si>
  <si>
    <t>Bigorio</t>
  </si>
  <si>
    <t>Cagiallo</t>
  </si>
  <si>
    <t>Oggio</t>
  </si>
  <si>
    <t>Lopagno</t>
  </si>
  <si>
    <t>Roveredo TI</t>
  </si>
  <si>
    <t>Bidogno</t>
  </si>
  <si>
    <t>Corticiasca</t>
  </si>
  <si>
    <t>Odogno</t>
  </si>
  <si>
    <t>Torricella-Taverne</t>
  </si>
  <si>
    <t>Torricella</t>
  </si>
  <si>
    <t>Vernate</t>
  </si>
  <si>
    <t>Vezia</t>
  </si>
  <si>
    <t>Vico Morcote</t>
  </si>
  <si>
    <t>Carabietta</t>
  </si>
  <si>
    <t>Collina d'Oro</t>
  </si>
  <si>
    <t>Gentilino</t>
  </si>
  <si>
    <t>Montagnola</t>
  </si>
  <si>
    <t>Agra</t>
  </si>
  <si>
    <t>Breno</t>
  </si>
  <si>
    <t>Alto Malcantone</t>
  </si>
  <si>
    <t>Vezio</t>
  </si>
  <si>
    <t>Fescoggia</t>
  </si>
  <si>
    <t>Mugena</t>
  </si>
  <si>
    <t>Arosio</t>
  </si>
  <si>
    <t>Rivera</t>
  </si>
  <si>
    <t>Monteceneri</t>
  </si>
  <si>
    <t>Camignolo</t>
  </si>
  <si>
    <t>Bironico</t>
  </si>
  <si>
    <t>Sigirino</t>
  </si>
  <si>
    <t>Medeglia</t>
  </si>
  <si>
    <t>Castelrotto</t>
  </si>
  <si>
    <t>Tresa</t>
  </si>
  <si>
    <t>Ponte Tresa</t>
  </si>
  <si>
    <t>Purasca</t>
  </si>
  <si>
    <t>Madonna del Piano</t>
  </si>
  <si>
    <t>Sessa</t>
  </si>
  <si>
    <t>Monteggio</t>
  </si>
  <si>
    <t>Maroggia</t>
  </si>
  <si>
    <t>Val Mara</t>
  </si>
  <si>
    <t>Melano</t>
  </si>
  <si>
    <t>Rovio</t>
  </si>
  <si>
    <t>Capolago</t>
  </si>
  <si>
    <t>Balerna</t>
  </si>
  <si>
    <t>Corteglia</t>
  </si>
  <si>
    <t>Castel San Pietro</t>
  </si>
  <si>
    <t>Monte</t>
  </si>
  <si>
    <t>Casima</t>
  </si>
  <si>
    <t>Campora</t>
  </si>
  <si>
    <t>Chiasso</t>
  </si>
  <si>
    <t>Pedrinate</t>
  </si>
  <si>
    <t>Seseglio</t>
  </si>
  <si>
    <t>Coldrerio</t>
  </si>
  <si>
    <t>Mendrisio</t>
  </si>
  <si>
    <t>Genestrerio</t>
  </si>
  <si>
    <t>Ligornetto</t>
  </si>
  <si>
    <t>Rancate</t>
  </si>
  <si>
    <t>Besazio</t>
  </si>
  <si>
    <t>Arzo</t>
  </si>
  <si>
    <t>Tremona</t>
  </si>
  <si>
    <t>Meride</t>
  </si>
  <si>
    <t>Salorino</t>
  </si>
  <si>
    <t>Somazzo</t>
  </si>
  <si>
    <t>Morbio Inferiore</t>
  </si>
  <si>
    <t>Novazzano</t>
  </si>
  <si>
    <t>Riva San Vitale</t>
  </si>
  <si>
    <t>S. Pietro</t>
  </si>
  <si>
    <t>Stabio</t>
  </si>
  <si>
    <t>Vacallo</t>
  </si>
  <si>
    <t>Morbio Superiore</t>
  </si>
  <si>
    <t>Breggia</t>
  </si>
  <si>
    <t>Caneggio</t>
  </si>
  <si>
    <t>Bruzella</t>
  </si>
  <si>
    <t>Muggio</t>
  </si>
  <si>
    <t>Cabbio</t>
  </si>
  <si>
    <t>Sagno</t>
  </si>
  <si>
    <t>Biasca</t>
  </si>
  <si>
    <t>Prosito</t>
  </si>
  <si>
    <t>Riviera</t>
  </si>
  <si>
    <t>Lodrino</t>
  </si>
  <si>
    <t>Osogna</t>
  </si>
  <si>
    <t>Cresciano</t>
  </si>
  <si>
    <t>Iragna</t>
  </si>
  <si>
    <t>Bosco/Gurin</t>
  </si>
  <si>
    <t>Niva (Vallemaggia)</t>
  </si>
  <si>
    <t>Campo (Vallemaggia)</t>
  </si>
  <si>
    <t>Cimalmotto</t>
  </si>
  <si>
    <t>Cerentino</t>
  </si>
  <si>
    <t>Cevio</t>
  </si>
  <si>
    <t>Bignasco</t>
  </si>
  <si>
    <t>Cavergno</t>
  </si>
  <si>
    <t>S. Carlo (Val Bavona)</t>
  </si>
  <si>
    <t>Linescio</t>
  </si>
  <si>
    <t>Maggia</t>
  </si>
  <si>
    <t>Someo</t>
  </si>
  <si>
    <t>Riveo</t>
  </si>
  <si>
    <t>Aurigeno</t>
  </si>
  <si>
    <t>Moghegno</t>
  </si>
  <si>
    <t>Giumaglio</t>
  </si>
  <si>
    <t>Lodano</t>
  </si>
  <si>
    <t>Coglio</t>
  </si>
  <si>
    <t>Menzonio</t>
  </si>
  <si>
    <t>Lavizzara</t>
  </si>
  <si>
    <t>Brontallo</t>
  </si>
  <si>
    <t>Broglio</t>
  </si>
  <si>
    <t>Prato-Sornico</t>
  </si>
  <si>
    <t>Peccia</t>
  </si>
  <si>
    <t>Piano di Peccia</t>
  </si>
  <si>
    <t>Fusio</t>
  </si>
  <si>
    <t>Avegno</t>
  </si>
  <si>
    <t>Avegno Gordevio</t>
  </si>
  <si>
    <t>Gordevio</t>
  </si>
  <si>
    <t>Comunanza Cadenazzo/Monteceneri</t>
  </si>
  <si>
    <t>Tegna</t>
  </si>
  <si>
    <t>Terre di Pedemonte</t>
  </si>
  <si>
    <t>Verscio</t>
  </si>
  <si>
    <t>Cavigliano</t>
  </si>
  <si>
    <t>Intragna</t>
  </si>
  <si>
    <t>Centovalli</t>
  </si>
  <si>
    <t>Verdasio</t>
  </si>
  <si>
    <t>Rasa</t>
  </si>
  <si>
    <t>Golino</t>
  </si>
  <si>
    <t>Palagnedra</t>
  </si>
  <si>
    <t>Borgnone</t>
  </si>
  <si>
    <t>Camedo</t>
  </si>
  <si>
    <t>Moneto</t>
  </si>
  <si>
    <t>Indemini</t>
  </si>
  <si>
    <t>Gambarogno</t>
  </si>
  <si>
    <t>Quartino</t>
  </si>
  <si>
    <t>Magadino</t>
  </si>
  <si>
    <t>Vira (Gambarogno)</t>
  </si>
  <si>
    <t>S. Nazzaro</t>
  </si>
  <si>
    <t>Vairano</t>
  </si>
  <si>
    <t>Gerra (Gambarogno)</t>
  </si>
  <si>
    <t>Ranzo</t>
  </si>
  <si>
    <t>Caviano</t>
  </si>
  <si>
    <t>Piazzogna</t>
  </si>
  <si>
    <t>Contone</t>
  </si>
  <si>
    <t>Corippo</t>
  </si>
  <si>
    <t>Verzasca</t>
  </si>
  <si>
    <t>Vogorno</t>
  </si>
  <si>
    <t>Brione (Verzasca)</t>
  </si>
  <si>
    <t>Gerra (Verzasca)</t>
  </si>
  <si>
    <t>Frasco</t>
  </si>
  <si>
    <t>Sonogno</t>
  </si>
  <si>
    <t>Aigle</t>
  </si>
  <si>
    <t>VD</t>
  </si>
  <si>
    <t>Bex</t>
  </si>
  <si>
    <t>Frenières-sur-Bex</t>
  </si>
  <si>
    <t>Fenalet-sur-Bex</t>
  </si>
  <si>
    <t>Les Plans-sur-Bex</t>
  </si>
  <si>
    <t>Les Posses-sur-Bex</t>
  </si>
  <si>
    <t>Chessel</t>
  </si>
  <si>
    <t>Corbeyrier</t>
  </si>
  <si>
    <t>Gryon</t>
  </si>
  <si>
    <t>Lavey-Village</t>
  </si>
  <si>
    <t>Lavey-Morcles</t>
  </si>
  <si>
    <t>Lavey-les-Bains</t>
  </si>
  <si>
    <t>Morcles</t>
  </si>
  <si>
    <t>Leysin</t>
  </si>
  <si>
    <t>Noville</t>
  </si>
  <si>
    <t>Ollon VD</t>
  </si>
  <si>
    <t>Ollon</t>
  </si>
  <si>
    <t>St-Triphon</t>
  </si>
  <si>
    <t>Panex</t>
  </si>
  <si>
    <t>Villars-sur-Ollon</t>
  </si>
  <si>
    <t>Arveyes</t>
  </si>
  <si>
    <t>Huémoz</t>
  </si>
  <si>
    <t>Chesières</t>
  </si>
  <si>
    <t>Les Mosses</t>
  </si>
  <si>
    <t>Ormont-Dessous</t>
  </si>
  <si>
    <t>La Comballaz</t>
  </si>
  <si>
    <t>Le Sépey</t>
  </si>
  <si>
    <t>La Forclaz VD</t>
  </si>
  <si>
    <t>Vers-l'Eglise</t>
  </si>
  <si>
    <t>Ormont-Dessus</t>
  </si>
  <si>
    <t>Les Diablerets</t>
  </si>
  <si>
    <t>Rennaz</t>
  </si>
  <si>
    <t>Roche VD</t>
  </si>
  <si>
    <t>Roche (VD)</t>
  </si>
  <si>
    <t>Villeneuve VD</t>
  </si>
  <si>
    <t>Villeneuve (VD)</t>
  </si>
  <si>
    <t>Yvorne</t>
  </si>
  <si>
    <t>Aubonne</t>
  </si>
  <si>
    <t>Montherod</t>
  </si>
  <si>
    <t>Pizy</t>
  </si>
  <si>
    <t>Ballens</t>
  </si>
  <si>
    <t>Berolle</t>
  </si>
  <si>
    <t>Bière</t>
  </si>
  <si>
    <t>Bougy-Villars</t>
  </si>
  <si>
    <t>Féchy</t>
  </si>
  <si>
    <t>Gimel</t>
  </si>
  <si>
    <t>Longirod</t>
  </si>
  <si>
    <t>Marchissy</t>
  </si>
  <si>
    <t>Mollens VD</t>
  </si>
  <si>
    <t>Mollens (VD)</t>
  </si>
  <si>
    <t>St-George</t>
  </si>
  <si>
    <t>Saint-George</t>
  </si>
  <si>
    <t>St-Livres</t>
  </si>
  <si>
    <t>Saint-Livres</t>
  </si>
  <si>
    <t>St-Oyens</t>
  </si>
  <si>
    <t>Saint-Oyens</t>
  </si>
  <si>
    <t>Saubraz</t>
  </si>
  <si>
    <t>Avenches</t>
  </si>
  <si>
    <t>Oleyres</t>
  </si>
  <si>
    <t>Donatyre</t>
  </si>
  <si>
    <t>Cudrefin</t>
  </si>
  <si>
    <t>Faoug</t>
  </si>
  <si>
    <t>Villars-le-Grand</t>
  </si>
  <si>
    <t>Vully-les-Lacs</t>
  </si>
  <si>
    <t>Salavaux</t>
  </si>
  <si>
    <t>Bellerive VD</t>
  </si>
  <si>
    <t>Cotterd</t>
  </si>
  <si>
    <t>Vallamand</t>
  </si>
  <si>
    <t>Montmagny</t>
  </si>
  <si>
    <t>Constantine</t>
  </si>
  <si>
    <t>Chabrey</t>
  </si>
  <si>
    <t>Mur (Vully) VD</t>
  </si>
  <si>
    <t>Bettens</t>
  </si>
  <si>
    <t>Bournens</t>
  </si>
  <si>
    <t>Boussens</t>
  </si>
  <si>
    <t>La Chaux (Cossonay)</t>
  </si>
  <si>
    <t>Chavannes-le-Veyron</t>
  </si>
  <si>
    <t>Chevilly</t>
  </si>
  <si>
    <t>Cossonay-Ville</t>
  </si>
  <si>
    <t>Cossonay</t>
  </si>
  <si>
    <t>Allens</t>
  </si>
  <si>
    <t>Cuarnens</t>
  </si>
  <si>
    <t>Daillens</t>
  </si>
  <si>
    <t>Dizy</t>
  </si>
  <si>
    <t>Eclépens</t>
  </si>
  <si>
    <t>Ferreyres</t>
  </si>
  <si>
    <t>Gollion</t>
  </si>
  <si>
    <t>Grancy</t>
  </si>
  <si>
    <t>L'Isle</t>
  </si>
  <si>
    <t>Villars-Bozon</t>
  </si>
  <si>
    <t>La Coudre</t>
  </si>
  <si>
    <t>Lussery-Villars</t>
  </si>
  <si>
    <t>Mauraz</t>
  </si>
  <si>
    <t>Mex VD</t>
  </si>
  <si>
    <t>Mex (VD)</t>
  </si>
  <si>
    <t>Moiry VD</t>
  </si>
  <si>
    <t>Moiry</t>
  </si>
  <si>
    <t>Mont-la-Ville</t>
  </si>
  <si>
    <t>Montricher</t>
  </si>
  <si>
    <t>Orny</t>
  </si>
  <si>
    <t>Penthalaz</t>
  </si>
  <si>
    <t>Penthaz</t>
  </si>
  <si>
    <t>Pompaples</t>
  </si>
  <si>
    <t>La Sarraz</t>
  </si>
  <si>
    <t>Senarclens</t>
  </si>
  <si>
    <t>Sullens</t>
  </si>
  <si>
    <t>Vufflens-la-Ville</t>
  </si>
  <si>
    <t>Assens</t>
  </si>
  <si>
    <t>Bioley-Orjulaz</t>
  </si>
  <si>
    <t>Bercher</t>
  </si>
  <si>
    <t>Bottens</t>
  </si>
  <si>
    <t>Bretigny-sur-Morrens</t>
  </si>
  <si>
    <t>Cugy VD</t>
  </si>
  <si>
    <t>Cugy (VD)</t>
  </si>
  <si>
    <t>Echallens</t>
  </si>
  <si>
    <t>Essertines-sur-Yverdon</t>
  </si>
  <si>
    <t>Epautheyres</t>
  </si>
  <si>
    <t>Etagnières</t>
  </si>
  <si>
    <t>Fey</t>
  </si>
  <si>
    <t>Froideville</t>
  </si>
  <si>
    <t>Morrens VD</t>
  </si>
  <si>
    <t>Morrens (VD)</t>
  </si>
  <si>
    <t>Oulens-sous-Echallens</t>
  </si>
  <si>
    <t>Pailly</t>
  </si>
  <si>
    <t>Penthéréaz</t>
  </si>
  <si>
    <t>Poliez-Pittet</t>
  </si>
  <si>
    <t>Rueyres</t>
  </si>
  <si>
    <t>St-Barthélemy VD</t>
  </si>
  <si>
    <t>Saint-Barthélemy (VD)</t>
  </si>
  <si>
    <t>Villars-le-Terroir</t>
  </si>
  <si>
    <t>Vuarrens</t>
  </si>
  <si>
    <t>Dommartin</t>
  </si>
  <si>
    <t>Montilliez</t>
  </si>
  <si>
    <t>Naz</t>
  </si>
  <si>
    <t>Poliez-le-Grand</t>
  </si>
  <si>
    <t>Sugnens</t>
  </si>
  <si>
    <t>Goumoens-la-Ville</t>
  </si>
  <si>
    <t>Goumoëns</t>
  </si>
  <si>
    <t>Eclagnens</t>
  </si>
  <si>
    <t>Goumoens-le-Jux</t>
  </si>
  <si>
    <t>Bonvillars</t>
  </si>
  <si>
    <t>Les Rasses</t>
  </si>
  <si>
    <t>Bullet</t>
  </si>
  <si>
    <t>Champagne</t>
  </si>
  <si>
    <t>Concise</t>
  </si>
  <si>
    <t>Corcelles-près-Concise</t>
  </si>
  <si>
    <t>Fiez</t>
  </si>
  <si>
    <t>Fontaines-sur-Grandson</t>
  </si>
  <si>
    <t>Giez</t>
  </si>
  <si>
    <t>Grandevent</t>
  </si>
  <si>
    <t>Grandson</t>
  </si>
  <si>
    <t>Mauborget</t>
  </si>
  <si>
    <t>Mutrux</t>
  </si>
  <si>
    <t>Novalles</t>
  </si>
  <si>
    <t>Onnens VD</t>
  </si>
  <si>
    <t>Onnens (VD)</t>
  </si>
  <si>
    <t>Provence</t>
  </si>
  <si>
    <t>Ste-Croix</t>
  </si>
  <si>
    <t>Sainte-Croix</t>
  </si>
  <si>
    <t>La Sagne (Ste-Croix)</t>
  </si>
  <si>
    <t>Le Château-de-Ste-Croix</t>
  </si>
  <si>
    <t>L'Auberson</t>
  </si>
  <si>
    <t>La Vraconnaz</t>
  </si>
  <si>
    <t>Villars-Burquin</t>
  </si>
  <si>
    <t>Tévenon</t>
  </si>
  <si>
    <t>Fontanezier</t>
  </si>
  <si>
    <t>Romairon</t>
  </si>
  <si>
    <t>Vaugondry</t>
  </si>
  <si>
    <t>Belmont-sur-Lausanne</t>
  </si>
  <si>
    <t>Cheseaux-sur-Lausanne</t>
  </si>
  <si>
    <t>Crissier</t>
  </si>
  <si>
    <t>Epalinges</t>
  </si>
  <si>
    <t>Jouxtens-Mézery</t>
  </si>
  <si>
    <t>Lausanne 25</t>
  </si>
  <si>
    <t>Lausanne</t>
  </si>
  <si>
    <t>Lausanne 26</t>
  </si>
  <si>
    <t>Lausanne 27</t>
  </si>
  <si>
    <t>Le Mont-sur-Lausanne</t>
  </si>
  <si>
    <t>Paudex</t>
  </si>
  <si>
    <t>Prilly</t>
  </si>
  <si>
    <t>Pully</t>
  </si>
  <si>
    <t>Les Monts-de-Pully</t>
  </si>
  <si>
    <t>Renens VD</t>
  </si>
  <si>
    <t>Renens (VD)</t>
  </si>
  <si>
    <t>Romanel-sur-Lausanne</t>
  </si>
  <si>
    <t>Chexbres</t>
  </si>
  <si>
    <t>Forel (Lavaux)</t>
  </si>
  <si>
    <t>La Croix (Lutry)</t>
  </si>
  <si>
    <t>Lutry</t>
  </si>
  <si>
    <t>La Conversion</t>
  </si>
  <si>
    <t>Puidoux</t>
  </si>
  <si>
    <t>Rivaz</t>
  </si>
  <si>
    <t>St-Saphorin (Lavaux)</t>
  </si>
  <si>
    <t>Saint-Saphorin (Lavaux)</t>
  </si>
  <si>
    <t>Savigny</t>
  </si>
  <si>
    <t>Mollie-Margot</t>
  </si>
  <si>
    <t>Grandvaux</t>
  </si>
  <si>
    <t>Bourg-en-Lavaux</t>
  </si>
  <si>
    <t>Aran</t>
  </si>
  <si>
    <t>Chenaux</t>
  </si>
  <si>
    <t>Cully</t>
  </si>
  <si>
    <t>Villette (Lavaux)</t>
  </si>
  <si>
    <t>Riex</t>
  </si>
  <si>
    <t>Epesses</t>
  </si>
  <si>
    <t>Aclens</t>
  </si>
  <si>
    <t>Bremblens</t>
  </si>
  <si>
    <t>Buchillon</t>
  </si>
  <si>
    <t>Bussigny</t>
  </si>
  <si>
    <t>Chavannes-près-Renens</t>
  </si>
  <si>
    <t>Chigny</t>
  </si>
  <si>
    <t>Clarmont</t>
  </si>
  <si>
    <t>Denens</t>
  </si>
  <si>
    <t>Denges</t>
  </si>
  <si>
    <t>Echandens</t>
  </si>
  <si>
    <t>Echichens</t>
  </si>
  <si>
    <t>St-Saphorin-sur-Morges</t>
  </si>
  <si>
    <t>Colombier VD</t>
  </si>
  <si>
    <t>Monnaz</t>
  </si>
  <si>
    <t>Ecublens VD</t>
  </si>
  <si>
    <t>Ecublens (VD)</t>
  </si>
  <si>
    <t>Etoy</t>
  </si>
  <si>
    <t>Lavigny</t>
  </si>
  <si>
    <t>Lonay</t>
  </si>
  <si>
    <t>Lully VD</t>
  </si>
  <si>
    <t>Lully (VD)</t>
  </si>
  <si>
    <t>Lussy-sur-Morges</t>
  </si>
  <si>
    <t>Morges</t>
  </si>
  <si>
    <t>Préverenges</t>
  </si>
  <si>
    <t>Romanel-sur-Morges</t>
  </si>
  <si>
    <t>St-Prex</t>
  </si>
  <si>
    <t>Saint-Prex</t>
  </si>
  <si>
    <t>St-Sulpice VD</t>
  </si>
  <si>
    <t>Saint-Sulpice (VD)</t>
  </si>
  <si>
    <t>Tolochenaz</t>
  </si>
  <si>
    <t>Vaux-sur-Morges</t>
  </si>
  <si>
    <t>Villars-Ste-Croix</t>
  </si>
  <si>
    <t>Villars-Sainte-Croix</t>
  </si>
  <si>
    <t>Villars-sous-Yens</t>
  </si>
  <si>
    <t>Vufflens-le-Château</t>
  </si>
  <si>
    <t>Vullierens</t>
  </si>
  <si>
    <t>Yens</t>
  </si>
  <si>
    <t>Cottens VD</t>
  </si>
  <si>
    <t>Hautemorges</t>
  </si>
  <si>
    <t>Reverolle</t>
  </si>
  <si>
    <t>Bussy-Chardonney</t>
  </si>
  <si>
    <t>Sévery</t>
  </si>
  <si>
    <t>Pampigny</t>
  </si>
  <si>
    <t>Apples</t>
  </si>
  <si>
    <t>Boulens</t>
  </si>
  <si>
    <t>Bussy-sur-Moudon</t>
  </si>
  <si>
    <t>Chavannes-sur-Moudon</t>
  </si>
  <si>
    <t>Curtilles</t>
  </si>
  <si>
    <t>Dompierre VD</t>
  </si>
  <si>
    <t>Dompierre (VD)</t>
  </si>
  <si>
    <t>Hermenches</t>
  </si>
  <si>
    <t>Lovatens</t>
  </si>
  <si>
    <t>Lucens</t>
  </si>
  <si>
    <t>Oulens-sur-Lucens</t>
  </si>
  <si>
    <t>Forel-sur-Lucens</t>
  </si>
  <si>
    <t>Cremin</t>
  </si>
  <si>
    <t>Brenles</t>
  </si>
  <si>
    <t>Chesalles-sur-Moudon</t>
  </si>
  <si>
    <t>Sarzens</t>
  </si>
  <si>
    <t>Moudon</t>
  </si>
  <si>
    <t>Ogens</t>
  </si>
  <si>
    <t>Prévonloup</t>
  </si>
  <si>
    <t>Rossenges</t>
  </si>
  <si>
    <t>Syens</t>
  </si>
  <si>
    <t>Villars-le-Comte</t>
  </si>
  <si>
    <t>Vucherens</t>
  </si>
  <si>
    <t>Chapelle-sur-Moudon</t>
  </si>
  <si>
    <t>Montanaire</t>
  </si>
  <si>
    <t>Martherenges</t>
  </si>
  <si>
    <t>Peyres-Possens</t>
  </si>
  <si>
    <t>Chanéaz</t>
  </si>
  <si>
    <t>Thierrens</t>
  </si>
  <si>
    <t>Correvon</t>
  </si>
  <si>
    <t>Denezy</t>
  </si>
  <si>
    <t>St-Cierges</t>
  </si>
  <si>
    <t>Neyruz-sur-Moudon</t>
  </si>
  <si>
    <t>Arnex-sur-Nyon</t>
  </si>
  <si>
    <t>Arzier-Le Muids</t>
  </si>
  <si>
    <t>Bassins</t>
  </si>
  <si>
    <t>Begnins</t>
  </si>
  <si>
    <t>Bogis-Bossey</t>
  </si>
  <si>
    <t>Borex</t>
  </si>
  <si>
    <t>Chavannes-de-Bogis</t>
  </si>
  <si>
    <t>Chavannes-des-Bois</t>
  </si>
  <si>
    <t>Chéserex</t>
  </si>
  <si>
    <t>Coinsins</t>
  </si>
  <si>
    <t>Commugny</t>
  </si>
  <si>
    <t>Coppet</t>
  </si>
  <si>
    <t>Crans VD</t>
  </si>
  <si>
    <t>Crans (VD)</t>
  </si>
  <si>
    <t>Crassier</t>
  </si>
  <si>
    <t>Duillier</t>
  </si>
  <si>
    <t>Eysins</t>
  </si>
  <si>
    <t>Founex</t>
  </si>
  <si>
    <t>Genolier</t>
  </si>
  <si>
    <t>Gingins</t>
  </si>
  <si>
    <t>Givrins</t>
  </si>
  <si>
    <t>Gland</t>
  </si>
  <si>
    <t>Grens</t>
  </si>
  <si>
    <t>Mies</t>
  </si>
  <si>
    <t>Nyon</t>
  </si>
  <si>
    <t>Prangins</t>
  </si>
  <si>
    <t>La Rippe</t>
  </si>
  <si>
    <t>St-Cergue</t>
  </si>
  <si>
    <t>Saint-Cergue</t>
  </si>
  <si>
    <t>La Cure</t>
  </si>
  <si>
    <t>Signy</t>
  </si>
  <si>
    <t>Signy-Avenex</t>
  </si>
  <si>
    <t>Tannay</t>
  </si>
  <si>
    <t>Trélex</t>
  </si>
  <si>
    <t>Le Vaud</t>
  </si>
  <si>
    <t>Vich</t>
  </si>
  <si>
    <t>L'Abergement</t>
  </si>
  <si>
    <t>Agiez</t>
  </si>
  <si>
    <t>Arnex-sur-Orbe</t>
  </si>
  <si>
    <t>Ballaigues</t>
  </si>
  <si>
    <t>Baulmes</t>
  </si>
  <si>
    <t>Bavois</t>
  </si>
  <si>
    <t>Bofflens</t>
  </si>
  <si>
    <t>Bretonnières</t>
  </si>
  <si>
    <t>Chavornay</t>
  </si>
  <si>
    <t>Corcelles-sur-Chavornay</t>
  </si>
  <si>
    <t>Essert-Pittet</t>
  </si>
  <si>
    <t>Les Clées</t>
  </si>
  <si>
    <t>La Russille</t>
  </si>
  <si>
    <t>Croy</t>
  </si>
  <si>
    <t>Juriens</t>
  </si>
  <si>
    <t>Lignerolle</t>
  </si>
  <si>
    <t>Montcherand</t>
  </si>
  <si>
    <t>Orbe</t>
  </si>
  <si>
    <t>La Praz</t>
  </si>
  <si>
    <t>Premier</t>
  </si>
  <si>
    <t>Rances</t>
  </si>
  <si>
    <t>Romainmôtier</t>
  </si>
  <si>
    <t>Romainmôtier-Envy</t>
  </si>
  <si>
    <t>Sergey</t>
  </si>
  <si>
    <t>Valeyres-sous-Rances</t>
  </si>
  <si>
    <t>Vallorbe</t>
  </si>
  <si>
    <t>Vaulion</t>
  </si>
  <si>
    <t>Vuiteboeuf</t>
  </si>
  <si>
    <t>Corcelles-le-Jorat</t>
  </si>
  <si>
    <t>Maracon</t>
  </si>
  <si>
    <t>Montpreveyres</t>
  </si>
  <si>
    <t>Ropraz</t>
  </si>
  <si>
    <t>Servion</t>
  </si>
  <si>
    <t>Les Cullayes</t>
  </si>
  <si>
    <t>Vulliens</t>
  </si>
  <si>
    <t>Montaubion-Chardonney</t>
  </si>
  <si>
    <t>Jorat-Menthue</t>
  </si>
  <si>
    <t>Villars-Tiercelin</t>
  </si>
  <si>
    <t>Peney-le-Jorat</t>
  </si>
  <si>
    <t>Villars-Mendraz</t>
  </si>
  <si>
    <t>Sottens</t>
  </si>
  <si>
    <t>Essertes</t>
  </si>
  <si>
    <t>Oron</t>
  </si>
  <si>
    <t>Palézieux</t>
  </si>
  <si>
    <t>Palézieux-Village</t>
  </si>
  <si>
    <t>Les Tavernes</t>
  </si>
  <si>
    <t>Les Thioleyres</t>
  </si>
  <si>
    <t>Oron-le-Châtel</t>
  </si>
  <si>
    <t>Bussigny-sur-Oron</t>
  </si>
  <si>
    <t>Chesalles-sur-Oron</t>
  </si>
  <si>
    <t>Oron-la-Ville</t>
  </si>
  <si>
    <t>Châtillens</t>
  </si>
  <si>
    <t>Vuibroye</t>
  </si>
  <si>
    <t>Ecoteaux</t>
  </si>
  <si>
    <t>Ferlens VD</t>
  </si>
  <si>
    <t>Jorat-Mézières</t>
  </si>
  <si>
    <t>Mézières VD</t>
  </si>
  <si>
    <t>Carrouge VD</t>
  </si>
  <si>
    <t>Champtauroz</t>
  </si>
  <si>
    <t>Chevroux</t>
  </si>
  <si>
    <t>Corcelles-près-Payerne</t>
  </si>
  <si>
    <t>Grandcour</t>
  </si>
  <si>
    <t>Henniez</t>
  </si>
  <si>
    <t>Missy</t>
  </si>
  <si>
    <t>Payerne</t>
  </si>
  <si>
    <t>Vers-chez-Perrin</t>
  </si>
  <si>
    <t>Trey</t>
  </si>
  <si>
    <t>Treytorrens (Payerne)</t>
  </si>
  <si>
    <t>Sédeilles</t>
  </si>
  <si>
    <t>Villarzel</t>
  </si>
  <si>
    <t>Rossens VD</t>
  </si>
  <si>
    <t>Granges-près-Marnand</t>
  </si>
  <si>
    <t>Valbroye</t>
  </si>
  <si>
    <t>Marnand</t>
  </si>
  <si>
    <t>Seigneux</t>
  </si>
  <si>
    <t>Sassel</t>
  </si>
  <si>
    <t>Combremont-le-Grand</t>
  </si>
  <si>
    <t>Combremont-le-Petit</t>
  </si>
  <si>
    <t>Villars-Bramard</t>
  </si>
  <si>
    <t>Cerniaz VD</t>
  </si>
  <si>
    <t>Château-d'Oex</t>
  </si>
  <si>
    <t>Les Moulins</t>
  </si>
  <si>
    <t>L'Etivaz</t>
  </si>
  <si>
    <t>La Lécherette</t>
  </si>
  <si>
    <t>Rossinière</t>
  </si>
  <si>
    <t>La Tine</t>
  </si>
  <si>
    <t>Rougemont</t>
  </si>
  <si>
    <t>Flendruz</t>
  </si>
  <si>
    <t>Allaman</t>
  </si>
  <si>
    <t>Bursinel</t>
  </si>
  <si>
    <t>Bursins</t>
  </si>
  <si>
    <t>Burtigny</t>
  </si>
  <si>
    <t>Dully</t>
  </si>
  <si>
    <t>Essertines-sur-Rolle</t>
  </si>
  <si>
    <t>Gilly</t>
  </si>
  <si>
    <t>Luins</t>
  </si>
  <si>
    <t>Mont-sur-Rolle</t>
  </si>
  <si>
    <t>Perroy</t>
  </si>
  <si>
    <t>Rolle</t>
  </si>
  <si>
    <t>Tartegnin</t>
  </si>
  <si>
    <t>Vinzel</t>
  </si>
  <si>
    <t>Le Pont</t>
  </si>
  <si>
    <t>L'Abbaye</t>
  </si>
  <si>
    <t>Les Bioux</t>
  </si>
  <si>
    <t>L'Orient</t>
  </si>
  <si>
    <t>Le Chenit</t>
  </si>
  <si>
    <t>Le Sentier</t>
  </si>
  <si>
    <t>Le Solliat</t>
  </si>
  <si>
    <t>Le Brassus</t>
  </si>
  <si>
    <t>Les Charbonnières</t>
  </si>
  <si>
    <t>Le Lieu</t>
  </si>
  <si>
    <t>Le Séchey</t>
  </si>
  <si>
    <t>Le Mont-Pèlerin</t>
  </si>
  <si>
    <t>Chardonne</t>
  </si>
  <si>
    <t>Corseaux</t>
  </si>
  <si>
    <t>Corsier-sur-Vevey</t>
  </si>
  <si>
    <t>Les Monts-de-Corsier</t>
  </si>
  <si>
    <t>Fenil-sur-Corsier</t>
  </si>
  <si>
    <t>Jongny</t>
  </si>
  <si>
    <t>Clarens</t>
  </si>
  <si>
    <t>Montreux</t>
  </si>
  <si>
    <t>Chailly-Montreux</t>
  </si>
  <si>
    <t>Brent</t>
  </si>
  <si>
    <t>Territet</t>
  </si>
  <si>
    <t>Chernex</t>
  </si>
  <si>
    <t>Glion</t>
  </si>
  <si>
    <t>Caux</t>
  </si>
  <si>
    <t>Chamby</t>
  </si>
  <si>
    <t>Villard-sur-Chamby</t>
  </si>
  <si>
    <t>Les Avants</t>
  </si>
  <si>
    <t>La Tour-de-Peilz</t>
  </si>
  <si>
    <t>Vevey</t>
  </si>
  <si>
    <t>Veytaux</t>
  </si>
  <si>
    <t>St-Légier-La Chiésaz</t>
  </si>
  <si>
    <t>Blonay - Saint-Légier</t>
  </si>
  <si>
    <t>Blonay</t>
  </si>
  <si>
    <t>Belmont-sur-Yverdon</t>
  </si>
  <si>
    <t>Bioley-Magnoux</t>
  </si>
  <si>
    <t>Chamblon</t>
  </si>
  <si>
    <t>Champvent</t>
  </si>
  <si>
    <t>Essert-sous-Champvent</t>
  </si>
  <si>
    <t>Villars-sous-Champvent</t>
  </si>
  <si>
    <t>Chavannes-le-Chêne</t>
  </si>
  <si>
    <t>Chêne-Pâquier</t>
  </si>
  <si>
    <t>Cheseaux-Noréaz</t>
  </si>
  <si>
    <t>Cronay</t>
  </si>
  <si>
    <t>Cuarny</t>
  </si>
  <si>
    <t>Démoret</t>
  </si>
  <si>
    <t>Donneloye</t>
  </si>
  <si>
    <t>Gossens</t>
  </si>
  <si>
    <t>Mézery-près-Donneloye</t>
  </si>
  <si>
    <t>Prahins</t>
  </si>
  <si>
    <t>Ependes VD</t>
  </si>
  <si>
    <t>Ependes (VD)</t>
  </si>
  <si>
    <t>Mathod</t>
  </si>
  <si>
    <t>Molondin</t>
  </si>
  <si>
    <t>Montagny-près-Yverdon</t>
  </si>
  <si>
    <t>Oppens</t>
  </si>
  <si>
    <t>Orges</t>
  </si>
  <si>
    <t>Orzens</t>
  </si>
  <si>
    <t>Pomy</t>
  </si>
  <si>
    <t>Rovray</t>
  </si>
  <si>
    <t>Suchy</t>
  </si>
  <si>
    <t>Suscévaz</t>
  </si>
  <si>
    <t>Treycovagnes</t>
  </si>
  <si>
    <t>Ursins</t>
  </si>
  <si>
    <t>Valeyres-sous-Montagny</t>
  </si>
  <si>
    <t>Valeyres-sous-Ursins</t>
  </si>
  <si>
    <t>Villars-Epeney</t>
  </si>
  <si>
    <t>Vugelles-La Mothe</t>
  </si>
  <si>
    <t>Yverdon-les-Bains</t>
  </si>
  <si>
    <t>Gressy</t>
  </si>
  <si>
    <t>Yvonand</t>
  </si>
  <si>
    <t>Brig</t>
  </si>
  <si>
    <t>Brig-Glis</t>
  </si>
  <si>
    <t>VS</t>
  </si>
  <si>
    <t>Gamsen</t>
  </si>
  <si>
    <t>Brigerbad</t>
  </si>
  <si>
    <t>Glis</t>
  </si>
  <si>
    <t>Eggerberg</t>
  </si>
  <si>
    <t>Mund</t>
  </si>
  <si>
    <t>Naters</t>
  </si>
  <si>
    <t>Birgisch</t>
  </si>
  <si>
    <t>Blatten b. Naters</t>
  </si>
  <si>
    <t>Belalp</t>
  </si>
  <si>
    <t>Rothwald</t>
  </si>
  <si>
    <t>Ried-Brig</t>
  </si>
  <si>
    <t>Simplon Dorf</t>
  </si>
  <si>
    <t>Simplon</t>
  </si>
  <si>
    <t>Simplon Hospiz</t>
  </si>
  <si>
    <t>Gabi (Simplon)</t>
  </si>
  <si>
    <t>Termen</t>
  </si>
  <si>
    <t>Rosswald</t>
  </si>
  <si>
    <t>Gondo</t>
  </si>
  <si>
    <t>Zwischbergen</t>
  </si>
  <si>
    <t>Ardon</t>
  </si>
  <si>
    <t>Chamoson</t>
  </si>
  <si>
    <t>Mayens-de-Chamoson</t>
  </si>
  <si>
    <t>Les Vérines (Chamoson)</t>
  </si>
  <si>
    <t>Némiaz (Chamoson)</t>
  </si>
  <si>
    <t>Grugnay (Chamoson)</t>
  </si>
  <si>
    <t>St-Pierre-de-Clages</t>
  </si>
  <si>
    <t>Conthey</t>
  </si>
  <si>
    <t>St-Séverin</t>
  </si>
  <si>
    <t>Erde</t>
  </si>
  <si>
    <t>Aven</t>
  </si>
  <si>
    <t>Daillon</t>
  </si>
  <si>
    <t>Clèbes (Nendaz)</t>
  </si>
  <si>
    <t>Nendaz</t>
  </si>
  <si>
    <t>Aproz (Nendaz)</t>
  </si>
  <si>
    <t>Basse-Nendaz</t>
  </si>
  <si>
    <t>Fey (Nendaz)</t>
  </si>
  <si>
    <t>Bieudron (Nendaz)</t>
  </si>
  <si>
    <t>Condémines (Nendaz)</t>
  </si>
  <si>
    <t>Saclentse</t>
  </si>
  <si>
    <t>Baar (Nendaz)</t>
  </si>
  <si>
    <t>Beuson (Nendaz)</t>
  </si>
  <si>
    <t>Brignon (Nendaz)</t>
  </si>
  <si>
    <t>Haute-Nendaz</t>
  </si>
  <si>
    <t>Siviez (Nendaz)</t>
  </si>
  <si>
    <t>Sornard (Nendaz)</t>
  </si>
  <si>
    <t>Vétroz</t>
  </si>
  <si>
    <t>Bourg-St-Pierre</t>
  </si>
  <si>
    <t>Bourg-Saint-Pierre</t>
  </si>
  <si>
    <t>Liddes</t>
  </si>
  <si>
    <t>Fontaine Dessus (Liddes)</t>
  </si>
  <si>
    <t>Fontaine Dessous (Liddes)</t>
  </si>
  <si>
    <t>Dranse (Liddes)</t>
  </si>
  <si>
    <t>Chandonne (Liddes)</t>
  </si>
  <si>
    <t>Rive Haute (Liddes)</t>
  </si>
  <si>
    <t>Fornex (Liddes)</t>
  </si>
  <si>
    <t>Les Moulins VS (Liddes)</t>
  </si>
  <si>
    <t>Vichères (Liddes)</t>
  </si>
  <si>
    <t>Palasuit (Liddes)</t>
  </si>
  <si>
    <t>Chez Petit (Liddes)</t>
  </si>
  <si>
    <t>Petit Vichères (Liddes)</t>
  </si>
  <si>
    <t>Orsières</t>
  </si>
  <si>
    <t>Champex-Lac</t>
  </si>
  <si>
    <t>Praz-de-Fort</t>
  </si>
  <si>
    <t>La Fouly VS</t>
  </si>
  <si>
    <t>Sembrancher</t>
  </si>
  <si>
    <t>Chamoille (Sembrancher)</t>
  </si>
  <si>
    <t>La Garde (Sembrancher)</t>
  </si>
  <si>
    <t>Chemin</t>
  </si>
  <si>
    <t>Val de Bagnes</t>
  </si>
  <si>
    <t>Vens (Sembrancher)</t>
  </si>
  <si>
    <t>Le Châble VS</t>
  </si>
  <si>
    <t>Bruson</t>
  </si>
  <si>
    <t>Verbier</t>
  </si>
  <si>
    <t>Vollèges</t>
  </si>
  <si>
    <t>Cries (Vollèges)</t>
  </si>
  <si>
    <t>Levron</t>
  </si>
  <si>
    <t>Versegères</t>
  </si>
  <si>
    <t>Champsec</t>
  </si>
  <si>
    <t>Lourtier</t>
  </si>
  <si>
    <t>Fionnay</t>
  </si>
  <si>
    <t>Sarreyer</t>
  </si>
  <si>
    <t>Bellwald</t>
  </si>
  <si>
    <t>Binn</t>
  </si>
  <si>
    <t>Ernen</t>
  </si>
  <si>
    <t>Ausserbinn</t>
  </si>
  <si>
    <t>Mühlebach (Goms)</t>
  </si>
  <si>
    <t>Steinhaus</t>
  </si>
  <si>
    <t>Fiesch</t>
  </si>
  <si>
    <t>Jungfraujoch</t>
  </si>
  <si>
    <t>Fieschertal</t>
  </si>
  <si>
    <t>Lax</t>
  </si>
  <si>
    <t>Ulrichen</t>
  </si>
  <si>
    <t>Obergoms</t>
  </si>
  <si>
    <t>Obergesteln</t>
  </si>
  <si>
    <t>Oberwald</t>
  </si>
  <si>
    <t>Münster VS</t>
  </si>
  <si>
    <t>Goms</t>
  </si>
  <si>
    <t>Geschinen</t>
  </si>
  <si>
    <t>Biel VS</t>
  </si>
  <si>
    <t>Ritzingen</t>
  </si>
  <si>
    <t>Selkingen</t>
  </si>
  <si>
    <t>Niederwald</t>
  </si>
  <si>
    <t>Blitzingen</t>
  </si>
  <si>
    <t>Reckingen VS</t>
  </si>
  <si>
    <t>Gluringen</t>
  </si>
  <si>
    <t>Fortunau (Ayent)</t>
  </si>
  <si>
    <t>Ayent</t>
  </si>
  <si>
    <t>Luc (Ayent)</t>
  </si>
  <si>
    <t>St-Romain (Ayent)</t>
  </si>
  <si>
    <t>Saxonne (Ayent)</t>
  </si>
  <si>
    <t>Villa (Ayent)</t>
  </si>
  <si>
    <t>La Place (Ayent)</t>
  </si>
  <si>
    <t>Botyre (Ayent)</t>
  </si>
  <si>
    <t>Blignou (Ayent)</t>
  </si>
  <si>
    <t>Argnou (Ayent)</t>
  </si>
  <si>
    <t>Signèse (Ayent)</t>
  </si>
  <si>
    <t>Anzère</t>
  </si>
  <si>
    <t>Evolène</t>
  </si>
  <si>
    <t>Lanna</t>
  </si>
  <si>
    <t>Les Haudères</t>
  </si>
  <si>
    <t>La Tour VS</t>
  </si>
  <si>
    <t>La Sage</t>
  </si>
  <si>
    <t>La Forclaz VS</t>
  </si>
  <si>
    <t>Villa (Evolène)</t>
  </si>
  <si>
    <t>Arolla</t>
  </si>
  <si>
    <t>Euseigne</t>
  </si>
  <si>
    <t>Hérémence</t>
  </si>
  <si>
    <t>St-Martin VS</t>
  </si>
  <si>
    <t>Saint-Martin (VS)</t>
  </si>
  <si>
    <t>Liez (St-Martin)</t>
  </si>
  <si>
    <t>Trogne (St-Martin)</t>
  </si>
  <si>
    <t>Suen (St-Martin)</t>
  </si>
  <si>
    <t>Eison (St-Martin)</t>
  </si>
  <si>
    <t>Vex</t>
  </si>
  <si>
    <t>Thyon</t>
  </si>
  <si>
    <t>Les Collons</t>
  </si>
  <si>
    <t>Les Mayens-de-Sion</t>
  </si>
  <si>
    <t>Vernamiège</t>
  </si>
  <si>
    <t>Mont-Noble</t>
  </si>
  <si>
    <t>Mase</t>
  </si>
  <si>
    <t>Nax</t>
  </si>
  <si>
    <t>Agarn</t>
  </si>
  <si>
    <t>Albinen</t>
  </si>
  <si>
    <t>Ergisch</t>
  </si>
  <si>
    <t>Inden</t>
  </si>
  <si>
    <t>Susten</t>
  </si>
  <si>
    <t>Leuk</t>
  </si>
  <si>
    <t>Leuk Stadt</t>
  </si>
  <si>
    <t>Erschmatt</t>
  </si>
  <si>
    <t>Leukerbad</t>
  </si>
  <si>
    <t>Oberems</t>
  </si>
  <si>
    <t>Salgesch</t>
  </si>
  <si>
    <t>Varen</t>
  </si>
  <si>
    <t>Guttet-Feschel</t>
  </si>
  <si>
    <t>Gampel</t>
  </si>
  <si>
    <t>Gampel-Bratsch</t>
  </si>
  <si>
    <t>Niedergampel</t>
  </si>
  <si>
    <t>Bratsch</t>
  </si>
  <si>
    <t>Turtmann</t>
  </si>
  <si>
    <t>Turtmann-Unterems</t>
  </si>
  <si>
    <t>Gruben</t>
  </si>
  <si>
    <t>Unterems</t>
  </si>
  <si>
    <t>Bovernier</t>
  </si>
  <si>
    <t>Les Valettes (Bovernier)</t>
  </si>
  <si>
    <t>Fully</t>
  </si>
  <si>
    <t>Isérables</t>
  </si>
  <si>
    <t>Ovronnaz</t>
  </si>
  <si>
    <t>Leytron</t>
  </si>
  <si>
    <t>Produit (Leytron)</t>
  </si>
  <si>
    <t>Montagnon (Leytron)</t>
  </si>
  <si>
    <t>Dugny (Leytron)</t>
  </si>
  <si>
    <t>Charrat</t>
  </si>
  <si>
    <t>Martigny</t>
  </si>
  <si>
    <t>Martigny-Croix</t>
  </si>
  <si>
    <t>Martigny-Combe</t>
  </si>
  <si>
    <t>Ravoire</t>
  </si>
  <si>
    <t>Riddes</t>
  </si>
  <si>
    <t>Auddes-sur-Riddes</t>
  </si>
  <si>
    <t>La Tzoumaz</t>
  </si>
  <si>
    <t>Saillon</t>
  </si>
  <si>
    <t>Saxon</t>
  </si>
  <si>
    <t>Trient</t>
  </si>
  <si>
    <t>Champéry</t>
  </si>
  <si>
    <t>Collombey</t>
  </si>
  <si>
    <t>Collombey-Muraz</t>
  </si>
  <si>
    <t>Muraz (Collombey)</t>
  </si>
  <si>
    <t>Monthey</t>
  </si>
  <si>
    <t>Choëx</t>
  </si>
  <si>
    <t>Les Giettes</t>
  </si>
  <si>
    <t>Bouveret</t>
  </si>
  <si>
    <t>Port-Valais</t>
  </si>
  <si>
    <t>Les Evouettes</t>
  </si>
  <si>
    <t>St-Gingolph</t>
  </si>
  <si>
    <t>Saint-Gingolph</t>
  </si>
  <si>
    <t>Troistorrents</t>
  </si>
  <si>
    <t>Morgins</t>
  </si>
  <si>
    <t>Val-d'Illiez</t>
  </si>
  <si>
    <t>Champoussin</t>
  </si>
  <si>
    <t>Les Crosets</t>
  </si>
  <si>
    <t>Vionnaz</t>
  </si>
  <si>
    <t>Torgon</t>
  </si>
  <si>
    <t>Vouvry</t>
  </si>
  <si>
    <t>Miex</t>
  </si>
  <si>
    <t>Bister</t>
  </si>
  <si>
    <t>Bitsch</t>
  </si>
  <si>
    <t>Grengiols</t>
  </si>
  <si>
    <t>Goppisberg</t>
  </si>
  <si>
    <t>Riederalp</t>
  </si>
  <si>
    <t>Greich</t>
  </si>
  <si>
    <t>Ried-Mörel</t>
  </si>
  <si>
    <t>Ausserberg</t>
  </si>
  <si>
    <t>Blatten (Lötschen)</t>
  </si>
  <si>
    <t>Blatten</t>
  </si>
  <si>
    <t>Bürchen</t>
  </si>
  <si>
    <t>Eischoll</t>
  </si>
  <si>
    <t>Ferden</t>
  </si>
  <si>
    <t>Goppenstein</t>
  </si>
  <si>
    <t>Kippel</t>
  </si>
  <si>
    <t>Niedergesteln</t>
  </si>
  <si>
    <t>Raron</t>
  </si>
  <si>
    <t>St. German</t>
  </si>
  <si>
    <t>Unterbäch VS</t>
  </si>
  <si>
    <t>Unterbäch</t>
  </si>
  <si>
    <t>Wiler (Lötschen)</t>
  </si>
  <si>
    <t>Mörel</t>
  </si>
  <si>
    <t>Mörel-Filet</t>
  </si>
  <si>
    <t>Filet</t>
  </si>
  <si>
    <t>Steg VS</t>
  </si>
  <si>
    <t>Steg-Hohtenn</t>
  </si>
  <si>
    <t>Hohtenn</t>
  </si>
  <si>
    <t>Betten</t>
  </si>
  <si>
    <t>Bettmeralp</t>
  </si>
  <si>
    <t>Martisberg</t>
  </si>
  <si>
    <t>Collonges</t>
  </si>
  <si>
    <t>Dorénaz</t>
  </si>
  <si>
    <t>Evionnaz</t>
  </si>
  <si>
    <t>Finhaut</t>
  </si>
  <si>
    <t>Le Châtelard VS</t>
  </si>
  <si>
    <t>Massongex</t>
  </si>
  <si>
    <t>St-Maurice</t>
  </si>
  <si>
    <t>Saint-Maurice</t>
  </si>
  <si>
    <t>Mex VS</t>
  </si>
  <si>
    <t>Salvan</t>
  </si>
  <si>
    <t>Les Granges (Salvan)</t>
  </si>
  <si>
    <t>Les Marécottes</t>
  </si>
  <si>
    <t>Le Trétien</t>
  </si>
  <si>
    <t>Vernayaz</t>
  </si>
  <si>
    <t>Vérossaz</t>
  </si>
  <si>
    <t>Chalais</t>
  </si>
  <si>
    <t>Réchy</t>
  </si>
  <si>
    <t>Vercorin</t>
  </si>
  <si>
    <t>Chippis</t>
  </si>
  <si>
    <t>Grône</t>
  </si>
  <si>
    <t>Icogne</t>
  </si>
  <si>
    <t>Lens</t>
  </si>
  <si>
    <t>Flanthey</t>
  </si>
  <si>
    <t>St-Léonard</t>
  </si>
  <si>
    <t>Saint-Léonard</t>
  </si>
  <si>
    <t>Sierre</t>
  </si>
  <si>
    <t>Muraz (Sierre)</t>
  </si>
  <si>
    <t>Noës</t>
  </si>
  <si>
    <t>Granges VS</t>
  </si>
  <si>
    <t>Niouc</t>
  </si>
  <si>
    <t>Anniviers</t>
  </si>
  <si>
    <t>Vissoie</t>
  </si>
  <si>
    <t>St-Luc</t>
  </si>
  <si>
    <t>Chandolin</t>
  </si>
  <si>
    <t>Ayer</t>
  </si>
  <si>
    <t>Zinal</t>
  </si>
  <si>
    <t>Grimentz</t>
  </si>
  <si>
    <t>Mission</t>
  </si>
  <si>
    <t>St-Jean VS</t>
  </si>
  <si>
    <t>Corin-de-la-Crête</t>
  </si>
  <si>
    <t>Crans-Montana</t>
  </si>
  <si>
    <t>Loc</t>
  </si>
  <si>
    <t>Montana</t>
  </si>
  <si>
    <t>Aminona</t>
  </si>
  <si>
    <t>Chermignon</t>
  </si>
  <si>
    <t>Chermignon-d'en-Bas</t>
  </si>
  <si>
    <t>Ollon VS</t>
  </si>
  <si>
    <t>Mollens VS</t>
  </si>
  <si>
    <t>Randogne</t>
  </si>
  <si>
    <t>Champzabé</t>
  </si>
  <si>
    <t>Veyras</t>
  </si>
  <si>
    <t>Noble-Contrée</t>
  </si>
  <si>
    <t>Miège</t>
  </si>
  <si>
    <t>Venthône</t>
  </si>
  <si>
    <t>Arbaz</t>
  </si>
  <si>
    <t>Grimisuat</t>
  </si>
  <si>
    <t>Champlan (Grimisuat)</t>
  </si>
  <si>
    <t>Savièse</t>
  </si>
  <si>
    <t>Sion</t>
  </si>
  <si>
    <t>Uvrier</t>
  </si>
  <si>
    <t>Pont-de-la-Morge (Sion)</t>
  </si>
  <si>
    <t>Bramois</t>
  </si>
  <si>
    <t>Salins</t>
  </si>
  <si>
    <t>Arvillard (Salins)</t>
  </si>
  <si>
    <t>Pravidondaz (Salins)</t>
  </si>
  <si>
    <t>Turin (Salins)</t>
  </si>
  <si>
    <t>Misériez (Salins)</t>
  </si>
  <si>
    <t>Les Agettes</t>
  </si>
  <si>
    <t>La Vernaz (Les Agettes)</t>
  </si>
  <si>
    <t>Crête-à-l'Oeil (Les Agettes)</t>
  </si>
  <si>
    <t>Veysonnaz</t>
  </si>
  <si>
    <t>Baltschieder</t>
  </si>
  <si>
    <t>Eisten</t>
  </si>
  <si>
    <t>Kalpetran</t>
  </si>
  <si>
    <t>Embd</t>
  </si>
  <si>
    <t>Grächen</t>
  </si>
  <si>
    <t>Lalden</t>
  </si>
  <si>
    <t>Randa</t>
  </si>
  <si>
    <t>Saas-Almagell</t>
  </si>
  <si>
    <t>Saas-Balen</t>
  </si>
  <si>
    <t>Saas-Fee</t>
  </si>
  <si>
    <t>Saas-Grund</t>
  </si>
  <si>
    <t>St. Niklaus VS</t>
  </si>
  <si>
    <t>St. Niklaus</t>
  </si>
  <si>
    <t>Herbriggen</t>
  </si>
  <si>
    <t>Stalden VS</t>
  </si>
  <si>
    <t>Stalden (VS)</t>
  </si>
  <si>
    <t>Staldenried</t>
  </si>
  <si>
    <t>Täsch</t>
  </si>
  <si>
    <t>Törbel</t>
  </si>
  <si>
    <t>Visp</t>
  </si>
  <si>
    <t>Eyholz</t>
  </si>
  <si>
    <t>Visperterminen</t>
  </si>
  <si>
    <t>Zeneggen</t>
  </si>
  <si>
    <t>Zermatt</t>
  </si>
  <si>
    <t>Areuse</t>
  </si>
  <si>
    <t>Boudry</t>
  </si>
  <si>
    <t>NE</t>
  </si>
  <si>
    <t>Cortaillod</t>
  </si>
  <si>
    <t>Rochefort</t>
  </si>
  <si>
    <t>Chambrelien</t>
  </si>
  <si>
    <t>Montezillon</t>
  </si>
  <si>
    <t>Champ-du-Moulin</t>
  </si>
  <si>
    <t>Fretereules</t>
  </si>
  <si>
    <t>Brot-Dessous</t>
  </si>
  <si>
    <t>Auvernier</t>
  </si>
  <si>
    <t>Milvignes</t>
  </si>
  <si>
    <t>Colombier NE</t>
  </si>
  <si>
    <t>Bôle</t>
  </si>
  <si>
    <t>Bevaix</t>
  </si>
  <si>
    <t>La Grande Béroche</t>
  </si>
  <si>
    <t>Gorgier</t>
  </si>
  <si>
    <t>St-Aubin-Sauges</t>
  </si>
  <si>
    <t>Chez-le-Bart</t>
  </si>
  <si>
    <t>Montalchez</t>
  </si>
  <si>
    <t>Fresens</t>
  </si>
  <si>
    <t>Vaumarcus</t>
  </si>
  <si>
    <t>La Chaux-de-Fonds</t>
  </si>
  <si>
    <t>La Cibourg</t>
  </si>
  <si>
    <t>Le Crêt-du-Locle</t>
  </si>
  <si>
    <t>Les Planchettes</t>
  </si>
  <si>
    <t>La Sagne NE</t>
  </si>
  <si>
    <t>La Sagne</t>
  </si>
  <si>
    <t>La Brévine</t>
  </si>
  <si>
    <t>Les Taillères</t>
  </si>
  <si>
    <t>La Châtagne</t>
  </si>
  <si>
    <t>Le Brouillet</t>
  </si>
  <si>
    <t>Brot-Plamboz</t>
  </si>
  <si>
    <t>Le Cerneux-Péquignot</t>
  </si>
  <si>
    <t>La Chaux-du-Milieu</t>
  </si>
  <si>
    <t>Le Locle</t>
  </si>
  <si>
    <t>Le Prévoux</t>
  </si>
  <si>
    <t>Les Brenets</t>
  </si>
  <si>
    <t>Les Ponts-de-Martel</t>
  </si>
  <si>
    <t>Petit-Martel</t>
  </si>
  <si>
    <t>Cornaux NE</t>
  </si>
  <si>
    <t>Cornaux</t>
  </si>
  <si>
    <t>Cressier NE</t>
  </si>
  <si>
    <t>Cressier (NE)</t>
  </si>
  <si>
    <t>Enges</t>
  </si>
  <si>
    <t>Hauterive NE</t>
  </si>
  <si>
    <t>Hauterive (NE)</t>
  </si>
  <si>
    <t>Le Landeron</t>
  </si>
  <si>
    <t>Lignières</t>
  </si>
  <si>
    <t>Neuchâtel</t>
  </si>
  <si>
    <t>Peseux</t>
  </si>
  <si>
    <t>Corcelles NE</t>
  </si>
  <si>
    <t>Cormondrèche</t>
  </si>
  <si>
    <t>Valangin</t>
  </si>
  <si>
    <t>Chaumont</t>
  </si>
  <si>
    <t>St-Blaise</t>
  </si>
  <si>
    <t>Saint-Blaise</t>
  </si>
  <si>
    <t>Marin-Epagnier</t>
  </si>
  <si>
    <t>La Tène</t>
  </si>
  <si>
    <t>Thielle</t>
  </si>
  <si>
    <t>Wavre</t>
  </si>
  <si>
    <t>Montmollin</t>
  </si>
  <si>
    <t>Val-de-Ruz</t>
  </si>
  <si>
    <t>Boudevilliers</t>
  </si>
  <si>
    <t>Fontaines NE</t>
  </si>
  <si>
    <t>Fontainemelon</t>
  </si>
  <si>
    <t>La Vue-des-Alpes</t>
  </si>
  <si>
    <t>Cernier</t>
  </si>
  <si>
    <t>Chézard-St-Martin</t>
  </si>
  <si>
    <t>Les Vieux-Prés</t>
  </si>
  <si>
    <t>Dombresson</t>
  </si>
  <si>
    <t>Villiers</t>
  </si>
  <si>
    <t>Le Pâquier NE</t>
  </si>
  <si>
    <t>Vilars NE</t>
  </si>
  <si>
    <t>Engollon</t>
  </si>
  <si>
    <t>Fenin</t>
  </si>
  <si>
    <t>Saules</t>
  </si>
  <si>
    <t>Savagnier</t>
  </si>
  <si>
    <t>Les Geneveys-sur-Coffrane</t>
  </si>
  <si>
    <t>Coffrane</t>
  </si>
  <si>
    <t>Les Hauts-Geneveys</t>
  </si>
  <si>
    <t>La Côte-aux-Fées</t>
  </si>
  <si>
    <t>Les Verrières</t>
  </si>
  <si>
    <t>Noiraigue</t>
  </si>
  <si>
    <t>Val-de-Travers</t>
  </si>
  <si>
    <t>Travers</t>
  </si>
  <si>
    <t>Couvet</t>
  </si>
  <si>
    <t>Môtiers NE</t>
  </si>
  <si>
    <t>Boveresse</t>
  </si>
  <si>
    <t>Fleurier</t>
  </si>
  <si>
    <t>Buttes</t>
  </si>
  <si>
    <t>Mont-de-Buttes</t>
  </si>
  <si>
    <t>St-Sulpice NE</t>
  </si>
  <si>
    <t>Les Sagnettes</t>
  </si>
  <si>
    <t>Les Bayards</t>
  </si>
  <si>
    <t>Aire-la-Ville</t>
  </si>
  <si>
    <t>GE</t>
  </si>
  <si>
    <t>Anières</t>
  </si>
  <si>
    <t>Avully</t>
  </si>
  <si>
    <t>Athenaz (Avusy)</t>
  </si>
  <si>
    <t>Avusy</t>
  </si>
  <si>
    <t>La Croix-de-Rozon</t>
  </si>
  <si>
    <t>Bardonnex</t>
  </si>
  <si>
    <t>Bellevue</t>
  </si>
  <si>
    <t>Bernex</t>
  </si>
  <si>
    <t>Carouge GE</t>
  </si>
  <si>
    <t>Carouge (GE)</t>
  </si>
  <si>
    <t>Cartigny</t>
  </si>
  <si>
    <t>Céligny</t>
  </si>
  <si>
    <t>Chancy</t>
  </si>
  <si>
    <t>Chêne-Bougeries</t>
  </si>
  <si>
    <t>Conches</t>
  </si>
  <si>
    <t>Chêne-Bourg</t>
  </si>
  <si>
    <t>Choulex</t>
  </si>
  <si>
    <t>Collex</t>
  </si>
  <si>
    <t>Collex-Bossy</t>
  </si>
  <si>
    <t>Vésenaz</t>
  </si>
  <si>
    <t>Collonge-Bellerive</t>
  </si>
  <si>
    <t>Cologny</t>
  </si>
  <si>
    <t>Confignon</t>
  </si>
  <si>
    <t>Corsier GE</t>
  </si>
  <si>
    <t>Corsier (GE)</t>
  </si>
  <si>
    <t>La Plaine</t>
  </si>
  <si>
    <t>Dardagny</t>
  </si>
  <si>
    <t>Genève</t>
  </si>
  <si>
    <t>Les Acacias</t>
  </si>
  <si>
    <t>Genthod</t>
  </si>
  <si>
    <t>Le Grand-Saconnex</t>
  </si>
  <si>
    <t>Gy</t>
  </si>
  <si>
    <t>Hermance</t>
  </si>
  <si>
    <t>Jussy</t>
  </si>
  <si>
    <t>Laconnex</t>
  </si>
  <si>
    <t>Grand-Lancy</t>
  </si>
  <si>
    <t>Lancy</t>
  </si>
  <si>
    <t>Petit-Lancy</t>
  </si>
  <si>
    <t>Meinier</t>
  </si>
  <si>
    <t>Cointrin</t>
  </si>
  <si>
    <t>Meyrin</t>
  </si>
  <si>
    <t>Onex</t>
  </si>
  <si>
    <t>Perly</t>
  </si>
  <si>
    <t>Perly-Certoux</t>
  </si>
  <si>
    <t>Plan-les-Ouates</t>
  </si>
  <si>
    <t>Chambésy</t>
  </si>
  <si>
    <t>Pregny-Chambésy</t>
  </si>
  <si>
    <t>Presinge</t>
  </si>
  <si>
    <t>Puplinge</t>
  </si>
  <si>
    <t>Russin</t>
  </si>
  <si>
    <t>Satigny</t>
  </si>
  <si>
    <t>Soral</t>
  </si>
  <si>
    <t>Thônex</t>
  </si>
  <si>
    <t>Troinex</t>
  </si>
  <si>
    <t>Vandoeuvres</t>
  </si>
  <si>
    <t>Vernier</t>
  </si>
  <si>
    <t>Le Lignon</t>
  </si>
  <si>
    <t>Aïre</t>
  </si>
  <si>
    <t>Châtelaine</t>
  </si>
  <si>
    <t>Les Avanchets</t>
  </si>
  <si>
    <t>Versoix</t>
  </si>
  <si>
    <t>Vessy</t>
  </si>
  <si>
    <t>Veyrier</t>
  </si>
  <si>
    <t>Boécourt</t>
  </si>
  <si>
    <t>JU</t>
  </si>
  <si>
    <t>Montavon</t>
  </si>
  <si>
    <t>Bourrignon</t>
  </si>
  <si>
    <t>Châtillon JU</t>
  </si>
  <si>
    <t>Châtillon (JU)</t>
  </si>
  <si>
    <t>Courchapoix</t>
  </si>
  <si>
    <t>Courrendlin</t>
  </si>
  <si>
    <t>Vellerat</t>
  </si>
  <si>
    <t>Rebeuvelier</t>
  </si>
  <si>
    <t>Courroux</t>
  </si>
  <si>
    <t>Courcelon</t>
  </si>
  <si>
    <t>Courtételle</t>
  </si>
  <si>
    <t>Delémont</t>
  </si>
  <si>
    <t>Develier</t>
  </si>
  <si>
    <t>Ederswiler</t>
  </si>
  <si>
    <t>Mervelier</t>
  </si>
  <si>
    <t>Mettembert</t>
  </si>
  <si>
    <t>Movelier</t>
  </si>
  <si>
    <t>Pleigne</t>
  </si>
  <si>
    <t>Lucelle</t>
  </si>
  <si>
    <t>Rossemaison</t>
  </si>
  <si>
    <t>Saulcy</t>
  </si>
  <si>
    <t>Soyhières</t>
  </si>
  <si>
    <t>Courfaivre</t>
  </si>
  <si>
    <t>Haute-Sorne</t>
  </si>
  <si>
    <t>Bassecourt</t>
  </si>
  <si>
    <t>Glovelier</t>
  </si>
  <si>
    <t>Undervelier</t>
  </si>
  <si>
    <t>Soulce</t>
  </si>
  <si>
    <t>Vicques</t>
  </si>
  <si>
    <t>Val Terbi</t>
  </si>
  <si>
    <t>Corban</t>
  </si>
  <si>
    <t>Montsevelier</t>
  </si>
  <si>
    <t>Vermes</t>
  </si>
  <si>
    <t>Le Bémont JU</t>
  </si>
  <si>
    <t>Le Bémont (JU)</t>
  </si>
  <si>
    <t>Les Bois</t>
  </si>
  <si>
    <t>Les Breuleux</t>
  </si>
  <si>
    <t>La Chaux-des-Breuleux</t>
  </si>
  <si>
    <t>Les Enfers</t>
  </si>
  <si>
    <t>Les Genevez JU</t>
  </si>
  <si>
    <t>Les Genevez (JU)</t>
  </si>
  <si>
    <t>Le Prédame</t>
  </si>
  <si>
    <t>Lajoux JU</t>
  </si>
  <si>
    <t>Lajoux (JU)</t>
  </si>
  <si>
    <t>Fornet-Dessus</t>
  </si>
  <si>
    <t>Montfaucon</t>
  </si>
  <si>
    <t>Montfavergier</t>
  </si>
  <si>
    <t>Les Emibois</t>
  </si>
  <si>
    <t>Muriaux</t>
  </si>
  <si>
    <t>Le Cerneux-Veusil</t>
  </si>
  <si>
    <t>Le Noirmont</t>
  </si>
  <si>
    <t>Saignelégier</t>
  </si>
  <si>
    <t>Les Pommerats</t>
  </si>
  <si>
    <t>Goumois</t>
  </si>
  <si>
    <t>St-Brais</t>
  </si>
  <si>
    <t>Saint-Brais</t>
  </si>
  <si>
    <t>St-Ursanne</t>
  </si>
  <si>
    <t>Soubey</t>
  </si>
  <si>
    <t>Alle</t>
  </si>
  <si>
    <t>Beurnevésin</t>
  </si>
  <si>
    <t>Boncourt</t>
  </si>
  <si>
    <t>Bonfol</t>
  </si>
  <si>
    <t>Bure</t>
  </si>
  <si>
    <t>Coeuve</t>
  </si>
  <si>
    <t>Cornol</t>
  </si>
  <si>
    <t>Courchavon</t>
  </si>
  <si>
    <t>Courgenay</t>
  </si>
  <si>
    <t>Courtemautruy</t>
  </si>
  <si>
    <t>Courtedoux</t>
  </si>
  <si>
    <t>Damphreux</t>
  </si>
  <si>
    <t>Fahy</t>
  </si>
  <si>
    <t>Fontenais</t>
  </si>
  <si>
    <t>Villars-sur-Fontenais</t>
  </si>
  <si>
    <t>Bressaucourt</t>
  </si>
  <si>
    <t>Grandfontaine</t>
  </si>
  <si>
    <t>Lugnez</t>
  </si>
  <si>
    <t>Porrentruy</t>
  </si>
  <si>
    <t>Vendlincourt</t>
  </si>
  <si>
    <t>Courtemaîche</t>
  </si>
  <si>
    <t>Basse-Allaine</t>
  </si>
  <si>
    <t>Montignez</t>
  </si>
  <si>
    <t>Buix</t>
  </si>
  <si>
    <t>Clos du Doubs</t>
  </si>
  <si>
    <t>Montmelon</t>
  </si>
  <si>
    <t>Montenol</t>
  </si>
  <si>
    <t>Epauvillers</t>
  </si>
  <si>
    <t>Epiquerez</t>
  </si>
  <si>
    <t>Seleute</t>
  </si>
  <si>
    <t>Ocourt</t>
  </si>
  <si>
    <t>Chevenez</t>
  </si>
  <si>
    <t>Haute-Ajoie</t>
  </si>
  <si>
    <t>Rocourt</t>
  </si>
  <si>
    <t>Réclère</t>
  </si>
  <si>
    <t>Roche-d'Or</t>
  </si>
  <si>
    <t>Damvant</t>
  </si>
  <si>
    <t>Miécourt</t>
  </si>
  <si>
    <t>La Baroche</t>
  </si>
  <si>
    <t>Charmoille</t>
  </si>
  <si>
    <t>Fregiécourt</t>
  </si>
  <si>
    <t>Pleujouse</t>
  </si>
  <si>
    <t>Asuel</t>
  </si>
  <si>
    <t>Vaduz</t>
  </si>
  <si>
    <t>Triesen</t>
  </si>
  <si>
    <t>Balzers</t>
  </si>
  <si>
    <t>Triesenberg</t>
  </si>
  <si>
    <t>Schaan</t>
  </si>
  <si>
    <t>Planken</t>
  </si>
  <si>
    <t>Nendeln</t>
  </si>
  <si>
    <t>Eschen</t>
  </si>
  <si>
    <t>Schaanwald</t>
  </si>
  <si>
    <t>Mauren</t>
  </si>
  <si>
    <t>Mauren FL</t>
  </si>
  <si>
    <t>Gamprin-Bendern</t>
  </si>
  <si>
    <t>Gamprin</t>
  </si>
  <si>
    <t>Ruggell</t>
  </si>
  <si>
    <t>Schellenberg</t>
  </si>
  <si>
    <t>Thunersee</t>
  </si>
  <si>
    <t>Brienzersee</t>
  </si>
  <si>
    <t>Bielersee</t>
  </si>
  <si>
    <t>Bielersee (BE)</t>
  </si>
  <si>
    <t>https://www.cadastre.ch/fr/services/service/registry/plz.html</t>
  </si>
  <si>
    <t>Économies</t>
  </si>
  <si>
    <t>CHE-123.456.789</t>
  </si>
  <si>
    <t>Nr</t>
  </si>
  <si>
    <t>Gemeinden</t>
  </si>
  <si>
    <t>D</t>
  </si>
  <si>
    <t>Standort</t>
  </si>
  <si>
    <t>Site</t>
  </si>
  <si>
    <t>Alte Anlage/Gerät</t>
  </si>
  <si>
    <t>Ancienne installation/appareil</t>
  </si>
  <si>
    <t>Nouvelle installation/appareil</t>
  </si>
  <si>
    <t>Gemeinde</t>
  </si>
  <si>
    <t>Commune</t>
  </si>
  <si>
    <t>Ort</t>
  </si>
  <si>
    <t>Lieu</t>
  </si>
  <si>
    <t>Adresse</t>
  </si>
  <si>
    <t>Name</t>
  </si>
  <si>
    <t>Nom</t>
  </si>
  <si>
    <t>n°</t>
  </si>
  <si>
    <t>NPA</t>
  </si>
  <si>
    <t>Demande électrique</t>
  </si>
  <si>
    <t>Einsparungen</t>
  </si>
  <si>
    <t>Gesamt</t>
  </si>
  <si>
    <t>Total</t>
  </si>
  <si>
    <t>Champ calculé</t>
  </si>
  <si>
    <t>Berechnetetes Feld</t>
  </si>
  <si>
    <t>Posizione</t>
  </si>
  <si>
    <t>Luogo</t>
  </si>
  <si>
    <t>Indirizzo</t>
  </si>
  <si>
    <t>no</t>
  </si>
  <si>
    <t>Nome</t>
  </si>
  <si>
    <t>CAP</t>
  </si>
  <si>
    <t>Fabbisogno di electtricità</t>
  </si>
  <si>
    <t>Risparmio</t>
  </si>
  <si>
    <t>Neue Anlage/Gerät</t>
  </si>
  <si>
    <t>Vecchio impianto/appareccho</t>
  </si>
  <si>
    <t>Nuovo impianto/appareccho</t>
  </si>
  <si>
    <t>Totale</t>
  </si>
  <si>
    <t>Campo calcolato</t>
  </si>
  <si>
    <t>Campo bloccato</t>
  </si>
  <si>
    <t>Datum Inbetriebnahme</t>
  </si>
  <si>
    <t>Date de mise en service</t>
  </si>
  <si>
    <t>Data di messa in servizio</t>
  </si>
  <si>
    <t>EGID</t>
  </si>
  <si>
    <t>Marke/Hersteller</t>
  </si>
  <si>
    <t>Marque/fabricant</t>
  </si>
  <si>
    <t>Marchio/produttore</t>
  </si>
  <si>
    <t xml:space="preserve">Classe d'efficacité énergétique </t>
  </si>
  <si>
    <t xml:space="preserve">Classe di efficienza energetica </t>
  </si>
  <si>
    <t>Gebäude</t>
  </si>
  <si>
    <t>Bâtiment</t>
  </si>
  <si>
    <t>Edificio</t>
  </si>
  <si>
    <t>Gebäudekategorie</t>
  </si>
  <si>
    <t>Catégorie de bâtiment</t>
  </si>
  <si>
    <t>Categoria di edificio</t>
  </si>
  <si>
    <t>Wohnung</t>
  </si>
  <si>
    <t>Logement</t>
  </si>
  <si>
    <t>Alloggiamento</t>
  </si>
  <si>
    <t>Nutzung</t>
  </si>
  <si>
    <t>Utilisation</t>
  </si>
  <si>
    <t>Utilizzo</t>
  </si>
  <si>
    <t xml:space="preserve">Energie-effizienz-klasse </t>
  </si>
  <si>
    <t>UID</t>
  </si>
  <si>
    <t xml:space="preserve">Wärmebedarf </t>
  </si>
  <si>
    <t>Demande de chauffage</t>
  </si>
  <si>
    <t>Fabbisogno di riscaldamento</t>
  </si>
  <si>
    <t>Surface de référence énergétique</t>
  </si>
  <si>
    <t>Superficie di riferimento energetico</t>
  </si>
  <si>
    <t>Energie-bezugsfläche</t>
  </si>
  <si>
    <t>F</t>
  </si>
  <si>
    <t>I</t>
  </si>
  <si>
    <t>Erste Fassung</t>
  </si>
  <si>
    <t>E</t>
  </si>
  <si>
    <t>SRE</t>
  </si>
  <si>
    <t>Eingabefeld (optional)</t>
  </si>
  <si>
    <t>Champ d'entrée (optionnel)</t>
  </si>
  <si>
    <t>Campo di ingresso (opzionale)</t>
  </si>
  <si>
    <t>ZIP4</t>
  </si>
  <si>
    <t>CLIMATE_CODE</t>
  </si>
  <si>
    <t>PUY</t>
  </si>
  <si>
    <t>PAY</t>
  </si>
  <si>
    <t>GVE</t>
  </si>
  <si>
    <t>FRE</t>
  </si>
  <si>
    <t>NEU</t>
  </si>
  <si>
    <t>ABO</t>
  </si>
  <si>
    <t>AIG</t>
  </si>
  <si>
    <t>BER</t>
  </si>
  <si>
    <t>SIO</t>
  </si>
  <si>
    <t>MVE</t>
  </si>
  <si>
    <t>ZER</t>
  </si>
  <si>
    <t>CDF</t>
  </si>
  <si>
    <t>RUE</t>
  </si>
  <si>
    <t>BAS</t>
  </si>
  <si>
    <t>INT</t>
  </si>
  <si>
    <t>WYN</t>
  </si>
  <si>
    <t>LUZ</t>
  </si>
  <si>
    <t>PIO</t>
  </si>
  <si>
    <t>ULR</t>
  </si>
  <si>
    <t>BUS</t>
  </si>
  <si>
    <t>KLO</t>
  </si>
  <si>
    <t>SMA</t>
  </si>
  <si>
    <t>ENG</t>
  </si>
  <si>
    <t>ALT</t>
  </si>
  <si>
    <t>MAG</t>
  </si>
  <si>
    <t>SBE</t>
  </si>
  <si>
    <t>OTL</t>
  </si>
  <si>
    <t>DIS</t>
  </si>
  <si>
    <t>LUG</t>
  </si>
  <si>
    <t>CHU</t>
  </si>
  <si>
    <t>DAV</t>
  </si>
  <si>
    <t>VAD</t>
  </si>
  <si>
    <t>GLA</t>
  </si>
  <si>
    <t>SAM</t>
  </si>
  <si>
    <t>SCU</t>
  </si>
  <si>
    <t>ROB</t>
  </si>
  <si>
    <t>SHA</t>
  </si>
  <si>
    <t>GUT</t>
  </si>
  <si>
    <t>STG</t>
  </si>
  <si>
    <t>Klimastation</t>
  </si>
  <si>
    <t>Station climatique</t>
  </si>
  <si>
    <t>Altdorf</t>
  </si>
  <si>
    <t>Basel-Binningen</t>
  </si>
  <si>
    <t>Bern-Liebefeld</t>
  </si>
  <si>
    <t>Buchs-Aarau</t>
  </si>
  <si>
    <t>Disentis</t>
  </si>
  <si>
    <t>Geneve-Cointrin</t>
  </si>
  <si>
    <t>Grand-St-Bernard</t>
  </si>
  <si>
    <t>GSB</t>
  </si>
  <si>
    <t>lnterlaken</t>
  </si>
  <si>
    <t>La Frétaz</t>
  </si>
  <si>
    <t>Locarno-Monti</t>
  </si>
  <si>
    <t>Robbia</t>
  </si>
  <si>
    <t>San Bernardino</t>
  </si>
  <si>
    <t>Zürich-Kloten</t>
  </si>
  <si>
    <t>Zürich-MeteoSchweiz</t>
  </si>
  <si>
    <t>Station</t>
  </si>
  <si>
    <t>Abbr.</t>
  </si>
  <si>
    <t>Stazione climatica</t>
  </si>
  <si>
    <t>Eingabefehler</t>
  </si>
  <si>
    <t>Erreur de saisie</t>
  </si>
  <si>
    <t>Errore di inserimento</t>
  </si>
  <si>
    <t>Standardisierte Massnahme</t>
  </si>
  <si>
    <t>Massnahmennummer</t>
  </si>
  <si>
    <t>Version</t>
  </si>
  <si>
    <t>Gültig ab</t>
  </si>
  <si>
    <t>Es obliegt dem Elektrizitätslieferanten, sich jährlich rechtzeitig zu informieren, ob eine aktualisierte Version vorliegt. Das BFE publiziert allfällige aktualisierte Versionen im November. Während einer Übergangsfrist von 12 Monaten ab Gültigkeit dürfen die umgesetzten Massnahmen auch noch mit der vorgängigen Version gemeldet werden.</t>
  </si>
  <si>
    <t>Disclaimer</t>
  </si>
  <si>
    <t>Anwendungsbereich</t>
  </si>
  <si>
    <t>Beschreibung</t>
  </si>
  <si>
    <t>Anforderungen</t>
  </si>
  <si>
    <t>Nachweis</t>
  </si>
  <si>
    <t>Berechnungen</t>
  </si>
  <si>
    <t>Eidgenössisches Departement für Umwelt, Verkehr,</t>
  </si>
  <si>
    <t>Energie und Kommunikation UVEK</t>
  </si>
  <si>
    <t>Bundesamt für Energie BFE</t>
  </si>
  <si>
    <t>Mesure standardisée</t>
  </si>
  <si>
    <t>Valable dès</t>
  </si>
  <si>
    <t>Tabelle 1: Anforderungen</t>
  </si>
  <si>
    <t>Altes System</t>
  </si>
  <si>
    <t>Neues System</t>
  </si>
  <si>
    <t>Technologie</t>
  </si>
  <si>
    <t>Umsetzung</t>
  </si>
  <si>
    <t>Entsorgung</t>
  </si>
  <si>
    <t>Gegenstand</t>
  </si>
  <si>
    <t>Texte</t>
  </si>
  <si>
    <t>Format</t>
  </si>
  <si>
    <t>Lang</t>
  </si>
  <si>
    <t>Lines</t>
  </si>
  <si>
    <t>Height</t>
  </si>
  <si>
    <t>Subtitel</t>
  </si>
  <si>
    <t>Identifiant de la mesure</t>
  </si>
  <si>
    <t>Il incombe au fournisseur d’électricité de s’informer chaque année en temps utile si une version actualisée est disponible. L’OFEN publie les éventuelles versions actualisées en novembre. Pendant une période de transition de 12 mois à compter de la date de validité, les mesures mises en œuvre peuvent encore être annoncées avec la version précédente.</t>
  </si>
  <si>
    <t>Description</t>
  </si>
  <si>
    <t>Exigences</t>
  </si>
  <si>
    <t>Justificatif</t>
  </si>
  <si>
    <t>Les justificatifs de la facture (format PDF, PNG ou JPEG)</t>
  </si>
  <si>
    <t>Calculs</t>
  </si>
  <si>
    <t>Tableau 1: Exigences</t>
  </si>
  <si>
    <t>Ancien système</t>
  </si>
  <si>
    <t>Nouveau système</t>
  </si>
  <si>
    <t>Mise en œuvre</t>
  </si>
  <si>
    <t>Élimination</t>
  </si>
  <si>
    <t>Objet</t>
  </si>
  <si>
    <t>Office fédéral de l'énergie OFEN</t>
  </si>
  <si>
    <t>Misura standardizzata</t>
  </si>
  <si>
    <t>Numero della misura</t>
  </si>
  <si>
    <t>Versione</t>
  </si>
  <si>
    <t>Valida dal</t>
  </si>
  <si>
    <t>È responsabilità del fornitore di elettricità informarsi tempestivamente ogni anno se è disponibile una versione aggiornata. L’UFE pubblica le eventuali versioni aggiornate nel mese di novembre. Durante un periodo transitorio di 12 mesi dalla data di validità, le misure adottate possono ancora essere notificate utilizzando la versione precedente.</t>
  </si>
  <si>
    <t>Campo di applicazione</t>
  </si>
  <si>
    <t>Descrizione</t>
  </si>
  <si>
    <t>Requisiti</t>
  </si>
  <si>
    <t>Tabella 1: Requisiti</t>
  </si>
  <si>
    <t>Vecchio sistema</t>
  </si>
  <si>
    <t>Nuovo sistema</t>
  </si>
  <si>
    <t>Attuazione</t>
  </si>
  <si>
    <t>Smaltimento</t>
  </si>
  <si>
    <t>Oggetto</t>
  </si>
  <si>
    <t>Ad es. tramite formulari, voci di fatture o simili.</t>
  </si>
  <si>
    <t xml:space="preserve">Risparmio </t>
  </si>
  <si>
    <t>Calcoli</t>
  </si>
  <si>
    <t xml:space="preserve">Giustificativi (in formato PDF, JPEG o PNG) della fattura </t>
  </si>
  <si>
    <t>Prova</t>
  </si>
  <si>
    <t>Ufficio federale dell’energia UFE</t>
  </si>
  <si>
    <t>Dipartimento federale dell’ambiente, dei trasporti,</t>
  </si>
  <si>
    <t>dell’energia e delle comunicazioni DATEC</t>
  </si>
  <si>
    <t>Tecnologia</t>
  </si>
  <si>
    <t>Département fédéral de l’environnement, des transports,</t>
  </si>
  <si>
    <t>de l’énergie et de la communication DETEC</t>
  </si>
  <si>
    <t>Tabelle 2: Nachweise</t>
  </si>
  <si>
    <t>Tableau 2: Justificatifs</t>
  </si>
  <si>
    <t>Tabella 2: Prove</t>
  </si>
  <si>
    <t>Die Einhaltung der Anforderungen muss durch die folgenden Dokumente belegt werden. Die in der Tabelle 2 aufgeführten Unterlagen sind integraler Bestandteil des Nachweises der Massnahmenumsetzung.</t>
  </si>
  <si>
    <t>Le respect des exigences doit être prouvé par les documents suivants. Les documents énumérés dans le tableau 2 font partie intégrante de la preuve de la mise en œuvre de la mesure ou des mesures.</t>
  </si>
  <si>
    <t>Il rispetto dei requisiti deve essere comprovato con i seguenti documenti. I documenti elencati nella la tabella 2 sono parte integrante della prova di adozione delle misure.</t>
  </si>
  <si>
    <t>Veuillez sélectionner la langue</t>
  </si>
  <si>
    <t>Bitte wählen Sie die Sprache aus</t>
  </si>
  <si>
    <t>Selezionare la lingua</t>
  </si>
  <si>
    <t>Versionshistorie</t>
  </si>
  <si>
    <t>Historique des versions</t>
  </si>
  <si>
    <t>Cronologia delle versioni</t>
  </si>
  <si>
    <t>Première version</t>
  </si>
  <si>
    <t>Änderung</t>
  </si>
  <si>
    <t>Modifications</t>
  </si>
  <si>
    <t>Nr.</t>
  </si>
  <si>
    <t>Inhaltsverzeichnis</t>
  </si>
  <si>
    <t>Indice dei contenuti</t>
  </si>
  <si>
    <t>Table des matières</t>
  </si>
  <si>
    <t>A. Einsparprotokoll</t>
  </si>
  <si>
    <t>A. Protocole d'économie</t>
  </si>
  <si>
    <t>B. Monitoringliste</t>
  </si>
  <si>
    <t>Modifiche</t>
  </si>
  <si>
    <t>Prima versione</t>
  </si>
  <si>
    <t>Sheet</t>
  </si>
  <si>
    <t>B. Liste de monitoring</t>
  </si>
  <si>
    <t>A. Protocollo di risparmio</t>
  </si>
  <si>
    <t>B. Lista di monitoraggio</t>
  </si>
  <si>
    <t>Le présent document sert uniquement à justifier la mise en œuvre d’une mesure visant à accroître l’efficacité énergétique au sens de l’art. 46b LEne. Les données et les calculs qu’il mentionne ont été élaborés sur la base de normes, d’études et de valeurs empiriques. Ce protocole d’économie a uniquement pour but de justifier les économies d’électricité effectives liées à une mesure d’efficacité. L’OFEN décline toute responsabilité en cas d’usage du présent document à d’autres fins que pour justifier la mise en œuvre des mesures visées à l’art. 46b LEne.</t>
  </si>
  <si>
    <t>Dieses Dokument dient ausschliesslich für den Nachweis der Umsetzung der erwähnten Energieeffizienzmassnahme nach Artikel 46b EnG. Die enthaltenen Angaben und Berechnungen wurden anhand von Normen, Studien und Erfahrungswerten erstellt. Dieses Einsparprotokoll kann nicht anderweitig als Beleg der effektiven Stromeinsparungen, welche durch die jeweilige Effizienzmassnahme erbracht wurden, verwendet werden. Das Bundesamt für Energie übernimmt keinerlei Gewähr für eine Verwendung ausserhalb des Nachweises der Umsetzung nach Artikel 46b EnG.</t>
  </si>
  <si>
    <t>Il presente documento ha esclusivamente lo scopo di provare l’adozione della menzionata misura di efficienza energetica ai sensi dell’articolo 46b LEne. Le informazioni e i calcoli in esso contenuti sono stati elaborati sulla base di norme, studi e valori empirici. Il presente protocollo di risparmio non può essere utilizzato che come prova dell’effettivo risparmio di elettricità ottenuto con l’adozione della rispettiva misura di efficienza. L’Ufficio federale dell’energia non si assume alcuna responsabilità per un utilizzo diverso da quello di prova dell’adozione ai sensi dell’articolo 46b LEne.</t>
  </si>
  <si>
    <t>Protocole</t>
  </si>
  <si>
    <t>Varia</t>
  </si>
  <si>
    <t>Monitoring</t>
  </si>
  <si>
    <t>Monitoringliste</t>
  </si>
  <si>
    <t>Lista di Monitoring</t>
  </si>
  <si>
    <t>Liste de monitoring</t>
  </si>
  <si>
    <t>Strombedarf</t>
  </si>
  <si>
    <t>Einsparprotokoll</t>
  </si>
  <si>
    <t>Protocole d'économie</t>
  </si>
  <si>
    <t>Protocollo di risparmio</t>
  </si>
  <si>
    <t>Meldung der Massnahme</t>
  </si>
  <si>
    <t>Annonce de la mesure</t>
  </si>
  <si>
    <t>Notifica della misura</t>
  </si>
  <si>
    <t>Die Monitoringliste (Tabelle B), welche jede umgesetzte Massnahme aufzeigt, die mit diesem Einsparprotokoll gebündelt gemeldet wird. Jede Massnahme muss mit den gesamten Angaben vollständig erfasst werden.</t>
  </si>
  <si>
    <t>La liste de monitoring (tableau B), qui indique chaque mesure mise en œuvre et qui est communiquée de manière groupée avec le présent protocole d'économie. Chaque mesure doit être saisie avec toutes les informations requises.</t>
  </si>
  <si>
    <t>Lista di monitoraggio (tabella B), contenente una o più misure adottate che vengono comunicate attraverso il presente protocollo di risparmio. Ogni misura deve essere registrato con tutte le informazioni richieste.</t>
  </si>
  <si>
    <t>Fussnote</t>
  </si>
  <si>
    <t>P. ex. via des exemples de formulaires, de positions sur des factures ou autres.</t>
  </si>
  <si>
    <t>Z. B. über Beispiele von Formularen, Positionen auf Rechnungen oder dergleichen.</t>
  </si>
  <si>
    <t xml:space="preserve"> zu finden</t>
  </si>
  <si>
    <t>Tabellentitel</t>
  </si>
  <si>
    <t xml:space="preserve">Seules les mesures qui respectent les exigences de l’ordonnance sur l’énergie (RS 730.01; OEne) peuvent être prises en compte. Les exigences supplémentaires relatives aux caractéristiques techniques et à la mise en œuvre de la mesure sont définies dans le tableau 1. </t>
  </si>
  <si>
    <t xml:space="preserve">Solo le misure che soddisfano i requisiti dell’ordinanza sull’energia (RS 730.01; OEn) possono essere prese in considerazione. I requisiti supplementari relativi alle caratteristiche tecniche e all’adozione della misura sono riportati nella tabella 1. </t>
  </si>
  <si>
    <t xml:space="preserve">non devono essere comunicate in modo sistematico, ma devono poter essere presentati entro 30 giorni in caso di ispezione da parte dell’autorità di esecuzione. </t>
  </si>
  <si>
    <t>Ancien / Nouveau système</t>
  </si>
  <si>
    <t>Altes / Neues System</t>
  </si>
  <si>
    <t>Vecchio / Nuovo sistema</t>
  </si>
  <si>
    <t>EBF</t>
  </si>
  <si>
    <t>SRE = Surface de référence énergétique</t>
  </si>
  <si>
    <t>SRE = Superficie di riferimento energetico</t>
  </si>
  <si>
    <t>EBF = Energiebezugsfläche</t>
  </si>
  <si>
    <t>Aufnahme einer Übersichtstabelle über die Änderungen zwischen den früheren Versionen</t>
  </si>
  <si>
    <t>Einfügen des Einsparprotokolls (Tabelle A)</t>
  </si>
  <si>
    <t>Intégration du protocole d'économie (tableau A)</t>
  </si>
  <si>
    <t>Änderung und Aufnahme von Feldern in der Monitoringliste  (Tabelle B)</t>
  </si>
  <si>
    <t>Modification et ajout de champs dans la liste de monitoring (tableau B)</t>
  </si>
  <si>
    <t>Divers changements de mise en page</t>
  </si>
  <si>
    <t>Varie modifiche di layout</t>
  </si>
  <si>
    <t>Modifica e aggiunta di campi nell'elenco di monitoraggio  (tabella B)</t>
  </si>
  <si>
    <t>Aggiunta di una tabella riassuntiva delle modifiche apportate nelle versioni precedenti</t>
  </si>
  <si>
    <t>Integrazione del protocollo di risparmio nel documento (tabella A)</t>
  </si>
  <si>
    <t>Date</t>
  </si>
  <si>
    <t>Datum</t>
  </si>
  <si>
    <t>Data</t>
  </si>
  <si>
    <t>* automatisch nach der in der Dokumentation</t>
  </si>
  <si>
    <t xml:space="preserve"> beschriebenen Berechnungsmethode berechnet</t>
  </si>
  <si>
    <t>* calculé automatiquement selon la méthode de calcul décrite dans la documentation</t>
  </si>
  <si>
    <t>* calcolato automaticamente secondo il metodo di calcolo descritto nella documentazione</t>
  </si>
  <si>
    <t>Une explication (format PDF, max. 2 pages A4) sur la manière dont il est garanti que les appareils remplacés ont été éliminés dans les règles de l’art (p. ex. au moyen de déclarations, de positions d'élimination sur les factures des entreprises, etc.)</t>
  </si>
  <si>
    <t>Rechnungsbelege (Format PDF, PNG oder JPEG)</t>
  </si>
  <si>
    <t>Erläuterung (Format PDF, max. 2 A4-Seiten), wie sichergestellt wird, dass die ersetzten Geräte fachgerecht entsorgt wurden (z. B. mittels Deklarationen, Entsorgungspositionen auf Unternehmerrechnungen, usw.).</t>
  </si>
  <si>
    <t>Spiegazione (in formato PDF, max. 2 pagine A4) delle modalità con cui si garantisce il corretto smaltimento degli apparecchi via via sostituiti (ad esempio tramite dichiarazioni, indicazioni di smaltimento sulle fatture aziendali, ecc.).</t>
  </si>
  <si>
    <t>Firma, welche den Ersatz durchgeführt hat</t>
  </si>
  <si>
    <t>Firma, welche die Optimierung durchgeführt hat</t>
  </si>
  <si>
    <t>Entreprise qui a effectué l'optimisation</t>
  </si>
  <si>
    <t>Entreprise qui a effectué le remplacement</t>
  </si>
  <si>
    <t>Azienda che ha effettuato la sostituzione</t>
  </si>
  <si>
    <t>Azienda che ha effettuato l'ottimizzazione</t>
  </si>
  <si>
    <t>§</t>
  </si>
  <si>
    <t>Mesure</t>
  </si>
  <si>
    <t>Massnahme</t>
  </si>
  <si>
    <t>Misura</t>
  </si>
  <si>
    <t>(äquivalent)</t>
  </si>
  <si>
    <t>(équivalent)</t>
  </si>
  <si>
    <t>(equivalente)</t>
  </si>
  <si>
    <t>kWh</t>
  </si>
  <si>
    <t>Anrechenbare Stromeinsparungen* [kWh]</t>
  </si>
  <si>
    <t>Économies d’électricité comptabilisables* [kWh]</t>
  </si>
  <si>
    <t>Risparmio di elettricità computabile* [kWh]</t>
  </si>
  <si>
    <t>Elektrizitätslieferant</t>
  </si>
  <si>
    <t>Fournisseur d'électricité</t>
  </si>
  <si>
    <t>Fornitore di elettricità</t>
  </si>
  <si>
    <t>Energia Beispiel AG</t>
  </si>
  <si>
    <t>Dateibezeichnung</t>
  </si>
  <si>
    <t>Référence du fichier</t>
  </si>
  <si>
    <t>Riferimento del file</t>
  </si>
  <si>
    <t>definisce l'ambito di applicazione e i requisiti relativi all'attuazione della misura e alla documentazione giustificativa. Non è richiesta alcuna registrazione.</t>
  </si>
  <si>
    <t>legt den Anwendungsbereich und die Anforderungen für die Umsetzung der Massnahme sowie an die Nachweise fest. Es ist keine Eingabe erforderlich.</t>
  </si>
  <si>
    <t>riassume le misure annunciate nel presente protocollo. Tutti i campi devono essere compilati per ogni misura.</t>
  </si>
  <si>
    <t>fasst die in diesem Protokoll gemeldeten Massnahmen zusammen. Alle Eingabefelder müssen für jede Massnahme ausgefüllt werden.</t>
  </si>
  <si>
    <t>Referenz</t>
  </si>
  <si>
    <t>Référence</t>
  </si>
  <si>
    <t>Riferimento</t>
  </si>
  <si>
    <t>Vous pouvez saisir ici le nom du fichier défini au sein de votre organisation</t>
  </si>
  <si>
    <t>Qui può inserire il nome del file definito all'interno della vostra organizzazione</t>
  </si>
  <si>
    <t>Questo campo deve essere compilato prima di comunicare la o le misure di seguito indicate.</t>
  </si>
  <si>
    <t>Ce champ doit être renseigné avant l'annonce de la ou des mesures ci-dessous.</t>
  </si>
  <si>
    <t>Dieses Feld muss vor der Meldung der folgenden Massnahme(n) ausgefüllt werden.</t>
  </si>
  <si>
    <t>Zurück zur Übersicht</t>
  </si>
  <si>
    <t>Torna alla panoramica</t>
  </si>
  <si>
    <t>Retour à la vue d'ensemble</t>
  </si>
  <si>
    <t>Champ d'entrée (obligatoire)</t>
  </si>
  <si>
    <t>Campo di ingresso (obbligatorio)</t>
  </si>
  <si>
    <t>Eingabefeld (obligatorisch)</t>
  </si>
  <si>
    <t>Chaque mesure doit être saisie avec toutes les informations requises (champs obligatoires).</t>
  </si>
  <si>
    <t>Campo a scelta multipla (obbligatorio)</t>
  </si>
  <si>
    <t>Champ à choix multiple (obligatoire)</t>
  </si>
  <si>
    <t>Mehrfachauswahlfeld (obligatorisch)</t>
  </si>
  <si>
    <t>Jede Massnahme muss mit den gesamten Angaben vollständig erfasst werden (Pflichtfelder).</t>
  </si>
  <si>
    <t>Ogni misura deve essere registrato con tutte le informazioni richieste (campi obbligatori).</t>
  </si>
  <si>
    <t>Die Unterlagen unter Punkt</t>
  </si>
  <si>
    <t>Die Unterlagen unter Punkt 1 müssen bei der Meldung dem Einsparprotokoll beigelegt werden.</t>
  </si>
  <si>
    <t>Les documents du point 1 doivent être joints au protocole d’économie lors de l’annonce.</t>
  </si>
  <si>
    <t>I documenti di cui al punto 1 devono essere allegati al protocollo di risparmio al momento della presentazione della notifica.</t>
  </si>
  <si>
    <t>I documenti di cui ai punti da</t>
  </si>
  <si>
    <t xml:space="preserve">Les documents du point </t>
  </si>
  <si>
    <t>measure_id</t>
  </si>
  <si>
    <t>measure_version</t>
  </si>
  <si>
    <t>Formeln</t>
  </si>
  <si>
    <t>Lang_measure</t>
  </si>
  <si>
    <t>measure_nbr</t>
  </si>
  <si>
    <t>Die anrechenbaren Stromeinsparungen der Massnahme werden abhängig von den festgelegten Eingabevariablen durch die Monitoringliste in Kilowattstunden berechnet. Informationen zu den Annahmen und der Berechnungsmethode sind in der zugehörigen Dokumentation</t>
  </si>
  <si>
    <t>Parameter</t>
  </si>
  <si>
    <t xml:space="preserve">müssen nicht systematisch eingereicht werden, aber der Vollzugsbehörde bei einer allfälligen Kontrolle innerhalb von 30 Tagen vorgelegt werden können. </t>
  </si>
  <si>
    <t xml:space="preserve">ne doivent pas être annoncés de manière systématique mais pouvoir être présentés dans les 30 jours lors d’un éventuel contrôle de l’autorité d’exécution. </t>
  </si>
  <si>
    <t>Energieeffizienz</t>
  </si>
  <si>
    <t>Wohnen MFH</t>
  </si>
  <si>
    <t>Habitat collectif</t>
  </si>
  <si>
    <t>Abitazioni plurifamiliari</t>
  </si>
  <si>
    <t>Verwaltung</t>
  </si>
  <si>
    <t>Administration</t>
  </si>
  <si>
    <t>Amministrazione</t>
  </si>
  <si>
    <t>Schulen</t>
  </si>
  <si>
    <t>Écoles</t>
  </si>
  <si>
    <t>Scuole</t>
  </si>
  <si>
    <t>Verkauf</t>
  </si>
  <si>
    <t>Commerce</t>
  </si>
  <si>
    <t>Negozi</t>
  </si>
  <si>
    <t>Restaurants</t>
  </si>
  <si>
    <t>Restauration</t>
  </si>
  <si>
    <t>Ristoranti</t>
  </si>
  <si>
    <t>Versammlungslokale</t>
  </si>
  <si>
    <t>Lieux de rassemblement</t>
  </si>
  <si>
    <t>Locali pubblici</t>
  </si>
  <si>
    <t>Spitäler</t>
  </si>
  <si>
    <t>Ospedali</t>
  </si>
  <si>
    <t>Industrie</t>
  </si>
  <si>
    <t>Lager</t>
  </si>
  <si>
    <t>Dépôts</t>
  </si>
  <si>
    <t>Magazzini</t>
  </si>
  <si>
    <t>Sportbauten</t>
  </si>
  <si>
    <t>Installations sportives</t>
  </si>
  <si>
    <t xml:space="preserve">Impianti sportivi </t>
  </si>
  <si>
    <t>Hallenbäder</t>
  </si>
  <si>
    <t>Piscines couvertes</t>
  </si>
  <si>
    <t>Piscine coperte</t>
  </si>
  <si>
    <t>Einsparungen (gesamte) [kWh]</t>
  </si>
  <si>
    <t>Économies (totales) [kWh]</t>
  </si>
  <si>
    <t>Risparmi (totali) [kWh]</t>
  </si>
  <si>
    <t>eindeutige Identifikation, die es ermöglicht, auf einer frei zugänglichen Website die Anforderungen in Tabelle 1 zu prüfen</t>
  </si>
  <si>
    <t>Identificazione univoca che consente di verificare i requisiti indicati nella tabella 1 su un sito web liberamente accessibile.</t>
  </si>
  <si>
    <t>Identification univoque permettant de vérifier les exigences du tableau 1 sur un site web librement accessible.</t>
  </si>
  <si>
    <t>Efficienza energetica</t>
  </si>
  <si>
    <t>Insérer ici le titre de la mesure</t>
  </si>
  <si>
    <t>Insérer ici le champ d'application</t>
  </si>
  <si>
    <t>Insérer ici la déscription</t>
  </si>
  <si>
    <t>Insérer ici un complément à la déscription (deuxième paragraphe)</t>
  </si>
  <si>
    <t>Insérer les modifications pour le tableau A (une ligne = une ligne dans le tableau A)</t>
  </si>
  <si>
    <t>Insérer ici les justificatifs qui ne figurent pas dans les lines 128 à 130</t>
  </si>
  <si>
    <t>Exigence 1 : alt</t>
  </si>
  <si>
    <t>Exigence 2 : neu</t>
  </si>
  <si>
    <t>Exigence 2 : alt</t>
  </si>
  <si>
    <t>Exigence 2 : titre</t>
  </si>
  <si>
    <t>Exigence 1 : titre</t>
  </si>
  <si>
    <t>Exigence 1 : neu</t>
  </si>
  <si>
    <t>Exigence 3 : titre</t>
  </si>
  <si>
    <t>Exigence 3 : alt</t>
  </si>
  <si>
    <t>Exigence 3 : neu</t>
  </si>
  <si>
    <t>Cacher les lines non-utilisées</t>
  </si>
  <si>
    <t>Explanation</t>
  </si>
  <si>
    <t>Les numéros du tableau peuvent être modifiées ici. Cacher les lines non-utilisées</t>
  </si>
  <si>
    <t xml:space="preserve">Si le premier justificatif doit être fourni lors de l'annonce : TRUE </t>
  </si>
  <si>
    <t>Adapter en fonction des numéros des justificatifs à fournir lors d'un contrôle (i.e. tous les autres)</t>
  </si>
  <si>
    <t>Modifier en fonction de la mesure</t>
  </si>
  <si>
    <t>Modifier en fonction de la version et la date de la modification (l'entrée s'affiche seulement si le texte est saisi dans Y)</t>
  </si>
  <si>
    <t>Insérer ici tous les titres spécifiques à la mesure</t>
  </si>
  <si>
    <t>Insérer ci-dessous les exigences avec des formulations différentes pour alt &amp; neu</t>
  </si>
  <si>
    <t>Insérer ci-dessous les exigences avec des formulations pour alt &amp; neu qui ne figurent pas dans les lines 120 à 123</t>
  </si>
  <si>
    <t>kW</t>
  </si>
  <si>
    <t>kWh/a</t>
  </si>
  <si>
    <t>Exemple SA</t>
  </si>
  <si>
    <t>alt</t>
  </si>
  <si>
    <t>neu</t>
  </si>
  <si>
    <r>
      <t>Geograpfische Region (</t>
    </r>
    <r>
      <rPr>
        <sz val="10"/>
        <color theme="1"/>
        <rFont val="Arial"/>
        <family val="2"/>
      </rPr>
      <t xml:space="preserve">≥ </t>
    </r>
    <r>
      <rPr>
        <sz val="10"/>
        <color theme="1"/>
        <rFont val="Arial Narrow"/>
        <family val="2"/>
      </rPr>
      <t>800 m)</t>
    </r>
  </si>
  <si>
    <t>Région géographique (≥ 800 m)</t>
  </si>
  <si>
    <t>Regione geografica (≥ 800 m)</t>
  </si>
  <si>
    <t>Alpensüdseite</t>
  </si>
  <si>
    <t>Sud des Alpes</t>
  </si>
  <si>
    <t>Westschweiz und Wallis</t>
  </si>
  <si>
    <t>Svizzera romanda e Vallese</t>
  </si>
  <si>
    <t>Deutschschweiz</t>
  </si>
  <si>
    <t>Suisse alémanique</t>
  </si>
  <si>
    <t>Svizzera tedesca</t>
  </si>
  <si>
    <t>Gekühlte Fläche</t>
  </si>
  <si>
    <t>Surface conditionnée</t>
  </si>
  <si>
    <t>Superficie raffreddata</t>
  </si>
  <si>
    <t>Nennkühlleistung</t>
  </si>
  <si>
    <t>Puissance de refroidissement nominale</t>
  </si>
  <si>
    <t>Capacità di raffreddamento nominale</t>
  </si>
  <si>
    <t>Modellkennzeichnung*</t>
  </si>
  <si>
    <t>Identification du modèle*</t>
  </si>
  <si>
    <t>Etichettatura del modello*</t>
  </si>
  <si>
    <t>Energieeffizienzklasse (Kühlen) von mindestens A+++</t>
  </si>
  <si>
    <t>Classe d’efficacité (refroidissement) minimale A+++</t>
  </si>
  <si>
    <t>Classe di efficienza energetica (raffreddamento) minima: A+++</t>
  </si>
  <si>
    <t>Aufstellungsort</t>
  </si>
  <si>
    <t>Die gekühlte Fläche des Gebäudes/Räume ohne Wohnnutzung muss 150 m2 oder kleiner sein und muss gemäss der Norm SIA 380:2015 ermittelt werden. Die Höhenlage des Gebäudes darf den Wert von 800 Meter über dem Meer nicht überschreit.</t>
  </si>
  <si>
    <t>Lieu d’installation</t>
  </si>
  <si>
    <t>Collocazione</t>
  </si>
  <si>
    <t>L’edificio o i locali a uso non abitativo devono avere una superficie raffreddata di al massimo 150 m2, da determinare conformemente alla norma SIA 380:2015. L’edificio non può essere situato al di sopra degli 800 m s.l.m.</t>
  </si>
  <si>
    <t>Dimensionierung</t>
  </si>
  <si>
    <t>Die gesamte installierte Nennkühlleistung des neuen Systems müssen kleiner oder gleich wie die gesamte installierte Nennkühlleistung des alten Systems sein.</t>
  </si>
  <si>
    <t>Dimensionnement</t>
  </si>
  <si>
    <t>La puissance nominale totale installée du nouveau système doit être inférieure ou égale à la puissance nominale totale installée de l’ancien système.</t>
  </si>
  <si>
    <t>Dimensionamento</t>
  </si>
  <si>
    <t>La potenza nominale di raffreddamento totale installata del nuovo sistema deve essere inferiore o uguale quella del vecchio sistema.</t>
  </si>
  <si>
    <t>Tabelle 3:  Stromeinsparungen</t>
  </si>
  <si>
    <t>Tableau 3: Économies d’électricité</t>
  </si>
  <si>
    <t>Tabella 3: Risparmio di elettricità</t>
  </si>
  <si>
    <t>Alpensüdseite, bis 50 m2</t>
  </si>
  <si>
    <t>Westschweiz und Wallis, bis 50 m2</t>
  </si>
  <si>
    <t>Deutschschweiz, bis 50 m2</t>
  </si>
  <si>
    <t>Alpensüdseite, 50 - 100 m2</t>
  </si>
  <si>
    <t>Westschweiz und Wallis, 50 - 100 m2</t>
  </si>
  <si>
    <t>Deutschschweiz, 50 - 100 m2</t>
  </si>
  <si>
    <t>Alpensüdseite, 100 - 150 m2</t>
  </si>
  <si>
    <t>Westschweiz und Wallis, 100 - 150 m2</t>
  </si>
  <si>
    <r>
      <t>Deutschschweiz, 100 - 150 m</t>
    </r>
    <r>
      <rPr>
        <vertAlign val="superscript"/>
        <sz val="9"/>
        <color theme="1"/>
        <rFont val="Arial"/>
        <family val="2"/>
      </rPr>
      <t>2</t>
    </r>
  </si>
  <si>
    <r>
      <t>Sud des Alpes, jusqu’à 50 m</t>
    </r>
    <r>
      <rPr>
        <vertAlign val="superscript"/>
        <sz val="9"/>
        <color theme="1"/>
        <rFont val="Arial"/>
        <family val="2"/>
      </rPr>
      <t>2</t>
    </r>
  </si>
  <si>
    <r>
      <t>Suisse alémanique, jusqu’à 50 m</t>
    </r>
    <r>
      <rPr>
        <vertAlign val="superscript"/>
        <sz val="9"/>
        <color theme="1"/>
        <rFont val="Arial"/>
        <family val="2"/>
      </rPr>
      <t>2</t>
    </r>
  </si>
  <si>
    <r>
      <t>Sud des Alpes, 50 - 100 m</t>
    </r>
    <r>
      <rPr>
        <vertAlign val="superscript"/>
        <sz val="9"/>
        <color theme="1"/>
        <rFont val="Arial"/>
        <family val="2"/>
      </rPr>
      <t>2</t>
    </r>
  </si>
  <si>
    <r>
      <t>Suisse alémanique, 50 - 100 m</t>
    </r>
    <r>
      <rPr>
        <vertAlign val="superscript"/>
        <sz val="9"/>
        <color theme="1"/>
        <rFont val="Arial"/>
        <family val="2"/>
      </rPr>
      <t>2</t>
    </r>
  </si>
  <si>
    <r>
      <t>Sud des Alpes, 100 - 150 m</t>
    </r>
    <r>
      <rPr>
        <vertAlign val="superscript"/>
        <sz val="9"/>
        <color theme="1"/>
        <rFont val="Arial"/>
        <family val="2"/>
      </rPr>
      <t>2</t>
    </r>
  </si>
  <si>
    <r>
      <t>Suisse alémanique, 100 - 150 m</t>
    </r>
    <r>
      <rPr>
        <vertAlign val="superscript"/>
        <sz val="9"/>
        <color theme="1"/>
        <rFont val="Arial"/>
        <family val="2"/>
      </rPr>
      <t>2</t>
    </r>
  </si>
  <si>
    <r>
      <t>Versante meridionale delle Alpi, fino a 50 m</t>
    </r>
    <r>
      <rPr>
        <vertAlign val="superscript"/>
        <sz val="9"/>
        <color theme="1"/>
        <rFont val="Arial"/>
        <family val="2"/>
      </rPr>
      <t>²</t>
    </r>
  </si>
  <si>
    <r>
      <t>Svizzera tedesca, fino a 50 m</t>
    </r>
    <r>
      <rPr>
        <vertAlign val="superscript"/>
        <sz val="9"/>
        <color theme="1"/>
        <rFont val="Arial"/>
        <family val="2"/>
      </rPr>
      <t>2</t>
    </r>
  </si>
  <si>
    <r>
      <t>Versante meridionale delle Alpi, 50–100 m</t>
    </r>
    <r>
      <rPr>
        <vertAlign val="superscript"/>
        <sz val="9"/>
        <color theme="1"/>
        <rFont val="Arial"/>
        <family val="2"/>
      </rPr>
      <t>2</t>
    </r>
  </si>
  <si>
    <r>
      <t>Svizzera tedesca, 50–100 m</t>
    </r>
    <r>
      <rPr>
        <vertAlign val="superscript"/>
        <sz val="9"/>
        <color theme="1"/>
        <rFont val="Arial"/>
        <family val="2"/>
      </rPr>
      <t>2</t>
    </r>
  </si>
  <si>
    <r>
      <t>Versante meridionale delle Alpi, 100–150 m</t>
    </r>
    <r>
      <rPr>
        <vertAlign val="superscript"/>
        <sz val="9"/>
        <color theme="1"/>
        <rFont val="Arial"/>
        <family val="2"/>
      </rPr>
      <t>2</t>
    </r>
  </si>
  <si>
    <r>
      <t>Svizzera tedesca, 100–150 m</t>
    </r>
    <r>
      <rPr>
        <vertAlign val="superscript"/>
        <sz val="9"/>
        <color theme="1"/>
        <rFont val="Arial"/>
        <family val="2"/>
      </rPr>
      <t>2</t>
    </r>
  </si>
  <si>
    <t>Energieeffizienzklasse im Kühlbetrieb</t>
  </si>
  <si>
    <t>Classe d’efficacité énergétique en mode refroidissement</t>
  </si>
  <si>
    <t>Classe di efficienza energetica in modalità di raffreddamento</t>
  </si>
  <si>
    <t>Alle Kategorien nur für Höhen unter 800 Meter über dem Meer</t>
  </si>
  <si>
    <t>Toutes les catégories uniquement pour les altitudes inférieures à 800 mètres au-dessus du niveau de la mer</t>
  </si>
  <si>
    <t>Tutte le categorie: solo per altitudini al di sotto degli 800 m s.l.m.</t>
  </si>
  <si>
    <t>Risparmio cumulativo di elettricità per tutta la durata dell’effetto della misura.</t>
  </si>
  <si>
    <t>Économies d’électricité cumulées sur la durée d’impact de la mesure</t>
  </si>
  <si>
    <t>kumulierte Stromeinsparungen über die Wirkungsdauer der Massnahme</t>
  </si>
  <si>
    <t>Alte Energieetikette***</t>
  </si>
  <si>
    <t>Ancienne étiquette énergétique***</t>
  </si>
  <si>
    <t>Vecchia etichettaEnergia***</t>
  </si>
  <si>
    <t>Anrechenbare Stromeinsparung** 
pro Energieeffizienzklasse
[kWh]</t>
  </si>
  <si>
    <t>Économies d’électricité comptabilisables** 
par classe d’efficacité énergétique
[kWh]</t>
  </si>
  <si>
    <t>Risparmio di elettricità computabile** 
per classe di efficienza energetica
[kWh]</t>
  </si>
  <si>
    <t>Nutzungskategorie*</t>
  </si>
  <si>
    <t>Catégorie d’affectation*</t>
  </si>
  <si>
    <t>Categoria di utilizzazione*</t>
  </si>
  <si>
    <t>Komfortklima (Direktverdampfung)</t>
  </si>
  <si>
    <t>Komfortklima (Kälteträger)</t>
  </si>
  <si>
    <t>Climatisation (évaporation directe)</t>
  </si>
  <si>
    <t>Climatisation (fluide frigorigène)</t>
  </si>
  <si>
    <t>Climatizzazione (evaporazione diretta)</t>
  </si>
  <si>
    <t>Climatizzazione (refrigerante)</t>
  </si>
  <si>
    <t>Luft (Direktverdampfung)</t>
  </si>
  <si>
    <t>Air (évaporation directe)</t>
  </si>
  <si>
    <t>Aria (evaporazione diretta)</t>
  </si>
  <si>
    <t>Wasser (Rückkühler)</t>
  </si>
  <si>
    <t>Eau (aérorefroidisseur)</t>
  </si>
  <si>
    <t>Acqua (raffreddatore ad aria)</t>
  </si>
  <si>
    <t>Sauber</t>
  </si>
  <si>
    <t>Propre</t>
  </si>
  <si>
    <t>Pulito</t>
  </si>
  <si>
    <t>Verschmutzt</t>
  </si>
  <si>
    <t>Sale</t>
  </si>
  <si>
    <t>Sporco</t>
  </si>
  <si>
    <t>ID</t>
  </si>
  <si>
    <t>Demand</t>
  </si>
  <si>
    <t>A</t>
  </si>
  <si>
    <t>B</t>
  </si>
  <si>
    <t>C</t>
  </si>
  <si>
    <t>D'</t>
  </si>
  <si>
    <t>Free-Cooling 
(IT Server)</t>
  </si>
  <si>
    <t>use</t>
  </si>
  <si>
    <t>loc</t>
  </si>
  <si>
    <t>water</t>
  </si>
  <si>
    <t>dirty</t>
  </si>
  <si>
    <t>T FC</t>
  </si>
  <si>
    <t>BIN</t>
  </si>
  <si>
    <t>LO</t>
  </si>
  <si>
    <t>inter DT=5</t>
  </si>
  <si>
    <t>inter DT=10</t>
  </si>
  <si>
    <t>T0</t>
  </si>
  <si>
    <t>Tc_min</t>
  </si>
  <si>
    <t>dT_km</t>
  </si>
  <si>
    <t>dT_rk</t>
  </si>
  <si>
    <t>Q</t>
  </si>
  <si>
    <t>T pos</t>
  </si>
  <si>
    <t>Tpt</t>
  </si>
  <si>
    <t>Tc</t>
  </si>
  <si>
    <t>EER</t>
  </si>
  <si>
    <t>Etot</t>
  </si>
  <si>
    <t>°C</t>
  </si>
  <si>
    <t>K</t>
  </si>
  <si>
    <t>MWh</t>
  </si>
  <si>
    <t>h</t>
  </si>
  <si>
    <t>NS</t>
  </si>
  <si>
    <t>Anlage</t>
  </si>
  <si>
    <t>Installation</t>
  </si>
  <si>
    <t>Impianto</t>
  </si>
  <si>
    <t>Anwendung</t>
  </si>
  <si>
    <t>Application</t>
  </si>
  <si>
    <t>Applicazione</t>
  </si>
  <si>
    <t>Wärmeträger</t>
  </si>
  <si>
    <t>Caloporteur</t>
  </si>
  <si>
    <t>Fluido di trasferimento del calore</t>
  </si>
  <si>
    <t>Auslegung: Kälteleistung</t>
  </si>
  <si>
    <t>Dimension.: puissance frigorifique</t>
  </si>
  <si>
    <t>Dimension.: capacità di raffreddamento</t>
  </si>
  <si>
    <t>Reinigung Rückkühler / Verflüssiger</t>
  </si>
  <si>
    <t>Nettoyage de l'aéroréfrigérant / condenseur</t>
  </si>
  <si>
    <t>Pulizia dell'unità Rooftop / condensatore</t>
  </si>
  <si>
    <t>Auslegung: Aussen-temperatur</t>
  </si>
  <si>
    <t>Dimension.: température extérieure</t>
  </si>
  <si>
    <t>Dimension.: temperatura esterna</t>
  </si>
  <si>
    <t xml:space="preserve">Betriebsoptimierungen von Kälteanlagen durch Senkung der Verflüssigungstemperatur im Gewerbe-, Gebäude- und Dienstleistungsbereich. </t>
  </si>
  <si>
    <t xml:space="preserve">Optimisation du fonctionnement d’installations frigorifiques par la baisse de la température de condensation dans le domaine de l’industrie, du bâtiment et des services. </t>
  </si>
  <si>
    <t xml:space="preserve">Ottimizzazioni dell’esercizio di impianti di refrigerazione mediante riduzione della temperatura di condensazione nel settore commerciale, edilizio e dei servizi. </t>
  </si>
  <si>
    <t>Wichtig</t>
  </si>
  <si>
    <t xml:space="preserve">Important </t>
  </si>
  <si>
    <t>Importante</t>
  </si>
  <si>
    <t>Die Massnahme muss durch eine qualifizierte Fachperson / Unternehmen durchgeführt werden.</t>
  </si>
  <si>
    <t>La mesure doit être effectuée par une personne/entreprise qualifiée.</t>
  </si>
  <si>
    <t>La misura deve essere attuata da una persona specializzata o un’azienda qualificata.</t>
  </si>
  <si>
    <t>Cleaning</t>
  </si>
  <si>
    <t>Luft (Direktverflüssiger)</t>
  </si>
  <si>
    <t>Nutzungs-temperatur</t>
  </si>
  <si>
    <t>Température d'utilisation</t>
  </si>
  <si>
    <t>Temperatura di utilizzo</t>
  </si>
  <si>
    <t>Verdampfungs-temperatur</t>
  </si>
  <si>
    <t>Température d'évaporation</t>
  </si>
  <si>
    <t>Temperatura di vaporizzazione</t>
  </si>
  <si>
    <r>
      <t>f</t>
    </r>
    <r>
      <rPr>
        <i/>
        <vertAlign val="subscript"/>
        <sz val="10"/>
        <color theme="1"/>
        <rFont val="Arial Narrow"/>
        <family val="2"/>
      </rPr>
      <t>a,k</t>
    </r>
  </si>
  <si>
    <r>
      <t>f</t>
    </r>
    <r>
      <rPr>
        <i/>
        <vertAlign val="subscript"/>
        <sz val="10"/>
        <color theme="1"/>
        <rFont val="Arial Narrow"/>
        <family val="2"/>
      </rPr>
      <t>mai,k</t>
    </r>
  </si>
  <si>
    <r>
      <t>f</t>
    </r>
    <r>
      <rPr>
        <i/>
        <vertAlign val="subscript"/>
        <sz val="10"/>
        <color theme="1"/>
        <rFont val="Arial Narrow"/>
        <family val="2"/>
      </rPr>
      <t>juni,k</t>
    </r>
  </si>
  <si>
    <r>
      <t>f</t>
    </r>
    <r>
      <rPr>
        <i/>
        <vertAlign val="subscript"/>
        <sz val="10"/>
        <color theme="1"/>
        <rFont val="Arial Narrow"/>
        <family val="2"/>
      </rPr>
      <t>juli,k</t>
    </r>
  </si>
  <si>
    <r>
      <t>f</t>
    </r>
    <r>
      <rPr>
        <i/>
        <vertAlign val="subscript"/>
        <sz val="10"/>
        <color theme="1"/>
        <rFont val="Arial Narrow"/>
        <family val="2"/>
      </rPr>
      <t>aug,k</t>
    </r>
  </si>
  <si>
    <r>
      <t>f</t>
    </r>
    <r>
      <rPr>
        <i/>
        <vertAlign val="subscript"/>
        <sz val="10"/>
        <color theme="1"/>
        <rFont val="Arial Narrow"/>
        <family val="2"/>
      </rPr>
      <t>sep,k</t>
    </r>
  </si>
  <si>
    <r>
      <t>η</t>
    </r>
    <r>
      <rPr>
        <i/>
        <vertAlign val="subscript"/>
        <sz val="10"/>
        <color theme="1"/>
        <rFont val="Arial Narrow"/>
        <family val="2"/>
      </rPr>
      <t>w,mai,k</t>
    </r>
  </si>
  <si>
    <r>
      <t>η</t>
    </r>
    <r>
      <rPr>
        <i/>
        <vertAlign val="subscript"/>
        <sz val="10"/>
        <color theme="1"/>
        <rFont val="Arial Narrow"/>
        <family val="2"/>
      </rPr>
      <t>w,juni,k</t>
    </r>
  </si>
  <si>
    <r>
      <t>η</t>
    </r>
    <r>
      <rPr>
        <i/>
        <vertAlign val="subscript"/>
        <sz val="10"/>
        <color theme="1"/>
        <rFont val="Arial Narrow"/>
        <family val="2"/>
      </rPr>
      <t>w,juli,k</t>
    </r>
  </si>
  <si>
    <r>
      <t>η</t>
    </r>
    <r>
      <rPr>
        <i/>
        <vertAlign val="subscript"/>
        <sz val="10"/>
        <color theme="1"/>
        <rFont val="Arial Narrow"/>
        <family val="2"/>
      </rPr>
      <t>w,aug,k</t>
    </r>
  </si>
  <si>
    <r>
      <t>η</t>
    </r>
    <r>
      <rPr>
        <i/>
        <vertAlign val="subscript"/>
        <sz val="10"/>
        <color theme="1"/>
        <rFont val="Arial Narrow"/>
        <family val="2"/>
      </rPr>
      <t>w,sep,k</t>
    </r>
  </si>
  <si>
    <t>Wohnen EFH</t>
  </si>
  <si>
    <t>Habitat individuel</t>
  </si>
  <si>
    <t>Abitazioni monofamiliari</t>
  </si>
  <si>
    <t>Red.</t>
  </si>
  <si>
    <t>cat</t>
  </si>
  <si>
    <t>day</t>
  </si>
  <si>
    <t>week</t>
  </si>
  <si>
    <t>d</t>
  </si>
  <si>
    <t>f</t>
  </si>
  <si>
    <t>n</t>
  </si>
  <si>
    <t>Azienda ABC SA</t>
  </si>
  <si>
    <t>Via Test 78</t>
  </si>
  <si>
    <t>Beispiel AG</t>
  </si>
  <si>
    <t>Testweg 5c</t>
  </si>
  <si>
    <t>Juli</t>
  </si>
  <si>
    <t>August</t>
  </si>
  <si>
    <t>Mai</t>
  </si>
  <si>
    <t>Maggio</t>
  </si>
  <si>
    <t>Juni</t>
  </si>
  <si>
    <t>Juin</t>
  </si>
  <si>
    <t>Giugno</t>
  </si>
  <si>
    <t>Juillet</t>
  </si>
  <si>
    <t>Luglio</t>
  </si>
  <si>
    <t>Août</t>
  </si>
  <si>
    <t>Agosto</t>
  </si>
  <si>
    <t>September</t>
  </si>
  <si>
    <t>Septembre</t>
  </si>
  <si>
    <t>Settembre</t>
  </si>
  <si>
    <t>Anzahl betriebsfreie Wochentage</t>
  </si>
  <si>
    <t>Nombre de jours de la semaine sans exploitation</t>
  </si>
  <si>
    <t>Numero di giorni settimanali senza operazioni</t>
  </si>
  <si>
    <t>Anzahl Wochen ohne Betrieb</t>
  </si>
  <si>
    <t>Nombre de semaines sans exploitation</t>
  </si>
  <si>
    <t>Numero di settimane senza operazioni</t>
  </si>
  <si>
    <t>Monat der betriebsfreien Woche</t>
  </si>
  <si>
    <t>Mois de la semaine sans exploitation</t>
  </si>
  <si>
    <t>Mese della settimana senza operazioni</t>
  </si>
  <si>
    <t>Anpassung der Betriebszeiten</t>
  </si>
  <si>
    <t>Réduction du temps de fonctionnement</t>
  </si>
  <si>
    <t>Riduzione dei tempi di esercizio</t>
  </si>
  <si>
    <t>Betriebsoptimierung von Kälteanlagen durch Reduktion der Betriebszeiten. Die Massnahme kann mit den anderen Betriebsoptimierungsmassnahmen KA-03 und KA-04 kombiniert werden.</t>
  </si>
  <si>
    <t>Optimisation de l’exploitation d’installations frigorifiques grâce à la réduction du temps de fonctionnement. Il est possible de combiner cette mesure avec les autres mesures d’optimisation de l’exploitation KA-03 et KA-04.</t>
  </si>
  <si>
    <t>Ottimizzazione dell’esercizio di impianti di refrigerazione attraverso la riduzione dei tempi di esercizio. La misura può essere combinata con le altre misure di ottimizzazione dell’esercizio KA-03 e KA-04.</t>
  </si>
  <si>
    <t>Wenn die Massnahme für eine Dauer von mehr als 5 Wochen und/oder über zwei oder mehr Monate hinweg umgesetzt wird, muss die Massnahme im Monitoring aufgeteilt werden.</t>
  </si>
  <si>
    <t>Si la mesure est mise en œuvre sur une durée supérieure à cinq semaines et/ou sur deux mois ou plus, il est nécessaire de la ventiler dans le monitoring.</t>
  </si>
  <si>
    <t>se viene adottata per un periodo di oltre cinque settimane e/o per due o più mesi, è necessario suddividere la misura nel monitoraggio.</t>
  </si>
  <si>
    <t xml:space="preserve">Netzbetriebene Kälteanlagen im Geltungsbereich der Anhänge 1.14 oder 2.11 EnEV (SR 730.02; EnEV) mit einer Nennkälteleistung bis zu:
   - 80 kW im Anwendungsbereich Komfortklima mit Direktverdampfer
   - 200 kW in den Anwendungsbereichen Komfortklima Kälteträger, IT-Server und Prozesskälte
</t>
  </si>
  <si>
    <t xml:space="preserve">Installations frigorifiques alimentées par le secteur entrant dans le champ d’application des annexes 1.14 ou 2.11 OEEE (RS 730.02) d’une puissance nominale maximale de :
   - 80 kW dans le domaine du froid de confort avec évaporateur direct ;
   - 200 kW dans les domaines du froid de confort avec frigoporteur, des serveurs informatiques et du refroidissement du processus.
</t>
  </si>
  <si>
    <t xml:space="preserve">Impianti di refrigerazione alimentati dalla rete nel campo di applicazione degli allegati 1.14 o 2.11 OEEne (RS 730.02) con una potenza frigorifera nominale fino a:
 temperatura negativa
   - 80 kW nel campo di applicazione climatizzazione comfort con evaporatore diretto
   - 200 kW nei campi di applicazione climatizzazione comfort tramite fluido di raffreddamento, server IT e freddo di processo
</t>
  </si>
  <si>
    <t>KA-05a</t>
  </si>
  <si>
    <t>Gesperrtes Feld</t>
  </si>
  <si>
    <t>Hier können Sie den unternehmensinternen Dateinamen einfügen</t>
  </si>
  <si>
    <t>Efficacité énergétique</t>
  </si>
  <si>
    <t>La surface à refroidir du bâtiment/local sans usage d’habitation doit être inférieure ou égale à 150 m2 et calculée selon la norme SIA 380:2015. Le bâtiment doit se trouver à une altitude maximale de 800 mètres au-dessus du niveau de la mer.</t>
  </si>
  <si>
    <t>Versante meridionale delle Alpi</t>
  </si>
  <si>
    <t>Suisse romande et Valais</t>
  </si>
  <si>
    <t>Hôpitaux</t>
  </si>
  <si>
    <t>Champ d'application</t>
  </si>
  <si>
    <t>Les économies d’électricité comptabilisables de la mesure sont calculées en kilowattheures à l'aide de la liste de monitoring, en fonction des variables d'entrée définies. Des informations sur les hypothèses et la méthode de calcul figurent dans la documentation correspondante</t>
  </si>
  <si>
    <t>Il risparmio di elettricità computabile della misura è calcolato in kilowattora sulla base dell'elenco di monitoraggio, in funzione delle variabili di input definite. Per informazioni sulle ipotesi e sul metodo di calcolo, consultare la relativa documentazione</t>
  </si>
  <si>
    <r>
      <t>Suisse romande et Valais, jusqu’à 50 m</t>
    </r>
    <r>
      <rPr>
        <vertAlign val="superscript"/>
        <sz val="9"/>
        <color theme="1"/>
        <rFont val="Arial"/>
        <family val="2"/>
      </rPr>
      <t>2</t>
    </r>
  </si>
  <si>
    <r>
      <t>Suisse romande et Valais, 50 - 100 m</t>
    </r>
    <r>
      <rPr>
        <vertAlign val="superscript"/>
        <sz val="9"/>
        <color theme="1"/>
        <rFont val="Arial"/>
        <family val="2"/>
      </rPr>
      <t>2</t>
    </r>
  </si>
  <si>
    <r>
      <t>Suisse romande et Valais, 100 - 150 m</t>
    </r>
    <r>
      <rPr>
        <vertAlign val="superscript"/>
        <sz val="9"/>
        <color theme="1"/>
        <rFont val="Arial"/>
        <family val="2"/>
      </rPr>
      <t>2</t>
    </r>
  </si>
  <si>
    <r>
      <t>Svizzera romanda e Vallese, 100–150 m</t>
    </r>
    <r>
      <rPr>
        <vertAlign val="superscript"/>
        <sz val="9"/>
        <color theme="1"/>
        <rFont val="Arial"/>
        <family val="2"/>
      </rPr>
      <t>2</t>
    </r>
  </si>
  <si>
    <r>
      <t>Svizzera romanda e Vallese, 50–100 m</t>
    </r>
    <r>
      <rPr>
        <vertAlign val="superscript"/>
        <sz val="9"/>
        <color theme="1"/>
        <rFont val="Arial"/>
        <family val="2"/>
      </rPr>
      <t>2</t>
    </r>
  </si>
  <si>
    <r>
      <t>Svizzera romanda e Vallese, fino a 50 m</t>
    </r>
    <r>
      <rPr>
        <vertAlign val="superscript"/>
        <sz val="9"/>
        <color theme="1"/>
        <rFont val="Arial"/>
        <family val="2"/>
      </rPr>
      <t>²</t>
    </r>
  </si>
  <si>
    <t>définit le champ d'application et les exigences relatifs à la mise en œuvre de la mesure et les justificatifs. Aucune saisie n'est requise.</t>
  </si>
  <si>
    <t>résume les mesures annoncées par le présent protocole. Tous les champs de saisie doivent être remplis pour chaque mesure.</t>
  </si>
  <si>
    <t>Ajout d'un tableau récapitulatif des modifications entre les versions antécédentes</t>
  </si>
  <si>
    <t xml:space="preserve">Nur Massnahmen, welche die Anforderungen der Energieverordnung (SR 730.01; EnV) einhalten, können angerechnet werden. Die zusätzlichen Anforderungen an die technischen Eigenschaften sowie an die Umsetzung der Massnahme sind in der Tabelle 1 festgelegt. </t>
  </si>
  <si>
    <t>Die verbrauchsrelevanten Komponenten der alten Geräte dürfen innerhalb der Schweiz nicht weiterbetrieben werden. Die fachgerechte Entsorgung oder die Ausfuhr muss auf Anfrage nachgewiesen werden können.</t>
  </si>
  <si>
    <t>Les composants pertinents en matière de consommation énergétique des anciens appareils ne doivent plus être réutilisés en Suisse. L'élimination appropriée ou l'exportation doit pouvoir être prouvée sur demande.</t>
  </si>
  <si>
    <t>I componenti soggetti a consumo dei vecchi apparecchi non possono continuare a essere utilizzati in Svizzera. I documenti del corretto smaltimento o dell'esportazione devono essere dimostrati su richiesta.</t>
  </si>
  <si>
    <t>Champ verrouillé</t>
  </si>
  <si>
    <t>Diverse Layout Anpassungen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</si>
</sst>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0"/>
    <numFmt numFmtId="165" formatCode="mm/yyyy"/>
    <numFmt numFmtId="166" formatCode="#,##0.0"/>
    <numFmt numFmtId="167" formatCode="0.000"/>
  </numFmts>
  <fonts count="74" x14ac:knownFonts="1">
    <font>
      <sz val="11"/>
      <color theme="1"/>
      <name val="Calibri"/>
      <family val="2"/>
      <scheme val="minor"/>
    </font>
    <font>
      <sz val="10"/>
      <color theme="1"/>
      <name val="Arial"/>
      <family val="2"/>
    </font>
    <font>
      <sz val="10"/>
      <color theme="1"/>
      <name val="Arial"/>
      <family val="2"/>
    </font>
    <font>
      <sz val="10"/>
      <color theme="1"/>
      <name val="Arial"/>
      <family val="2"/>
    </font>
    <font>
      <sz val="10"/>
      <color theme="1"/>
      <name val="Arial"/>
      <family val="2"/>
    </font>
    <font>
      <sz val="11"/>
      <color theme="1"/>
      <name val="Arial"/>
      <family val="2"/>
    </font>
    <font>
      <u/>
      <sz val="11"/>
      <color theme="10"/>
      <name val="Calibri"/>
      <family val="2"/>
      <scheme val="minor"/>
    </font>
    <font>
      <b/>
      <sz val="10"/>
      <color theme="1"/>
      <name val="Arial Narrow"/>
      <family val="2"/>
    </font>
    <font>
      <sz val="10"/>
      <color theme="1"/>
      <name val="Arial Narrow"/>
      <family val="2"/>
    </font>
    <font>
      <u/>
      <sz val="10"/>
      <color theme="10"/>
      <name val="Arial Narrow"/>
      <family val="2"/>
    </font>
    <font>
      <i/>
      <sz val="9"/>
      <color theme="1"/>
      <name val="Arial"/>
      <family val="2"/>
    </font>
    <font>
      <sz val="10"/>
      <color theme="0"/>
      <name val="Arial"/>
      <family val="2"/>
    </font>
    <font>
      <b/>
      <sz val="11"/>
      <color theme="1"/>
      <name val="Arial"/>
      <family val="2"/>
    </font>
    <font>
      <sz val="11"/>
      <color theme="0"/>
      <name val="Arial"/>
      <family val="2"/>
    </font>
    <font>
      <sz val="9"/>
      <color theme="1"/>
      <name val="Arial"/>
      <family val="2"/>
    </font>
    <font>
      <i/>
      <sz val="10"/>
      <name val="Arial"/>
      <family val="2"/>
    </font>
    <font>
      <i/>
      <sz val="9"/>
      <color theme="0"/>
      <name val="Arial"/>
      <family val="2"/>
    </font>
    <font>
      <b/>
      <sz val="10"/>
      <name val="Arial"/>
      <family val="2"/>
    </font>
    <font>
      <sz val="10"/>
      <name val="Arial"/>
      <family val="2"/>
    </font>
    <font>
      <i/>
      <sz val="8"/>
      <color theme="1"/>
      <name val="Arial"/>
      <family val="2"/>
    </font>
    <font>
      <b/>
      <sz val="12"/>
      <name val="Arial"/>
      <family val="2"/>
    </font>
    <font>
      <sz val="8"/>
      <name val="Arial"/>
      <family val="2"/>
    </font>
    <font>
      <b/>
      <sz val="9"/>
      <color theme="1"/>
      <name val="Arial"/>
      <family val="2"/>
    </font>
    <font>
      <sz val="8"/>
      <name val="Calibri"/>
      <family val="2"/>
      <scheme val="minor"/>
    </font>
    <font>
      <sz val="8"/>
      <color theme="1"/>
      <name val="Arial"/>
      <family val="2"/>
    </font>
    <font>
      <b/>
      <sz val="8"/>
      <color rgb="FFFF0000"/>
      <name val="Arial"/>
      <family val="2"/>
    </font>
    <font>
      <sz val="8"/>
      <color rgb="FFFF0000"/>
      <name val="Arial"/>
      <family val="2"/>
    </font>
    <font>
      <b/>
      <sz val="11"/>
      <name val="Arial"/>
      <family val="2"/>
    </font>
    <font>
      <b/>
      <sz val="8"/>
      <name val="Arial"/>
      <family val="2"/>
    </font>
    <font>
      <b/>
      <sz val="16"/>
      <name val="Arial"/>
      <family val="2"/>
    </font>
    <font>
      <i/>
      <sz val="8"/>
      <name val="Arial"/>
      <family val="2"/>
    </font>
    <font>
      <sz val="14"/>
      <name val="Arial"/>
      <family val="2"/>
    </font>
    <font>
      <b/>
      <i/>
      <sz val="8"/>
      <color rgb="FFFF0000"/>
      <name val="Arial"/>
      <family val="2"/>
    </font>
    <font>
      <sz val="9"/>
      <name val="Arial"/>
      <family val="2"/>
    </font>
    <font>
      <sz val="7"/>
      <color theme="1"/>
      <name val="Arial"/>
      <family val="2"/>
    </font>
    <font>
      <sz val="7"/>
      <color theme="0"/>
      <name val="Arial"/>
      <family val="2"/>
    </font>
    <font>
      <b/>
      <sz val="7"/>
      <color theme="1"/>
      <name val="Arial"/>
      <family val="2"/>
    </font>
    <font>
      <b/>
      <sz val="9"/>
      <color rgb="FFFF0000"/>
      <name val="Arial"/>
      <family val="2"/>
    </font>
    <font>
      <i/>
      <sz val="7"/>
      <name val="Arial"/>
      <family val="2"/>
    </font>
    <font>
      <sz val="8"/>
      <color theme="0"/>
      <name val="Arial"/>
      <family val="2"/>
    </font>
    <font>
      <sz val="7"/>
      <name val="Arial"/>
      <family val="2"/>
    </font>
    <font>
      <sz val="9"/>
      <color theme="0"/>
      <name val="Arial"/>
      <family val="2"/>
    </font>
    <font>
      <sz val="9"/>
      <color theme="0"/>
      <name val="Arial Narrow"/>
      <family val="2"/>
    </font>
    <font>
      <i/>
      <sz val="9"/>
      <name val="Arial"/>
      <family val="2"/>
    </font>
    <font>
      <u/>
      <sz val="9"/>
      <color theme="10"/>
      <name val="Arial"/>
      <family val="2"/>
    </font>
    <font>
      <u/>
      <sz val="11"/>
      <color theme="10"/>
      <name val="Arial"/>
      <family val="2"/>
    </font>
    <font>
      <sz val="12"/>
      <color theme="0"/>
      <name val="Arial"/>
      <family val="2"/>
    </font>
    <font>
      <sz val="12"/>
      <color theme="1"/>
      <name val="Arial"/>
      <family val="2"/>
    </font>
    <font>
      <i/>
      <sz val="11"/>
      <color theme="1"/>
      <name val="Arial"/>
      <family val="2"/>
    </font>
    <font>
      <i/>
      <sz val="10"/>
      <color theme="1"/>
      <name val="Arial Narrow"/>
      <family val="2"/>
    </font>
    <font>
      <b/>
      <i/>
      <sz val="10"/>
      <color theme="1"/>
      <name val="Arial Narrow"/>
      <family val="2"/>
    </font>
    <font>
      <i/>
      <sz val="8"/>
      <color rgb="FFFF0000"/>
      <name val="Arial"/>
      <family val="2"/>
    </font>
    <font>
      <sz val="12"/>
      <name val="Arial"/>
      <family val="2"/>
    </font>
    <font>
      <b/>
      <sz val="9"/>
      <name val="Arial"/>
      <family val="2"/>
    </font>
    <font>
      <sz val="9"/>
      <color rgb="FFFF0000"/>
      <name val="Arial"/>
      <family val="2"/>
    </font>
    <font>
      <u/>
      <sz val="8"/>
      <color theme="10"/>
      <name val="Arial"/>
      <family val="2"/>
    </font>
    <font>
      <b/>
      <i/>
      <sz val="9"/>
      <color rgb="FFFF0000"/>
      <name val="Arial"/>
      <family val="2"/>
    </font>
    <font>
      <sz val="11"/>
      <color rgb="FFFF0000"/>
      <name val="Arial"/>
      <family val="2"/>
    </font>
    <font>
      <sz val="12"/>
      <color rgb="FFFF0000"/>
      <name val="Arial"/>
      <family val="2"/>
    </font>
    <font>
      <b/>
      <i/>
      <sz val="10"/>
      <color rgb="FFFF0000"/>
      <name val="Arial Narrow"/>
      <family val="2"/>
    </font>
    <font>
      <b/>
      <sz val="10"/>
      <name val="Arial Narrow"/>
      <family val="2"/>
    </font>
    <font>
      <i/>
      <sz val="10"/>
      <color theme="1"/>
      <name val="Arial"/>
      <family val="2"/>
    </font>
    <font>
      <sz val="14"/>
      <color theme="1"/>
      <name val="Arial"/>
      <family val="2"/>
    </font>
    <font>
      <u/>
      <sz val="10"/>
      <color theme="10"/>
      <name val="Arial"/>
      <family val="2"/>
    </font>
    <font>
      <sz val="11"/>
      <color theme="1"/>
      <name val="Calibri"/>
      <family val="2"/>
      <scheme val="minor"/>
    </font>
    <font>
      <vertAlign val="superscript"/>
      <sz val="9"/>
      <color theme="1"/>
      <name val="Arial"/>
      <family val="2"/>
    </font>
    <font>
      <b/>
      <sz val="10"/>
      <color theme="1"/>
      <name val="Arial"/>
      <family val="2"/>
    </font>
    <font>
      <b/>
      <i/>
      <sz val="10"/>
      <color rgb="FFFF0000"/>
      <name val="Arial"/>
      <family val="2"/>
    </font>
    <font>
      <b/>
      <sz val="14"/>
      <color theme="1"/>
      <name val="Arial"/>
      <family val="2"/>
    </font>
    <font>
      <b/>
      <sz val="9"/>
      <color rgb="FFCC3399"/>
      <name val="Arial"/>
      <family val="2"/>
    </font>
    <font>
      <b/>
      <sz val="10"/>
      <color rgb="FFCC3399"/>
      <name val="Arial"/>
      <family val="2"/>
    </font>
    <font>
      <i/>
      <vertAlign val="subscript"/>
      <sz val="10"/>
      <color theme="1"/>
      <name val="Arial Narrow"/>
      <family val="2"/>
    </font>
    <font>
      <sz val="10"/>
      <color theme="0" tint="-0.14999847407452621"/>
      <name val="Arial Narrow"/>
      <family val="2"/>
    </font>
    <font>
      <sz val="10"/>
      <color rgb="FFEAEAEA"/>
      <name val="Arial Narrow"/>
      <family val="2"/>
    </font>
  </fonts>
  <fills count="16">
    <fill>
      <patternFill patternType="none"/>
    </fill>
    <fill>
      <patternFill patternType="gray125"/>
    </fill>
    <fill>
      <patternFill patternType="solid">
        <fgColor theme="0"/>
        <bgColor indexed="64"/>
      </patternFill>
    </fill>
    <fill>
      <patternFill patternType="solid">
        <fgColor theme="2"/>
        <bgColor indexed="64"/>
      </patternFill>
    </fill>
    <fill>
      <patternFill patternType="solid">
        <fgColor rgb="FF66FF99"/>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FC000"/>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7"/>
        <bgColor indexed="64"/>
      </patternFill>
    </fill>
    <fill>
      <patternFill patternType="solid">
        <fgColor theme="9" tint="0.79998168889431442"/>
        <bgColor indexed="64"/>
      </patternFill>
    </fill>
    <fill>
      <patternFill patternType="solid">
        <fgColor rgb="FFFFFFCC"/>
        <bgColor indexed="64"/>
      </patternFill>
    </fill>
    <fill>
      <patternFill patternType="solid">
        <fgColor rgb="FFFFFF66"/>
        <bgColor indexed="64"/>
      </patternFill>
    </fill>
    <fill>
      <patternFill patternType="solid">
        <fgColor rgb="FFFFFF99"/>
        <bgColor indexed="64"/>
      </patternFill>
    </fill>
    <fill>
      <patternFill patternType="solid">
        <fgColor theme="9"/>
        <bgColor indexed="64"/>
      </patternFill>
    </fill>
  </fills>
  <borders count="4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right style="hair">
        <color indexed="64"/>
      </right>
      <top style="hair">
        <color indexed="64"/>
      </top>
      <bottom style="hair">
        <color indexed="64"/>
      </bottom>
      <diagonal/>
    </border>
    <border>
      <left style="thin">
        <color indexed="64"/>
      </left>
      <right/>
      <top style="hair">
        <color indexed="64"/>
      </top>
      <bottom/>
      <diagonal/>
    </border>
    <border>
      <left/>
      <right/>
      <top/>
      <bottom style="thin">
        <color indexed="64"/>
      </bottom>
      <diagonal/>
    </border>
    <border>
      <left/>
      <right style="hair">
        <color indexed="64"/>
      </right>
      <top style="thin">
        <color indexed="64"/>
      </top>
      <bottom style="hair">
        <color indexed="64"/>
      </bottom>
      <diagonal/>
    </border>
    <border>
      <left/>
      <right/>
      <top style="hair">
        <color indexed="64"/>
      </top>
      <bottom/>
      <diagonal/>
    </border>
    <border>
      <left/>
      <right style="hair">
        <color indexed="64"/>
      </right>
      <top style="hair">
        <color indexed="64"/>
      </top>
      <bottom style="thin">
        <color indexed="64"/>
      </bottom>
      <diagonal/>
    </border>
    <border>
      <left/>
      <right style="thin">
        <color indexed="64"/>
      </right>
      <top style="hair">
        <color indexed="64"/>
      </top>
      <bottom/>
      <diagonal/>
    </border>
    <border>
      <left/>
      <right style="thin">
        <color indexed="64"/>
      </right>
      <top/>
      <bottom/>
      <diagonal/>
    </border>
    <border>
      <left/>
      <right style="thin">
        <color indexed="64"/>
      </right>
      <top/>
      <bottom style="thin">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hair">
        <color indexed="64"/>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thin">
        <color indexed="64"/>
      </right>
      <top/>
      <bottom style="hair">
        <color indexed="64"/>
      </bottom>
      <diagonal/>
    </border>
    <border>
      <left style="thin">
        <color indexed="64"/>
      </left>
      <right/>
      <top style="hair">
        <color indexed="64"/>
      </top>
      <bottom style="hair">
        <color indexed="64"/>
      </bottom>
      <diagonal/>
    </border>
    <border>
      <left style="thin">
        <color indexed="64"/>
      </left>
      <right style="hair">
        <color indexed="64"/>
      </right>
      <top/>
      <bottom style="thin">
        <color indexed="64"/>
      </bottom>
      <diagonal/>
    </border>
    <border>
      <left/>
      <right style="hair">
        <color indexed="64"/>
      </right>
      <top/>
      <bottom style="thin">
        <color indexed="64"/>
      </bottom>
      <diagonal/>
    </border>
    <border>
      <left style="hair">
        <color indexed="64"/>
      </left>
      <right style="thin">
        <color indexed="64"/>
      </right>
      <top/>
      <bottom style="thin">
        <color indexed="64"/>
      </bottom>
      <diagonal/>
    </border>
    <border>
      <left style="hair">
        <color indexed="64"/>
      </left>
      <right style="hair">
        <color indexed="64"/>
      </right>
      <top/>
      <bottom style="thin">
        <color indexed="64"/>
      </bottom>
      <diagonal/>
    </border>
  </borders>
  <cellStyleXfs count="5">
    <xf numFmtId="0" fontId="0" fillId="0" borderId="0"/>
    <xf numFmtId="0" fontId="6" fillId="0" borderId="0" applyNumberFormat="0" applyFill="0" applyBorder="0" applyAlignment="0" applyProtection="0"/>
    <xf numFmtId="0" fontId="18" fillId="0" borderId="0"/>
    <xf numFmtId="0" fontId="14" fillId="0" borderId="0"/>
    <xf numFmtId="9" fontId="64" fillId="0" borderId="0" applyFont="0" applyFill="0" applyBorder="0" applyAlignment="0" applyProtection="0"/>
  </cellStyleXfs>
  <cellXfs count="346">
    <xf numFmtId="0" fontId="0" fillId="0" borderId="0" xfId="0"/>
    <xf numFmtId="0" fontId="7" fillId="0" borderId="1" xfId="0" applyFont="1" applyBorder="1" applyAlignment="1">
      <alignment vertical="center"/>
    </xf>
    <xf numFmtId="0" fontId="8" fillId="0" borderId="0" xfId="0" applyFont="1"/>
    <xf numFmtId="0" fontId="8" fillId="0" borderId="1" xfId="0" applyFont="1" applyBorder="1"/>
    <xf numFmtId="14" fontId="8" fillId="0" borderId="0" xfId="0" applyNumberFormat="1" applyFont="1"/>
    <xf numFmtId="0" fontId="9" fillId="0" borderId="0" xfId="1" applyFont="1"/>
    <xf numFmtId="0" fontId="13" fillId="2" borderId="0" xfId="0" applyFont="1" applyFill="1" applyAlignment="1" applyProtection="1">
      <alignment horizontal="center"/>
      <protection hidden="1"/>
    </xf>
    <xf numFmtId="0" fontId="5" fillId="2" borderId="0" xfId="0" applyFont="1" applyFill="1" applyProtection="1">
      <protection hidden="1"/>
    </xf>
    <xf numFmtId="0" fontId="14" fillId="2" borderId="1" xfId="0" applyFont="1" applyFill="1" applyBorder="1" applyAlignment="1" applyProtection="1">
      <alignment horizontal="center" vertical="center" wrapText="1"/>
      <protection hidden="1"/>
    </xf>
    <xf numFmtId="0" fontId="14" fillId="2" borderId="1" xfId="0" applyFont="1" applyFill="1" applyBorder="1" applyAlignment="1" applyProtection="1">
      <alignment horizontal="center" vertical="center"/>
      <protection hidden="1"/>
    </xf>
    <xf numFmtId="0" fontId="13" fillId="2" borderId="0" xfId="0" applyFont="1" applyFill="1" applyProtection="1">
      <protection hidden="1"/>
    </xf>
    <xf numFmtId="0" fontId="11" fillId="2" borderId="0" xfId="0" applyFont="1" applyFill="1" applyProtection="1">
      <protection hidden="1"/>
    </xf>
    <xf numFmtId="0" fontId="13" fillId="2" borderId="0" xfId="0" applyFont="1" applyFill="1" applyAlignment="1" applyProtection="1">
      <alignment horizontal="center" vertical="center"/>
      <protection hidden="1"/>
    </xf>
    <xf numFmtId="0" fontId="19" fillId="2" borderId="0" xfId="0" applyFont="1" applyFill="1" applyAlignment="1" applyProtection="1">
      <alignment horizontal="left" vertical="center" indent="1"/>
      <protection hidden="1"/>
    </xf>
    <xf numFmtId="0" fontId="21" fillId="2" borderId="0" xfId="0" applyFont="1" applyFill="1" applyAlignment="1" applyProtection="1">
      <alignment horizontal="left" vertical="center"/>
      <protection hidden="1"/>
    </xf>
    <xf numFmtId="0" fontId="13" fillId="2" borderId="0" xfId="0" applyFont="1" applyFill="1" applyAlignment="1" applyProtection="1">
      <alignment vertical="center"/>
      <protection hidden="1"/>
    </xf>
    <xf numFmtId="0" fontId="20" fillId="2" borderId="0" xfId="0" applyFont="1" applyFill="1" applyAlignment="1" applyProtection="1">
      <alignment horizontal="left" vertical="center"/>
      <protection hidden="1"/>
    </xf>
    <xf numFmtId="0" fontId="19" fillId="2" borderId="0" xfId="0" applyFont="1" applyFill="1" applyAlignment="1" applyProtection="1">
      <alignment horizontal="left" vertical="center"/>
      <protection hidden="1"/>
    </xf>
    <xf numFmtId="0" fontId="5" fillId="2" borderId="0" xfId="0" applyFont="1" applyFill="1" applyAlignment="1" applyProtection="1">
      <alignment vertical="center"/>
      <protection hidden="1"/>
    </xf>
    <xf numFmtId="0" fontId="14" fillId="0" borderId="1" xfId="3" applyBorder="1"/>
    <xf numFmtId="0" fontId="22" fillId="6" borderId="1" xfId="3" applyFont="1" applyFill="1" applyBorder="1"/>
    <xf numFmtId="164" fontId="7" fillId="0" borderId="1" xfId="0" applyNumberFormat="1" applyFont="1" applyBorder="1"/>
    <xf numFmtId="0" fontId="8" fillId="0" borderId="1" xfId="0" applyFont="1" applyBorder="1" applyAlignment="1">
      <alignment vertical="top" wrapText="1"/>
    </xf>
    <xf numFmtId="0" fontId="8" fillId="0" borderId="0" xfId="0" applyFont="1" applyAlignment="1">
      <alignment vertical="top" wrapText="1"/>
    </xf>
    <xf numFmtId="0" fontId="28" fillId="2" borderId="0" xfId="0" applyFont="1" applyFill="1" applyAlignment="1" applyProtection="1">
      <alignment vertical="center"/>
      <protection hidden="1"/>
    </xf>
    <xf numFmtId="0" fontId="24" fillId="2" borderId="0" xfId="0" applyFont="1" applyFill="1" applyAlignment="1" applyProtection="1">
      <alignment vertical="center"/>
      <protection hidden="1"/>
    </xf>
    <xf numFmtId="0" fontId="27" fillId="2" borderId="0" xfId="0" applyFont="1" applyFill="1" applyAlignment="1" applyProtection="1">
      <alignment vertical="center"/>
      <protection hidden="1"/>
    </xf>
    <xf numFmtId="0" fontId="7" fillId="6" borderId="1" xfId="0" applyFont="1" applyFill="1" applyBorder="1" applyAlignment="1">
      <alignment horizontal="center" vertical="top" wrapText="1"/>
    </xf>
    <xf numFmtId="0" fontId="11" fillId="2" borderId="0" xfId="0" applyFont="1" applyFill="1" applyAlignment="1" applyProtection="1">
      <alignment vertical="center"/>
      <protection hidden="1"/>
    </xf>
    <xf numFmtId="0" fontId="15" fillId="2" borderId="0" xfId="0" applyFont="1" applyFill="1" applyAlignment="1" applyProtection="1">
      <alignment vertical="center"/>
      <protection hidden="1"/>
    </xf>
    <xf numFmtId="0" fontId="29" fillId="2" borderId="0" xfId="0" applyFont="1" applyFill="1" applyAlignment="1" applyProtection="1">
      <alignment horizontal="center" vertical="center" wrapText="1"/>
      <protection hidden="1"/>
    </xf>
    <xf numFmtId="0" fontId="18" fillId="2" borderId="0" xfId="0" applyFont="1" applyFill="1" applyAlignment="1" applyProtection="1">
      <alignment horizontal="left" vertical="center" indent="1"/>
      <protection hidden="1"/>
    </xf>
    <xf numFmtId="14" fontId="18" fillId="2" borderId="0" xfId="0" applyNumberFormat="1" applyFont="1" applyFill="1" applyAlignment="1" applyProtection="1">
      <alignment horizontal="right" vertical="center" indent="1"/>
      <protection hidden="1"/>
    </xf>
    <xf numFmtId="0" fontId="35" fillId="2" borderId="0" xfId="0" applyFont="1" applyFill="1" applyAlignment="1" applyProtection="1">
      <alignment vertical="center"/>
      <protection hidden="1"/>
    </xf>
    <xf numFmtId="0" fontId="35" fillId="2" borderId="0" xfId="0" applyFont="1" applyFill="1" applyProtection="1">
      <protection hidden="1"/>
    </xf>
    <xf numFmtId="0" fontId="33" fillId="2" borderId="0" xfId="0" applyFont="1" applyFill="1" applyAlignment="1" applyProtection="1">
      <alignment horizontal="left" vertical="top" wrapText="1"/>
      <protection hidden="1"/>
    </xf>
    <xf numFmtId="0" fontId="21" fillId="2" borderId="0" xfId="0" applyFont="1" applyFill="1" applyAlignment="1" applyProtection="1">
      <alignment vertical="center"/>
      <protection hidden="1"/>
    </xf>
    <xf numFmtId="0" fontId="21" fillId="2" borderId="0" xfId="0" applyFont="1" applyFill="1" applyAlignment="1" applyProtection="1">
      <alignment horizontal="right" vertical="center"/>
      <protection hidden="1"/>
    </xf>
    <xf numFmtId="0" fontId="39" fillId="2" borderId="0" xfId="0" applyFont="1" applyFill="1" applyProtection="1">
      <protection hidden="1"/>
    </xf>
    <xf numFmtId="0" fontId="39" fillId="2" borderId="0" xfId="0" applyFont="1" applyFill="1" applyAlignment="1" applyProtection="1">
      <alignment horizontal="left"/>
      <protection hidden="1"/>
    </xf>
    <xf numFmtId="49" fontId="21" fillId="2" borderId="0" xfId="0" applyNumberFormat="1" applyFont="1" applyFill="1" applyAlignment="1" applyProtection="1">
      <alignment horizontal="right" vertical="center"/>
      <protection hidden="1"/>
    </xf>
    <xf numFmtId="14" fontId="21" fillId="2" borderId="0" xfId="0" applyNumberFormat="1" applyFont="1" applyFill="1" applyAlignment="1" applyProtection="1">
      <alignment horizontal="right" vertical="center"/>
      <protection hidden="1"/>
    </xf>
    <xf numFmtId="0" fontId="31" fillId="2" borderId="0" xfId="0" applyFont="1" applyFill="1" applyAlignment="1" applyProtection="1">
      <alignment horizontal="center"/>
      <protection hidden="1"/>
    </xf>
    <xf numFmtId="0" fontId="38" fillId="2" borderId="0" xfId="0" applyFont="1" applyFill="1" applyAlignment="1" applyProtection="1">
      <alignment vertical="center" wrapText="1"/>
      <protection hidden="1"/>
    </xf>
    <xf numFmtId="0" fontId="30" fillId="2" borderId="0" xfId="0" applyFont="1" applyFill="1" applyAlignment="1" applyProtection="1">
      <alignment horizontal="left" vertical="center" wrapText="1" indent="1"/>
      <protection hidden="1"/>
    </xf>
    <xf numFmtId="0" fontId="25" fillId="8" borderId="0" xfId="0" applyFont="1" applyFill="1" applyAlignment="1" applyProtection="1">
      <alignment horizontal="left" vertical="center" indent="1"/>
      <protection hidden="1"/>
    </xf>
    <xf numFmtId="0" fontId="25" fillId="3" borderId="0" xfId="0" applyFont="1" applyFill="1" applyAlignment="1" applyProtection="1">
      <alignment horizontal="center" vertical="center"/>
      <protection hidden="1"/>
    </xf>
    <xf numFmtId="0" fontId="4" fillId="0" borderId="0" xfId="0" applyFont="1" applyProtection="1">
      <protection hidden="1"/>
    </xf>
    <xf numFmtId="0" fontId="4" fillId="2" borderId="0" xfId="0" applyFont="1" applyFill="1" applyAlignment="1" applyProtection="1">
      <alignment vertical="center"/>
      <protection hidden="1"/>
    </xf>
    <xf numFmtId="0" fontId="34" fillId="2" borderId="0" xfId="0" applyFont="1" applyFill="1" applyAlignment="1" applyProtection="1">
      <alignment vertical="center"/>
      <protection hidden="1"/>
    </xf>
    <xf numFmtId="0" fontId="4" fillId="2" borderId="0" xfId="0" applyFont="1" applyFill="1" applyProtection="1">
      <protection hidden="1"/>
    </xf>
    <xf numFmtId="0" fontId="26" fillId="8" borderId="0" xfId="0" applyFont="1" applyFill="1" applyAlignment="1" applyProtection="1">
      <alignment horizontal="left" vertical="center" indent="1"/>
      <protection hidden="1"/>
    </xf>
    <xf numFmtId="0" fontId="26" fillId="8" borderId="0" xfId="0" applyFont="1" applyFill="1" applyAlignment="1" applyProtection="1">
      <alignment horizontal="left" vertical="center"/>
      <protection hidden="1"/>
    </xf>
    <xf numFmtId="0" fontId="26" fillId="9" borderId="0" xfId="0" applyFont="1" applyFill="1" applyAlignment="1" applyProtection="1">
      <alignment horizontal="center" vertical="center"/>
      <protection hidden="1"/>
    </xf>
    <xf numFmtId="0" fontId="26" fillId="3" borderId="0" xfId="0" applyFont="1" applyFill="1" applyAlignment="1" applyProtection="1">
      <alignment horizontal="center" vertical="center"/>
      <protection hidden="1"/>
    </xf>
    <xf numFmtId="0" fontId="4" fillId="0" borderId="0" xfId="0" applyFont="1" applyAlignment="1" applyProtection="1">
      <alignment vertical="center"/>
      <protection hidden="1"/>
    </xf>
    <xf numFmtId="0" fontId="36" fillId="2" borderId="0" xfId="0" applyFont="1" applyFill="1" applyProtection="1">
      <protection hidden="1"/>
    </xf>
    <xf numFmtId="0" fontId="34" fillId="2" borderId="0" xfId="0" applyFont="1" applyFill="1" applyProtection="1">
      <protection hidden="1"/>
    </xf>
    <xf numFmtId="0" fontId="32" fillId="3" borderId="0" xfId="0" applyFont="1" applyFill="1" applyAlignment="1" applyProtection="1">
      <alignment horizontal="center" vertical="center"/>
      <protection hidden="1"/>
    </xf>
    <xf numFmtId="0" fontId="26" fillId="8" borderId="0" xfId="0" applyFont="1" applyFill="1" applyAlignment="1" applyProtection="1">
      <alignment horizontal="left" vertical="center" wrapText="1" indent="1"/>
      <protection hidden="1"/>
    </xf>
    <xf numFmtId="0" fontId="26" fillId="9" borderId="0" xfId="0" applyFont="1" applyFill="1" applyAlignment="1" applyProtection="1">
      <alignment horizontal="center" vertical="center" wrapText="1"/>
      <protection hidden="1"/>
    </xf>
    <xf numFmtId="0" fontId="4" fillId="0" borderId="0" xfId="0" applyFont="1" applyAlignment="1" applyProtection="1">
      <alignment wrapText="1"/>
      <protection hidden="1"/>
    </xf>
    <xf numFmtId="0" fontId="24" fillId="4" borderId="16" xfId="0" applyFont="1" applyFill="1" applyBorder="1" applyAlignment="1" applyProtection="1">
      <alignment horizontal="center" vertical="center"/>
      <protection locked="0" hidden="1"/>
    </xf>
    <xf numFmtId="0" fontId="41" fillId="2" borderId="0" xfId="0" applyFont="1" applyFill="1" applyProtection="1">
      <protection hidden="1"/>
    </xf>
    <xf numFmtId="0" fontId="41" fillId="2" borderId="0" xfId="0" applyFont="1" applyFill="1" applyAlignment="1" applyProtection="1">
      <alignment horizontal="center"/>
      <protection hidden="1"/>
    </xf>
    <xf numFmtId="0" fontId="14" fillId="2" borderId="0" xfId="0" applyFont="1" applyFill="1" applyProtection="1">
      <protection hidden="1"/>
    </xf>
    <xf numFmtId="0" fontId="42" fillId="2" borderId="0" xfId="0" applyFont="1" applyFill="1" applyAlignment="1" applyProtection="1">
      <alignment horizontal="center" vertical="center"/>
      <protection hidden="1"/>
    </xf>
    <xf numFmtId="0" fontId="41" fillId="2" borderId="0" xfId="0" applyFont="1" applyFill="1" applyAlignment="1" applyProtection="1">
      <alignment vertical="center"/>
      <protection hidden="1"/>
    </xf>
    <xf numFmtId="0" fontId="10" fillId="2" borderId="0" xfId="0" applyFont="1" applyFill="1" applyAlignment="1" applyProtection="1">
      <alignment horizontal="left" vertical="center"/>
      <protection hidden="1"/>
    </xf>
    <xf numFmtId="0" fontId="14" fillId="2" borderId="0" xfId="0" applyFont="1" applyFill="1" applyAlignment="1" applyProtection="1">
      <alignment vertical="center"/>
      <protection hidden="1"/>
    </xf>
    <xf numFmtId="0" fontId="14" fillId="2" borderId="0" xfId="0" applyFont="1" applyFill="1" applyAlignment="1" applyProtection="1">
      <alignment horizontal="center" vertical="center"/>
      <protection hidden="1"/>
    </xf>
    <xf numFmtId="0" fontId="41" fillId="2" borderId="0" xfId="0" applyFont="1" applyFill="1" applyAlignment="1" applyProtection="1">
      <alignment horizontal="center" vertical="center"/>
      <protection hidden="1"/>
    </xf>
    <xf numFmtId="0" fontId="27" fillId="2" borderId="0" xfId="0" applyFont="1" applyFill="1" applyAlignment="1" applyProtection="1">
      <alignment horizontal="left" vertical="center"/>
      <protection hidden="1"/>
    </xf>
    <xf numFmtId="0" fontId="28" fillId="2" borderId="0" xfId="0" applyFont="1" applyFill="1" applyAlignment="1" applyProtection="1">
      <alignment horizontal="center" vertical="top" wrapText="1"/>
      <protection hidden="1"/>
    </xf>
    <xf numFmtId="0" fontId="30" fillId="2" borderId="26" xfId="0" applyFont="1" applyFill="1" applyBorder="1" applyAlignment="1" applyProtection="1">
      <alignment horizontal="left" vertical="center" wrapText="1" indent="1"/>
      <protection hidden="1"/>
    </xf>
    <xf numFmtId="0" fontId="5" fillId="0" borderId="0" xfId="0" applyFont="1" applyProtection="1">
      <protection hidden="1"/>
    </xf>
    <xf numFmtId="0" fontId="5" fillId="0" borderId="0" xfId="0" applyFont="1" applyAlignment="1" applyProtection="1">
      <alignment vertical="center"/>
      <protection hidden="1"/>
    </xf>
    <xf numFmtId="0" fontId="45" fillId="2" borderId="0" xfId="1" applyFont="1" applyFill="1" applyAlignment="1" applyProtection="1">
      <alignment horizontal="left" vertical="center" indent="1"/>
      <protection hidden="1"/>
    </xf>
    <xf numFmtId="0" fontId="46" fillId="2" borderId="0" xfId="0" applyFont="1" applyFill="1" applyProtection="1">
      <protection hidden="1"/>
    </xf>
    <xf numFmtId="0" fontId="47" fillId="2" borderId="0" xfId="0" applyFont="1" applyFill="1" applyProtection="1">
      <protection hidden="1"/>
    </xf>
    <xf numFmtId="0" fontId="46" fillId="2" borderId="0" xfId="0" applyFont="1" applyFill="1" applyAlignment="1" applyProtection="1">
      <alignment horizontal="center" vertical="center"/>
      <protection hidden="1"/>
    </xf>
    <xf numFmtId="0" fontId="47" fillId="0" borderId="0" xfId="0" applyFont="1" applyProtection="1">
      <protection hidden="1"/>
    </xf>
    <xf numFmtId="0" fontId="48" fillId="2" borderId="0" xfId="0" applyFont="1" applyFill="1" applyAlignment="1" applyProtection="1">
      <alignment horizontal="left" vertical="center" indent="1"/>
      <protection hidden="1"/>
    </xf>
    <xf numFmtId="0" fontId="8" fillId="9" borderId="0" xfId="0" applyFont="1" applyFill="1"/>
    <xf numFmtId="0" fontId="8" fillId="0" borderId="0" xfId="0" applyFont="1" applyAlignment="1">
      <alignment horizontal="center" vertical="top"/>
    </xf>
    <xf numFmtId="0" fontId="8" fillId="9" borderId="0" xfId="0" applyFont="1" applyFill="1" applyAlignment="1">
      <alignment horizontal="center" vertical="top"/>
    </xf>
    <xf numFmtId="0" fontId="8" fillId="12" borderId="1" xfId="0" applyFont="1" applyFill="1" applyBorder="1" applyAlignment="1">
      <alignment vertical="top" wrapText="1"/>
    </xf>
    <xf numFmtId="0" fontId="8" fillId="11" borderId="0" xfId="0" applyFont="1" applyFill="1"/>
    <xf numFmtId="0" fontId="8" fillId="11" borderId="0" xfId="0" applyFont="1" applyFill="1" applyAlignment="1">
      <alignment horizontal="center" vertical="top"/>
    </xf>
    <xf numFmtId="0" fontId="50" fillId="11" borderId="0" xfId="0" applyFont="1" applyFill="1" applyAlignment="1">
      <alignment horizontal="left" indent="1"/>
    </xf>
    <xf numFmtId="0" fontId="50" fillId="9" borderId="0" xfId="0" applyFont="1" applyFill="1" applyAlignment="1">
      <alignment horizontal="left" indent="1"/>
    </xf>
    <xf numFmtId="0" fontId="50" fillId="0" borderId="0" xfId="0" applyFont="1" applyAlignment="1">
      <alignment horizontal="left" indent="1"/>
    </xf>
    <xf numFmtId="0" fontId="50" fillId="5" borderId="0" xfId="0" applyFont="1" applyFill="1" applyAlignment="1">
      <alignment horizontal="left" indent="1"/>
    </xf>
    <xf numFmtId="0" fontId="8" fillId="5" borderId="0" xfId="0" applyFont="1" applyFill="1"/>
    <xf numFmtId="0" fontId="8" fillId="5" borderId="0" xfId="0" applyFont="1" applyFill="1" applyAlignment="1">
      <alignment horizontal="center" vertical="top"/>
    </xf>
    <xf numFmtId="0" fontId="49" fillId="11" borderId="0" xfId="0" applyFont="1" applyFill="1" applyAlignment="1">
      <alignment horizontal="left" vertical="top" indent="1"/>
    </xf>
    <xf numFmtId="0" fontId="7" fillId="0" borderId="1" xfId="0" applyFont="1" applyBorder="1" applyAlignment="1">
      <alignment vertical="top" wrapText="1"/>
    </xf>
    <xf numFmtId="0" fontId="49" fillId="0" borderId="1" xfId="0" applyFont="1" applyBorder="1" applyAlignment="1">
      <alignment vertical="top" wrapText="1"/>
    </xf>
    <xf numFmtId="0" fontId="43" fillId="2" borderId="0" xfId="0" applyFont="1" applyFill="1" applyAlignment="1" applyProtection="1">
      <alignment vertical="center"/>
      <protection hidden="1"/>
    </xf>
    <xf numFmtId="0" fontId="17" fillId="2" borderId="3" xfId="0" applyFont="1" applyFill="1" applyBorder="1" applyAlignment="1" applyProtection="1">
      <alignment vertical="center"/>
      <protection hidden="1"/>
    </xf>
    <xf numFmtId="0" fontId="11" fillId="2" borderId="3" xfId="0" applyFont="1" applyFill="1" applyBorder="1" applyProtection="1">
      <protection hidden="1"/>
    </xf>
    <xf numFmtId="0" fontId="4" fillId="2" borderId="3" xfId="0" applyFont="1" applyFill="1" applyBorder="1" applyProtection="1">
      <protection hidden="1"/>
    </xf>
    <xf numFmtId="0" fontId="36" fillId="2" borderId="0" xfId="0" applyFont="1" applyFill="1" applyAlignment="1" applyProtection="1">
      <alignment vertical="center"/>
      <protection hidden="1"/>
    </xf>
    <xf numFmtId="0" fontId="28" fillId="2" borderId="28" xfId="0" applyFont="1" applyFill="1" applyBorder="1" applyAlignment="1" applyProtection="1">
      <alignment horizontal="center" vertical="top" wrapText="1"/>
      <protection hidden="1"/>
    </xf>
    <xf numFmtId="0" fontId="28" fillId="2" borderId="12" xfId="0" applyFont="1" applyFill="1" applyBorder="1" applyAlignment="1" applyProtection="1">
      <alignment horizontal="center" vertical="top" wrapText="1"/>
      <protection hidden="1"/>
    </xf>
    <xf numFmtId="0" fontId="28" fillId="2" borderId="31" xfId="0" applyFont="1" applyFill="1" applyBorder="1" applyAlignment="1" applyProtection="1">
      <alignment horizontal="center" vertical="top" wrapText="1"/>
      <protection hidden="1"/>
    </xf>
    <xf numFmtId="0" fontId="28" fillId="2" borderId="25" xfId="0" applyFont="1" applyFill="1" applyBorder="1" applyAlignment="1" applyProtection="1">
      <alignment horizontal="center" vertical="top" wrapText="1"/>
      <protection hidden="1"/>
    </xf>
    <xf numFmtId="0" fontId="28" fillId="2" borderId="30" xfId="0" applyFont="1" applyFill="1" applyBorder="1" applyAlignment="1" applyProtection="1">
      <alignment horizontal="center" vertical="top" wrapText="1"/>
      <protection hidden="1"/>
    </xf>
    <xf numFmtId="0" fontId="28" fillId="2" borderId="11" xfId="0" applyFont="1" applyFill="1" applyBorder="1" applyAlignment="1" applyProtection="1">
      <alignment horizontal="center" vertical="top" wrapText="1"/>
      <protection hidden="1"/>
    </xf>
    <xf numFmtId="0" fontId="28" fillId="2" borderId="26" xfId="0" applyFont="1" applyFill="1" applyBorder="1" applyAlignment="1" applyProtection="1">
      <alignment horizontal="center" vertical="top" wrapText="1"/>
      <protection hidden="1"/>
    </xf>
    <xf numFmtId="0" fontId="28" fillId="2" borderId="32" xfId="0" applyFont="1" applyFill="1" applyBorder="1" applyAlignment="1" applyProtection="1">
      <alignment horizontal="center" vertical="top" wrapText="1"/>
      <protection hidden="1"/>
    </xf>
    <xf numFmtId="0" fontId="14" fillId="2" borderId="12" xfId="0" applyFont="1" applyFill="1" applyBorder="1" applyAlignment="1" applyProtection="1">
      <alignment horizontal="left" vertical="top" indent="1"/>
      <protection hidden="1"/>
    </xf>
    <xf numFmtId="0" fontId="53" fillId="2" borderId="2" xfId="0" applyFont="1" applyFill="1" applyBorder="1" applyAlignment="1" applyProtection="1">
      <alignment horizontal="left" vertical="top" wrapText="1" indent="1"/>
      <protection hidden="1"/>
    </xf>
    <xf numFmtId="0" fontId="53" fillId="2" borderId="3" xfId="0" applyFont="1" applyFill="1" applyBorder="1" applyAlignment="1" applyProtection="1">
      <alignment horizontal="center" vertical="top" wrapText="1"/>
      <protection hidden="1"/>
    </xf>
    <xf numFmtId="0" fontId="53" fillId="2" borderId="4" xfId="0" applyFont="1" applyFill="1" applyBorder="1" applyAlignment="1" applyProtection="1">
      <alignment horizontal="center" vertical="top" wrapText="1"/>
      <protection hidden="1"/>
    </xf>
    <xf numFmtId="0" fontId="53" fillId="2" borderId="12" xfId="0" applyFont="1" applyFill="1" applyBorder="1" applyAlignment="1" applyProtection="1">
      <alignment horizontal="left" vertical="top" wrapText="1" indent="1"/>
      <protection hidden="1"/>
    </xf>
    <xf numFmtId="0" fontId="53" fillId="2" borderId="0" xfId="0" applyFont="1" applyFill="1" applyAlignment="1" applyProtection="1">
      <alignment horizontal="center" vertical="top" wrapText="1"/>
      <protection hidden="1"/>
    </xf>
    <xf numFmtId="0" fontId="53" fillId="2" borderId="31" xfId="0" applyFont="1" applyFill="1" applyBorder="1" applyAlignment="1" applyProtection="1">
      <alignment horizontal="center" vertical="top" wrapText="1"/>
      <protection hidden="1"/>
    </xf>
    <xf numFmtId="0" fontId="53" fillId="2" borderId="25" xfId="0" applyFont="1" applyFill="1" applyBorder="1" applyAlignment="1" applyProtection="1">
      <alignment horizontal="left" vertical="top" wrapText="1" indent="1"/>
      <protection hidden="1"/>
    </xf>
    <xf numFmtId="0" fontId="53" fillId="2" borderId="28" xfId="0" applyFont="1" applyFill="1" applyBorder="1" applyAlignment="1" applyProtection="1">
      <alignment horizontal="center" vertical="top" wrapText="1"/>
      <protection hidden="1"/>
    </xf>
    <xf numFmtId="0" fontId="53" fillId="2" borderId="30" xfId="0" applyFont="1" applyFill="1" applyBorder="1" applyAlignment="1" applyProtection="1">
      <alignment horizontal="center" vertical="top" wrapText="1"/>
      <protection hidden="1"/>
    </xf>
    <xf numFmtId="0" fontId="51" fillId="3" borderId="0" xfId="0" applyFont="1" applyFill="1" applyAlignment="1" applyProtection="1">
      <alignment horizontal="center" vertical="center"/>
      <protection hidden="1"/>
    </xf>
    <xf numFmtId="0" fontId="7" fillId="12" borderId="1" xfId="0" applyFont="1" applyFill="1" applyBorder="1" applyAlignment="1">
      <alignment vertical="top" wrapText="1"/>
    </xf>
    <xf numFmtId="0" fontId="22" fillId="4" borderId="36" xfId="0" applyFont="1" applyFill="1" applyBorder="1" applyAlignment="1" applyProtection="1">
      <alignment horizontal="center" vertical="center"/>
      <protection hidden="1"/>
    </xf>
    <xf numFmtId="0" fontId="22" fillId="2" borderId="36" xfId="0" applyFont="1" applyFill="1" applyBorder="1" applyAlignment="1" applyProtection="1">
      <alignment horizontal="center" vertical="center"/>
      <protection hidden="1"/>
    </xf>
    <xf numFmtId="0" fontId="14" fillId="3" borderId="36" xfId="0" applyFont="1" applyFill="1" applyBorder="1" applyAlignment="1" applyProtection="1">
      <alignment horizontal="right" vertical="center" indent="1"/>
      <protection hidden="1"/>
    </xf>
    <xf numFmtId="0" fontId="22" fillId="7" borderId="37" xfId="0" applyFont="1" applyFill="1" applyBorder="1" applyAlignment="1" applyProtection="1">
      <alignment horizontal="center" vertical="center"/>
      <protection hidden="1"/>
    </xf>
    <xf numFmtId="0" fontId="14" fillId="0" borderId="0" xfId="0" applyFont="1" applyAlignment="1" applyProtection="1">
      <alignment vertical="center"/>
      <protection hidden="1"/>
    </xf>
    <xf numFmtId="0" fontId="14" fillId="2" borderId="0" xfId="0" applyFont="1" applyFill="1" applyAlignment="1" applyProtection="1">
      <alignment horizontal="left" vertical="center" indent="1"/>
      <protection hidden="1"/>
    </xf>
    <xf numFmtId="49" fontId="14" fillId="2" borderId="0" xfId="0" applyNumberFormat="1" applyFont="1" applyFill="1" applyAlignment="1" applyProtection="1">
      <alignment horizontal="left" vertical="center" indent="1"/>
      <protection hidden="1"/>
    </xf>
    <xf numFmtId="0" fontId="14" fillId="2" borderId="0" xfId="0" applyFont="1" applyFill="1" applyAlignment="1" applyProtection="1">
      <alignment horizontal="left" vertical="center" wrapText="1" indent="1"/>
      <protection hidden="1"/>
    </xf>
    <xf numFmtId="164" fontId="26" fillId="9" borderId="0" xfId="0" applyNumberFormat="1" applyFont="1" applyFill="1" applyAlignment="1" applyProtection="1">
      <alignment horizontal="left" vertical="center" indent="1"/>
      <protection hidden="1"/>
    </xf>
    <xf numFmtId="0" fontId="24" fillId="2" borderId="0" xfId="0" applyFont="1" applyFill="1" applyAlignment="1" applyProtection="1">
      <alignment horizontal="left"/>
      <protection hidden="1"/>
    </xf>
    <xf numFmtId="0" fontId="24" fillId="2" borderId="0" xfId="0" applyFont="1" applyFill="1" applyAlignment="1" applyProtection="1">
      <alignment horizontal="right" vertical="center" indent="1"/>
      <protection hidden="1"/>
    </xf>
    <xf numFmtId="0" fontId="14" fillId="6" borderId="9" xfId="0" applyFont="1" applyFill="1" applyBorder="1" applyAlignment="1" applyProtection="1">
      <alignment horizontal="center" vertical="center"/>
      <protection hidden="1"/>
    </xf>
    <xf numFmtId="0" fontId="14" fillId="6" borderId="1" xfId="0" applyFont="1" applyFill="1" applyBorder="1" applyAlignment="1" applyProtection="1">
      <alignment horizontal="left" vertical="center" indent="1"/>
      <protection hidden="1"/>
    </xf>
    <xf numFmtId="0" fontId="24" fillId="2" borderId="0" xfId="0" applyFont="1" applyFill="1" applyAlignment="1" applyProtection="1">
      <alignment horizontal="left" indent="1"/>
      <protection hidden="1"/>
    </xf>
    <xf numFmtId="0" fontId="24" fillId="2" borderId="0" xfId="0" applyFont="1" applyFill="1" applyAlignment="1" applyProtection="1">
      <alignment horizontal="right" vertical="center"/>
      <protection hidden="1"/>
    </xf>
    <xf numFmtId="0" fontId="14" fillId="2" borderId="13" xfId="0" applyFont="1" applyFill="1" applyBorder="1" applyAlignment="1" applyProtection="1">
      <alignment horizontal="left" vertical="center" indent="1"/>
      <protection hidden="1"/>
    </xf>
    <xf numFmtId="0" fontId="14" fillId="2" borderId="14" xfId="0" applyFont="1" applyFill="1" applyBorder="1" applyAlignment="1" applyProtection="1">
      <alignment vertical="center"/>
      <protection hidden="1"/>
    </xf>
    <xf numFmtId="0" fontId="14" fillId="2" borderId="18" xfId="0" applyFont="1" applyFill="1" applyBorder="1" applyAlignment="1" applyProtection="1">
      <alignment horizontal="left" vertical="center" indent="1"/>
      <protection hidden="1"/>
    </xf>
    <xf numFmtId="0" fontId="14" fillId="2" borderId="19" xfId="0" applyFont="1" applyFill="1" applyBorder="1" applyAlignment="1" applyProtection="1">
      <alignment vertical="center"/>
      <protection hidden="1"/>
    </xf>
    <xf numFmtId="0" fontId="54" fillId="2" borderId="0" xfId="0" applyFont="1" applyFill="1" applyAlignment="1" applyProtection="1">
      <alignment horizontal="center" vertical="center"/>
      <protection hidden="1"/>
    </xf>
    <xf numFmtId="0" fontId="19" fillId="2" borderId="0" xfId="0" applyFont="1" applyFill="1" applyAlignment="1" applyProtection="1">
      <alignment horizontal="left" indent="1"/>
      <protection hidden="1"/>
    </xf>
    <xf numFmtId="0" fontId="51" fillId="2" borderId="0" xfId="0" applyFont="1" applyFill="1" applyAlignment="1" applyProtection="1">
      <alignment horizontal="left" indent="1"/>
      <protection hidden="1"/>
    </xf>
    <xf numFmtId="165" fontId="26" fillId="9" borderId="0" xfId="0" applyNumberFormat="1" applyFont="1" applyFill="1" applyAlignment="1" applyProtection="1">
      <alignment horizontal="left" vertical="center" indent="1"/>
      <protection hidden="1"/>
    </xf>
    <xf numFmtId="0" fontId="14" fillId="2" borderId="12" xfId="0" applyFont="1" applyFill="1" applyBorder="1" applyAlignment="1" applyProtection="1">
      <alignment horizontal="left" vertical="center" indent="1"/>
      <protection hidden="1"/>
    </xf>
    <xf numFmtId="0" fontId="14" fillId="2" borderId="24" xfId="0" applyFont="1" applyFill="1" applyBorder="1" applyAlignment="1" applyProtection="1">
      <alignment vertical="center"/>
      <protection hidden="1"/>
    </xf>
    <xf numFmtId="165" fontId="14" fillId="2" borderId="14" xfId="0" applyNumberFormat="1" applyFont="1" applyFill="1" applyBorder="1" applyAlignment="1" applyProtection="1">
      <alignment horizontal="center" vertical="center" wrapText="1"/>
      <protection hidden="1"/>
    </xf>
    <xf numFmtId="165" fontId="14" fillId="2" borderId="16" xfId="0" applyNumberFormat="1" applyFont="1" applyFill="1" applyBorder="1" applyAlignment="1" applyProtection="1">
      <alignment horizontal="center" vertical="center" wrapText="1"/>
      <protection hidden="1"/>
    </xf>
    <xf numFmtId="165" fontId="14" fillId="2" borderId="19" xfId="0" applyNumberFormat="1" applyFont="1" applyFill="1" applyBorder="1" applyAlignment="1" applyProtection="1">
      <alignment horizontal="center" vertical="center" wrapText="1"/>
      <protection hidden="1"/>
    </xf>
    <xf numFmtId="0" fontId="33" fillId="2" borderId="0" xfId="0" applyFont="1" applyFill="1" applyAlignment="1" applyProtection="1">
      <alignment horizontal="left" vertical="center" wrapText="1"/>
      <protection hidden="1"/>
    </xf>
    <xf numFmtId="3" fontId="14" fillId="2" borderId="0" xfId="0" applyNumberFormat="1" applyFont="1" applyFill="1" applyAlignment="1" applyProtection="1">
      <alignment horizontal="left" vertical="center" indent="1"/>
      <protection hidden="1"/>
    </xf>
    <xf numFmtId="0" fontId="19" fillId="2" borderId="3" xfId="0" applyFont="1" applyFill="1" applyBorder="1" applyAlignment="1" applyProtection="1">
      <alignment horizontal="left" vertical="center"/>
      <protection hidden="1"/>
    </xf>
    <xf numFmtId="0" fontId="37" fillId="2" borderId="0" xfId="0" applyFont="1" applyFill="1" applyAlignment="1" applyProtection="1">
      <alignment horizontal="left" vertical="center" indent="1"/>
      <protection hidden="1"/>
    </xf>
    <xf numFmtId="0" fontId="22" fillId="12" borderId="43" xfId="0" applyFont="1" applyFill="1" applyBorder="1" applyAlignment="1" applyProtection="1">
      <alignment horizontal="center" vertical="center"/>
      <protection hidden="1"/>
    </xf>
    <xf numFmtId="0" fontId="22" fillId="13" borderId="35" xfId="0" applyFont="1" applyFill="1" applyBorder="1" applyAlignment="1" applyProtection="1">
      <alignment horizontal="center" vertical="center"/>
      <protection hidden="1"/>
    </xf>
    <xf numFmtId="0" fontId="56" fillId="2" borderId="0" xfId="0" applyFont="1" applyFill="1" applyAlignment="1" applyProtection="1">
      <alignment horizontal="left" vertical="center"/>
      <protection hidden="1"/>
    </xf>
    <xf numFmtId="0" fontId="25" fillId="8" borderId="0" xfId="0" applyFont="1" applyFill="1" applyAlignment="1" applyProtection="1">
      <alignment horizontal="center" vertical="center"/>
      <protection hidden="1"/>
    </xf>
    <xf numFmtId="0" fontId="57" fillId="8" borderId="0" xfId="0" applyFont="1" applyFill="1" applyProtection="1">
      <protection hidden="1"/>
    </xf>
    <xf numFmtId="0" fontId="57" fillId="8" borderId="0" xfId="0" applyFont="1" applyFill="1" applyAlignment="1" applyProtection="1">
      <alignment vertical="center"/>
      <protection hidden="1"/>
    </xf>
    <xf numFmtId="0" fontId="58" fillId="8" borderId="0" xfId="0" applyFont="1" applyFill="1" applyProtection="1">
      <protection hidden="1"/>
    </xf>
    <xf numFmtId="0" fontId="22" fillId="2" borderId="0" xfId="0" applyFont="1" applyFill="1" applyAlignment="1" applyProtection="1">
      <alignment horizontal="left" indent="2"/>
      <protection hidden="1"/>
    </xf>
    <xf numFmtId="0" fontId="5" fillId="2" borderId="0" xfId="0" applyFont="1" applyFill="1" applyAlignment="1" applyProtection="1">
      <alignment horizontal="left" indent="1"/>
      <protection hidden="1"/>
    </xf>
    <xf numFmtId="0" fontId="25" fillId="9" borderId="0" xfId="0" applyFont="1" applyFill="1" applyAlignment="1" applyProtection="1">
      <alignment horizontal="left" vertical="center" indent="1"/>
      <protection hidden="1"/>
    </xf>
    <xf numFmtId="0" fontId="5" fillId="9" borderId="0" xfId="0" applyFont="1" applyFill="1" applyProtection="1">
      <protection hidden="1"/>
    </xf>
    <xf numFmtId="0" fontId="4" fillId="9" borderId="0" xfId="0" applyFont="1" applyFill="1" applyProtection="1">
      <protection hidden="1"/>
    </xf>
    <xf numFmtId="0" fontId="5" fillId="9" borderId="0" xfId="0" applyFont="1" applyFill="1" applyAlignment="1" applyProtection="1">
      <alignment vertical="center"/>
      <protection hidden="1"/>
    </xf>
    <xf numFmtId="0" fontId="47" fillId="9" borderId="0" xfId="0" applyFont="1" applyFill="1" applyProtection="1">
      <protection hidden="1"/>
    </xf>
    <xf numFmtId="0" fontId="25" fillId="7" borderId="0" xfId="0" applyFont="1" applyFill="1" applyAlignment="1" applyProtection="1">
      <alignment horizontal="left" vertical="center" indent="1"/>
      <protection hidden="1"/>
    </xf>
    <xf numFmtId="0" fontId="25" fillId="10" borderId="0" xfId="0" applyFont="1" applyFill="1" applyAlignment="1" applyProtection="1">
      <alignment horizontal="left" vertical="center" indent="1"/>
      <protection hidden="1"/>
    </xf>
    <xf numFmtId="164" fontId="14" fillId="2" borderId="13" xfId="0" applyNumberFormat="1" applyFont="1" applyFill="1" applyBorder="1" applyAlignment="1" applyProtection="1">
      <alignment horizontal="center" vertical="center" wrapText="1"/>
      <protection hidden="1"/>
    </xf>
    <xf numFmtId="164" fontId="14" fillId="2" borderId="15" xfId="0" applyNumberFormat="1" applyFont="1" applyFill="1" applyBorder="1" applyAlignment="1" applyProtection="1">
      <alignment horizontal="center" vertical="center" wrapText="1"/>
      <protection hidden="1"/>
    </xf>
    <xf numFmtId="164" fontId="14" fillId="2" borderId="18" xfId="0" applyNumberFormat="1" applyFont="1" applyFill="1" applyBorder="1" applyAlignment="1" applyProtection="1">
      <alignment horizontal="center" vertical="center" wrapText="1"/>
      <protection hidden="1"/>
    </xf>
    <xf numFmtId="0" fontId="25" fillId="9" borderId="0" xfId="0" applyFont="1" applyFill="1" applyAlignment="1" applyProtection="1">
      <alignment horizontal="left" vertical="center" wrapText="1" indent="1"/>
      <protection hidden="1"/>
    </xf>
    <xf numFmtId="164" fontId="25" fillId="9" borderId="0" xfId="0" applyNumberFormat="1" applyFont="1" applyFill="1" applyAlignment="1" applyProtection="1">
      <alignment horizontal="left" vertical="center" indent="1"/>
      <protection hidden="1"/>
    </xf>
    <xf numFmtId="165" fontId="25" fillId="7" borderId="0" xfId="0" applyNumberFormat="1" applyFont="1" applyFill="1" applyAlignment="1" applyProtection="1">
      <alignment horizontal="left" vertical="center" wrapText="1" indent="1"/>
      <protection hidden="1"/>
    </xf>
    <xf numFmtId="164" fontId="25" fillId="10" borderId="0" xfId="0" applyNumberFormat="1" applyFont="1" applyFill="1" applyAlignment="1" applyProtection="1">
      <alignment horizontal="left" vertical="center" indent="1"/>
      <protection hidden="1"/>
    </xf>
    <xf numFmtId="0" fontId="25" fillId="7" borderId="0" xfId="0" applyFont="1" applyFill="1" applyAlignment="1" applyProtection="1">
      <alignment horizontal="center" vertical="center"/>
      <protection hidden="1"/>
    </xf>
    <xf numFmtId="0" fontId="25" fillId="9" borderId="0" xfId="0" applyFont="1" applyFill="1" applyAlignment="1" applyProtection="1">
      <alignment horizontal="center" vertical="center" wrapText="1"/>
      <protection hidden="1"/>
    </xf>
    <xf numFmtId="0" fontId="30" fillId="2" borderId="0" xfId="0" applyFont="1" applyFill="1" applyAlignment="1" applyProtection="1">
      <alignment horizontal="left" vertical="top" indent="1"/>
      <protection hidden="1"/>
    </xf>
    <xf numFmtId="0" fontId="59" fillId="11" borderId="0" xfId="0" applyFont="1" applyFill="1" applyAlignment="1">
      <alignment horizontal="left" vertical="top" indent="1"/>
    </xf>
    <xf numFmtId="0" fontId="59" fillId="11" borderId="0" xfId="0" applyFont="1" applyFill="1" applyAlignment="1">
      <alignment horizontal="left" vertical="top" wrapText="1" indent="1"/>
    </xf>
    <xf numFmtId="0" fontId="7" fillId="11" borderId="0" xfId="0" applyFont="1" applyFill="1" applyAlignment="1">
      <alignment horizontal="center" vertical="top"/>
    </xf>
    <xf numFmtId="0" fontId="60" fillId="11" borderId="0" xfId="0" applyFont="1" applyFill="1" applyAlignment="1">
      <alignment horizontal="center" vertical="top"/>
    </xf>
    <xf numFmtId="0" fontId="59" fillId="9" borderId="0" xfId="0" applyFont="1" applyFill="1" applyAlignment="1">
      <alignment horizontal="left" wrapText="1" indent="1"/>
    </xf>
    <xf numFmtId="0" fontId="59" fillId="11" borderId="0" xfId="0" applyFont="1" applyFill="1" applyAlignment="1">
      <alignment horizontal="left" vertical="center" wrapText="1" indent="1"/>
    </xf>
    <xf numFmtId="0" fontId="32" fillId="7" borderId="0" xfId="0" applyFont="1" applyFill="1" applyAlignment="1" applyProtection="1">
      <alignment horizontal="center" vertical="center" wrapText="1"/>
      <protection hidden="1"/>
    </xf>
    <xf numFmtId="0" fontId="32" fillId="7" borderId="0" xfId="0" applyFont="1" applyFill="1" applyAlignment="1" applyProtection="1">
      <alignment horizontal="left" vertical="center" wrapText="1" indent="1"/>
      <protection hidden="1"/>
    </xf>
    <xf numFmtId="0" fontId="25" fillId="2" borderId="0" xfId="0" applyFont="1" applyFill="1" applyAlignment="1" applyProtection="1">
      <alignment horizontal="left" vertical="center" indent="1"/>
      <protection hidden="1"/>
    </xf>
    <xf numFmtId="0" fontId="59" fillId="5" borderId="0" xfId="0" applyFont="1" applyFill="1" applyAlignment="1">
      <alignment horizontal="left" wrapText="1" indent="1"/>
    </xf>
    <xf numFmtId="0" fontId="5" fillId="2" borderId="0" xfId="0" applyFont="1" applyFill="1" applyAlignment="1" applyProtection="1">
      <alignment horizontal="center"/>
      <protection hidden="1"/>
    </xf>
    <xf numFmtId="0" fontId="12" fillId="2" borderId="5" xfId="0" applyFont="1" applyFill="1" applyBorder="1" applyAlignment="1" applyProtection="1">
      <alignment horizontal="left" vertical="center" indent="1"/>
      <protection hidden="1"/>
    </xf>
    <xf numFmtId="0" fontId="12" fillId="2" borderId="9" xfId="0" applyFont="1" applyFill="1" applyBorder="1" applyAlignment="1" applyProtection="1">
      <alignment horizontal="left" vertical="center" indent="1"/>
      <protection hidden="1"/>
    </xf>
    <xf numFmtId="0" fontId="12" fillId="2" borderId="9" xfId="0" applyFont="1" applyFill="1" applyBorder="1" applyAlignment="1" applyProtection="1">
      <alignment vertical="center" wrapText="1"/>
      <protection hidden="1"/>
    </xf>
    <xf numFmtId="0" fontId="12" fillId="2" borderId="10" xfId="0" applyFont="1" applyFill="1" applyBorder="1" applyAlignment="1" applyProtection="1">
      <alignment vertical="center" wrapText="1"/>
      <protection hidden="1"/>
    </xf>
    <xf numFmtId="0" fontId="12" fillId="2" borderId="3" xfId="0" applyFont="1" applyFill="1" applyBorder="1" applyAlignment="1" applyProtection="1">
      <alignment vertical="center" wrapText="1"/>
      <protection hidden="1"/>
    </xf>
    <xf numFmtId="0" fontId="12" fillId="2" borderId="2" xfId="0" applyFont="1" applyFill="1" applyBorder="1" applyAlignment="1" applyProtection="1">
      <alignment horizontal="left" vertical="center" indent="1"/>
      <protection hidden="1"/>
    </xf>
    <xf numFmtId="0" fontId="62" fillId="0" borderId="0" xfId="0" applyFont="1" applyProtection="1">
      <protection hidden="1"/>
    </xf>
    <xf numFmtId="0" fontId="63" fillId="2" borderId="1" xfId="1" applyFont="1" applyFill="1" applyBorder="1" applyAlignment="1" applyProtection="1">
      <alignment horizontal="center" vertical="center" wrapText="1"/>
      <protection hidden="1"/>
    </xf>
    <xf numFmtId="0" fontId="10" fillId="0" borderId="0" xfId="0" applyFont="1" applyAlignment="1" applyProtection="1">
      <alignment vertical="center" wrapText="1"/>
      <protection hidden="1"/>
    </xf>
    <xf numFmtId="0" fontId="61" fillId="0" borderId="0" xfId="0" applyFont="1" applyAlignment="1" applyProtection="1">
      <alignment vertical="center"/>
      <protection hidden="1"/>
    </xf>
    <xf numFmtId="1" fontId="8" fillId="12" borderId="1" xfId="0" applyNumberFormat="1" applyFont="1" applyFill="1" applyBorder="1" applyAlignment="1">
      <alignment vertical="top" wrapText="1"/>
    </xf>
    <xf numFmtId="1" fontId="7" fillId="12" borderId="1" xfId="0" applyNumberFormat="1" applyFont="1" applyFill="1" applyBorder="1" applyAlignment="1">
      <alignment vertical="top" wrapText="1"/>
    </xf>
    <xf numFmtId="0" fontId="8" fillId="12" borderId="5" xfId="0" applyFont="1" applyFill="1" applyBorder="1" applyAlignment="1">
      <alignment vertical="top" wrapText="1"/>
    </xf>
    <xf numFmtId="0" fontId="8" fillId="12" borderId="6" xfId="0" applyFont="1" applyFill="1" applyBorder="1" applyAlignment="1">
      <alignment vertical="top" wrapText="1"/>
    </xf>
    <xf numFmtId="1" fontId="7" fillId="0" borderId="0" xfId="0" applyNumberFormat="1" applyFont="1" applyAlignment="1">
      <alignment vertical="top" wrapText="1"/>
    </xf>
    <xf numFmtId="0" fontId="12" fillId="2" borderId="5" xfId="0" applyFont="1" applyFill="1" applyBorder="1" applyAlignment="1" applyProtection="1">
      <alignment horizontal="left" vertical="center" wrapText="1" indent="1"/>
      <protection hidden="1"/>
    </xf>
    <xf numFmtId="9" fontId="8" fillId="12" borderId="1" xfId="4" applyFont="1" applyFill="1" applyBorder="1" applyAlignment="1">
      <alignment vertical="top" wrapText="1"/>
    </xf>
    <xf numFmtId="0" fontId="11" fillId="2" borderId="0" xfId="0" applyFont="1" applyFill="1" applyAlignment="1" applyProtection="1">
      <alignment horizontal="center"/>
      <protection hidden="1"/>
    </xf>
    <xf numFmtId="0" fontId="62" fillId="2" borderId="0" xfId="0" applyFont="1" applyFill="1" applyProtection="1">
      <protection hidden="1"/>
    </xf>
    <xf numFmtId="0" fontId="67" fillId="2" borderId="9" xfId="0" applyFont="1" applyFill="1" applyBorder="1" applyAlignment="1" applyProtection="1">
      <alignment vertical="center"/>
      <protection hidden="1"/>
    </xf>
    <xf numFmtId="0" fontId="62" fillId="2" borderId="9" xfId="0" applyFont="1" applyFill="1" applyBorder="1" applyProtection="1">
      <protection hidden="1"/>
    </xf>
    <xf numFmtId="0" fontId="12" fillId="3" borderId="0" xfId="0" applyFont="1" applyFill="1" applyAlignment="1" applyProtection="1">
      <alignment horizontal="left" indent="1"/>
      <protection hidden="1"/>
    </xf>
    <xf numFmtId="0" fontId="62" fillId="3" borderId="0" xfId="0" applyFont="1" applyFill="1" applyAlignment="1" applyProtection="1">
      <alignment horizontal="center"/>
      <protection hidden="1"/>
    </xf>
    <xf numFmtId="164" fontId="62" fillId="3" borderId="0" xfId="0" applyNumberFormat="1" applyFont="1" applyFill="1" applyAlignment="1" applyProtection="1">
      <alignment horizontal="center"/>
      <protection hidden="1"/>
    </xf>
    <xf numFmtId="1" fontId="68" fillId="15" borderId="0" xfId="0" applyNumberFormat="1" applyFont="1" applyFill="1" applyAlignment="1" applyProtection="1">
      <alignment horizontal="center" vertical="center"/>
      <protection hidden="1"/>
    </xf>
    <xf numFmtId="0" fontId="68" fillId="15" borderId="0" xfId="0" applyFont="1" applyFill="1" applyAlignment="1" applyProtection="1">
      <alignment horizontal="center" vertical="center"/>
      <protection hidden="1"/>
    </xf>
    <xf numFmtId="0" fontId="68" fillId="15" borderId="0" xfId="0" applyFont="1" applyFill="1" applyAlignment="1" applyProtection="1">
      <alignment vertical="center"/>
      <protection hidden="1"/>
    </xf>
    <xf numFmtId="0" fontId="10" fillId="2" borderId="0" xfId="0" applyFont="1" applyFill="1" applyAlignment="1" applyProtection="1">
      <alignment vertical="center" wrapText="1"/>
      <protection hidden="1"/>
    </xf>
    <xf numFmtId="0" fontId="10" fillId="3" borderId="0" xfId="0" applyFont="1" applyFill="1" applyAlignment="1" applyProtection="1">
      <alignment horizontal="center" vertical="center" wrapText="1"/>
      <protection hidden="1"/>
    </xf>
    <xf numFmtId="0" fontId="61" fillId="3" borderId="0" xfId="0" applyFont="1" applyFill="1" applyAlignment="1" applyProtection="1">
      <alignment horizontal="center" vertical="center"/>
      <protection hidden="1"/>
    </xf>
    <xf numFmtId="0" fontId="61" fillId="3" borderId="0" xfId="0" applyFont="1" applyFill="1" applyAlignment="1" applyProtection="1">
      <alignment horizontal="center" vertical="center" wrapText="1"/>
      <protection hidden="1"/>
    </xf>
    <xf numFmtId="164" fontId="10" fillId="3" borderId="0" xfId="0" applyNumberFormat="1" applyFont="1" applyFill="1" applyAlignment="1" applyProtection="1">
      <alignment horizontal="center" vertical="center" wrapText="1"/>
      <protection hidden="1"/>
    </xf>
    <xf numFmtId="164" fontId="56" fillId="3" borderId="0" xfId="0" applyNumberFormat="1" applyFont="1" applyFill="1" applyAlignment="1" applyProtection="1">
      <alignment horizontal="center" vertical="center" wrapText="1"/>
      <protection hidden="1"/>
    </xf>
    <xf numFmtId="0" fontId="10" fillId="2" borderId="0" xfId="0" applyFont="1" applyFill="1" applyAlignment="1" applyProtection="1">
      <alignment vertical="center"/>
      <protection hidden="1"/>
    </xf>
    <xf numFmtId="0" fontId="61" fillId="2" borderId="0" xfId="0" applyFont="1" applyFill="1" applyAlignment="1" applyProtection="1">
      <alignment vertical="center"/>
      <protection hidden="1"/>
    </xf>
    <xf numFmtId="0" fontId="66" fillId="3" borderId="0" xfId="0" applyFont="1" applyFill="1" applyAlignment="1" applyProtection="1">
      <alignment horizontal="center" vertical="center"/>
      <protection hidden="1"/>
    </xf>
    <xf numFmtId="0" fontId="33" fillId="3" borderId="0" xfId="0" applyFont="1" applyFill="1" applyAlignment="1" applyProtection="1">
      <alignment horizontal="center" vertical="center"/>
      <protection hidden="1"/>
    </xf>
    <xf numFmtId="164" fontId="33" fillId="3" borderId="0" xfId="0" applyNumberFormat="1" applyFont="1" applyFill="1" applyAlignment="1" applyProtection="1">
      <alignment horizontal="center" vertical="center"/>
      <protection hidden="1"/>
    </xf>
    <xf numFmtId="0" fontId="16" fillId="2" borderId="0" xfId="0" applyFont="1" applyFill="1" applyAlignment="1" applyProtection="1">
      <alignment vertical="center"/>
      <protection hidden="1"/>
    </xf>
    <xf numFmtId="1" fontId="33" fillId="3" borderId="0" xfId="0" applyNumberFormat="1" applyFont="1" applyFill="1" applyAlignment="1" applyProtection="1">
      <alignment horizontal="center" vertical="center"/>
      <protection hidden="1"/>
    </xf>
    <xf numFmtId="9" fontId="33" fillId="3" borderId="0" xfId="4" applyFont="1" applyFill="1" applyAlignment="1" applyProtection="1">
      <alignment horizontal="center" vertical="center"/>
      <protection hidden="1"/>
    </xf>
    <xf numFmtId="3" fontId="33" fillId="3" borderId="0" xfId="0" applyNumberFormat="1" applyFont="1" applyFill="1" applyAlignment="1" applyProtection="1">
      <alignment horizontal="center" vertical="center"/>
      <protection hidden="1"/>
    </xf>
    <xf numFmtId="2" fontId="33" fillId="3" borderId="0" xfId="0" applyNumberFormat="1" applyFont="1" applyFill="1" applyAlignment="1" applyProtection="1">
      <alignment horizontal="center" vertical="center"/>
      <protection hidden="1"/>
    </xf>
    <xf numFmtId="0" fontId="5" fillId="3" borderId="0" xfId="0" applyFont="1" applyFill="1" applyAlignment="1" applyProtection="1">
      <alignment horizontal="center"/>
      <protection hidden="1"/>
    </xf>
    <xf numFmtId="164" fontId="5" fillId="3" borderId="0" xfId="0" applyNumberFormat="1" applyFont="1" applyFill="1" applyAlignment="1" applyProtection="1">
      <alignment horizontal="center"/>
      <protection hidden="1"/>
    </xf>
    <xf numFmtId="0" fontId="70" fillId="2" borderId="0" xfId="0" applyFont="1" applyFill="1" applyAlignment="1" applyProtection="1">
      <alignment horizontal="center" vertical="center"/>
      <protection hidden="1"/>
    </xf>
    <xf numFmtId="0" fontId="3" fillId="2" borderId="1" xfId="0" applyFont="1" applyFill="1" applyBorder="1" applyAlignment="1" applyProtection="1">
      <alignment horizontal="center" vertical="center" wrapText="1"/>
      <protection hidden="1"/>
    </xf>
    <xf numFmtId="0" fontId="3" fillId="0" borderId="1" xfId="0" applyFont="1" applyBorder="1" applyAlignment="1" applyProtection="1">
      <alignment horizontal="center" vertical="center" wrapText="1"/>
      <protection hidden="1"/>
    </xf>
    <xf numFmtId="2" fontId="50" fillId="0" borderId="1" xfId="0" applyNumberFormat="1" applyFont="1" applyBorder="1" applyAlignment="1">
      <alignment horizontal="center"/>
    </xf>
    <xf numFmtId="0" fontId="72" fillId="0" borderId="1" xfId="0" applyFont="1" applyBorder="1"/>
    <xf numFmtId="167" fontId="8" fillId="0" borderId="1" xfId="0" applyNumberFormat="1" applyFont="1" applyBorder="1"/>
    <xf numFmtId="0" fontId="73" fillId="12" borderId="1" xfId="0" applyFont="1" applyFill="1" applyBorder="1" applyAlignment="1">
      <alignment vertical="top" wrapText="1"/>
    </xf>
    <xf numFmtId="9" fontId="73" fillId="12" borderId="1" xfId="4" applyFont="1" applyFill="1" applyBorder="1" applyAlignment="1">
      <alignment vertical="top" wrapText="1"/>
    </xf>
    <xf numFmtId="167" fontId="8" fillId="12" borderId="1" xfId="0" applyNumberFormat="1" applyFont="1" applyFill="1" applyBorder="1"/>
    <xf numFmtId="0" fontId="2" fillId="2" borderId="0" xfId="0" applyFont="1" applyFill="1" applyProtection="1">
      <protection hidden="1"/>
    </xf>
    <xf numFmtId="0" fontId="2" fillId="2" borderId="6" xfId="0" applyFont="1" applyFill="1" applyBorder="1" applyAlignment="1" applyProtection="1">
      <alignment vertical="center"/>
      <protection hidden="1"/>
    </xf>
    <xf numFmtId="0" fontId="12" fillId="2" borderId="1" xfId="0" applyFont="1" applyFill="1" applyBorder="1" applyAlignment="1" applyProtection="1">
      <alignment horizontal="center" vertical="center" wrapText="1"/>
      <protection hidden="1"/>
    </xf>
    <xf numFmtId="0" fontId="2" fillId="2" borderId="8" xfId="0" applyFont="1" applyFill="1" applyBorder="1" applyAlignment="1" applyProtection="1">
      <alignment vertical="center"/>
      <protection hidden="1"/>
    </xf>
    <xf numFmtId="0" fontId="2" fillId="2" borderId="1" xfId="0" applyFont="1" applyFill="1" applyBorder="1" applyAlignment="1" applyProtection="1">
      <alignment horizontal="center" vertical="center" wrapText="1"/>
      <protection hidden="1"/>
    </xf>
    <xf numFmtId="0" fontId="2" fillId="3" borderId="0" xfId="0" applyFont="1" applyFill="1" applyAlignment="1" applyProtection="1">
      <alignment horizontal="center" vertical="center"/>
      <protection hidden="1"/>
    </xf>
    <xf numFmtId="0" fontId="2" fillId="2" borderId="7" xfId="0" applyFont="1" applyFill="1" applyBorder="1" applyAlignment="1" applyProtection="1">
      <alignment horizontal="center" vertical="center"/>
      <protection hidden="1"/>
    </xf>
    <xf numFmtId="0" fontId="2" fillId="2" borderId="1" xfId="0" applyFont="1" applyFill="1" applyBorder="1" applyAlignment="1" applyProtection="1">
      <alignment horizontal="center" vertical="center"/>
      <protection hidden="1"/>
    </xf>
    <xf numFmtId="0" fontId="2" fillId="4" borderId="1" xfId="0" applyFont="1" applyFill="1" applyBorder="1" applyAlignment="1" applyProtection="1">
      <alignment horizontal="center" vertical="center"/>
      <protection locked="0"/>
    </xf>
    <xf numFmtId="0" fontId="2" fillId="2" borderId="1" xfId="0" applyFont="1" applyFill="1" applyBorder="1" applyAlignment="1" applyProtection="1">
      <alignment horizontal="left" vertical="center" indent="1"/>
      <protection hidden="1"/>
    </xf>
    <xf numFmtId="0" fontId="2" fillId="4" borderId="1" xfId="0" applyFont="1" applyFill="1" applyBorder="1" applyAlignment="1" applyProtection="1">
      <alignment horizontal="left" vertical="center" indent="1"/>
      <protection locked="0"/>
    </xf>
    <xf numFmtId="3" fontId="2" fillId="4" borderId="1" xfId="0" applyNumberFormat="1" applyFont="1" applyFill="1" applyBorder="1" applyAlignment="1" applyProtection="1">
      <alignment horizontal="left" vertical="center" indent="1"/>
      <protection locked="0"/>
    </xf>
    <xf numFmtId="3" fontId="2" fillId="4" borderId="1" xfId="0" applyNumberFormat="1" applyFont="1" applyFill="1" applyBorder="1" applyAlignment="1" applyProtection="1">
      <alignment horizontal="center" vertical="center"/>
      <protection locked="0"/>
    </xf>
    <xf numFmtId="3" fontId="2" fillId="2" borderId="1" xfId="0" applyNumberFormat="1" applyFont="1" applyFill="1" applyBorder="1" applyAlignment="1" applyProtection="1">
      <alignment horizontal="left" vertical="center" indent="1"/>
      <protection hidden="1"/>
    </xf>
    <xf numFmtId="3" fontId="2" fillId="14" borderId="1" xfId="0" applyNumberFormat="1" applyFont="1" applyFill="1" applyBorder="1" applyAlignment="1" applyProtection="1">
      <alignment horizontal="center" vertical="center"/>
      <protection hidden="1"/>
    </xf>
    <xf numFmtId="166" fontId="2" fillId="14" borderId="1" xfId="0" applyNumberFormat="1" applyFont="1" applyFill="1" applyBorder="1" applyAlignment="1" applyProtection="1">
      <alignment horizontal="center" vertical="center"/>
      <protection hidden="1"/>
    </xf>
    <xf numFmtId="0" fontId="2" fillId="3" borderId="0" xfId="0" applyFont="1" applyFill="1" applyProtection="1">
      <protection hidden="1"/>
    </xf>
    <xf numFmtId="164" fontId="2" fillId="3" borderId="0" xfId="0" applyNumberFormat="1" applyFont="1" applyFill="1" applyProtection="1">
      <protection hidden="1"/>
    </xf>
    <xf numFmtId="3" fontId="2" fillId="2" borderId="1" xfId="0" applyNumberFormat="1" applyFont="1" applyFill="1" applyBorder="1" applyAlignment="1" applyProtection="1">
      <alignment horizontal="center" vertical="center"/>
      <protection hidden="1"/>
    </xf>
    <xf numFmtId="3" fontId="2" fillId="0" borderId="1" xfId="0" applyNumberFormat="1" applyFont="1" applyBorder="1" applyAlignment="1" applyProtection="1">
      <alignment horizontal="right" vertical="center" indent="1"/>
      <protection hidden="1"/>
    </xf>
    <xf numFmtId="0" fontId="2" fillId="13" borderId="1" xfId="0" applyFont="1" applyFill="1" applyBorder="1" applyAlignment="1" applyProtection="1">
      <alignment horizontal="left" vertical="center" indent="1"/>
      <protection locked="0"/>
    </xf>
    <xf numFmtId="3" fontId="2" fillId="13" borderId="1" xfId="0" applyNumberFormat="1" applyFont="1" applyFill="1" applyBorder="1" applyAlignment="1" applyProtection="1">
      <alignment horizontal="center" vertical="center"/>
      <protection locked="0"/>
    </xf>
    <xf numFmtId="166" fontId="2" fillId="13" borderId="1" xfId="0" applyNumberFormat="1" applyFont="1" applyFill="1" applyBorder="1" applyAlignment="1" applyProtection="1">
      <alignment horizontal="center" vertical="center"/>
      <protection locked="0"/>
    </xf>
    <xf numFmtId="0" fontId="2" fillId="13" borderId="1" xfId="0" applyFont="1" applyFill="1" applyBorder="1" applyAlignment="1" applyProtection="1">
      <alignment horizontal="center" vertical="center"/>
      <protection locked="0"/>
    </xf>
    <xf numFmtId="14" fontId="2" fillId="13" borderId="1" xfId="0" applyNumberFormat="1" applyFont="1" applyFill="1" applyBorder="1" applyAlignment="1" applyProtection="1">
      <alignment horizontal="center" vertical="center"/>
      <protection locked="0"/>
    </xf>
    <xf numFmtId="0" fontId="14" fillId="2" borderId="16" xfId="0" applyFont="1" applyFill="1" applyBorder="1" applyAlignment="1" applyProtection="1">
      <alignment horizontal="left" vertical="center" wrapText="1" indent="1"/>
      <protection hidden="1"/>
    </xf>
    <xf numFmtId="0" fontId="14" fillId="2" borderId="17" xfId="0" applyFont="1" applyFill="1" applyBorder="1" applyAlignment="1" applyProtection="1">
      <alignment horizontal="left" vertical="center" wrapText="1" indent="1"/>
      <protection hidden="1"/>
    </xf>
    <xf numFmtId="0" fontId="21" fillId="2" borderId="0" xfId="0" applyFont="1" applyFill="1" applyAlignment="1" applyProtection="1">
      <alignment horizontal="left" vertical="top" wrapText="1"/>
      <protection hidden="1"/>
    </xf>
    <xf numFmtId="0" fontId="14" fillId="2" borderId="19" xfId="0" applyFont="1" applyFill="1" applyBorder="1" applyAlignment="1" applyProtection="1">
      <alignment horizontal="left" vertical="center" wrapText="1" indent="1"/>
      <protection hidden="1"/>
    </xf>
    <xf numFmtId="0" fontId="14" fillId="2" borderId="20" xfId="0" applyFont="1" applyFill="1" applyBorder="1" applyAlignment="1" applyProtection="1">
      <alignment horizontal="left" vertical="center" wrapText="1" indent="1"/>
      <protection hidden="1"/>
    </xf>
    <xf numFmtId="0" fontId="21" fillId="2" borderId="33" xfId="0" applyFont="1" applyFill="1" applyBorder="1" applyAlignment="1" applyProtection="1">
      <alignment horizontal="left" vertical="center" wrapText="1"/>
      <protection hidden="1"/>
    </xf>
    <xf numFmtId="0" fontId="21" fillId="2" borderId="34" xfId="0" applyFont="1" applyFill="1" applyBorder="1" applyAlignment="1" applyProtection="1">
      <alignment horizontal="left" vertical="center" wrapText="1"/>
      <protection hidden="1"/>
    </xf>
    <xf numFmtId="0" fontId="21" fillId="12" borderId="41" xfId="0" applyFont="1" applyFill="1" applyBorder="1" applyAlignment="1" applyProtection="1">
      <alignment horizontal="left" vertical="center" wrapText="1"/>
      <protection hidden="1"/>
    </xf>
    <xf numFmtId="0" fontId="21" fillId="12" borderId="42" xfId="0" applyFont="1" applyFill="1" applyBorder="1" applyAlignment="1" applyProtection="1">
      <alignment horizontal="left" vertical="center" wrapText="1"/>
      <protection hidden="1"/>
    </xf>
    <xf numFmtId="0" fontId="44" fillId="2" borderId="39" xfId="1" applyFont="1" applyFill="1" applyBorder="1" applyAlignment="1" applyProtection="1">
      <alignment horizontal="left" vertical="center" indent="1"/>
      <protection hidden="1"/>
    </xf>
    <xf numFmtId="0" fontId="44" fillId="2" borderId="33" xfId="1" applyFont="1" applyFill="1" applyBorder="1" applyAlignment="1" applyProtection="1">
      <alignment horizontal="left" vertical="center" indent="1"/>
      <protection hidden="1"/>
    </xf>
    <xf numFmtId="0" fontId="44" fillId="12" borderId="40" xfId="1" applyFont="1" applyFill="1" applyBorder="1" applyAlignment="1" applyProtection="1">
      <alignment horizontal="left" vertical="center" indent="1"/>
      <protection hidden="1"/>
    </xf>
    <xf numFmtId="0" fontId="44" fillId="12" borderId="41" xfId="1" applyFont="1" applyFill="1" applyBorder="1" applyAlignment="1" applyProtection="1">
      <alignment horizontal="left" vertical="center" indent="1"/>
      <protection hidden="1"/>
    </xf>
    <xf numFmtId="0" fontId="14" fillId="6" borderId="5" xfId="0" applyFont="1" applyFill="1" applyBorder="1" applyAlignment="1" applyProtection="1">
      <alignment horizontal="left" vertical="center" indent="1"/>
      <protection hidden="1"/>
    </xf>
    <xf numFmtId="0" fontId="14" fillId="6" borderId="9" xfId="0" applyFont="1" applyFill="1" applyBorder="1" applyAlignment="1" applyProtection="1">
      <alignment horizontal="left" vertical="center" indent="1"/>
      <protection hidden="1"/>
    </xf>
    <xf numFmtId="0" fontId="14" fillId="6" borderId="10" xfId="0" applyFont="1" applyFill="1" applyBorder="1" applyAlignment="1" applyProtection="1">
      <alignment horizontal="left" vertical="center" indent="1"/>
      <protection hidden="1"/>
    </xf>
    <xf numFmtId="0" fontId="14" fillId="2" borderId="14" xfId="0" applyFont="1" applyFill="1" applyBorder="1" applyAlignment="1" applyProtection="1">
      <alignment horizontal="left" vertical="center" wrapText="1" indent="1"/>
      <protection hidden="1"/>
    </xf>
    <xf numFmtId="0" fontId="14" fillId="2" borderId="38" xfId="0" applyFont="1" applyFill="1" applyBorder="1" applyAlignment="1" applyProtection="1">
      <alignment horizontal="left" vertical="center" wrapText="1" indent="1"/>
      <protection hidden="1"/>
    </xf>
    <xf numFmtId="0" fontId="14" fillId="6" borderId="0" xfId="0" applyFont="1" applyFill="1" applyAlignment="1" applyProtection="1">
      <alignment horizontal="center" vertical="center"/>
      <protection hidden="1"/>
    </xf>
    <xf numFmtId="0" fontId="14" fillId="6" borderId="31" xfId="0" applyFont="1" applyFill="1" applyBorder="1" applyAlignment="1" applyProtection="1">
      <alignment horizontal="center" vertical="center"/>
      <protection hidden="1"/>
    </xf>
    <xf numFmtId="0" fontId="14" fillId="0" borderId="15" xfId="0" applyFont="1" applyBorder="1" applyAlignment="1" applyProtection="1">
      <alignment horizontal="left" vertical="center" wrapText="1" indent="1"/>
      <protection hidden="1"/>
    </xf>
    <xf numFmtId="0" fontId="14" fillId="0" borderId="24" xfId="0" applyFont="1" applyBorder="1" applyAlignment="1" applyProtection="1">
      <alignment horizontal="left" vertical="center" wrapText="1" indent="1"/>
      <protection hidden="1"/>
    </xf>
    <xf numFmtId="0" fontId="14" fillId="0" borderId="17" xfId="0" applyFont="1" applyBorder="1" applyAlignment="1" applyProtection="1">
      <alignment horizontal="left" vertical="center" wrapText="1" indent="1"/>
      <protection hidden="1"/>
    </xf>
    <xf numFmtId="0" fontId="14" fillId="0" borderId="13" xfId="0" applyFont="1" applyBorder="1" applyAlignment="1" applyProtection="1">
      <alignment horizontal="left" vertical="center" wrapText="1" indent="1"/>
      <protection hidden="1"/>
    </xf>
    <xf numFmtId="0" fontId="14" fillId="0" borderId="27" xfId="0" applyFont="1" applyBorder="1" applyAlignment="1" applyProtection="1">
      <alignment horizontal="left" vertical="center" wrapText="1" indent="1"/>
      <protection hidden="1"/>
    </xf>
    <xf numFmtId="0" fontId="14" fillId="0" borderId="38" xfId="0" applyFont="1" applyBorder="1" applyAlignment="1" applyProtection="1">
      <alignment horizontal="left" vertical="center" wrapText="1" indent="1"/>
      <protection hidden="1"/>
    </xf>
    <xf numFmtId="0" fontId="14" fillId="0" borderId="16" xfId="0" applyFont="1" applyBorder="1" applyAlignment="1" applyProtection="1">
      <alignment horizontal="left" vertical="center" wrapText="1" indent="1"/>
      <protection hidden="1"/>
    </xf>
    <xf numFmtId="0" fontId="14" fillId="0" borderId="39" xfId="0" applyFont="1" applyBorder="1" applyAlignment="1" applyProtection="1">
      <alignment horizontal="left" vertical="center" wrapText="1" indent="1"/>
      <protection hidden="1"/>
    </xf>
    <xf numFmtId="0" fontId="14" fillId="0" borderId="33" xfId="0" applyFont="1" applyBorder="1" applyAlignment="1" applyProtection="1">
      <alignment horizontal="left" vertical="center" wrapText="1" indent="1"/>
      <protection hidden="1"/>
    </xf>
    <xf numFmtId="0" fontId="14" fillId="0" borderId="34" xfId="0" applyFont="1" applyBorder="1" applyAlignment="1" applyProtection="1">
      <alignment horizontal="left" vertical="center" wrapText="1" indent="1"/>
      <protection hidden="1"/>
    </xf>
    <xf numFmtId="0" fontId="21" fillId="2" borderId="0" xfId="0" applyFont="1" applyFill="1" applyAlignment="1" applyProtection="1">
      <alignment horizontal="left" vertical="center" wrapText="1"/>
      <protection hidden="1"/>
    </xf>
    <xf numFmtId="0" fontId="14" fillId="0" borderId="46" xfId="0" applyFont="1" applyBorder="1" applyAlignment="1" applyProtection="1">
      <alignment horizontal="left" vertical="center" wrapText="1" indent="1"/>
      <protection hidden="1"/>
    </xf>
    <xf numFmtId="0" fontId="14" fillId="0" borderId="48" xfId="0" applyFont="1" applyBorder="1" applyAlignment="1" applyProtection="1">
      <alignment horizontal="left" vertical="center" wrapText="1" indent="1"/>
      <protection hidden="1"/>
    </xf>
    <xf numFmtId="0" fontId="14" fillId="0" borderId="47" xfId="0" applyFont="1" applyBorder="1" applyAlignment="1" applyProtection="1">
      <alignment horizontal="left" vertical="center" wrapText="1" indent="1"/>
      <protection hidden="1"/>
    </xf>
    <xf numFmtId="0" fontId="14" fillId="0" borderId="45" xfId="0" applyFont="1" applyBorder="1" applyAlignment="1" applyProtection="1">
      <alignment horizontal="left" vertical="center" wrapText="1" indent="1"/>
      <protection hidden="1"/>
    </xf>
    <xf numFmtId="0" fontId="14" fillId="0" borderId="44" xfId="0" applyFont="1" applyBorder="1" applyAlignment="1" applyProtection="1">
      <alignment horizontal="left" vertical="center" wrapText="1" indent="1"/>
      <protection hidden="1"/>
    </xf>
    <xf numFmtId="0" fontId="14" fillId="0" borderId="22" xfId="0" applyFont="1" applyBorder="1" applyAlignment="1" applyProtection="1">
      <alignment horizontal="left" vertical="center" wrapText="1" indent="1"/>
      <protection hidden="1"/>
    </xf>
    <xf numFmtId="0" fontId="14" fillId="0" borderId="23" xfId="0" applyFont="1" applyBorder="1" applyAlignment="1" applyProtection="1">
      <alignment horizontal="left" vertical="center" wrapText="1" indent="1"/>
      <protection hidden="1"/>
    </xf>
    <xf numFmtId="0" fontId="14" fillId="0" borderId="22" xfId="0" applyFont="1" applyBorder="1" applyAlignment="1" applyProtection="1">
      <alignment horizontal="left" vertical="center" indent="1"/>
      <protection hidden="1"/>
    </xf>
    <xf numFmtId="0" fontId="14" fillId="0" borderId="23" xfId="0" applyFont="1" applyBorder="1" applyAlignment="1" applyProtection="1">
      <alignment horizontal="left" vertical="center" indent="1"/>
      <protection hidden="1"/>
    </xf>
    <xf numFmtId="0" fontId="33" fillId="2" borderId="0" xfId="0" applyFont="1" applyFill="1" applyAlignment="1" applyProtection="1">
      <alignment horizontal="justify" vertical="top" wrapText="1"/>
      <protection hidden="1"/>
    </xf>
    <xf numFmtId="0" fontId="14" fillId="6" borderId="9" xfId="0" applyFont="1" applyFill="1" applyBorder="1" applyAlignment="1" applyProtection="1">
      <alignment horizontal="center" vertical="center"/>
      <protection hidden="1"/>
    </xf>
    <xf numFmtId="0" fontId="14" fillId="6" borderId="10" xfId="0" applyFont="1" applyFill="1" applyBorder="1" applyAlignment="1" applyProtection="1">
      <alignment horizontal="center" vertical="center"/>
      <protection hidden="1"/>
    </xf>
    <xf numFmtId="0" fontId="14" fillId="6" borderId="5" xfId="0" applyFont="1" applyFill="1" applyBorder="1" applyAlignment="1" applyProtection="1">
      <alignment horizontal="center" vertical="center"/>
      <protection hidden="1"/>
    </xf>
    <xf numFmtId="0" fontId="28" fillId="2" borderId="0" xfId="0" applyFont="1" applyFill="1" applyAlignment="1" applyProtection="1">
      <alignment horizontal="center" vertical="top" wrapText="1"/>
      <protection hidden="1"/>
    </xf>
    <xf numFmtId="0" fontId="33" fillId="2" borderId="0" xfId="0" applyFont="1" applyFill="1" applyAlignment="1" applyProtection="1">
      <alignment horizontal="left" vertical="top" wrapText="1"/>
      <protection hidden="1"/>
    </xf>
    <xf numFmtId="0" fontId="69" fillId="2" borderId="0" xfId="0" applyFont="1" applyFill="1" applyAlignment="1" applyProtection="1">
      <alignment horizontal="left"/>
      <protection hidden="1"/>
    </xf>
    <xf numFmtId="0" fontId="31" fillId="2" borderId="3" xfId="0" applyFont="1" applyFill="1" applyBorder="1" applyAlignment="1" applyProtection="1">
      <alignment horizontal="center"/>
      <protection hidden="1"/>
    </xf>
    <xf numFmtId="0" fontId="29" fillId="2" borderId="0" xfId="0" applyFont="1" applyFill="1" applyAlignment="1" applyProtection="1">
      <alignment horizontal="center" vertical="center" wrapText="1"/>
      <protection hidden="1"/>
    </xf>
    <xf numFmtId="0" fontId="40" fillId="2" borderId="0" xfId="0" applyFont="1" applyFill="1" applyAlignment="1" applyProtection="1">
      <alignment horizontal="justify" vertical="center" wrapText="1"/>
      <protection hidden="1"/>
    </xf>
    <xf numFmtId="14" fontId="21" fillId="2" borderId="0" xfId="0" applyNumberFormat="1" applyFont="1" applyFill="1" applyAlignment="1" applyProtection="1">
      <alignment horizontal="right" vertical="center"/>
      <protection hidden="1"/>
    </xf>
    <xf numFmtId="0" fontId="52" fillId="2" borderId="0" xfId="0" applyFont="1" applyFill="1" applyAlignment="1" applyProtection="1">
      <alignment horizontal="center" vertical="top"/>
      <protection hidden="1"/>
    </xf>
    <xf numFmtId="0" fontId="55" fillId="2" borderId="0" xfId="1" applyFont="1" applyFill="1" applyAlignment="1" applyProtection="1">
      <alignment horizontal="left"/>
      <protection hidden="1"/>
    </xf>
    <xf numFmtId="0" fontId="33" fillId="2" borderId="0" xfId="0" applyFont="1" applyFill="1" applyAlignment="1" applyProtection="1">
      <alignment horizontal="left" vertical="center" wrapText="1"/>
      <protection hidden="1"/>
    </xf>
    <xf numFmtId="0" fontId="43" fillId="2" borderId="0" xfId="0" applyFont="1" applyFill="1" applyAlignment="1" applyProtection="1">
      <alignment horizontal="left" vertical="center" wrapText="1"/>
      <protection hidden="1"/>
    </xf>
    <xf numFmtId="0" fontId="14" fillId="0" borderId="18" xfId="0" applyFont="1" applyBorder="1" applyAlignment="1" applyProtection="1">
      <alignment horizontal="left" vertical="center" wrapText="1" indent="1"/>
      <protection hidden="1"/>
    </xf>
    <xf numFmtId="0" fontId="14" fillId="0" borderId="29" xfId="0" applyFont="1" applyBorder="1" applyAlignment="1" applyProtection="1">
      <alignment horizontal="left" vertical="center" wrapText="1" indent="1"/>
      <protection hidden="1"/>
    </xf>
    <xf numFmtId="0" fontId="14" fillId="0" borderId="20" xfId="0" applyFont="1" applyBorder="1" applyAlignment="1" applyProtection="1">
      <alignment horizontal="left" vertical="center" wrapText="1" indent="1"/>
      <protection hidden="1"/>
    </xf>
    <xf numFmtId="0" fontId="14" fillId="0" borderId="19" xfId="0" applyFont="1" applyBorder="1" applyAlignment="1" applyProtection="1">
      <alignment horizontal="left" vertical="center" wrapText="1" indent="1"/>
      <protection hidden="1"/>
    </xf>
    <xf numFmtId="3" fontId="12" fillId="2" borderId="5" xfId="0" applyNumberFormat="1" applyFont="1" applyFill="1" applyBorder="1" applyAlignment="1" applyProtection="1">
      <alignment horizontal="center" vertical="center"/>
      <protection hidden="1"/>
    </xf>
    <xf numFmtId="3" fontId="12" fillId="2" borderId="9" xfId="0" applyNumberFormat="1" applyFont="1" applyFill="1" applyBorder="1" applyAlignment="1" applyProtection="1">
      <alignment horizontal="center" vertical="center"/>
      <protection hidden="1"/>
    </xf>
    <xf numFmtId="3" fontId="12" fillId="2" borderId="10" xfId="0" applyNumberFormat="1" applyFont="1" applyFill="1" applyBorder="1" applyAlignment="1" applyProtection="1">
      <alignment horizontal="center" vertical="center"/>
      <protection hidden="1"/>
    </xf>
    <xf numFmtId="0" fontId="33" fillId="0" borderId="0" xfId="0" applyFont="1" applyAlignment="1" applyProtection="1">
      <alignment horizontal="justify" vertical="top" wrapText="1"/>
      <protection hidden="1"/>
    </xf>
    <xf numFmtId="0" fontId="21" fillId="2" borderId="3" xfId="0" applyFont="1" applyFill="1" applyBorder="1" applyAlignment="1" applyProtection="1">
      <alignment horizontal="left" vertical="center" wrapText="1"/>
      <protection hidden="1"/>
    </xf>
    <xf numFmtId="0" fontId="33" fillId="2" borderId="31" xfId="0" applyFont="1" applyFill="1" applyBorder="1" applyAlignment="1" applyProtection="1">
      <alignment horizontal="left" vertical="top" wrapText="1"/>
      <protection hidden="1"/>
    </xf>
    <xf numFmtId="0" fontId="12" fillId="2" borderId="5" xfId="0" applyFont="1" applyFill="1" applyBorder="1" applyAlignment="1" applyProtection="1">
      <alignment horizontal="left" vertical="center" wrapText="1" indent="1"/>
      <protection hidden="1"/>
    </xf>
    <xf numFmtId="0" fontId="12" fillId="2" borderId="9" xfId="0" applyFont="1" applyFill="1" applyBorder="1" applyAlignment="1" applyProtection="1">
      <alignment horizontal="left" vertical="center" wrapText="1" indent="1"/>
      <protection hidden="1"/>
    </xf>
    <xf numFmtId="0" fontId="14" fillId="13" borderId="14" xfId="0" applyFont="1" applyFill="1" applyBorder="1" applyAlignment="1" applyProtection="1">
      <alignment horizontal="left" vertical="center" indent="1"/>
      <protection locked="0"/>
    </xf>
    <xf numFmtId="0" fontId="14" fillId="13" borderId="38" xfId="0" applyFont="1" applyFill="1" applyBorder="1" applyAlignment="1" applyProtection="1">
      <alignment horizontal="left" vertical="center" indent="1"/>
      <protection locked="0"/>
    </xf>
    <xf numFmtId="0" fontId="14" fillId="12" borderId="21" xfId="0" applyFont="1" applyFill="1" applyBorder="1" applyAlignment="1" applyProtection="1">
      <alignment horizontal="left" vertical="center" indent="1"/>
      <protection locked="0"/>
    </xf>
    <xf numFmtId="0" fontId="14" fillId="12" borderId="23" xfId="0" applyFont="1" applyFill="1" applyBorder="1" applyAlignment="1" applyProtection="1">
      <alignment horizontal="left" vertical="center" indent="1"/>
      <protection locked="0"/>
    </xf>
    <xf numFmtId="3" fontId="14" fillId="2" borderId="19" xfId="0" applyNumberFormat="1" applyFont="1" applyFill="1" applyBorder="1" applyAlignment="1" applyProtection="1">
      <alignment horizontal="left" vertical="center" indent="1"/>
      <protection hidden="1"/>
    </xf>
    <xf numFmtId="3" fontId="14" fillId="2" borderId="20" xfId="0" applyNumberFormat="1" applyFont="1" applyFill="1" applyBorder="1" applyAlignment="1" applyProtection="1">
      <alignment horizontal="left" vertical="center" indent="1"/>
      <protection hidden="1"/>
    </xf>
    <xf numFmtId="0" fontId="55" fillId="2" borderId="0" xfId="1" applyFont="1" applyFill="1" applyAlignment="1" applyProtection="1">
      <protection hidden="1"/>
    </xf>
    <xf numFmtId="0" fontId="0" fillId="0" borderId="0" xfId="0"/>
  </cellXfs>
  <cellStyles count="5">
    <cellStyle name="Lien hypertexte" xfId="1" builtinId="8"/>
    <cellStyle name="Normal" xfId="0" builtinId="0"/>
    <cellStyle name="Normal 2" xfId="2" xr:uid="{6916636B-A48F-4266-B14E-3866D83E7AAE}"/>
    <cellStyle name="Normal 3" xfId="3" xr:uid="{7F9BDA7E-A37D-48D0-852C-F05937FA7429}"/>
    <cellStyle name="Pourcentage" xfId="4" builtinId="5"/>
  </cellStyles>
  <dxfs count="6">
    <dxf>
      <font>
        <color theme="2"/>
      </font>
      <fill>
        <patternFill>
          <bgColor theme="2"/>
        </patternFill>
      </fill>
    </dxf>
    <dxf>
      <font>
        <color theme="2"/>
      </font>
      <fill>
        <patternFill>
          <bgColor theme="2"/>
        </patternFill>
      </fill>
    </dxf>
    <dxf>
      <font>
        <color theme="2"/>
      </font>
      <fill>
        <patternFill>
          <bgColor theme="2"/>
        </patternFill>
      </fill>
    </dxf>
    <dxf>
      <font>
        <color rgb="FFFF0000"/>
      </font>
      <fill>
        <patternFill>
          <bgColor rgb="FFFFC000"/>
        </patternFill>
      </fill>
    </dxf>
    <dxf>
      <font>
        <color theme="2"/>
      </font>
      <fill>
        <patternFill>
          <bgColor theme="2"/>
        </patternFill>
      </fill>
    </dxf>
    <dxf>
      <fill>
        <patternFill>
          <bgColor rgb="FFF9F9F9"/>
        </patternFill>
      </fill>
    </dxf>
  </dxfs>
  <tableStyles count="0" defaultTableStyle="TableStyleMedium2" defaultPivotStyle="PivotStyleLight16"/>
  <colors>
    <mruColors>
      <color rgb="FFFFFF66"/>
      <color rgb="FFCC3399"/>
      <color rgb="FFFFFFCC"/>
      <color rgb="FFEAEAEA"/>
      <color rgb="FFFFFF99"/>
      <color rgb="FFCCFFFF"/>
      <color rgb="FFF9F9F9"/>
      <color rgb="FF66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eetMetadata" Target="metadata.xml"/><Relationship Id="rId14" Type="http://schemas.openxmlformats.org/officeDocument/2006/relationships/customXml" Target="../customXml/item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38100</xdr:colOff>
      <xdr:row>1</xdr:row>
      <xdr:rowOff>19050</xdr:rowOff>
    </xdr:from>
    <xdr:to>
      <xdr:col>4</xdr:col>
      <xdr:colOff>409576</xdr:colOff>
      <xdr:row>4</xdr:row>
      <xdr:rowOff>980</xdr:rowOff>
    </xdr:to>
    <xdr:pic>
      <xdr:nvPicPr>
        <xdr:cNvPr id="3" name="Grafik 11" descr="Logo Bundesverwaltung&#10;[Correspondence.PrePrinted]">
          <a:extLst>
            <a:ext uri="{FF2B5EF4-FFF2-40B4-BE49-F238E27FC236}">
              <a16:creationId xmlns:a16="http://schemas.microsoft.com/office/drawing/2014/main" id="{8837F056-8A5B-4EA4-BB8F-F56AE6A1A4E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552450" y="400050"/>
          <a:ext cx="1733551" cy="458180"/>
        </a:xfrm>
        <a:prstGeom prst="rect">
          <a:avLst/>
        </a:prstGeom>
        <a:ln>
          <a:noFill/>
        </a:ln>
        <a:extLst>
          <a:ext uri="{53640926-AAD7-44D8-BBD7-CCE9431645EC}">
            <a14:shadowObscured xmlns:a14="http://schemas.microsoft.com/office/drawing/2010/main"/>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38101</xdr:colOff>
      <xdr:row>3</xdr:row>
      <xdr:rowOff>28576</xdr:rowOff>
    </xdr:from>
    <xdr:to>
      <xdr:col>5</xdr:col>
      <xdr:colOff>95250</xdr:colOff>
      <xdr:row>5</xdr:row>
      <xdr:rowOff>269315</xdr:rowOff>
    </xdr:to>
    <xdr:pic>
      <xdr:nvPicPr>
        <xdr:cNvPr id="2" name="Grafik 11" descr="Logo Bundesverwaltung&#10;[Correspondence.PrePrinted]">
          <a:extLst>
            <a:ext uri="{FF2B5EF4-FFF2-40B4-BE49-F238E27FC236}">
              <a16:creationId xmlns:a16="http://schemas.microsoft.com/office/drawing/2014/main" id="{15EAC38A-8B65-C1DA-7984-327EF0EA25D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552451" y="409576"/>
          <a:ext cx="1847849" cy="488389"/>
        </a:xfrm>
        <a:prstGeom prst="rect">
          <a:avLst/>
        </a:prstGeom>
        <a:ln>
          <a:noFill/>
        </a:ln>
        <a:extLst>
          <a:ext uri="{53640926-AAD7-44D8-BBD7-CCE9431645EC}">
            <a14:shadowObscured xmlns:a14="http://schemas.microsoft.com/office/drawing/2010/main"/>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hyperlink" Target="http://www.zefix.ch/"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hyperlink" Target="https://www.cadastre.ch/fr/services/service/registry/plz.htm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FDB3C8-402B-42B1-82E5-C92894DB2ABF}">
  <sheetPr>
    <pageSetUpPr fitToPage="1"/>
  </sheetPr>
  <dimension ref="A1:W83"/>
  <sheetViews>
    <sheetView tabSelected="1" zoomScaleNormal="100" workbookViewId="0">
      <selection activeCell="L6" sqref="L6"/>
    </sheetView>
  </sheetViews>
  <sheetFormatPr baseColWidth="10" defaultColWidth="0" defaultRowHeight="14.25" zeroHeight="1" x14ac:dyDescent="0.2"/>
  <cols>
    <col min="1" max="1" width="7.7109375" style="7" customWidth="1"/>
    <col min="2" max="2" width="6.7109375" style="7" customWidth="1"/>
    <col min="3" max="3" width="8.7109375" style="7" customWidth="1"/>
    <col min="4" max="4" width="4.7109375" style="7" customWidth="1"/>
    <col min="5" max="13" width="8.7109375" style="7" customWidth="1"/>
    <col min="14" max="17" width="10.7109375" style="7" hidden="1" customWidth="1"/>
    <col min="18" max="19" width="13.28515625" style="75" hidden="1" customWidth="1"/>
    <col min="20" max="20" width="10.7109375" style="54" hidden="1" customWidth="1"/>
    <col min="21" max="21" width="100.7109375" style="7" hidden="1" customWidth="1"/>
    <col min="22" max="16384" width="9.140625" style="75" hidden="1"/>
  </cols>
  <sheetData>
    <row r="1" spans="1:23" s="47" customFormat="1" ht="30" customHeight="1" x14ac:dyDescent="0.2">
      <c r="A1" s="11"/>
      <c r="B1" s="11"/>
      <c r="C1" s="11"/>
      <c r="D1" s="11"/>
      <c r="E1" s="11"/>
      <c r="F1" s="11"/>
      <c r="G1" s="11"/>
      <c r="H1" s="11"/>
      <c r="I1" s="11"/>
      <c r="J1" s="11"/>
      <c r="K1" s="11"/>
      <c r="L1" s="11"/>
      <c r="M1" s="11"/>
      <c r="N1" s="45" t="s">
        <v>4624</v>
      </c>
      <c r="O1" s="45" t="s">
        <v>4624</v>
      </c>
      <c r="P1" s="174" t="s">
        <v>4808</v>
      </c>
      <c r="Q1" s="174" t="s">
        <v>4808</v>
      </c>
      <c r="R1" s="169" t="s">
        <v>4812</v>
      </c>
      <c r="S1" s="169" t="s">
        <v>4812</v>
      </c>
      <c r="T1" s="46" t="s">
        <v>4625</v>
      </c>
      <c r="U1" s="178" t="s">
        <v>4869</v>
      </c>
      <c r="V1" s="75"/>
      <c r="W1" s="75"/>
    </row>
    <row r="2" spans="1:23" s="55" customFormat="1" ht="9.9499999999999993" customHeight="1" x14ac:dyDescent="0.2">
      <c r="A2" s="28"/>
      <c r="B2" s="28"/>
      <c r="C2" s="28"/>
      <c r="D2" s="28"/>
      <c r="E2" s="28"/>
      <c r="F2" s="28"/>
      <c r="G2" s="28"/>
      <c r="H2" s="48"/>
      <c r="I2" s="49" t="str" cm="1">
        <f t="array" ref="I2">INDEX(Trad, N2, Lang)</f>
        <v>Eidgenössisches Departement für Umwelt, Verkehr,</v>
      </c>
      <c r="J2" s="49"/>
      <c r="K2" s="33"/>
      <c r="L2" s="28"/>
      <c r="M2" s="28"/>
      <c r="N2" s="51">
        <v>200</v>
      </c>
      <c r="O2" s="159"/>
      <c r="P2" s="165"/>
      <c r="Q2" s="165"/>
      <c r="R2" s="7"/>
      <c r="S2" s="7"/>
      <c r="T2" s="54"/>
      <c r="U2" s="7"/>
      <c r="V2" s="75"/>
      <c r="W2" s="75"/>
    </row>
    <row r="3" spans="1:23" s="55" customFormat="1" ht="9.9499999999999993" customHeight="1" x14ac:dyDescent="0.2">
      <c r="A3" s="28"/>
      <c r="B3" s="28"/>
      <c r="C3" s="28"/>
      <c r="D3" s="28"/>
      <c r="E3" s="28"/>
      <c r="F3" s="28"/>
      <c r="G3" s="28"/>
      <c r="H3" s="48"/>
      <c r="I3" s="49" t="str" cm="1">
        <f t="array" ref="I3">INDEX(Trad, N3, Lang)</f>
        <v>Energie und Kommunikation UVEK</v>
      </c>
      <c r="J3" s="49"/>
      <c r="K3" s="33"/>
      <c r="L3" s="28"/>
      <c r="M3" s="28"/>
      <c r="N3" s="51">
        <v>201</v>
      </c>
      <c r="O3" s="159"/>
      <c r="P3" s="165"/>
      <c r="Q3" s="165"/>
      <c r="R3" s="7"/>
      <c r="S3" s="7"/>
      <c r="T3" s="54"/>
      <c r="U3" s="7"/>
      <c r="V3" s="75"/>
      <c r="W3" s="75"/>
    </row>
    <row r="4" spans="1:23" s="47" customFormat="1" ht="18" customHeight="1" x14ac:dyDescent="0.2">
      <c r="A4" s="11"/>
      <c r="B4" s="11"/>
      <c r="C4" s="11"/>
      <c r="D4" s="11"/>
      <c r="E4" s="11"/>
      <c r="F4" s="11"/>
      <c r="G4" s="11"/>
      <c r="H4" s="50"/>
      <c r="I4" s="56" t="str" cm="1">
        <f t="array" ref="I4">INDEX(Trad, N4, Lang)</f>
        <v>Bundesamt für Energie BFE</v>
      </c>
      <c r="J4" s="57"/>
      <c r="K4" s="34"/>
      <c r="L4" s="11"/>
      <c r="M4" s="11"/>
      <c r="N4" s="51">
        <v>202</v>
      </c>
      <c r="O4" s="159"/>
      <c r="P4" s="165"/>
      <c r="Q4" s="165"/>
      <c r="R4" s="7"/>
      <c r="S4" s="7"/>
      <c r="T4" s="54"/>
      <c r="U4" s="7"/>
      <c r="V4" s="75"/>
      <c r="W4" s="75"/>
    </row>
    <row r="5" spans="1:23" s="47" customFormat="1" ht="30" customHeight="1" x14ac:dyDescent="0.2">
      <c r="A5" s="11"/>
      <c r="B5" s="11"/>
      <c r="C5" s="11"/>
      <c r="D5" s="11"/>
      <c r="E5" s="11"/>
      <c r="F5" s="11"/>
      <c r="G5" s="11"/>
      <c r="H5" s="11"/>
      <c r="I5" s="11"/>
      <c r="J5" s="11"/>
      <c r="K5" s="11"/>
      <c r="L5" s="11"/>
      <c r="M5" s="11"/>
      <c r="N5" s="51"/>
      <c r="O5" s="159"/>
      <c r="P5" s="165"/>
      <c r="Q5" s="165"/>
      <c r="R5" s="7"/>
      <c r="S5" s="7"/>
      <c r="T5" s="54"/>
      <c r="U5" s="7"/>
      <c r="V5" s="75"/>
      <c r="W5" s="75"/>
    </row>
    <row r="6" spans="1:23" s="47" customFormat="1" ht="12.6" customHeight="1" x14ac:dyDescent="0.2">
      <c r="A6" s="11"/>
      <c r="B6" s="50"/>
      <c r="C6" s="25"/>
      <c r="D6" s="50"/>
      <c r="E6" s="11"/>
      <c r="F6" s="11"/>
      <c r="G6" s="11"/>
      <c r="H6" s="11"/>
      <c r="I6" s="13" t="str" cm="1">
        <f t="array" ref="I6">INDEX(Trad, N6, Lang)</f>
        <v>Bitte wählen Sie die Sprache aus</v>
      </c>
      <c r="J6" s="11"/>
      <c r="L6" s="62" t="s">
        <v>4465</v>
      </c>
      <c r="M6" s="11"/>
      <c r="N6" s="51">
        <v>203</v>
      </c>
      <c r="O6" s="159"/>
      <c r="P6" s="166"/>
      <c r="Q6" s="165"/>
      <c r="R6" s="189" cm="1">
        <f t="array" ref="R6">_xlfn.SWITCH(L6, "D", 1, "F", 2, "I", 3)</f>
        <v>1</v>
      </c>
      <c r="S6" s="162" t="s">
        <v>4626</v>
      </c>
      <c r="T6" s="54"/>
      <c r="U6" s="7"/>
      <c r="V6" s="75"/>
      <c r="W6" s="75"/>
    </row>
    <row r="7" spans="1:23" ht="5.0999999999999996" customHeight="1" x14ac:dyDescent="0.2">
      <c r="A7" s="10"/>
      <c r="B7" s="6">
        <f>IF(B12="D", 1, IF(B12="F", 2, 3))</f>
        <v>3</v>
      </c>
      <c r="F7" s="10"/>
      <c r="G7" s="12"/>
      <c r="H7" s="12"/>
      <c r="I7" s="12"/>
      <c r="J7" s="12"/>
      <c r="M7" s="10"/>
      <c r="N7" s="51"/>
      <c r="O7" s="159"/>
      <c r="P7" s="165"/>
      <c r="Q7" s="165"/>
      <c r="R7" s="163"/>
      <c r="S7" s="163"/>
    </row>
    <row r="8" spans="1:23" s="76" customFormat="1" ht="12.75" customHeight="1" x14ac:dyDescent="0.2">
      <c r="A8" s="15"/>
      <c r="B8" s="16"/>
      <c r="C8" s="17"/>
      <c r="D8" s="18"/>
      <c r="E8" s="18"/>
      <c r="F8" s="15"/>
      <c r="G8" s="12"/>
      <c r="H8" s="12"/>
      <c r="I8" s="136" t="str" cm="1">
        <f t="array" ref="I8">INDEX(Trad, N8, $R$6)</f>
        <v>Massnahme</v>
      </c>
      <c r="J8" s="12"/>
      <c r="K8" s="65"/>
      <c r="L8" s="137" t="str">
        <f>R8</f>
        <v>KA-05a</v>
      </c>
      <c r="M8" s="15"/>
      <c r="N8" s="51">
        <v>23</v>
      </c>
      <c r="O8" s="160"/>
      <c r="P8" s="167"/>
      <c r="Q8" s="165"/>
      <c r="R8" s="170" t="s">
        <v>5102</v>
      </c>
      <c r="S8" s="162" t="s">
        <v>4806</v>
      </c>
      <c r="T8" s="54"/>
      <c r="U8" s="188" t="s">
        <v>4873</v>
      </c>
    </row>
    <row r="9" spans="1:23" ht="12.75" customHeight="1" x14ac:dyDescent="0.2">
      <c r="A9" s="10"/>
      <c r="B9" s="14"/>
      <c r="C9" s="13"/>
      <c r="E9" s="13"/>
      <c r="F9" s="10"/>
      <c r="G9" s="12"/>
      <c r="H9" s="12"/>
      <c r="I9" s="136" t="str" cm="1">
        <f t="array" ref="I9">INDEX(Trad, N9, $R$6)</f>
        <v>Version</v>
      </c>
      <c r="J9" s="12"/>
      <c r="K9" s="65"/>
      <c r="L9" s="137" t="str">
        <f>R10</f>
        <v>2.0 (11.2025)</v>
      </c>
      <c r="M9" s="10"/>
      <c r="N9" s="51">
        <v>24</v>
      </c>
      <c r="O9" s="159"/>
      <c r="P9" s="165"/>
      <c r="Q9" s="165"/>
      <c r="R9" s="189">
        <v>1</v>
      </c>
      <c r="S9" s="162" t="s">
        <v>4810</v>
      </c>
    </row>
    <row r="10" spans="1:23" ht="12.75" customHeight="1" x14ac:dyDescent="0.2">
      <c r="A10" s="10"/>
      <c r="B10" s="14"/>
      <c r="C10" s="13"/>
      <c r="E10" s="13"/>
      <c r="F10" s="10"/>
      <c r="G10" s="12"/>
      <c r="H10" s="12"/>
      <c r="I10" s="12"/>
      <c r="J10" s="12"/>
      <c r="K10" s="65"/>
      <c r="L10" s="133"/>
      <c r="M10" s="10"/>
      <c r="N10" s="51"/>
      <c r="O10" s="159"/>
      <c r="P10" s="165"/>
      <c r="Q10" s="165"/>
      <c r="R10" s="189" t="str">
        <f>$Q$21&amp;" ("&amp;$Q$22&amp;")"</f>
        <v>2.0 (11.2025)</v>
      </c>
      <c r="S10" s="162" t="s">
        <v>4807</v>
      </c>
    </row>
    <row r="11" spans="1:23" ht="12.75" customHeight="1" x14ac:dyDescent="0.2">
      <c r="A11" s="10"/>
      <c r="B11" s="14"/>
      <c r="C11" s="13"/>
      <c r="E11" s="13"/>
      <c r="F11" s="10"/>
      <c r="G11" s="12"/>
      <c r="H11" s="12"/>
      <c r="I11" s="12"/>
      <c r="J11" s="12"/>
      <c r="K11" s="65"/>
      <c r="L11" s="133"/>
      <c r="M11" s="10"/>
      <c r="N11" s="51"/>
      <c r="O11" s="159"/>
      <c r="P11" s="165"/>
      <c r="Q11" s="165"/>
      <c r="R11" s="7"/>
      <c r="S11" s="7"/>
    </row>
    <row r="12" spans="1:23" ht="12.75" customHeight="1" x14ac:dyDescent="0.2">
      <c r="A12" s="10"/>
      <c r="B12" s="6">
        <f>IF(B21="D", 1, IF(B21="F", 2, 3))</f>
        <v>3</v>
      </c>
      <c r="F12" s="10"/>
      <c r="G12" s="12"/>
      <c r="H12" s="12"/>
      <c r="I12" s="12"/>
      <c r="J12" s="12"/>
      <c r="M12" s="10"/>
      <c r="N12" s="51"/>
      <c r="O12" s="159"/>
      <c r="P12" s="165"/>
      <c r="Q12" s="165"/>
      <c r="R12" s="189">
        <f>Lang + 3*(R9-1)</f>
        <v>1</v>
      </c>
      <c r="S12" s="162" t="s">
        <v>4809</v>
      </c>
    </row>
    <row r="13" spans="1:23" s="76" customFormat="1" ht="20.100000000000001" customHeight="1" x14ac:dyDescent="0.2">
      <c r="A13" s="15"/>
      <c r="B13" s="72" t="str" cm="1">
        <f t="array" ref="B13">INDEX(Trad, N13, Lang)</f>
        <v>Inhaltsverzeichnis</v>
      </c>
      <c r="C13" s="17"/>
      <c r="D13" s="18"/>
      <c r="E13" s="18"/>
      <c r="F13" s="15"/>
      <c r="G13" s="12"/>
      <c r="H13" s="12"/>
      <c r="I13" s="12"/>
      <c r="J13" s="12"/>
      <c r="K13" s="18"/>
      <c r="L13" s="18"/>
      <c r="M13" s="15"/>
      <c r="N13" s="51">
        <v>205</v>
      </c>
      <c r="O13" s="160"/>
      <c r="P13" s="167"/>
      <c r="Q13" s="165"/>
      <c r="R13" s="7"/>
      <c r="S13" s="7"/>
      <c r="T13" s="54"/>
      <c r="U13" s="7"/>
    </row>
    <row r="14" spans="1:23" ht="8.1" customHeight="1" x14ac:dyDescent="0.2">
      <c r="A14" s="10"/>
      <c r="B14" s="14"/>
      <c r="C14" s="13"/>
      <c r="E14" s="13"/>
      <c r="F14" s="10"/>
      <c r="G14" s="12"/>
      <c r="H14" s="12"/>
      <c r="I14" s="12"/>
      <c r="J14" s="12"/>
      <c r="M14" s="10"/>
      <c r="N14" s="51"/>
      <c r="O14" s="159"/>
      <c r="P14" s="165"/>
      <c r="Q14" s="165"/>
      <c r="R14" s="7"/>
      <c r="S14" s="7"/>
    </row>
    <row r="15" spans="1:23" ht="24.95" customHeight="1" x14ac:dyDescent="0.2">
      <c r="A15" s="11"/>
      <c r="B15" s="280" t="str" cm="1">
        <f t="array" ref="B15">INDEX(Trad, N15, Lang)</f>
        <v>A. Einsparprotokoll</v>
      </c>
      <c r="C15" s="281"/>
      <c r="D15" s="281"/>
      <c r="E15" s="281"/>
      <c r="F15" s="276" t="str" cm="1">
        <f t="array" ref="F15">INDEX(Trad, O15, $R$6)</f>
        <v>legt den Anwendungsbereich und die Anforderungen für die Umsetzung der Massnahme sowie an die Nachweise fest. Es ist keine Eingabe erforderlich.</v>
      </c>
      <c r="G15" s="276"/>
      <c r="H15" s="276"/>
      <c r="I15" s="276"/>
      <c r="J15" s="276"/>
      <c r="K15" s="276"/>
      <c r="L15" s="277"/>
      <c r="M15" s="10"/>
      <c r="N15" s="51">
        <v>206</v>
      </c>
      <c r="O15" s="51">
        <v>208</v>
      </c>
      <c r="P15" s="165"/>
      <c r="Q15" s="165"/>
      <c r="R15" s="7"/>
      <c r="S15" s="7"/>
    </row>
    <row r="16" spans="1:23" s="81" customFormat="1" ht="24.95" customHeight="1" x14ac:dyDescent="0.2">
      <c r="A16" s="11"/>
      <c r="B16" s="282" t="str" cm="1">
        <f t="array" ref="B16">INDEX(Trad, N16, Lang)</f>
        <v>B. Monitoringliste</v>
      </c>
      <c r="C16" s="283"/>
      <c r="D16" s="283"/>
      <c r="E16" s="283"/>
      <c r="F16" s="278" t="str" cm="1">
        <f t="array" ref="F16">INDEX(Trad, O16, $R$6)</f>
        <v>fasst die in diesem Protokoll gemeldeten Massnahmen zusammen. Alle Eingabefelder müssen für jede Massnahme ausgefüllt werden.</v>
      </c>
      <c r="G16" s="278"/>
      <c r="H16" s="278"/>
      <c r="I16" s="278"/>
      <c r="J16" s="278"/>
      <c r="K16" s="278"/>
      <c r="L16" s="279"/>
      <c r="M16" s="78"/>
      <c r="N16" s="51">
        <v>207</v>
      </c>
      <c r="O16" s="51">
        <v>209</v>
      </c>
      <c r="P16" s="168"/>
      <c r="Q16" s="165"/>
      <c r="R16" s="7"/>
      <c r="S16" s="7"/>
      <c r="T16" s="54"/>
      <c r="U16" s="7"/>
    </row>
    <row r="17" spans="1:21" s="81" customFormat="1" ht="20.100000000000001" customHeight="1" x14ac:dyDescent="0.2">
      <c r="A17" s="10"/>
      <c r="B17" s="77"/>
      <c r="C17" s="82"/>
      <c r="D17" s="7"/>
      <c r="E17" s="82"/>
      <c r="F17" s="78"/>
      <c r="G17" s="80"/>
      <c r="H17" s="80"/>
      <c r="I17" s="80"/>
      <c r="J17" s="80"/>
      <c r="K17" s="79"/>
      <c r="L17" s="79"/>
      <c r="M17" s="78"/>
      <c r="N17" s="51"/>
      <c r="O17" s="161"/>
      <c r="P17" s="168"/>
      <c r="Q17" s="165"/>
      <c r="R17" s="79"/>
      <c r="S17" s="79"/>
      <c r="T17" s="54"/>
      <c r="U17" s="7"/>
    </row>
    <row r="18" spans="1:21" ht="12.75" customHeight="1" x14ac:dyDescent="0.2">
      <c r="A18" s="10"/>
      <c r="B18" s="14"/>
      <c r="C18" s="13"/>
      <c r="E18" s="13"/>
      <c r="F18" s="10"/>
      <c r="G18" s="12"/>
      <c r="H18" s="12"/>
      <c r="I18" s="12"/>
      <c r="J18" s="12"/>
      <c r="M18" s="10"/>
      <c r="N18" s="51"/>
      <c r="O18" s="159"/>
      <c r="P18" s="165"/>
      <c r="Q18" s="165"/>
      <c r="R18" s="7"/>
      <c r="S18" s="7"/>
      <c r="T18" s="46"/>
    </row>
    <row r="19" spans="1:21" s="76" customFormat="1" ht="20.100000000000001" customHeight="1" x14ac:dyDescent="0.2">
      <c r="A19" s="15"/>
      <c r="B19" s="72" t="str" cm="1">
        <f t="array" ref="B19">INDEX(Trad, N19, Lang)</f>
        <v>Versionshistorie</v>
      </c>
      <c r="C19" s="17"/>
      <c r="D19" s="18"/>
      <c r="E19" s="18"/>
      <c r="F19" s="15"/>
      <c r="G19" s="12"/>
      <c r="H19" s="12"/>
      <c r="I19" s="12"/>
      <c r="J19" s="12"/>
      <c r="K19" s="18"/>
      <c r="L19" s="18"/>
      <c r="M19" s="15"/>
      <c r="N19" s="51">
        <v>210</v>
      </c>
      <c r="O19" s="160"/>
      <c r="P19" s="167"/>
      <c r="Q19" s="165"/>
      <c r="R19" s="18"/>
      <c r="S19" s="18"/>
      <c r="T19" s="54"/>
      <c r="U19" s="7"/>
    </row>
    <row r="20" spans="1:21" ht="8.1" customHeight="1" x14ac:dyDescent="0.2">
      <c r="A20" s="10"/>
      <c r="B20" s="14"/>
      <c r="C20" s="13"/>
      <c r="E20" s="13"/>
      <c r="F20" s="10"/>
      <c r="G20" s="12"/>
      <c r="H20" s="12"/>
      <c r="I20" s="12"/>
      <c r="J20" s="12"/>
      <c r="M20" s="10"/>
      <c r="N20" s="51"/>
      <c r="O20" s="159"/>
      <c r="P20" s="167"/>
      <c r="Q20" s="165"/>
      <c r="R20" s="7"/>
      <c r="S20" s="7"/>
    </row>
    <row r="21" spans="1:21" s="76" customFormat="1" ht="20.100000000000001" customHeight="1" x14ac:dyDescent="0.2">
      <c r="A21" s="18"/>
      <c r="B21" s="135" t="s">
        <v>4684</v>
      </c>
      <c r="C21" s="134" t="str" cm="1">
        <f t="array" ref="C21">INDEX(Trad, N21, Lang)</f>
        <v>Datum</v>
      </c>
      <c r="D21" s="284" t="str" cm="1">
        <f t="array" ref="D21">INDEX(Trad, O21, Lang)</f>
        <v>Änderung</v>
      </c>
      <c r="E21" s="285"/>
      <c r="F21" s="285"/>
      <c r="G21" s="285"/>
      <c r="H21" s="285"/>
      <c r="I21" s="285"/>
      <c r="J21" s="285"/>
      <c r="K21" s="285"/>
      <c r="L21" s="286"/>
      <c r="M21" s="18"/>
      <c r="N21" s="51">
        <v>211</v>
      </c>
      <c r="O21" s="51">
        <v>220</v>
      </c>
      <c r="P21" s="131" cm="1">
        <f t="array" ref="P21">_xlfn.XLOOKUP(TRUE, $R$22:$R$35&lt;&gt;"", $R$22:$R$35, , ,-1)</f>
        <v>2</v>
      </c>
      <c r="Q21" s="131" t="str">
        <f>TEXT(P21,"#.0")</f>
        <v>2.0</v>
      </c>
      <c r="R21" s="18"/>
      <c r="S21" s="18"/>
      <c r="T21" s="54"/>
      <c r="U21" s="7"/>
    </row>
    <row r="22" spans="1:21" ht="15" customHeight="1" x14ac:dyDescent="0.2">
      <c r="B22" s="171">
        <f>IF(OR(ISBLANK(R22), P22=R22),"",R22)</f>
        <v>1</v>
      </c>
      <c r="C22" s="148">
        <f>IF(OR(ISBLANK(S22), Q22=S22),"",S22)</f>
        <v>45597</v>
      </c>
      <c r="D22" s="287" t="str" cm="1">
        <f t="array" ref="D22">IF(ISBLANK(B22), "", INDEX(Trad, N22, Lang))</f>
        <v>Erste Fassung</v>
      </c>
      <c r="E22" s="287"/>
      <c r="F22" s="287"/>
      <c r="G22" s="287"/>
      <c r="H22" s="287"/>
      <c r="I22" s="287"/>
      <c r="J22" s="287"/>
      <c r="K22" s="287"/>
      <c r="L22" s="288"/>
      <c r="N22" s="51">
        <v>221</v>
      </c>
      <c r="O22" s="159"/>
      <c r="P22" s="145">
        <f>VLOOKUP(P21, $R$22:$S$35, 2, FALSE)</f>
        <v>45962</v>
      </c>
      <c r="Q22" s="145" t="str">
        <f>TEXT(Version!P22,"mm.aaaa")</f>
        <v>11.2025</v>
      </c>
      <c r="R22" s="177">
        <v>1</v>
      </c>
      <c r="S22" s="176">
        <v>45597</v>
      </c>
      <c r="T22" s="54">
        <f>1</f>
        <v>1</v>
      </c>
      <c r="U22" s="188" t="s">
        <v>4874</v>
      </c>
    </row>
    <row r="23" spans="1:21" ht="15" customHeight="1" x14ac:dyDescent="0.2">
      <c r="B23" s="172">
        <f t="shared" ref="B23:C35" si="0">IF(OR(ISBLANK(R23), R22=R23),"",R23)</f>
        <v>2</v>
      </c>
      <c r="C23" s="149">
        <f t="shared" si="0"/>
        <v>45962</v>
      </c>
      <c r="D23" s="271" t="str" cm="1">
        <f t="array" ref="D23">IF(ISBLANK(INDEX(Trad, N23, Lang_measure)), "", INDEX(Trad, N23, Lang_measure))</f>
        <v>Aufnahme einer Übersichtstabelle über die Änderungen zwischen den früheren Versionen</v>
      </c>
      <c r="E23" s="271"/>
      <c r="F23" s="271"/>
      <c r="G23" s="271"/>
      <c r="H23" s="271"/>
      <c r="I23" s="271"/>
      <c r="J23" s="271"/>
      <c r="K23" s="271"/>
      <c r="L23" s="272"/>
      <c r="N23" s="45">
        <v>222</v>
      </c>
      <c r="O23" s="159"/>
      <c r="P23" s="175"/>
      <c r="Q23" s="164"/>
      <c r="R23" s="177">
        <v>2</v>
      </c>
      <c r="S23" s="176">
        <v>45962</v>
      </c>
      <c r="T23" s="54">
        <f>IF(ISBLANK(R23), 1001, IF(R23&lt;&gt;R22, T22+1,T22))</f>
        <v>2</v>
      </c>
      <c r="U23" s="188"/>
    </row>
    <row r="24" spans="1:21" ht="15" customHeight="1" x14ac:dyDescent="0.2">
      <c r="B24" s="172" t="str">
        <f t="shared" si="0"/>
        <v/>
      </c>
      <c r="C24" s="149" t="str">
        <f t="shared" si="0"/>
        <v/>
      </c>
      <c r="D24" s="271" t="str" cm="1">
        <f t="array" ref="D24">IF(ISBLANK(INDEX(Trad, N24, Lang_measure)), "", INDEX(Trad, N24, Lang_measure))</f>
        <v>Einfügen des Einsparprotokolls (Tabelle A)</v>
      </c>
      <c r="E24" s="271"/>
      <c r="F24" s="271"/>
      <c r="G24" s="271"/>
      <c r="H24" s="271"/>
      <c r="I24" s="271"/>
      <c r="J24" s="271"/>
      <c r="K24" s="271"/>
      <c r="L24" s="272"/>
      <c r="N24" s="45">
        <v>223</v>
      </c>
      <c r="O24" s="159"/>
      <c r="P24" s="175"/>
      <c r="Q24" s="164"/>
      <c r="R24" s="177">
        <v>2</v>
      </c>
      <c r="S24" s="176">
        <v>45962</v>
      </c>
      <c r="T24" s="54">
        <f t="shared" ref="T24:T35" si="1">IF(ISBLANK(R24), 1001, IF(R24&lt;&gt;R23, T23+1,T23))</f>
        <v>2</v>
      </c>
      <c r="U24" s="188"/>
    </row>
    <row r="25" spans="1:21" ht="15" customHeight="1" x14ac:dyDescent="0.2">
      <c r="B25" s="172" t="str">
        <f t="shared" si="0"/>
        <v/>
      </c>
      <c r="C25" s="149" t="str">
        <f t="shared" si="0"/>
        <v/>
      </c>
      <c r="D25" s="271" t="str" cm="1">
        <f t="array" ref="D25">IF(ISBLANK(INDEX(Trad, N25, Lang_measure)), "", INDEX(Trad, N25, Lang_measure))</f>
        <v>Änderung und Aufnahme von Feldern in der Monitoringliste  (Tabelle B)</v>
      </c>
      <c r="E25" s="271"/>
      <c r="F25" s="271"/>
      <c r="G25" s="271"/>
      <c r="H25" s="271"/>
      <c r="I25" s="271"/>
      <c r="J25" s="271"/>
      <c r="K25" s="271"/>
      <c r="L25" s="272"/>
      <c r="N25" s="45">
        <v>224</v>
      </c>
      <c r="O25" s="159"/>
      <c r="P25" s="175"/>
      <c r="Q25" s="164"/>
      <c r="R25" s="177">
        <v>2</v>
      </c>
      <c r="S25" s="176">
        <v>45962</v>
      </c>
      <c r="T25" s="54">
        <f t="shared" si="1"/>
        <v>2</v>
      </c>
      <c r="U25" s="188"/>
    </row>
    <row r="26" spans="1:21" ht="15" customHeight="1" x14ac:dyDescent="0.2">
      <c r="B26" s="172" t="str">
        <f t="shared" si="0"/>
        <v/>
      </c>
      <c r="C26" s="149" t="str">
        <f t="shared" si="0"/>
        <v/>
      </c>
      <c r="D26" s="271" t="str" cm="1">
        <f t="array" ref="D26">IF(ISBLANK(INDEX(Trad, N26, Lang_measure)), "", INDEX(Trad, N26, Lang_measure))</f>
        <v>Diverse Layout Anpassungen</v>
      </c>
      <c r="E26" s="271"/>
      <c r="F26" s="271"/>
      <c r="G26" s="271"/>
      <c r="H26" s="271"/>
      <c r="I26" s="271"/>
      <c r="J26" s="271"/>
      <c r="K26" s="271"/>
      <c r="L26" s="272"/>
      <c r="N26" s="45">
        <v>225</v>
      </c>
      <c r="O26" s="159"/>
      <c r="P26" s="175"/>
      <c r="Q26" s="164"/>
      <c r="R26" s="177">
        <v>2</v>
      </c>
      <c r="S26" s="176">
        <v>45962</v>
      </c>
      <c r="T26" s="54">
        <f t="shared" si="1"/>
        <v>2</v>
      </c>
      <c r="U26" s="188"/>
    </row>
    <row r="27" spans="1:21" ht="15" customHeight="1" x14ac:dyDescent="0.2">
      <c r="B27" s="172" t="str">
        <f t="shared" si="0"/>
        <v/>
      </c>
      <c r="C27" s="149" t="str">
        <f t="shared" si="0"/>
        <v/>
      </c>
      <c r="D27" s="271" t="str" cm="1">
        <f t="array" ref="D27">IF(ISBLANK(INDEX(Trad, N27, Lang_measure)), "", INDEX(Trad, N27, Lang_measure))</f>
        <v/>
      </c>
      <c r="E27" s="271"/>
      <c r="F27" s="271"/>
      <c r="G27" s="271"/>
      <c r="H27" s="271"/>
      <c r="I27" s="271"/>
      <c r="J27" s="271"/>
      <c r="K27" s="271"/>
      <c r="L27" s="272"/>
      <c r="N27" s="45">
        <v>226</v>
      </c>
      <c r="O27" s="159"/>
      <c r="P27" s="175"/>
      <c r="Q27" s="164"/>
      <c r="R27" s="177"/>
      <c r="S27" s="176"/>
      <c r="T27" s="54">
        <f t="shared" si="1"/>
        <v>1001</v>
      </c>
      <c r="U27" s="188"/>
    </row>
    <row r="28" spans="1:21" ht="15" customHeight="1" x14ac:dyDescent="0.2">
      <c r="B28" s="172" t="str">
        <f t="shared" si="0"/>
        <v/>
      </c>
      <c r="C28" s="149" t="str">
        <f t="shared" si="0"/>
        <v/>
      </c>
      <c r="D28" s="271" t="str" cm="1">
        <f t="array" ref="D28">IF(ISBLANK(INDEX(Trad, N28, Lang_measure)), "", INDEX(Trad, N28, Lang_measure))</f>
        <v/>
      </c>
      <c r="E28" s="271"/>
      <c r="F28" s="271"/>
      <c r="G28" s="271"/>
      <c r="H28" s="271"/>
      <c r="I28" s="271"/>
      <c r="J28" s="271"/>
      <c r="K28" s="271"/>
      <c r="L28" s="272"/>
      <c r="N28" s="45">
        <v>227</v>
      </c>
      <c r="O28" s="159"/>
      <c r="P28" s="175"/>
      <c r="Q28" s="164"/>
      <c r="R28" s="177"/>
      <c r="S28" s="176"/>
      <c r="T28" s="54">
        <f t="shared" si="1"/>
        <v>1001</v>
      </c>
      <c r="U28" s="188"/>
    </row>
    <row r="29" spans="1:21" ht="15" customHeight="1" x14ac:dyDescent="0.2">
      <c r="B29" s="172" t="str">
        <f t="shared" si="0"/>
        <v/>
      </c>
      <c r="C29" s="149" t="str">
        <f t="shared" si="0"/>
        <v/>
      </c>
      <c r="D29" s="271" t="str" cm="1">
        <f t="array" ref="D29">IF(ISBLANK(INDEX(Trad, N29, Lang_measure)), "", INDEX(Trad, N29, Lang_measure))</f>
        <v/>
      </c>
      <c r="E29" s="271"/>
      <c r="F29" s="271"/>
      <c r="G29" s="271"/>
      <c r="H29" s="271"/>
      <c r="I29" s="271"/>
      <c r="J29" s="271"/>
      <c r="K29" s="271"/>
      <c r="L29" s="272"/>
      <c r="N29" s="45">
        <v>228</v>
      </c>
      <c r="O29" s="159"/>
      <c r="P29" s="175"/>
      <c r="Q29" s="164"/>
      <c r="R29" s="177"/>
      <c r="S29" s="176"/>
      <c r="T29" s="54">
        <f t="shared" si="1"/>
        <v>1001</v>
      </c>
      <c r="U29" s="188"/>
    </row>
    <row r="30" spans="1:21" ht="15" customHeight="1" x14ac:dyDescent="0.2">
      <c r="B30" s="172" t="str">
        <f t="shared" si="0"/>
        <v/>
      </c>
      <c r="C30" s="149" t="str">
        <f t="shared" si="0"/>
        <v/>
      </c>
      <c r="D30" s="271" t="str" cm="1">
        <f t="array" ref="D30">IF(ISBLANK(INDEX(Trad, N30, Lang_measure)), "", INDEX(Trad, N30, Lang_measure))</f>
        <v/>
      </c>
      <c r="E30" s="271"/>
      <c r="F30" s="271"/>
      <c r="G30" s="271"/>
      <c r="H30" s="271"/>
      <c r="I30" s="271"/>
      <c r="J30" s="271"/>
      <c r="K30" s="271"/>
      <c r="L30" s="272"/>
      <c r="N30" s="45">
        <v>229</v>
      </c>
      <c r="O30" s="159"/>
      <c r="P30" s="175"/>
      <c r="Q30" s="164"/>
      <c r="R30" s="177"/>
      <c r="S30" s="176"/>
      <c r="T30" s="54">
        <f t="shared" si="1"/>
        <v>1001</v>
      </c>
      <c r="U30" s="188"/>
    </row>
    <row r="31" spans="1:21" ht="15" customHeight="1" x14ac:dyDescent="0.2">
      <c r="B31" s="172" t="str">
        <f t="shared" si="0"/>
        <v/>
      </c>
      <c r="C31" s="149" t="str">
        <f t="shared" si="0"/>
        <v/>
      </c>
      <c r="D31" s="271" t="str" cm="1">
        <f t="array" ref="D31">IF(ISBLANK(INDEX(Trad, N31, Lang_measure)), "", INDEX(Trad, N31, Lang_measure))</f>
        <v/>
      </c>
      <c r="E31" s="271"/>
      <c r="F31" s="271"/>
      <c r="G31" s="271"/>
      <c r="H31" s="271"/>
      <c r="I31" s="271"/>
      <c r="J31" s="271"/>
      <c r="K31" s="271"/>
      <c r="L31" s="272"/>
      <c r="N31" s="45">
        <v>230</v>
      </c>
      <c r="O31" s="159"/>
      <c r="P31" s="175"/>
      <c r="Q31" s="164"/>
      <c r="R31" s="177"/>
      <c r="S31" s="176"/>
      <c r="T31" s="54">
        <f t="shared" si="1"/>
        <v>1001</v>
      </c>
      <c r="U31" s="188"/>
    </row>
    <row r="32" spans="1:21" ht="15" customHeight="1" x14ac:dyDescent="0.2">
      <c r="B32" s="172" t="str">
        <f t="shared" si="0"/>
        <v/>
      </c>
      <c r="C32" s="149" t="str">
        <f t="shared" si="0"/>
        <v/>
      </c>
      <c r="D32" s="271" t="str" cm="1">
        <f t="array" ref="D32">IF(ISBLANK(INDEX(Trad, N32, Lang_measure)), "", INDEX(Trad, N32, Lang_measure))</f>
        <v/>
      </c>
      <c r="E32" s="271"/>
      <c r="F32" s="271"/>
      <c r="G32" s="271"/>
      <c r="H32" s="271"/>
      <c r="I32" s="271"/>
      <c r="J32" s="271"/>
      <c r="K32" s="271"/>
      <c r="L32" s="272"/>
      <c r="N32" s="45">
        <v>227</v>
      </c>
      <c r="O32" s="159"/>
      <c r="P32" s="175"/>
      <c r="Q32" s="164"/>
      <c r="R32" s="177"/>
      <c r="S32" s="176"/>
      <c r="T32" s="54">
        <f t="shared" si="1"/>
        <v>1001</v>
      </c>
      <c r="U32" s="188"/>
    </row>
    <row r="33" spans="1:23" ht="15" customHeight="1" x14ac:dyDescent="0.2">
      <c r="B33" s="172" t="str">
        <f t="shared" si="0"/>
        <v/>
      </c>
      <c r="C33" s="149" t="str">
        <f t="shared" si="0"/>
        <v/>
      </c>
      <c r="D33" s="271" t="str" cm="1">
        <f t="array" ref="D33">IF(ISBLANK(INDEX(Trad, N33, Lang_measure)), "", INDEX(Trad, N33, Lang_measure))</f>
        <v/>
      </c>
      <c r="E33" s="271"/>
      <c r="F33" s="271"/>
      <c r="G33" s="271"/>
      <c r="H33" s="271"/>
      <c r="I33" s="271"/>
      <c r="J33" s="271"/>
      <c r="K33" s="271"/>
      <c r="L33" s="272"/>
      <c r="N33" s="45">
        <v>228</v>
      </c>
      <c r="O33" s="159"/>
      <c r="P33" s="175"/>
      <c r="Q33" s="164"/>
      <c r="R33" s="177"/>
      <c r="S33" s="176"/>
      <c r="T33" s="54">
        <f t="shared" si="1"/>
        <v>1001</v>
      </c>
      <c r="U33" s="188"/>
    </row>
    <row r="34" spans="1:23" ht="15" customHeight="1" x14ac:dyDescent="0.2">
      <c r="B34" s="172" t="str">
        <f t="shared" si="0"/>
        <v/>
      </c>
      <c r="C34" s="149" t="str">
        <f t="shared" si="0"/>
        <v/>
      </c>
      <c r="D34" s="271" t="str" cm="1">
        <f t="array" ref="D34">IF(ISBLANK(INDEX(Trad, N34, Lang_measure)), "", INDEX(Trad, N34, Lang_measure))</f>
        <v/>
      </c>
      <c r="E34" s="271"/>
      <c r="F34" s="271"/>
      <c r="G34" s="271"/>
      <c r="H34" s="271"/>
      <c r="I34" s="271"/>
      <c r="J34" s="271"/>
      <c r="K34" s="271"/>
      <c r="L34" s="272"/>
      <c r="N34" s="45">
        <v>229</v>
      </c>
      <c r="O34" s="159"/>
      <c r="P34" s="175"/>
      <c r="Q34" s="164"/>
      <c r="R34" s="177"/>
      <c r="S34" s="176"/>
      <c r="T34" s="54">
        <f t="shared" si="1"/>
        <v>1001</v>
      </c>
      <c r="U34" s="188"/>
    </row>
    <row r="35" spans="1:23" ht="15" customHeight="1" x14ac:dyDescent="0.2">
      <c r="B35" s="173" t="str">
        <f t="shared" si="0"/>
        <v/>
      </c>
      <c r="C35" s="150" t="str">
        <f t="shared" si="0"/>
        <v/>
      </c>
      <c r="D35" s="274" t="str" cm="1">
        <f t="array" ref="D35">IF(ISBLANK(INDEX(Trad, N35, Lang_measure)), "", INDEX(Trad, N35, Lang_measure))</f>
        <v/>
      </c>
      <c r="E35" s="274"/>
      <c r="F35" s="274"/>
      <c r="G35" s="274"/>
      <c r="H35" s="274"/>
      <c r="I35" s="274"/>
      <c r="J35" s="274"/>
      <c r="K35" s="274"/>
      <c r="L35" s="275"/>
      <c r="N35" s="45">
        <v>230</v>
      </c>
      <c r="O35" s="159"/>
      <c r="P35" s="175"/>
      <c r="Q35" s="164"/>
      <c r="R35" s="177"/>
      <c r="S35" s="176"/>
      <c r="T35" s="54">
        <f t="shared" si="1"/>
        <v>1001</v>
      </c>
      <c r="U35" s="188"/>
    </row>
    <row r="36" spans="1:23" ht="15" customHeight="1" x14ac:dyDescent="0.2">
      <c r="B36" s="129"/>
      <c r="C36" s="130"/>
      <c r="D36" s="130"/>
      <c r="E36" s="130"/>
      <c r="F36" s="130"/>
      <c r="G36" s="130"/>
      <c r="H36" s="130"/>
      <c r="I36" s="130"/>
      <c r="J36" s="130"/>
      <c r="K36" s="130"/>
      <c r="L36" s="130"/>
      <c r="N36" s="51"/>
      <c r="O36" s="159"/>
      <c r="P36" s="167"/>
      <c r="Q36" s="165"/>
      <c r="R36" s="7"/>
      <c r="S36" s="7"/>
    </row>
    <row r="37" spans="1:23" ht="15" customHeight="1" x14ac:dyDescent="0.2">
      <c r="N37" s="51"/>
      <c r="O37" s="159"/>
      <c r="P37" s="167"/>
      <c r="Q37" s="165"/>
      <c r="R37" s="7"/>
      <c r="S37" s="7"/>
    </row>
    <row r="38" spans="1:23" ht="15" customHeight="1" x14ac:dyDescent="0.2">
      <c r="N38" s="51"/>
      <c r="O38" s="159"/>
      <c r="P38" s="165"/>
      <c r="Q38" s="165"/>
      <c r="R38" s="7"/>
      <c r="S38" s="7"/>
    </row>
    <row r="39" spans="1:23" ht="15" customHeight="1" x14ac:dyDescent="0.2">
      <c r="N39" s="51"/>
      <c r="O39" s="159"/>
      <c r="P39" s="165"/>
      <c r="Q39" s="165"/>
      <c r="R39" s="7"/>
      <c r="S39" s="7"/>
    </row>
    <row r="40" spans="1:23" ht="15" customHeight="1" x14ac:dyDescent="0.2">
      <c r="N40" s="51"/>
      <c r="O40" s="159"/>
      <c r="P40" s="165"/>
      <c r="Q40" s="165"/>
      <c r="R40" s="7"/>
      <c r="S40" s="7"/>
    </row>
    <row r="41" spans="1:23" s="47" customFormat="1" ht="13.5" customHeight="1" x14ac:dyDescent="0.2">
      <c r="A41" s="35"/>
      <c r="B41" s="24" t="str" cm="1">
        <f t="array" ref="B41">INDEX(Trad, N41, Lang)</f>
        <v>Disclaimer</v>
      </c>
      <c r="C41" s="24"/>
      <c r="D41" s="50"/>
      <c r="E41" s="50"/>
      <c r="F41" s="50"/>
      <c r="G41" s="50"/>
      <c r="H41" s="50"/>
      <c r="I41" s="50"/>
      <c r="J41" s="50"/>
      <c r="K41" s="50"/>
      <c r="L41" s="50"/>
      <c r="M41" s="50"/>
      <c r="N41" s="51">
        <v>240</v>
      </c>
      <c r="O41" s="159"/>
      <c r="P41" s="165"/>
      <c r="Q41" s="165"/>
      <c r="R41" s="7"/>
      <c r="S41" s="7"/>
      <c r="T41" s="121"/>
      <c r="U41" s="7"/>
      <c r="V41" s="75"/>
      <c r="W41" s="75"/>
    </row>
    <row r="42" spans="1:23" s="47" customFormat="1" ht="58.5" customHeight="1" x14ac:dyDescent="0.2">
      <c r="A42" s="35"/>
      <c r="B42" s="273" t="str" cm="1">
        <f t="array" ref="B42">INDEX(Trad, N42, Lang)</f>
        <v>Dieses Dokument dient ausschliesslich für den Nachweis der Umsetzung der erwähnten Energieeffizienzmassnahme nach Artikel 46b EnG. Die enthaltenen Angaben und Berechnungen wurden anhand von Normen, Studien und Erfahrungswerten erstellt. Dieses Einsparprotokoll kann nicht anderweitig als Beleg der effektiven Stromeinsparungen, welche durch die jeweilige Effizienzmassnahme erbracht wurden, verwendet werden. Das Bundesamt für Energie übernimmt keinerlei Gewähr für eine Verwendung ausserhalb des Nachweises der Umsetzung nach Artikel 46b EnG.</v>
      </c>
      <c r="C42" s="273"/>
      <c r="D42" s="273"/>
      <c r="E42" s="273"/>
      <c r="F42" s="273"/>
      <c r="G42" s="273"/>
      <c r="H42" s="273"/>
      <c r="I42" s="273"/>
      <c r="J42" s="273"/>
      <c r="K42" s="273"/>
      <c r="L42" s="273"/>
      <c r="M42" s="50"/>
      <c r="N42" s="51">
        <v>241</v>
      </c>
      <c r="O42" s="159"/>
      <c r="P42" s="165"/>
      <c r="Q42" s="165"/>
      <c r="R42" s="7"/>
      <c r="S42" s="7"/>
      <c r="T42" s="54"/>
      <c r="U42" s="7"/>
      <c r="V42" s="75"/>
      <c r="W42" s="75"/>
    </row>
    <row r="43" spans="1:23" x14ac:dyDescent="0.2">
      <c r="N43" s="51"/>
      <c r="O43" s="159"/>
      <c r="P43" s="165"/>
      <c r="Q43" s="165"/>
      <c r="R43" s="7"/>
      <c r="S43" s="7"/>
      <c r="T43" s="46"/>
    </row>
    <row r="44" spans="1:23" x14ac:dyDescent="0.2">
      <c r="N44" s="51"/>
      <c r="O44" s="159"/>
      <c r="P44" s="165"/>
      <c r="Q44" s="165"/>
      <c r="R44" s="7"/>
      <c r="S44" s="7"/>
    </row>
    <row r="45" spans="1:23" x14ac:dyDescent="0.2">
      <c r="N45" s="51"/>
      <c r="O45" s="159"/>
      <c r="P45" s="165"/>
      <c r="Q45" s="165"/>
      <c r="R45" s="7"/>
      <c r="S45" s="7"/>
    </row>
    <row r="46" spans="1:23" x14ac:dyDescent="0.2">
      <c r="N46" s="51"/>
      <c r="O46" s="159"/>
      <c r="P46" s="165"/>
      <c r="Q46" s="165"/>
      <c r="R46" s="7"/>
      <c r="S46" s="7"/>
    </row>
    <row r="47" spans="1:23" x14ac:dyDescent="0.2">
      <c r="N47" s="51"/>
      <c r="O47" s="159"/>
      <c r="P47" s="165"/>
      <c r="Q47" s="165"/>
      <c r="R47" s="7"/>
      <c r="S47" s="7"/>
    </row>
    <row r="48" spans="1:23" x14ac:dyDescent="0.2">
      <c r="N48" s="51"/>
      <c r="O48" s="159"/>
      <c r="P48" s="165"/>
      <c r="Q48" s="165"/>
      <c r="R48" s="7"/>
      <c r="S48" s="7"/>
    </row>
    <row r="49" spans="14:20" hidden="1" x14ac:dyDescent="0.2">
      <c r="N49" s="51"/>
    </row>
    <row r="50" spans="14:20" hidden="1" x14ac:dyDescent="0.2">
      <c r="N50" s="51"/>
    </row>
    <row r="51" spans="14:20" hidden="1" x14ac:dyDescent="0.2">
      <c r="N51" s="51"/>
      <c r="T51" s="54">
        <v>10</v>
      </c>
    </row>
    <row r="52" spans="14:20" hidden="1" x14ac:dyDescent="0.2">
      <c r="N52" s="51"/>
    </row>
    <row r="53" spans="14:20" hidden="1" x14ac:dyDescent="0.2">
      <c r="N53" s="51"/>
    </row>
    <row r="54" spans="14:20" hidden="1" x14ac:dyDescent="0.2">
      <c r="N54" s="51"/>
      <c r="T54" s="54">
        <v>10</v>
      </c>
    </row>
    <row r="55" spans="14:20" hidden="1" x14ac:dyDescent="0.2">
      <c r="N55" s="51"/>
    </row>
    <row r="56" spans="14:20" hidden="1" x14ac:dyDescent="0.2">
      <c r="N56" s="51"/>
    </row>
    <row r="57" spans="14:20" hidden="1" x14ac:dyDescent="0.2">
      <c r="N57" s="51"/>
      <c r="T57" s="54">
        <v>10</v>
      </c>
    </row>
    <row r="58" spans="14:20" hidden="1" x14ac:dyDescent="0.2">
      <c r="N58" s="51"/>
    </row>
    <row r="59" spans="14:20" hidden="1" x14ac:dyDescent="0.2">
      <c r="N59" s="51"/>
    </row>
    <row r="60" spans="14:20" hidden="1" x14ac:dyDescent="0.2">
      <c r="N60" s="51"/>
      <c r="T60" s="54">
        <v>10</v>
      </c>
    </row>
    <row r="61" spans="14:20" hidden="1" x14ac:dyDescent="0.2">
      <c r="N61" s="51"/>
    </row>
    <row r="62" spans="14:20" hidden="1" x14ac:dyDescent="0.2">
      <c r="N62" s="51"/>
    </row>
    <row r="63" spans="14:20" hidden="1" x14ac:dyDescent="0.2">
      <c r="N63" s="51"/>
      <c r="T63" s="54">
        <v>10</v>
      </c>
    </row>
    <row r="64" spans="14:20" hidden="1" x14ac:dyDescent="0.2">
      <c r="N64" s="51"/>
    </row>
    <row r="65" spans="14:20" hidden="1" x14ac:dyDescent="0.2">
      <c r="N65" s="51"/>
      <c r="T65" s="121">
        <v>8</v>
      </c>
    </row>
    <row r="66" spans="14:20" hidden="1" x14ac:dyDescent="0.2">
      <c r="N66" s="51"/>
    </row>
    <row r="67" spans="14:20" hidden="1" x14ac:dyDescent="0.2">
      <c r="N67" s="51"/>
      <c r="T67" s="54">
        <v>10</v>
      </c>
    </row>
    <row r="68" spans="14:20" hidden="1" x14ac:dyDescent="0.2">
      <c r="N68" s="51"/>
      <c r="T68" s="54">
        <v>10</v>
      </c>
    </row>
    <row r="69" spans="14:20" hidden="1" x14ac:dyDescent="0.2">
      <c r="N69" s="51"/>
    </row>
    <row r="70" spans="14:20" hidden="1" x14ac:dyDescent="0.2">
      <c r="N70" s="51"/>
      <c r="T70" s="46">
        <v>11</v>
      </c>
    </row>
    <row r="71" spans="14:20" hidden="1" x14ac:dyDescent="0.2">
      <c r="N71" s="51"/>
      <c r="T71" s="54">
        <v>10</v>
      </c>
    </row>
    <row r="72" spans="14:20" hidden="1" x14ac:dyDescent="0.2">
      <c r="N72" s="51"/>
    </row>
    <row r="73" spans="14:20" hidden="1" x14ac:dyDescent="0.2">
      <c r="N73" s="51"/>
      <c r="T73" s="46">
        <v>11</v>
      </c>
    </row>
    <row r="74" spans="14:20" hidden="1" x14ac:dyDescent="0.2">
      <c r="N74" s="51"/>
      <c r="T74" s="46"/>
    </row>
    <row r="75" spans="14:20" hidden="1" x14ac:dyDescent="0.2">
      <c r="N75" s="51"/>
    </row>
    <row r="76" spans="14:20" hidden="1" x14ac:dyDescent="0.2">
      <c r="N76" s="51"/>
      <c r="T76" s="54">
        <v>8</v>
      </c>
    </row>
    <row r="77" spans="14:20" hidden="1" x14ac:dyDescent="0.2">
      <c r="N77" s="51"/>
    </row>
    <row r="78" spans="14:20" hidden="1" x14ac:dyDescent="0.2">
      <c r="N78" s="51"/>
      <c r="T78" s="46">
        <v>11</v>
      </c>
    </row>
    <row r="79" spans="14:20" hidden="1" x14ac:dyDescent="0.2">
      <c r="N79" s="51"/>
    </row>
    <row r="80" spans="14:20" hidden="1" x14ac:dyDescent="0.2">
      <c r="N80" s="51"/>
    </row>
    <row r="81" spans="14:14" hidden="1" x14ac:dyDescent="0.2">
      <c r="N81" s="51"/>
    </row>
    <row r="82" spans="14:14" hidden="1" x14ac:dyDescent="0.2">
      <c r="N82" s="51"/>
    </row>
    <row r="83" spans="14:14" hidden="1" x14ac:dyDescent="0.2">
      <c r="N83" s="51"/>
    </row>
  </sheetData>
  <sheetProtection algorithmName="SHA-512" hashValue="IDsYVA1RcdwOBJa9OvdzPwhOnADqn/OUDJcZmLg/z8lRb0pSicbLyCKOtdDHglbo9JzLYh1j/M9L/g+GbUwafA==" saltValue="qZ5Q1PWC5DasU68BFJplug==" spinCount="100000" sheet="1" objects="1" scenarios="1"/>
  <mergeCells count="20">
    <mergeCell ref="D24:L24"/>
    <mergeCell ref="D25:L25"/>
    <mergeCell ref="D26:L26"/>
    <mergeCell ref="F15:L15"/>
    <mergeCell ref="F16:L16"/>
    <mergeCell ref="B15:E15"/>
    <mergeCell ref="B16:E16"/>
    <mergeCell ref="D21:L21"/>
    <mergeCell ref="D22:L22"/>
    <mergeCell ref="D23:L23"/>
    <mergeCell ref="D27:L27"/>
    <mergeCell ref="B42:L42"/>
    <mergeCell ref="D28:L28"/>
    <mergeCell ref="D29:L29"/>
    <mergeCell ref="D30:L30"/>
    <mergeCell ref="D32:L32"/>
    <mergeCell ref="D33:L33"/>
    <mergeCell ref="D34:L34"/>
    <mergeCell ref="D35:L35"/>
    <mergeCell ref="D31:L31"/>
  </mergeCells>
  <phoneticPr fontId="23" type="noConversion"/>
  <conditionalFormatting sqref="B22:L35">
    <cfRule type="expression" dxfId="5" priority="1">
      <formula>AND(NOT(ISBLANK($R22)), ISEVEN($T22))=TRUE</formula>
    </cfRule>
  </conditionalFormatting>
  <dataValidations count="1">
    <dataValidation type="list" allowBlank="1" showInputMessage="1" showErrorMessage="1" sqref="L6" xr:uid="{E6920D81-BC04-4772-B4BB-98870D664D7D}">
      <formula1>"D,F,I"</formula1>
    </dataValidation>
  </dataValidations>
  <hyperlinks>
    <hyperlink ref="B15" location="A!A1" display="A!A1" xr:uid="{1D3F9DB4-041C-4B56-B2AA-3734D1526C8B}"/>
    <hyperlink ref="B16" location="B!A1" display="B!A1" xr:uid="{52B8788D-47B6-44F4-AC03-D7B3523C635C}"/>
  </hyperlinks>
  <pageMargins left="0.70866141732283472" right="0.70866141732283472" top="0.74803149606299213" bottom="0.74803149606299213" header="0.31496062992125984" footer="0.31496062992125984"/>
  <pageSetup paperSize="9" scale="82" fitToHeight="0" orientation="portrait" horizontalDpi="90" verticalDpi="90" r:id="rId1"/>
  <headerFooter>
    <oddFooter>&amp;R&amp;"Arial,Standard"&amp;7&amp;P / &amp;N</oddFooter>
  </headerFooter>
  <customProperties>
    <customPr name="EpmWorksheetKeyString_GUID" r:id="rId2"/>
  </customProperties>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9F23D5-B385-4531-872F-6D2199BEE37F}">
  <sheetPr>
    <tabColor theme="0"/>
    <pageSetUpPr fitToPage="1"/>
  </sheetPr>
  <dimension ref="A1:AY90"/>
  <sheetViews>
    <sheetView zoomScaleNormal="100" zoomScalePageLayoutView="115" workbookViewId="0">
      <selection activeCell="E18" sqref="E18"/>
    </sheetView>
  </sheetViews>
  <sheetFormatPr baseColWidth="10" defaultColWidth="0" defaultRowHeight="0" customHeight="1" zeroHeight="1" x14ac:dyDescent="0.2"/>
  <cols>
    <col min="1" max="1" width="7.7109375" style="50" customWidth="1"/>
    <col min="2" max="2" width="4.7109375" style="50" customWidth="1"/>
    <col min="3" max="4" width="6.7109375" style="50" customWidth="1"/>
    <col min="5" max="12" width="8.7109375" style="50" customWidth="1"/>
    <col min="13" max="13" width="7.7109375" style="50" customWidth="1"/>
    <col min="14" max="18" width="5.7109375" style="51" hidden="1" customWidth="1"/>
    <col min="19" max="19" width="10.7109375" style="53" hidden="1" customWidth="1"/>
    <col min="20" max="21" width="10.7109375" style="75" hidden="1" customWidth="1"/>
    <col min="22" max="25" width="10.7109375" style="54" hidden="1" customWidth="1"/>
    <col min="26" max="26" width="100.7109375" style="75" hidden="1" customWidth="1"/>
    <col min="27" max="16384" width="9.140625" style="47" hidden="1"/>
  </cols>
  <sheetData>
    <row r="1" spans="1:51" ht="30" customHeight="1" x14ac:dyDescent="0.2">
      <c r="A1" s="11"/>
      <c r="B1" s="11"/>
      <c r="C1" s="11"/>
      <c r="D1" s="11"/>
      <c r="E1" s="11"/>
      <c r="F1" s="11"/>
      <c r="G1" s="11"/>
      <c r="H1" s="11"/>
      <c r="I1" s="11"/>
      <c r="J1" s="11"/>
      <c r="K1" s="11"/>
      <c r="L1" s="11"/>
      <c r="M1" s="11"/>
      <c r="N1" s="158" t="s">
        <v>4624</v>
      </c>
      <c r="O1" s="158" t="s">
        <v>4624</v>
      </c>
      <c r="P1" s="158" t="s">
        <v>4624</v>
      </c>
      <c r="Q1" s="158" t="s">
        <v>4624</v>
      </c>
      <c r="R1" s="158" t="s">
        <v>4624</v>
      </c>
      <c r="S1" s="179" t="s">
        <v>4808</v>
      </c>
      <c r="T1" s="178" t="s">
        <v>4812</v>
      </c>
      <c r="U1" s="178" t="s">
        <v>4812</v>
      </c>
      <c r="V1" s="46" t="s">
        <v>4625</v>
      </c>
      <c r="W1" s="46" t="s">
        <v>4625</v>
      </c>
      <c r="X1" s="46" t="s">
        <v>4625</v>
      </c>
      <c r="Y1" s="46" t="s">
        <v>4625</v>
      </c>
      <c r="Z1" s="178" t="s">
        <v>4869</v>
      </c>
    </row>
    <row r="2" spans="1:51" s="65" customFormat="1" ht="12" customHeight="1" x14ac:dyDescent="0.2">
      <c r="A2" s="63"/>
      <c r="B2" s="323" t="str" cm="1">
        <f t="array" ref="B2">INDEX(Trad, 204, Lang)</f>
        <v>Zurück zur Übersicht</v>
      </c>
      <c r="C2" s="323"/>
      <c r="D2" s="323"/>
      <c r="E2" s="323"/>
      <c r="F2" s="71"/>
      <c r="G2" s="71"/>
      <c r="H2" s="71"/>
      <c r="I2" s="71"/>
      <c r="J2" s="71"/>
      <c r="K2" s="71"/>
      <c r="L2" s="71"/>
      <c r="M2" s="71"/>
      <c r="N2" s="51"/>
      <c r="O2" s="52"/>
      <c r="P2" s="52"/>
      <c r="Q2" s="52"/>
      <c r="R2" s="52"/>
      <c r="S2" s="53"/>
      <c r="T2" s="7"/>
      <c r="U2" s="7"/>
      <c r="V2" s="54"/>
      <c r="W2" s="54"/>
      <c r="X2" s="54"/>
      <c r="Y2" s="54"/>
      <c r="Z2" s="7"/>
      <c r="AA2" s="47"/>
      <c r="AB2" s="47"/>
      <c r="AC2" s="47"/>
      <c r="AD2" s="47"/>
      <c r="AE2" s="47"/>
      <c r="AF2" s="47"/>
      <c r="AG2" s="47"/>
      <c r="AH2" s="47"/>
      <c r="AI2" s="47"/>
      <c r="AJ2" s="47"/>
      <c r="AK2" s="47"/>
      <c r="AL2" s="47"/>
      <c r="AM2" s="47"/>
      <c r="AN2" s="47"/>
      <c r="AO2" s="47"/>
      <c r="AP2" s="47"/>
      <c r="AQ2" s="47"/>
      <c r="AR2" s="47"/>
      <c r="AS2" s="47"/>
      <c r="AT2" s="47"/>
      <c r="AU2" s="47"/>
      <c r="AV2" s="47"/>
      <c r="AW2" s="47"/>
      <c r="AX2" s="47"/>
      <c r="AY2" s="47"/>
    </row>
    <row r="3" spans="1:51" s="65" customFormat="1" ht="15" customHeight="1" x14ac:dyDescent="0.2">
      <c r="A3" s="63"/>
      <c r="B3" s="132"/>
      <c r="D3" s="133"/>
      <c r="F3" s="71"/>
      <c r="G3" s="71"/>
      <c r="H3" s="71"/>
      <c r="I3" s="71"/>
      <c r="J3" s="71"/>
      <c r="K3" s="71"/>
      <c r="L3" s="71"/>
      <c r="M3" s="71"/>
      <c r="N3" s="51"/>
      <c r="O3" s="52"/>
      <c r="P3" s="52"/>
      <c r="Q3" s="52"/>
      <c r="R3" s="52"/>
      <c r="S3" s="53"/>
      <c r="T3" s="7"/>
      <c r="U3" s="7"/>
      <c r="V3" s="54"/>
      <c r="W3" s="54"/>
      <c r="X3" s="54"/>
      <c r="Y3" s="54"/>
      <c r="Z3" s="7"/>
      <c r="AA3" s="47"/>
      <c r="AB3" s="47"/>
      <c r="AC3" s="47"/>
      <c r="AD3" s="47"/>
      <c r="AE3" s="47"/>
      <c r="AF3" s="47"/>
      <c r="AG3" s="47"/>
      <c r="AH3" s="47"/>
      <c r="AI3" s="47"/>
      <c r="AJ3" s="47"/>
      <c r="AK3" s="47"/>
      <c r="AL3" s="47"/>
      <c r="AM3" s="47"/>
      <c r="AN3" s="47"/>
      <c r="AO3" s="47"/>
      <c r="AP3" s="47"/>
      <c r="AQ3" s="47"/>
      <c r="AR3" s="47"/>
      <c r="AS3" s="47"/>
      <c r="AT3" s="47"/>
      <c r="AU3" s="47"/>
      <c r="AV3" s="47"/>
      <c r="AW3" s="47"/>
      <c r="AX3" s="47"/>
      <c r="AY3" s="47"/>
    </row>
    <row r="4" spans="1:51" s="55" customFormat="1" ht="9.9499999999999993" customHeight="1" x14ac:dyDescent="0.2">
      <c r="A4" s="28"/>
      <c r="B4" s="28"/>
      <c r="C4" s="28"/>
      <c r="D4" s="28"/>
      <c r="E4" s="28"/>
      <c r="F4" s="28"/>
      <c r="G4" s="28"/>
      <c r="H4" s="48"/>
      <c r="I4" s="49" t="str" cm="1">
        <f t="array" ref="I4">INDEX(Trad, N4, Lang)</f>
        <v>Eidgenössisches Departement für Umwelt, Verkehr,</v>
      </c>
      <c r="J4" s="49"/>
      <c r="K4" s="33"/>
      <c r="L4" s="28"/>
      <c r="M4" s="50"/>
      <c r="N4" s="51">
        <v>200</v>
      </c>
      <c r="O4" s="52"/>
      <c r="P4" s="52"/>
      <c r="Q4" s="52"/>
      <c r="R4" s="52"/>
      <c r="S4" s="53"/>
      <c r="T4" s="7"/>
      <c r="U4" s="7"/>
      <c r="V4" s="54"/>
      <c r="W4" s="54"/>
      <c r="X4" s="54"/>
      <c r="Y4" s="54"/>
      <c r="Z4" s="7"/>
      <c r="AA4" s="47"/>
      <c r="AB4" s="47"/>
      <c r="AC4" s="47"/>
      <c r="AD4" s="47"/>
      <c r="AE4" s="47"/>
      <c r="AF4" s="47"/>
      <c r="AG4" s="47"/>
      <c r="AH4" s="47"/>
      <c r="AI4" s="47"/>
      <c r="AJ4" s="47"/>
      <c r="AK4" s="47"/>
      <c r="AL4" s="47"/>
      <c r="AM4" s="47"/>
      <c r="AN4" s="47"/>
      <c r="AO4" s="47"/>
      <c r="AP4" s="47"/>
      <c r="AQ4" s="47"/>
      <c r="AR4" s="47"/>
      <c r="AS4" s="47"/>
      <c r="AT4" s="47"/>
      <c r="AU4" s="47"/>
      <c r="AV4" s="47"/>
      <c r="AW4" s="47"/>
      <c r="AX4" s="47"/>
      <c r="AY4" s="47"/>
    </row>
    <row r="5" spans="1:51" s="55" customFormat="1" ht="9.9499999999999993" customHeight="1" x14ac:dyDescent="0.2">
      <c r="A5" s="28"/>
      <c r="B5" s="28"/>
      <c r="C5" s="28"/>
      <c r="D5" s="28"/>
      <c r="E5" s="28"/>
      <c r="F5" s="28"/>
      <c r="G5" s="28"/>
      <c r="H5" s="48"/>
      <c r="I5" s="49" t="str" cm="1">
        <f t="array" ref="I5">INDEX(Trad, N5, Lang)</f>
        <v>Energie und Kommunikation UVEK</v>
      </c>
      <c r="J5" s="49"/>
      <c r="K5" s="33"/>
      <c r="L5" s="28"/>
      <c r="M5" s="50"/>
      <c r="N5" s="51">
        <v>201</v>
      </c>
      <c r="O5" s="52"/>
      <c r="P5" s="52"/>
      <c r="Q5" s="52"/>
      <c r="R5" s="52"/>
      <c r="S5" s="53"/>
      <c r="T5" s="7"/>
      <c r="U5" s="7"/>
      <c r="V5" s="54"/>
      <c r="W5" s="54"/>
      <c r="X5" s="54"/>
      <c r="Y5" s="54"/>
      <c r="Z5" s="7"/>
    </row>
    <row r="6" spans="1:51" ht="24.95" customHeight="1" x14ac:dyDescent="0.2">
      <c r="A6" s="11"/>
      <c r="B6" s="11"/>
      <c r="C6" s="11"/>
      <c r="D6" s="11"/>
      <c r="E6" s="11"/>
      <c r="F6" s="11"/>
      <c r="G6" s="11"/>
      <c r="I6" s="102" t="str" cm="1">
        <f t="array" ref="I6">INDEX(Trad, N6, Lang)</f>
        <v>Bundesamt für Energie BFE</v>
      </c>
      <c r="J6" s="57"/>
      <c r="K6" s="34"/>
      <c r="L6" s="11"/>
      <c r="N6" s="51">
        <v>202</v>
      </c>
      <c r="T6" s="7"/>
      <c r="U6" s="7"/>
      <c r="Z6" s="7"/>
    </row>
    <row r="7" spans="1:51" ht="75" customHeight="1" x14ac:dyDescent="0.2">
      <c r="A7" s="11"/>
      <c r="B7" s="11"/>
      <c r="C7" s="11"/>
      <c r="D7" s="11"/>
      <c r="E7" s="11"/>
      <c r="F7" s="11"/>
      <c r="G7" s="11"/>
      <c r="H7" s="11"/>
      <c r="I7" s="11"/>
      <c r="J7" s="11"/>
      <c r="K7" s="11"/>
      <c r="L7" s="11"/>
      <c r="T7" s="7"/>
      <c r="U7" s="7"/>
      <c r="V7" s="54" t="s">
        <v>1330</v>
      </c>
      <c r="W7" s="54" t="s">
        <v>4627</v>
      </c>
      <c r="X7" s="54" t="s">
        <v>4628</v>
      </c>
      <c r="Z7" s="7"/>
      <c r="AB7" s="55"/>
      <c r="AC7" s="55"/>
      <c r="AD7" s="55"/>
      <c r="AE7" s="55"/>
      <c r="AF7" s="55"/>
      <c r="AG7" s="55"/>
      <c r="AH7" s="55"/>
    </row>
    <row r="8" spans="1:51" ht="36" customHeight="1" x14ac:dyDescent="0.25">
      <c r="A8" s="42"/>
      <c r="B8" s="318" t="str" cm="1">
        <f t="array" ref="B8">INDEX(Trad, N8, Lang)</f>
        <v>Standardisierte Massnahme</v>
      </c>
      <c r="C8" s="318"/>
      <c r="D8" s="318"/>
      <c r="E8" s="318"/>
      <c r="F8" s="318"/>
      <c r="G8" s="318"/>
      <c r="H8" s="318"/>
      <c r="I8" s="318"/>
      <c r="J8" s="318"/>
      <c r="K8" s="318"/>
      <c r="L8" s="318"/>
      <c r="N8" s="51">
        <v>101</v>
      </c>
      <c r="T8" s="7"/>
      <c r="U8" s="7"/>
      <c r="V8" s="54">
        <v>14</v>
      </c>
      <c r="Z8" s="7"/>
      <c r="AB8" s="55"/>
      <c r="AC8" s="55"/>
      <c r="AD8" s="55"/>
      <c r="AE8" s="55"/>
      <c r="AF8" s="55"/>
      <c r="AG8" s="55"/>
      <c r="AH8" s="55"/>
    </row>
    <row r="9" spans="1:51" ht="99.95" customHeight="1" x14ac:dyDescent="0.2">
      <c r="A9" s="30"/>
      <c r="B9" s="319" t="str" cm="1">
        <f t="array" ref="B9">INDEX(Trad, N9, Lang_measure)</f>
        <v>Anpassung der Betriebszeiten</v>
      </c>
      <c r="C9" s="319"/>
      <c r="D9" s="319"/>
      <c r="E9" s="319"/>
      <c r="F9" s="319"/>
      <c r="G9" s="319"/>
      <c r="H9" s="319"/>
      <c r="I9" s="319"/>
      <c r="J9" s="319"/>
      <c r="K9" s="319"/>
      <c r="L9" s="319"/>
      <c r="N9" s="45">
        <v>150</v>
      </c>
      <c r="T9" s="7"/>
      <c r="U9" s="7"/>
      <c r="V9" s="54">
        <v>16</v>
      </c>
      <c r="Z9" s="7"/>
      <c r="AB9" s="55"/>
      <c r="AC9" s="55"/>
      <c r="AD9" s="55"/>
      <c r="AE9" s="55"/>
      <c r="AF9" s="55"/>
      <c r="AG9" s="55"/>
      <c r="AH9" s="55"/>
    </row>
    <row r="10" spans="1:51" ht="36" customHeight="1" x14ac:dyDescent="0.25">
      <c r="A10" s="42"/>
      <c r="B10" s="322" t="str" cm="1">
        <f t="array" ref="B10">INDEX(Trad, N10, Lang)</f>
        <v>Einsparprotokoll</v>
      </c>
      <c r="C10" s="322"/>
      <c r="D10" s="322"/>
      <c r="E10" s="322"/>
      <c r="F10" s="322"/>
      <c r="G10" s="322"/>
      <c r="H10" s="322"/>
      <c r="I10" s="322"/>
      <c r="J10" s="322"/>
      <c r="K10" s="322"/>
      <c r="L10" s="322"/>
      <c r="N10" s="51">
        <v>100</v>
      </c>
      <c r="T10" s="7"/>
      <c r="U10" s="7"/>
      <c r="Z10" s="7"/>
      <c r="AB10" s="55"/>
      <c r="AC10" s="55"/>
      <c r="AD10" s="55"/>
      <c r="AE10" s="55"/>
      <c r="AF10" s="55"/>
      <c r="AG10" s="55"/>
      <c r="AH10" s="55"/>
    </row>
    <row r="11" spans="1:51" ht="15" customHeight="1" x14ac:dyDescent="0.2">
      <c r="A11" s="37"/>
      <c r="B11" s="36" t="str" cm="1">
        <f t="array" ref="B11">INDEX(Trad, N11, Lang)</f>
        <v>Massnahmennummer</v>
      </c>
      <c r="C11" s="36"/>
      <c r="D11" s="36"/>
      <c r="E11" s="36"/>
      <c r="F11" s="36"/>
      <c r="G11" s="36"/>
      <c r="H11" s="36"/>
      <c r="I11" s="36"/>
      <c r="J11" s="36"/>
      <c r="K11" s="14"/>
      <c r="L11" s="37" t="str">
        <f>measure_id</f>
        <v>KA-05a</v>
      </c>
      <c r="N11" s="51">
        <v>102</v>
      </c>
      <c r="T11" s="7"/>
      <c r="U11" s="7"/>
      <c r="V11" s="54">
        <v>8</v>
      </c>
      <c r="W11" s="54">
        <v>1</v>
      </c>
      <c r="X11" s="54">
        <f>12.75*W11 + 2.25</f>
        <v>15</v>
      </c>
      <c r="Z11" s="7"/>
      <c r="AB11" s="55"/>
      <c r="AC11" s="55"/>
      <c r="AD11" s="55"/>
      <c r="AE11" s="55"/>
      <c r="AF11" s="55"/>
      <c r="AG11" s="55"/>
      <c r="AH11" s="55"/>
    </row>
    <row r="12" spans="1:51" ht="15" customHeight="1" x14ac:dyDescent="0.2">
      <c r="A12" s="40"/>
      <c r="B12" s="36" t="str" cm="1">
        <f t="array" ref="B12">INDEX(Trad, N12, Lang)</f>
        <v>Version</v>
      </c>
      <c r="C12" s="36"/>
      <c r="D12" s="38"/>
      <c r="E12" s="38"/>
      <c r="F12" s="38"/>
      <c r="G12" s="38"/>
      <c r="H12" s="38"/>
      <c r="I12" s="38"/>
      <c r="J12" s="38"/>
      <c r="K12" s="39"/>
      <c r="L12" s="37" t="str">
        <f>measure_version</f>
        <v>2.0 (11.2025)</v>
      </c>
      <c r="N12" s="51">
        <v>103</v>
      </c>
      <c r="T12" s="7"/>
      <c r="U12" s="7"/>
      <c r="V12" s="54">
        <v>8</v>
      </c>
      <c r="W12" s="54">
        <v>1</v>
      </c>
      <c r="X12" s="54">
        <f t="shared" ref="X12:X13" si="0">12.75*W12 + 2.25</f>
        <v>15</v>
      </c>
      <c r="Z12" s="7"/>
      <c r="AB12" s="55"/>
      <c r="AC12" s="55"/>
      <c r="AD12" s="55"/>
      <c r="AE12" s="55"/>
      <c r="AF12" s="55"/>
      <c r="AG12" s="55"/>
      <c r="AH12" s="55"/>
    </row>
    <row r="13" spans="1:51" ht="15" customHeight="1" x14ac:dyDescent="0.2">
      <c r="A13" s="41"/>
      <c r="B13" s="36" t="str" cm="1">
        <f t="array" ref="B13">INDEX(Trad, N13, Lang)</f>
        <v>Gültig ab</v>
      </c>
      <c r="C13" s="36"/>
      <c r="D13" s="38"/>
      <c r="E13" s="38"/>
      <c r="F13" s="38"/>
      <c r="G13" s="38"/>
      <c r="H13" s="38"/>
      <c r="I13" s="38"/>
      <c r="J13" s="38"/>
      <c r="K13" s="321">
        <f>IF(MONTH(Version!P22)=11, DATE(YEAR(Version!P22)+1, 1, 1), Version!P22)</f>
        <v>46023</v>
      </c>
      <c r="L13" s="321"/>
      <c r="N13" s="51">
        <v>104</v>
      </c>
      <c r="T13" s="7"/>
      <c r="U13" s="7"/>
      <c r="V13" s="54">
        <v>8</v>
      </c>
      <c r="W13" s="54">
        <v>1</v>
      </c>
      <c r="X13" s="54">
        <f t="shared" si="0"/>
        <v>15</v>
      </c>
      <c r="Z13" s="7"/>
      <c r="AB13" s="55"/>
      <c r="AC13" s="55"/>
      <c r="AD13" s="55"/>
      <c r="AE13" s="55"/>
      <c r="AF13" s="55"/>
      <c r="AG13" s="55"/>
      <c r="AH13" s="55"/>
    </row>
    <row r="14" spans="1:51" ht="5.0999999999999996" customHeight="1" x14ac:dyDescent="0.2">
      <c r="A14" s="32"/>
      <c r="B14" s="31"/>
      <c r="C14" s="31"/>
      <c r="D14" s="11"/>
      <c r="E14" s="11"/>
      <c r="F14" s="11"/>
      <c r="G14" s="11"/>
      <c r="H14" s="11"/>
      <c r="I14" s="11"/>
      <c r="J14" s="11"/>
      <c r="K14" s="32"/>
      <c r="L14" s="32"/>
      <c r="T14" s="7"/>
      <c r="U14" s="7"/>
      <c r="Z14" s="7"/>
      <c r="AB14" s="55"/>
      <c r="AC14" s="55"/>
      <c r="AD14" s="55"/>
      <c r="AE14" s="55"/>
      <c r="AF14" s="55"/>
      <c r="AG14" s="55"/>
      <c r="AH14" s="55"/>
    </row>
    <row r="15" spans="1:51" s="55" customFormat="1" ht="36" customHeight="1" x14ac:dyDescent="0.2">
      <c r="A15" s="43"/>
      <c r="B15" s="320" t="str" cm="1">
        <f t="array" ref="B15">INDEX(Trad, N15, Lang)</f>
        <v>Es obliegt dem Elektrizitätslieferanten, sich jährlich rechtzeitig zu informieren, ob eine aktualisierte Version vorliegt. Das BFE publiziert allfällige aktualisierte Versionen im November. Während einer Übergangsfrist von 12 Monaten ab Gültigkeit dürfen die umgesetzten Massnahmen auch noch mit der vorgängigen Version gemeldet werden.</v>
      </c>
      <c r="C15" s="320"/>
      <c r="D15" s="320"/>
      <c r="E15" s="320"/>
      <c r="F15" s="320"/>
      <c r="G15" s="320"/>
      <c r="H15" s="320"/>
      <c r="I15" s="320"/>
      <c r="J15" s="320"/>
      <c r="K15" s="320"/>
      <c r="L15" s="320"/>
      <c r="M15" s="50"/>
      <c r="N15" s="51">
        <v>105</v>
      </c>
      <c r="O15" s="51"/>
      <c r="P15" s="51"/>
      <c r="Q15" s="51"/>
      <c r="R15" s="51"/>
      <c r="S15" s="53"/>
      <c r="T15" s="7"/>
      <c r="U15" s="7"/>
      <c r="V15" s="54">
        <v>7</v>
      </c>
      <c r="W15" s="54">
        <v>3</v>
      </c>
      <c r="X15" s="54">
        <f>11.25*W15 + 2.25</f>
        <v>36</v>
      </c>
      <c r="Y15" s="54"/>
      <c r="Z15" s="7"/>
    </row>
    <row r="16" spans="1:51" s="55" customFormat="1" ht="5.0999999999999996" customHeight="1" x14ac:dyDescent="0.2">
      <c r="A16" s="44"/>
      <c r="B16" s="74"/>
      <c r="C16" s="74"/>
      <c r="D16" s="74"/>
      <c r="E16" s="74"/>
      <c r="F16" s="74"/>
      <c r="G16" s="74"/>
      <c r="H16" s="74"/>
      <c r="I16" s="74"/>
      <c r="J16" s="74"/>
      <c r="K16" s="74"/>
      <c r="L16" s="74"/>
      <c r="M16" s="50"/>
      <c r="N16" s="51"/>
      <c r="O16" s="51"/>
      <c r="P16" s="51"/>
      <c r="Q16" s="51"/>
      <c r="R16" s="51"/>
      <c r="S16" s="53"/>
      <c r="T16" s="7"/>
      <c r="U16" s="7"/>
      <c r="V16" s="54"/>
      <c r="W16" s="54"/>
      <c r="X16" s="54"/>
      <c r="Y16" s="54"/>
      <c r="Z16" s="7"/>
    </row>
    <row r="17" spans="1:26" ht="39.950000000000003" customHeight="1" x14ac:dyDescent="0.2">
      <c r="B17" s="11"/>
      <c r="C17" s="11"/>
      <c r="D17" s="11"/>
      <c r="E17" s="11"/>
      <c r="F17" s="11"/>
      <c r="G17" s="11"/>
      <c r="H17" s="11"/>
      <c r="I17" s="11"/>
      <c r="J17" s="11"/>
      <c r="K17" s="11"/>
      <c r="T17" s="7"/>
      <c r="U17" s="7"/>
      <c r="V17" s="54" t="s">
        <v>1330</v>
      </c>
      <c r="W17" s="54" t="s">
        <v>4627</v>
      </c>
      <c r="X17" s="54" t="s">
        <v>4628</v>
      </c>
      <c r="Z17" s="7"/>
    </row>
    <row r="18" spans="1:26" ht="20.100000000000001" customHeight="1" x14ac:dyDescent="0.2">
      <c r="B18" s="99" t="str" cm="1">
        <f t="array" ref="B18">"1. " &amp; INDEX(Trad, N18, Lang)</f>
        <v>1. Gegenstand</v>
      </c>
      <c r="C18" s="99"/>
      <c r="D18" s="100"/>
      <c r="E18" s="100"/>
      <c r="F18" s="100"/>
      <c r="G18" s="100"/>
      <c r="H18" s="100"/>
      <c r="I18" s="100"/>
      <c r="J18" s="100"/>
      <c r="K18" s="100"/>
      <c r="L18" s="101"/>
      <c r="N18" s="51">
        <v>109</v>
      </c>
      <c r="T18" s="7"/>
      <c r="U18" s="7"/>
      <c r="V18" s="46">
        <v>11</v>
      </c>
      <c r="W18" s="46" t="s">
        <v>2</v>
      </c>
      <c r="X18" s="46">
        <v>20</v>
      </c>
      <c r="Y18" s="58" t="s">
        <v>4629</v>
      </c>
      <c r="Z18" s="7"/>
    </row>
    <row r="19" spans="1:26" ht="15" customHeight="1" x14ac:dyDescent="0.2">
      <c r="B19" s="98" t="str" cm="1">
        <f t="array" ref="B19">INDEX(Trad, N19, Lang)</f>
        <v>Anwendungsbereich</v>
      </c>
      <c r="C19" s="29"/>
      <c r="D19" s="11"/>
      <c r="E19" s="11"/>
      <c r="F19" s="11"/>
      <c r="G19" s="11"/>
      <c r="H19" s="11"/>
      <c r="I19" s="11"/>
      <c r="J19" s="11"/>
      <c r="K19" s="11"/>
      <c r="N19" s="51">
        <v>110</v>
      </c>
      <c r="T19" s="7"/>
      <c r="U19" s="7"/>
      <c r="V19" s="54">
        <v>10</v>
      </c>
      <c r="W19" s="54">
        <v>1</v>
      </c>
      <c r="X19" s="54">
        <f>12.75*W19 + 2.25</f>
        <v>15</v>
      </c>
      <c r="Z19" s="7"/>
    </row>
    <row r="20" spans="1:26" ht="34.5" customHeight="1" x14ac:dyDescent="0.2">
      <c r="A20" s="35"/>
      <c r="B20" s="311" t="str" cm="1">
        <f t="array" ref="B20">INDEX(Trad, N20, Lang_measure)</f>
        <v xml:space="preserve">Betriebsoptimierungen von Kälteanlagen durch Senkung der Verflüssigungstemperatur im Gewerbe-, Gebäude- und Dienstleistungsbereich. </v>
      </c>
      <c r="C20" s="311"/>
      <c r="D20" s="311"/>
      <c r="E20" s="311"/>
      <c r="F20" s="311"/>
      <c r="G20" s="311"/>
      <c r="H20" s="311"/>
      <c r="I20" s="311"/>
      <c r="J20" s="311"/>
      <c r="K20" s="311"/>
      <c r="L20" s="311"/>
      <c r="N20" s="45">
        <v>151</v>
      </c>
      <c r="T20" s="7"/>
      <c r="U20" s="7"/>
      <c r="V20" s="54">
        <v>10</v>
      </c>
      <c r="W20" s="54">
        <v>2</v>
      </c>
      <c r="X20" s="54">
        <f>12.75*W20 + 2.25</f>
        <v>27.75</v>
      </c>
      <c r="Z20" s="7"/>
    </row>
    <row r="21" spans="1:26" ht="9.9499999999999993" customHeight="1" x14ac:dyDescent="0.2">
      <c r="A21" s="35"/>
      <c r="B21" s="11"/>
      <c r="C21" s="11"/>
      <c r="D21" s="11"/>
      <c r="E21" s="11"/>
      <c r="F21" s="11"/>
      <c r="G21" s="11"/>
      <c r="H21" s="11"/>
      <c r="I21" s="11"/>
      <c r="J21" s="11"/>
      <c r="K21" s="11"/>
      <c r="T21" s="7"/>
      <c r="U21" s="7"/>
      <c r="Z21" s="7"/>
    </row>
    <row r="22" spans="1:26" ht="15" customHeight="1" x14ac:dyDescent="0.2">
      <c r="A22" s="35"/>
      <c r="B22" s="98" t="str" cm="1">
        <f t="array" ref="B22">INDEX(Trad, N22, Lang)</f>
        <v>Beschreibung</v>
      </c>
      <c r="C22" s="29"/>
      <c r="D22" s="11"/>
      <c r="E22" s="11"/>
      <c r="F22" s="11"/>
      <c r="G22" s="11"/>
      <c r="H22" s="11"/>
      <c r="I22" s="11"/>
      <c r="J22" s="11"/>
      <c r="K22" s="11"/>
      <c r="N22" s="51">
        <v>111</v>
      </c>
      <c r="T22" s="7"/>
      <c r="U22" s="7"/>
      <c r="Z22" s="7"/>
    </row>
    <row r="23" spans="1:26" ht="36" customHeight="1" x14ac:dyDescent="0.2">
      <c r="A23" s="35"/>
      <c r="B23" s="311" t="str" cm="1">
        <f t="array" ref="B23">INDEX(Trad, N23, Lang_measure)</f>
        <v>Betriebsoptimierung von Kälteanlagen durch Reduktion der Betriebszeiten. Die Massnahme kann mit den anderen Betriebsoptimierungsmassnahmen KA-03 und KA-04 kombiniert werden.</v>
      </c>
      <c r="C23" s="311"/>
      <c r="D23" s="311"/>
      <c r="E23" s="311"/>
      <c r="F23" s="311"/>
      <c r="G23" s="311"/>
      <c r="H23" s="311"/>
      <c r="I23" s="311"/>
      <c r="J23" s="311"/>
      <c r="K23" s="311"/>
      <c r="L23" s="311"/>
      <c r="N23" s="45">
        <v>152</v>
      </c>
      <c r="T23" s="7"/>
      <c r="U23" s="7"/>
      <c r="V23" s="54">
        <v>10</v>
      </c>
      <c r="W23" s="54">
        <v>6</v>
      </c>
      <c r="X23" s="54">
        <f>12.75*W23 + 2.25</f>
        <v>78.75</v>
      </c>
      <c r="Z23" s="7"/>
    </row>
    <row r="24" spans="1:26" ht="19.5" customHeight="1" x14ac:dyDescent="0.2">
      <c r="A24" s="35"/>
      <c r="B24" s="317" t="str" cm="1">
        <f t="array" ref="B24">INDEX(Trad, N24, Lang)</f>
        <v>Wichtig</v>
      </c>
      <c r="C24" s="317"/>
      <c r="D24" s="317"/>
      <c r="E24" s="317"/>
      <c r="F24" s="317"/>
      <c r="G24" s="317"/>
      <c r="H24" s="317"/>
      <c r="I24" s="317"/>
      <c r="J24" s="317"/>
      <c r="K24" s="317"/>
      <c r="L24" s="317"/>
      <c r="N24" s="51">
        <v>153</v>
      </c>
      <c r="O24" s="51">
        <v>154</v>
      </c>
      <c r="T24" s="7"/>
      <c r="U24" s="7"/>
      <c r="V24" s="54">
        <v>10</v>
      </c>
      <c r="W24" s="54">
        <v>3</v>
      </c>
      <c r="X24" s="54">
        <f>12.75*W24 + 2.25</f>
        <v>40.5</v>
      </c>
      <c r="Z24" s="7"/>
    </row>
    <row r="25" spans="1:26" ht="33" customHeight="1" x14ac:dyDescent="0.2">
      <c r="A25" s="35"/>
      <c r="B25" s="316" t="str" cm="1">
        <f t="array" ref="B25">INDEX(Trad, O24, Lang)</f>
        <v>Wenn die Massnahme für eine Dauer von mehr als 5 Wochen und/oder über zwei oder mehr Monate hinweg umgesetzt wird, muss die Massnahme im Monitoring aufgeteilt werden.</v>
      </c>
      <c r="C25" s="316"/>
      <c r="D25" s="316"/>
      <c r="E25" s="316"/>
      <c r="F25" s="316"/>
      <c r="G25" s="316"/>
      <c r="H25" s="316"/>
      <c r="I25" s="316"/>
      <c r="J25" s="316"/>
      <c r="K25" s="316"/>
      <c r="L25" s="316"/>
      <c r="T25" s="7"/>
      <c r="U25" s="7"/>
      <c r="Z25" s="7"/>
    </row>
    <row r="26" spans="1:26" ht="20.100000000000001" customHeight="1" x14ac:dyDescent="0.2">
      <c r="A26" s="35"/>
      <c r="B26" s="11"/>
      <c r="C26" s="11"/>
      <c r="D26" s="11"/>
      <c r="E26" s="11"/>
      <c r="F26" s="11"/>
      <c r="G26" s="11"/>
      <c r="H26" s="11"/>
      <c r="I26" s="11"/>
      <c r="J26" s="11"/>
      <c r="K26" s="11"/>
      <c r="T26" s="7"/>
      <c r="U26" s="7"/>
      <c r="Z26" s="7"/>
    </row>
    <row r="27" spans="1:26" ht="20.100000000000001" customHeight="1" x14ac:dyDescent="0.2">
      <c r="A27" s="35"/>
      <c r="B27" s="99" t="str" cm="1">
        <f t="array" ref="B27">"2. " &amp; INDEX(Trad, N27, Lang)</f>
        <v>2. Anforderungen</v>
      </c>
      <c r="C27" s="99"/>
      <c r="D27" s="100"/>
      <c r="E27" s="100"/>
      <c r="F27" s="100"/>
      <c r="G27" s="100"/>
      <c r="H27" s="100"/>
      <c r="I27" s="100"/>
      <c r="J27" s="100"/>
      <c r="K27" s="100"/>
      <c r="L27" s="101"/>
      <c r="N27" s="51">
        <v>114</v>
      </c>
      <c r="T27" s="7"/>
      <c r="U27" s="7"/>
      <c r="V27" s="46">
        <v>11</v>
      </c>
      <c r="W27" s="46" t="s">
        <v>2</v>
      </c>
      <c r="X27" s="46">
        <v>20</v>
      </c>
      <c r="Y27" s="58" t="s">
        <v>4629</v>
      </c>
      <c r="Z27" s="7"/>
    </row>
    <row r="28" spans="1:26" s="61" customFormat="1" ht="40.5" customHeight="1" x14ac:dyDescent="0.2">
      <c r="A28" s="35"/>
      <c r="B28" s="311" t="str" cm="1">
        <f t="array" ref="B28">INDEX(Trad, N28, Lang)</f>
        <v xml:space="preserve">Nur Massnahmen, welche die Anforderungen der Energieverordnung (SR 730.01; EnV) einhalten, können angerechnet werden. Die zusätzlichen Anforderungen an die technischen Eigenschaften sowie an die Umsetzung der Massnahme sind in der Tabelle 1 festgelegt. </v>
      </c>
      <c r="C28" s="311"/>
      <c r="D28" s="311"/>
      <c r="E28" s="311"/>
      <c r="F28" s="311"/>
      <c r="G28" s="311"/>
      <c r="H28" s="311"/>
      <c r="I28" s="311"/>
      <c r="J28" s="311"/>
      <c r="K28" s="311"/>
      <c r="L28" s="311"/>
      <c r="M28" s="50"/>
      <c r="N28" s="59">
        <v>115</v>
      </c>
      <c r="O28" s="59"/>
      <c r="P28" s="59"/>
      <c r="Q28" s="59"/>
      <c r="R28" s="59"/>
      <c r="S28" s="60"/>
      <c r="T28" s="7"/>
      <c r="U28" s="7"/>
      <c r="V28" s="54">
        <v>10</v>
      </c>
      <c r="W28" s="54">
        <v>3</v>
      </c>
      <c r="X28" s="54">
        <f>12.75*W28 + 2.25</f>
        <v>40.5</v>
      </c>
      <c r="Y28" s="54"/>
      <c r="Z28" s="7"/>
    </row>
    <row r="29" spans="1:26" ht="5.0999999999999996" customHeight="1" x14ac:dyDescent="0.2">
      <c r="A29" s="35"/>
      <c r="B29" s="11"/>
      <c r="C29" s="11"/>
      <c r="D29" s="11"/>
      <c r="E29" s="11"/>
      <c r="F29" s="11"/>
      <c r="G29" s="11"/>
      <c r="H29" s="11"/>
      <c r="I29" s="11"/>
      <c r="J29" s="11"/>
      <c r="K29" s="11"/>
      <c r="T29" s="7"/>
      <c r="U29" s="7"/>
      <c r="Z29" s="7"/>
    </row>
    <row r="30" spans="1:26" ht="15" customHeight="1" x14ac:dyDescent="0.2">
      <c r="A30" s="35"/>
      <c r="B30" s="315" t="str" cm="1">
        <f t="array" ref="B30">INDEX(Trad, N30, Lang)</f>
        <v>Tabelle 1: Anforderungen</v>
      </c>
      <c r="C30" s="315"/>
      <c r="D30" s="315"/>
      <c r="E30" s="315"/>
      <c r="F30" s="315"/>
      <c r="G30" s="315"/>
      <c r="H30" s="315"/>
      <c r="I30" s="315"/>
      <c r="J30" s="315"/>
      <c r="K30" s="315"/>
      <c r="L30" s="315"/>
      <c r="N30" s="51">
        <v>116</v>
      </c>
      <c r="T30" s="7"/>
      <c r="U30" s="7"/>
      <c r="V30" s="54">
        <v>8</v>
      </c>
      <c r="W30" s="54" t="s">
        <v>2</v>
      </c>
      <c r="X30" s="54">
        <v>15</v>
      </c>
      <c r="Y30" s="121" t="s">
        <v>4720</v>
      </c>
      <c r="Z30" s="7"/>
    </row>
    <row r="31" spans="1:26" s="55" customFormat="1" ht="20.100000000000001" customHeight="1" x14ac:dyDescent="0.2">
      <c r="A31" s="35"/>
      <c r="B31" s="284"/>
      <c r="C31" s="285"/>
      <c r="D31" s="286"/>
      <c r="E31" s="312" t="str" cm="1">
        <f t="array" ref="E31">INDEX(Trad, O31, Lang)</f>
        <v>Altes System</v>
      </c>
      <c r="F31" s="312"/>
      <c r="G31" s="312"/>
      <c r="H31" s="313"/>
      <c r="I31" s="314" t="str" cm="1">
        <f t="array" ref="I31">INDEX(Trad, P31, Lang)</f>
        <v>Neues System</v>
      </c>
      <c r="J31" s="312"/>
      <c r="K31" s="312"/>
      <c r="L31" s="313"/>
      <c r="M31" s="50"/>
      <c r="N31" s="51"/>
      <c r="O31" s="51">
        <v>117</v>
      </c>
      <c r="P31" s="51">
        <v>118</v>
      </c>
      <c r="Q31" s="51"/>
      <c r="R31" s="51"/>
      <c r="S31" s="53"/>
      <c r="T31" s="7"/>
      <c r="U31" s="7"/>
      <c r="V31" s="46">
        <v>10</v>
      </c>
      <c r="W31" s="46" t="s">
        <v>2</v>
      </c>
      <c r="X31" s="46">
        <v>20</v>
      </c>
      <c r="Y31" s="58" t="s">
        <v>4629</v>
      </c>
      <c r="Z31" s="7"/>
    </row>
    <row r="32" spans="1:26" ht="108.75" customHeight="1" x14ac:dyDescent="0.2">
      <c r="A32" s="35"/>
      <c r="B32" s="294" t="str" cm="1">
        <f t="array" ref="B32">INDEX(Trad, N32, Lang_measure)</f>
        <v>Technologie</v>
      </c>
      <c r="C32" s="295"/>
      <c r="D32" s="296"/>
      <c r="E32" s="298" t="str" cm="1">
        <f t="array" ref="E32">INDEX(Trad, O32, Lang_measure)</f>
        <v xml:space="preserve">Netzbetriebene Kälteanlagen im Geltungsbereich der Anhänge 1.14 oder 2.11 EnEV (SR 730.02; EnEV) mit einer Nennkälteleistung bis zu:
   - 80 kW im Anwendungsbereich Komfortklima mit Direktverdampfer
   - 200 kW in den Anwendungsbereichen Komfortklima Kälteträger, IT-Server und Prozesskälte
</v>
      </c>
      <c r="F32" s="299"/>
      <c r="G32" s="299"/>
      <c r="H32" s="299"/>
      <c r="I32" s="299"/>
      <c r="J32" s="299"/>
      <c r="K32" s="299"/>
      <c r="L32" s="300"/>
      <c r="N32" s="45">
        <v>170</v>
      </c>
      <c r="O32" s="45">
        <v>171</v>
      </c>
      <c r="P32" s="45">
        <v>172</v>
      </c>
      <c r="T32" s="7"/>
      <c r="U32" s="7"/>
      <c r="V32" s="54">
        <v>10</v>
      </c>
      <c r="W32" s="54">
        <v>3</v>
      </c>
      <c r="X32" s="54">
        <f>12.75*W32 + 2.25</f>
        <v>40.5</v>
      </c>
      <c r="Z32" s="7"/>
    </row>
    <row r="33" spans="1:26" ht="66" hidden="1" customHeight="1" x14ac:dyDescent="0.2">
      <c r="A33" s="35"/>
      <c r="B33" s="291" t="str" cm="1">
        <f t="array" ref="B33">INDEX(Trad, N33, Lang_measure)</f>
        <v>Die gesamte installierte Nennkühlleistung des neuen Systems müssen kleiner oder gleich wie die gesamte installierte Nennkühlleistung des alten Systems sein.</v>
      </c>
      <c r="C33" s="292"/>
      <c r="D33" s="293"/>
      <c r="E33" s="291" cm="1">
        <f t="array" ref="E33">INDEX(Trad, O33, Lang_measure)</f>
        <v>0</v>
      </c>
      <c r="F33" s="297"/>
      <c r="G33" s="297"/>
      <c r="H33" s="293"/>
      <c r="I33" s="292" cm="1">
        <f t="array" ref="I33">INDEX(Trad, P33, Lang_measure)</f>
        <v>0</v>
      </c>
      <c r="J33" s="297"/>
      <c r="K33" s="297"/>
      <c r="L33" s="293"/>
      <c r="N33" s="45">
        <v>173</v>
      </c>
      <c r="O33" s="45">
        <v>174</v>
      </c>
      <c r="P33" s="45">
        <v>175</v>
      </c>
      <c r="T33" s="7"/>
      <c r="U33" s="7"/>
      <c r="V33" s="54">
        <v>10</v>
      </c>
      <c r="W33" s="54">
        <v>5</v>
      </c>
      <c r="X33" s="54">
        <f>12.75*W33 + 2.25</f>
        <v>66</v>
      </c>
      <c r="Z33" s="7"/>
    </row>
    <row r="34" spans="1:26" ht="39.75" hidden="1" customHeight="1" x14ac:dyDescent="0.2">
      <c r="A34" s="35"/>
      <c r="B34" s="291" t="str" cm="1">
        <f t="array" ref="B34">INDEX(Trad, N34, Lang_measure)</f>
        <v>Energieeffizienz</v>
      </c>
      <c r="C34" s="292"/>
      <c r="D34" s="293"/>
      <c r="E34" s="291" t="str" cm="1">
        <f t="array" ref="E34">INDEX(Trad, O34, Lang_measure)</f>
        <v>-</v>
      </c>
      <c r="F34" s="297"/>
      <c r="G34" s="297"/>
      <c r="H34" s="297"/>
      <c r="I34" s="297" t="str" cm="1">
        <f t="array" ref="I34">INDEX(Trad, P34, Lang_measure)</f>
        <v>Energieeffizienzklasse (Kühlen) von mindestens A+++</v>
      </c>
      <c r="J34" s="297"/>
      <c r="K34" s="297"/>
      <c r="L34" s="293"/>
      <c r="N34" s="45">
        <v>176</v>
      </c>
      <c r="O34" s="45">
        <v>177</v>
      </c>
      <c r="P34" s="45">
        <v>178</v>
      </c>
      <c r="T34" s="7"/>
      <c r="U34" s="7"/>
      <c r="V34" s="54">
        <v>10</v>
      </c>
      <c r="W34" s="54">
        <v>8</v>
      </c>
      <c r="X34" s="54">
        <f>12.75*W34 + 2.25</f>
        <v>104.25</v>
      </c>
      <c r="Z34" s="7"/>
    </row>
    <row r="35" spans="1:26" s="55" customFormat="1" ht="20.100000000000001" hidden="1" customHeight="1" x14ac:dyDescent="0.2">
      <c r="A35" s="35"/>
      <c r="B35" s="284"/>
      <c r="C35" s="285"/>
      <c r="D35" s="286"/>
      <c r="E35" s="289" t="str" cm="1">
        <f t="array" ref="E35">INDEX(Trad, O35, Lang)</f>
        <v>Altes / Neues System</v>
      </c>
      <c r="F35" s="289"/>
      <c r="G35" s="289"/>
      <c r="H35" s="289"/>
      <c r="I35" s="289"/>
      <c r="J35" s="289"/>
      <c r="K35" s="289"/>
      <c r="L35" s="290"/>
      <c r="M35" s="50"/>
      <c r="N35" s="51"/>
      <c r="O35" s="51">
        <v>119</v>
      </c>
      <c r="P35" s="51"/>
      <c r="Q35" s="51"/>
      <c r="R35" s="51"/>
      <c r="S35" s="53"/>
      <c r="T35" s="7"/>
      <c r="U35" s="7"/>
      <c r="V35" s="46">
        <v>10</v>
      </c>
      <c r="W35" s="46" t="s">
        <v>2</v>
      </c>
      <c r="X35" s="46">
        <v>20</v>
      </c>
      <c r="Y35" s="58" t="s">
        <v>4629</v>
      </c>
      <c r="Z35" s="7"/>
    </row>
    <row r="36" spans="1:26" ht="60.75" hidden="1" customHeight="1" x14ac:dyDescent="0.2">
      <c r="A36" s="35"/>
      <c r="B36" s="291" t="str" cm="1">
        <f t="array" ref="B36">INDEX(Trad, N36, Lang_measure)</f>
        <v>Aufstellungsort</v>
      </c>
      <c r="C36" s="292"/>
      <c r="D36" s="293"/>
      <c r="E36" s="306" t="str" cm="1">
        <f t="array" ref="E36">INDEX(Trad, O36, Lang_measure)</f>
        <v>Die gekühlte Fläche des Gebäudes/Räume ohne Wohnnutzung muss 150 m2 oder kleiner sein und muss gemäss der Norm SIA 380:2015 ermittelt werden. Die Höhenlage des Gebäudes darf den Wert von 800 Meter über dem Meer nicht überschreit.</v>
      </c>
      <c r="F36" s="307"/>
      <c r="G36" s="307"/>
      <c r="H36" s="307"/>
      <c r="I36" s="307"/>
      <c r="J36" s="307"/>
      <c r="K36" s="307"/>
      <c r="L36" s="308"/>
      <c r="N36" s="45">
        <v>180</v>
      </c>
      <c r="O36" s="45">
        <v>181</v>
      </c>
      <c r="T36" s="7"/>
      <c r="U36" s="7"/>
      <c r="V36" s="54">
        <v>10</v>
      </c>
      <c r="W36" s="54">
        <v>2</v>
      </c>
      <c r="X36" s="54">
        <f>12.75*W36 + 2.25</f>
        <v>27.75</v>
      </c>
      <c r="Z36" s="188" t="s">
        <v>4868</v>
      </c>
    </row>
    <row r="37" spans="1:26" ht="38.25" hidden="1" customHeight="1" x14ac:dyDescent="0.2">
      <c r="A37" s="35"/>
      <c r="B37" s="291" t="str" cm="1">
        <f t="array" ref="B37">INDEX(Trad, N37, Lang_measure)</f>
        <v>Dimensionierung</v>
      </c>
      <c r="C37" s="292"/>
      <c r="D37" s="293"/>
      <c r="E37" s="307" t="str" cm="1">
        <f t="array" ref="E37">INDEX(Trad, O37, Lang_measure)</f>
        <v>Die gesamte installierte Nennkühlleistung des neuen Systems müssen kleiner oder gleich wie die gesamte installierte Nennkühlleistung des alten Systems sein.</v>
      </c>
      <c r="F37" s="307"/>
      <c r="G37" s="307"/>
      <c r="H37" s="307"/>
      <c r="I37" s="307"/>
      <c r="J37" s="307"/>
      <c r="K37" s="307"/>
      <c r="L37" s="308"/>
      <c r="N37" s="45">
        <v>172</v>
      </c>
      <c r="O37" s="45">
        <v>173</v>
      </c>
      <c r="T37" s="7"/>
      <c r="U37" s="7"/>
      <c r="V37" s="54">
        <v>10</v>
      </c>
      <c r="W37" s="54">
        <v>2</v>
      </c>
      <c r="X37" s="54">
        <f t="shared" ref="X37:X39" si="1">12.75*W37 + 2.25</f>
        <v>27.75</v>
      </c>
      <c r="Z37" s="7"/>
    </row>
    <row r="38" spans="1:26" ht="27.75" hidden="1" customHeight="1" x14ac:dyDescent="0.2">
      <c r="A38" s="35"/>
      <c r="B38" s="291" t="str" cm="1">
        <f t="array" ref="B38">INDEX(Trad, N38, Lang_measure)</f>
        <v>Anrechenbare Stromeinsparung** 
pro Energieeffizienzklasse
[kWh]</v>
      </c>
      <c r="C38" s="292"/>
      <c r="D38" s="293"/>
      <c r="E38" s="309" t="str" cm="1">
        <f t="array" ref="E38">INDEX(Trad, O38, Lang_measure)</f>
        <v>Alte Energieetikette***</v>
      </c>
      <c r="F38" s="309"/>
      <c r="G38" s="309"/>
      <c r="H38" s="309"/>
      <c r="I38" s="309"/>
      <c r="J38" s="309"/>
      <c r="K38" s="309"/>
      <c r="L38" s="310"/>
      <c r="N38" s="45">
        <v>184</v>
      </c>
      <c r="O38" s="45">
        <v>185</v>
      </c>
      <c r="T38" s="7"/>
      <c r="U38" s="7"/>
      <c r="V38" s="54">
        <v>10</v>
      </c>
      <c r="W38" s="54">
        <v>2</v>
      </c>
      <c r="X38" s="54">
        <f t="shared" si="1"/>
        <v>27.75</v>
      </c>
      <c r="Z38" s="7"/>
    </row>
    <row r="39" spans="1:26" ht="6" hidden="1" customHeight="1" x14ac:dyDescent="0.2">
      <c r="A39" s="35"/>
      <c r="B39" s="291" t="str" cm="1">
        <f t="array" ref="B39">INDEX(Trad, N39, Lang_measure)</f>
        <v>Alpensüdseite, bis 50 m2</v>
      </c>
      <c r="C39" s="292"/>
      <c r="D39" s="293"/>
      <c r="E39" s="292" t="str" cm="1">
        <f t="array" ref="E39">INDEX(Trad, O39, Lang_measure)</f>
        <v>Westschweiz und Wallis, bis 50 m2</v>
      </c>
      <c r="F39" s="297"/>
      <c r="G39" s="297"/>
      <c r="H39" s="297"/>
      <c r="I39" s="297"/>
      <c r="J39" s="297"/>
      <c r="K39" s="297"/>
      <c r="L39" s="293"/>
      <c r="N39" s="45">
        <v>186</v>
      </c>
      <c r="O39" s="45">
        <v>187</v>
      </c>
      <c r="T39" s="7"/>
      <c r="U39" s="7"/>
      <c r="V39" s="54">
        <v>10</v>
      </c>
      <c r="W39" s="54">
        <v>2</v>
      </c>
      <c r="X39" s="54">
        <f t="shared" si="1"/>
        <v>27.75</v>
      </c>
      <c r="Z39" s="7"/>
    </row>
    <row r="40" spans="1:26" ht="27.75" customHeight="1" x14ac:dyDescent="0.2">
      <c r="A40" s="35"/>
      <c r="B40" s="326" t="str" cm="1">
        <f t="array" ref="B40">INDEX(Trad, N40, Lang)</f>
        <v>Umsetzung</v>
      </c>
      <c r="C40" s="327"/>
      <c r="D40" s="328"/>
      <c r="E40" s="327" t="str" cm="1">
        <f t="array" ref="E40">INDEX(Trad, O40, Lang)</f>
        <v>Die Massnahme muss durch eine qualifizierte Fachperson / Unternehmen durchgeführt werden.</v>
      </c>
      <c r="F40" s="329"/>
      <c r="G40" s="329"/>
      <c r="H40" s="329"/>
      <c r="I40" s="329"/>
      <c r="J40" s="329"/>
      <c r="K40" s="329"/>
      <c r="L40" s="328"/>
      <c r="N40" s="51">
        <v>120</v>
      </c>
      <c r="O40" s="51">
        <v>121</v>
      </c>
      <c r="T40" s="7"/>
      <c r="U40" s="7"/>
      <c r="V40" s="54">
        <v>10</v>
      </c>
      <c r="W40" s="54">
        <v>2</v>
      </c>
      <c r="X40" s="54">
        <f>12.75*W40 + 2.25</f>
        <v>27.75</v>
      </c>
      <c r="Z40" s="7"/>
    </row>
    <row r="41" spans="1:26" ht="27.75" hidden="1" customHeight="1" x14ac:dyDescent="0.2">
      <c r="A41" s="35"/>
      <c r="B41" s="305" t="str" cm="1">
        <f t="array" ref="B41">INDEX(Trad, N41, Lang)</f>
        <v>Entsorgung</v>
      </c>
      <c r="C41" s="302"/>
      <c r="D41" s="304"/>
      <c r="E41" s="302" t="str" cm="1">
        <f t="array" ref="E41">INDEX(Trad, O41, Lang)</f>
        <v>Die verbrauchsrelevanten Komponenten der alten Geräte dürfen innerhalb der Schweiz nicht weiterbetrieben werden. Die fachgerechte Entsorgung oder die Ausfuhr muss auf Anfrage nachgewiesen werden können.</v>
      </c>
      <c r="F41" s="303"/>
      <c r="G41" s="303"/>
      <c r="H41" s="303"/>
      <c r="I41" s="303"/>
      <c r="J41" s="303"/>
      <c r="K41" s="303"/>
      <c r="L41" s="304"/>
      <c r="N41" s="51">
        <v>122</v>
      </c>
      <c r="O41" s="51">
        <v>123</v>
      </c>
      <c r="T41" s="7"/>
      <c r="U41" s="7"/>
      <c r="V41" s="54">
        <v>10</v>
      </c>
      <c r="W41" s="54">
        <v>2</v>
      </c>
      <c r="X41" s="54">
        <f>12.75*W41 + 2.25</f>
        <v>27.75</v>
      </c>
      <c r="Z41" s="7"/>
    </row>
    <row r="42" spans="1:26" ht="15" hidden="1" customHeight="1" x14ac:dyDescent="0.2">
      <c r="A42" s="35"/>
      <c r="B42" s="301"/>
      <c r="C42" s="301"/>
      <c r="D42" s="301"/>
      <c r="E42" s="301"/>
      <c r="F42" s="301"/>
      <c r="G42" s="301"/>
      <c r="H42" s="301"/>
      <c r="I42" s="301"/>
      <c r="J42" s="301"/>
      <c r="K42" s="301"/>
      <c r="L42" s="301"/>
      <c r="T42" s="7"/>
      <c r="U42" s="7"/>
      <c r="V42" s="121">
        <v>8</v>
      </c>
      <c r="W42" s="121" t="s">
        <v>2</v>
      </c>
      <c r="X42" s="121">
        <v>15</v>
      </c>
      <c r="Y42" s="121" t="s">
        <v>4716</v>
      </c>
      <c r="Z42" s="7"/>
    </row>
    <row r="43" spans="1:26" ht="20.100000000000001" customHeight="1" x14ac:dyDescent="0.2">
      <c r="A43" s="35"/>
      <c r="B43" s="11"/>
      <c r="C43" s="11"/>
      <c r="D43" s="11"/>
      <c r="E43" s="11"/>
      <c r="F43" s="11"/>
      <c r="G43" s="11"/>
      <c r="H43" s="11"/>
      <c r="I43" s="11"/>
      <c r="J43" s="11"/>
      <c r="K43" s="11"/>
      <c r="T43" s="7"/>
      <c r="U43" s="7"/>
      <c r="Z43" s="7"/>
    </row>
    <row r="44" spans="1:26" ht="20.100000000000001" customHeight="1" x14ac:dyDescent="0.2">
      <c r="A44" s="35"/>
      <c r="B44" s="99" t="str" cm="1">
        <f t="array" ref="B44">"3. " &amp; INDEX(Trad, N44, Lang)</f>
        <v>3. Nachweis</v>
      </c>
      <c r="C44" s="99"/>
      <c r="D44" s="100"/>
      <c r="E44" s="100"/>
      <c r="F44" s="100"/>
      <c r="G44" s="100"/>
      <c r="H44" s="100"/>
      <c r="I44" s="100"/>
      <c r="J44" s="100"/>
      <c r="K44" s="100"/>
      <c r="L44" s="101"/>
      <c r="N44" s="51">
        <v>125</v>
      </c>
      <c r="T44" s="7"/>
      <c r="U44" s="7"/>
      <c r="V44" s="46">
        <v>11</v>
      </c>
      <c r="W44" s="46" t="s">
        <v>2</v>
      </c>
      <c r="X44" s="46">
        <v>20</v>
      </c>
      <c r="Y44" s="58" t="s">
        <v>4629</v>
      </c>
      <c r="Z44" s="7"/>
    </row>
    <row r="45" spans="1:26" ht="27.75" customHeight="1" x14ac:dyDescent="0.2">
      <c r="A45" s="35"/>
      <c r="B45" s="311" t="str" cm="1">
        <f t="array" ref="B45">INDEX(Trad, N45, Lang)</f>
        <v>Die Einhaltung der Anforderungen muss durch die folgenden Dokumente belegt werden. Die in der Tabelle 2 aufgeführten Unterlagen sind integraler Bestandteil des Nachweises der Massnahmenumsetzung.</v>
      </c>
      <c r="C45" s="311"/>
      <c r="D45" s="311"/>
      <c r="E45" s="311"/>
      <c r="F45" s="311"/>
      <c r="G45" s="311"/>
      <c r="H45" s="311"/>
      <c r="I45" s="311"/>
      <c r="J45" s="311"/>
      <c r="K45" s="311"/>
      <c r="L45" s="311"/>
      <c r="N45" s="51">
        <v>126</v>
      </c>
      <c r="T45" s="7"/>
      <c r="U45" s="7"/>
      <c r="V45" s="54">
        <v>10</v>
      </c>
      <c r="W45" s="54">
        <v>2</v>
      </c>
      <c r="X45" s="54">
        <f>12.75*W45 + 2.25</f>
        <v>27.75</v>
      </c>
      <c r="Z45" s="7"/>
    </row>
    <row r="46" spans="1:26" ht="5.0999999999999996" customHeight="1" x14ac:dyDescent="0.2">
      <c r="A46" s="35"/>
      <c r="B46" s="35"/>
      <c r="C46" s="35"/>
      <c r="D46" s="35"/>
      <c r="E46" s="35"/>
      <c r="F46" s="35"/>
      <c r="G46" s="35"/>
      <c r="H46" s="35"/>
      <c r="I46" s="35"/>
      <c r="J46" s="35"/>
      <c r="K46" s="35"/>
      <c r="L46" s="35"/>
      <c r="T46" s="7"/>
      <c r="U46" s="7"/>
      <c r="Z46" s="7"/>
    </row>
    <row r="47" spans="1:26" ht="15" customHeight="1" x14ac:dyDescent="0.2">
      <c r="A47" s="35"/>
      <c r="B47" s="315" t="str" cm="1">
        <f t="array" ref="B47">INDEX(Trad, N47, Lang)</f>
        <v>Tabelle 2: Nachweise</v>
      </c>
      <c r="C47" s="315"/>
      <c r="D47" s="315"/>
      <c r="E47" s="315"/>
      <c r="F47" s="315"/>
      <c r="G47" s="315"/>
      <c r="H47" s="315"/>
      <c r="I47" s="315"/>
      <c r="J47" s="315"/>
      <c r="K47" s="315"/>
      <c r="L47" s="315"/>
      <c r="N47" s="51">
        <v>127</v>
      </c>
      <c r="T47" s="7"/>
      <c r="U47" s="7"/>
      <c r="V47" s="54">
        <v>8</v>
      </c>
      <c r="W47" s="54" t="s">
        <v>2</v>
      </c>
      <c r="X47" s="54">
        <v>15</v>
      </c>
      <c r="Y47" s="121" t="s">
        <v>4720</v>
      </c>
      <c r="Z47" s="7"/>
    </row>
    <row r="48" spans="1:26" ht="5.0999999999999996" customHeight="1" x14ac:dyDescent="0.2">
      <c r="A48" s="35"/>
      <c r="B48" s="112"/>
      <c r="C48" s="113"/>
      <c r="D48" s="113"/>
      <c r="E48" s="113"/>
      <c r="F48" s="113"/>
      <c r="G48" s="113"/>
      <c r="H48" s="113"/>
      <c r="I48" s="113"/>
      <c r="J48" s="113"/>
      <c r="K48" s="113"/>
      <c r="L48" s="114"/>
      <c r="T48" s="7"/>
      <c r="U48" s="7"/>
      <c r="Z48" s="7"/>
    </row>
    <row r="49" spans="1:26" ht="18" customHeight="1" x14ac:dyDescent="0.2">
      <c r="A49" s="35"/>
      <c r="B49" s="111" t="str">
        <f>IF(ISNUMBER(N49), T49 &amp; ".", "")</f>
        <v>1.</v>
      </c>
      <c r="C49" s="316" t="str" cm="1">
        <f t="array" ref="C49">IF(ISNUMBER(N49), INDEX(Trad, N49, Lang), "")</f>
        <v>Rechnungsbelege (Format PDF, PNG oder JPEG)</v>
      </c>
      <c r="D49" s="316"/>
      <c r="E49" s="316"/>
      <c r="F49" s="316"/>
      <c r="G49" s="316"/>
      <c r="H49" s="316"/>
      <c r="I49" s="316"/>
      <c r="J49" s="316"/>
      <c r="K49" s="316"/>
      <c r="L49" s="335"/>
      <c r="N49" s="51">
        <v>130</v>
      </c>
      <c r="T49" s="178">
        <v>1</v>
      </c>
      <c r="U49" s="7"/>
      <c r="V49" s="54">
        <v>10</v>
      </c>
      <c r="W49" s="54">
        <v>3</v>
      </c>
      <c r="X49" s="54">
        <f t="shared" ref="X49:X64" si="2">12.75*W49 + 2.25</f>
        <v>40.5</v>
      </c>
      <c r="Z49" s="188" t="s">
        <v>4870</v>
      </c>
    </row>
    <row r="50" spans="1:26" ht="5.0999999999999996" hidden="1" customHeight="1" x14ac:dyDescent="0.2">
      <c r="A50" s="35"/>
      <c r="B50" s="115"/>
      <c r="C50" s="116"/>
      <c r="D50" s="116"/>
      <c r="E50" s="116"/>
      <c r="F50" s="116"/>
      <c r="G50" s="116"/>
      <c r="H50" s="116"/>
      <c r="I50" s="116"/>
      <c r="J50" s="116"/>
      <c r="K50" s="116"/>
      <c r="L50" s="117"/>
      <c r="T50" s="178"/>
      <c r="U50" s="7"/>
      <c r="Z50" s="7"/>
    </row>
    <row r="51" spans="1:26" ht="5.0999999999999996" hidden="1" customHeight="1" x14ac:dyDescent="0.2">
      <c r="A51" s="35"/>
      <c r="B51" s="118"/>
      <c r="C51" s="119"/>
      <c r="D51" s="119"/>
      <c r="E51" s="119"/>
      <c r="F51" s="119"/>
      <c r="G51" s="119"/>
      <c r="H51" s="119"/>
      <c r="I51" s="119"/>
      <c r="J51" s="119"/>
      <c r="K51" s="119"/>
      <c r="L51" s="120"/>
      <c r="T51" s="178"/>
      <c r="U51" s="7"/>
      <c r="Z51" s="7"/>
    </row>
    <row r="52" spans="1:26" ht="14.25" hidden="1" customHeight="1" x14ac:dyDescent="0.2">
      <c r="A52" s="35"/>
      <c r="B52" s="111" t="str">
        <f>IF(ISNUMBER(N52), T52 &amp; ".", "")</f>
        <v>2.</v>
      </c>
      <c r="C52" s="316" t="str" cm="1">
        <f t="array" ref="C52">IF(ISNUMBER(N52), INDEX(Trad, N52, Lang), "")</f>
        <v>Erläuterung (Format PDF, max. 2 A4-Seiten), wie sichergestellt wird, dass die ersetzten Geräte fachgerecht entsorgt wurden (z. B. mittels Deklarationen, Entsorgungspositionen auf Unternehmerrechnungen, usw.).</v>
      </c>
      <c r="D52" s="316"/>
      <c r="E52" s="316"/>
      <c r="F52" s="316"/>
      <c r="G52" s="316"/>
      <c r="H52" s="316"/>
      <c r="I52" s="316"/>
      <c r="J52" s="316"/>
      <c r="K52" s="316"/>
      <c r="L52" s="335"/>
      <c r="N52" s="51">
        <v>129</v>
      </c>
      <c r="T52" s="178">
        <v>2</v>
      </c>
      <c r="U52" s="7"/>
      <c r="V52" s="54">
        <v>10</v>
      </c>
      <c r="W52" s="54">
        <v>3</v>
      </c>
      <c r="X52" s="54">
        <f t="shared" si="2"/>
        <v>40.5</v>
      </c>
      <c r="Z52" s="7"/>
    </row>
    <row r="53" spans="1:26" ht="5.0999999999999996" hidden="1" customHeight="1" x14ac:dyDescent="0.2">
      <c r="A53" s="35"/>
      <c r="B53" s="115"/>
      <c r="C53" s="116"/>
      <c r="D53" s="116"/>
      <c r="E53" s="116"/>
      <c r="F53" s="116"/>
      <c r="G53" s="116"/>
      <c r="H53" s="116"/>
      <c r="I53" s="116"/>
      <c r="J53" s="116"/>
      <c r="K53" s="116"/>
      <c r="L53" s="117"/>
      <c r="N53" s="45"/>
      <c r="T53" s="178"/>
      <c r="U53" s="7"/>
      <c r="Z53" s="7"/>
    </row>
    <row r="54" spans="1:26" ht="5.0999999999999996" hidden="1" customHeight="1" x14ac:dyDescent="0.2">
      <c r="A54" s="35"/>
      <c r="B54" s="118"/>
      <c r="C54" s="119"/>
      <c r="D54" s="119"/>
      <c r="E54" s="119"/>
      <c r="F54" s="119"/>
      <c r="G54" s="119"/>
      <c r="H54" s="119"/>
      <c r="I54" s="119"/>
      <c r="J54" s="119"/>
      <c r="K54" s="119"/>
      <c r="L54" s="120"/>
      <c r="N54" s="45"/>
      <c r="T54" s="178"/>
      <c r="U54" s="7"/>
      <c r="Z54" s="7"/>
    </row>
    <row r="55" spans="1:26" ht="36" hidden="1" customHeight="1" x14ac:dyDescent="0.2">
      <c r="A55" s="35"/>
      <c r="B55" s="111" t="str">
        <f>IF(ISNUMBER(N55), T55 &amp; ".", "")</f>
        <v>3.</v>
      </c>
      <c r="C55" s="316" t="str" cm="1">
        <f t="array" ref="C55">IF(LEN(INDEX(Trad, N55, Lang))&gt;0, INDEX(Trad, N55, Lang_measure), "")</f>
        <v/>
      </c>
      <c r="D55" s="316"/>
      <c r="E55" s="316"/>
      <c r="F55" s="316"/>
      <c r="G55" s="316"/>
      <c r="H55" s="316"/>
      <c r="I55" s="316"/>
      <c r="J55" s="316"/>
      <c r="K55" s="316"/>
      <c r="L55" s="335"/>
      <c r="N55" s="45">
        <v>160</v>
      </c>
      <c r="T55" s="178">
        <v>3</v>
      </c>
      <c r="U55" s="7"/>
      <c r="V55" s="54">
        <v>10</v>
      </c>
      <c r="W55" s="54">
        <v>3</v>
      </c>
      <c r="X55" s="54">
        <f t="shared" si="2"/>
        <v>40.5</v>
      </c>
      <c r="Z55" s="7"/>
    </row>
    <row r="56" spans="1:26" ht="5.0999999999999996" hidden="1" customHeight="1" x14ac:dyDescent="0.2">
      <c r="A56" s="35"/>
      <c r="B56" s="115"/>
      <c r="C56" s="116"/>
      <c r="D56" s="116"/>
      <c r="E56" s="116"/>
      <c r="F56" s="116"/>
      <c r="G56" s="116"/>
      <c r="H56" s="116"/>
      <c r="I56" s="116"/>
      <c r="J56" s="116"/>
      <c r="K56" s="116"/>
      <c r="L56" s="117"/>
      <c r="T56" s="178"/>
      <c r="U56" s="7"/>
      <c r="Z56" s="7"/>
    </row>
    <row r="57" spans="1:26" ht="5.0999999999999996" hidden="1" customHeight="1" x14ac:dyDescent="0.2">
      <c r="A57" s="35"/>
      <c r="B57" s="106"/>
      <c r="C57" s="103"/>
      <c r="D57" s="103"/>
      <c r="E57" s="103"/>
      <c r="F57" s="103"/>
      <c r="G57" s="103"/>
      <c r="H57" s="103"/>
      <c r="I57" s="103"/>
      <c r="J57" s="103"/>
      <c r="K57" s="103"/>
      <c r="L57" s="107"/>
      <c r="T57" s="178"/>
      <c r="U57" s="7"/>
      <c r="Z57" s="7"/>
    </row>
    <row r="58" spans="1:26" ht="40.5" hidden="1" customHeight="1" x14ac:dyDescent="0.2">
      <c r="A58" s="35"/>
      <c r="B58" s="111" t="str">
        <f>IF(ISNUMBER(N58), T58 &amp; ".", "")</f>
        <v>4.</v>
      </c>
      <c r="C58" s="316" t="str" cm="1">
        <f t="array" ref="C58">IF(LEN(INDEX(Trad, N58, Lang))&gt;0, INDEX(Trad, N58, Lang), "")</f>
        <v/>
      </c>
      <c r="D58" s="316"/>
      <c r="E58" s="316"/>
      <c r="F58" s="316"/>
      <c r="G58" s="316"/>
      <c r="H58" s="316"/>
      <c r="I58" s="316"/>
      <c r="J58" s="316"/>
      <c r="K58" s="316"/>
      <c r="L58" s="335"/>
      <c r="N58" s="51">
        <v>161</v>
      </c>
      <c r="T58" s="178">
        <v>4</v>
      </c>
      <c r="U58" s="7"/>
      <c r="V58" s="54">
        <v>10</v>
      </c>
      <c r="W58" s="54">
        <v>3</v>
      </c>
      <c r="X58" s="54">
        <f t="shared" si="2"/>
        <v>40.5</v>
      </c>
      <c r="Z58" s="7"/>
    </row>
    <row r="59" spans="1:26" ht="5.0999999999999996" hidden="1" customHeight="1" x14ac:dyDescent="0.2">
      <c r="A59" s="35"/>
      <c r="B59" s="104"/>
      <c r="C59" s="73"/>
      <c r="D59" s="73"/>
      <c r="E59" s="73"/>
      <c r="F59" s="73"/>
      <c r="G59" s="73"/>
      <c r="H59" s="73"/>
      <c r="I59" s="73"/>
      <c r="J59" s="73"/>
      <c r="K59" s="73"/>
      <c r="L59" s="105"/>
      <c r="T59" s="178"/>
      <c r="U59" s="7"/>
      <c r="Z59" s="7"/>
    </row>
    <row r="60" spans="1:26" ht="5.0999999999999996" hidden="1" customHeight="1" x14ac:dyDescent="0.2">
      <c r="A60" s="35"/>
      <c r="B60" s="106"/>
      <c r="C60" s="103"/>
      <c r="D60" s="103"/>
      <c r="E60" s="103"/>
      <c r="F60" s="103"/>
      <c r="G60" s="103"/>
      <c r="H60" s="103"/>
      <c r="I60" s="103"/>
      <c r="J60" s="103"/>
      <c r="K60" s="103"/>
      <c r="L60" s="107"/>
      <c r="T60" s="178"/>
      <c r="U60" s="7"/>
      <c r="Z60" s="7"/>
    </row>
    <row r="61" spans="1:26" ht="40.5" hidden="1" customHeight="1" x14ac:dyDescent="0.2">
      <c r="A61" s="35"/>
      <c r="B61" s="111" t="str">
        <f>IF(ISNUMBER(N61), T61 &amp; ".", "")</f>
        <v>5.</v>
      </c>
      <c r="C61" s="316" t="str" cm="1">
        <f t="array" ref="C61">IF(LEN(INDEX(Trad, N61, Lang))&gt;0, INDEX(Trad, N61, Lang), "")</f>
        <v/>
      </c>
      <c r="D61" s="316"/>
      <c r="E61" s="316"/>
      <c r="F61" s="316"/>
      <c r="G61" s="316"/>
      <c r="H61" s="316"/>
      <c r="I61" s="316"/>
      <c r="J61" s="316"/>
      <c r="K61" s="316"/>
      <c r="L61" s="335"/>
      <c r="N61" s="51">
        <v>162</v>
      </c>
      <c r="T61" s="178">
        <v>5</v>
      </c>
      <c r="U61" s="7"/>
      <c r="V61" s="54">
        <v>10</v>
      </c>
      <c r="W61" s="54">
        <v>3</v>
      </c>
      <c r="X61" s="54">
        <f t="shared" si="2"/>
        <v>40.5</v>
      </c>
      <c r="Z61" s="7"/>
    </row>
    <row r="62" spans="1:26" ht="5.0999999999999996" hidden="1" customHeight="1" x14ac:dyDescent="0.2">
      <c r="A62" s="35"/>
      <c r="B62" s="104"/>
      <c r="C62" s="73"/>
      <c r="D62" s="73"/>
      <c r="E62" s="73"/>
      <c r="F62" s="73"/>
      <c r="G62" s="73"/>
      <c r="H62" s="73"/>
      <c r="I62" s="73"/>
      <c r="J62" s="73"/>
      <c r="K62" s="73"/>
      <c r="L62" s="105"/>
      <c r="T62" s="178"/>
      <c r="U62" s="7"/>
      <c r="Z62" s="7"/>
    </row>
    <row r="63" spans="1:26" ht="5.0999999999999996" hidden="1" customHeight="1" x14ac:dyDescent="0.2">
      <c r="A63" s="35"/>
      <c r="B63" s="106"/>
      <c r="C63" s="103"/>
      <c r="D63" s="103"/>
      <c r="E63" s="103"/>
      <c r="F63" s="103"/>
      <c r="G63" s="103"/>
      <c r="H63" s="103"/>
      <c r="I63" s="103"/>
      <c r="J63" s="103"/>
      <c r="K63" s="103"/>
      <c r="L63" s="107"/>
      <c r="T63" s="178"/>
      <c r="U63" s="7"/>
      <c r="Z63" s="7"/>
    </row>
    <row r="64" spans="1:26" ht="40.5" hidden="1" customHeight="1" x14ac:dyDescent="0.2">
      <c r="A64" s="35"/>
      <c r="B64" s="111" t="str">
        <f>IF(ISNUMBER(N64), T64 &amp; ".", "")</f>
        <v>6.</v>
      </c>
      <c r="C64" s="316" t="str" cm="1">
        <f t="array" ref="C64">IF(LEN(INDEX(Trad, N64, Lang))&gt;0, INDEX(Trad, N64, Lang), "")</f>
        <v/>
      </c>
      <c r="D64" s="316"/>
      <c r="E64" s="316"/>
      <c r="F64" s="316"/>
      <c r="G64" s="316"/>
      <c r="H64" s="316"/>
      <c r="I64" s="316"/>
      <c r="J64" s="316"/>
      <c r="K64" s="316"/>
      <c r="L64" s="335"/>
      <c r="N64" s="51">
        <v>163</v>
      </c>
      <c r="T64" s="178">
        <v>6</v>
      </c>
      <c r="U64" s="7"/>
      <c r="V64" s="54">
        <v>10</v>
      </c>
      <c r="W64" s="54">
        <v>3</v>
      </c>
      <c r="X64" s="54">
        <f t="shared" si="2"/>
        <v>40.5</v>
      </c>
      <c r="Z64" s="7"/>
    </row>
    <row r="65" spans="1:26" ht="5.0999999999999996" customHeight="1" x14ac:dyDescent="0.2">
      <c r="A65" s="35"/>
      <c r="B65" s="108"/>
      <c r="C65" s="109"/>
      <c r="D65" s="109"/>
      <c r="E65" s="109"/>
      <c r="F65" s="109"/>
      <c r="G65" s="109"/>
      <c r="H65" s="109"/>
      <c r="I65" s="109"/>
      <c r="J65" s="109"/>
      <c r="K65" s="109"/>
      <c r="L65" s="110"/>
      <c r="T65" s="178"/>
      <c r="U65" s="7"/>
      <c r="Z65" s="7"/>
    </row>
    <row r="66" spans="1:26" ht="15" customHeight="1" x14ac:dyDescent="0.2">
      <c r="A66" s="35"/>
      <c r="B66" s="334"/>
      <c r="C66" s="334"/>
      <c r="D66" s="334"/>
      <c r="E66" s="334"/>
      <c r="F66" s="334"/>
      <c r="G66" s="334"/>
      <c r="H66" s="334"/>
      <c r="I66" s="334"/>
      <c r="J66" s="334"/>
      <c r="K66" s="334"/>
      <c r="L66" s="334"/>
      <c r="N66" s="51">
        <v>131</v>
      </c>
      <c r="T66" s="7"/>
      <c r="U66" s="7"/>
      <c r="V66" s="121">
        <v>8</v>
      </c>
      <c r="W66" s="121" t="s">
        <v>2</v>
      </c>
      <c r="X66" s="121">
        <v>15</v>
      </c>
      <c r="Y66" s="121" t="s">
        <v>4716</v>
      </c>
      <c r="Z66" s="7"/>
    </row>
    <row r="67" spans="1:26" ht="9.9499999999999993" hidden="1" customHeight="1" x14ac:dyDescent="0.2">
      <c r="A67" s="35"/>
      <c r="B67" s="11"/>
      <c r="C67" s="11"/>
      <c r="D67" s="11"/>
      <c r="E67" s="11"/>
      <c r="F67" s="11"/>
      <c r="G67" s="11"/>
      <c r="H67" s="11"/>
      <c r="I67" s="11"/>
      <c r="J67" s="11"/>
      <c r="K67" s="11"/>
      <c r="T67" s="7"/>
      <c r="Z67" s="7"/>
    </row>
    <row r="68" spans="1:26" ht="15" customHeight="1" x14ac:dyDescent="0.2">
      <c r="B68" s="98" t="str" cm="1">
        <f t="array" ref="B68">INDEX(Trad, N68, Lang)</f>
        <v>Meldung der Massnahme</v>
      </c>
      <c r="C68" s="29"/>
      <c r="D68" s="11"/>
      <c r="E68" s="11"/>
      <c r="F68" s="11"/>
      <c r="G68" s="11"/>
      <c r="H68" s="11"/>
      <c r="I68" s="11"/>
      <c r="J68" s="11"/>
      <c r="K68" s="11"/>
      <c r="N68" s="51">
        <v>135</v>
      </c>
      <c r="T68" s="178" t="b">
        <v>0</v>
      </c>
      <c r="U68" s="187"/>
      <c r="V68" s="54">
        <v>10</v>
      </c>
      <c r="W68" s="54">
        <v>1</v>
      </c>
      <c r="X68" s="54">
        <f>12.75*W68 + 2.25</f>
        <v>15</v>
      </c>
      <c r="Z68" s="188" t="s">
        <v>4871</v>
      </c>
    </row>
    <row r="69" spans="1:26" ht="36" customHeight="1" x14ac:dyDescent="0.2">
      <c r="A69" s="35"/>
      <c r="B69" s="333" t="str" cm="1">
        <f t="array" ref="B69">IF(T68, INDEX(Trad, N69, Lang) &amp; " ", "") &amp; INDEX(Trad, O69, Lang) &amp; " " &amp; T69 &amp; " " &amp; INDEX(Trad, P69, Lang) &amp; " " &amp; U69 &amp; " " &amp; INDEX(Trad, Q69, Lang)</f>
        <v xml:space="preserve">Die Unterlagen unter Punkt 1   müssen nicht systematisch eingereicht werden, aber der Vollzugsbehörde bei einer allfälligen Kontrolle innerhalb von 30 Tagen vorgelegt werden können. </v>
      </c>
      <c r="C69" s="333"/>
      <c r="D69" s="333"/>
      <c r="E69" s="333"/>
      <c r="F69" s="333"/>
      <c r="G69" s="333"/>
      <c r="H69" s="333"/>
      <c r="I69" s="333"/>
      <c r="J69" s="333"/>
      <c r="K69" s="333"/>
      <c r="L69" s="333"/>
      <c r="N69" s="51">
        <v>136</v>
      </c>
      <c r="O69" s="51">
        <v>137</v>
      </c>
      <c r="P69" s="51">
        <v>138</v>
      </c>
      <c r="Q69" s="51">
        <v>139</v>
      </c>
      <c r="T69" s="178">
        <v>1</v>
      </c>
      <c r="U69" s="178"/>
      <c r="V69" s="54">
        <v>10</v>
      </c>
      <c r="W69" s="54">
        <v>3</v>
      </c>
      <c r="X69" s="54">
        <f t="shared" ref="X69" si="3">12.75*W69 + 2.25</f>
        <v>40.5</v>
      </c>
      <c r="Z69" s="188" t="s">
        <v>4872</v>
      </c>
    </row>
    <row r="70" spans="1:26" ht="20.100000000000001" customHeight="1" x14ac:dyDescent="0.2">
      <c r="A70" s="35"/>
      <c r="B70" s="11"/>
      <c r="C70" s="11"/>
      <c r="D70" s="11"/>
      <c r="E70" s="11"/>
      <c r="F70" s="11"/>
      <c r="G70" s="11"/>
      <c r="H70" s="11"/>
      <c r="I70" s="11"/>
      <c r="J70" s="11"/>
      <c r="K70" s="11"/>
      <c r="T70" s="7"/>
      <c r="U70" s="7"/>
      <c r="Z70" s="7"/>
    </row>
    <row r="71" spans="1:26" ht="20.100000000000001" customHeight="1" x14ac:dyDescent="0.2">
      <c r="A71" s="35"/>
      <c r="B71" s="99" t="str" cm="1">
        <f t="array" ref="B71">"4. " &amp; INDEX(Trad, N71, Lang)</f>
        <v>4. Berechnungen</v>
      </c>
      <c r="C71" s="99"/>
      <c r="D71" s="100"/>
      <c r="E71" s="100"/>
      <c r="F71" s="100"/>
      <c r="G71" s="100"/>
      <c r="H71" s="100"/>
      <c r="I71" s="100"/>
      <c r="J71" s="100"/>
      <c r="K71" s="100"/>
      <c r="L71" s="101"/>
      <c r="N71" s="51">
        <v>140</v>
      </c>
      <c r="T71" s="7"/>
      <c r="U71" s="7"/>
      <c r="V71" s="46">
        <v>11</v>
      </c>
      <c r="W71" s="46" t="s">
        <v>2</v>
      </c>
      <c r="X71" s="46">
        <v>20</v>
      </c>
      <c r="Y71" s="58" t="s">
        <v>4629</v>
      </c>
      <c r="Z71" s="7"/>
    </row>
    <row r="72" spans="1:26" s="61" customFormat="1" ht="43.5" customHeight="1" x14ac:dyDescent="0.2">
      <c r="A72" s="35"/>
      <c r="B72" s="311" t="str" cm="1">
        <f t="array" ref="B72">INDEX(Trad,N72,Lang) &amp; " " &amp; LEFT(L11, LEN(L11) - 1) &amp; INDEX(Trad,O72,Lang) &amp; "."</f>
        <v>Die anrechenbaren Stromeinsparungen der Massnahme werden abhängig von den festgelegten Eingabevariablen durch die Monitoringliste in Kilowattstunden berechnet. Informationen zu den Annahmen und der Berechnungsmethode sind in der zugehörigen Dokumentation KA-05 zu finden.</v>
      </c>
      <c r="C72" s="311"/>
      <c r="D72" s="311"/>
      <c r="E72" s="311"/>
      <c r="F72" s="311"/>
      <c r="G72" s="311"/>
      <c r="H72" s="311"/>
      <c r="I72" s="311"/>
      <c r="J72" s="311"/>
      <c r="K72" s="311"/>
      <c r="L72" s="311"/>
      <c r="M72" s="50"/>
      <c r="N72" s="59">
        <v>141</v>
      </c>
      <c r="O72" s="59">
        <v>142</v>
      </c>
      <c r="P72" s="59"/>
      <c r="Q72" s="59"/>
      <c r="R72" s="59"/>
      <c r="S72" s="60"/>
      <c r="T72" s="7"/>
      <c r="U72" s="7"/>
      <c r="V72" s="54">
        <v>10</v>
      </c>
      <c r="W72" s="54">
        <v>4</v>
      </c>
      <c r="X72" s="54">
        <f t="shared" ref="X72" si="4">12.75*W72 + 2.25</f>
        <v>53.25</v>
      </c>
      <c r="Y72" s="54"/>
      <c r="Z72" s="7"/>
    </row>
    <row r="73" spans="1:26" ht="20.100000000000001" customHeight="1" x14ac:dyDescent="0.2">
      <c r="A73" s="35"/>
      <c r="B73" s="11"/>
      <c r="C73" s="11"/>
      <c r="D73" s="11"/>
      <c r="E73" s="11"/>
      <c r="F73" s="11"/>
      <c r="G73" s="11"/>
      <c r="H73" s="11"/>
      <c r="I73" s="11"/>
      <c r="J73" s="11"/>
      <c r="K73" s="11"/>
      <c r="T73" s="7"/>
      <c r="U73" s="7"/>
      <c r="Z73" s="7"/>
    </row>
    <row r="74" spans="1:26" ht="20.100000000000001" customHeight="1" x14ac:dyDescent="0.2">
      <c r="A74" s="35"/>
      <c r="B74" s="99" t="str" cm="1">
        <f t="array" ref="B74">"5. "&amp;INDEX(Trad,N74,Lang)</f>
        <v>5. Einsparungen</v>
      </c>
      <c r="C74" s="99"/>
      <c r="D74" s="100"/>
      <c r="E74" s="100"/>
      <c r="F74" s="100"/>
      <c r="G74" s="100"/>
      <c r="H74" s="100"/>
      <c r="I74" s="100"/>
      <c r="J74" s="100"/>
      <c r="K74" s="100"/>
      <c r="L74" s="101"/>
      <c r="N74" s="51">
        <v>143</v>
      </c>
      <c r="T74" s="7"/>
      <c r="U74" s="7"/>
      <c r="V74" s="46">
        <v>11</v>
      </c>
      <c r="W74" s="46" t="s">
        <v>2</v>
      </c>
      <c r="X74" s="46">
        <v>20</v>
      </c>
      <c r="Y74" s="58" t="s">
        <v>4629</v>
      </c>
      <c r="Z74" s="7"/>
    </row>
    <row r="75" spans="1:26" ht="5.0999999999999996" customHeight="1" x14ac:dyDescent="0.2">
      <c r="A75" s="35"/>
      <c r="B75" s="26"/>
      <c r="C75" s="26"/>
      <c r="D75" s="11"/>
      <c r="E75" s="11"/>
      <c r="F75" s="11"/>
      <c r="G75" s="11"/>
      <c r="H75" s="11"/>
      <c r="I75" s="11"/>
      <c r="J75" s="11"/>
      <c r="K75" s="11"/>
      <c r="T75" s="7"/>
      <c r="U75" s="7"/>
      <c r="V75" s="46"/>
      <c r="W75" s="46"/>
      <c r="X75" s="46"/>
      <c r="Y75" s="58"/>
      <c r="Z75" s="7"/>
    </row>
    <row r="76" spans="1:26" ht="40.5" customHeight="1" x14ac:dyDescent="0.2">
      <c r="A76" s="35"/>
      <c r="B76" s="284" t="str" cm="1">
        <f t="array" ref="B76">INDEX(Trad, N76, Lang)</f>
        <v>Anrechenbare Stromeinsparungen* [kWh]</v>
      </c>
      <c r="C76" s="285"/>
      <c r="D76" s="285"/>
      <c r="E76" s="285"/>
      <c r="F76" s="285"/>
      <c r="G76" s="286"/>
      <c r="H76" s="330">
        <f>ROUND(B!D16, 1)</f>
        <v>1427.8</v>
      </c>
      <c r="I76" s="331"/>
      <c r="J76" s="331"/>
      <c r="K76" s="331"/>
      <c r="L76" s="332"/>
      <c r="N76" s="51">
        <v>144</v>
      </c>
      <c r="T76" s="7"/>
      <c r="U76" s="7"/>
      <c r="Z76" s="7"/>
    </row>
    <row r="77" spans="1:26" ht="15" customHeight="1" x14ac:dyDescent="0.2">
      <c r="A77" s="35"/>
      <c r="B77" s="301" t="str" cm="1">
        <f t="array" ref="B77">INDEX(Trad, N77, Lang) &amp; " " &amp; LEFT(L11, LEN(L11) - 1) &amp; INDEX(Trad, O77, Lang)</f>
        <v>* automatisch nach der in der Dokumentation KA-05 beschriebenen Berechnungsmethode berechnet</v>
      </c>
      <c r="C77" s="301"/>
      <c r="D77" s="301"/>
      <c r="E77" s="301"/>
      <c r="F77" s="301"/>
      <c r="G77" s="301"/>
      <c r="H77" s="301"/>
      <c r="I77" s="301"/>
      <c r="J77" s="301"/>
      <c r="K77" s="301"/>
      <c r="L77" s="301"/>
      <c r="N77" s="51">
        <v>145</v>
      </c>
      <c r="O77" s="51">
        <v>146</v>
      </c>
      <c r="T77" s="7"/>
      <c r="U77" s="7"/>
      <c r="V77" s="54">
        <v>8</v>
      </c>
      <c r="W77" s="54">
        <v>1</v>
      </c>
      <c r="X77" s="54">
        <f>11.25*W77 + 2.25</f>
        <v>13.5</v>
      </c>
      <c r="Z77" s="7"/>
    </row>
    <row r="78" spans="1:26" ht="20.100000000000001" customHeight="1" x14ac:dyDescent="0.2">
      <c r="A78" s="35"/>
      <c r="B78" s="11"/>
      <c r="C78" s="11"/>
      <c r="D78" s="11"/>
      <c r="E78" s="11"/>
      <c r="F78" s="11"/>
      <c r="G78" s="11"/>
      <c r="H78" s="11"/>
      <c r="I78" s="11"/>
      <c r="J78" s="11"/>
      <c r="K78" s="11"/>
      <c r="T78" s="7"/>
      <c r="U78" s="7"/>
      <c r="Z78" s="7"/>
    </row>
    <row r="79" spans="1:26" ht="20.100000000000001" customHeight="1" x14ac:dyDescent="0.2">
      <c r="A79" s="35"/>
      <c r="B79" s="99" t="str" cm="1">
        <f t="array" ref="B79">"6. " &amp; INDEX(Trad, N79, Lang)</f>
        <v>6. Referenz</v>
      </c>
      <c r="C79" s="99"/>
      <c r="D79" s="100"/>
      <c r="E79" s="100"/>
      <c r="F79" s="100"/>
      <c r="G79" s="100"/>
      <c r="H79" s="100"/>
      <c r="I79" s="100"/>
      <c r="J79" s="100"/>
      <c r="K79" s="100"/>
      <c r="L79" s="101"/>
      <c r="N79" s="51">
        <v>147</v>
      </c>
      <c r="T79" s="7"/>
      <c r="U79" s="7"/>
      <c r="V79" s="46">
        <v>11</v>
      </c>
      <c r="W79" s="46" t="s">
        <v>2</v>
      </c>
      <c r="X79" s="46">
        <v>20</v>
      </c>
      <c r="Y79" s="58" t="s">
        <v>4629</v>
      </c>
      <c r="Z79" s="7"/>
    </row>
    <row r="80" spans="1:26" s="55" customFormat="1" ht="15" customHeight="1" x14ac:dyDescent="0.2">
      <c r="A80" s="151"/>
      <c r="B80" s="324" t="str" cm="1">
        <f t="array" ref="B80">INDEX(Trad,N80,Lang)</f>
        <v>Elektrizitätslieferant</v>
      </c>
      <c r="C80" s="324"/>
      <c r="D80" s="324"/>
      <c r="E80" s="324"/>
      <c r="F80" s="324"/>
      <c r="G80" s="324"/>
      <c r="H80" s="325" t="str">
        <f>IF(ISBLANK(B!D14), "!", B!D14)</f>
        <v>Energia Beispiel AG</v>
      </c>
      <c r="I80" s="325"/>
      <c r="J80" s="325"/>
      <c r="K80" s="325"/>
      <c r="L80" s="325"/>
      <c r="M80" s="48"/>
      <c r="N80" s="51">
        <v>148</v>
      </c>
      <c r="O80" s="52"/>
      <c r="P80" s="52"/>
      <c r="Q80" s="52"/>
      <c r="R80" s="52"/>
      <c r="S80" s="53"/>
      <c r="T80" s="7"/>
      <c r="U80" s="7"/>
      <c r="V80" s="54"/>
      <c r="W80" s="54"/>
      <c r="X80" s="54"/>
      <c r="Y80" s="54"/>
      <c r="Z80" s="7"/>
    </row>
    <row r="81" spans="1:26" s="55" customFormat="1" ht="15" customHeight="1" x14ac:dyDescent="0.2">
      <c r="A81" s="151"/>
      <c r="B81" s="324" t="str" cm="1">
        <f t="array" ref="B81">INDEX(Trad,N81,Lang)</f>
        <v>Dateibezeichnung</v>
      </c>
      <c r="C81" s="324"/>
      <c r="D81" s="324"/>
      <c r="E81" s="324"/>
      <c r="F81" s="324"/>
      <c r="G81" s="324"/>
      <c r="H81" s="325" t="str">
        <f>IF(ISBLANK(B!D15), "-", B!D15)</f>
        <v>-</v>
      </c>
      <c r="I81" s="325"/>
      <c r="J81" s="325"/>
      <c r="K81" s="325"/>
      <c r="L81" s="325"/>
      <c r="M81" s="48"/>
      <c r="N81" s="51">
        <v>149</v>
      </c>
      <c r="O81" s="52"/>
      <c r="P81" s="52"/>
      <c r="Q81" s="52"/>
      <c r="R81" s="52"/>
      <c r="S81" s="53"/>
      <c r="T81" s="7"/>
      <c r="U81" s="7"/>
      <c r="V81" s="54"/>
      <c r="W81" s="54"/>
      <c r="X81" s="54"/>
      <c r="Y81" s="54"/>
      <c r="Z81" s="7"/>
    </row>
    <row r="82" spans="1:26" ht="12.75" customHeight="1" x14ac:dyDescent="0.2">
      <c r="T82" s="7"/>
      <c r="U82" s="7"/>
      <c r="Z82" s="7"/>
    </row>
    <row r="83" spans="1:26" ht="14.25" customHeight="1" x14ac:dyDescent="0.2">
      <c r="T83" s="7"/>
      <c r="U83" s="7"/>
      <c r="Z83" s="7"/>
    </row>
    <row r="84" spans="1:26" ht="14.25" customHeight="1" x14ac:dyDescent="0.2">
      <c r="T84" s="7"/>
      <c r="U84" s="7"/>
      <c r="Z84" s="7"/>
    </row>
    <row r="85" spans="1:26" ht="14.25" customHeight="1" x14ac:dyDescent="0.2">
      <c r="T85" s="7"/>
      <c r="U85" s="7"/>
      <c r="Z85" s="7"/>
    </row>
    <row r="86" spans="1:26" ht="14.25" customHeight="1" x14ac:dyDescent="0.2">
      <c r="T86" s="7"/>
      <c r="U86" s="7"/>
      <c r="Z86" s="7"/>
    </row>
    <row r="87" spans="1:26" ht="14.25" customHeight="1" x14ac:dyDescent="0.2">
      <c r="T87" s="7"/>
      <c r="U87" s="7"/>
      <c r="Z87" s="7"/>
    </row>
    <row r="88" spans="1:26" ht="14.25" customHeight="1" x14ac:dyDescent="0.2">
      <c r="T88" s="7"/>
      <c r="U88" s="7"/>
      <c r="Z88" s="7"/>
    </row>
    <row r="89" spans="1:26" ht="14.25" customHeight="1" x14ac:dyDescent="0.2">
      <c r="T89" s="7"/>
      <c r="U89" s="7"/>
      <c r="Z89" s="7"/>
    </row>
    <row r="90" spans="1:26" ht="14.25" customHeight="1" x14ac:dyDescent="0.2">
      <c r="T90" s="7"/>
      <c r="U90" s="7"/>
      <c r="Z90" s="7"/>
    </row>
  </sheetData>
  <sheetProtection algorithmName="SHA-512" hashValue="9mPrvjXUiQ9sNjLKYLJceuDBVRuf223Zi9iZBswlrR5mgge9BvqAJc6B2l9qLzZ9k8c73Xydqgmriz1v4tI8Cg==" saltValue="Ydah5mvQs7tyaKzpVJDnrA==" spinCount="100000" sheet="1" objects="1" scenarios="1"/>
  <mergeCells count="56">
    <mergeCell ref="C55:L55"/>
    <mergeCell ref="C58:L58"/>
    <mergeCell ref="C61:L61"/>
    <mergeCell ref="C64:L64"/>
    <mergeCell ref="B47:L47"/>
    <mergeCell ref="C52:L52"/>
    <mergeCell ref="B2:E2"/>
    <mergeCell ref="B80:G80"/>
    <mergeCell ref="B81:G81"/>
    <mergeCell ref="H80:L80"/>
    <mergeCell ref="H81:L81"/>
    <mergeCell ref="B39:D39"/>
    <mergeCell ref="B45:L45"/>
    <mergeCell ref="B40:D40"/>
    <mergeCell ref="E40:L40"/>
    <mergeCell ref="B77:L77"/>
    <mergeCell ref="B76:G76"/>
    <mergeCell ref="H76:L76"/>
    <mergeCell ref="B72:L72"/>
    <mergeCell ref="B69:L69"/>
    <mergeCell ref="B66:L66"/>
    <mergeCell ref="C49:L49"/>
    <mergeCell ref="B8:L8"/>
    <mergeCell ref="B9:L9"/>
    <mergeCell ref="B15:L15"/>
    <mergeCell ref="B20:L20"/>
    <mergeCell ref="K13:L13"/>
    <mergeCell ref="B10:L10"/>
    <mergeCell ref="B23:L23"/>
    <mergeCell ref="B28:L28"/>
    <mergeCell ref="E31:H31"/>
    <mergeCell ref="I31:L31"/>
    <mergeCell ref="B31:D31"/>
    <mergeCell ref="B30:L30"/>
    <mergeCell ref="B25:L25"/>
    <mergeCell ref="B24:L24"/>
    <mergeCell ref="B42:L42"/>
    <mergeCell ref="E41:L41"/>
    <mergeCell ref="B41:D41"/>
    <mergeCell ref="E36:L36"/>
    <mergeCell ref="E37:L37"/>
    <mergeCell ref="E38:L38"/>
    <mergeCell ref="E39:L39"/>
    <mergeCell ref="E35:L35"/>
    <mergeCell ref="B36:D36"/>
    <mergeCell ref="B37:D37"/>
    <mergeCell ref="B38:D38"/>
    <mergeCell ref="B32:D32"/>
    <mergeCell ref="B34:D34"/>
    <mergeCell ref="E34:H34"/>
    <mergeCell ref="E32:L32"/>
    <mergeCell ref="I34:L34"/>
    <mergeCell ref="B33:D33"/>
    <mergeCell ref="E33:H33"/>
    <mergeCell ref="I33:L33"/>
    <mergeCell ref="B35:D35"/>
  </mergeCells>
  <hyperlinks>
    <hyperlink ref="B2" location="Version!A1" display="Version!A1" xr:uid="{D18660A3-82B7-4DCC-983A-EF0EA871CB2E}"/>
  </hyperlinks>
  <printOptions horizontalCentered="1"/>
  <pageMargins left="0.43307086614173229" right="0.43307086614173229" top="0.74803149606299213" bottom="0.74803149606299213" header="0.31496062992125984" footer="0.31496062992125984"/>
  <pageSetup paperSize="9" scale="91" fitToHeight="0" orientation="portrait" horizontalDpi="90" verticalDpi="90" r:id="rId1"/>
  <headerFooter>
    <oddFooter>&amp;R&amp;"Arial,Standard"&amp;7&amp;P/&amp;N</oddFooter>
  </headerFooter>
  <rowBreaks count="2" manualBreakCount="2">
    <brk id="17" max="16383" man="1"/>
    <brk id="43" max="1638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3E22DC-2568-4E1D-ADC5-A4C22BE5725A}">
  <sheetPr>
    <tabColor rgb="FFFFFF66"/>
  </sheetPr>
  <dimension ref="A1:XFC1022"/>
  <sheetViews>
    <sheetView workbookViewId="0">
      <pane xSplit="1" ySplit="21" topLeftCell="B22" activePane="bottomRight" state="frozen"/>
      <selection pane="topRight" activeCell="B1" sqref="B1"/>
      <selection pane="bottomLeft" activeCell="A22" sqref="A22"/>
      <selection pane="bottomRight" activeCell="F27" sqref="F27"/>
    </sheetView>
  </sheetViews>
  <sheetFormatPr baseColWidth="10" defaultColWidth="0" defaultRowHeight="14.25" zeroHeight="1" outlineLevelRow="1" x14ac:dyDescent="0.2"/>
  <cols>
    <col min="1" max="1" width="5.7109375" style="7" customWidth="1"/>
    <col min="2" max="2" width="5.7109375" style="191" customWidth="1"/>
    <col min="3" max="4" width="25.7109375" style="7" customWidth="1"/>
    <col min="5" max="5" width="8.28515625" style="7" customWidth="1"/>
    <col min="6" max="7" width="25.7109375" style="7" customWidth="1"/>
    <col min="8" max="8" width="27.85546875" style="7" customWidth="1"/>
    <col min="9" max="10" width="30.7109375" style="7" customWidth="1"/>
    <col min="11" max="11" width="13.28515625" style="7" hidden="1" customWidth="1"/>
    <col min="12" max="13" width="13.28515625" style="7" customWidth="1"/>
    <col min="14" max="17" width="15.7109375" style="7" hidden="1" customWidth="1"/>
    <col min="18" max="18" width="22" style="7" customWidth="1"/>
    <col min="19" max="22" width="15.7109375" style="7" hidden="1" customWidth="1"/>
    <col min="23" max="25" width="13.28515625" style="7" customWidth="1"/>
    <col min="26" max="26" width="15.7109375" style="7" customWidth="1"/>
    <col min="27" max="27" width="20.7109375" style="7" customWidth="1"/>
    <col min="28" max="28" width="25.7109375" style="7" customWidth="1"/>
    <col min="29" max="29" width="8.28515625" style="7" customWidth="1"/>
    <col min="30" max="30" width="25.7109375" style="7" customWidth="1"/>
    <col min="31" max="31" width="15.7109375" style="191" customWidth="1"/>
    <col min="32" max="32" width="18" style="7" customWidth="1"/>
    <col min="33" max="33" width="5.7109375" style="7" customWidth="1"/>
    <col min="34" max="40" width="5.7109375" style="235" hidden="1"/>
    <col min="41" max="41" width="5.7109375" style="7" hidden="1"/>
    <col min="42" max="45" width="5.7109375" style="235" hidden="1"/>
    <col min="46" max="46" width="5.7109375" style="7" hidden="1"/>
    <col min="47" max="48" width="5.7109375" style="235" hidden="1"/>
    <col min="49" max="59" width="5.7109375" style="236" hidden="1"/>
    <col min="60" max="60" width="5.7109375" style="7" hidden="1"/>
    <col min="61" max="67" width="5.7109375" style="235" hidden="1"/>
    <col min="68" max="68" width="5.7109375" style="236" hidden="1"/>
    <col min="69" max="71" width="5.7109375" style="235" hidden="1"/>
    <col min="72" max="72" width="5.7109375" style="236" hidden="1"/>
    <col min="73" max="75" width="5.7109375" style="235" hidden="1"/>
    <col min="76" max="76" width="5.7109375" style="236" hidden="1"/>
    <col min="77" max="79" width="5.7109375" style="235" hidden="1"/>
    <col min="80" max="80" width="5.7109375" style="236" hidden="1"/>
    <col min="81" max="83" width="5.7109375" style="235" hidden="1"/>
    <col min="84" max="84" width="5.7109375" style="236" hidden="1"/>
    <col min="85" max="85" width="5.7109375" style="7" hidden="1"/>
    <col min="86" max="87" width="5.7109375" style="235" hidden="1"/>
    <col min="88" max="88" width="5.7109375" style="236" hidden="1"/>
    <col min="89" max="91" width="5.7109375" style="235" hidden="1"/>
    <col min="92" max="92" width="5.7109375" style="236" hidden="1"/>
    <col min="93" max="95" width="5.7109375" style="235" hidden="1"/>
    <col min="96" max="96" width="5.7109375" style="236" hidden="1"/>
    <col min="97" max="99" width="5.7109375" style="235" hidden="1"/>
    <col min="100" max="100" width="5.7109375" style="236" hidden="1"/>
    <col min="101" max="103" width="5.7109375" style="235" hidden="1"/>
    <col min="104" max="104" width="5.7109375" style="236" hidden="1"/>
    <col min="105" max="105" width="5.7109375" style="7" hidden="1"/>
    <col min="106" max="16383" width="9.140625" style="7" hidden="1"/>
    <col min="16384" max="16384" width="5.7109375" style="7" hidden="1"/>
  </cols>
  <sheetData>
    <row r="1" spans="1:24" s="65" customFormat="1" ht="12" customHeight="1" x14ac:dyDescent="0.25">
      <c r="A1" s="63"/>
      <c r="B1" s="344" t="str" cm="1">
        <f t="array" ref="B1">INDEX(Trad, 204, Lang)</f>
        <v>Zurück zur Übersicht</v>
      </c>
      <c r="C1" s="345"/>
      <c r="D1" s="209">
        <f>Lang</f>
        <v>1</v>
      </c>
      <c r="F1" s="71"/>
      <c r="G1" s="71"/>
      <c r="H1" s="71"/>
      <c r="I1" s="71"/>
      <c r="J1" s="64"/>
      <c r="K1" s="64"/>
      <c r="L1" s="64"/>
      <c r="S1" s="63"/>
      <c r="X1" s="63"/>
    </row>
    <row r="2" spans="1:24" s="65" customFormat="1" ht="12" customHeight="1" x14ac:dyDescent="0.2">
      <c r="A2" s="63"/>
      <c r="B2" s="132"/>
      <c r="D2" s="133"/>
      <c r="F2" s="71"/>
      <c r="G2" s="71"/>
      <c r="H2" s="71"/>
      <c r="I2" s="71"/>
      <c r="J2" s="64"/>
      <c r="K2" s="64"/>
      <c r="L2" s="64"/>
      <c r="S2" s="63"/>
      <c r="X2" s="63"/>
    </row>
    <row r="3" spans="1:24" s="69" customFormat="1" ht="20.100000000000001" customHeight="1" x14ac:dyDescent="0.2">
      <c r="A3" s="67"/>
      <c r="B3" s="16" t="str" cm="1">
        <f t="array" ref="B3">INDEX(Trad, 1, Lang)</f>
        <v>Monitoringliste</v>
      </c>
      <c r="C3" s="68"/>
      <c r="D3" s="127"/>
      <c r="F3" s="66"/>
      <c r="G3" s="66"/>
      <c r="H3" s="66"/>
      <c r="I3" s="66"/>
      <c r="L3" s="70"/>
      <c r="S3" s="67"/>
      <c r="T3" s="65"/>
      <c r="U3" s="65"/>
      <c r="X3" s="67"/>
    </row>
    <row r="4" spans="1:24" s="65" customFormat="1" ht="12" customHeight="1" x14ac:dyDescent="0.2">
      <c r="A4" s="63"/>
      <c r="B4" s="132" t="str" cm="1">
        <f t="array" ref="B4">INDEX(Trad, 23, Lang)</f>
        <v>Massnahme</v>
      </c>
      <c r="D4" s="133" t="str">
        <f>measure_id</f>
        <v>KA-05a</v>
      </c>
      <c r="F4" s="71"/>
      <c r="G4" s="71"/>
      <c r="H4" s="71"/>
      <c r="I4" s="71"/>
      <c r="J4" s="64"/>
      <c r="K4" s="64"/>
      <c r="L4" s="64"/>
      <c r="S4" s="63"/>
      <c r="X4" s="63"/>
    </row>
    <row r="5" spans="1:24" s="65" customFormat="1" ht="12" customHeight="1" x14ac:dyDescent="0.2">
      <c r="A5" s="63" t="s">
        <v>4758</v>
      </c>
      <c r="B5" s="132" t="str" cm="1">
        <f t="array" ref="B5">INDEX(Trad, 24, Lang)</f>
        <v>Version</v>
      </c>
      <c r="D5" s="133" t="str">
        <f>measure_version</f>
        <v>2.0 (11.2025)</v>
      </c>
      <c r="F5" s="71"/>
      <c r="G5" s="71"/>
      <c r="H5" s="71"/>
      <c r="I5" s="71"/>
      <c r="J5" s="64"/>
      <c r="K5" s="64"/>
      <c r="L5" s="64"/>
      <c r="S5" s="63"/>
      <c r="X5" s="63"/>
    </row>
    <row r="6" spans="1:24" s="69" customFormat="1" ht="24.95" customHeight="1" x14ac:dyDescent="0.25">
      <c r="A6" s="67"/>
      <c r="B6" s="157" t="str" cm="1">
        <f t="array" ref="B6">INDEX(Trad, 34, Lang)</f>
        <v>Jede Massnahme muss mit den gesamten Angaben vollständig erfasst werden (Pflichtfelder).</v>
      </c>
      <c r="D6" s="137"/>
      <c r="F6" s="71"/>
      <c r="G6" s="71"/>
      <c r="H6" s="71"/>
      <c r="I6" s="71"/>
      <c r="J6" s="71"/>
      <c r="K6" s="71"/>
      <c r="L6" s="71"/>
      <c r="S6" s="67"/>
      <c r="X6" s="67"/>
    </row>
    <row r="7" spans="1:24" s="65" customFormat="1" ht="12" customHeight="1" outlineLevel="1" x14ac:dyDescent="0.2">
      <c r="A7" s="63"/>
      <c r="B7" s="156"/>
      <c r="C7" s="143" t="str" cm="1">
        <f t="array" ref="C7">INDEX(Trad, 7, Lang)</f>
        <v>Eingabefeld (obligatorisch)</v>
      </c>
      <c r="F7" s="70"/>
      <c r="G7" s="70"/>
      <c r="H7" s="70"/>
      <c r="I7" s="70"/>
      <c r="J7" s="64"/>
      <c r="K7" s="64"/>
      <c r="L7" s="64"/>
      <c r="S7" s="63"/>
      <c r="X7" s="63"/>
    </row>
    <row r="8" spans="1:24" s="65" customFormat="1" ht="12" customHeight="1" outlineLevel="1" x14ac:dyDescent="0.2">
      <c r="A8" s="63"/>
      <c r="B8" s="155"/>
      <c r="C8" s="143" t="str" cm="1">
        <f t="array" ref="C8">INDEX(Trad, 18, Lang)</f>
        <v>Eingabefeld (optional)</v>
      </c>
      <c r="F8" s="70"/>
      <c r="G8" s="70"/>
      <c r="H8" s="70"/>
      <c r="I8" s="70"/>
      <c r="J8" s="64"/>
      <c r="K8" s="64"/>
      <c r="L8" s="64"/>
      <c r="S8" s="63"/>
      <c r="X8" s="63"/>
    </row>
    <row r="9" spans="1:24" s="65" customFormat="1" ht="12" customHeight="1" outlineLevel="1" x14ac:dyDescent="0.2">
      <c r="A9" s="63"/>
      <c r="B9" s="123"/>
      <c r="C9" s="143" t="str" cm="1">
        <f t="array" ref="C9">INDEX(Trad, 17, Lang)</f>
        <v>Mehrfachauswahlfeld (obligatorisch)</v>
      </c>
      <c r="F9" s="70"/>
      <c r="G9" s="70"/>
      <c r="H9" s="70"/>
      <c r="I9" s="70"/>
      <c r="J9" s="64"/>
      <c r="K9" s="64"/>
      <c r="L9" s="64"/>
      <c r="S9" s="63"/>
      <c r="X9" s="63"/>
    </row>
    <row r="10" spans="1:24" s="65" customFormat="1" ht="12" customHeight="1" outlineLevel="1" x14ac:dyDescent="0.2">
      <c r="A10" s="63"/>
      <c r="B10" s="124"/>
      <c r="C10" s="143" t="str" cm="1">
        <f t="array" ref="C10">INDEX(Trad, 8, Lang)</f>
        <v>Berechnetetes Feld</v>
      </c>
      <c r="F10" s="70"/>
      <c r="G10" s="70"/>
      <c r="H10" s="70"/>
      <c r="I10" s="70"/>
      <c r="J10" s="64"/>
      <c r="K10" s="64"/>
      <c r="L10" s="64"/>
      <c r="S10" s="63"/>
      <c r="X10" s="63"/>
    </row>
    <row r="11" spans="1:24" s="65" customFormat="1" ht="12" customHeight="1" outlineLevel="1" x14ac:dyDescent="0.2">
      <c r="A11" s="63"/>
      <c r="B11" s="125"/>
      <c r="C11" s="143" t="str" cm="1">
        <f t="array" ref="C11">INDEX(Trad, 9, Lang)</f>
        <v>Gesperrtes Feld</v>
      </c>
      <c r="F11" s="70"/>
      <c r="G11" s="70"/>
      <c r="H11" s="70"/>
      <c r="I11" s="70"/>
      <c r="J11" s="64"/>
      <c r="K11" s="64"/>
      <c r="L11" s="64"/>
      <c r="S11" s="63"/>
      <c r="X11" s="63"/>
    </row>
    <row r="12" spans="1:24" s="65" customFormat="1" ht="12" customHeight="1" outlineLevel="1" x14ac:dyDescent="0.2">
      <c r="A12" s="63"/>
      <c r="B12" s="126"/>
      <c r="C12" s="144" t="str" cm="1">
        <f t="array" ref="C12">INDEX(Trad, 19, Lang)</f>
        <v>Eingabefehler</v>
      </c>
      <c r="F12" s="128"/>
      <c r="G12" s="70"/>
      <c r="H12" s="70"/>
      <c r="I12" s="70"/>
      <c r="J12" s="64"/>
      <c r="K12" s="64"/>
      <c r="L12" s="64"/>
      <c r="S12" s="63"/>
      <c r="X12" s="63"/>
    </row>
    <row r="13" spans="1:24" s="65" customFormat="1" ht="12" customHeight="1" outlineLevel="1" x14ac:dyDescent="0.2">
      <c r="A13" s="63"/>
      <c r="B13" s="132"/>
      <c r="D13" s="133"/>
      <c r="F13" s="71"/>
      <c r="G13" s="71"/>
      <c r="H13" s="71"/>
      <c r="I13" s="71"/>
      <c r="J13" s="64"/>
      <c r="K13" s="64"/>
      <c r="L13" s="64"/>
      <c r="S13" s="63"/>
      <c r="X13" s="63"/>
    </row>
    <row r="14" spans="1:24" s="69" customFormat="1" ht="12.75" customHeight="1" x14ac:dyDescent="0.25">
      <c r="A14" s="67"/>
      <c r="B14" s="138" t="str" cm="1">
        <f t="array" ref="B14">INDEX(Trad, 27, Lang)</f>
        <v>Elektrizitätslieferant</v>
      </c>
      <c r="C14" s="139"/>
      <c r="D14" s="338" t="s">
        <v>4772</v>
      </c>
      <c r="E14" s="339"/>
      <c r="F14" s="154" t="str" cm="1">
        <f t="array" ref="F14">IF(ISBLANK(D14), INDEX(Trad, 30, $B$1),"")</f>
        <v/>
      </c>
      <c r="G14" s="71"/>
      <c r="H14" s="71"/>
      <c r="I14" s="142"/>
      <c r="J14" s="71"/>
      <c r="K14" s="71"/>
      <c r="L14" s="71"/>
      <c r="S14" s="67"/>
      <c r="X14" s="67"/>
    </row>
    <row r="15" spans="1:24" s="69" customFormat="1" ht="12.75" customHeight="1" x14ac:dyDescent="0.25">
      <c r="A15" s="67"/>
      <c r="B15" s="146" t="str" cm="1">
        <f t="array" ref="B15">INDEX(Trad, 28, Lang) &amp; "*"</f>
        <v>Dateibezeichnung*</v>
      </c>
      <c r="C15" s="147"/>
      <c r="D15" s="340"/>
      <c r="E15" s="341"/>
      <c r="F15" s="154"/>
      <c r="G15" s="71"/>
      <c r="H15" s="71"/>
      <c r="I15" s="142"/>
      <c r="J15" s="71"/>
      <c r="K15" s="71"/>
      <c r="L15" s="71"/>
      <c r="S15" s="67"/>
      <c r="X15" s="67"/>
    </row>
    <row r="16" spans="1:24" s="69" customFormat="1" ht="12.75" customHeight="1" x14ac:dyDescent="0.25">
      <c r="A16" s="67"/>
      <c r="B16" s="140" t="str" cm="1">
        <f t="array" ref="B16">INDEX(Trad, 26, Lang)</f>
        <v>Einsparungen (gesamte) [kWh]</v>
      </c>
      <c r="C16" s="141"/>
      <c r="D16" s="342">
        <f>SUM(AF22:AF1021)</f>
        <v>1427.7531734064739</v>
      </c>
      <c r="E16" s="343"/>
      <c r="F16" s="71"/>
      <c r="G16" s="71"/>
      <c r="H16" s="71"/>
      <c r="I16" s="71"/>
      <c r="J16" s="71"/>
      <c r="K16" s="71"/>
      <c r="L16" s="71"/>
      <c r="S16" s="67"/>
      <c r="X16" s="67"/>
    </row>
    <row r="17" spans="1:105" s="69" customFormat="1" ht="12.75" customHeight="1" x14ac:dyDescent="0.25">
      <c r="A17" s="67"/>
      <c r="B17" s="153" t="str" cm="1">
        <f t="array" ref="B17">"* " &amp; INDEX(Trad, 29, Lang)</f>
        <v>* Hier können Sie den unternehmensinternen Dateinamen einfügen</v>
      </c>
      <c r="D17" s="152"/>
      <c r="E17" s="152"/>
      <c r="F17" s="71"/>
      <c r="G17" s="71"/>
      <c r="H17" s="71"/>
      <c r="I17" s="71"/>
      <c r="K17" s="71"/>
      <c r="L17" s="71"/>
      <c r="M17" s="180"/>
      <c r="S17" s="67"/>
      <c r="X17" s="67"/>
    </row>
    <row r="18" spans="1:105" s="65" customFormat="1" ht="12" customHeight="1" x14ac:dyDescent="0.2">
      <c r="A18" s="63"/>
      <c r="B18" s="132"/>
      <c r="D18" s="133"/>
      <c r="F18" s="71"/>
      <c r="G18" s="71"/>
      <c r="H18" s="71"/>
      <c r="I18" s="71"/>
      <c r="K18" s="64"/>
      <c r="L18" s="64"/>
      <c r="S18" s="63"/>
      <c r="X18" s="63"/>
    </row>
    <row r="19" spans="1:105" s="198" customFormat="1" ht="35.1" customHeight="1" x14ac:dyDescent="0.25">
      <c r="B19" s="247"/>
      <c r="C19" s="207" t="str" cm="1">
        <f t="array" ref="C19">INDEX(Trad, 2, $D$1)</f>
        <v>Standort</v>
      </c>
      <c r="D19" s="211"/>
      <c r="E19" s="194"/>
      <c r="F19" s="195"/>
      <c r="G19" s="192" t="str" cm="1">
        <f t="array" ref="G19">INDEX(Trad, 28, $D$1)</f>
        <v>Dateibezeichnung</v>
      </c>
      <c r="H19" s="212"/>
      <c r="I19" s="212"/>
      <c r="J19" s="212"/>
      <c r="K19" s="212"/>
      <c r="L19" s="194"/>
      <c r="M19" s="194"/>
      <c r="N19" s="192" t="str" cm="1">
        <f t="array" ref="N19">INDEX(Trad, 3, $D$1)</f>
        <v>Alte Anlage/Gerät</v>
      </c>
      <c r="O19" s="193"/>
      <c r="P19" s="193"/>
      <c r="Q19" s="193"/>
      <c r="R19" s="248" t="str" cm="1">
        <f t="array" ref="R19">INDEX(Trad, 3, $D$1)</f>
        <v>Alte Anlage/Gerät</v>
      </c>
      <c r="S19" s="192"/>
      <c r="T19" s="193"/>
      <c r="U19" s="193"/>
      <c r="V19" s="193"/>
      <c r="W19" s="193" t="str" cm="1">
        <f t="array" ref="W19">INDEX(Trad, 4, $D$1)</f>
        <v>Neue Anlage/Gerät</v>
      </c>
      <c r="X19" s="193"/>
      <c r="Y19" s="193"/>
      <c r="Z19" s="195"/>
      <c r="AA19" s="336" t="str" cm="1">
        <f t="array" ref="AA19">INDEX(Trad, 5, $D$1)</f>
        <v>Firma, welche den Ersatz durchgeführt hat</v>
      </c>
      <c r="AB19" s="337"/>
      <c r="AC19" s="196"/>
      <c r="AD19" s="195"/>
      <c r="AE19" s="197" t="str" cm="1">
        <f t="array" ref="AE19">INDEX(Trad, 26, $D$1)</f>
        <v>Einsparungen (gesamte) [kWh]</v>
      </c>
      <c r="AF19" s="195"/>
      <c r="AG19" s="210"/>
      <c r="AH19" s="213" t="s">
        <v>4976</v>
      </c>
      <c r="AI19" s="214"/>
      <c r="AJ19" s="214"/>
      <c r="AK19" s="214"/>
      <c r="AL19" s="214"/>
      <c r="AM19" s="214"/>
      <c r="AN19" s="214"/>
      <c r="AO19" s="210"/>
      <c r="AP19" s="213" t="s">
        <v>5056</v>
      </c>
      <c r="AQ19" s="213"/>
      <c r="AR19" s="213"/>
      <c r="AS19" s="214"/>
      <c r="AT19" s="210"/>
      <c r="AU19" s="213" t="s">
        <v>4977</v>
      </c>
      <c r="AV19" s="214"/>
      <c r="AW19" s="215"/>
      <c r="AX19" s="215"/>
      <c r="AY19" s="215"/>
      <c r="AZ19" s="215"/>
      <c r="BA19" s="215"/>
      <c r="BB19" s="215"/>
      <c r="BC19" s="215"/>
      <c r="BD19" s="215"/>
      <c r="BE19" s="215"/>
      <c r="BF19" s="215"/>
      <c r="BG19" s="215"/>
      <c r="BH19" s="210"/>
      <c r="BI19" s="213"/>
      <c r="BJ19" s="214"/>
      <c r="BK19" s="214"/>
      <c r="BL19" s="214"/>
      <c r="BM19" s="214"/>
      <c r="BN19" s="214"/>
      <c r="BO19" s="216" t="s">
        <v>4978</v>
      </c>
      <c r="BP19" s="217"/>
      <c r="BQ19" s="217"/>
      <c r="BR19" s="217"/>
      <c r="BS19" s="217" t="s">
        <v>4979</v>
      </c>
      <c r="BT19" s="216"/>
      <c r="BU19" s="217"/>
      <c r="BV19" s="217"/>
      <c r="BW19" s="217" t="s">
        <v>4980</v>
      </c>
      <c r="BX19" s="216"/>
      <c r="BY19" s="218"/>
      <c r="BZ19" s="218"/>
      <c r="CA19" s="217" t="s">
        <v>4465</v>
      </c>
      <c r="CB19" s="216"/>
      <c r="CC19" s="218"/>
      <c r="CD19" s="218"/>
      <c r="CE19" s="218" t="s">
        <v>4981</v>
      </c>
      <c r="CF19" s="215"/>
      <c r="CG19" s="210"/>
      <c r="CH19" s="214"/>
      <c r="CI19" s="216" t="s">
        <v>4978</v>
      </c>
      <c r="CJ19" s="217"/>
      <c r="CK19" s="217"/>
      <c r="CL19" s="217"/>
      <c r="CM19" s="217" t="s">
        <v>4979</v>
      </c>
      <c r="CN19" s="216"/>
      <c r="CO19" s="217"/>
      <c r="CP19" s="217"/>
      <c r="CQ19" s="217" t="s">
        <v>4980</v>
      </c>
      <c r="CR19" s="216"/>
      <c r="CS19" s="218"/>
      <c r="CT19" s="218"/>
      <c r="CU19" s="217" t="s">
        <v>4465</v>
      </c>
      <c r="CV19" s="216"/>
      <c r="CW19" s="218"/>
      <c r="CX19" s="218"/>
      <c r="CY19" s="218" t="s">
        <v>4981</v>
      </c>
      <c r="CZ19" s="215"/>
      <c r="DA19" s="210"/>
    </row>
    <row r="20" spans="1:105" s="200" customFormat="1" ht="60" customHeight="1" x14ac:dyDescent="0.25">
      <c r="A20" s="219"/>
      <c r="B20" s="249"/>
      <c r="C20" s="250" t="str" cm="1">
        <f t="array" ref="C20">INDEX(Trad, 14, $D$1)</f>
        <v>Name</v>
      </c>
      <c r="D20" s="250" t="str" cm="1">
        <f t="array" ref="D20">INDEX(Trad, 12, $D$1)</f>
        <v>Adresse</v>
      </c>
      <c r="E20" s="250" t="str" cm="1">
        <f t="array" ref="E20">INDEX(Trad, 15, $D$1)</f>
        <v>PLZ</v>
      </c>
      <c r="F20" s="238" t="str" cm="1">
        <f t="array" ref="F20">INDEX(Trad, 10, $D$1)</f>
        <v>Gemeinde</v>
      </c>
      <c r="G20" s="250" t="str" cm="1">
        <f t="array" ref="G20">INDEX(Trad, 38, $D$1)</f>
        <v>Gebäudekategorie</v>
      </c>
      <c r="H20" s="238" t="str" cm="1">
        <f t="array" ref="H20">INDEX(Trad, 86, $D$1)</f>
        <v>Geograpfische Region (≥ 800 m)</v>
      </c>
      <c r="I20" s="238" t="str" cm="1">
        <f t="array" ref="I20">INDEX(Trad, 72, $D$1)</f>
        <v>Anwendung</v>
      </c>
      <c r="J20" s="238" t="str" cm="1">
        <f t="array" ref="J20">INDEX(Trad, 73, $D$1)</f>
        <v>Wärmeträger</v>
      </c>
      <c r="K20" s="250" t="s">
        <v>4982</v>
      </c>
      <c r="L20" s="239" t="str" cm="1">
        <f t="array" ref="L20">INDEX(Trad, 91, $D$1)</f>
        <v>Auslegung: Kälteleistung</v>
      </c>
      <c r="M20" s="238" t="str" cm="1">
        <f t="array" ref="M20">INDEX(Trad, 93, $D$1)</f>
        <v>Auslegung: Aussen-temperatur</v>
      </c>
      <c r="N20" s="250" t="str" cm="1">
        <f t="array" ref="N20">INDEX(Trad, 36, $D$1)</f>
        <v>Energie-bezugsfläche</v>
      </c>
      <c r="O20" s="250" t="str" cm="1">
        <f t="array" ref="O20">INDEX(Trad, 53, $D$1)</f>
        <v>Verschmutzt</v>
      </c>
      <c r="P20" s="250" cm="1">
        <f t="array" ref="P20">INDEX(Trad, 54, $D$1)</f>
        <v>0</v>
      </c>
      <c r="Q20" s="250" t="str" cm="1">
        <f t="array" ref="Q20">INDEX(Trad, 55, $D$1)</f>
        <v>Alpensüdseite</v>
      </c>
      <c r="R20" s="250" t="str" cm="1">
        <f t="array" ref="R20">INDEX(Trad, 20, $D$1)</f>
        <v>Strombedarf</v>
      </c>
      <c r="S20" s="250" t="str" cm="1">
        <f t="array" ref="S20">INDEX(Trad, 36, $D$1)</f>
        <v>Energie-bezugsfläche</v>
      </c>
      <c r="T20" s="250" t="str" cm="1">
        <f t="array" ref="T20">INDEX(Trad, 53, $D$1)</f>
        <v>Verschmutzt</v>
      </c>
      <c r="U20" s="250" cm="1">
        <f t="array" ref="U20">INDEX(Trad, 54, $D$1)</f>
        <v>0</v>
      </c>
      <c r="V20" s="250" t="str" cm="1">
        <f t="array" ref="V20">INDEX(Trad, 55, $D$1)</f>
        <v>Alpensüdseite</v>
      </c>
      <c r="W20" s="250" t="str" cm="1">
        <f t="array" ref="W20">INDEX(Trad, 77, $D$1)</f>
        <v>Anzahl betriebsfreie Wochentage</v>
      </c>
      <c r="X20" s="250" t="str" cm="1">
        <f t="array" ref="X20">INDEX(Trad, 78, $D$1)</f>
        <v>Anzahl Wochen ohne Betrieb</v>
      </c>
      <c r="Y20" s="250" t="str" cm="1">
        <f t="array" ref="Y20">INDEX(Trad, 79, $D$1)</f>
        <v>Monat der betriebsfreien Woche</v>
      </c>
      <c r="Z20" s="250" t="str" cm="1">
        <f t="array" ref="Z20">INDEX(Trad, 20, $D$1)</f>
        <v>Strombedarf</v>
      </c>
      <c r="AA20" s="199" t="s">
        <v>4522</v>
      </c>
      <c r="AB20" s="250" t="str" cm="1">
        <f t="array" ref="AB20">INDEX(Trad, 14, $D$1)</f>
        <v>Name</v>
      </c>
      <c r="AC20" s="250" t="str" cm="1">
        <f t="array" ref="AC20">INDEX(Trad, 15, $D$1)</f>
        <v>PLZ</v>
      </c>
      <c r="AD20" s="238" t="str" cm="1">
        <f t="array" ref="AD20">INDEX(Trad, 10, $D$1)</f>
        <v>Gemeinde</v>
      </c>
      <c r="AE20" s="250" t="str" cm="1">
        <f t="array" ref="AE20">INDEX(Trad, 16, $D$1)</f>
        <v>Datum Inbetriebnahme</v>
      </c>
      <c r="AF20" s="250" t="str" cm="1">
        <f t="array" ref="AF20">INDEX(Trad, 26, $D$1)</f>
        <v>Einsparungen (gesamte) [kWh]</v>
      </c>
      <c r="AG20" s="219"/>
      <c r="AH20" s="220" t="s">
        <v>4983</v>
      </c>
      <c r="AI20" s="220" t="s">
        <v>4984</v>
      </c>
      <c r="AJ20" s="220" t="s">
        <v>4985</v>
      </c>
      <c r="AK20" s="220" t="s">
        <v>4986</v>
      </c>
      <c r="AL20" s="220" t="s">
        <v>4986</v>
      </c>
      <c r="AM20" s="220" t="s">
        <v>4987</v>
      </c>
      <c r="AN20" s="220" t="s">
        <v>5057</v>
      </c>
      <c r="AO20" s="219"/>
      <c r="AP20" s="220" t="s">
        <v>5058</v>
      </c>
      <c r="AQ20" s="220" t="s">
        <v>5059</v>
      </c>
      <c r="AR20" s="220" t="s">
        <v>5059</v>
      </c>
      <c r="AS20" s="220" t="s">
        <v>5059</v>
      </c>
      <c r="AT20" s="219"/>
      <c r="AU20" s="221" t="s">
        <v>4988</v>
      </c>
      <c r="AV20" s="251" t="s">
        <v>4989</v>
      </c>
      <c r="AW20" s="251" t="s">
        <v>4274</v>
      </c>
      <c r="AX20" s="251" t="s">
        <v>7</v>
      </c>
      <c r="AY20" s="221">
        <v>1</v>
      </c>
      <c r="AZ20" s="221">
        <v>2</v>
      </c>
      <c r="BA20" s="221">
        <v>3</v>
      </c>
      <c r="BB20" s="221">
        <v>4</v>
      </c>
      <c r="BC20" s="221">
        <v>5</v>
      </c>
      <c r="BD20" s="221">
        <v>6</v>
      </c>
      <c r="BE20" s="221">
        <v>7</v>
      </c>
      <c r="BF20" s="222" t="s">
        <v>4990</v>
      </c>
      <c r="BG20" s="222" t="s">
        <v>4991</v>
      </c>
      <c r="BH20" s="210"/>
      <c r="BI20" s="220" t="s">
        <v>4992</v>
      </c>
      <c r="BJ20" s="220" t="s">
        <v>4993</v>
      </c>
      <c r="BK20" s="220" t="s">
        <v>4994</v>
      </c>
      <c r="BL20" s="220" t="s">
        <v>4995</v>
      </c>
      <c r="BM20" s="220" t="s">
        <v>4996</v>
      </c>
      <c r="BN20" s="220" t="s">
        <v>4997</v>
      </c>
      <c r="BO20" s="220" t="s">
        <v>4998</v>
      </c>
      <c r="BP20" s="223" t="s">
        <v>4999</v>
      </c>
      <c r="BQ20" s="220" t="s">
        <v>5000</v>
      </c>
      <c r="BR20" s="220" t="s">
        <v>4532</v>
      </c>
      <c r="BS20" s="220" t="s">
        <v>4998</v>
      </c>
      <c r="BT20" s="223" t="s">
        <v>4999</v>
      </c>
      <c r="BU20" s="220" t="s">
        <v>5000</v>
      </c>
      <c r="BV20" s="220" t="s">
        <v>4532</v>
      </c>
      <c r="BW20" s="220" t="s">
        <v>4998</v>
      </c>
      <c r="BX20" s="223" t="s">
        <v>4999</v>
      </c>
      <c r="BY20" s="220" t="s">
        <v>5000</v>
      </c>
      <c r="BZ20" s="220" t="s">
        <v>4532</v>
      </c>
      <c r="CA20" s="220" t="s">
        <v>4998</v>
      </c>
      <c r="CB20" s="223" t="s">
        <v>4999</v>
      </c>
      <c r="CC20" s="220" t="s">
        <v>5000</v>
      </c>
      <c r="CD20" s="220" t="s">
        <v>4532</v>
      </c>
      <c r="CE20" s="220" t="s">
        <v>4532</v>
      </c>
      <c r="CF20" s="221" t="s">
        <v>5001</v>
      </c>
      <c r="CG20" s="219"/>
      <c r="CH20" s="220" t="s">
        <v>4997</v>
      </c>
      <c r="CI20" s="220" t="s">
        <v>4998</v>
      </c>
      <c r="CJ20" s="224" t="s">
        <v>4999</v>
      </c>
      <c r="CK20" s="220" t="s">
        <v>5000</v>
      </c>
      <c r="CL20" s="220" t="s">
        <v>4532</v>
      </c>
      <c r="CM20" s="220" t="s">
        <v>4998</v>
      </c>
      <c r="CN20" s="224" t="s">
        <v>4999</v>
      </c>
      <c r="CO20" s="220" t="s">
        <v>5000</v>
      </c>
      <c r="CP20" s="220" t="s">
        <v>4532</v>
      </c>
      <c r="CQ20" s="220" t="s">
        <v>4998</v>
      </c>
      <c r="CR20" s="224" t="s">
        <v>4999</v>
      </c>
      <c r="CS20" s="220" t="s">
        <v>5000</v>
      </c>
      <c r="CT20" s="220" t="s">
        <v>4532</v>
      </c>
      <c r="CU20" s="220" t="s">
        <v>4998</v>
      </c>
      <c r="CV20" s="224" t="s">
        <v>4999</v>
      </c>
      <c r="CW20" s="220" t="s">
        <v>5000</v>
      </c>
      <c r="CX20" s="220" t="s">
        <v>4532</v>
      </c>
      <c r="CY20" s="220" t="s">
        <v>4532</v>
      </c>
      <c r="CZ20" s="221" t="s">
        <v>5001</v>
      </c>
      <c r="DA20" s="219"/>
    </row>
    <row r="21" spans="1:105" s="201" customFormat="1" ht="15" customHeight="1" x14ac:dyDescent="0.25">
      <c r="A21" s="225"/>
      <c r="B21" s="252" t="s">
        <v>4463</v>
      </c>
      <c r="C21" s="8" t="s">
        <v>2</v>
      </c>
      <c r="D21" s="8" t="s">
        <v>2</v>
      </c>
      <c r="E21" s="9" t="s">
        <v>2</v>
      </c>
      <c r="F21" s="9" t="s">
        <v>2</v>
      </c>
      <c r="G21" s="8" t="s">
        <v>2</v>
      </c>
      <c r="H21" s="8" t="s">
        <v>2</v>
      </c>
      <c r="I21" s="8" t="s">
        <v>2</v>
      </c>
      <c r="J21" s="8" t="s">
        <v>2</v>
      </c>
      <c r="K21" s="8" t="s">
        <v>2</v>
      </c>
      <c r="L21" s="8" t="s">
        <v>4878</v>
      </c>
      <c r="M21" s="8" t="s">
        <v>5002</v>
      </c>
      <c r="N21" s="8" t="s">
        <v>2</v>
      </c>
      <c r="O21" s="8" t="s">
        <v>5002</v>
      </c>
      <c r="P21" s="8" t="s">
        <v>5002</v>
      </c>
      <c r="Q21" s="8" t="s">
        <v>5003</v>
      </c>
      <c r="R21" s="8" t="s">
        <v>4879</v>
      </c>
      <c r="S21" s="8" t="s">
        <v>2</v>
      </c>
      <c r="T21" s="8" t="s">
        <v>5002</v>
      </c>
      <c r="U21" s="8" t="s">
        <v>5002</v>
      </c>
      <c r="V21" s="8" t="s">
        <v>5003</v>
      </c>
      <c r="W21" s="8" t="s">
        <v>5060</v>
      </c>
      <c r="X21" s="8" t="s">
        <v>2</v>
      </c>
      <c r="Y21" s="8" t="s">
        <v>2</v>
      </c>
      <c r="Z21" s="8" t="s">
        <v>4879</v>
      </c>
      <c r="AA21" s="9" t="s">
        <v>2</v>
      </c>
      <c r="AB21" s="9" t="s">
        <v>2</v>
      </c>
      <c r="AC21" s="9" t="s">
        <v>2</v>
      </c>
      <c r="AD21" s="9" t="s">
        <v>2</v>
      </c>
      <c r="AE21" s="9" t="s">
        <v>2</v>
      </c>
      <c r="AF21" s="9" t="s">
        <v>4765</v>
      </c>
      <c r="AG21" s="226"/>
      <c r="AH21" s="227" t="s">
        <v>4976</v>
      </c>
      <c r="AI21" s="227" t="s">
        <v>4976</v>
      </c>
      <c r="AJ21" s="227" t="s">
        <v>4976</v>
      </c>
      <c r="AK21" s="227" t="s">
        <v>4881</v>
      </c>
      <c r="AL21" s="227" t="s">
        <v>4882</v>
      </c>
      <c r="AM21" s="227" t="s">
        <v>5002</v>
      </c>
      <c r="AN21" s="227" t="s">
        <v>4976</v>
      </c>
      <c r="AO21" s="226" t="s">
        <v>5006</v>
      </c>
      <c r="AP21" s="227" t="s">
        <v>5061</v>
      </c>
      <c r="AQ21" s="227" t="s">
        <v>4976</v>
      </c>
      <c r="AR21" s="227" t="s">
        <v>5061</v>
      </c>
      <c r="AS21" s="227" t="s">
        <v>5062</v>
      </c>
      <c r="AT21" s="226"/>
      <c r="AU21" s="228" t="s">
        <v>5002</v>
      </c>
      <c r="AV21" s="228" t="s">
        <v>5005</v>
      </c>
      <c r="AW21" s="229" t="s">
        <v>5005</v>
      </c>
      <c r="AX21" s="229" t="s">
        <v>5005</v>
      </c>
      <c r="AY21" s="229"/>
      <c r="AZ21" s="229"/>
      <c r="BA21" s="229"/>
      <c r="BB21" s="229"/>
      <c r="BC21" s="229"/>
      <c r="BD21" s="229"/>
      <c r="BE21" s="229"/>
      <c r="BF21" s="229"/>
      <c r="BG21" s="229"/>
      <c r="BH21" s="210"/>
      <c r="BI21" s="228" t="s">
        <v>5002</v>
      </c>
      <c r="BJ21" s="228" t="s">
        <v>5002</v>
      </c>
      <c r="BK21" s="228" t="s">
        <v>5002</v>
      </c>
      <c r="BL21" s="228" t="s">
        <v>5002</v>
      </c>
      <c r="BM21" s="228" t="s">
        <v>4878</v>
      </c>
      <c r="BN21" s="229" t="s">
        <v>5002</v>
      </c>
      <c r="BO21" s="229" t="s">
        <v>5002</v>
      </c>
      <c r="BP21" s="229" t="s">
        <v>5002</v>
      </c>
      <c r="BQ21" s="228" t="s">
        <v>2</v>
      </c>
      <c r="BR21" s="228" t="s">
        <v>5004</v>
      </c>
      <c r="BS21" s="229" t="s">
        <v>5002</v>
      </c>
      <c r="BT21" s="229" t="s">
        <v>5002</v>
      </c>
      <c r="BU21" s="228" t="s">
        <v>2</v>
      </c>
      <c r="BV21" s="228" t="s">
        <v>5004</v>
      </c>
      <c r="BW21" s="229" t="s">
        <v>5002</v>
      </c>
      <c r="BX21" s="229" t="s">
        <v>5002</v>
      </c>
      <c r="BY21" s="228" t="s">
        <v>2</v>
      </c>
      <c r="BZ21" s="228" t="s">
        <v>5004</v>
      </c>
      <c r="CA21" s="229" t="s">
        <v>5002</v>
      </c>
      <c r="CB21" s="229" t="s">
        <v>5002</v>
      </c>
      <c r="CC21" s="228" t="s">
        <v>2</v>
      </c>
      <c r="CD21" s="228" t="s">
        <v>5004</v>
      </c>
      <c r="CE21" s="228" t="s">
        <v>5004</v>
      </c>
      <c r="CF21" s="228" t="s">
        <v>5004</v>
      </c>
      <c r="CG21" s="226"/>
      <c r="CH21" s="229" t="s">
        <v>5002</v>
      </c>
      <c r="CI21" s="229" t="s">
        <v>5002</v>
      </c>
      <c r="CJ21" s="229" t="s">
        <v>5002</v>
      </c>
      <c r="CK21" s="228" t="s">
        <v>2</v>
      </c>
      <c r="CL21" s="228" t="s">
        <v>5004</v>
      </c>
      <c r="CM21" s="229" t="s">
        <v>5002</v>
      </c>
      <c r="CN21" s="229" t="s">
        <v>5002</v>
      </c>
      <c r="CO21" s="228" t="s">
        <v>2</v>
      </c>
      <c r="CP21" s="228" t="s">
        <v>5004</v>
      </c>
      <c r="CQ21" s="229" t="s">
        <v>5002</v>
      </c>
      <c r="CR21" s="229" t="s">
        <v>5002</v>
      </c>
      <c r="CS21" s="228" t="s">
        <v>2</v>
      </c>
      <c r="CT21" s="228" t="s">
        <v>5004</v>
      </c>
      <c r="CU21" s="229" t="s">
        <v>5002</v>
      </c>
      <c r="CV21" s="229" t="s">
        <v>5002</v>
      </c>
      <c r="CW21" s="228" t="s">
        <v>2</v>
      </c>
      <c r="CX21" s="228" t="s">
        <v>5004</v>
      </c>
      <c r="CY21" s="228" t="s">
        <v>5004</v>
      </c>
      <c r="CZ21" s="228" t="s">
        <v>5004</v>
      </c>
      <c r="DA21" s="226"/>
    </row>
    <row r="22" spans="1:105" s="75" customFormat="1" ht="14.25" customHeight="1" x14ac:dyDescent="0.25">
      <c r="A22" s="230" t="b">
        <f t="shared" ref="A22:A85" si="0">IF(OR(AND($L22&gt;80, $AH22=1), AND($L22&gt;40, $AH22=3), AND($L22&gt;30, $AH22=4),), TRUE, FALSE)</f>
        <v>0</v>
      </c>
      <c r="B22" s="253">
        <v>1</v>
      </c>
      <c r="C22" s="266" t="s">
        <v>5063</v>
      </c>
      <c r="D22" s="266" t="s">
        <v>5064</v>
      </c>
      <c r="E22" s="254">
        <v>6600</v>
      </c>
      <c r="F22" s="255" t="str">
        <f>IF(ISBLANK(E22), "", VLOOKUP(E22, Z!$A$2:$C$4127, 3, FALSE))</f>
        <v>Locarno</v>
      </c>
      <c r="G22" s="256" t="s">
        <v>4819</v>
      </c>
      <c r="H22" s="256" t="s">
        <v>4886</v>
      </c>
      <c r="I22" s="256" t="s">
        <v>4958</v>
      </c>
      <c r="J22" s="257" t="s">
        <v>5035</v>
      </c>
      <c r="K22" s="258"/>
      <c r="L22" s="267">
        <v>50</v>
      </c>
      <c r="M22" s="268">
        <v>35</v>
      </c>
      <c r="N22" s="259" t="str" cm="1">
        <f t="array" ref="N22">IF($L22&gt;0, INDEX(Clean,1+AK22,$D$1), "")</f>
        <v>Sauber</v>
      </c>
      <c r="O22" s="260"/>
      <c r="P22" s="260"/>
      <c r="Q22" s="261"/>
      <c r="R22" s="264">
        <f>CF22*1000</f>
        <v>6120.7223985790788</v>
      </c>
      <c r="S22" s="259" t="str" cm="1">
        <f t="array" ref="S22">IF($L22&gt;0, INDEX(Clean,1+AL22,$D$1), "")</f>
        <v>Sauber</v>
      </c>
      <c r="T22" s="260"/>
      <c r="U22" s="260"/>
      <c r="V22" s="261"/>
      <c r="W22" s="267">
        <v>2</v>
      </c>
      <c r="X22" s="267"/>
      <c r="Y22" s="257"/>
      <c r="Z22" s="264">
        <f>(CZ22 - IF(W22&gt;0, CZ22*(W22/7)*AP22, 0) - IF(X22&gt;0, CZ22*(X22*AR22*AS22), 0))*1000</f>
        <v>5249.2150802688566</v>
      </c>
      <c r="AA22" s="269" t="s">
        <v>4462</v>
      </c>
      <c r="AB22" s="266" t="s">
        <v>4880</v>
      </c>
      <c r="AC22" s="254">
        <v>6600</v>
      </c>
      <c r="AD22" s="255" t="str">
        <f>IF(ISBLANK(AC22), "", VLOOKUP(AC22, Z!$A$2:$C$4127, 3, FALSE))</f>
        <v>Locarno</v>
      </c>
      <c r="AE22" s="270">
        <v>45575</v>
      </c>
      <c r="AF22" s="265">
        <f>0.75*AO$22*(R22-Z22)</f>
        <v>653.63048873266666</v>
      </c>
      <c r="AG22" s="246"/>
      <c r="AH22" s="228">
        <f t="shared" ref="AH22" si="1">IF(ISBLANK(I22), 1, IFERROR(MATCH(I22, INDEX(Use,,1), 0), IFERROR(MATCH(I22, INDEX(Use,,2), 0), MATCH(I22, INDEX(Use,,3), 0))))</f>
        <v>1</v>
      </c>
      <c r="AI22" s="228">
        <f t="shared" ref="AI22" si="2">IF(ISBLANK(H22), 1, IFERROR(MATCH(H22, INDEX(Loc,,1), 0), IFERROR(MATCH(H22, INDEX(Loc,,2), 0), MATCH(H22, INDEX(Loc,,3), 0))))</f>
        <v>1</v>
      </c>
      <c r="AJ22" s="228">
        <f t="shared" ref="AJ22" si="3">_xlfn.IFNA(IF(IFERROR(MATCH(J22, INDEX(Medium,,1), 0), IFERROR(MATCH(J22, INDEX(Medium,,2), 0), MATCH(J22, INDEX(Medium,,3), 0))) = 2, 1, 0), 0)</f>
        <v>0</v>
      </c>
      <c r="AK22" s="228">
        <v>0</v>
      </c>
      <c r="AL22" s="228">
        <v>0</v>
      </c>
      <c r="AM22" s="228">
        <f t="shared" ref="AM22:AM85" si="4">IF(AND(K22="x", AH22=5), 11, IF(AND(K22="x", AH22=6), 19, -100))</f>
        <v>-100</v>
      </c>
      <c r="AN22" s="228" cm="1">
        <f t="array" ref="AN22">IF(ISBLANK(G22), 1, IFERROR(MATCH(G22, INDEX(Kat,,1), 0), IFERROR(MATCH(Kat, INDEX(Use,,2), 0), MATCH(Kat, INDEX(Use,,3), 0))))</f>
        <v>2</v>
      </c>
      <c r="AO22" s="237">
        <v>1</v>
      </c>
      <c r="AP22" s="228" cm="1">
        <f t="array" ref="AP22">IF(W22&gt;0, INDEX(Kat, AN22,4), 0)</f>
        <v>0.49835222306339133</v>
      </c>
      <c r="AQ22" s="228">
        <f t="shared" ref="AQ22" si="5">IF(ISBLANK(Y22), 0, IFERROR(MATCH(Y22, INDEX(Month,,1), 0), IFERROR(MATCH(Y22, INDEX(Month,,2), 0), MATCH(Y22, INDEX(Month,,3), 0))))</f>
        <v>0</v>
      </c>
      <c r="AR22" s="228" cm="1">
        <f t="array" ref="AR22">IF(X22&gt;0, INDEX(Kat, $AN22, 4+AQ22), 0)</f>
        <v>0</v>
      </c>
      <c r="AS22" s="228" cm="1">
        <f t="array" ref="AS22">IF(X22&gt;0, INDEX(Kat, $AN22, 9+AQ22), 0)</f>
        <v>0</v>
      </c>
      <c r="AT22" s="246"/>
      <c r="AU22" s="228">
        <v>-19</v>
      </c>
      <c r="AV22" s="231">
        <v>0</v>
      </c>
      <c r="AW22" s="231">
        <v>0</v>
      </c>
      <c r="AX22" s="231">
        <v>0</v>
      </c>
      <c r="AY22" s="232">
        <f t="shared" ref="AY22:AZ80" si="6">MAX(0, ($AU22-19)/(35-19))</f>
        <v>0</v>
      </c>
      <c r="AZ22" s="232">
        <f t="shared" si="6"/>
        <v>0</v>
      </c>
      <c r="BA22" s="232" t="e" cm="1">
        <f t="array" ref="BA22">MIN(INDEX(Use,BA$20,5) + MAX(0, (1-INDEX(Use,BA$20,5))*($AU22-5)/(35-5)), 1)</f>
        <v>#REF!</v>
      </c>
      <c r="BB22" s="232" t="e" cm="1">
        <f t="array" ref="BB22">MIN(INDEX(Use,BB$20,5) + MAX(0, (1-INDEX(Use,BB$20,5))*($AU22-5)/(35-5)), 1)</f>
        <v>#REF!</v>
      </c>
      <c r="BC22" s="232" t="e" cm="1">
        <f t="array" ref="BC22">MIN(INDEX(Use,BC$20,5) + MAX(0, (1-INDEX(Use,BC$20,5))*($AU22-5)/(35-5)), 1)</f>
        <v>#REF!</v>
      </c>
      <c r="BD22" s="232" t="e" cm="1">
        <f t="array" ref="BD22">MIN(INDEX(Use,BD$20,5) + MAX(0, (1-INDEX(Use,BD$20,5))*($AU22-5)/(35-5)), 1)</f>
        <v>#REF!</v>
      </c>
      <c r="BE22" s="232" t="e" cm="1">
        <f t="array" ref="BE22">MIN(INDEX(Use,BE$20,5) + MAX(0, (1-INDEX(Use,BE$20,5))*($AU22-5)/(35-5)), 1)</f>
        <v>#REF!</v>
      </c>
      <c r="BF22" s="232">
        <v>1</v>
      </c>
      <c r="BG22" s="232">
        <v>1</v>
      </c>
      <c r="BH22" s="210"/>
      <c r="BI22" s="228" cm="1">
        <f t="array" ref="BI22">INDEX(Use, $AH22, 4)</f>
        <v>7</v>
      </c>
      <c r="BJ22" s="228">
        <f>MAX(25, BI22+25)</f>
        <v>32</v>
      </c>
      <c r="BK22" s="228">
        <f>IF($AJ22=1, 6, IF($AH22=4, 10, 13))</f>
        <v>13</v>
      </c>
      <c r="BL22" s="228">
        <f>IF($AJ22=1, 9, 0)</f>
        <v>0</v>
      </c>
      <c r="BM22" s="233" cm="1">
        <f t="array" ref="BM22">L22/IF($M22&gt;0, INDEX($AY$22:$BE$76, $M22+20, $AH22), 1)</f>
        <v>50</v>
      </c>
      <c r="BN22" s="229">
        <f>Q22 /  IF(AH22&lt;=2, 0.7 + 0.3 * (P22-20)/(35-20), 0.4 + 0.6 * (P22-5)/(35-5))</f>
        <v>0</v>
      </c>
      <c r="BO22" s="228">
        <v>35</v>
      </c>
      <c r="BP22" s="229">
        <f>MAX($O22, MAX($BJ22, $BO22 + $BK22 + $BL22 + 0.35*$AK22*$BK22 + BN22))</f>
        <v>48</v>
      </c>
      <c r="BQ22" s="234">
        <f>0.45*($BI22+273.15)/(BP22-$BI22)</f>
        <v>3.0748170731707316</v>
      </c>
      <c r="BR22" s="234" cm="1">
        <f t="array" ref="BR22">$BM22 * SUMPRODUCT(INDEX($AV$76:$AX$81,,$AI22),INDEX($AY$76:$BE$81,,$AH22), N($AU$76:$AU$81&gt;$AM22)) / BQ22 / 1000</f>
        <v>0</v>
      </c>
      <c r="BS22" s="231">
        <f>IF($AH22&lt;=2, 30, 25)</f>
        <v>30</v>
      </c>
      <c r="BT22" s="229">
        <f>MAX($O22, MAX($BJ22, BS22 + $BK22 + $BL22 + IF($AH22&lt;=2, (BS22-20)/(35-20), 0.6+0.4*(BS22-5)/(35-5))*0.35*$AK22*$BK22) + IF($AH22&lt;=2,0.9,0.8)*$BN22)</f>
        <v>43</v>
      </c>
      <c r="BU22" s="234">
        <f>0.45*($BI22+273.15)/(BT22-$BI22)</f>
        <v>3.5018750000000001</v>
      </c>
      <c r="BV22" s="234" cm="1">
        <f t="array" ref="BV22">$BM22 * IF($AH22&lt;=2,
SUMPRODUCT(INDEX($AV$71:$AX$75,,$AI22), INDEX($AY$71:$BE$75,,$AH22), 1 / ($BF$71:$BF$75*BU22 + (1-$BF$71:$BF$75)*BQ22), N($AU$71:$AU$75&gt;$AM22)),
SUMPRODUCT(INDEX($AV$66:$AX$75,,$AI22), INDEX($AY$66:$BE$75,,$AH22), 1 / ($BG$66:$BG$75*BU22 + (1-$BG$66:$BG$75)*BQ22), N($AU$66:$AU$75&gt;$AM22))
) / 1000</f>
        <v>0.61458299747468148</v>
      </c>
      <c r="BW22" s="231">
        <f>IF($AH22&lt;=2, 25, 15)</f>
        <v>25</v>
      </c>
      <c r="BX22" s="229">
        <f>MAX($O22, MAX($BJ22, BW22 + $BK22 + $BL22 + IF($AH22&lt;=2, (BW22-20)/(35-20), 0.6+0.4*(BW22-5)/(35-5))*0.35*$AK22*$BK22) + IF($AH22&lt;=2,0.8,0.6)*$BN22)</f>
        <v>38</v>
      </c>
      <c r="BY22" s="234">
        <f>0.45*($BI22+273.15)/(BX22-$BI22)</f>
        <v>4.0666935483870965</v>
      </c>
      <c r="BZ22" s="234" cm="1">
        <f t="array" ref="BZ22">$BM22 * IF($AH22&lt;=2,
SUMPRODUCT(INDEX($AV$66:$AX$70,,$AI22), INDEX($AY$66:$BE$70,,$AH22), 1 / ($BF$66:$BF$70*BY22 + (1-$BF$66:$BF$70)*BU22), N($AU$66:$AU$70&gt;$AM22)),
SUMPRODUCT(INDEX($AV$56:$AX$65,,$AI22), INDEX($AY$56:$BE$65,,$AH22), 1 / ($BG$56:$BG$65*BY22 + (1-$BG$56:$BG$65)*BU22), N($AU$56:$AU$65&gt;$AM22))
) / 1000</f>
        <v>3.1611593276838263</v>
      </c>
      <c r="CA22" s="231">
        <f>IF($AH22&lt;=2, 20, 5)</f>
        <v>20</v>
      </c>
      <c r="CB22" s="229">
        <f>MAX($O22, MAX($BJ22, CA22 + $BK22 + $BL22 + IF($AH22&lt;=2, (CA22-20)/(35-20), 0.6+0.4*(CA22-5)/(35-5))*0.35*$AK22*$BK22) + IF($AH22&lt;=2,0.7,0.4)*$BN22)</f>
        <v>33</v>
      </c>
      <c r="CC22" s="234">
        <f>0.45*($BI22+273.15)/(CB22-$BI22)</f>
        <v>4.8487499999999999</v>
      </c>
      <c r="CD22" s="234" cm="1">
        <f t="array" ref="CD22">$BM22 * IF($AH22&lt;=2,
SUMPRODUCT(INDEX($AV$61:$AX$65,,$AI22), INDEX($AY$61:$BE$65,,$AH22), 1 / ($BF$61:$BF$65*CC22 + (1-$BF$61:$BF$65)*BY22), N($AU$61:$AU$65&gt;$AM22)),
SUMPRODUCT(INDEX($AV$46:$AX$55,,$AI22), INDEX($AY$46:$BE$55,,$AH22), 1 / ($BG$46:$BG$55*CC22 + (1-$BG$46:$BG$55)*BY22), N($AU$46:$AU$55&gt;$AM22))
) / 1000</f>
        <v>2.344980073420571</v>
      </c>
      <c r="CE22" s="234" cm="1">
        <f t="array" ref="CE22">$BM22 * IF($AH22&lt;=2,
SUMPRODUCT(INDEX($AV$22:$AX$60,,$AI22), INDEX($AY$22:$BE$60,,$AH22), 1 / ($BF$22:$BF$60*CC22), N($AU$22:$AU$60&gt;$AM22)),
SUMPRODUCT(INDEX($AV$22:$AX$45,,$AI22), INDEX($AY$22:$BE$45,,$AH22), 1 / ($BG$22:$BG$45*CC22), N($AU$22:$AU$45&gt;$AM22))
) / 1000</f>
        <v>0</v>
      </c>
      <c r="CF22" s="229">
        <f>BR22+BV22+BZ22+CD22+CE22</f>
        <v>6.1207223985790788</v>
      </c>
      <c r="CG22" s="246"/>
      <c r="CH22" s="229">
        <f>V22 /  IF(AH22&lt;=2, 0.7 + 0.3 * (U22-20)/(35-20), 0.4 + 0.6 * (U22-5)/(35-5))</f>
        <v>0</v>
      </c>
      <c r="CI22" s="228">
        <v>35</v>
      </c>
      <c r="CJ22" s="229">
        <f>MAX($T22, MAX($BJ22, $BO22 + $BK22 + $BL22 + 0.35*$AL22*$BK22 + CH22))</f>
        <v>48</v>
      </c>
      <c r="CK22" s="234">
        <f>0.45*($BI22+273.15)/(CJ22-$BI22)</f>
        <v>3.0748170731707316</v>
      </c>
      <c r="CL22" s="234" cm="1">
        <f t="array" ref="CL22">$BM22 * SUMPRODUCT(INDEX($AV$76:$AX$81,,$AI22),INDEX($AY$76:$BE$81,,$AH22), N($AU$76:$AU$81&gt;$AM22)) / CK22 / 1000</f>
        <v>0</v>
      </c>
      <c r="CM22" s="231">
        <f>IF($AH22&lt;=2, 30, 25)</f>
        <v>30</v>
      </c>
      <c r="CN22" s="229">
        <f>MAX($T22, MAX($BJ22, CM22 + $BK22 + $BL22 + IF($AH22&lt;=2, (CM22-20)/(35-20), 0.6+0.4*(CM22-5)/(35-5))*0.35*$AL22*$BK22) + IF($AH22&lt;=2,0.9,0.8)*$CH22)</f>
        <v>43</v>
      </c>
      <c r="CO22" s="234">
        <f>0.45*($BI22+273.15)/(CN22-$BI22)</f>
        <v>3.5018750000000001</v>
      </c>
      <c r="CP22" s="234" cm="1">
        <f t="array" ref="CP22">$BM22 * IF($AH22&lt;=2,
SUMPRODUCT(INDEX($AV$71:$AX$75,,$AI22), INDEX($AY$71:$BE$75,,$AH22), 1 / ($BF$71:$BF$75*CO22 + (1-$BF$71:$BF$75)*CK22), N($AU$71:$AU$75&gt;$AM22)),
SUMPRODUCT(INDEX($AV$66:$AX$75,,$AI22), INDEX($AY$66:$BE$75,,$AH22), 1 / ($BG$66:$BG$75*CO22 + (1-$BG$66:$BG$75)*CK22), N($AU$66:$AU$75&gt;$AM22))
) / 1000</f>
        <v>0.61458299747468148</v>
      </c>
      <c r="CQ22" s="231">
        <f>IF($AH22&lt;=2, 25, 15)</f>
        <v>25</v>
      </c>
      <c r="CR22" s="229">
        <f>MAX($T22, MAX($BJ22, CQ22 + $BK22 + $BL22 + IF($AH22&lt;=2, (CQ22-20)/(35-20), 0.6+0.4*(CQ22-5)/(35-5))*0.35*$AL22*$BK22) + IF($AH22&lt;=2,0.8,0.6)*$CH22)</f>
        <v>38</v>
      </c>
      <c r="CS22" s="234">
        <f>0.45*($BI22+273.15)/(CR22-$BI22)</f>
        <v>4.0666935483870965</v>
      </c>
      <c r="CT22" s="234" cm="1">
        <f t="array" ref="CT22">$BM22 * IF($AH22&lt;=2,
SUMPRODUCT(INDEX($AV$66:$AX$70,,$AI22), INDEX($AY$66:$BE$70,,$AH22), 1 / ($BF$66:$BF$70*CS22 + (1-$BF$66:$BF$70)*CO22), N($AU$66:$AU$70&gt;$AM22)),
SUMPRODUCT(INDEX($AV$56:$AX$65,,$AI22), INDEX($AY$56:$BE$65,,$AH22), 1 / ($BG$56:$BG$65*CS22 + (1-$BG$56:$BG$65)*CO22), N($AU$56:$AU$65&gt;$AM22))
) / 1000</f>
        <v>3.1611593276838263</v>
      </c>
      <c r="CU22" s="231">
        <f>IF($AH22&lt;=2, 20, 5)</f>
        <v>20</v>
      </c>
      <c r="CV22" s="229">
        <f>MAX($T22, MAX($BJ22, CU22 + $BK22 + $BL22 + IF($AH22&lt;=2, (CU22-20)/(35-20), 0.6+0.4*(CU22-5)/(35-5))*0.35*$AL22*$BK22) + IF($AH22&lt;=2,0.7,0.4)*$CH22)</f>
        <v>33</v>
      </c>
      <c r="CW22" s="234">
        <f>0.45*($BI22+273.15)/(CV22-$BI22)</f>
        <v>4.8487499999999999</v>
      </c>
      <c r="CX22" s="234" cm="1">
        <f t="array" ref="CX22">$BM22 * IF($AH22&lt;=2,
SUMPRODUCT(INDEX($AV$61:$AX$65,,$AI22), INDEX($AY$61:$BE$65,,$AH22), 1 / ($BF$61:$BF$65*CW22 + (1-$BF$61:$BF$65)*CS22), N($AU$61:$AU$65&gt;$AM22)),
SUMPRODUCT(INDEX($AV$46:$AX$55,,$AI22), INDEX($AY$46:$BE$55,,$AH22), 1 / ($BG$46:$BG$55*CW22 + (1-$BG$46:$BG$55)*CS22), N($AU$46:$AU$55&gt;$AM22))
) / 1000</f>
        <v>2.344980073420571</v>
      </c>
      <c r="CY22" s="234" cm="1">
        <f t="array" ref="CY22">$BM22 * IF($AH22&lt;=2,
SUMPRODUCT(INDEX($AV$22:$AX$60,,$AI22), INDEX($AY$22:$BE$60,,$AH22), 1 / ($BF$22:$BF$60*CW22), N($AU$22:$AU$60&gt;$AM22)),
SUMPRODUCT(INDEX($AV$22:$AX$45,,$AI22), INDEX($AY$22:$BE$45,,$AH22), 1 / ($BG$22:$BG$45*CW22), N($AU$22:$AU$45&gt;$AM22))
) / 1000</f>
        <v>0</v>
      </c>
      <c r="CZ22" s="229">
        <f>CL22+CP22+CT22+CX22+CY22</f>
        <v>6.1207223985790788</v>
      </c>
      <c r="DA22" s="246"/>
    </row>
    <row r="23" spans="1:105" s="75" customFormat="1" ht="14.25" customHeight="1" x14ac:dyDescent="0.25">
      <c r="A23" s="230" t="b">
        <f t="shared" si="0"/>
        <v>0</v>
      </c>
      <c r="B23" s="253">
        <v>2</v>
      </c>
      <c r="C23" s="266" t="s">
        <v>5065</v>
      </c>
      <c r="D23" s="266" t="s">
        <v>5066</v>
      </c>
      <c r="E23" s="254">
        <v>6600</v>
      </c>
      <c r="F23" s="255" t="str">
        <f>IF(ISBLANK(E23), "", VLOOKUP(E23, Z!$A$2:$C$4127, 3, FALSE))</f>
        <v>Locarno</v>
      </c>
      <c r="G23" s="256" t="s">
        <v>4822</v>
      </c>
      <c r="H23" s="256" t="s">
        <v>4890</v>
      </c>
      <c r="I23" s="256" t="s">
        <v>4959</v>
      </c>
      <c r="J23" s="257" t="s">
        <v>4967</v>
      </c>
      <c r="K23" s="258"/>
      <c r="L23" s="267">
        <v>130</v>
      </c>
      <c r="M23" s="268">
        <v>35</v>
      </c>
      <c r="N23" s="259" t="str" cm="1">
        <f t="array" ref="N23">IF($L23&gt;0, INDEX(Clean,1+AK23,$D$1), "")</f>
        <v>Sauber</v>
      </c>
      <c r="O23" s="260"/>
      <c r="P23" s="260"/>
      <c r="Q23" s="261"/>
      <c r="R23" s="264">
        <f t="shared" ref="R23:R86" si="7">CF23*1000</f>
        <v>8049.2815094093512</v>
      </c>
      <c r="S23" s="259" t="str" cm="1">
        <f t="array" ref="S23">IF($L23&gt;0, INDEX(Clean,1+AL23,$D$1), "")</f>
        <v>Sauber</v>
      </c>
      <c r="T23" s="260"/>
      <c r="U23" s="260"/>
      <c r="V23" s="261"/>
      <c r="W23" s="267"/>
      <c r="X23" s="267">
        <v>4</v>
      </c>
      <c r="Y23" s="257" t="s">
        <v>5067</v>
      </c>
      <c r="Z23" s="264">
        <f t="shared" ref="Z23:Z86" si="8">(CZ23 - IF(W23&gt;0, CZ23*(W23/7)*AP23, 0) - IF(X23&gt;0, CZ23*(X23*AR23*AS23), 0))*1000</f>
        <v>7391.5798424980994</v>
      </c>
      <c r="AA23" s="269" t="s">
        <v>4462</v>
      </c>
      <c r="AB23" s="266" t="s">
        <v>4880</v>
      </c>
      <c r="AC23" s="254">
        <v>6600</v>
      </c>
      <c r="AD23" s="255" t="str">
        <f>IF(ISBLANK(AC23), "", VLOOKUP(AC23, Z!$A$2:$C$4127, 3, FALSE))</f>
        <v>Locarno</v>
      </c>
      <c r="AE23" s="270">
        <v>45575</v>
      </c>
      <c r="AF23" s="265">
        <f t="shared" ref="AF23:AF86" si="9">0.75*AO$22*(R23-Z23)</f>
        <v>493.27625018343883</v>
      </c>
      <c r="AG23" s="246"/>
      <c r="AH23" s="228">
        <f t="shared" ref="AH23" si="10">IF(ISBLANK(I23), 1, IFERROR(MATCH(I23, INDEX(Use,,1), 0), IFERROR(MATCH(I23, INDEX(Use,,2), 0), MATCH(I23, INDEX(Use,,3), 0))))</f>
        <v>2</v>
      </c>
      <c r="AI23" s="228">
        <f t="shared" ref="AI23" si="11">IF(ISBLANK(H23), 1, IFERROR(MATCH(H23, INDEX(Loc,,1), 0), IFERROR(MATCH(H23, INDEX(Loc,,2), 0), MATCH(H23, INDEX(Loc,,3), 0))))</f>
        <v>3</v>
      </c>
      <c r="AJ23" s="228">
        <f t="shared" ref="AJ23" si="12">_xlfn.IFNA(IF(IFERROR(MATCH(J23, INDEX(Medium,,1), 0), IFERROR(MATCH(J23, INDEX(Medium,,2), 0), MATCH(J23, INDEX(Medium,,3), 0))) = 2, 1, 0), 0)</f>
        <v>1</v>
      </c>
      <c r="AK23" s="228">
        <v>0</v>
      </c>
      <c r="AL23" s="228">
        <v>0</v>
      </c>
      <c r="AM23" s="228">
        <f t="shared" si="4"/>
        <v>-100</v>
      </c>
      <c r="AN23" s="228" cm="1">
        <f t="array" ref="AN23">IF(ISBLANK(G23), 1, IFERROR(MATCH(G23, INDEX(Kat,,1), 0), IFERROR(MATCH(Kat, INDEX(Use,,2), 0), MATCH(Kat, INDEX(Use,,3), 0))))</f>
        <v>3</v>
      </c>
      <c r="AO23" s="246"/>
      <c r="AP23" s="228" cm="1">
        <f t="array" ref="AP23">IF(W23&gt;0, INDEX(Kat, AN23,4), 0)</f>
        <v>0</v>
      </c>
      <c r="AQ23" s="228">
        <f t="shared" ref="AQ23" si="13">IF(ISBLANK(Y23), 0, IFERROR(MATCH(Y23, INDEX(Month,,1), 0), IFERROR(MATCH(Y23, INDEX(Month,,2), 0), MATCH(Y23, INDEX(Month,,3), 0))))</f>
        <v>3</v>
      </c>
      <c r="AR23" s="228" cm="1">
        <f t="array" ref="AR23">IF(X23&gt;0, INDEX(Kat, $AN23, 4+AQ23), 0)</f>
        <v>0.24147004147004153</v>
      </c>
      <c r="AS23" s="228" cm="1">
        <f t="array" ref="AS23">IF(X23&gt;0, INDEX(Kat, $AN23, 9+AQ23), 0)</f>
        <v>8.4595756446761705E-2</v>
      </c>
      <c r="AT23" s="246"/>
      <c r="AU23" s="228">
        <v>-18</v>
      </c>
      <c r="AV23" s="231">
        <v>0</v>
      </c>
      <c r="AW23" s="231">
        <v>0</v>
      </c>
      <c r="AX23" s="231">
        <v>0</v>
      </c>
      <c r="AY23" s="232">
        <f t="shared" si="6"/>
        <v>0</v>
      </c>
      <c r="AZ23" s="232">
        <f t="shared" si="6"/>
        <v>0</v>
      </c>
      <c r="BA23" s="232" t="e" cm="1">
        <f t="array" ref="BA23">MIN(INDEX(Use,BA$20,5) + MAX(0, (1-INDEX(Use,BA$20,5))*($AU23-5)/(35-5)), 1)</f>
        <v>#REF!</v>
      </c>
      <c r="BB23" s="232" t="e" cm="1">
        <f t="array" ref="BB23">MIN(INDEX(Use,BB$20,5) + MAX(0, (1-INDEX(Use,BB$20,5))*($AU23-5)/(35-5)), 1)</f>
        <v>#REF!</v>
      </c>
      <c r="BC23" s="232" t="e" cm="1">
        <f t="array" ref="BC23">MIN(INDEX(Use,BC$20,5) + MAX(0, (1-INDEX(Use,BC$20,5))*($AU23-5)/(35-5)), 1)</f>
        <v>#REF!</v>
      </c>
      <c r="BD23" s="232" t="e" cm="1">
        <f t="array" ref="BD23">MIN(INDEX(Use,BD$20,5) + MAX(0, (1-INDEX(Use,BD$20,5))*($AU23-5)/(35-5)), 1)</f>
        <v>#REF!</v>
      </c>
      <c r="BE23" s="232" t="e" cm="1">
        <f t="array" ref="BE23">MIN(INDEX(Use,BE$20,5) + MAX(0, (1-INDEX(Use,BE$20,5))*($AU23-5)/(35-5)), 1)</f>
        <v>#REF!</v>
      </c>
      <c r="BF23" s="232">
        <v>1</v>
      </c>
      <c r="BG23" s="232">
        <v>1</v>
      </c>
      <c r="BH23" s="210"/>
      <c r="BI23" s="228" cm="1">
        <f t="array" ref="BI23">INDEX(Use, $AH23, 4)</f>
        <v>3</v>
      </c>
      <c r="BJ23" s="228">
        <f t="shared" ref="BJ23:BJ86" si="14">MAX(25, BI23+25)</f>
        <v>28</v>
      </c>
      <c r="BK23" s="228">
        <f t="shared" ref="BK23:BK86" si="15">IF($AJ23=1, 6, IF($AH23=4, 10, 13))</f>
        <v>6</v>
      </c>
      <c r="BL23" s="228">
        <f t="shared" ref="BL23:BL86" si="16">IF($AJ23=1, 9, 0)</f>
        <v>9</v>
      </c>
      <c r="BM23" s="233" cm="1">
        <f t="array" ref="BM23">L23/IF($M23&gt;0, INDEX($AY$22:$BE$76, $M23+20, $AH23), 1)</f>
        <v>130</v>
      </c>
      <c r="BN23" s="229">
        <f t="shared" ref="BN23:BN86" si="17">Q23 /  IF(AH23&lt;=2, 0.7 + 0.3 * (P23-20)/(35-20), 0.4 + 0.6 * (P23-5)/(35-5))</f>
        <v>0</v>
      </c>
      <c r="BO23" s="228">
        <v>35</v>
      </c>
      <c r="BP23" s="229">
        <f t="shared" ref="BP23:BP86" si="18">MAX($O23, MAX($BJ23, $BO23 + $BK23 + $BL23 + 0.35*$AK23*$BK23 + BN23))</f>
        <v>50</v>
      </c>
      <c r="BQ23" s="234">
        <f t="shared" ref="BQ23:BQ86" si="19">0.45*($BI23+273.15)/(BP23-$BI23)</f>
        <v>2.6439893617021277</v>
      </c>
      <c r="BR23" s="234" cm="1">
        <f t="array" ref="BR23">$BM23 * SUMPRODUCT(INDEX($AV$76:$AX$81,,$AI23),INDEX($AY$76:$BE$81,,$AH23), N($AU$76:$AU$81&gt;$AM23)) / BQ23 / 1000</f>
        <v>0</v>
      </c>
      <c r="BS23" s="231">
        <f t="shared" ref="BS23:BS86" si="20">IF($AH23&lt;=2, 30, 25)</f>
        <v>30</v>
      </c>
      <c r="BT23" s="229">
        <f t="shared" ref="BT23:BT86" si="21">MAX($O23, MAX($BJ23, BS23 + $BK23 + $BL23 + IF($AH23&lt;=2, (BS23-20)/(35-20), 0.6+0.4*(BS23-5)/(35-5))*0.35*$AK23*$BK23) + IF($AH23&lt;=2,0.9,0.8)*$BN23)</f>
        <v>45</v>
      </c>
      <c r="BU23" s="234">
        <f t="shared" ref="BU23:BU86" si="22">0.45*($BI23+273.15)/(BT23-$BI23)</f>
        <v>2.9587499999999998</v>
      </c>
      <c r="BV23" s="234" cm="1">
        <f t="array" ref="BV23">$BM23 * IF($AH23&lt;=2,
SUMPRODUCT(INDEX($AV$71:$AX$75,,$AI23), INDEX($AY$71:$BE$75,,$AH23), 1 / ($BF$71:$BF$75*BU23 + (1-$BF$71:$BF$75)*BQ23), N($AU$71:$AU$75&gt;$AM23)),
SUMPRODUCT(INDEX($AV$66:$AX$75,,$AI23), INDEX($AY$66:$BE$75,,$AH23), 1 / ($BG$66:$BG$75*BU23 + (1-$BG$66:$BG$75)*BQ23), N($AU$66:$AU$75&gt;$AM23))
) / 1000</f>
        <v>0.8831004057956171</v>
      </c>
      <c r="BW23" s="231">
        <f t="shared" ref="BW23:BW86" si="23">IF($AH23&lt;=2, 25, 15)</f>
        <v>25</v>
      </c>
      <c r="BX23" s="229">
        <f t="shared" ref="BX23:BX86" si="24">MAX($O23, MAX($BJ23, BW23 + $BK23 + $BL23 + IF($AH23&lt;=2, (BW23-20)/(35-20), 0.6+0.4*(BW23-5)/(35-5))*0.35*$AK23*$BK23) + IF($AH23&lt;=2,0.8,0.6)*$BN23)</f>
        <v>40</v>
      </c>
      <c r="BY23" s="234">
        <f t="shared" ref="BY23:BY86" si="25">0.45*($BI23+273.15)/(BX23-$BI23)</f>
        <v>3.358581081081081</v>
      </c>
      <c r="BZ23" s="234" cm="1">
        <f t="array" ref="BZ23">$BM23 * IF($AH23&lt;=2,
SUMPRODUCT(INDEX($AV$66:$AX$70,,$AI23), INDEX($AY$66:$BE$70,,$AH23), 1 / ($BF$66:$BF$70*BY23 + (1-$BF$66:$BF$70)*BU23), N($AU$66:$AU$70&gt;$AM23)),
SUMPRODUCT(INDEX($AV$56:$AX$65,,$AI23), INDEX($AY$56:$BE$65,,$AH23), 1 / ($BG$56:$BG$65*BY23 + (1-$BG$56:$BG$65)*BU23), N($AU$56:$AU$65&gt;$AM23))
) / 1000</f>
        <v>3.0093988410080508</v>
      </c>
      <c r="CA23" s="231">
        <f t="shared" ref="CA23:CA86" si="26">IF($AH23&lt;=2, 20, 5)</f>
        <v>20</v>
      </c>
      <c r="CB23" s="229">
        <f t="shared" ref="CB23:CB86" si="27">MAX($O23, MAX($BJ23, CA23 + $BK23 + $BL23 + IF($AH23&lt;=2, (CA23-20)/(35-20), 0.6+0.4*(CA23-5)/(35-5))*0.35*$AK23*$BK23) + IF($AH23&lt;=2,0.7,0.4)*$BN23)</f>
        <v>35</v>
      </c>
      <c r="CC23" s="234">
        <f t="shared" ref="CC23:CC86" si="28">0.45*($BI23+273.15)/(CB23-$BI23)</f>
        <v>3.8833593749999999</v>
      </c>
      <c r="CD23" s="234" cm="1">
        <f t="array" ref="CD23">$BM23 * IF($AH23&lt;=2,
SUMPRODUCT(INDEX($AV$61:$AX$65,,$AI23), INDEX($AY$61:$BE$65,,$AH23), 1 / ($BF$61:$BF$65*CC23 + (1-$BF$61:$BF$65)*BY23), N($AU$61:$AU$65&gt;$AM23)),
SUMPRODUCT(INDEX($AV$46:$AX$55,,$AI23), INDEX($AY$46:$BE$55,,$AH23), 1 / ($BG$46:$BG$55*CC23 + (1-$BG$46:$BG$55)*BY23), N($AU$46:$AU$55&gt;$AM23))
) / 1000</f>
        <v>4.1567822626056818</v>
      </c>
      <c r="CE23" s="234" cm="1">
        <f t="array" ref="CE23">$BM23 * IF($AH23&lt;=2,
SUMPRODUCT(INDEX($AV$22:$AX$60,,$AI23), INDEX($AY$22:$BE$60,,$AH23), 1 / ($BF$22:$BF$60*CC23), N($AU$22:$AU$60&gt;$AM23)),
SUMPRODUCT(INDEX($AV$22:$AX$45,,$AI23), INDEX($AY$22:$BE$45,,$AH23), 1 / ($BG$22:$BG$45*CC23), N($AU$22:$AU$45&gt;$AM23))
) / 1000</f>
        <v>0</v>
      </c>
      <c r="CF23" s="229">
        <f t="shared" ref="CF23:CF86" si="29">BR23+BV23+BZ23+CD23+CE23</f>
        <v>8.0492815094093508</v>
      </c>
      <c r="CG23" s="246"/>
      <c r="CH23" s="229">
        <f t="shared" ref="CH23:CH86" si="30">V23 /  IF(AH23&lt;=2, 0.7 + 0.3 * (U23-20)/(35-20), 0.4 + 0.6 * (U23-5)/(35-5))</f>
        <v>0</v>
      </c>
      <c r="CI23" s="228">
        <v>35</v>
      </c>
      <c r="CJ23" s="229">
        <f t="shared" ref="CJ23:CJ86" si="31">MAX($T23, MAX($BJ23, $BO23 + $BK23 + $BL23 + 0.35*$AL23*$BK23 + CH23))</f>
        <v>50</v>
      </c>
      <c r="CK23" s="234">
        <f t="shared" ref="CK23:CK86" si="32">0.45*($BI23+273.15)/(CJ23-$BI23)</f>
        <v>2.6439893617021277</v>
      </c>
      <c r="CL23" s="234" cm="1">
        <f t="array" ref="CL23">$BM23 * SUMPRODUCT(INDEX($AV$76:$AX$81,,$AI23),INDEX($AY$76:$BE$81,,$AH23), N($AU$76:$AU$81&gt;$AM23)) / CK23 / 1000</f>
        <v>0</v>
      </c>
      <c r="CM23" s="231">
        <f t="shared" ref="CM23:CM86" si="33">IF($AH23&lt;=2, 30, 25)</f>
        <v>30</v>
      </c>
      <c r="CN23" s="229">
        <f t="shared" ref="CN23:CN86" si="34">MAX($T23, MAX($BJ23, CM23 + $BK23 + $BL23 + IF($AH23&lt;=2, (CM23-20)/(35-20), 0.6+0.4*(CM23-5)/(35-5))*0.35*$AL23*$BK23) + IF($AH23&lt;=2,0.9,0.8)*$CH23)</f>
        <v>45</v>
      </c>
      <c r="CO23" s="234">
        <f t="shared" ref="CO23:CO86" si="35">0.45*($BI23+273.15)/(CN23-$BI23)</f>
        <v>2.9587499999999998</v>
      </c>
      <c r="CP23" s="234" cm="1">
        <f t="array" ref="CP23">$BM23 * IF($AH23&lt;=2,
SUMPRODUCT(INDEX($AV$71:$AX$75,,$AI23), INDEX($AY$71:$BE$75,,$AH23), 1 / ($BF$71:$BF$75*CO23 + (1-$BF$71:$BF$75)*CK23), N($AU$71:$AU$75&gt;$AM23)),
SUMPRODUCT(INDEX($AV$66:$AX$75,,$AI23), INDEX($AY$66:$BE$75,,$AH23), 1 / ($BG$66:$BG$75*CO23 + (1-$BG$66:$BG$75)*CK23), N($AU$66:$AU$75&gt;$AM23))
) / 1000</f>
        <v>0.8831004057956171</v>
      </c>
      <c r="CQ23" s="231">
        <f t="shared" ref="CQ23:CQ86" si="36">IF($AH23&lt;=2, 25, 15)</f>
        <v>25</v>
      </c>
      <c r="CR23" s="229">
        <f t="shared" ref="CR23:CR86" si="37">MAX($T23, MAX($BJ23, CQ23 + $BK23 + $BL23 + IF($AH23&lt;=2, (CQ23-20)/(35-20), 0.6+0.4*(CQ23-5)/(35-5))*0.35*$AL23*$BK23) + IF($AH23&lt;=2,0.8,0.6)*$CH23)</f>
        <v>40</v>
      </c>
      <c r="CS23" s="234">
        <f t="shared" ref="CS23:CS86" si="38">0.45*($BI23+273.15)/(CR23-$BI23)</f>
        <v>3.358581081081081</v>
      </c>
      <c r="CT23" s="234" cm="1">
        <f t="array" ref="CT23">$BM23 * IF($AH23&lt;=2,
SUMPRODUCT(INDEX($AV$66:$AX$70,,$AI23), INDEX($AY$66:$BE$70,,$AH23), 1 / ($BF$66:$BF$70*CS23 + (1-$BF$66:$BF$70)*CO23), N($AU$66:$AU$70&gt;$AM23)),
SUMPRODUCT(INDEX($AV$56:$AX$65,,$AI23), INDEX($AY$56:$BE$65,,$AH23), 1 / ($BG$56:$BG$65*CS23 + (1-$BG$56:$BG$65)*CO23), N($AU$56:$AU$65&gt;$AM23))
) / 1000</f>
        <v>3.0093988410080508</v>
      </c>
      <c r="CU23" s="231">
        <f t="shared" ref="CU23:CU86" si="39">IF($AH23&lt;=2, 20, 5)</f>
        <v>20</v>
      </c>
      <c r="CV23" s="229">
        <f t="shared" ref="CV23:CV86" si="40">MAX($T23, MAX($BJ23, CU23 + $BK23 + $BL23 + IF($AH23&lt;=2, (CU23-20)/(35-20), 0.6+0.4*(CU23-5)/(35-5))*0.35*$AL23*$BK23) + IF($AH23&lt;=2,0.7,0.4)*$CH23)</f>
        <v>35</v>
      </c>
      <c r="CW23" s="234">
        <f t="shared" ref="CW23:CW86" si="41">0.45*($BI23+273.15)/(CV23-$BI23)</f>
        <v>3.8833593749999999</v>
      </c>
      <c r="CX23" s="234" cm="1">
        <f t="array" ref="CX23">$BM23 * IF($AH23&lt;=2,
SUMPRODUCT(INDEX($AV$61:$AX$65,,$AI23), INDEX($AY$61:$BE$65,,$AH23), 1 / ($BF$61:$BF$65*CW23 + (1-$BF$61:$BF$65)*CS23), N($AU$61:$AU$65&gt;$AM23)),
SUMPRODUCT(INDEX($AV$46:$AX$55,,$AI23), INDEX($AY$46:$BE$55,,$AH23), 1 / ($BG$46:$BG$55*CW23 + (1-$BG$46:$BG$55)*CS23), N($AU$46:$AU$55&gt;$AM23))
) / 1000</f>
        <v>4.1567822626056818</v>
      </c>
      <c r="CY23" s="234" cm="1">
        <f t="array" ref="CY23">$BM23 * IF($AH23&lt;=2,
SUMPRODUCT(INDEX($AV$22:$AX$60,,$AI23), INDEX($AY$22:$BE$60,,$AH23), 1 / ($BF$22:$BF$60*CW23), N($AU$22:$AU$60&gt;$AM23)),
SUMPRODUCT(INDEX($AV$22:$AX$45,,$AI23), INDEX($AY$22:$BE$45,,$AH23), 1 / ($BG$22:$BG$45*CW23), N($AU$22:$AU$45&gt;$AM23))
) / 1000</f>
        <v>0</v>
      </c>
      <c r="CZ23" s="229">
        <f t="shared" ref="CZ23:CZ86" si="42">CL23+CP23+CT23+CX23+CY23</f>
        <v>8.0492815094093508</v>
      </c>
      <c r="DA23" s="246"/>
    </row>
    <row r="24" spans="1:105" s="75" customFormat="1" ht="14.25" customHeight="1" x14ac:dyDescent="0.25">
      <c r="A24" s="230" t="b">
        <f t="shared" si="0"/>
        <v>0</v>
      </c>
      <c r="B24" s="253">
        <v>3</v>
      </c>
      <c r="C24" s="266" t="s">
        <v>5065</v>
      </c>
      <c r="D24" s="266" t="s">
        <v>5066</v>
      </c>
      <c r="E24" s="254">
        <v>6600</v>
      </c>
      <c r="F24" s="255" t="str">
        <f>IF(ISBLANK(E24), "", VLOOKUP(E24, Z!$A$2:$C$4127, 3, FALSE))</f>
        <v>Locarno</v>
      </c>
      <c r="G24" s="256" t="s">
        <v>4822</v>
      </c>
      <c r="H24" s="256" t="s">
        <v>4890</v>
      </c>
      <c r="I24" s="256" t="s">
        <v>4959</v>
      </c>
      <c r="J24" s="257" t="s">
        <v>4967</v>
      </c>
      <c r="K24" s="258"/>
      <c r="L24" s="267">
        <v>130</v>
      </c>
      <c r="M24" s="268">
        <v>35</v>
      </c>
      <c r="N24" s="259" t="str" cm="1">
        <f t="array" ref="N24">IF($L24&gt;0, INDEX(Clean,1+AK24,$D$1), "")</f>
        <v>Sauber</v>
      </c>
      <c r="O24" s="260"/>
      <c r="P24" s="260"/>
      <c r="Q24" s="261"/>
      <c r="R24" s="264">
        <f t="shared" si="7"/>
        <v>8049.2815094093512</v>
      </c>
      <c r="S24" s="259" t="str" cm="1">
        <f t="array" ref="S24">IF($L24&gt;0, INDEX(Clean,1+AL24,$D$1), "")</f>
        <v>Sauber</v>
      </c>
      <c r="T24" s="260"/>
      <c r="U24" s="260"/>
      <c r="V24" s="261"/>
      <c r="W24" s="267"/>
      <c r="X24" s="267">
        <v>3</v>
      </c>
      <c r="Y24" s="257" t="s">
        <v>5068</v>
      </c>
      <c r="Z24" s="264">
        <f t="shared" si="8"/>
        <v>7674.8195967555266</v>
      </c>
      <c r="AA24" s="269" t="s">
        <v>4462</v>
      </c>
      <c r="AB24" s="266" t="s">
        <v>4880</v>
      </c>
      <c r="AC24" s="254">
        <v>6600</v>
      </c>
      <c r="AD24" s="255" t="str">
        <f>IF(ISBLANK(AC24), "", VLOOKUP(AC24, Z!$A$2:$C$4127, 3, FALSE))</f>
        <v>Locarno</v>
      </c>
      <c r="AE24" s="270">
        <v>45419</v>
      </c>
      <c r="AF24" s="265">
        <f t="shared" si="9"/>
        <v>280.84643449036844</v>
      </c>
      <c r="AG24" s="246"/>
      <c r="AH24" s="228">
        <f t="shared" ref="AH24" si="43">IF(ISBLANK(I24), 1, IFERROR(MATCH(I24, INDEX(Use,,1), 0), IFERROR(MATCH(I24, INDEX(Use,,2), 0), MATCH(I24, INDEX(Use,,3), 0))))</f>
        <v>2</v>
      </c>
      <c r="AI24" s="228">
        <f t="shared" ref="AI24" si="44">IF(ISBLANK(H24), 1, IFERROR(MATCH(H24, INDEX(Loc,,1), 0), IFERROR(MATCH(H24, INDEX(Loc,,2), 0), MATCH(H24, INDEX(Loc,,3), 0))))</f>
        <v>3</v>
      </c>
      <c r="AJ24" s="228">
        <f t="shared" ref="AJ24" si="45">_xlfn.IFNA(IF(IFERROR(MATCH(J24, INDEX(Medium,,1), 0), IFERROR(MATCH(J24, INDEX(Medium,,2), 0), MATCH(J24, INDEX(Medium,,3), 0))) = 2, 1, 0), 0)</f>
        <v>1</v>
      </c>
      <c r="AK24" s="228">
        <v>0</v>
      </c>
      <c r="AL24" s="228">
        <v>0</v>
      </c>
      <c r="AM24" s="228">
        <f t="shared" si="4"/>
        <v>-100</v>
      </c>
      <c r="AN24" s="228" cm="1">
        <f t="array" ref="AN24">IF(ISBLANK(G24), 1, IFERROR(MATCH(G24, INDEX(Kat,,1), 0), IFERROR(MATCH(Kat, INDEX(Use,,2), 0), MATCH(Kat, INDEX(Use,,3), 0))))</f>
        <v>3</v>
      </c>
      <c r="AO24" s="246"/>
      <c r="AP24" s="228" cm="1">
        <f t="array" ref="AP24">IF(W24&gt;0, INDEX(Kat, AN24,4), 0)</f>
        <v>0</v>
      </c>
      <c r="AQ24" s="228">
        <f t="shared" ref="AQ24" si="46">IF(ISBLANK(Y24), 0, IFERROR(MATCH(Y24, INDEX(Month,,1), 0), IFERROR(MATCH(Y24, INDEX(Month,,2), 0), MATCH(Y24, INDEX(Month,,3), 0))))</f>
        <v>4</v>
      </c>
      <c r="AR24" s="228" cm="1">
        <f t="array" ref="AR24">IF(X24&gt;0, INDEX(Kat, $AN24, 4+AQ24), 0)</f>
        <v>0.19765684051398341</v>
      </c>
      <c r="AS24" s="228" cm="1">
        <f t="array" ref="AS24">IF(X24&gt;0, INDEX(Kat, $AN24, 9+AQ24), 0)</f>
        <v>7.8454422722353589E-2</v>
      </c>
      <c r="AT24" s="246"/>
      <c r="AU24" s="228">
        <v>-17</v>
      </c>
      <c r="AV24" s="231">
        <v>0</v>
      </c>
      <c r="AW24" s="231">
        <v>0</v>
      </c>
      <c r="AX24" s="231">
        <v>0</v>
      </c>
      <c r="AY24" s="232">
        <f t="shared" si="6"/>
        <v>0</v>
      </c>
      <c r="AZ24" s="232">
        <f t="shared" si="6"/>
        <v>0</v>
      </c>
      <c r="BA24" s="232" t="e" cm="1">
        <f t="array" ref="BA24">MIN(INDEX(Use,BA$20,5) + MAX(0, (1-INDEX(Use,BA$20,5))*($AU24-5)/(35-5)), 1)</f>
        <v>#REF!</v>
      </c>
      <c r="BB24" s="232" t="e" cm="1">
        <f t="array" ref="BB24">MIN(INDEX(Use,BB$20,5) + MAX(0, (1-INDEX(Use,BB$20,5))*($AU24-5)/(35-5)), 1)</f>
        <v>#REF!</v>
      </c>
      <c r="BC24" s="232" t="e" cm="1">
        <f t="array" ref="BC24">MIN(INDEX(Use,BC$20,5) + MAX(0, (1-INDEX(Use,BC$20,5))*($AU24-5)/(35-5)), 1)</f>
        <v>#REF!</v>
      </c>
      <c r="BD24" s="232" t="e" cm="1">
        <f t="array" ref="BD24">MIN(INDEX(Use,BD$20,5) + MAX(0, (1-INDEX(Use,BD$20,5))*($AU24-5)/(35-5)), 1)</f>
        <v>#REF!</v>
      </c>
      <c r="BE24" s="232" t="e" cm="1">
        <f t="array" ref="BE24">MIN(INDEX(Use,BE$20,5) + MAX(0, (1-INDEX(Use,BE$20,5))*($AU24-5)/(35-5)), 1)</f>
        <v>#REF!</v>
      </c>
      <c r="BF24" s="232">
        <v>1</v>
      </c>
      <c r="BG24" s="232">
        <v>1</v>
      </c>
      <c r="BH24" s="210"/>
      <c r="BI24" s="228" cm="1">
        <f t="array" ref="BI24">INDEX(Use, $AH24, 4)</f>
        <v>3</v>
      </c>
      <c r="BJ24" s="228">
        <f t="shared" si="14"/>
        <v>28</v>
      </c>
      <c r="BK24" s="228">
        <f t="shared" si="15"/>
        <v>6</v>
      </c>
      <c r="BL24" s="228">
        <f t="shared" si="16"/>
        <v>9</v>
      </c>
      <c r="BM24" s="233" cm="1">
        <f t="array" ref="BM24">L24/IF($M24&gt;0, INDEX($AY$22:$BE$76, $M24+20, $AH24), 1)</f>
        <v>130</v>
      </c>
      <c r="BN24" s="229">
        <f t="shared" si="17"/>
        <v>0</v>
      </c>
      <c r="BO24" s="228">
        <v>35</v>
      </c>
      <c r="BP24" s="229">
        <f t="shared" si="18"/>
        <v>50</v>
      </c>
      <c r="BQ24" s="234">
        <f t="shared" si="19"/>
        <v>2.6439893617021277</v>
      </c>
      <c r="BR24" s="234" cm="1">
        <f t="array" ref="BR24">$BM24 * SUMPRODUCT(INDEX($AV$76:$AX$81,,$AI24),INDEX($AY$76:$BE$81,,$AH24), N($AU$76:$AU$81&gt;$AM24)) / BQ24 / 1000</f>
        <v>0</v>
      </c>
      <c r="BS24" s="231">
        <f t="shared" si="20"/>
        <v>30</v>
      </c>
      <c r="BT24" s="229">
        <f t="shared" si="21"/>
        <v>45</v>
      </c>
      <c r="BU24" s="234">
        <f t="shared" si="22"/>
        <v>2.9587499999999998</v>
      </c>
      <c r="BV24" s="234" cm="1">
        <f t="array" ref="BV24">$BM24 * IF($AH24&lt;=2,
SUMPRODUCT(INDEX($AV$71:$AX$75,,$AI24), INDEX($AY$71:$BE$75,,$AH24), 1 / ($BF$71:$BF$75*BU24 + (1-$BF$71:$BF$75)*BQ24), N($AU$71:$AU$75&gt;$AM24)),
SUMPRODUCT(INDEX($AV$66:$AX$75,,$AI24), INDEX($AY$66:$BE$75,,$AH24), 1 / ($BG$66:$BG$75*BU24 + (1-$BG$66:$BG$75)*BQ24), N($AU$66:$AU$75&gt;$AM24))
) / 1000</f>
        <v>0.8831004057956171</v>
      </c>
      <c r="BW24" s="231">
        <f t="shared" si="23"/>
        <v>25</v>
      </c>
      <c r="BX24" s="229">
        <f t="shared" si="24"/>
        <v>40</v>
      </c>
      <c r="BY24" s="234">
        <f t="shared" si="25"/>
        <v>3.358581081081081</v>
      </c>
      <c r="BZ24" s="234" cm="1">
        <f t="array" ref="BZ24">$BM24 * IF($AH24&lt;=2,
SUMPRODUCT(INDEX($AV$66:$AX$70,,$AI24), INDEX($AY$66:$BE$70,,$AH24), 1 / ($BF$66:$BF$70*BY24 + (1-$BF$66:$BF$70)*BU24), N($AU$66:$AU$70&gt;$AM24)),
SUMPRODUCT(INDEX($AV$56:$AX$65,,$AI24), INDEX($AY$56:$BE$65,,$AH24), 1 / ($BG$56:$BG$65*BY24 + (1-$BG$56:$BG$65)*BU24), N($AU$56:$AU$65&gt;$AM24))
) / 1000</f>
        <v>3.0093988410080508</v>
      </c>
      <c r="CA24" s="231">
        <f t="shared" si="26"/>
        <v>20</v>
      </c>
      <c r="CB24" s="229">
        <f t="shared" si="27"/>
        <v>35</v>
      </c>
      <c r="CC24" s="234">
        <f t="shared" si="28"/>
        <v>3.8833593749999999</v>
      </c>
      <c r="CD24" s="234" cm="1">
        <f t="array" ref="CD24">$BM24 * IF($AH24&lt;=2,
SUMPRODUCT(INDEX($AV$61:$AX$65,,$AI24), INDEX($AY$61:$BE$65,,$AH24), 1 / ($BF$61:$BF$65*CC24 + (1-$BF$61:$BF$65)*BY24), N($AU$61:$AU$65&gt;$AM24)),
SUMPRODUCT(INDEX($AV$46:$AX$55,,$AI24), INDEX($AY$46:$BE$55,,$AH24), 1 / ($BG$46:$BG$55*CC24 + (1-$BG$46:$BG$55)*BY24), N($AU$46:$AU$55&gt;$AM24))
) / 1000</f>
        <v>4.1567822626056818</v>
      </c>
      <c r="CE24" s="234" cm="1">
        <f t="array" ref="CE24">$BM24 * IF($AH24&lt;=2,
SUMPRODUCT(INDEX($AV$22:$AX$60,,$AI24), INDEX($AY$22:$BE$60,,$AH24), 1 / ($BF$22:$BF$60*CC24), N($AU$22:$AU$60&gt;$AM24)),
SUMPRODUCT(INDEX($AV$22:$AX$45,,$AI24), INDEX($AY$22:$BE$45,,$AH24), 1 / ($BG$22:$BG$45*CC24), N($AU$22:$AU$45&gt;$AM24))
) / 1000</f>
        <v>0</v>
      </c>
      <c r="CF24" s="229">
        <f t="shared" si="29"/>
        <v>8.0492815094093508</v>
      </c>
      <c r="CG24" s="246"/>
      <c r="CH24" s="229">
        <f t="shared" si="30"/>
        <v>0</v>
      </c>
      <c r="CI24" s="228">
        <v>35</v>
      </c>
      <c r="CJ24" s="229">
        <f t="shared" si="31"/>
        <v>50</v>
      </c>
      <c r="CK24" s="234">
        <f t="shared" si="32"/>
        <v>2.6439893617021277</v>
      </c>
      <c r="CL24" s="234" cm="1">
        <f t="array" ref="CL24">$BM24 * SUMPRODUCT(INDEX($AV$76:$AX$81,,$AI24),INDEX($AY$76:$BE$81,,$AH24), N($AU$76:$AU$81&gt;$AM24)) / CK24 / 1000</f>
        <v>0</v>
      </c>
      <c r="CM24" s="231">
        <f t="shared" si="33"/>
        <v>30</v>
      </c>
      <c r="CN24" s="229">
        <f t="shared" si="34"/>
        <v>45</v>
      </c>
      <c r="CO24" s="234">
        <f t="shared" si="35"/>
        <v>2.9587499999999998</v>
      </c>
      <c r="CP24" s="234" cm="1">
        <f t="array" ref="CP24">$BM24 * IF($AH24&lt;=2,
SUMPRODUCT(INDEX($AV$71:$AX$75,,$AI24), INDEX($AY$71:$BE$75,,$AH24), 1 / ($BF$71:$BF$75*CO24 + (1-$BF$71:$BF$75)*CK24), N($AU$71:$AU$75&gt;$AM24)),
SUMPRODUCT(INDEX($AV$66:$AX$75,,$AI24), INDEX($AY$66:$BE$75,,$AH24), 1 / ($BG$66:$BG$75*CO24 + (1-$BG$66:$BG$75)*CK24), N($AU$66:$AU$75&gt;$AM24))
) / 1000</f>
        <v>0.8831004057956171</v>
      </c>
      <c r="CQ24" s="231">
        <f t="shared" si="36"/>
        <v>25</v>
      </c>
      <c r="CR24" s="229">
        <f t="shared" si="37"/>
        <v>40</v>
      </c>
      <c r="CS24" s="234">
        <f t="shared" si="38"/>
        <v>3.358581081081081</v>
      </c>
      <c r="CT24" s="234" cm="1">
        <f t="array" ref="CT24">$BM24 * IF($AH24&lt;=2,
SUMPRODUCT(INDEX($AV$66:$AX$70,,$AI24), INDEX($AY$66:$BE$70,,$AH24), 1 / ($BF$66:$BF$70*CS24 + (1-$BF$66:$BF$70)*CO24), N($AU$66:$AU$70&gt;$AM24)),
SUMPRODUCT(INDEX($AV$56:$AX$65,,$AI24), INDEX($AY$56:$BE$65,,$AH24), 1 / ($BG$56:$BG$65*CS24 + (1-$BG$56:$BG$65)*CO24), N($AU$56:$AU$65&gt;$AM24))
) / 1000</f>
        <v>3.0093988410080508</v>
      </c>
      <c r="CU24" s="231">
        <f t="shared" si="39"/>
        <v>20</v>
      </c>
      <c r="CV24" s="229">
        <f t="shared" si="40"/>
        <v>35</v>
      </c>
      <c r="CW24" s="234">
        <f t="shared" si="41"/>
        <v>3.8833593749999999</v>
      </c>
      <c r="CX24" s="234" cm="1">
        <f t="array" ref="CX24">$BM24 * IF($AH24&lt;=2,
SUMPRODUCT(INDEX($AV$61:$AX$65,,$AI24), INDEX($AY$61:$BE$65,,$AH24), 1 / ($BF$61:$BF$65*CW24 + (1-$BF$61:$BF$65)*CS24), N($AU$61:$AU$65&gt;$AM24)),
SUMPRODUCT(INDEX($AV$46:$AX$55,,$AI24), INDEX($AY$46:$BE$55,,$AH24), 1 / ($BG$46:$BG$55*CW24 + (1-$BG$46:$BG$55)*CS24), N($AU$46:$AU$55&gt;$AM24))
) / 1000</f>
        <v>4.1567822626056818</v>
      </c>
      <c r="CY24" s="234" cm="1">
        <f t="array" ref="CY24">$BM24 * IF($AH24&lt;=2,
SUMPRODUCT(INDEX($AV$22:$AX$60,,$AI24), INDEX($AY$22:$BE$60,,$AH24), 1 / ($BF$22:$BF$60*CW24), N($AU$22:$AU$60&gt;$AM24)),
SUMPRODUCT(INDEX($AV$22:$AX$45,,$AI24), INDEX($AY$22:$BE$45,,$AH24), 1 / ($BG$22:$BG$45*CW24), N($AU$22:$AU$45&gt;$AM24))
) / 1000</f>
        <v>0</v>
      </c>
      <c r="CZ24" s="229">
        <f t="shared" si="42"/>
        <v>8.0492815094093508</v>
      </c>
      <c r="DA24" s="246"/>
    </row>
    <row r="25" spans="1:105" s="75" customFormat="1" ht="14.25" customHeight="1" x14ac:dyDescent="0.25">
      <c r="A25" s="230" t="b">
        <f t="shared" si="0"/>
        <v>0</v>
      </c>
      <c r="B25" s="253">
        <v>4</v>
      </c>
      <c r="C25" s="266"/>
      <c r="D25" s="266"/>
      <c r="E25" s="254"/>
      <c r="F25" s="255" t="str">
        <f>IF(ISBLANK(E25), "", VLOOKUP(E25, Z!$A$2:$C$4127, 3, FALSE))</f>
        <v/>
      </c>
      <c r="G25" s="256"/>
      <c r="H25" s="256"/>
      <c r="I25" s="256"/>
      <c r="J25" s="257"/>
      <c r="K25" s="258"/>
      <c r="L25" s="267"/>
      <c r="M25" s="268"/>
      <c r="N25" s="259" t="str" cm="1">
        <f t="array" ref="N25">IF($L25&gt;0, INDEX(Clean,1+AK25,$D$1), "")</f>
        <v/>
      </c>
      <c r="O25" s="260"/>
      <c r="P25" s="260"/>
      <c r="Q25" s="261"/>
      <c r="R25" s="264">
        <f t="shared" si="7"/>
        <v>0</v>
      </c>
      <c r="S25" s="259" t="str" cm="1">
        <f t="array" ref="S25">IF($L25&gt;0, INDEX(Clean,1+AL25,$D$1), "")</f>
        <v/>
      </c>
      <c r="T25" s="260"/>
      <c r="U25" s="260"/>
      <c r="V25" s="261"/>
      <c r="W25" s="267"/>
      <c r="X25" s="267"/>
      <c r="Y25" s="257"/>
      <c r="Z25" s="264">
        <f t="shared" si="8"/>
        <v>0</v>
      </c>
      <c r="AA25" s="269"/>
      <c r="AB25" s="266"/>
      <c r="AC25" s="254"/>
      <c r="AD25" s="255" t="str">
        <f>IF(ISBLANK(AC25), "", VLOOKUP(AC25, Z!$A$2:$C$4127, 3, FALSE))</f>
        <v/>
      </c>
      <c r="AE25" s="270"/>
      <c r="AF25" s="265">
        <f t="shared" si="9"/>
        <v>0</v>
      </c>
      <c r="AG25" s="246"/>
      <c r="AH25" s="228">
        <f t="shared" ref="AH25" si="47">IF(ISBLANK(I25), 1, IFERROR(MATCH(I25, INDEX(Use,,1), 0), IFERROR(MATCH(I25, INDEX(Use,,2), 0), MATCH(I25, INDEX(Use,,3), 0))))</f>
        <v>1</v>
      </c>
      <c r="AI25" s="228">
        <f t="shared" ref="AI25" si="48">IF(ISBLANK(H25), 1, IFERROR(MATCH(H25, INDEX(Loc,,1), 0), IFERROR(MATCH(H25, INDEX(Loc,,2), 0), MATCH(H25, INDEX(Loc,,3), 0))))</f>
        <v>1</v>
      </c>
      <c r="AJ25" s="228">
        <f t="shared" ref="AJ25" si="49">_xlfn.IFNA(IF(IFERROR(MATCH(J25, INDEX(Medium,,1), 0), IFERROR(MATCH(J25, INDEX(Medium,,2), 0), MATCH(J25, INDEX(Medium,,3), 0))) = 2, 1, 0), 0)</f>
        <v>0</v>
      </c>
      <c r="AK25" s="228">
        <v>0</v>
      </c>
      <c r="AL25" s="228">
        <v>0</v>
      </c>
      <c r="AM25" s="228">
        <f t="shared" si="4"/>
        <v>-100</v>
      </c>
      <c r="AN25" s="228" cm="1">
        <f t="array" ref="AN25">IF(ISBLANK(G25), 1, IFERROR(MATCH(G25, INDEX(Kat,,1), 0), IFERROR(MATCH(Kat, INDEX(Use,,2), 0), MATCH(Kat, INDEX(Use,,3), 0))))</f>
        <v>1</v>
      </c>
      <c r="AO25" s="246"/>
      <c r="AP25" s="228" cm="1">
        <f t="array" ref="AP25">IF(W25&gt;0, INDEX(Kat, AN25,4), 0)</f>
        <v>0</v>
      </c>
      <c r="AQ25" s="228">
        <f t="shared" ref="AQ25" si="50">IF(ISBLANK(Y25), 0, IFERROR(MATCH(Y25, INDEX(Month,,1), 0), IFERROR(MATCH(Y25, INDEX(Month,,2), 0), MATCH(Y25, INDEX(Month,,3), 0))))</f>
        <v>0</v>
      </c>
      <c r="AR25" s="228" cm="1">
        <f t="array" ref="AR25">IF(X25&gt;0, INDEX(Kat, $AN25, 4+AQ25), 0)</f>
        <v>0</v>
      </c>
      <c r="AS25" s="228" cm="1">
        <f t="array" ref="AS25">IF(X25&gt;0, INDEX(Kat, $AN25, 9+AQ25), 0)</f>
        <v>0</v>
      </c>
      <c r="AT25" s="246"/>
      <c r="AU25" s="228">
        <v>-16</v>
      </c>
      <c r="AV25" s="231">
        <v>0</v>
      </c>
      <c r="AW25" s="231">
        <v>0</v>
      </c>
      <c r="AX25" s="231">
        <v>0</v>
      </c>
      <c r="AY25" s="232">
        <f t="shared" si="6"/>
        <v>0</v>
      </c>
      <c r="AZ25" s="232">
        <f t="shared" si="6"/>
        <v>0</v>
      </c>
      <c r="BA25" s="232" t="e" cm="1">
        <f t="array" ref="BA25">MIN(INDEX(Use,BA$20,5) + MAX(0, (1-INDEX(Use,BA$20,5))*($AU25-5)/(35-5)), 1)</f>
        <v>#REF!</v>
      </c>
      <c r="BB25" s="232" t="e" cm="1">
        <f t="array" ref="BB25">MIN(INDEX(Use,BB$20,5) + MAX(0, (1-INDEX(Use,BB$20,5))*($AU25-5)/(35-5)), 1)</f>
        <v>#REF!</v>
      </c>
      <c r="BC25" s="232" t="e" cm="1">
        <f t="array" ref="BC25">MIN(INDEX(Use,BC$20,5) + MAX(0, (1-INDEX(Use,BC$20,5))*($AU25-5)/(35-5)), 1)</f>
        <v>#REF!</v>
      </c>
      <c r="BD25" s="232" t="e" cm="1">
        <f t="array" ref="BD25">MIN(INDEX(Use,BD$20,5) + MAX(0, (1-INDEX(Use,BD$20,5))*($AU25-5)/(35-5)), 1)</f>
        <v>#REF!</v>
      </c>
      <c r="BE25" s="232" t="e" cm="1">
        <f t="array" ref="BE25">MIN(INDEX(Use,BE$20,5) + MAX(0, (1-INDEX(Use,BE$20,5))*($AU25-5)/(35-5)), 1)</f>
        <v>#REF!</v>
      </c>
      <c r="BF25" s="232">
        <v>1</v>
      </c>
      <c r="BG25" s="232">
        <v>1</v>
      </c>
      <c r="BH25" s="210"/>
      <c r="BI25" s="228" cm="1">
        <f t="array" ref="BI25">INDEX(Use, $AH25, 4)</f>
        <v>7</v>
      </c>
      <c r="BJ25" s="228">
        <f t="shared" si="14"/>
        <v>32</v>
      </c>
      <c r="BK25" s="228">
        <f t="shared" si="15"/>
        <v>13</v>
      </c>
      <c r="BL25" s="228">
        <f t="shared" si="16"/>
        <v>0</v>
      </c>
      <c r="BM25" s="233" cm="1">
        <f t="array" ref="BM25">L25/IF($M25&gt;0, INDEX($AY$22:$BE$76, $M25+20, $AH25), 1)</f>
        <v>0</v>
      </c>
      <c r="BN25" s="229">
        <f t="shared" si="17"/>
        <v>0</v>
      </c>
      <c r="BO25" s="228">
        <v>35</v>
      </c>
      <c r="BP25" s="229">
        <f t="shared" si="18"/>
        <v>48</v>
      </c>
      <c r="BQ25" s="234">
        <f t="shared" si="19"/>
        <v>3.0748170731707316</v>
      </c>
      <c r="BR25" s="234" cm="1">
        <f t="array" ref="BR25">$BM25 * SUMPRODUCT(INDEX($AV$76:$AX$81,,$AI25),INDEX($AY$76:$BE$81,,$AH25), N($AU$76:$AU$81&gt;$AM25)) / BQ25 / 1000</f>
        <v>0</v>
      </c>
      <c r="BS25" s="231">
        <f t="shared" si="20"/>
        <v>30</v>
      </c>
      <c r="BT25" s="229">
        <f t="shared" si="21"/>
        <v>43</v>
      </c>
      <c r="BU25" s="234">
        <f t="shared" si="22"/>
        <v>3.5018750000000001</v>
      </c>
      <c r="BV25" s="234" cm="1">
        <f t="array" ref="BV25">$BM25 * IF($AH25&lt;=2,
SUMPRODUCT(INDEX($AV$71:$AX$75,,$AI25), INDEX($AY$71:$BE$75,,$AH25), 1 / ($BF$71:$BF$75*BU25 + (1-$BF$71:$BF$75)*BQ25), N($AU$71:$AU$75&gt;$AM25)),
SUMPRODUCT(INDEX($AV$66:$AX$75,,$AI25), INDEX($AY$66:$BE$75,,$AH25), 1 / ($BG$66:$BG$75*BU25 + (1-$BG$66:$BG$75)*BQ25), N($AU$66:$AU$75&gt;$AM25))
) / 1000</f>
        <v>0</v>
      </c>
      <c r="BW25" s="231">
        <f t="shared" si="23"/>
        <v>25</v>
      </c>
      <c r="BX25" s="229">
        <f t="shared" si="24"/>
        <v>38</v>
      </c>
      <c r="BY25" s="234">
        <f t="shared" si="25"/>
        <v>4.0666935483870965</v>
      </c>
      <c r="BZ25" s="234" cm="1">
        <f t="array" ref="BZ25">$BM25 * IF($AH25&lt;=2,
SUMPRODUCT(INDEX($AV$66:$AX$70,,$AI25), INDEX($AY$66:$BE$70,,$AH25), 1 / ($BF$66:$BF$70*BY25 + (1-$BF$66:$BF$70)*BU25), N($AU$66:$AU$70&gt;$AM25)),
SUMPRODUCT(INDEX($AV$56:$AX$65,,$AI25), INDEX($AY$56:$BE$65,,$AH25), 1 / ($BG$56:$BG$65*BY25 + (1-$BG$56:$BG$65)*BU25), N($AU$56:$AU$65&gt;$AM25))
) / 1000</f>
        <v>0</v>
      </c>
      <c r="CA25" s="231">
        <f t="shared" si="26"/>
        <v>20</v>
      </c>
      <c r="CB25" s="229">
        <f t="shared" si="27"/>
        <v>33</v>
      </c>
      <c r="CC25" s="234">
        <f t="shared" si="28"/>
        <v>4.8487499999999999</v>
      </c>
      <c r="CD25" s="234" cm="1">
        <f t="array" ref="CD25">$BM25 * IF($AH25&lt;=2,
SUMPRODUCT(INDEX($AV$61:$AX$65,,$AI25), INDEX($AY$61:$BE$65,,$AH25), 1 / ($BF$61:$BF$65*CC25 + (1-$BF$61:$BF$65)*BY25), N($AU$61:$AU$65&gt;$AM25)),
SUMPRODUCT(INDEX($AV$46:$AX$55,,$AI25), INDEX($AY$46:$BE$55,,$AH25), 1 / ($BG$46:$BG$55*CC25 + (1-$BG$46:$BG$55)*BY25), N($AU$46:$AU$55&gt;$AM25))
) / 1000</f>
        <v>0</v>
      </c>
      <c r="CE25" s="234" cm="1">
        <f t="array" ref="CE25">$BM25 * IF($AH25&lt;=2,
SUMPRODUCT(INDEX($AV$22:$AX$60,,$AI25), INDEX($AY$22:$BE$60,,$AH25), 1 / ($BF$22:$BF$60*CC25), N($AU$22:$AU$60&gt;$AM25)),
SUMPRODUCT(INDEX($AV$22:$AX$45,,$AI25), INDEX($AY$22:$BE$45,,$AH25), 1 / ($BG$22:$BG$45*CC25), N($AU$22:$AU$45&gt;$AM25))
) / 1000</f>
        <v>0</v>
      </c>
      <c r="CF25" s="229">
        <f t="shared" si="29"/>
        <v>0</v>
      </c>
      <c r="CG25" s="246"/>
      <c r="CH25" s="229">
        <f t="shared" si="30"/>
        <v>0</v>
      </c>
      <c r="CI25" s="228">
        <v>35</v>
      </c>
      <c r="CJ25" s="229">
        <f t="shared" si="31"/>
        <v>48</v>
      </c>
      <c r="CK25" s="234">
        <f t="shared" si="32"/>
        <v>3.0748170731707316</v>
      </c>
      <c r="CL25" s="234" cm="1">
        <f t="array" ref="CL25">$BM25 * SUMPRODUCT(INDEX($AV$76:$AX$81,,$AI25),INDEX($AY$76:$BE$81,,$AH25), N($AU$76:$AU$81&gt;$AM25)) / CK25 / 1000</f>
        <v>0</v>
      </c>
      <c r="CM25" s="231">
        <f t="shared" si="33"/>
        <v>30</v>
      </c>
      <c r="CN25" s="229">
        <f t="shared" si="34"/>
        <v>43</v>
      </c>
      <c r="CO25" s="234">
        <f t="shared" si="35"/>
        <v>3.5018750000000001</v>
      </c>
      <c r="CP25" s="234" cm="1">
        <f t="array" ref="CP25">$BM25 * IF($AH25&lt;=2,
SUMPRODUCT(INDEX($AV$71:$AX$75,,$AI25), INDEX($AY$71:$BE$75,,$AH25), 1 / ($BF$71:$BF$75*CO25 + (1-$BF$71:$BF$75)*CK25), N($AU$71:$AU$75&gt;$AM25)),
SUMPRODUCT(INDEX($AV$66:$AX$75,,$AI25), INDEX($AY$66:$BE$75,,$AH25), 1 / ($BG$66:$BG$75*CO25 + (1-$BG$66:$BG$75)*CK25), N($AU$66:$AU$75&gt;$AM25))
) / 1000</f>
        <v>0</v>
      </c>
      <c r="CQ25" s="231">
        <f t="shared" si="36"/>
        <v>25</v>
      </c>
      <c r="CR25" s="229">
        <f t="shared" si="37"/>
        <v>38</v>
      </c>
      <c r="CS25" s="234">
        <f t="shared" si="38"/>
        <v>4.0666935483870965</v>
      </c>
      <c r="CT25" s="234" cm="1">
        <f t="array" ref="CT25">$BM25 * IF($AH25&lt;=2,
SUMPRODUCT(INDEX($AV$66:$AX$70,,$AI25), INDEX($AY$66:$BE$70,,$AH25), 1 / ($BF$66:$BF$70*CS25 + (1-$BF$66:$BF$70)*CO25), N($AU$66:$AU$70&gt;$AM25)),
SUMPRODUCT(INDEX($AV$56:$AX$65,,$AI25), INDEX($AY$56:$BE$65,,$AH25), 1 / ($BG$56:$BG$65*CS25 + (1-$BG$56:$BG$65)*CO25), N($AU$56:$AU$65&gt;$AM25))
) / 1000</f>
        <v>0</v>
      </c>
      <c r="CU25" s="231">
        <f t="shared" si="39"/>
        <v>20</v>
      </c>
      <c r="CV25" s="229">
        <f t="shared" si="40"/>
        <v>33</v>
      </c>
      <c r="CW25" s="234">
        <f t="shared" si="41"/>
        <v>4.8487499999999999</v>
      </c>
      <c r="CX25" s="234" cm="1">
        <f t="array" ref="CX25">$BM25 * IF($AH25&lt;=2,
SUMPRODUCT(INDEX($AV$61:$AX$65,,$AI25), INDEX($AY$61:$BE$65,,$AH25), 1 / ($BF$61:$BF$65*CW25 + (1-$BF$61:$BF$65)*CS25), N($AU$61:$AU$65&gt;$AM25)),
SUMPRODUCT(INDEX($AV$46:$AX$55,,$AI25), INDEX($AY$46:$BE$55,,$AH25), 1 / ($BG$46:$BG$55*CW25 + (1-$BG$46:$BG$55)*CS25), N($AU$46:$AU$55&gt;$AM25))
) / 1000</f>
        <v>0</v>
      </c>
      <c r="CY25" s="234" cm="1">
        <f t="array" ref="CY25">$BM25 * IF($AH25&lt;=2,
SUMPRODUCT(INDEX($AV$22:$AX$60,,$AI25), INDEX($AY$22:$BE$60,,$AH25), 1 / ($BF$22:$BF$60*CW25), N($AU$22:$AU$60&gt;$AM25)),
SUMPRODUCT(INDEX($AV$22:$AX$45,,$AI25), INDEX($AY$22:$BE$45,,$AH25), 1 / ($BG$22:$BG$45*CW25), N($AU$22:$AU$45&gt;$AM25))
) / 1000</f>
        <v>0</v>
      </c>
      <c r="CZ25" s="229">
        <f t="shared" si="42"/>
        <v>0</v>
      </c>
      <c r="DA25" s="246"/>
    </row>
    <row r="26" spans="1:105" s="75" customFormat="1" ht="14.25" customHeight="1" x14ac:dyDescent="0.25">
      <c r="A26" s="230" t="b">
        <f t="shared" si="0"/>
        <v>0</v>
      </c>
      <c r="B26" s="253">
        <v>5</v>
      </c>
      <c r="C26" s="266"/>
      <c r="D26" s="266"/>
      <c r="E26" s="254"/>
      <c r="F26" s="255" t="str">
        <f>IF(ISBLANK(E26), "", VLOOKUP(E26, Z!$A$2:$C$4127, 3, FALSE))</f>
        <v/>
      </c>
      <c r="G26" s="256"/>
      <c r="H26" s="256"/>
      <c r="I26" s="256"/>
      <c r="J26" s="257"/>
      <c r="K26" s="258"/>
      <c r="L26" s="267"/>
      <c r="M26" s="268"/>
      <c r="N26" s="259" t="str" cm="1">
        <f t="array" ref="N26">IF($L26&gt;0, INDEX(Clean,1+AK26,$D$1), "")</f>
        <v/>
      </c>
      <c r="O26" s="260"/>
      <c r="P26" s="260"/>
      <c r="Q26" s="261"/>
      <c r="R26" s="264">
        <f t="shared" si="7"/>
        <v>0</v>
      </c>
      <c r="S26" s="259" t="str" cm="1">
        <f t="array" ref="S26">IF($L26&gt;0, INDEX(Clean,1+AL26,$D$1), "")</f>
        <v/>
      </c>
      <c r="T26" s="260"/>
      <c r="U26" s="260"/>
      <c r="V26" s="261"/>
      <c r="W26" s="267"/>
      <c r="X26" s="267"/>
      <c r="Y26" s="257"/>
      <c r="Z26" s="264">
        <f t="shared" si="8"/>
        <v>0</v>
      </c>
      <c r="AA26" s="269"/>
      <c r="AB26" s="266"/>
      <c r="AC26" s="254"/>
      <c r="AD26" s="255" t="str">
        <f>IF(ISBLANK(AC26), "", VLOOKUP(AC26, Z!$A$2:$C$4127, 3, FALSE))</f>
        <v/>
      </c>
      <c r="AE26" s="270"/>
      <c r="AF26" s="265">
        <f t="shared" si="9"/>
        <v>0</v>
      </c>
      <c r="AG26" s="246"/>
      <c r="AH26" s="228">
        <f t="shared" ref="AH26" si="51">IF(ISBLANK(I26), 1, IFERROR(MATCH(I26, INDEX(Use,,1), 0), IFERROR(MATCH(I26, INDEX(Use,,2), 0), MATCH(I26, INDEX(Use,,3), 0))))</f>
        <v>1</v>
      </c>
      <c r="AI26" s="228">
        <f t="shared" ref="AI26" si="52">IF(ISBLANK(H26), 1, IFERROR(MATCH(H26, INDEX(Loc,,1), 0), IFERROR(MATCH(H26, INDEX(Loc,,2), 0), MATCH(H26, INDEX(Loc,,3), 0))))</f>
        <v>1</v>
      </c>
      <c r="AJ26" s="228">
        <f t="shared" ref="AJ26" si="53">_xlfn.IFNA(IF(IFERROR(MATCH(J26, INDEX(Medium,,1), 0), IFERROR(MATCH(J26, INDEX(Medium,,2), 0), MATCH(J26, INDEX(Medium,,3), 0))) = 2, 1, 0), 0)</f>
        <v>0</v>
      </c>
      <c r="AK26" s="228">
        <v>0</v>
      </c>
      <c r="AL26" s="228">
        <v>0</v>
      </c>
      <c r="AM26" s="228">
        <f t="shared" si="4"/>
        <v>-100</v>
      </c>
      <c r="AN26" s="228" cm="1">
        <f t="array" ref="AN26">IF(ISBLANK(G26), 1, IFERROR(MATCH(G26, INDEX(Kat,,1), 0), IFERROR(MATCH(Kat, INDEX(Use,,2), 0), MATCH(Kat, INDEX(Use,,3), 0))))</f>
        <v>1</v>
      </c>
      <c r="AO26" s="246"/>
      <c r="AP26" s="228" cm="1">
        <f t="array" ref="AP26">IF(W26&gt;0, INDEX(Kat, AN26,4), 0)</f>
        <v>0</v>
      </c>
      <c r="AQ26" s="228">
        <f t="shared" ref="AQ26" si="54">IF(ISBLANK(Y26), 0, IFERROR(MATCH(Y26, INDEX(Month,,1), 0), IFERROR(MATCH(Y26, INDEX(Month,,2), 0), MATCH(Y26, INDEX(Month,,3), 0))))</f>
        <v>0</v>
      </c>
      <c r="AR26" s="228" cm="1">
        <f t="array" ref="AR26">IF(X26&gt;0, INDEX(Kat, $AN26, 4+AQ26), 0)</f>
        <v>0</v>
      </c>
      <c r="AS26" s="228" cm="1">
        <f t="array" ref="AS26">IF(X26&gt;0, INDEX(Kat, $AN26, 9+AQ26), 0)</f>
        <v>0</v>
      </c>
      <c r="AT26" s="246"/>
      <c r="AU26" s="228">
        <v>-15</v>
      </c>
      <c r="AV26" s="231">
        <v>0</v>
      </c>
      <c r="AW26" s="231">
        <v>0</v>
      </c>
      <c r="AX26" s="231">
        <v>0</v>
      </c>
      <c r="AY26" s="232">
        <f t="shared" si="6"/>
        <v>0</v>
      </c>
      <c r="AZ26" s="232">
        <f t="shared" si="6"/>
        <v>0</v>
      </c>
      <c r="BA26" s="232" t="e" cm="1">
        <f t="array" ref="BA26">MIN(INDEX(Use,BA$20,5) + MAX(0, (1-INDEX(Use,BA$20,5))*($AU26-5)/(35-5)), 1)</f>
        <v>#REF!</v>
      </c>
      <c r="BB26" s="232" t="e" cm="1">
        <f t="array" ref="BB26">MIN(INDEX(Use,BB$20,5) + MAX(0, (1-INDEX(Use,BB$20,5))*($AU26-5)/(35-5)), 1)</f>
        <v>#REF!</v>
      </c>
      <c r="BC26" s="232" t="e" cm="1">
        <f t="array" ref="BC26">MIN(INDEX(Use,BC$20,5) + MAX(0, (1-INDEX(Use,BC$20,5))*($AU26-5)/(35-5)), 1)</f>
        <v>#REF!</v>
      </c>
      <c r="BD26" s="232" t="e" cm="1">
        <f t="array" ref="BD26">MIN(INDEX(Use,BD$20,5) + MAX(0, (1-INDEX(Use,BD$20,5))*($AU26-5)/(35-5)), 1)</f>
        <v>#REF!</v>
      </c>
      <c r="BE26" s="232" t="e" cm="1">
        <f t="array" ref="BE26">MIN(INDEX(Use,BE$20,5) + MAX(0, (1-INDEX(Use,BE$20,5))*($AU26-5)/(35-5)), 1)</f>
        <v>#REF!</v>
      </c>
      <c r="BF26" s="232">
        <v>1</v>
      </c>
      <c r="BG26" s="232">
        <v>1</v>
      </c>
      <c r="BH26" s="210"/>
      <c r="BI26" s="228" cm="1">
        <f t="array" ref="BI26">INDEX(Use, $AH26, 4)</f>
        <v>7</v>
      </c>
      <c r="BJ26" s="228">
        <f t="shared" si="14"/>
        <v>32</v>
      </c>
      <c r="BK26" s="228">
        <f t="shared" si="15"/>
        <v>13</v>
      </c>
      <c r="BL26" s="228">
        <f t="shared" si="16"/>
        <v>0</v>
      </c>
      <c r="BM26" s="233" cm="1">
        <f t="array" ref="BM26">L26/IF($M26&gt;0, INDEX($AY$22:$BE$76, $M26+20, $AH26), 1)</f>
        <v>0</v>
      </c>
      <c r="BN26" s="229">
        <f t="shared" si="17"/>
        <v>0</v>
      </c>
      <c r="BO26" s="228">
        <v>35</v>
      </c>
      <c r="BP26" s="229">
        <f t="shared" si="18"/>
        <v>48</v>
      </c>
      <c r="BQ26" s="234">
        <f t="shared" si="19"/>
        <v>3.0748170731707316</v>
      </c>
      <c r="BR26" s="234" cm="1">
        <f t="array" ref="BR26">$BM26 * SUMPRODUCT(INDEX($AV$76:$AX$81,,$AI26),INDEX($AY$76:$BE$81,,$AH26), N($AU$76:$AU$81&gt;$AM26)) / BQ26 / 1000</f>
        <v>0</v>
      </c>
      <c r="BS26" s="231">
        <f t="shared" si="20"/>
        <v>30</v>
      </c>
      <c r="BT26" s="229">
        <f t="shared" si="21"/>
        <v>43</v>
      </c>
      <c r="BU26" s="234">
        <f t="shared" si="22"/>
        <v>3.5018750000000001</v>
      </c>
      <c r="BV26" s="234" cm="1">
        <f t="array" ref="BV26">$BM26 * IF($AH26&lt;=2,
SUMPRODUCT(INDEX($AV$71:$AX$75,,$AI26), INDEX($AY$71:$BE$75,,$AH26), 1 / ($BF$71:$BF$75*BU26 + (1-$BF$71:$BF$75)*BQ26), N($AU$71:$AU$75&gt;$AM26)),
SUMPRODUCT(INDEX($AV$66:$AX$75,,$AI26), INDEX($AY$66:$BE$75,,$AH26), 1 / ($BG$66:$BG$75*BU26 + (1-$BG$66:$BG$75)*BQ26), N($AU$66:$AU$75&gt;$AM26))
) / 1000</f>
        <v>0</v>
      </c>
      <c r="BW26" s="231">
        <f t="shared" si="23"/>
        <v>25</v>
      </c>
      <c r="BX26" s="229">
        <f t="shared" si="24"/>
        <v>38</v>
      </c>
      <c r="BY26" s="234">
        <f t="shared" si="25"/>
        <v>4.0666935483870965</v>
      </c>
      <c r="BZ26" s="234" cm="1">
        <f t="array" ref="BZ26">$BM26 * IF($AH26&lt;=2,
SUMPRODUCT(INDEX($AV$66:$AX$70,,$AI26), INDEX($AY$66:$BE$70,,$AH26), 1 / ($BF$66:$BF$70*BY26 + (1-$BF$66:$BF$70)*BU26), N($AU$66:$AU$70&gt;$AM26)),
SUMPRODUCT(INDEX($AV$56:$AX$65,,$AI26), INDEX($AY$56:$BE$65,,$AH26), 1 / ($BG$56:$BG$65*BY26 + (1-$BG$56:$BG$65)*BU26), N($AU$56:$AU$65&gt;$AM26))
) / 1000</f>
        <v>0</v>
      </c>
      <c r="CA26" s="231">
        <f t="shared" si="26"/>
        <v>20</v>
      </c>
      <c r="CB26" s="229">
        <f t="shared" si="27"/>
        <v>33</v>
      </c>
      <c r="CC26" s="234">
        <f t="shared" si="28"/>
        <v>4.8487499999999999</v>
      </c>
      <c r="CD26" s="234" cm="1">
        <f t="array" ref="CD26">$BM26 * IF($AH26&lt;=2,
SUMPRODUCT(INDEX($AV$61:$AX$65,,$AI26), INDEX($AY$61:$BE$65,,$AH26), 1 / ($BF$61:$BF$65*CC26 + (1-$BF$61:$BF$65)*BY26), N($AU$61:$AU$65&gt;$AM26)),
SUMPRODUCT(INDEX($AV$46:$AX$55,,$AI26), INDEX($AY$46:$BE$55,,$AH26), 1 / ($BG$46:$BG$55*CC26 + (1-$BG$46:$BG$55)*BY26), N($AU$46:$AU$55&gt;$AM26))
) / 1000</f>
        <v>0</v>
      </c>
      <c r="CE26" s="234" cm="1">
        <f t="array" ref="CE26">$BM26 * IF($AH26&lt;=2,
SUMPRODUCT(INDEX($AV$22:$AX$60,,$AI26), INDEX($AY$22:$BE$60,,$AH26), 1 / ($BF$22:$BF$60*CC26), N($AU$22:$AU$60&gt;$AM26)),
SUMPRODUCT(INDEX($AV$22:$AX$45,,$AI26), INDEX($AY$22:$BE$45,,$AH26), 1 / ($BG$22:$BG$45*CC26), N($AU$22:$AU$45&gt;$AM26))
) / 1000</f>
        <v>0</v>
      </c>
      <c r="CF26" s="229">
        <f t="shared" si="29"/>
        <v>0</v>
      </c>
      <c r="CG26" s="246"/>
      <c r="CH26" s="229">
        <f t="shared" si="30"/>
        <v>0</v>
      </c>
      <c r="CI26" s="228">
        <v>35</v>
      </c>
      <c r="CJ26" s="229">
        <f t="shared" si="31"/>
        <v>48</v>
      </c>
      <c r="CK26" s="234">
        <f t="shared" si="32"/>
        <v>3.0748170731707316</v>
      </c>
      <c r="CL26" s="234" cm="1">
        <f t="array" ref="CL26">$BM26 * SUMPRODUCT(INDEX($AV$76:$AX$81,,$AI26),INDEX($AY$76:$BE$81,,$AH26), N($AU$76:$AU$81&gt;$AM26)) / CK26 / 1000</f>
        <v>0</v>
      </c>
      <c r="CM26" s="231">
        <f t="shared" si="33"/>
        <v>30</v>
      </c>
      <c r="CN26" s="229">
        <f t="shared" si="34"/>
        <v>43</v>
      </c>
      <c r="CO26" s="234">
        <f t="shared" si="35"/>
        <v>3.5018750000000001</v>
      </c>
      <c r="CP26" s="234" cm="1">
        <f t="array" ref="CP26">$BM26 * IF($AH26&lt;=2,
SUMPRODUCT(INDEX($AV$71:$AX$75,,$AI26), INDEX($AY$71:$BE$75,,$AH26), 1 / ($BF$71:$BF$75*CO26 + (1-$BF$71:$BF$75)*CK26), N($AU$71:$AU$75&gt;$AM26)),
SUMPRODUCT(INDEX($AV$66:$AX$75,,$AI26), INDEX($AY$66:$BE$75,,$AH26), 1 / ($BG$66:$BG$75*CO26 + (1-$BG$66:$BG$75)*CK26), N($AU$66:$AU$75&gt;$AM26))
) / 1000</f>
        <v>0</v>
      </c>
      <c r="CQ26" s="231">
        <f t="shared" si="36"/>
        <v>25</v>
      </c>
      <c r="CR26" s="229">
        <f t="shared" si="37"/>
        <v>38</v>
      </c>
      <c r="CS26" s="234">
        <f t="shared" si="38"/>
        <v>4.0666935483870965</v>
      </c>
      <c r="CT26" s="234" cm="1">
        <f t="array" ref="CT26">$BM26 * IF($AH26&lt;=2,
SUMPRODUCT(INDEX($AV$66:$AX$70,,$AI26), INDEX($AY$66:$BE$70,,$AH26), 1 / ($BF$66:$BF$70*CS26 + (1-$BF$66:$BF$70)*CO26), N($AU$66:$AU$70&gt;$AM26)),
SUMPRODUCT(INDEX($AV$56:$AX$65,,$AI26), INDEX($AY$56:$BE$65,,$AH26), 1 / ($BG$56:$BG$65*CS26 + (1-$BG$56:$BG$65)*CO26), N($AU$56:$AU$65&gt;$AM26))
) / 1000</f>
        <v>0</v>
      </c>
      <c r="CU26" s="231">
        <f t="shared" si="39"/>
        <v>20</v>
      </c>
      <c r="CV26" s="229">
        <f t="shared" si="40"/>
        <v>33</v>
      </c>
      <c r="CW26" s="234">
        <f t="shared" si="41"/>
        <v>4.8487499999999999</v>
      </c>
      <c r="CX26" s="234" cm="1">
        <f t="array" ref="CX26">$BM26 * IF($AH26&lt;=2,
SUMPRODUCT(INDEX($AV$61:$AX$65,,$AI26), INDEX($AY$61:$BE$65,,$AH26), 1 / ($BF$61:$BF$65*CW26 + (1-$BF$61:$BF$65)*CS26), N($AU$61:$AU$65&gt;$AM26)),
SUMPRODUCT(INDEX($AV$46:$AX$55,,$AI26), INDEX($AY$46:$BE$55,,$AH26), 1 / ($BG$46:$BG$55*CW26 + (1-$BG$46:$BG$55)*CS26), N($AU$46:$AU$55&gt;$AM26))
) / 1000</f>
        <v>0</v>
      </c>
      <c r="CY26" s="234" cm="1">
        <f t="array" ref="CY26">$BM26 * IF($AH26&lt;=2,
SUMPRODUCT(INDEX($AV$22:$AX$60,,$AI26), INDEX($AY$22:$BE$60,,$AH26), 1 / ($BF$22:$BF$60*CW26), N($AU$22:$AU$60&gt;$AM26)),
SUMPRODUCT(INDEX($AV$22:$AX$45,,$AI26), INDEX($AY$22:$BE$45,,$AH26), 1 / ($BG$22:$BG$45*CW26), N($AU$22:$AU$45&gt;$AM26))
) / 1000</f>
        <v>0</v>
      </c>
      <c r="CZ26" s="229">
        <f t="shared" si="42"/>
        <v>0</v>
      </c>
      <c r="DA26" s="246"/>
    </row>
    <row r="27" spans="1:105" s="75" customFormat="1" ht="14.25" customHeight="1" x14ac:dyDescent="0.25">
      <c r="A27" s="230" t="b">
        <f t="shared" si="0"/>
        <v>0</v>
      </c>
      <c r="B27" s="253">
        <v>6</v>
      </c>
      <c r="C27" s="266"/>
      <c r="D27" s="266"/>
      <c r="E27" s="254"/>
      <c r="F27" s="255" t="str">
        <f>IF(ISBLANK(E27), "", VLOOKUP(E27, Z!$A$2:$C$4127, 3, FALSE))</f>
        <v/>
      </c>
      <c r="G27" s="256"/>
      <c r="H27" s="256"/>
      <c r="I27" s="256"/>
      <c r="J27" s="257"/>
      <c r="K27" s="258"/>
      <c r="L27" s="267"/>
      <c r="M27" s="268"/>
      <c r="N27" s="259" t="str" cm="1">
        <f t="array" ref="N27">IF($L27&gt;0, INDEX(Clean,1+AK27,$D$1), "")</f>
        <v/>
      </c>
      <c r="O27" s="260"/>
      <c r="P27" s="260"/>
      <c r="Q27" s="261"/>
      <c r="R27" s="264">
        <f t="shared" si="7"/>
        <v>0</v>
      </c>
      <c r="S27" s="259" t="str" cm="1">
        <f t="array" ref="S27">IF($L27&gt;0, INDEX(Clean,1+AL27,$D$1), "")</f>
        <v/>
      </c>
      <c r="T27" s="260"/>
      <c r="U27" s="260"/>
      <c r="V27" s="261"/>
      <c r="W27" s="267"/>
      <c r="X27" s="267"/>
      <c r="Y27" s="257"/>
      <c r="Z27" s="264">
        <f t="shared" si="8"/>
        <v>0</v>
      </c>
      <c r="AA27" s="269"/>
      <c r="AB27" s="266"/>
      <c r="AC27" s="254"/>
      <c r="AD27" s="255" t="str">
        <f>IF(ISBLANK(AC27), "", VLOOKUP(AC27, Z!$A$2:$C$4127, 3, FALSE))</f>
        <v/>
      </c>
      <c r="AE27" s="270"/>
      <c r="AF27" s="265">
        <f t="shared" si="9"/>
        <v>0</v>
      </c>
      <c r="AG27" s="246"/>
      <c r="AH27" s="228">
        <f t="shared" ref="AH27" si="55">IF(ISBLANK(I27), 1, IFERROR(MATCH(I27, INDEX(Use,,1), 0), IFERROR(MATCH(I27, INDEX(Use,,2), 0), MATCH(I27, INDEX(Use,,3), 0))))</f>
        <v>1</v>
      </c>
      <c r="AI27" s="228">
        <f t="shared" ref="AI27" si="56">IF(ISBLANK(H27), 1, IFERROR(MATCH(H27, INDEX(Loc,,1), 0), IFERROR(MATCH(H27, INDEX(Loc,,2), 0), MATCH(H27, INDEX(Loc,,3), 0))))</f>
        <v>1</v>
      </c>
      <c r="AJ27" s="228">
        <f t="shared" ref="AJ27" si="57">_xlfn.IFNA(IF(IFERROR(MATCH(J27, INDEX(Medium,,1), 0), IFERROR(MATCH(J27, INDEX(Medium,,2), 0), MATCH(J27, INDEX(Medium,,3), 0))) = 2, 1, 0), 0)</f>
        <v>0</v>
      </c>
      <c r="AK27" s="228">
        <v>0</v>
      </c>
      <c r="AL27" s="228">
        <v>0</v>
      </c>
      <c r="AM27" s="228">
        <f t="shared" si="4"/>
        <v>-100</v>
      </c>
      <c r="AN27" s="228" cm="1">
        <f t="array" ref="AN27">IF(ISBLANK(G27), 1, IFERROR(MATCH(G27, INDEX(Kat,,1), 0), IFERROR(MATCH(Kat, INDEX(Use,,2), 0), MATCH(Kat, INDEX(Use,,3), 0))))</f>
        <v>1</v>
      </c>
      <c r="AO27" s="246"/>
      <c r="AP27" s="228" cm="1">
        <f t="array" ref="AP27">IF(W27&gt;0, INDEX(Kat, AN27,4), 0)</f>
        <v>0</v>
      </c>
      <c r="AQ27" s="228">
        <f t="shared" ref="AQ27" si="58">IF(ISBLANK(Y27), 0, IFERROR(MATCH(Y27, INDEX(Month,,1), 0), IFERROR(MATCH(Y27, INDEX(Month,,2), 0), MATCH(Y27, INDEX(Month,,3), 0))))</f>
        <v>0</v>
      </c>
      <c r="AR27" s="228" cm="1">
        <f t="array" ref="AR27">IF(X27&gt;0, INDEX(Kat, $AN27, 4+AQ27), 0)</f>
        <v>0</v>
      </c>
      <c r="AS27" s="228" cm="1">
        <f t="array" ref="AS27">IF(X27&gt;0, INDEX(Kat, $AN27, 9+AQ27), 0)</f>
        <v>0</v>
      </c>
      <c r="AT27" s="246"/>
      <c r="AU27" s="228">
        <v>-14</v>
      </c>
      <c r="AV27" s="231">
        <v>0</v>
      </c>
      <c r="AW27" s="231">
        <v>0</v>
      </c>
      <c r="AX27" s="231">
        <v>0</v>
      </c>
      <c r="AY27" s="232">
        <f t="shared" si="6"/>
        <v>0</v>
      </c>
      <c r="AZ27" s="232">
        <f t="shared" si="6"/>
        <v>0</v>
      </c>
      <c r="BA27" s="232" t="e" cm="1">
        <f t="array" ref="BA27">MIN(INDEX(Use,BA$20,5) + MAX(0, (1-INDEX(Use,BA$20,5))*($AU27-5)/(35-5)), 1)</f>
        <v>#REF!</v>
      </c>
      <c r="BB27" s="232" t="e" cm="1">
        <f t="array" ref="BB27">MIN(INDEX(Use,BB$20,5) + MAX(0, (1-INDEX(Use,BB$20,5))*($AU27-5)/(35-5)), 1)</f>
        <v>#REF!</v>
      </c>
      <c r="BC27" s="232" t="e" cm="1">
        <f t="array" ref="BC27">MIN(INDEX(Use,BC$20,5) + MAX(0, (1-INDEX(Use,BC$20,5))*($AU27-5)/(35-5)), 1)</f>
        <v>#REF!</v>
      </c>
      <c r="BD27" s="232" t="e" cm="1">
        <f t="array" ref="BD27">MIN(INDEX(Use,BD$20,5) + MAX(0, (1-INDEX(Use,BD$20,5))*($AU27-5)/(35-5)), 1)</f>
        <v>#REF!</v>
      </c>
      <c r="BE27" s="232" t="e" cm="1">
        <f t="array" ref="BE27">MIN(INDEX(Use,BE$20,5) + MAX(0, (1-INDEX(Use,BE$20,5))*($AU27-5)/(35-5)), 1)</f>
        <v>#REF!</v>
      </c>
      <c r="BF27" s="232">
        <v>1</v>
      </c>
      <c r="BG27" s="232">
        <v>1</v>
      </c>
      <c r="BH27" s="210"/>
      <c r="BI27" s="228" cm="1">
        <f t="array" ref="BI27">INDEX(Use, $AH27, 4)</f>
        <v>7</v>
      </c>
      <c r="BJ27" s="228">
        <f t="shared" si="14"/>
        <v>32</v>
      </c>
      <c r="BK27" s="228">
        <f t="shared" si="15"/>
        <v>13</v>
      </c>
      <c r="BL27" s="228">
        <f t="shared" si="16"/>
        <v>0</v>
      </c>
      <c r="BM27" s="233" cm="1">
        <f t="array" ref="BM27">L27/IF($M27&gt;0, INDEX($AY$22:$BE$76, $M27+20, $AH27), 1)</f>
        <v>0</v>
      </c>
      <c r="BN27" s="229">
        <f t="shared" si="17"/>
        <v>0</v>
      </c>
      <c r="BO27" s="228">
        <v>35</v>
      </c>
      <c r="BP27" s="229">
        <f t="shared" si="18"/>
        <v>48</v>
      </c>
      <c r="BQ27" s="234">
        <f t="shared" si="19"/>
        <v>3.0748170731707316</v>
      </c>
      <c r="BR27" s="234" cm="1">
        <f t="array" ref="BR27">$BM27 * SUMPRODUCT(INDEX($AV$76:$AX$81,,$AI27),INDEX($AY$76:$BE$81,,$AH27), N($AU$76:$AU$81&gt;$AM27)) / BQ27 / 1000</f>
        <v>0</v>
      </c>
      <c r="BS27" s="231">
        <f t="shared" si="20"/>
        <v>30</v>
      </c>
      <c r="BT27" s="229">
        <f t="shared" si="21"/>
        <v>43</v>
      </c>
      <c r="BU27" s="234">
        <f t="shared" si="22"/>
        <v>3.5018750000000001</v>
      </c>
      <c r="BV27" s="234" cm="1">
        <f t="array" ref="BV27">$BM27 * IF($AH27&lt;=2,
SUMPRODUCT(INDEX($AV$71:$AX$75,,$AI27), INDEX($AY$71:$BE$75,,$AH27), 1 / ($BF$71:$BF$75*BU27 + (1-$BF$71:$BF$75)*BQ27), N($AU$71:$AU$75&gt;$AM27)),
SUMPRODUCT(INDEX($AV$66:$AX$75,,$AI27), INDEX($AY$66:$BE$75,,$AH27), 1 / ($BG$66:$BG$75*BU27 + (1-$BG$66:$BG$75)*BQ27), N($AU$66:$AU$75&gt;$AM27))
) / 1000</f>
        <v>0</v>
      </c>
      <c r="BW27" s="231">
        <f t="shared" si="23"/>
        <v>25</v>
      </c>
      <c r="BX27" s="229">
        <f t="shared" si="24"/>
        <v>38</v>
      </c>
      <c r="BY27" s="234">
        <f t="shared" si="25"/>
        <v>4.0666935483870965</v>
      </c>
      <c r="BZ27" s="234" cm="1">
        <f t="array" ref="BZ27">$BM27 * IF($AH27&lt;=2,
SUMPRODUCT(INDEX($AV$66:$AX$70,,$AI27), INDEX($AY$66:$BE$70,,$AH27), 1 / ($BF$66:$BF$70*BY27 + (1-$BF$66:$BF$70)*BU27), N($AU$66:$AU$70&gt;$AM27)),
SUMPRODUCT(INDEX($AV$56:$AX$65,,$AI27), INDEX($AY$56:$BE$65,,$AH27), 1 / ($BG$56:$BG$65*BY27 + (1-$BG$56:$BG$65)*BU27), N($AU$56:$AU$65&gt;$AM27))
) / 1000</f>
        <v>0</v>
      </c>
      <c r="CA27" s="231">
        <f t="shared" si="26"/>
        <v>20</v>
      </c>
      <c r="CB27" s="229">
        <f t="shared" si="27"/>
        <v>33</v>
      </c>
      <c r="CC27" s="234">
        <f t="shared" si="28"/>
        <v>4.8487499999999999</v>
      </c>
      <c r="CD27" s="234" cm="1">
        <f t="array" ref="CD27">$BM27 * IF($AH27&lt;=2,
SUMPRODUCT(INDEX($AV$61:$AX$65,,$AI27), INDEX($AY$61:$BE$65,,$AH27), 1 / ($BF$61:$BF$65*CC27 + (1-$BF$61:$BF$65)*BY27), N($AU$61:$AU$65&gt;$AM27)),
SUMPRODUCT(INDEX($AV$46:$AX$55,,$AI27), INDEX($AY$46:$BE$55,,$AH27), 1 / ($BG$46:$BG$55*CC27 + (1-$BG$46:$BG$55)*BY27), N($AU$46:$AU$55&gt;$AM27))
) / 1000</f>
        <v>0</v>
      </c>
      <c r="CE27" s="234" cm="1">
        <f t="array" ref="CE27">$BM27 * IF($AH27&lt;=2,
SUMPRODUCT(INDEX($AV$22:$AX$60,,$AI27), INDEX($AY$22:$BE$60,,$AH27), 1 / ($BF$22:$BF$60*CC27), N($AU$22:$AU$60&gt;$AM27)),
SUMPRODUCT(INDEX($AV$22:$AX$45,,$AI27), INDEX($AY$22:$BE$45,,$AH27), 1 / ($BG$22:$BG$45*CC27), N($AU$22:$AU$45&gt;$AM27))
) / 1000</f>
        <v>0</v>
      </c>
      <c r="CF27" s="229">
        <f t="shared" si="29"/>
        <v>0</v>
      </c>
      <c r="CG27" s="246"/>
      <c r="CH27" s="229">
        <f t="shared" si="30"/>
        <v>0</v>
      </c>
      <c r="CI27" s="228">
        <v>35</v>
      </c>
      <c r="CJ27" s="229">
        <f t="shared" si="31"/>
        <v>48</v>
      </c>
      <c r="CK27" s="234">
        <f t="shared" si="32"/>
        <v>3.0748170731707316</v>
      </c>
      <c r="CL27" s="234" cm="1">
        <f t="array" ref="CL27">$BM27 * SUMPRODUCT(INDEX($AV$76:$AX$81,,$AI27),INDEX($AY$76:$BE$81,,$AH27), N($AU$76:$AU$81&gt;$AM27)) / CK27 / 1000</f>
        <v>0</v>
      </c>
      <c r="CM27" s="231">
        <f t="shared" si="33"/>
        <v>30</v>
      </c>
      <c r="CN27" s="229">
        <f t="shared" si="34"/>
        <v>43</v>
      </c>
      <c r="CO27" s="234">
        <f t="shared" si="35"/>
        <v>3.5018750000000001</v>
      </c>
      <c r="CP27" s="234" cm="1">
        <f t="array" ref="CP27">$BM27 * IF($AH27&lt;=2,
SUMPRODUCT(INDEX($AV$71:$AX$75,,$AI27), INDEX($AY$71:$BE$75,,$AH27), 1 / ($BF$71:$BF$75*CO27 + (1-$BF$71:$BF$75)*CK27), N($AU$71:$AU$75&gt;$AM27)),
SUMPRODUCT(INDEX($AV$66:$AX$75,,$AI27), INDEX($AY$66:$BE$75,,$AH27), 1 / ($BG$66:$BG$75*CO27 + (1-$BG$66:$BG$75)*CK27), N($AU$66:$AU$75&gt;$AM27))
) / 1000</f>
        <v>0</v>
      </c>
      <c r="CQ27" s="231">
        <f t="shared" si="36"/>
        <v>25</v>
      </c>
      <c r="CR27" s="229">
        <f t="shared" si="37"/>
        <v>38</v>
      </c>
      <c r="CS27" s="234">
        <f t="shared" si="38"/>
        <v>4.0666935483870965</v>
      </c>
      <c r="CT27" s="234" cm="1">
        <f t="array" ref="CT27">$BM27 * IF($AH27&lt;=2,
SUMPRODUCT(INDEX($AV$66:$AX$70,,$AI27), INDEX($AY$66:$BE$70,,$AH27), 1 / ($BF$66:$BF$70*CS27 + (1-$BF$66:$BF$70)*CO27), N($AU$66:$AU$70&gt;$AM27)),
SUMPRODUCT(INDEX($AV$56:$AX$65,,$AI27), INDEX($AY$56:$BE$65,,$AH27), 1 / ($BG$56:$BG$65*CS27 + (1-$BG$56:$BG$65)*CO27), N($AU$56:$AU$65&gt;$AM27))
) / 1000</f>
        <v>0</v>
      </c>
      <c r="CU27" s="231">
        <f t="shared" si="39"/>
        <v>20</v>
      </c>
      <c r="CV27" s="229">
        <f t="shared" si="40"/>
        <v>33</v>
      </c>
      <c r="CW27" s="234">
        <f t="shared" si="41"/>
        <v>4.8487499999999999</v>
      </c>
      <c r="CX27" s="234" cm="1">
        <f t="array" ref="CX27">$BM27 * IF($AH27&lt;=2,
SUMPRODUCT(INDEX($AV$61:$AX$65,,$AI27), INDEX($AY$61:$BE$65,,$AH27), 1 / ($BF$61:$BF$65*CW27 + (1-$BF$61:$BF$65)*CS27), N($AU$61:$AU$65&gt;$AM27)),
SUMPRODUCT(INDEX($AV$46:$AX$55,,$AI27), INDEX($AY$46:$BE$55,,$AH27), 1 / ($BG$46:$BG$55*CW27 + (1-$BG$46:$BG$55)*CS27), N($AU$46:$AU$55&gt;$AM27))
) / 1000</f>
        <v>0</v>
      </c>
      <c r="CY27" s="234" cm="1">
        <f t="array" ref="CY27">$BM27 * IF($AH27&lt;=2,
SUMPRODUCT(INDEX($AV$22:$AX$60,,$AI27), INDEX($AY$22:$BE$60,,$AH27), 1 / ($BF$22:$BF$60*CW27), N($AU$22:$AU$60&gt;$AM27)),
SUMPRODUCT(INDEX($AV$22:$AX$45,,$AI27), INDEX($AY$22:$BE$45,,$AH27), 1 / ($BG$22:$BG$45*CW27), N($AU$22:$AU$45&gt;$AM27))
) / 1000</f>
        <v>0</v>
      </c>
      <c r="CZ27" s="229">
        <f t="shared" si="42"/>
        <v>0</v>
      </c>
      <c r="DA27" s="246"/>
    </row>
    <row r="28" spans="1:105" s="75" customFormat="1" ht="14.25" customHeight="1" x14ac:dyDescent="0.25">
      <c r="A28" s="230" t="b">
        <f t="shared" si="0"/>
        <v>0</v>
      </c>
      <c r="B28" s="253">
        <v>7</v>
      </c>
      <c r="C28" s="266"/>
      <c r="D28" s="266"/>
      <c r="E28" s="254"/>
      <c r="F28" s="255" t="str">
        <f>IF(ISBLANK(E28), "", VLOOKUP(E28, Z!$A$2:$C$4127, 3, FALSE))</f>
        <v/>
      </c>
      <c r="G28" s="256"/>
      <c r="H28" s="256"/>
      <c r="I28" s="256"/>
      <c r="J28" s="257"/>
      <c r="K28" s="258"/>
      <c r="L28" s="267"/>
      <c r="M28" s="268"/>
      <c r="N28" s="259" t="str" cm="1">
        <f t="array" ref="N28">IF($L28&gt;0, INDEX(Clean,1+AK28,$D$1), "")</f>
        <v/>
      </c>
      <c r="O28" s="260"/>
      <c r="P28" s="260"/>
      <c r="Q28" s="261"/>
      <c r="R28" s="264">
        <f t="shared" si="7"/>
        <v>0</v>
      </c>
      <c r="S28" s="259" t="str" cm="1">
        <f t="array" ref="S28">IF($L28&gt;0, INDEX(Clean,1+AL28,$D$1), "")</f>
        <v/>
      </c>
      <c r="T28" s="260"/>
      <c r="U28" s="260"/>
      <c r="V28" s="261"/>
      <c r="W28" s="267"/>
      <c r="X28" s="267"/>
      <c r="Y28" s="257"/>
      <c r="Z28" s="264">
        <f t="shared" si="8"/>
        <v>0</v>
      </c>
      <c r="AA28" s="269"/>
      <c r="AB28" s="266"/>
      <c r="AC28" s="254"/>
      <c r="AD28" s="255" t="str">
        <f>IF(ISBLANK(AC28), "", VLOOKUP(AC28, Z!$A$2:$C$4127, 3, FALSE))</f>
        <v/>
      </c>
      <c r="AE28" s="270"/>
      <c r="AF28" s="265">
        <f t="shared" si="9"/>
        <v>0</v>
      </c>
      <c r="AG28" s="246"/>
      <c r="AH28" s="228">
        <f t="shared" ref="AH28" si="59">IF(ISBLANK(I28), 1, IFERROR(MATCH(I28, INDEX(Use,,1), 0), IFERROR(MATCH(I28, INDEX(Use,,2), 0), MATCH(I28, INDEX(Use,,3), 0))))</f>
        <v>1</v>
      </c>
      <c r="AI28" s="228">
        <f t="shared" ref="AI28" si="60">IF(ISBLANK(H28), 1, IFERROR(MATCH(H28, INDEX(Loc,,1), 0), IFERROR(MATCH(H28, INDEX(Loc,,2), 0), MATCH(H28, INDEX(Loc,,3), 0))))</f>
        <v>1</v>
      </c>
      <c r="AJ28" s="228">
        <f t="shared" ref="AJ28" si="61">_xlfn.IFNA(IF(IFERROR(MATCH(J28, INDEX(Medium,,1), 0), IFERROR(MATCH(J28, INDEX(Medium,,2), 0), MATCH(J28, INDEX(Medium,,3), 0))) = 2, 1, 0), 0)</f>
        <v>0</v>
      </c>
      <c r="AK28" s="228">
        <v>0</v>
      </c>
      <c r="AL28" s="228">
        <v>0</v>
      </c>
      <c r="AM28" s="228">
        <f t="shared" si="4"/>
        <v>-100</v>
      </c>
      <c r="AN28" s="228" cm="1">
        <f t="array" ref="AN28">IF(ISBLANK(G28), 1, IFERROR(MATCH(G28, INDEX(Kat,,1), 0), IFERROR(MATCH(Kat, INDEX(Use,,2), 0), MATCH(Kat, INDEX(Use,,3), 0))))</f>
        <v>1</v>
      </c>
      <c r="AO28" s="246"/>
      <c r="AP28" s="228" cm="1">
        <f t="array" ref="AP28">IF(W28&gt;0, INDEX(Kat, AN28,4), 0)</f>
        <v>0</v>
      </c>
      <c r="AQ28" s="228">
        <f t="shared" ref="AQ28" si="62">IF(ISBLANK(Y28), 0, IFERROR(MATCH(Y28, INDEX(Month,,1), 0), IFERROR(MATCH(Y28, INDEX(Month,,2), 0), MATCH(Y28, INDEX(Month,,3), 0))))</f>
        <v>0</v>
      </c>
      <c r="AR28" s="228" cm="1">
        <f t="array" ref="AR28">IF(X28&gt;0, INDEX(Kat, $AN28, 4+AQ28), 0)</f>
        <v>0</v>
      </c>
      <c r="AS28" s="228" cm="1">
        <f t="array" ref="AS28">IF(X28&gt;0, INDEX(Kat, $AN28, 9+AQ28), 0)</f>
        <v>0</v>
      </c>
      <c r="AT28" s="246"/>
      <c r="AU28" s="228">
        <v>-13</v>
      </c>
      <c r="AV28" s="231">
        <v>0</v>
      </c>
      <c r="AW28" s="231">
        <v>0</v>
      </c>
      <c r="AX28" s="231">
        <v>0</v>
      </c>
      <c r="AY28" s="232">
        <f t="shared" si="6"/>
        <v>0</v>
      </c>
      <c r="AZ28" s="232">
        <f t="shared" si="6"/>
        <v>0</v>
      </c>
      <c r="BA28" s="232" t="e" cm="1">
        <f t="array" ref="BA28">MIN(INDEX(Use,BA$20,5) + MAX(0, (1-INDEX(Use,BA$20,5))*($AU28-5)/(35-5)), 1)</f>
        <v>#REF!</v>
      </c>
      <c r="BB28" s="232" t="e" cm="1">
        <f t="array" ref="BB28">MIN(INDEX(Use,BB$20,5) + MAX(0, (1-INDEX(Use,BB$20,5))*($AU28-5)/(35-5)), 1)</f>
        <v>#REF!</v>
      </c>
      <c r="BC28" s="232" t="e" cm="1">
        <f t="array" ref="BC28">MIN(INDEX(Use,BC$20,5) + MAX(0, (1-INDEX(Use,BC$20,5))*($AU28-5)/(35-5)), 1)</f>
        <v>#REF!</v>
      </c>
      <c r="BD28" s="232" t="e" cm="1">
        <f t="array" ref="BD28">MIN(INDEX(Use,BD$20,5) + MAX(0, (1-INDEX(Use,BD$20,5))*($AU28-5)/(35-5)), 1)</f>
        <v>#REF!</v>
      </c>
      <c r="BE28" s="232" t="e" cm="1">
        <f t="array" ref="BE28">MIN(INDEX(Use,BE$20,5) + MAX(0, (1-INDEX(Use,BE$20,5))*($AU28-5)/(35-5)), 1)</f>
        <v>#REF!</v>
      </c>
      <c r="BF28" s="232">
        <v>1</v>
      </c>
      <c r="BG28" s="232">
        <v>1</v>
      </c>
      <c r="BH28" s="210"/>
      <c r="BI28" s="228" cm="1">
        <f t="array" ref="BI28">INDEX(Use, $AH28, 4)</f>
        <v>7</v>
      </c>
      <c r="BJ28" s="228">
        <f t="shared" si="14"/>
        <v>32</v>
      </c>
      <c r="BK28" s="228">
        <f t="shared" si="15"/>
        <v>13</v>
      </c>
      <c r="BL28" s="228">
        <f t="shared" si="16"/>
        <v>0</v>
      </c>
      <c r="BM28" s="233" cm="1">
        <f t="array" ref="BM28">L28/IF($M28&gt;0, INDEX($AY$22:$BE$76, $M28+20, $AH28), 1)</f>
        <v>0</v>
      </c>
      <c r="BN28" s="229">
        <f t="shared" si="17"/>
        <v>0</v>
      </c>
      <c r="BO28" s="228">
        <v>35</v>
      </c>
      <c r="BP28" s="229">
        <f t="shared" si="18"/>
        <v>48</v>
      </c>
      <c r="BQ28" s="234">
        <f t="shared" si="19"/>
        <v>3.0748170731707316</v>
      </c>
      <c r="BR28" s="234" cm="1">
        <f t="array" ref="BR28">$BM28 * SUMPRODUCT(INDEX($AV$76:$AX$81,,$AI28),INDEX($AY$76:$BE$81,,$AH28), N($AU$76:$AU$81&gt;$AM28)) / BQ28 / 1000</f>
        <v>0</v>
      </c>
      <c r="BS28" s="231">
        <f t="shared" si="20"/>
        <v>30</v>
      </c>
      <c r="BT28" s="229">
        <f t="shared" si="21"/>
        <v>43</v>
      </c>
      <c r="BU28" s="234">
        <f t="shared" si="22"/>
        <v>3.5018750000000001</v>
      </c>
      <c r="BV28" s="234" cm="1">
        <f t="array" ref="BV28">$BM28 * IF($AH28&lt;=2,
SUMPRODUCT(INDEX($AV$71:$AX$75,,$AI28), INDEX($AY$71:$BE$75,,$AH28), 1 / ($BF$71:$BF$75*BU28 + (1-$BF$71:$BF$75)*BQ28), N($AU$71:$AU$75&gt;$AM28)),
SUMPRODUCT(INDEX($AV$66:$AX$75,,$AI28), INDEX($AY$66:$BE$75,,$AH28), 1 / ($BG$66:$BG$75*BU28 + (1-$BG$66:$BG$75)*BQ28), N($AU$66:$AU$75&gt;$AM28))
) / 1000</f>
        <v>0</v>
      </c>
      <c r="BW28" s="231">
        <f t="shared" si="23"/>
        <v>25</v>
      </c>
      <c r="BX28" s="229">
        <f t="shared" si="24"/>
        <v>38</v>
      </c>
      <c r="BY28" s="234">
        <f t="shared" si="25"/>
        <v>4.0666935483870965</v>
      </c>
      <c r="BZ28" s="234" cm="1">
        <f t="array" ref="BZ28">$BM28 * IF($AH28&lt;=2,
SUMPRODUCT(INDEX($AV$66:$AX$70,,$AI28), INDEX($AY$66:$BE$70,,$AH28), 1 / ($BF$66:$BF$70*BY28 + (1-$BF$66:$BF$70)*BU28), N($AU$66:$AU$70&gt;$AM28)),
SUMPRODUCT(INDEX($AV$56:$AX$65,,$AI28), INDEX($AY$56:$BE$65,,$AH28), 1 / ($BG$56:$BG$65*BY28 + (1-$BG$56:$BG$65)*BU28), N($AU$56:$AU$65&gt;$AM28))
) / 1000</f>
        <v>0</v>
      </c>
      <c r="CA28" s="231">
        <f t="shared" si="26"/>
        <v>20</v>
      </c>
      <c r="CB28" s="229">
        <f t="shared" si="27"/>
        <v>33</v>
      </c>
      <c r="CC28" s="234">
        <f t="shared" si="28"/>
        <v>4.8487499999999999</v>
      </c>
      <c r="CD28" s="234" cm="1">
        <f t="array" ref="CD28">$BM28 * IF($AH28&lt;=2,
SUMPRODUCT(INDEX($AV$61:$AX$65,,$AI28), INDEX($AY$61:$BE$65,,$AH28), 1 / ($BF$61:$BF$65*CC28 + (1-$BF$61:$BF$65)*BY28), N($AU$61:$AU$65&gt;$AM28)),
SUMPRODUCT(INDEX($AV$46:$AX$55,,$AI28), INDEX($AY$46:$BE$55,,$AH28), 1 / ($BG$46:$BG$55*CC28 + (1-$BG$46:$BG$55)*BY28), N($AU$46:$AU$55&gt;$AM28))
) / 1000</f>
        <v>0</v>
      </c>
      <c r="CE28" s="234" cm="1">
        <f t="array" ref="CE28">$BM28 * IF($AH28&lt;=2,
SUMPRODUCT(INDEX($AV$22:$AX$60,,$AI28), INDEX($AY$22:$BE$60,,$AH28), 1 / ($BF$22:$BF$60*CC28), N($AU$22:$AU$60&gt;$AM28)),
SUMPRODUCT(INDEX($AV$22:$AX$45,,$AI28), INDEX($AY$22:$BE$45,,$AH28), 1 / ($BG$22:$BG$45*CC28), N($AU$22:$AU$45&gt;$AM28))
) / 1000</f>
        <v>0</v>
      </c>
      <c r="CF28" s="229">
        <f t="shared" si="29"/>
        <v>0</v>
      </c>
      <c r="CG28" s="246"/>
      <c r="CH28" s="229">
        <f t="shared" si="30"/>
        <v>0</v>
      </c>
      <c r="CI28" s="228">
        <v>35</v>
      </c>
      <c r="CJ28" s="229">
        <f t="shared" si="31"/>
        <v>48</v>
      </c>
      <c r="CK28" s="234">
        <f t="shared" si="32"/>
        <v>3.0748170731707316</v>
      </c>
      <c r="CL28" s="234" cm="1">
        <f t="array" ref="CL28">$BM28 * SUMPRODUCT(INDEX($AV$76:$AX$81,,$AI28),INDEX($AY$76:$BE$81,,$AH28), N($AU$76:$AU$81&gt;$AM28)) / CK28 / 1000</f>
        <v>0</v>
      </c>
      <c r="CM28" s="231">
        <f t="shared" si="33"/>
        <v>30</v>
      </c>
      <c r="CN28" s="229">
        <f t="shared" si="34"/>
        <v>43</v>
      </c>
      <c r="CO28" s="234">
        <f t="shared" si="35"/>
        <v>3.5018750000000001</v>
      </c>
      <c r="CP28" s="234" cm="1">
        <f t="array" ref="CP28">$BM28 * IF($AH28&lt;=2,
SUMPRODUCT(INDEX($AV$71:$AX$75,,$AI28), INDEX($AY$71:$BE$75,,$AH28), 1 / ($BF$71:$BF$75*CO28 + (1-$BF$71:$BF$75)*CK28), N($AU$71:$AU$75&gt;$AM28)),
SUMPRODUCT(INDEX($AV$66:$AX$75,,$AI28), INDEX($AY$66:$BE$75,,$AH28), 1 / ($BG$66:$BG$75*CO28 + (1-$BG$66:$BG$75)*CK28), N($AU$66:$AU$75&gt;$AM28))
) / 1000</f>
        <v>0</v>
      </c>
      <c r="CQ28" s="231">
        <f t="shared" si="36"/>
        <v>25</v>
      </c>
      <c r="CR28" s="229">
        <f t="shared" si="37"/>
        <v>38</v>
      </c>
      <c r="CS28" s="234">
        <f t="shared" si="38"/>
        <v>4.0666935483870965</v>
      </c>
      <c r="CT28" s="234" cm="1">
        <f t="array" ref="CT28">$BM28 * IF($AH28&lt;=2,
SUMPRODUCT(INDEX($AV$66:$AX$70,,$AI28), INDEX($AY$66:$BE$70,,$AH28), 1 / ($BF$66:$BF$70*CS28 + (1-$BF$66:$BF$70)*CO28), N($AU$66:$AU$70&gt;$AM28)),
SUMPRODUCT(INDEX($AV$56:$AX$65,,$AI28), INDEX($AY$56:$BE$65,,$AH28), 1 / ($BG$56:$BG$65*CS28 + (1-$BG$56:$BG$65)*CO28), N($AU$56:$AU$65&gt;$AM28))
) / 1000</f>
        <v>0</v>
      </c>
      <c r="CU28" s="231">
        <f t="shared" si="39"/>
        <v>20</v>
      </c>
      <c r="CV28" s="229">
        <f t="shared" si="40"/>
        <v>33</v>
      </c>
      <c r="CW28" s="234">
        <f t="shared" si="41"/>
        <v>4.8487499999999999</v>
      </c>
      <c r="CX28" s="234" cm="1">
        <f t="array" ref="CX28">$BM28 * IF($AH28&lt;=2,
SUMPRODUCT(INDEX($AV$61:$AX$65,,$AI28), INDEX($AY$61:$BE$65,,$AH28), 1 / ($BF$61:$BF$65*CW28 + (1-$BF$61:$BF$65)*CS28), N($AU$61:$AU$65&gt;$AM28)),
SUMPRODUCT(INDEX($AV$46:$AX$55,,$AI28), INDEX($AY$46:$BE$55,,$AH28), 1 / ($BG$46:$BG$55*CW28 + (1-$BG$46:$BG$55)*CS28), N($AU$46:$AU$55&gt;$AM28))
) / 1000</f>
        <v>0</v>
      </c>
      <c r="CY28" s="234" cm="1">
        <f t="array" ref="CY28">$BM28 * IF($AH28&lt;=2,
SUMPRODUCT(INDEX($AV$22:$AX$60,,$AI28), INDEX($AY$22:$BE$60,,$AH28), 1 / ($BF$22:$BF$60*CW28), N($AU$22:$AU$60&gt;$AM28)),
SUMPRODUCT(INDEX($AV$22:$AX$45,,$AI28), INDEX($AY$22:$BE$45,,$AH28), 1 / ($BG$22:$BG$45*CW28), N($AU$22:$AU$45&gt;$AM28))
) / 1000</f>
        <v>0</v>
      </c>
      <c r="CZ28" s="229">
        <f t="shared" si="42"/>
        <v>0</v>
      </c>
      <c r="DA28" s="246"/>
    </row>
    <row r="29" spans="1:105" s="75" customFormat="1" ht="14.25" customHeight="1" x14ac:dyDescent="0.25">
      <c r="A29" s="230" t="b">
        <f t="shared" si="0"/>
        <v>0</v>
      </c>
      <c r="B29" s="253">
        <v>8</v>
      </c>
      <c r="C29" s="266"/>
      <c r="D29" s="266"/>
      <c r="E29" s="254"/>
      <c r="F29" s="255" t="str">
        <f>IF(ISBLANK(E29), "", VLOOKUP(E29, Z!$A$2:$C$4127, 3, FALSE))</f>
        <v/>
      </c>
      <c r="G29" s="256"/>
      <c r="H29" s="256"/>
      <c r="I29" s="256"/>
      <c r="J29" s="257"/>
      <c r="K29" s="258"/>
      <c r="L29" s="267"/>
      <c r="M29" s="268"/>
      <c r="N29" s="259" t="str" cm="1">
        <f t="array" ref="N29">IF($L29&gt;0, INDEX(Clean,1+AK29,$D$1), "")</f>
        <v/>
      </c>
      <c r="O29" s="260"/>
      <c r="P29" s="260"/>
      <c r="Q29" s="261"/>
      <c r="R29" s="264">
        <f t="shared" si="7"/>
        <v>0</v>
      </c>
      <c r="S29" s="259" t="str" cm="1">
        <f t="array" ref="S29">IF($L29&gt;0, INDEX(Clean,1+AL29,$D$1), "")</f>
        <v/>
      </c>
      <c r="T29" s="260"/>
      <c r="U29" s="260"/>
      <c r="V29" s="261"/>
      <c r="W29" s="267"/>
      <c r="X29" s="267"/>
      <c r="Y29" s="257"/>
      <c r="Z29" s="264">
        <f t="shared" si="8"/>
        <v>0</v>
      </c>
      <c r="AA29" s="269"/>
      <c r="AB29" s="266"/>
      <c r="AC29" s="254"/>
      <c r="AD29" s="255" t="str">
        <f>IF(ISBLANK(AC29), "", VLOOKUP(AC29, Z!$A$2:$C$4127, 3, FALSE))</f>
        <v/>
      </c>
      <c r="AE29" s="270"/>
      <c r="AF29" s="265">
        <f t="shared" si="9"/>
        <v>0</v>
      </c>
      <c r="AG29" s="246"/>
      <c r="AH29" s="228">
        <f t="shared" ref="AH29" si="63">IF(ISBLANK(I29), 1, IFERROR(MATCH(I29, INDEX(Use,,1), 0), IFERROR(MATCH(I29, INDEX(Use,,2), 0), MATCH(I29, INDEX(Use,,3), 0))))</f>
        <v>1</v>
      </c>
      <c r="AI29" s="228">
        <f t="shared" ref="AI29" si="64">IF(ISBLANK(H29), 1, IFERROR(MATCH(H29, INDEX(Loc,,1), 0), IFERROR(MATCH(H29, INDEX(Loc,,2), 0), MATCH(H29, INDEX(Loc,,3), 0))))</f>
        <v>1</v>
      </c>
      <c r="AJ29" s="228">
        <f t="shared" ref="AJ29" si="65">_xlfn.IFNA(IF(IFERROR(MATCH(J29, INDEX(Medium,,1), 0), IFERROR(MATCH(J29, INDEX(Medium,,2), 0), MATCH(J29, INDEX(Medium,,3), 0))) = 2, 1, 0), 0)</f>
        <v>0</v>
      </c>
      <c r="AK29" s="228">
        <v>0</v>
      </c>
      <c r="AL29" s="228">
        <v>0</v>
      </c>
      <c r="AM29" s="228">
        <f t="shared" si="4"/>
        <v>-100</v>
      </c>
      <c r="AN29" s="228" cm="1">
        <f t="array" ref="AN29">IF(ISBLANK(G29), 1, IFERROR(MATCH(G29, INDEX(Kat,,1), 0), IFERROR(MATCH(Kat, INDEX(Use,,2), 0), MATCH(Kat, INDEX(Use,,3), 0))))</f>
        <v>1</v>
      </c>
      <c r="AO29" s="246"/>
      <c r="AP29" s="228" cm="1">
        <f t="array" ref="AP29">IF(W29&gt;0, INDEX(Kat, AN29,4), 0)</f>
        <v>0</v>
      </c>
      <c r="AQ29" s="228">
        <f t="shared" ref="AQ29" si="66">IF(ISBLANK(Y29), 0, IFERROR(MATCH(Y29, INDEX(Month,,1), 0), IFERROR(MATCH(Y29, INDEX(Month,,2), 0), MATCH(Y29, INDEX(Month,,3), 0))))</f>
        <v>0</v>
      </c>
      <c r="AR29" s="228" cm="1">
        <f t="array" ref="AR29">IF(X29&gt;0, INDEX(Kat, $AN29, 4+AQ29), 0)</f>
        <v>0</v>
      </c>
      <c r="AS29" s="228" cm="1">
        <f t="array" ref="AS29">IF(X29&gt;0, INDEX(Kat, $AN29, 9+AQ29), 0)</f>
        <v>0</v>
      </c>
      <c r="AT29" s="246"/>
      <c r="AU29" s="228">
        <v>-12</v>
      </c>
      <c r="AV29" s="231">
        <v>0</v>
      </c>
      <c r="AW29" s="231">
        <v>0</v>
      </c>
      <c r="AX29" s="231">
        <v>0</v>
      </c>
      <c r="AY29" s="232">
        <f t="shared" si="6"/>
        <v>0</v>
      </c>
      <c r="AZ29" s="232">
        <f t="shared" si="6"/>
        <v>0</v>
      </c>
      <c r="BA29" s="232" t="e" cm="1">
        <f t="array" ref="BA29">MIN(INDEX(Use,BA$20,5) + MAX(0, (1-INDEX(Use,BA$20,5))*($AU29-5)/(35-5)), 1)</f>
        <v>#REF!</v>
      </c>
      <c r="BB29" s="232" t="e" cm="1">
        <f t="array" ref="BB29">MIN(INDEX(Use,BB$20,5) + MAX(0, (1-INDEX(Use,BB$20,5))*($AU29-5)/(35-5)), 1)</f>
        <v>#REF!</v>
      </c>
      <c r="BC29" s="232" t="e" cm="1">
        <f t="array" ref="BC29">MIN(INDEX(Use,BC$20,5) + MAX(0, (1-INDEX(Use,BC$20,5))*($AU29-5)/(35-5)), 1)</f>
        <v>#REF!</v>
      </c>
      <c r="BD29" s="232" t="e" cm="1">
        <f t="array" ref="BD29">MIN(INDEX(Use,BD$20,5) + MAX(0, (1-INDEX(Use,BD$20,5))*($AU29-5)/(35-5)), 1)</f>
        <v>#REF!</v>
      </c>
      <c r="BE29" s="232" t="e" cm="1">
        <f t="array" ref="BE29">MIN(INDEX(Use,BE$20,5) + MAX(0, (1-INDEX(Use,BE$20,5))*($AU29-5)/(35-5)), 1)</f>
        <v>#REF!</v>
      </c>
      <c r="BF29" s="232">
        <v>1</v>
      </c>
      <c r="BG29" s="232">
        <v>1</v>
      </c>
      <c r="BH29" s="210"/>
      <c r="BI29" s="228" cm="1">
        <f t="array" ref="BI29">INDEX(Use, $AH29, 4)</f>
        <v>7</v>
      </c>
      <c r="BJ29" s="228">
        <f t="shared" si="14"/>
        <v>32</v>
      </c>
      <c r="BK29" s="228">
        <f t="shared" si="15"/>
        <v>13</v>
      </c>
      <c r="BL29" s="228">
        <f t="shared" si="16"/>
        <v>0</v>
      </c>
      <c r="BM29" s="233" cm="1">
        <f t="array" ref="BM29">L29/IF($M29&gt;0, INDEX($AY$22:$BE$76, $M29+20, $AH29), 1)</f>
        <v>0</v>
      </c>
      <c r="BN29" s="229">
        <f t="shared" si="17"/>
        <v>0</v>
      </c>
      <c r="BO29" s="228">
        <v>35</v>
      </c>
      <c r="BP29" s="229">
        <f t="shared" si="18"/>
        <v>48</v>
      </c>
      <c r="BQ29" s="234">
        <f t="shared" si="19"/>
        <v>3.0748170731707316</v>
      </c>
      <c r="BR29" s="234" cm="1">
        <f t="array" ref="BR29">$BM29 * SUMPRODUCT(INDEX($AV$76:$AX$81,,$AI29),INDEX($AY$76:$BE$81,,$AH29), N($AU$76:$AU$81&gt;$AM29)) / BQ29 / 1000</f>
        <v>0</v>
      </c>
      <c r="BS29" s="231">
        <f t="shared" si="20"/>
        <v>30</v>
      </c>
      <c r="BT29" s="229">
        <f t="shared" si="21"/>
        <v>43</v>
      </c>
      <c r="BU29" s="234">
        <f t="shared" si="22"/>
        <v>3.5018750000000001</v>
      </c>
      <c r="BV29" s="234" cm="1">
        <f t="array" ref="BV29">$BM29 * IF($AH29&lt;=2,
SUMPRODUCT(INDEX($AV$71:$AX$75,,$AI29), INDEX($AY$71:$BE$75,,$AH29), 1 / ($BF$71:$BF$75*BU29 + (1-$BF$71:$BF$75)*BQ29), N($AU$71:$AU$75&gt;$AM29)),
SUMPRODUCT(INDEX($AV$66:$AX$75,,$AI29), INDEX($AY$66:$BE$75,,$AH29), 1 / ($BG$66:$BG$75*BU29 + (1-$BG$66:$BG$75)*BQ29), N($AU$66:$AU$75&gt;$AM29))
) / 1000</f>
        <v>0</v>
      </c>
      <c r="BW29" s="231">
        <f t="shared" si="23"/>
        <v>25</v>
      </c>
      <c r="BX29" s="229">
        <f t="shared" si="24"/>
        <v>38</v>
      </c>
      <c r="BY29" s="234">
        <f t="shared" si="25"/>
        <v>4.0666935483870965</v>
      </c>
      <c r="BZ29" s="234" cm="1">
        <f t="array" ref="BZ29">$BM29 * IF($AH29&lt;=2,
SUMPRODUCT(INDEX($AV$66:$AX$70,,$AI29), INDEX($AY$66:$BE$70,,$AH29), 1 / ($BF$66:$BF$70*BY29 + (1-$BF$66:$BF$70)*BU29), N($AU$66:$AU$70&gt;$AM29)),
SUMPRODUCT(INDEX($AV$56:$AX$65,,$AI29), INDEX($AY$56:$BE$65,,$AH29), 1 / ($BG$56:$BG$65*BY29 + (1-$BG$56:$BG$65)*BU29), N($AU$56:$AU$65&gt;$AM29))
) / 1000</f>
        <v>0</v>
      </c>
      <c r="CA29" s="231">
        <f t="shared" si="26"/>
        <v>20</v>
      </c>
      <c r="CB29" s="229">
        <f t="shared" si="27"/>
        <v>33</v>
      </c>
      <c r="CC29" s="234">
        <f t="shared" si="28"/>
        <v>4.8487499999999999</v>
      </c>
      <c r="CD29" s="234" cm="1">
        <f t="array" ref="CD29">$BM29 * IF($AH29&lt;=2,
SUMPRODUCT(INDEX($AV$61:$AX$65,,$AI29), INDEX($AY$61:$BE$65,,$AH29), 1 / ($BF$61:$BF$65*CC29 + (1-$BF$61:$BF$65)*BY29), N($AU$61:$AU$65&gt;$AM29)),
SUMPRODUCT(INDEX($AV$46:$AX$55,,$AI29), INDEX($AY$46:$BE$55,,$AH29), 1 / ($BG$46:$BG$55*CC29 + (1-$BG$46:$BG$55)*BY29), N($AU$46:$AU$55&gt;$AM29))
) / 1000</f>
        <v>0</v>
      </c>
      <c r="CE29" s="234" cm="1">
        <f t="array" ref="CE29">$BM29 * IF($AH29&lt;=2,
SUMPRODUCT(INDEX($AV$22:$AX$60,,$AI29), INDEX($AY$22:$BE$60,,$AH29), 1 / ($BF$22:$BF$60*CC29), N($AU$22:$AU$60&gt;$AM29)),
SUMPRODUCT(INDEX($AV$22:$AX$45,,$AI29), INDEX($AY$22:$BE$45,,$AH29), 1 / ($BG$22:$BG$45*CC29), N($AU$22:$AU$45&gt;$AM29))
) / 1000</f>
        <v>0</v>
      </c>
      <c r="CF29" s="229">
        <f t="shared" si="29"/>
        <v>0</v>
      </c>
      <c r="CG29" s="246"/>
      <c r="CH29" s="229">
        <f t="shared" si="30"/>
        <v>0</v>
      </c>
      <c r="CI29" s="228">
        <v>35</v>
      </c>
      <c r="CJ29" s="229">
        <f t="shared" si="31"/>
        <v>48</v>
      </c>
      <c r="CK29" s="234">
        <f t="shared" si="32"/>
        <v>3.0748170731707316</v>
      </c>
      <c r="CL29" s="234" cm="1">
        <f t="array" ref="CL29">$BM29 * SUMPRODUCT(INDEX($AV$76:$AX$81,,$AI29),INDEX($AY$76:$BE$81,,$AH29), N($AU$76:$AU$81&gt;$AM29)) / CK29 / 1000</f>
        <v>0</v>
      </c>
      <c r="CM29" s="231">
        <f t="shared" si="33"/>
        <v>30</v>
      </c>
      <c r="CN29" s="229">
        <f t="shared" si="34"/>
        <v>43</v>
      </c>
      <c r="CO29" s="234">
        <f t="shared" si="35"/>
        <v>3.5018750000000001</v>
      </c>
      <c r="CP29" s="234" cm="1">
        <f t="array" ref="CP29">$BM29 * IF($AH29&lt;=2,
SUMPRODUCT(INDEX($AV$71:$AX$75,,$AI29), INDEX($AY$71:$BE$75,,$AH29), 1 / ($BF$71:$BF$75*CO29 + (1-$BF$71:$BF$75)*CK29), N($AU$71:$AU$75&gt;$AM29)),
SUMPRODUCT(INDEX($AV$66:$AX$75,,$AI29), INDEX($AY$66:$BE$75,,$AH29), 1 / ($BG$66:$BG$75*CO29 + (1-$BG$66:$BG$75)*CK29), N($AU$66:$AU$75&gt;$AM29))
) / 1000</f>
        <v>0</v>
      </c>
      <c r="CQ29" s="231">
        <f t="shared" si="36"/>
        <v>25</v>
      </c>
      <c r="CR29" s="229">
        <f t="shared" si="37"/>
        <v>38</v>
      </c>
      <c r="CS29" s="234">
        <f t="shared" si="38"/>
        <v>4.0666935483870965</v>
      </c>
      <c r="CT29" s="234" cm="1">
        <f t="array" ref="CT29">$BM29 * IF($AH29&lt;=2,
SUMPRODUCT(INDEX($AV$66:$AX$70,,$AI29), INDEX($AY$66:$BE$70,,$AH29), 1 / ($BF$66:$BF$70*CS29 + (1-$BF$66:$BF$70)*CO29), N($AU$66:$AU$70&gt;$AM29)),
SUMPRODUCT(INDEX($AV$56:$AX$65,,$AI29), INDEX($AY$56:$BE$65,,$AH29), 1 / ($BG$56:$BG$65*CS29 + (1-$BG$56:$BG$65)*CO29), N($AU$56:$AU$65&gt;$AM29))
) / 1000</f>
        <v>0</v>
      </c>
      <c r="CU29" s="231">
        <f t="shared" si="39"/>
        <v>20</v>
      </c>
      <c r="CV29" s="229">
        <f t="shared" si="40"/>
        <v>33</v>
      </c>
      <c r="CW29" s="234">
        <f t="shared" si="41"/>
        <v>4.8487499999999999</v>
      </c>
      <c r="CX29" s="234" cm="1">
        <f t="array" ref="CX29">$BM29 * IF($AH29&lt;=2,
SUMPRODUCT(INDEX($AV$61:$AX$65,,$AI29), INDEX($AY$61:$BE$65,,$AH29), 1 / ($BF$61:$BF$65*CW29 + (1-$BF$61:$BF$65)*CS29), N($AU$61:$AU$65&gt;$AM29)),
SUMPRODUCT(INDEX($AV$46:$AX$55,,$AI29), INDEX($AY$46:$BE$55,,$AH29), 1 / ($BG$46:$BG$55*CW29 + (1-$BG$46:$BG$55)*CS29), N($AU$46:$AU$55&gt;$AM29))
) / 1000</f>
        <v>0</v>
      </c>
      <c r="CY29" s="234" cm="1">
        <f t="array" ref="CY29">$BM29 * IF($AH29&lt;=2,
SUMPRODUCT(INDEX($AV$22:$AX$60,,$AI29), INDEX($AY$22:$BE$60,,$AH29), 1 / ($BF$22:$BF$60*CW29), N($AU$22:$AU$60&gt;$AM29)),
SUMPRODUCT(INDEX($AV$22:$AX$45,,$AI29), INDEX($AY$22:$BE$45,,$AH29), 1 / ($BG$22:$BG$45*CW29), N($AU$22:$AU$45&gt;$AM29))
) / 1000</f>
        <v>0</v>
      </c>
      <c r="CZ29" s="229">
        <f t="shared" si="42"/>
        <v>0</v>
      </c>
      <c r="DA29" s="246"/>
    </row>
    <row r="30" spans="1:105" s="75" customFormat="1" ht="14.25" customHeight="1" x14ac:dyDescent="0.25">
      <c r="A30" s="230" t="b">
        <f t="shared" si="0"/>
        <v>0</v>
      </c>
      <c r="B30" s="253">
        <v>9</v>
      </c>
      <c r="C30" s="266"/>
      <c r="D30" s="266"/>
      <c r="E30" s="254"/>
      <c r="F30" s="255" t="str">
        <f>IF(ISBLANK(E30), "", VLOOKUP(E30, Z!$A$2:$C$4127, 3, FALSE))</f>
        <v/>
      </c>
      <c r="G30" s="256"/>
      <c r="H30" s="256"/>
      <c r="I30" s="256"/>
      <c r="J30" s="257"/>
      <c r="K30" s="258"/>
      <c r="L30" s="267"/>
      <c r="M30" s="268"/>
      <c r="N30" s="259" t="str" cm="1">
        <f t="array" ref="N30">IF($L30&gt;0, INDEX(Clean,1+AK30,$D$1), "")</f>
        <v/>
      </c>
      <c r="O30" s="260"/>
      <c r="P30" s="260"/>
      <c r="Q30" s="261"/>
      <c r="R30" s="264">
        <f t="shared" si="7"/>
        <v>0</v>
      </c>
      <c r="S30" s="259" t="str" cm="1">
        <f t="array" ref="S30">IF($L30&gt;0, INDEX(Clean,1+AL30,$D$1), "")</f>
        <v/>
      </c>
      <c r="T30" s="260"/>
      <c r="U30" s="260"/>
      <c r="V30" s="261"/>
      <c r="W30" s="267"/>
      <c r="X30" s="267"/>
      <c r="Y30" s="257"/>
      <c r="Z30" s="264">
        <f t="shared" si="8"/>
        <v>0</v>
      </c>
      <c r="AA30" s="269"/>
      <c r="AB30" s="266"/>
      <c r="AC30" s="254"/>
      <c r="AD30" s="255" t="str">
        <f>IF(ISBLANK(AC30), "", VLOOKUP(AC30, Z!$A$2:$C$4127, 3, FALSE))</f>
        <v/>
      </c>
      <c r="AE30" s="270"/>
      <c r="AF30" s="265">
        <f t="shared" si="9"/>
        <v>0</v>
      </c>
      <c r="AG30" s="246"/>
      <c r="AH30" s="228">
        <f t="shared" ref="AH30" si="67">IF(ISBLANK(I30), 1, IFERROR(MATCH(I30, INDEX(Use,,1), 0), IFERROR(MATCH(I30, INDEX(Use,,2), 0), MATCH(I30, INDEX(Use,,3), 0))))</f>
        <v>1</v>
      </c>
      <c r="AI30" s="228">
        <f t="shared" ref="AI30" si="68">IF(ISBLANK(H30), 1, IFERROR(MATCH(H30, INDEX(Loc,,1), 0), IFERROR(MATCH(H30, INDEX(Loc,,2), 0), MATCH(H30, INDEX(Loc,,3), 0))))</f>
        <v>1</v>
      </c>
      <c r="AJ30" s="228">
        <f t="shared" ref="AJ30" si="69">_xlfn.IFNA(IF(IFERROR(MATCH(J30, INDEX(Medium,,1), 0), IFERROR(MATCH(J30, INDEX(Medium,,2), 0), MATCH(J30, INDEX(Medium,,3), 0))) = 2, 1, 0), 0)</f>
        <v>0</v>
      </c>
      <c r="AK30" s="228">
        <v>0</v>
      </c>
      <c r="AL30" s="228">
        <v>0</v>
      </c>
      <c r="AM30" s="228">
        <f t="shared" si="4"/>
        <v>-100</v>
      </c>
      <c r="AN30" s="228" cm="1">
        <f t="array" ref="AN30">IF(ISBLANK(G30), 1, IFERROR(MATCH(G30, INDEX(Kat,,1), 0), IFERROR(MATCH(Kat, INDEX(Use,,2), 0), MATCH(Kat, INDEX(Use,,3), 0))))</f>
        <v>1</v>
      </c>
      <c r="AO30" s="246"/>
      <c r="AP30" s="228" cm="1">
        <f t="array" ref="AP30">IF(W30&gt;0, INDEX(Kat, AN30,4), 0)</f>
        <v>0</v>
      </c>
      <c r="AQ30" s="228">
        <f t="shared" ref="AQ30" si="70">IF(ISBLANK(Y30), 0, IFERROR(MATCH(Y30, INDEX(Month,,1), 0), IFERROR(MATCH(Y30, INDEX(Month,,2), 0), MATCH(Y30, INDEX(Month,,3), 0))))</f>
        <v>0</v>
      </c>
      <c r="AR30" s="228" cm="1">
        <f t="array" ref="AR30">IF(X30&gt;0, INDEX(Kat, $AN30, 4+AQ30), 0)</f>
        <v>0</v>
      </c>
      <c r="AS30" s="228" cm="1">
        <f t="array" ref="AS30">IF(X30&gt;0, INDEX(Kat, $AN30, 9+AQ30), 0)</f>
        <v>0</v>
      </c>
      <c r="AT30" s="246"/>
      <c r="AU30" s="228">
        <v>-11</v>
      </c>
      <c r="AV30" s="231">
        <v>0</v>
      </c>
      <c r="AW30" s="231">
        <v>0</v>
      </c>
      <c r="AX30" s="231">
        <v>0</v>
      </c>
      <c r="AY30" s="232">
        <f t="shared" si="6"/>
        <v>0</v>
      </c>
      <c r="AZ30" s="232">
        <f t="shared" si="6"/>
        <v>0</v>
      </c>
      <c r="BA30" s="232" t="e" cm="1">
        <f t="array" ref="BA30">MIN(INDEX(Use,BA$20,5) + MAX(0, (1-INDEX(Use,BA$20,5))*($AU30-5)/(35-5)), 1)</f>
        <v>#REF!</v>
      </c>
      <c r="BB30" s="232" t="e" cm="1">
        <f t="array" ref="BB30">MIN(INDEX(Use,BB$20,5) + MAX(0, (1-INDEX(Use,BB$20,5))*($AU30-5)/(35-5)), 1)</f>
        <v>#REF!</v>
      </c>
      <c r="BC30" s="232" t="e" cm="1">
        <f t="array" ref="BC30">MIN(INDEX(Use,BC$20,5) + MAX(0, (1-INDEX(Use,BC$20,5))*($AU30-5)/(35-5)), 1)</f>
        <v>#REF!</v>
      </c>
      <c r="BD30" s="232" t="e" cm="1">
        <f t="array" ref="BD30">MIN(INDEX(Use,BD$20,5) + MAX(0, (1-INDEX(Use,BD$20,5))*($AU30-5)/(35-5)), 1)</f>
        <v>#REF!</v>
      </c>
      <c r="BE30" s="232" t="e" cm="1">
        <f t="array" ref="BE30">MIN(INDEX(Use,BE$20,5) + MAX(0, (1-INDEX(Use,BE$20,5))*($AU30-5)/(35-5)), 1)</f>
        <v>#REF!</v>
      </c>
      <c r="BF30" s="232">
        <v>1</v>
      </c>
      <c r="BG30" s="232">
        <v>1</v>
      </c>
      <c r="BH30" s="210"/>
      <c r="BI30" s="228" cm="1">
        <f t="array" ref="BI30">INDEX(Use, $AH30, 4)</f>
        <v>7</v>
      </c>
      <c r="BJ30" s="228">
        <f t="shared" si="14"/>
        <v>32</v>
      </c>
      <c r="BK30" s="228">
        <f t="shared" si="15"/>
        <v>13</v>
      </c>
      <c r="BL30" s="228">
        <f t="shared" si="16"/>
        <v>0</v>
      </c>
      <c r="BM30" s="233" cm="1">
        <f t="array" ref="BM30">L30/IF($M30&gt;0, INDEX($AY$22:$BE$76, $M30+20, $AH30), 1)</f>
        <v>0</v>
      </c>
      <c r="BN30" s="229">
        <f t="shared" si="17"/>
        <v>0</v>
      </c>
      <c r="BO30" s="228">
        <v>35</v>
      </c>
      <c r="BP30" s="229">
        <f t="shared" si="18"/>
        <v>48</v>
      </c>
      <c r="BQ30" s="234">
        <f t="shared" si="19"/>
        <v>3.0748170731707316</v>
      </c>
      <c r="BR30" s="234" cm="1">
        <f t="array" ref="BR30">$BM30 * SUMPRODUCT(INDEX($AV$76:$AX$81,,$AI30),INDEX($AY$76:$BE$81,,$AH30), N($AU$76:$AU$81&gt;$AM30)) / BQ30 / 1000</f>
        <v>0</v>
      </c>
      <c r="BS30" s="231">
        <f t="shared" si="20"/>
        <v>30</v>
      </c>
      <c r="BT30" s="229">
        <f t="shared" si="21"/>
        <v>43</v>
      </c>
      <c r="BU30" s="234">
        <f t="shared" si="22"/>
        <v>3.5018750000000001</v>
      </c>
      <c r="BV30" s="234" cm="1">
        <f t="array" ref="BV30">$BM30 * IF($AH30&lt;=2,
SUMPRODUCT(INDEX($AV$71:$AX$75,,$AI30), INDEX($AY$71:$BE$75,,$AH30), 1 / ($BF$71:$BF$75*BU30 + (1-$BF$71:$BF$75)*BQ30), N($AU$71:$AU$75&gt;$AM30)),
SUMPRODUCT(INDEX($AV$66:$AX$75,,$AI30), INDEX($AY$66:$BE$75,,$AH30), 1 / ($BG$66:$BG$75*BU30 + (1-$BG$66:$BG$75)*BQ30), N($AU$66:$AU$75&gt;$AM30))
) / 1000</f>
        <v>0</v>
      </c>
      <c r="BW30" s="231">
        <f t="shared" si="23"/>
        <v>25</v>
      </c>
      <c r="BX30" s="229">
        <f t="shared" si="24"/>
        <v>38</v>
      </c>
      <c r="BY30" s="234">
        <f t="shared" si="25"/>
        <v>4.0666935483870965</v>
      </c>
      <c r="BZ30" s="234" cm="1">
        <f t="array" ref="BZ30">$BM30 * IF($AH30&lt;=2,
SUMPRODUCT(INDEX($AV$66:$AX$70,,$AI30), INDEX($AY$66:$BE$70,,$AH30), 1 / ($BF$66:$BF$70*BY30 + (1-$BF$66:$BF$70)*BU30), N($AU$66:$AU$70&gt;$AM30)),
SUMPRODUCT(INDEX($AV$56:$AX$65,,$AI30), INDEX($AY$56:$BE$65,,$AH30), 1 / ($BG$56:$BG$65*BY30 + (1-$BG$56:$BG$65)*BU30), N($AU$56:$AU$65&gt;$AM30))
) / 1000</f>
        <v>0</v>
      </c>
      <c r="CA30" s="231">
        <f t="shared" si="26"/>
        <v>20</v>
      </c>
      <c r="CB30" s="229">
        <f t="shared" si="27"/>
        <v>33</v>
      </c>
      <c r="CC30" s="234">
        <f t="shared" si="28"/>
        <v>4.8487499999999999</v>
      </c>
      <c r="CD30" s="234" cm="1">
        <f t="array" ref="CD30">$BM30 * IF($AH30&lt;=2,
SUMPRODUCT(INDEX($AV$61:$AX$65,,$AI30), INDEX($AY$61:$BE$65,,$AH30), 1 / ($BF$61:$BF$65*CC30 + (1-$BF$61:$BF$65)*BY30), N($AU$61:$AU$65&gt;$AM30)),
SUMPRODUCT(INDEX($AV$46:$AX$55,,$AI30), INDEX($AY$46:$BE$55,,$AH30), 1 / ($BG$46:$BG$55*CC30 + (1-$BG$46:$BG$55)*BY30), N($AU$46:$AU$55&gt;$AM30))
) / 1000</f>
        <v>0</v>
      </c>
      <c r="CE30" s="234" cm="1">
        <f t="array" ref="CE30">$BM30 * IF($AH30&lt;=2,
SUMPRODUCT(INDEX($AV$22:$AX$60,,$AI30), INDEX($AY$22:$BE$60,,$AH30), 1 / ($BF$22:$BF$60*CC30), N($AU$22:$AU$60&gt;$AM30)),
SUMPRODUCT(INDEX($AV$22:$AX$45,,$AI30), INDEX($AY$22:$BE$45,,$AH30), 1 / ($BG$22:$BG$45*CC30), N($AU$22:$AU$45&gt;$AM30))
) / 1000</f>
        <v>0</v>
      </c>
      <c r="CF30" s="229">
        <f t="shared" si="29"/>
        <v>0</v>
      </c>
      <c r="CG30" s="246"/>
      <c r="CH30" s="229">
        <f t="shared" si="30"/>
        <v>0</v>
      </c>
      <c r="CI30" s="228">
        <v>35</v>
      </c>
      <c r="CJ30" s="229">
        <f t="shared" si="31"/>
        <v>48</v>
      </c>
      <c r="CK30" s="234">
        <f t="shared" si="32"/>
        <v>3.0748170731707316</v>
      </c>
      <c r="CL30" s="234" cm="1">
        <f t="array" ref="CL30">$BM30 * SUMPRODUCT(INDEX($AV$76:$AX$81,,$AI30),INDEX($AY$76:$BE$81,,$AH30), N($AU$76:$AU$81&gt;$AM30)) / CK30 / 1000</f>
        <v>0</v>
      </c>
      <c r="CM30" s="231">
        <f t="shared" si="33"/>
        <v>30</v>
      </c>
      <c r="CN30" s="229">
        <f t="shared" si="34"/>
        <v>43</v>
      </c>
      <c r="CO30" s="234">
        <f t="shared" si="35"/>
        <v>3.5018750000000001</v>
      </c>
      <c r="CP30" s="234" cm="1">
        <f t="array" ref="CP30">$BM30 * IF($AH30&lt;=2,
SUMPRODUCT(INDEX($AV$71:$AX$75,,$AI30), INDEX($AY$71:$BE$75,,$AH30), 1 / ($BF$71:$BF$75*CO30 + (1-$BF$71:$BF$75)*CK30), N($AU$71:$AU$75&gt;$AM30)),
SUMPRODUCT(INDEX($AV$66:$AX$75,,$AI30), INDEX($AY$66:$BE$75,,$AH30), 1 / ($BG$66:$BG$75*CO30 + (1-$BG$66:$BG$75)*CK30), N($AU$66:$AU$75&gt;$AM30))
) / 1000</f>
        <v>0</v>
      </c>
      <c r="CQ30" s="231">
        <f t="shared" si="36"/>
        <v>25</v>
      </c>
      <c r="CR30" s="229">
        <f t="shared" si="37"/>
        <v>38</v>
      </c>
      <c r="CS30" s="234">
        <f t="shared" si="38"/>
        <v>4.0666935483870965</v>
      </c>
      <c r="CT30" s="234" cm="1">
        <f t="array" ref="CT30">$BM30 * IF($AH30&lt;=2,
SUMPRODUCT(INDEX($AV$66:$AX$70,,$AI30), INDEX($AY$66:$BE$70,,$AH30), 1 / ($BF$66:$BF$70*CS30 + (1-$BF$66:$BF$70)*CO30), N($AU$66:$AU$70&gt;$AM30)),
SUMPRODUCT(INDEX($AV$56:$AX$65,,$AI30), INDEX($AY$56:$BE$65,,$AH30), 1 / ($BG$56:$BG$65*CS30 + (1-$BG$56:$BG$65)*CO30), N($AU$56:$AU$65&gt;$AM30))
) / 1000</f>
        <v>0</v>
      </c>
      <c r="CU30" s="231">
        <f t="shared" si="39"/>
        <v>20</v>
      </c>
      <c r="CV30" s="229">
        <f t="shared" si="40"/>
        <v>33</v>
      </c>
      <c r="CW30" s="234">
        <f t="shared" si="41"/>
        <v>4.8487499999999999</v>
      </c>
      <c r="CX30" s="234" cm="1">
        <f t="array" ref="CX30">$BM30 * IF($AH30&lt;=2,
SUMPRODUCT(INDEX($AV$61:$AX$65,,$AI30), INDEX($AY$61:$BE$65,,$AH30), 1 / ($BF$61:$BF$65*CW30 + (1-$BF$61:$BF$65)*CS30), N($AU$61:$AU$65&gt;$AM30)),
SUMPRODUCT(INDEX($AV$46:$AX$55,,$AI30), INDEX($AY$46:$BE$55,,$AH30), 1 / ($BG$46:$BG$55*CW30 + (1-$BG$46:$BG$55)*CS30), N($AU$46:$AU$55&gt;$AM30))
) / 1000</f>
        <v>0</v>
      </c>
      <c r="CY30" s="234" cm="1">
        <f t="array" ref="CY30">$BM30 * IF($AH30&lt;=2,
SUMPRODUCT(INDEX($AV$22:$AX$60,,$AI30), INDEX($AY$22:$BE$60,,$AH30), 1 / ($BF$22:$BF$60*CW30), N($AU$22:$AU$60&gt;$AM30)),
SUMPRODUCT(INDEX($AV$22:$AX$45,,$AI30), INDEX($AY$22:$BE$45,,$AH30), 1 / ($BG$22:$BG$45*CW30), N($AU$22:$AU$45&gt;$AM30))
) / 1000</f>
        <v>0</v>
      </c>
      <c r="CZ30" s="229">
        <f t="shared" si="42"/>
        <v>0</v>
      </c>
      <c r="DA30" s="246"/>
    </row>
    <row r="31" spans="1:105" s="75" customFormat="1" ht="14.25" customHeight="1" x14ac:dyDescent="0.25">
      <c r="A31" s="230" t="b">
        <f t="shared" si="0"/>
        <v>0</v>
      </c>
      <c r="B31" s="253">
        <v>10</v>
      </c>
      <c r="C31" s="266"/>
      <c r="D31" s="266"/>
      <c r="E31" s="254"/>
      <c r="F31" s="255" t="str">
        <f>IF(ISBLANK(E31), "", VLOOKUP(E31, Z!$A$2:$C$4127, 3, FALSE))</f>
        <v/>
      </c>
      <c r="G31" s="256"/>
      <c r="H31" s="256"/>
      <c r="I31" s="256"/>
      <c r="J31" s="257"/>
      <c r="K31" s="258"/>
      <c r="L31" s="267"/>
      <c r="M31" s="268"/>
      <c r="N31" s="259" t="str" cm="1">
        <f t="array" ref="N31">IF($L31&gt;0, INDEX(Clean,1+AK31,$D$1), "")</f>
        <v/>
      </c>
      <c r="O31" s="260"/>
      <c r="P31" s="260"/>
      <c r="Q31" s="261"/>
      <c r="R31" s="264">
        <f t="shared" si="7"/>
        <v>0</v>
      </c>
      <c r="S31" s="259" t="str" cm="1">
        <f t="array" ref="S31">IF($L31&gt;0, INDEX(Clean,1+AL31,$D$1), "")</f>
        <v/>
      </c>
      <c r="T31" s="260"/>
      <c r="U31" s="260"/>
      <c r="V31" s="261"/>
      <c r="W31" s="267"/>
      <c r="X31" s="267"/>
      <c r="Y31" s="257"/>
      <c r="Z31" s="264">
        <f t="shared" si="8"/>
        <v>0</v>
      </c>
      <c r="AA31" s="269"/>
      <c r="AB31" s="266"/>
      <c r="AC31" s="254"/>
      <c r="AD31" s="255" t="str">
        <f>IF(ISBLANK(AC31), "", VLOOKUP(AC31, Z!$A$2:$C$4127, 3, FALSE))</f>
        <v/>
      </c>
      <c r="AE31" s="270"/>
      <c r="AF31" s="265">
        <f t="shared" si="9"/>
        <v>0</v>
      </c>
      <c r="AG31" s="246"/>
      <c r="AH31" s="228">
        <f t="shared" ref="AH31" si="71">IF(ISBLANK(I31), 1, IFERROR(MATCH(I31, INDEX(Use,,1), 0), IFERROR(MATCH(I31, INDEX(Use,,2), 0), MATCH(I31, INDEX(Use,,3), 0))))</f>
        <v>1</v>
      </c>
      <c r="AI31" s="228">
        <f t="shared" ref="AI31" si="72">IF(ISBLANK(H31), 1, IFERROR(MATCH(H31, INDEX(Loc,,1), 0), IFERROR(MATCH(H31, INDEX(Loc,,2), 0), MATCH(H31, INDEX(Loc,,3), 0))))</f>
        <v>1</v>
      </c>
      <c r="AJ31" s="228">
        <f t="shared" ref="AJ31" si="73">_xlfn.IFNA(IF(IFERROR(MATCH(J31, INDEX(Medium,,1), 0), IFERROR(MATCH(J31, INDEX(Medium,,2), 0), MATCH(J31, INDEX(Medium,,3), 0))) = 2, 1, 0), 0)</f>
        <v>0</v>
      </c>
      <c r="AK31" s="228">
        <v>0</v>
      </c>
      <c r="AL31" s="228">
        <v>0</v>
      </c>
      <c r="AM31" s="228">
        <f t="shared" si="4"/>
        <v>-100</v>
      </c>
      <c r="AN31" s="228" cm="1">
        <f t="array" ref="AN31">IF(ISBLANK(G31), 1, IFERROR(MATCH(G31, INDEX(Kat,,1), 0), IFERROR(MATCH(Kat, INDEX(Use,,2), 0), MATCH(Kat, INDEX(Use,,3), 0))))</f>
        <v>1</v>
      </c>
      <c r="AO31" s="246"/>
      <c r="AP31" s="228" cm="1">
        <f t="array" ref="AP31">IF(W31&gt;0, INDEX(Kat, AN31,4), 0)</f>
        <v>0</v>
      </c>
      <c r="AQ31" s="228">
        <f t="shared" ref="AQ31" si="74">IF(ISBLANK(Y31), 0, IFERROR(MATCH(Y31, INDEX(Month,,1), 0), IFERROR(MATCH(Y31, INDEX(Month,,2), 0), MATCH(Y31, INDEX(Month,,3), 0))))</f>
        <v>0</v>
      </c>
      <c r="AR31" s="228" cm="1">
        <f t="array" ref="AR31">IF(X31&gt;0, INDEX(Kat, $AN31, 4+AQ31), 0)</f>
        <v>0</v>
      </c>
      <c r="AS31" s="228" cm="1">
        <f t="array" ref="AS31">IF(X31&gt;0, INDEX(Kat, $AN31, 9+AQ31), 0)</f>
        <v>0</v>
      </c>
      <c r="AT31" s="246"/>
      <c r="AU31" s="228">
        <v>-10</v>
      </c>
      <c r="AV31" s="231">
        <v>0</v>
      </c>
      <c r="AW31" s="231">
        <v>2</v>
      </c>
      <c r="AX31" s="231">
        <v>6</v>
      </c>
      <c r="AY31" s="232">
        <f t="shared" si="6"/>
        <v>0</v>
      </c>
      <c r="AZ31" s="232">
        <f t="shared" si="6"/>
        <v>0</v>
      </c>
      <c r="BA31" s="232" t="e" cm="1">
        <f t="array" ref="BA31">MIN(INDEX(Use,BA$20,5) + MAX(0, (1-INDEX(Use,BA$20,5))*($AU31-5)/(35-5)), 1)</f>
        <v>#REF!</v>
      </c>
      <c r="BB31" s="232" t="e" cm="1">
        <f t="array" ref="BB31">MIN(INDEX(Use,BB$20,5) + MAX(0, (1-INDEX(Use,BB$20,5))*($AU31-5)/(35-5)), 1)</f>
        <v>#REF!</v>
      </c>
      <c r="BC31" s="232" t="e" cm="1">
        <f t="array" ref="BC31">MIN(INDEX(Use,BC$20,5) + MAX(0, (1-INDEX(Use,BC$20,5))*($AU31-5)/(35-5)), 1)</f>
        <v>#REF!</v>
      </c>
      <c r="BD31" s="232" t="e" cm="1">
        <f t="array" ref="BD31">MIN(INDEX(Use,BD$20,5) + MAX(0, (1-INDEX(Use,BD$20,5))*($AU31-5)/(35-5)), 1)</f>
        <v>#REF!</v>
      </c>
      <c r="BE31" s="232" t="e" cm="1">
        <f t="array" ref="BE31">MIN(INDEX(Use,BE$20,5) + MAX(0, (1-INDEX(Use,BE$20,5))*($AU31-5)/(35-5)), 1)</f>
        <v>#REF!</v>
      </c>
      <c r="BF31" s="232">
        <v>1</v>
      </c>
      <c r="BG31" s="232">
        <v>1</v>
      </c>
      <c r="BH31" s="210"/>
      <c r="BI31" s="228" cm="1">
        <f t="array" ref="BI31">INDEX(Use, $AH31, 4)</f>
        <v>7</v>
      </c>
      <c r="BJ31" s="228">
        <f t="shared" si="14"/>
        <v>32</v>
      </c>
      <c r="BK31" s="228">
        <f t="shared" si="15"/>
        <v>13</v>
      </c>
      <c r="BL31" s="228">
        <f t="shared" si="16"/>
        <v>0</v>
      </c>
      <c r="BM31" s="233" cm="1">
        <f t="array" ref="BM31">L31/IF($M31&gt;0, INDEX($AY$22:$BE$76, $M31+20, $AH31), 1)</f>
        <v>0</v>
      </c>
      <c r="BN31" s="229">
        <f t="shared" si="17"/>
        <v>0</v>
      </c>
      <c r="BO31" s="228">
        <v>35</v>
      </c>
      <c r="BP31" s="229">
        <f t="shared" si="18"/>
        <v>48</v>
      </c>
      <c r="BQ31" s="234">
        <f t="shared" si="19"/>
        <v>3.0748170731707316</v>
      </c>
      <c r="BR31" s="234" cm="1">
        <f t="array" ref="BR31">$BM31 * SUMPRODUCT(INDEX($AV$76:$AX$81,,$AI31),INDEX($AY$76:$BE$81,,$AH31), N($AU$76:$AU$81&gt;$AM31)) / BQ31 / 1000</f>
        <v>0</v>
      </c>
      <c r="BS31" s="231">
        <f t="shared" si="20"/>
        <v>30</v>
      </c>
      <c r="BT31" s="229">
        <f t="shared" si="21"/>
        <v>43</v>
      </c>
      <c r="BU31" s="234">
        <f t="shared" si="22"/>
        <v>3.5018750000000001</v>
      </c>
      <c r="BV31" s="234" cm="1">
        <f t="array" ref="BV31">$BM31 * IF($AH31&lt;=2,
SUMPRODUCT(INDEX($AV$71:$AX$75,,$AI31), INDEX($AY$71:$BE$75,,$AH31), 1 / ($BF$71:$BF$75*BU31 + (1-$BF$71:$BF$75)*BQ31), N($AU$71:$AU$75&gt;$AM31)),
SUMPRODUCT(INDEX($AV$66:$AX$75,,$AI31), INDEX($AY$66:$BE$75,,$AH31), 1 / ($BG$66:$BG$75*BU31 + (1-$BG$66:$BG$75)*BQ31), N($AU$66:$AU$75&gt;$AM31))
) / 1000</f>
        <v>0</v>
      </c>
      <c r="BW31" s="231">
        <f t="shared" si="23"/>
        <v>25</v>
      </c>
      <c r="BX31" s="229">
        <f t="shared" si="24"/>
        <v>38</v>
      </c>
      <c r="BY31" s="234">
        <f t="shared" si="25"/>
        <v>4.0666935483870965</v>
      </c>
      <c r="BZ31" s="234" cm="1">
        <f t="array" ref="BZ31">$BM31 * IF($AH31&lt;=2,
SUMPRODUCT(INDEX($AV$66:$AX$70,,$AI31), INDEX($AY$66:$BE$70,,$AH31), 1 / ($BF$66:$BF$70*BY31 + (1-$BF$66:$BF$70)*BU31), N($AU$66:$AU$70&gt;$AM31)),
SUMPRODUCT(INDEX($AV$56:$AX$65,,$AI31), INDEX($AY$56:$BE$65,,$AH31), 1 / ($BG$56:$BG$65*BY31 + (1-$BG$56:$BG$65)*BU31), N($AU$56:$AU$65&gt;$AM31))
) / 1000</f>
        <v>0</v>
      </c>
      <c r="CA31" s="231">
        <f t="shared" si="26"/>
        <v>20</v>
      </c>
      <c r="CB31" s="229">
        <f t="shared" si="27"/>
        <v>33</v>
      </c>
      <c r="CC31" s="234">
        <f t="shared" si="28"/>
        <v>4.8487499999999999</v>
      </c>
      <c r="CD31" s="234" cm="1">
        <f t="array" ref="CD31">$BM31 * IF($AH31&lt;=2,
SUMPRODUCT(INDEX($AV$61:$AX$65,,$AI31), INDEX($AY$61:$BE$65,,$AH31), 1 / ($BF$61:$BF$65*CC31 + (1-$BF$61:$BF$65)*BY31), N($AU$61:$AU$65&gt;$AM31)),
SUMPRODUCT(INDEX($AV$46:$AX$55,,$AI31), INDEX($AY$46:$BE$55,,$AH31), 1 / ($BG$46:$BG$55*CC31 + (1-$BG$46:$BG$55)*BY31), N($AU$46:$AU$55&gt;$AM31))
) / 1000</f>
        <v>0</v>
      </c>
      <c r="CE31" s="234" cm="1">
        <f t="array" ref="CE31">$BM31 * IF($AH31&lt;=2,
SUMPRODUCT(INDEX($AV$22:$AX$60,,$AI31), INDEX($AY$22:$BE$60,,$AH31), 1 / ($BF$22:$BF$60*CC31), N($AU$22:$AU$60&gt;$AM31)),
SUMPRODUCT(INDEX($AV$22:$AX$45,,$AI31), INDEX($AY$22:$BE$45,,$AH31), 1 / ($BG$22:$BG$45*CC31), N($AU$22:$AU$45&gt;$AM31))
) / 1000</f>
        <v>0</v>
      </c>
      <c r="CF31" s="229">
        <f t="shared" si="29"/>
        <v>0</v>
      </c>
      <c r="CG31" s="246"/>
      <c r="CH31" s="229">
        <f t="shared" si="30"/>
        <v>0</v>
      </c>
      <c r="CI31" s="228">
        <v>35</v>
      </c>
      <c r="CJ31" s="229">
        <f t="shared" si="31"/>
        <v>48</v>
      </c>
      <c r="CK31" s="234">
        <f t="shared" si="32"/>
        <v>3.0748170731707316</v>
      </c>
      <c r="CL31" s="234" cm="1">
        <f t="array" ref="CL31">$BM31 * SUMPRODUCT(INDEX($AV$76:$AX$81,,$AI31),INDEX($AY$76:$BE$81,,$AH31), N($AU$76:$AU$81&gt;$AM31)) / CK31 / 1000</f>
        <v>0</v>
      </c>
      <c r="CM31" s="231">
        <f t="shared" si="33"/>
        <v>30</v>
      </c>
      <c r="CN31" s="229">
        <f t="shared" si="34"/>
        <v>43</v>
      </c>
      <c r="CO31" s="234">
        <f t="shared" si="35"/>
        <v>3.5018750000000001</v>
      </c>
      <c r="CP31" s="234" cm="1">
        <f t="array" ref="CP31">$BM31 * IF($AH31&lt;=2,
SUMPRODUCT(INDEX($AV$71:$AX$75,,$AI31), INDEX($AY$71:$BE$75,,$AH31), 1 / ($BF$71:$BF$75*CO31 + (1-$BF$71:$BF$75)*CK31), N($AU$71:$AU$75&gt;$AM31)),
SUMPRODUCT(INDEX($AV$66:$AX$75,,$AI31), INDEX($AY$66:$BE$75,,$AH31), 1 / ($BG$66:$BG$75*CO31 + (1-$BG$66:$BG$75)*CK31), N($AU$66:$AU$75&gt;$AM31))
) / 1000</f>
        <v>0</v>
      </c>
      <c r="CQ31" s="231">
        <f t="shared" si="36"/>
        <v>25</v>
      </c>
      <c r="CR31" s="229">
        <f t="shared" si="37"/>
        <v>38</v>
      </c>
      <c r="CS31" s="234">
        <f t="shared" si="38"/>
        <v>4.0666935483870965</v>
      </c>
      <c r="CT31" s="234" cm="1">
        <f t="array" ref="CT31">$BM31 * IF($AH31&lt;=2,
SUMPRODUCT(INDEX($AV$66:$AX$70,,$AI31), INDEX($AY$66:$BE$70,,$AH31), 1 / ($BF$66:$BF$70*CS31 + (1-$BF$66:$BF$70)*CO31), N($AU$66:$AU$70&gt;$AM31)),
SUMPRODUCT(INDEX($AV$56:$AX$65,,$AI31), INDEX($AY$56:$BE$65,,$AH31), 1 / ($BG$56:$BG$65*CS31 + (1-$BG$56:$BG$65)*CO31), N($AU$56:$AU$65&gt;$AM31))
) / 1000</f>
        <v>0</v>
      </c>
      <c r="CU31" s="231">
        <f t="shared" si="39"/>
        <v>20</v>
      </c>
      <c r="CV31" s="229">
        <f t="shared" si="40"/>
        <v>33</v>
      </c>
      <c r="CW31" s="234">
        <f t="shared" si="41"/>
        <v>4.8487499999999999</v>
      </c>
      <c r="CX31" s="234" cm="1">
        <f t="array" ref="CX31">$BM31 * IF($AH31&lt;=2,
SUMPRODUCT(INDEX($AV$61:$AX$65,,$AI31), INDEX($AY$61:$BE$65,,$AH31), 1 / ($BF$61:$BF$65*CW31 + (1-$BF$61:$BF$65)*CS31), N($AU$61:$AU$65&gt;$AM31)),
SUMPRODUCT(INDEX($AV$46:$AX$55,,$AI31), INDEX($AY$46:$BE$55,,$AH31), 1 / ($BG$46:$BG$55*CW31 + (1-$BG$46:$BG$55)*CS31), N($AU$46:$AU$55&gt;$AM31))
) / 1000</f>
        <v>0</v>
      </c>
      <c r="CY31" s="234" cm="1">
        <f t="array" ref="CY31">$BM31 * IF($AH31&lt;=2,
SUMPRODUCT(INDEX($AV$22:$AX$60,,$AI31), INDEX($AY$22:$BE$60,,$AH31), 1 / ($BF$22:$BF$60*CW31), N($AU$22:$AU$60&gt;$AM31)),
SUMPRODUCT(INDEX($AV$22:$AX$45,,$AI31), INDEX($AY$22:$BE$45,,$AH31), 1 / ($BG$22:$BG$45*CW31), N($AU$22:$AU$45&gt;$AM31))
) / 1000</f>
        <v>0</v>
      </c>
      <c r="CZ31" s="229">
        <f t="shared" si="42"/>
        <v>0</v>
      </c>
      <c r="DA31" s="246"/>
    </row>
    <row r="32" spans="1:105" s="75" customFormat="1" ht="14.25" customHeight="1" x14ac:dyDescent="0.25">
      <c r="A32" s="230" t="b">
        <f t="shared" si="0"/>
        <v>0</v>
      </c>
      <c r="B32" s="253">
        <v>11</v>
      </c>
      <c r="C32" s="266"/>
      <c r="D32" s="266"/>
      <c r="E32" s="254"/>
      <c r="F32" s="255" t="str">
        <f>IF(ISBLANK(E32), "", VLOOKUP(E32, Z!$A$2:$C$4127, 3, FALSE))</f>
        <v/>
      </c>
      <c r="G32" s="256"/>
      <c r="H32" s="256"/>
      <c r="I32" s="256"/>
      <c r="J32" s="257"/>
      <c r="K32" s="258"/>
      <c r="L32" s="267"/>
      <c r="M32" s="268"/>
      <c r="N32" s="259" t="str" cm="1">
        <f t="array" ref="N32">IF($L32&gt;0, INDEX(Clean,1+AK32,$D$1), "")</f>
        <v/>
      </c>
      <c r="O32" s="260"/>
      <c r="P32" s="260"/>
      <c r="Q32" s="261"/>
      <c r="R32" s="264">
        <f t="shared" si="7"/>
        <v>0</v>
      </c>
      <c r="S32" s="259" t="str" cm="1">
        <f t="array" ref="S32">IF($L32&gt;0, INDEX(Clean,1+AL32,$D$1), "")</f>
        <v/>
      </c>
      <c r="T32" s="260"/>
      <c r="U32" s="260"/>
      <c r="V32" s="261"/>
      <c r="W32" s="267"/>
      <c r="X32" s="267"/>
      <c r="Y32" s="257"/>
      <c r="Z32" s="264">
        <f t="shared" si="8"/>
        <v>0</v>
      </c>
      <c r="AA32" s="269"/>
      <c r="AB32" s="266"/>
      <c r="AC32" s="254"/>
      <c r="AD32" s="255" t="str">
        <f>IF(ISBLANK(AC32), "", VLOOKUP(AC32, Z!$A$2:$C$4127, 3, FALSE))</f>
        <v/>
      </c>
      <c r="AE32" s="270"/>
      <c r="AF32" s="265">
        <f t="shared" si="9"/>
        <v>0</v>
      </c>
      <c r="AG32" s="246"/>
      <c r="AH32" s="228">
        <f t="shared" ref="AH32" si="75">IF(ISBLANK(I32), 1, IFERROR(MATCH(I32, INDEX(Use,,1), 0), IFERROR(MATCH(I32, INDEX(Use,,2), 0), MATCH(I32, INDEX(Use,,3), 0))))</f>
        <v>1</v>
      </c>
      <c r="AI32" s="228">
        <f t="shared" ref="AI32" si="76">IF(ISBLANK(H32), 1, IFERROR(MATCH(H32, INDEX(Loc,,1), 0), IFERROR(MATCH(H32, INDEX(Loc,,2), 0), MATCH(H32, INDEX(Loc,,3), 0))))</f>
        <v>1</v>
      </c>
      <c r="AJ32" s="228">
        <f t="shared" ref="AJ32" si="77">_xlfn.IFNA(IF(IFERROR(MATCH(J32, INDEX(Medium,,1), 0), IFERROR(MATCH(J32, INDEX(Medium,,2), 0), MATCH(J32, INDEX(Medium,,3), 0))) = 2, 1, 0), 0)</f>
        <v>0</v>
      </c>
      <c r="AK32" s="228">
        <v>0</v>
      </c>
      <c r="AL32" s="228">
        <v>0</v>
      </c>
      <c r="AM32" s="228">
        <f t="shared" si="4"/>
        <v>-100</v>
      </c>
      <c r="AN32" s="228" cm="1">
        <f t="array" ref="AN32">IF(ISBLANK(G32), 1, IFERROR(MATCH(G32, INDEX(Kat,,1), 0), IFERROR(MATCH(Kat, INDEX(Use,,2), 0), MATCH(Kat, INDEX(Use,,3), 0))))</f>
        <v>1</v>
      </c>
      <c r="AO32" s="246"/>
      <c r="AP32" s="228" cm="1">
        <f t="array" ref="AP32">IF(W32&gt;0, INDEX(Kat, AN32,4), 0)</f>
        <v>0</v>
      </c>
      <c r="AQ32" s="228">
        <f t="shared" ref="AQ32" si="78">IF(ISBLANK(Y32), 0, IFERROR(MATCH(Y32, INDEX(Month,,1), 0), IFERROR(MATCH(Y32, INDEX(Month,,2), 0), MATCH(Y32, INDEX(Month,,3), 0))))</f>
        <v>0</v>
      </c>
      <c r="AR32" s="228" cm="1">
        <f t="array" ref="AR32">IF(X32&gt;0, INDEX(Kat, $AN32, 4+AQ32), 0)</f>
        <v>0</v>
      </c>
      <c r="AS32" s="228" cm="1">
        <f t="array" ref="AS32">IF(X32&gt;0, INDEX(Kat, $AN32, 9+AQ32), 0)</f>
        <v>0</v>
      </c>
      <c r="AT32" s="246"/>
      <c r="AU32" s="228">
        <v>-9</v>
      </c>
      <c r="AV32" s="231">
        <v>0</v>
      </c>
      <c r="AW32" s="231">
        <v>4</v>
      </c>
      <c r="AX32" s="231">
        <v>45</v>
      </c>
      <c r="AY32" s="232">
        <f t="shared" si="6"/>
        <v>0</v>
      </c>
      <c r="AZ32" s="232">
        <f t="shared" si="6"/>
        <v>0</v>
      </c>
      <c r="BA32" s="232" t="e" cm="1">
        <f t="array" ref="BA32">MIN(INDEX(Use,BA$20,5) + MAX(0, (1-INDEX(Use,BA$20,5))*($AU32-5)/(35-5)), 1)</f>
        <v>#REF!</v>
      </c>
      <c r="BB32" s="232" t="e" cm="1">
        <f t="array" ref="BB32">MIN(INDEX(Use,BB$20,5) + MAX(0, (1-INDEX(Use,BB$20,5))*($AU32-5)/(35-5)), 1)</f>
        <v>#REF!</v>
      </c>
      <c r="BC32" s="232" t="e" cm="1">
        <f t="array" ref="BC32">MIN(INDEX(Use,BC$20,5) + MAX(0, (1-INDEX(Use,BC$20,5))*($AU32-5)/(35-5)), 1)</f>
        <v>#REF!</v>
      </c>
      <c r="BD32" s="232" t="e" cm="1">
        <f t="array" ref="BD32">MIN(INDEX(Use,BD$20,5) + MAX(0, (1-INDEX(Use,BD$20,5))*($AU32-5)/(35-5)), 1)</f>
        <v>#REF!</v>
      </c>
      <c r="BE32" s="232" t="e" cm="1">
        <f t="array" ref="BE32">MIN(INDEX(Use,BE$20,5) + MAX(0, (1-INDEX(Use,BE$20,5))*($AU32-5)/(35-5)), 1)</f>
        <v>#REF!</v>
      </c>
      <c r="BF32" s="232">
        <v>1</v>
      </c>
      <c r="BG32" s="232">
        <v>1</v>
      </c>
      <c r="BH32" s="210"/>
      <c r="BI32" s="228" cm="1">
        <f t="array" ref="BI32">INDEX(Use, $AH32, 4)</f>
        <v>7</v>
      </c>
      <c r="BJ32" s="228">
        <f t="shared" si="14"/>
        <v>32</v>
      </c>
      <c r="BK32" s="228">
        <f t="shared" si="15"/>
        <v>13</v>
      </c>
      <c r="BL32" s="228">
        <f t="shared" si="16"/>
        <v>0</v>
      </c>
      <c r="BM32" s="233" cm="1">
        <f t="array" ref="BM32">L32/IF($M32&gt;0, INDEX($AY$22:$BE$76, $M32+20, $AH32), 1)</f>
        <v>0</v>
      </c>
      <c r="BN32" s="229">
        <f t="shared" si="17"/>
        <v>0</v>
      </c>
      <c r="BO32" s="228">
        <v>35</v>
      </c>
      <c r="BP32" s="229">
        <f t="shared" si="18"/>
        <v>48</v>
      </c>
      <c r="BQ32" s="234">
        <f t="shared" si="19"/>
        <v>3.0748170731707316</v>
      </c>
      <c r="BR32" s="234" cm="1">
        <f t="array" ref="BR32">$BM32 * SUMPRODUCT(INDEX($AV$76:$AX$81,,$AI32),INDEX($AY$76:$BE$81,,$AH32), N($AU$76:$AU$81&gt;$AM32)) / BQ32 / 1000</f>
        <v>0</v>
      </c>
      <c r="BS32" s="231">
        <f t="shared" si="20"/>
        <v>30</v>
      </c>
      <c r="BT32" s="229">
        <f t="shared" si="21"/>
        <v>43</v>
      </c>
      <c r="BU32" s="234">
        <f t="shared" si="22"/>
        <v>3.5018750000000001</v>
      </c>
      <c r="BV32" s="234" cm="1">
        <f t="array" ref="BV32">$BM32 * IF($AH32&lt;=2,
SUMPRODUCT(INDEX($AV$71:$AX$75,,$AI32), INDEX($AY$71:$BE$75,,$AH32), 1 / ($BF$71:$BF$75*BU32 + (1-$BF$71:$BF$75)*BQ32), N($AU$71:$AU$75&gt;$AM32)),
SUMPRODUCT(INDEX($AV$66:$AX$75,,$AI32), INDEX($AY$66:$BE$75,,$AH32), 1 / ($BG$66:$BG$75*BU32 + (1-$BG$66:$BG$75)*BQ32), N($AU$66:$AU$75&gt;$AM32))
) / 1000</f>
        <v>0</v>
      </c>
      <c r="BW32" s="231">
        <f t="shared" si="23"/>
        <v>25</v>
      </c>
      <c r="BX32" s="229">
        <f t="shared" si="24"/>
        <v>38</v>
      </c>
      <c r="BY32" s="234">
        <f t="shared" si="25"/>
        <v>4.0666935483870965</v>
      </c>
      <c r="BZ32" s="234" cm="1">
        <f t="array" ref="BZ32">$BM32 * IF($AH32&lt;=2,
SUMPRODUCT(INDEX($AV$66:$AX$70,,$AI32), INDEX($AY$66:$BE$70,,$AH32), 1 / ($BF$66:$BF$70*BY32 + (1-$BF$66:$BF$70)*BU32), N($AU$66:$AU$70&gt;$AM32)),
SUMPRODUCT(INDEX($AV$56:$AX$65,,$AI32), INDEX($AY$56:$BE$65,,$AH32), 1 / ($BG$56:$BG$65*BY32 + (1-$BG$56:$BG$65)*BU32), N($AU$56:$AU$65&gt;$AM32))
) / 1000</f>
        <v>0</v>
      </c>
      <c r="CA32" s="231">
        <f t="shared" si="26"/>
        <v>20</v>
      </c>
      <c r="CB32" s="229">
        <f t="shared" si="27"/>
        <v>33</v>
      </c>
      <c r="CC32" s="234">
        <f t="shared" si="28"/>
        <v>4.8487499999999999</v>
      </c>
      <c r="CD32" s="234" cm="1">
        <f t="array" ref="CD32">$BM32 * IF($AH32&lt;=2,
SUMPRODUCT(INDEX($AV$61:$AX$65,,$AI32), INDEX($AY$61:$BE$65,,$AH32), 1 / ($BF$61:$BF$65*CC32 + (1-$BF$61:$BF$65)*BY32), N($AU$61:$AU$65&gt;$AM32)),
SUMPRODUCT(INDEX($AV$46:$AX$55,,$AI32), INDEX($AY$46:$BE$55,,$AH32), 1 / ($BG$46:$BG$55*CC32 + (1-$BG$46:$BG$55)*BY32), N($AU$46:$AU$55&gt;$AM32))
) / 1000</f>
        <v>0</v>
      </c>
      <c r="CE32" s="234" cm="1">
        <f t="array" ref="CE32">$BM32 * IF($AH32&lt;=2,
SUMPRODUCT(INDEX($AV$22:$AX$60,,$AI32), INDEX($AY$22:$BE$60,,$AH32), 1 / ($BF$22:$BF$60*CC32), N($AU$22:$AU$60&gt;$AM32)),
SUMPRODUCT(INDEX($AV$22:$AX$45,,$AI32), INDEX($AY$22:$BE$45,,$AH32), 1 / ($BG$22:$BG$45*CC32), N($AU$22:$AU$45&gt;$AM32))
) / 1000</f>
        <v>0</v>
      </c>
      <c r="CF32" s="229">
        <f t="shared" si="29"/>
        <v>0</v>
      </c>
      <c r="CG32" s="246"/>
      <c r="CH32" s="229">
        <f t="shared" si="30"/>
        <v>0</v>
      </c>
      <c r="CI32" s="228">
        <v>35</v>
      </c>
      <c r="CJ32" s="229">
        <f t="shared" si="31"/>
        <v>48</v>
      </c>
      <c r="CK32" s="234">
        <f t="shared" si="32"/>
        <v>3.0748170731707316</v>
      </c>
      <c r="CL32" s="234" cm="1">
        <f t="array" ref="CL32">$BM32 * SUMPRODUCT(INDEX($AV$76:$AX$81,,$AI32),INDEX($AY$76:$BE$81,,$AH32), N($AU$76:$AU$81&gt;$AM32)) / CK32 / 1000</f>
        <v>0</v>
      </c>
      <c r="CM32" s="231">
        <f t="shared" si="33"/>
        <v>30</v>
      </c>
      <c r="CN32" s="229">
        <f t="shared" si="34"/>
        <v>43</v>
      </c>
      <c r="CO32" s="234">
        <f t="shared" si="35"/>
        <v>3.5018750000000001</v>
      </c>
      <c r="CP32" s="234" cm="1">
        <f t="array" ref="CP32">$BM32 * IF($AH32&lt;=2,
SUMPRODUCT(INDEX($AV$71:$AX$75,,$AI32), INDEX($AY$71:$BE$75,,$AH32), 1 / ($BF$71:$BF$75*CO32 + (1-$BF$71:$BF$75)*CK32), N($AU$71:$AU$75&gt;$AM32)),
SUMPRODUCT(INDEX($AV$66:$AX$75,,$AI32), INDEX($AY$66:$BE$75,,$AH32), 1 / ($BG$66:$BG$75*CO32 + (1-$BG$66:$BG$75)*CK32), N($AU$66:$AU$75&gt;$AM32))
) / 1000</f>
        <v>0</v>
      </c>
      <c r="CQ32" s="231">
        <f t="shared" si="36"/>
        <v>25</v>
      </c>
      <c r="CR32" s="229">
        <f t="shared" si="37"/>
        <v>38</v>
      </c>
      <c r="CS32" s="234">
        <f t="shared" si="38"/>
        <v>4.0666935483870965</v>
      </c>
      <c r="CT32" s="234" cm="1">
        <f t="array" ref="CT32">$BM32 * IF($AH32&lt;=2,
SUMPRODUCT(INDEX($AV$66:$AX$70,,$AI32), INDEX($AY$66:$BE$70,,$AH32), 1 / ($BF$66:$BF$70*CS32 + (1-$BF$66:$BF$70)*CO32), N($AU$66:$AU$70&gt;$AM32)),
SUMPRODUCT(INDEX($AV$56:$AX$65,,$AI32), INDEX($AY$56:$BE$65,,$AH32), 1 / ($BG$56:$BG$65*CS32 + (1-$BG$56:$BG$65)*CO32), N($AU$56:$AU$65&gt;$AM32))
) / 1000</f>
        <v>0</v>
      </c>
      <c r="CU32" s="231">
        <f t="shared" si="39"/>
        <v>20</v>
      </c>
      <c r="CV32" s="229">
        <f t="shared" si="40"/>
        <v>33</v>
      </c>
      <c r="CW32" s="234">
        <f t="shared" si="41"/>
        <v>4.8487499999999999</v>
      </c>
      <c r="CX32" s="234" cm="1">
        <f t="array" ref="CX32">$BM32 * IF($AH32&lt;=2,
SUMPRODUCT(INDEX($AV$61:$AX$65,,$AI32), INDEX($AY$61:$BE$65,,$AH32), 1 / ($BF$61:$BF$65*CW32 + (1-$BF$61:$BF$65)*CS32), N($AU$61:$AU$65&gt;$AM32)),
SUMPRODUCT(INDEX($AV$46:$AX$55,,$AI32), INDEX($AY$46:$BE$55,,$AH32), 1 / ($BG$46:$BG$55*CW32 + (1-$BG$46:$BG$55)*CS32), N($AU$46:$AU$55&gt;$AM32))
) / 1000</f>
        <v>0</v>
      </c>
      <c r="CY32" s="234" cm="1">
        <f t="array" ref="CY32">$BM32 * IF($AH32&lt;=2,
SUMPRODUCT(INDEX($AV$22:$AX$60,,$AI32), INDEX($AY$22:$BE$60,,$AH32), 1 / ($BF$22:$BF$60*CW32), N($AU$22:$AU$60&gt;$AM32)),
SUMPRODUCT(INDEX($AV$22:$AX$45,,$AI32), INDEX($AY$22:$BE$45,,$AH32), 1 / ($BG$22:$BG$45*CW32), N($AU$22:$AU$45&gt;$AM32))
) / 1000</f>
        <v>0</v>
      </c>
      <c r="CZ32" s="229">
        <f t="shared" si="42"/>
        <v>0</v>
      </c>
      <c r="DA32" s="246"/>
    </row>
    <row r="33" spans="1:105" s="75" customFormat="1" ht="14.25" customHeight="1" x14ac:dyDescent="0.25">
      <c r="A33" s="230" t="b">
        <f t="shared" si="0"/>
        <v>0</v>
      </c>
      <c r="B33" s="253">
        <v>12</v>
      </c>
      <c r="C33" s="266"/>
      <c r="D33" s="266"/>
      <c r="E33" s="254"/>
      <c r="F33" s="255" t="str">
        <f>IF(ISBLANK(E33), "", VLOOKUP(E33, Z!$A$2:$C$4127, 3, FALSE))</f>
        <v/>
      </c>
      <c r="G33" s="256"/>
      <c r="H33" s="256"/>
      <c r="I33" s="256"/>
      <c r="J33" s="257"/>
      <c r="K33" s="258"/>
      <c r="L33" s="267"/>
      <c r="M33" s="268"/>
      <c r="N33" s="259" t="str" cm="1">
        <f t="array" ref="N33">IF($L33&gt;0, INDEX(Clean,1+AK33,$D$1), "")</f>
        <v/>
      </c>
      <c r="O33" s="260"/>
      <c r="P33" s="260"/>
      <c r="Q33" s="261"/>
      <c r="R33" s="264">
        <f t="shared" si="7"/>
        <v>0</v>
      </c>
      <c r="S33" s="259" t="str" cm="1">
        <f t="array" ref="S33">IF($L33&gt;0, INDEX(Clean,1+AL33,$D$1), "")</f>
        <v/>
      </c>
      <c r="T33" s="260"/>
      <c r="U33" s="260"/>
      <c r="V33" s="261"/>
      <c r="W33" s="267"/>
      <c r="X33" s="267"/>
      <c r="Y33" s="257"/>
      <c r="Z33" s="264">
        <f t="shared" si="8"/>
        <v>0</v>
      </c>
      <c r="AA33" s="269"/>
      <c r="AB33" s="266"/>
      <c r="AC33" s="254"/>
      <c r="AD33" s="255" t="str">
        <f>IF(ISBLANK(AC33), "", VLOOKUP(AC33, Z!$A$2:$C$4127, 3, FALSE))</f>
        <v/>
      </c>
      <c r="AE33" s="270"/>
      <c r="AF33" s="265">
        <f t="shared" si="9"/>
        <v>0</v>
      </c>
      <c r="AG33" s="246"/>
      <c r="AH33" s="228">
        <f t="shared" ref="AH33" si="79">IF(ISBLANK(I33), 1, IFERROR(MATCH(I33, INDEX(Use,,1), 0), IFERROR(MATCH(I33, INDEX(Use,,2), 0), MATCH(I33, INDEX(Use,,3), 0))))</f>
        <v>1</v>
      </c>
      <c r="AI33" s="228">
        <f t="shared" ref="AI33" si="80">IF(ISBLANK(H33), 1, IFERROR(MATCH(H33, INDEX(Loc,,1), 0), IFERROR(MATCH(H33, INDEX(Loc,,2), 0), MATCH(H33, INDEX(Loc,,3), 0))))</f>
        <v>1</v>
      </c>
      <c r="AJ33" s="228">
        <f t="shared" ref="AJ33" si="81">_xlfn.IFNA(IF(IFERROR(MATCH(J33, INDEX(Medium,,1), 0), IFERROR(MATCH(J33, INDEX(Medium,,2), 0), MATCH(J33, INDEX(Medium,,3), 0))) = 2, 1, 0), 0)</f>
        <v>0</v>
      </c>
      <c r="AK33" s="228">
        <v>0</v>
      </c>
      <c r="AL33" s="228">
        <v>0</v>
      </c>
      <c r="AM33" s="228">
        <f t="shared" si="4"/>
        <v>-100</v>
      </c>
      <c r="AN33" s="228" cm="1">
        <f t="array" ref="AN33">IF(ISBLANK(G33), 1, IFERROR(MATCH(G33, INDEX(Kat,,1), 0), IFERROR(MATCH(Kat, INDEX(Use,,2), 0), MATCH(Kat, INDEX(Use,,3), 0))))</f>
        <v>1</v>
      </c>
      <c r="AO33" s="246"/>
      <c r="AP33" s="228" cm="1">
        <f t="array" ref="AP33">IF(W33&gt;0, INDEX(Kat, AN33,4), 0)</f>
        <v>0</v>
      </c>
      <c r="AQ33" s="228">
        <f t="shared" ref="AQ33" si="82">IF(ISBLANK(Y33), 0, IFERROR(MATCH(Y33, INDEX(Month,,1), 0), IFERROR(MATCH(Y33, INDEX(Month,,2), 0), MATCH(Y33, INDEX(Month,,3), 0))))</f>
        <v>0</v>
      </c>
      <c r="AR33" s="228" cm="1">
        <f t="array" ref="AR33">IF(X33&gt;0, INDEX(Kat, $AN33, 4+AQ33), 0)</f>
        <v>0</v>
      </c>
      <c r="AS33" s="228" cm="1">
        <f t="array" ref="AS33">IF(X33&gt;0, INDEX(Kat, $AN33, 9+AQ33), 0)</f>
        <v>0</v>
      </c>
      <c r="AT33" s="246"/>
      <c r="AU33" s="228">
        <v>-8</v>
      </c>
      <c r="AV33" s="231">
        <v>0</v>
      </c>
      <c r="AW33" s="231">
        <v>3</v>
      </c>
      <c r="AX33" s="231">
        <v>48</v>
      </c>
      <c r="AY33" s="232">
        <f t="shared" si="6"/>
        <v>0</v>
      </c>
      <c r="AZ33" s="232">
        <f t="shared" si="6"/>
        <v>0</v>
      </c>
      <c r="BA33" s="232" t="e" cm="1">
        <f t="array" ref="BA33">MIN(INDEX(Use,BA$20,5) + MAX(0, (1-INDEX(Use,BA$20,5))*($AU33-5)/(35-5)), 1)</f>
        <v>#REF!</v>
      </c>
      <c r="BB33" s="232" t="e" cm="1">
        <f t="array" ref="BB33">MIN(INDEX(Use,BB$20,5) + MAX(0, (1-INDEX(Use,BB$20,5))*($AU33-5)/(35-5)), 1)</f>
        <v>#REF!</v>
      </c>
      <c r="BC33" s="232" t="e" cm="1">
        <f t="array" ref="BC33">MIN(INDEX(Use,BC$20,5) + MAX(0, (1-INDEX(Use,BC$20,5))*($AU33-5)/(35-5)), 1)</f>
        <v>#REF!</v>
      </c>
      <c r="BD33" s="232" t="e" cm="1">
        <f t="array" ref="BD33">MIN(INDEX(Use,BD$20,5) + MAX(0, (1-INDEX(Use,BD$20,5))*($AU33-5)/(35-5)), 1)</f>
        <v>#REF!</v>
      </c>
      <c r="BE33" s="232" t="e" cm="1">
        <f t="array" ref="BE33">MIN(INDEX(Use,BE$20,5) + MAX(0, (1-INDEX(Use,BE$20,5))*($AU33-5)/(35-5)), 1)</f>
        <v>#REF!</v>
      </c>
      <c r="BF33" s="232">
        <v>1</v>
      </c>
      <c r="BG33" s="232">
        <v>1</v>
      </c>
      <c r="BH33" s="210"/>
      <c r="BI33" s="228" cm="1">
        <f t="array" ref="BI33">INDEX(Use, $AH33, 4)</f>
        <v>7</v>
      </c>
      <c r="BJ33" s="228">
        <f t="shared" si="14"/>
        <v>32</v>
      </c>
      <c r="BK33" s="228">
        <f t="shared" si="15"/>
        <v>13</v>
      </c>
      <c r="BL33" s="228">
        <f t="shared" si="16"/>
        <v>0</v>
      </c>
      <c r="BM33" s="233" cm="1">
        <f t="array" ref="BM33">L33/IF($M33&gt;0, INDEX($AY$22:$BE$76, $M33+20, $AH33), 1)</f>
        <v>0</v>
      </c>
      <c r="BN33" s="229">
        <f t="shared" si="17"/>
        <v>0</v>
      </c>
      <c r="BO33" s="228">
        <v>35</v>
      </c>
      <c r="BP33" s="229">
        <f t="shared" si="18"/>
        <v>48</v>
      </c>
      <c r="BQ33" s="234">
        <f t="shared" si="19"/>
        <v>3.0748170731707316</v>
      </c>
      <c r="BR33" s="234" cm="1">
        <f t="array" ref="BR33">$BM33 * SUMPRODUCT(INDEX($AV$76:$AX$81,,$AI33),INDEX($AY$76:$BE$81,,$AH33), N($AU$76:$AU$81&gt;$AM33)) / BQ33 / 1000</f>
        <v>0</v>
      </c>
      <c r="BS33" s="231">
        <f t="shared" si="20"/>
        <v>30</v>
      </c>
      <c r="BT33" s="229">
        <f t="shared" si="21"/>
        <v>43</v>
      </c>
      <c r="BU33" s="234">
        <f t="shared" si="22"/>
        <v>3.5018750000000001</v>
      </c>
      <c r="BV33" s="234" cm="1">
        <f t="array" ref="BV33">$BM33 * IF($AH33&lt;=2,
SUMPRODUCT(INDEX($AV$71:$AX$75,,$AI33), INDEX($AY$71:$BE$75,,$AH33), 1 / ($BF$71:$BF$75*BU33 + (1-$BF$71:$BF$75)*BQ33), N($AU$71:$AU$75&gt;$AM33)),
SUMPRODUCT(INDEX($AV$66:$AX$75,,$AI33), INDEX($AY$66:$BE$75,,$AH33), 1 / ($BG$66:$BG$75*BU33 + (1-$BG$66:$BG$75)*BQ33), N($AU$66:$AU$75&gt;$AM33))
) / 1000</f>
        <v>0</v>
      </c>
      <c r="BW33" s="231">
        <f t="shared" si="23"/>
        <v>25</v>
      </c>
      <c r="BX33" s="229">
        <f t="shared" si="24"/>
        <v>38</v>
      </c>
      <c r="BY33" s="234">
        <f t="shared" si="25"/>
        <v>4.0666935483870965</v>
      </c>
      <c r="BZ33" s="234" cm="1">
        <f t="array" ref="BZ33">$BM33 * IF($AH33&lt;=2,
SUMPRODUCT(INDEX($AV$66:$AX$70,,$AI33), INDEX($AY$66:$BE$70,,$AH33), 1 / ($BF$66:$BF$70*BY33 + (1-$BF$66:$BF$70)*BU33), N($AU$66:$AU$70&gt;$AM33)),
SUMPRODUCT(INDEX($AV$56:$AX$65,,$AI33), INDEX($AY$56:$BE$65,,$AH33), 1 / ($BG$56:$BG$65*BY33 + (1-$BG$56:$BG$65)*BU33), N($AU$56:$AU$65&gt;$AM33))
) / 1000</f>
        <v>0</v>
      </c>
      <c r="CA33" s="231">
        <f t="shared" si="26"/>
        <v>20</v>
      </c>
      <c r="CB33" s="229">
        <f t="shared" si="27"/>
        <v>33</v>
      </c>
      <c r="CC33" s="234">
        <f t="shared" si="28"/>
        <v>4.8487499999999999</v>
      </c>
      <c r="CD33" s="234" cm="1">
        <f t="array" ref="CD33">$BM33 * IF($AH33&lt;=2,
SUMPRODUCT(INDEX($AV$61:$AX$65,,$AI33), INDEX($AY$61:$BE$65,,$AH33), 1 / ($BF$61:$BF$65*CC33 + (1-$BF$61:$BF$65)*BY33), N($AU$61:$AU$65&gt;$AM33)),
SUMPRODUCT(INDEX($AV$46:$AX$55,,$AI33), INDEX($AY$46:$BE$55,,$AH33), 1 / ($BG$46:$BG$55*CC33 + (1-$BG$46:$BG$55)*BY33), N($AU$46:$AU$55&gt;$AM33))
) / 1000</f>
        <v>0</v>
      </c>
      <c r="CE33" s="234" cm="1">
        <f t="array" ref="CE33">$BM33 * IF($AH33&lt;=2,
SUMPRODUCT(INDEX($AV$22:$AX$60,,$AI33), INDEX($AY$22:$BE$60,,$AH33), 1 / ($BF$22:$BF$60*CC33), N($AU$22:$AU$60&gt;$AM33)),
SUMPRODUCT(INDEX($AV$22:$AX$45,,$AI33), INDEX($AY$22:$BE$45,,$AH33), 1 / ($BG$22:$BG$45*CC33), N($AU$22:$AU$45&gt;$AM33))
) / 1000</f>
        <v>0</v>
      </c>
      <c r="CF33" s="229">
        <f t="shared" si="29"/>
        <v>0</v>
      </c>
      <c r="CG33" s="246"/>
      <c r="CH33" s="229">
        <f t="shared" si="30"/>
        <v>0</v>
      </c>
      <c r="CI33" s="228">
        <v>35</v>
      </c>
      <c r="CJ33" s="229">
        <f t="shared" si="31"/>
        <v>48</v>
      </c>
      <c r="CK33" s="234">
        <f t="shared" si="32"/>
        <v>3.0748170731707316</v>
      </c>
      <c r="CL33" s="234" cm="1">
        <f t="array" ref="CL33">$BM33 * SUMPRODUCT(INDEX($AV$76:$AX$81,,$AI33),INDEX($AY$76:$BE$81,,$AH33), N($AU$76:$AU$81&gt;$AM33)) / CK33 / 1000</f>
        <v>0</v>
      </c>
      <c r="CM33" s="231">
        <f t="shared" si="33"/>
        <v>30</v>
      </c>
      <c r="CN33" s="229">
        <f t="shared" si="34"/>
        <v>43</v>
      </c>
      <c r="CO33" s="234">
        <f t="shared" si="35"/>
        <v>3.5018750000000001</v>
      </c>
      <c r="CP33" s="234" cm="1">
        <f t="array" ref="CP33">$BM33 * IF($AH33&lt;=2,
SUMPRODUCT(INDEX($AV$71:$AX$75,,$AI33), INDEX($AY$71:$BE$75,,$AH33), 1 / ($BF$71:$BF$75*CO33 + (1-$BF$71:$BF$75)*CK33), N($AU$71:$AU$75&gt;$AM33)),
SUMPRODUCT(INDEX($AV$66:$AX$75,,$AI33), INDEX($AY$66:$BE$75,,$AH33), 1 / ($BG$66:$BG$75*CO33 + (1-$BG$66:$BG$75)*CK33), N($AU$66:$AU$75&gt;$AM33))
) / 1000</f>
        <v>0</v>
      </c>
      <c r="CQ33" s="231">
        <f t="shared" si="36"/>
        <v>25</v>
      </c>
      <c r="CR33" s="229">
        <f t="shared" si="37"/>
        <v>38</v>
      </c>
      <c r="CS33" s="234">
        <f t="shared" si="38"/>
        <v>4.0666935483870965</v>
      </c>
      <c r="CT33" s="234" cm="1">
        <f t="array" ref="CT33">$BM33 * IF($AH33&lt;=2,
SUMPRODUCT(INDEX($AV$66:$AX$70,,$AI33), INDEX($AY$66:$BE$70,,$AH33), 1 / ($BF$66:$BF$70*CS33 + (1-$BF$66:$BF$70)*CO33), N($AU$66:$AU$70&gt;$AM33)),
SUMPRODUCT(INDEX($AV$56:$AX$65,,$AI33), INDEX($AY$56:$BE$65,,$AH33), 1 / ($BG$56:$BG$65*CS33 + (1-$BG$56:$BG$65)*CO33), N($AU$56:$AU$65&gt;$AM33))
) / 1000</f>
        <v>0</v>
      </c>
      <c r="CU33" s="231">
        <f t="shared" si="39"/>
        <v>20</v>
      </c>
      <c r="CV33" s="229">
        <f t="shared" si="40"/>
        <v>33</v>
      </c>
      <c r="CW33" s="234">
        <f t="shared" si="41"/>
        <v>4.8487499999999999</v>
      </c>
      <c r="CX33" s="234" cm="1">
        <f t="array" ref="CX33">$BM33 * IF($AH33&lt;=2,
SUMPRODUCT(INDEX($AV$61:$AX$65,,$AI33), INDEX($AY$61:$BE$65,,$AH33), 1 / ($BF$61:$BF$65*CW33 + (1-$BF$61:$BF$65)*CS33), N($AU$61:$AU$65&gt;$AM33)),
SUMPRODUCT(INDEX($AV$46:$AX$55,,$AI33), INDEX($AY$46:$BE$55,,$AH33), 1 / ($BG$46:$BG$55*CW33 + (1-$BG$46:$BG$55)*CS33), N($AU$46:$AU$55&gt;$AM33))
) / 1000</f>
        <v>0</v>
      </c>
      <c r="CY33" s="234" cm="1">
        <f t="array" ref="CY33">$BM33 * IF($AH33&lt;=2,
SUMPRODUCT(INDEX($AV$22:$AX$60,,$AI33), INDEX($AY$22:$BE$60,,$AH33), 1 / ($BF$22:$BF$60*CW33), N($AU$22:$AU$60&gt;$AM33)),
SUMPRODUCT(INDEX($AV$22:$AX$45,,$AI33), INDEX($AY$22:$BE$45,,$AH33), 1 / ($BG$22:$BG$45*CW33), N($AU$22:$AU$45&gt;$AM33))
) / 1000</f>
        <v>0</v>
      </c>
      <c r="CZ33" s="229">
        <f t="shared" si="42"/>
        <v>0</v>
      </c>
      <c r="DA33" s="246"/>
    </row>
    <row r="34" spans="1:105" s="75" customFormat="1" ht="14.25" customHeight="1" x14ac:dyDescent="0.25">
      <c r="A34" s="230" t="b">
        <f t="shared" si="0"/>
        <v>0</v>
      </c>
      <c r="B34" s="253">
        <v>13</v>
      </c>
      <c r="C34" s="266"/>
      <c r="D34" s="266"/>
      <c r="E34" s="254"/>
      <c r="F34" s="255" t="str">
        <f>IF(ISBLANK(E34), "", VLOOKUP(E34, Z!$A$2:$C$4127, 3, FALSE))</f>
        <v/>
      </c>
      <c r="G34" s="256"/>
      <c r="H34" s="256"/>
      <c r="I34" s="256"/>
      <c r="J34" s="257"/>
      <c r="K34" s="258"/>
      <c r="L34" s="267"/>
      <c r="M34" s="268"/>
      <c r="N34" s="259" t="str" cm="1">
        <f t="array" ref="N34">IF($L34&gt;0, INDEX(Clean,1+AK34,$D$1), "")</f>
        <v/>
      </c>
      <c r="O34" s="260"/>
      <c r="P34" s="260"/>
      <c r="Q34" s="261"/>
      <c r="R34" s="264">
        <f t="shared" si="7"/>
        <v>0</v>
      </c>
      <c r="S34" s="259" t="str" cm="1">
        <f t="array" ref="S34">IF($L34&gt;0, INDEX(Clean,1+AL34,$D$1), "")</f>
        <v/>
      </c>
      <c r="T34" s="260"/>
      <c r="U34" s="260"/>
      <c r="V34" s="261"/>
      <c r="W34" s="267"/>
      <c r="X34" s="267"/>
      <c r="Y34" s="257"/>
      <c r="Z34" s="264">
        <f t="shared" si="8"/>
        <v>0</v>
      </c>
      <c r="AA34" s="269"/>
      <c r="AB34" s="266"/>
      <c r="AC34" s="254"/>
      <c r="AD34" s="255" t="str">
        <f>IF(ISBLANK(AC34), "", VLOOKUP(AC34, Z!$A$2:$C$4127, 3, FALSE))</f>
        <v/>
      </c>
      <c r="AE34" s="270"/>
      <c r="AF34" s="265">
        <f t="shared" si="9"/>
        <v>0</v>
      </c>
      <c r="AG34" s="246"/>
      <c r="AH34" s="228">
        <f t="shared" ref="AH34" si="83">IF(ISBLANK(I34), 1, IFERROR(MATCH(I34, INDEX(Use,,1), 0), IFERROR(MATCH(I34, INDEX(Use,,2), 0), MATCH(I34, INDEX(Use,,3), 0))))</f>
        <v>1</v>
      </c>
      <c r="AI34" s="228">
        <f t="shared" ref="AI34" si="84">IF(ISBLANK(H34), 1, IFERROR(MATCH(H34, INDEX(Loc,,1), 0), IFERROR(MATCH(H34, INDEX(Loc,,2), 0), MATCH(H34, INDEX(Loc,,3), 0))))</f>
        <v>1</v>
      </c>
      <c r="AJ34" s="228">
        <f t="shared" ref="AJ34" si="85">_xlfn.IFNA(IF(IFERROR(MATCH(J34, INDEX(Medium,,1), 0), IFERROR(MATCH(J34, INDEX(Medium,,2), 0), MATCH(J34, INDEX(Medium,,3), 0))) = 2, 1, 0), 0)</f>
        <v>0</v>
      </c>
      <c r="AK34" s="228">
        <v>0</v>
      </c>
      <c r="AL34" s="228">
        <v>0</v>
      </c>
      <c r="AM34" s="228">
        <f t="shared" si="4"/>
        <v>-100</v>
      </c>
      <c r="AN34" s="228" cm="1">
        <f t="array" ref="AN34">IF(ISBLANK(G34), 1, IFERROR(MATCH(G34, INDEX(Kat,,1), 0), IFERROR(MATCH(Kat, INDEX(Use,,2), 0), MATCH(Kat, INDEX(Use,,3), 0))))</f>
        <v>1</v>
      </c>
      <c r="AO34" s="246"/>
      <c r="AP34" s="228" cm="1">
        <f t="array" ref="AP34">IF(W34&gt;0, INDEX(Kat, AN34,4), 0)</f>
        <v>0</v>
      </c>
      <c r="AQ34" s="228">
        <f t="shared" ref="AQ34" si="86">IF(ISBLANK(Y34), 0, IFERROR(MATCH(Y34, INDEX(Month,,1), 0), IFERROR(MATCH(Y34, INDEX(Month,,2), 0), MATCH(Y34, INDEX(Month,,3), 0))))</f>
        <v>0</v>
      </c>
      <c r="AR34" s="228" cm="1">
        <f t="array" ref="AR34">IF(X34&gt;0, INDEX(Kat, $AN34, 4+AQ34), 0)</f>
        <v>0</v>
      </c>
      <c r="AS34" s="228" cm="1">
        <f t="array" ref="AS34">IF(X34&gt;0, INDEX(Kat, $AN34, 9+AQ34), 0)</f>
        <v>0</v>
      </c>
      <c r="AT34" s="246"/>
      <c r="AU34" s="228">
        <v>-7</v>
      </c>
      <c r="AV34" s="231">
        <v>0</v>
      </c>
      <c r="AW34" s="231">
        <v>3</v>
      </c>
      <c r="AX34" s="231">
        <v>68</v>
      </c>
      <c r="AY34" s="232">
        <f t="shared" si="6"/>
        <v>0</v>
      </c>
      <c r="AZ34" s="232">
        <f t="shared" si="6"/>
        <v>0</v>
      </c>
      <c r="BA34" s="232" t="e" cm="1">
        <f t="array" ref="BA34">MIN(INDEX(Use,BA$20,5) + MAX(0, (1-INDEX(Use,BA$20,5))*($AU34-5)/(35-5)), 1)</f>
        <v>#REF!</v>
      </c>
      <c r="BB34" s="232" t="e" cm="1">
        <f t="array" ref="BB34">MIN(INDEX(Use,BB$20,5) + MAX(0, (1-INDEX(Use,BB$20,5))*($AU34-5)/(35-5)), 1)</f>
        <v>#REF!</v>
      </c>
      <c r="BC34" s="232" t="e" cm="1">
        <f t="array" ref="BC34">MIN(INDEX(Use,BC$20,5) + MAX(0, (1-INDEX(Use,BC$20,5))*($AU34-5)/(35-5)), 1)</f>
        <v>#REF!</v>
      </c>
      <c r="BD34" s="232" t="e" cm="1">
        <f t="array" ref="BD34">MIN(INDEX(Use,BD$20,5) + MAX(0, (1-INDEX(Use,BD$20,5))*($AU34-5)/(35-5)), 1)</f>
        <v>#REF!</v>
      </c>
      <c r="BE34" s="232" t="e" cm="1">
        <f t="array" ref="BE34">MIN(INDEX(Use,BE$20,5) + MAX(0, (1-INDEX(Use,BE$20,5))*($AU34-5)/(35-5)), 1)</f>
        <v>#REF!</v>
      </c>
      <c r="BF34" s="232">
        <v>1</v>
      </c>
      <c r="BG34" s="232">
        <v>1</v>
      </c>
      <c r="BH34" s="210"/>
      <c r="BI34" s="228" cm="1">
        <f t="array" ref="BI34">INDEX(Use, $AH34, 4)</f>
        <v>7</v>
      </c>
      <c r="BJ34" s="228">
        <f t="shared" si="14"/>
        <v>32</v>
      </c>
      <c r="BK34" s="228">
        <f t="shared" si="15"/>
        <v>13</v>
      </c>
      <c r="BL34" s="228">
        <f t="shared" si="16"/>
        <v>0</v>
      </c>
      <c r="BM34" s="233" cm="1">
        <f t="array" ref="BM34">L34/IF($M34&gt;0, INDEX($AY$22:$BE$76, $M34+20, $AH34), 1)</f>
        <v>0</v>
      </c>
      <c r="BN34" s="229">
        <f t="shared" si="17"/>
        <v>0</v>
      </c>
      <c r="BO34" s="228">
        <v>35</v>
      </c>
      <c r="BP34" s="229">
        <f t="shared" si="18"/>
        <v>48</v>
      </c>
      <c r="BQ34" s="234">
        <f t="shared" si="19"/>
        <v>3.0748170731707316</v>
      </c>
      <c r="BR34" s="234" cm="1">
        <f t="array" ref="BR34">$BM34 * SUMPRODUCT(INDEX($AV$76:$AX$81,,$AI34),INDEX($AY$76:$BE$81,,$AH34), N($AU$76:$AU$81&gt;$AM34)) / BQ34 / 1000</f>
        <v>0</v>
      </c>
      <c r="BS34" s="231">
        <f t="shared" si="20"/>
        <v>30</v>
      </c>
      <c r="BT34" s="229">
        <f t="shared" si="21"/>
        <v>43</v>
      </c>
      <c r="BU34" s="234">
        <f t="shared" si="22"/>
        <v>3.5018750000000001</v>
      </c>
      <c r="BV34" s="234" cm="1">
        <f t="array" ref="BV34">$BM34 * IF($AH34&lt;=2,
SUMPRODUCT(INDEX($AV$71:$AX$75,,$AI34), INDEX($AY$71:$BE$75,,$AH34), 1 / ($BF$71:$BF$75*BU34 + (1-$BF$71:$BF$75)*BQ34), N($AU$71:$AU$75&gt;$AM34)),
SUMPRODUCT(INDEX($AV$66:$AX$75,,$AI34), INDEX($AY$66:$BE$75,,$AH34), 1 / ($BG$66:$BG$75*BU34 + (1-$BG$66:$BG$75)*BQ34), N($AU$66:$AU$75&gt;$AM34))
) / 1000</f>
        <v>0</v>
      </c>
      <c r="BW34" s="231">
        <f t="shared" si="23"/>
        <v>25</v>
      </c>
      <c r="BX34" s="229">
        <f t="shared" si="24"/>
        <v>38</v>
      </c>
      <c r="BY34" s="234">
        <f t="shared" si="25"/>
        <v>4.0666935483870965</v>
      </c>
      <c r="BZ34" s="234" cm="1">
        <f t="array" ref="BZ34">$BM34 * IF($AH34&lt;=2,
SUMPRODUCT(INDEX($AV$66:$AX$70,,$AI34), INDEX($AY$66:$BE$70,,$AH34), 1 / ($BF$66:$BF$70*BY34 + (1-$BF$66:$BF$70)*BU34), N($AU$66:$AU$70&gt;$AM34)),
SUMPRODUCT(INDEX($AV$56:$AX$65,,$AI34), INDEX($AY$56:$BE$65,,$AH34), 1 / ($BG$56:$BG$65*BY34 + (1-$BG$56:$BG$65)*BU34), N($AU$56:$AU$65&gt;$AM34))
) / 1000</f>
        <v>0</v>
      </c>
      <c r="CA34" s="231">
        <f t="shared" si="26"/>
        <v>20</v>
      </c>
      <c r="CB34" s="229">
        <f t="shared" si="27"/>
        <v>33</v>
      </c>
      <c r="CC34" s="234">
        <f t="shared" si="28"/>
        <v>4.8487499999999999</v>
      </c>
      <c r="CD34" s="234" cm="1">
        <f t="array" ref="CD34">$BM34 * IF($AH34&lt;=2,
SUMPRODUCT(INDEX($AV$61:$AX$65,,$AI34), INDEX($AY$61:$BE$65,,$AH34), 1 / ($BF$61:$BF$65*CC34 + (1-$BF$61:$BF$65)*BY34), N($AU$61:$AU$65&gt;$AM34)),
SUMPRODUCT(INDEX($AV$46:$AX$55,,$AI34), INDEX($AY$46:$BE$55,,$AH34), 1 / ($BG$46:$BG$55*CC34 + (1-$BG$46:$BG$55)*BY34), N($AU$46:$AU$55&gt;$AM34))
) / 1000</f>
        <v>0</v>
      </c>
      <c r="CE34" s="234" cm="1">
        <f t="array" ref="CE34">$BM34 * IF($AH34&lt;=2,
SUMPRODUCT(INDEX($AV$22:$AX$60,,$AI34), INDEX($AY$22:$BE$60,,$AH34), 1 / ($BF$22:$BF$60*CC34), N($AU$22:$AU$60&gt;$AM34)),
SUMPRODUCT(INDEX($AV$22:$AX$45,,$AI34), INDEX($AY$22:$BE$45,,$AH34), 1 / ($BG$22:$BG$45*CC34), N($AU$22:$AU$45&gt;$AM34))
) / 1000</f>
        <v>0</v>
      </c>
      <c r="CF34" s="229">
        <f t="shared" si="29"/>
        <v>0</v>
      </c>
      <c r="CG34" s="246"/>
      <c r="CH34" s="229">
        <f t="shared" si="30"/>
        <v>0</v>
      </c>
      <c r="CI34" s="228">
        <v>35</v>
      </c>
      <c r="CJ34" s="229">
        <f t="shared" si="31"/>
        <v>48</v>
      </c>
      <c r="CK34" s="234">
        <f t="shared" si="32"/>
        <v>3.0748170731707316</v>
      </c>
      <c r="CL34" s="234" cm="1">
        <f t="array" ref="CL34">$BM34 * SUMPRODUCT(INDEX($AV$76:$AX$81,,$AI34),INDEX($AY$76:$BE$81,,$AH34), N($AU$76:$AU$81&gt;$AM34)) / CK34 / 1000</f>
        <v>0</v>
      </c>
      <c r="CM34" s="231">
        <f t="shared" si="33"/>
        <v>30</v>
      </c>
      <c r="CN34" s="229">
        <f t="shared" si="34"/>
        <v>43</v>
      </c>
      <c r="CO34" s="234">
        <f t="shared" si="35"/>
        <v>3.5018750000000001</v>
      </c>
      <c r="CP34" s="234" cm="1">
        <f t="array" ref="CP34">$BM34 * IF($AH34&lt;=2,
SUMPRODUCT(INDEX($AV$71:$AX$75,,$AI34), INDEX($AY$71:$BE$75,,$AH34), 1 / ($BF$71:$BF$75*CO34 + (1-$BF$71:$BF$75)*CK34), N($AU$71:$AU$75&gt;$AM34)),
SUMPRODUCT(INDEX($AV$66:$AX$75,,$AI34), INDEX($AY$66:$BE$75,,$AH34), 1 / ($BG$66:$BG$75*CO34 + (1-$BG$66:$BG$75)*CK34), N($AU$66:$AU$75&gt;$AM34))
) / 1000</f>
        <v>0</v>
      </c>
      <c r="CQ34" s="231">
        <f t="shared" si="36"/>
        <v>25</v>
      </c>
      <c r="CR34" s="229">
        <f t="shared" si="37"/>
        <v>38</v>
      </c>
      <c r="CS34" s="234">
        <f t="shared" si="38"/>
        <v>4.0666935483870965</v>
      </c>
      <c r="CT34" s="234" cm="1">
        <f t="array" ref="CT34">$BM34 * IF($AH34&lt;=2,
SUMPRODUCT(INDEX($AV$66:$AX$70,,$AI34), INDEX($AY$66:$BE$70,,$AH34), 1 / ($BF$66:$BF$70*CS34 + (1-$BF$66:$BF$70)*CO34), N($AU$66:$AU$70&gt;$AM34)),
SUMPRODUCT(INDEX($AV$56:$AX$65,,$AI34), INDEX($AY$56:$BE$65,,$AH34), 1 / ($BG$56:$BG$65*CS34 + (1-$BG$56:$BG$65)*CO34), N($AU$56:$AU$65&gt;$AM34))
) / 1000</f>
        <v>0</v>
      </c>
      <c r="CU34" s="231">
        <f t="shared" si="39"/>
        <v>20</v>
      </c>
      <c r="CV34" s="229">
        <f t="shared" si="40"/>
        <v>33</v>
      </c>
      <c r="CW34" s="234">
        <f t="shared" si="41"/>
        <v>4.8487499999999999</v>
      </c>
      <c r="CX34" s="234" cm="1">
        <f t="array" ref="CX34">$BM34 * IF($AH34&lt;=2,
SUMPRODUCT(INDEX($AV$61:$AX$65,,$AI34), INDEX($AY$61:$BE$65,,$AH34), 1 / ($BF$61:$BF$65*CW34 + (1-$BF$61:$BF$65)*CS34), N($AU$61:$AU$65&gt;$AM34)),
SUMPRODUCT(INDEX($AV$46:$AX$55,,$AI34), INDEX($AY$46:$BE$55,,$AH34), 1 / ($BG$46:$BG$55*CW34 + (1-$BG$46:$BG$55)*CS34), N($AU$46:$AU$55&gt;$AM34))
) / 1000</f>
        <v>0</v>
      </c>
      <c r="CY34" s="234" cm="1">
        <f t="array" ref="CY34">$BM34 * IF($AH34&lt;=2,
SUMPRODUCT(INDEX($AV$22:$AX$60,,$AI34), INDEX($AY$22:$BE$60,,$AH34), 1 / ($BF$22:$BF$60*CW34), N($AU$22:$AU$60&gt;$AM34)),
SUMPRODUCT(INDEX($AV$22:$AX$45,,$AI34), INDEX($AY$22:$BE$45,,$AH34), 1 / ($BG$22:$BG$45*CW34), N($AU$22:$AU$45&gt;$AM34))
) / 1000</f>
        <v>0</v>
      </c>
      <c r="CZ34" s="229">
        <f t="shared" si="42"/>
        <v>0</v>
      </c>
      <c r="DA34" s="246"/>
    </row>
    <row r="35" spans="1:105" s="75" customFormat="1" ht="14.25" customHeight="1" x14ac:dyDescent="0.25">
      <c r="A35" s="230" t="b">
        <f t="shared" si="0"/>
        <v>0</v>
      </c>
      <c r="B35" s="253">
        <v>14</v>
      </c>
      <c r="C35" s="266"/>
      <c r="D35" s="266"/>
      <c r="E35" s="254"/>
      <c r="F35" s="255" t="str">
        <f>IF(ISBLANK(E35), "", VLOOKUP(E35, Z!$A$2:$C$4127, 3, FALSE))</f>
        <v/>
      </c>
      <c r="G35" s="256"/>
      <c r="H35" s="256"/>
      <c r="I35" s="256"/>
      <c r="J35" s="257"/>
      <c r="K35" s="258"/>
      <c r="L35" s="267"/>
      <c r="M35" s="268"/>
      <c r="N35" s="259" t="str" cm="1">
        <f t="array" ref="N35">IF($L35&gt;0, INDEX(Clean,1+AK35,$D$1), "")</f>
        <v/>
      </c>
      <c r="O35" s="260"/>
      <c r="P35" s="260"/>
      <c r="Q35" s="261"/>
      <c r="R35" s="264">
        <f t="shared" si="7"/>
        <v>0</v>
      </c>
      <c r="S35" s="259" t="str" cm="1">
        <f t="array" ref="S35">IF($L35&gt;0, INDEX(Clean,1+AL35,$D$1), "")</f>
        <v/>
      </c>
      <c r="T35" s="260"/>
      <c r="U35" s="260"/>
      <c r="V35" s="261"/>
      <c r="W35" s="267"/>
      <c r="X35" s="267"/>
      <c r="Y35" s="257"/>
      <c r="Z35" s="264">
        <f t="shared" si="8"/>
        <v>0</v>
      </c>
      <c r="AA35" s="269"/>
      <c r="AB35" s="266"/>
      <c r="AC35" s="254"/>
      <c r="AD35" s="255" t="str">
        <f>IF(ISBLANK(AC35), "", VLOOKUP(AC35, Z!$A$2:$C$4127, 3, FALSE))</f>
        <v/>
      </c>
      <c r="AE35" s="270"/>
      <c r="AF35" s="265">
        <f t="shared" si="9"/>
        <v>0</v>
      </c>
      <c r="AG35" s="246"/>
      <c r="AH35" s="228">
        <f t="shared" ref="AH35" si="87">IF(ISBLANK(I35), 1, IFERROR(MATCH(I35, INDEX(Use,,1), 0), IFERROR(MATCH(I35, INDEX(Use,,2), 0), MATCH(I35, INDEX(Use,,3), 0))))</f>
        <v>1</v>
      </c>
      <c r="AI35" s="228">
        <f t="shared" ref="AI35" si="88">IF(ISBLANK(H35), 1, IFERROR(MATCH(H35, INDEX(Loc,,1), 0), IFERROR(MATCH(H35, INDEX(Loc,,2), 0), MATCH(H35, INDEX(Loc,,3), 0))))</f>
        <v>1</v>
      </c>
      <c r="AJ35" s="228">
        <f t="shared" ref="AJ35" si="89">_xlfn.IFNA(IF(IFERROR(MATCH(J35, INDEX(Medium,,1), 0), IFERROR(MATCH(J35, INDEX(Medium,,2), 0), MATCH(J35, INDEX(Medium,,3), 0))) = 2, 1, 0), 0)</f>
        <v>0</v>
      </c>
      <c r="AK35" s="228">
        <v>0</v>
      </c>
      <c r="AL35" s="228">
        <v>0</v>
      </c>
      <c r="AM35" s="228">
        <f t="shared" si="4"/>
        <v>-100</v>
      </c>
      <c r="AN35" s="228" cm="1">
        <f t="array" ref="AN35">IF(ISBLANK(G35), 1, IFERROR(MATCH(G35, INDEX(Kat,,1), 0), IFERROR(MATCH(Kat, INDEX(Use,,2), 0), MATCH(Kat, INDEX(Use,,3), 0))))</f>
        <v>1</v>
      </c>
      <c r="AO35" s="246"/>
      <c r="AP35" s="228" cm="1">
        <f t="array" ref="AP35">IF(W35&gt;0, INDEX(Kat, AN35,4), 0)</f>
        <v>0</v>
      </c>
      <c r="AQ35" s="228">
        <f t="shared" ref="AQ35" si="90">IF(ISBLANK(Y35), 0, IFERROR(MATCH(Y35, INDEX(Month,,1), 0), IFERROR(MATCH(Y35, INDEX(Month,,2), 0), MATCH(Y35, INDEX(Month,,3), 0))))</f>
        <v>0</v>
      </c>
      <c r="AR35" s="228" cm="1">
        <f t="array" ref="AR35">IF(X35&gt;0, INDEX(Kat, $AN35, 4+AQ35), 0)</f>
        <v>0</v>
      </c>
      <c r="AS35" s="228" cm="1">
        <f t="array" ref="AS35">IF(X35&gt;0, INDEX(Kat, $AN35, 9+AQ35), 0)</f>
        <v>0</v>
      </c>
      <c r="AT35" s="246"/>
      <c r="AU35" s="228">
        <v>-6</v>
      </c>
      <c r="AV35" s="231">
        <v>0</v>
      </c>
      <c r="AW35" s="231">
        <v>13</v>
      </c>
      <c r="AX35" s="231">
        <v>45</v>
      </c>
      <c r="AY35" s="232">
        <f t="shared" si="6"/>
        <v>0</v>
      </c>
      <c r="AZ35" s="232">
        <f t="shared" si="6"/>
        <v>0</v>
      </c>
      <c r="BA35" s="232" t="e" cm="1">
        <f t="array" ref="BA35">MIN(INDEX(Use,BA$20,5) + MAX(0, (1-INDEX(Use,BA$20,5))*($AU35-5)/(35-5)), 1)</f>
        <v>#REF!</v>
      </c>
      <c r="BB35" s="232" t="e" cm="1">
        <f t="array" ref="BB35">MIN(INDEX(Use,BB$20,5) + MAX(0, (1-INDEX(Use,BB$20,5))*($AU35-5)/(35-5)), 1)</f>
        <v>#REF!</v>
      </c>
      <c r="BC35" s="232" t="e" cm="1">
        <f t="array" ref="BC35">MIN(INDEX(Use,BC$20,5) + MAX(0, (1-INDEX(Use,BC$20,5))*($AU35-5)/(35-5)), 1)</f>
        <v>#REF!</v>
      </c>
      <c r="BD35" s="232" t="e" cm="1">
        <f t="array" ref="BD35">MIN(INDEX(Use,BD$20,5) + MAX(0, (1-INDEX(Use,BD$20,5))*($AU35-5)/(35-5)), 1)</f>
        <v>#REF!</v>
      </c>
      <c r="BE35" s="232" t="e" cm="1">
        <f t="array" ref="BE35">MIN(INDEX(Use,BE$20,5) + MAX(0, (1-INDEX(Use,BE$20,5))*($AU35-5)/(35-5)), 1)</f>
        <v>#REF!</v>
      </c>
      <c r="BF35" s="232">
        <v>1</v>
      </c>
      <c r="BG35" s="232">
        <v>1</v>
      </c>
      <c r="BH35" s="210"/>
      <c r="BI35" s="228" cm="1">
        <f t="array" ref="BI35">INDEX(Use, $AH35, 4)</f>
        <v>7</v>
      </c>
      <c r="BJ35" s="228">
        <f t="shared" si="14"/>
        <v>32</v>
      </c>
      <c r="BK35" s="228">
        <f t="shared" si="15"/>
        <v>13</v>
      </c>
      <c r="BL35" s="228">
        <f t="shared" si="16"/>
        <v>0</v>
      </c>
      <c r="BM35" s="233" cm="1">
        <f t="array" ref="BM35">L35/IF($M35&gt;0, INDEX($AY$22:$BE$76, $M35+20, $AH35), 1)</f>
        <v>0</v>
      </c>
      <c r="BN35" s="229">
        <f t="shared" si="17"/>
        <v>0</v>
      </c>
      <c r="BO35" s="228">
        <v>35</v>
      </c>
      <c r="BP35" s="229">
        <f t="shared" si="18"/>
        <v>48</v>
      </c>
      <c r="BQ35" s="234">
        <f t="shared" si="19"/>
        <v>3.0748170731707316</v>
      </c>
      <c r="BR35" s="234" cm="1">
        <f t="array" ref="BR35">$BM35 * SUMPRODUCT(INDEX($AV$76:$AX$81,,$AI35),INDEX($AY$76:$BE$81,,$AH35), N($AU$76:$AU$81&gt;$AM35)) / BQ35 / 1000</f>
        <v>0</v>
      </c>
      <c r="BS35" s="231">
        <f t="shared" si="20"/>
        <v>30</v>
      </c>
      <c r="BT35" s="229">
        <f t="shared" si="21"/>
        <v>43</v>
      </c>
      <c r="BU35" s="234">
        <f t="shared" si="22"/>
        <v>3.5018750000000001</v>
      </c>
      <c r="BV35" s="234" cm="1">
        <f t="array" ref="BV35">$BM35 * IF($AH35&lt;=2,
SUMPRODUCT(INDEX($AV$71:$AX$75,,$AI35), INDEX($AY$71:$BE$75,,$AH35), 1 / ($BF$71:$BF$75*BU35 + (1-$BF$71:$BF$75)*BQ35), N($AU$71:$AU$75&gt;$AM35)),
SUMPRODUCT(INDEX($AV$66:$AX$75,,$AI35), INDEX($AY$66:$BE$75,,$AH35), 1 / ($BG$66:$BG$75*BU35 + (1-$BG$66:$BG$75)*BQ35), N($AU$66:$AU$75&gt;$AM35))
) / 1000</f>
        <v>0</v>
      </c>
      <c r="BW35" s="231">
        <f t="shared" si="23"/>
        <v>25</v>
      </c>
      <c r="BX35" s="229">
        <f t="shared" si="24"/>
        <v>38</v>
      </c>
      <c r="BY35" s="234">
        <f t="shared" si="25"/>
        <v>4.0666935483870965</v>
      </c>
      <c r="BZ35" s="234" cm="1">
        <f t="array" ref="BZ35">$BM35 * IF($AH35&lt;=2,
SUMPRODUCT(INDEX($AV$66:$AX$70,,$AI35), INDEX($AY$66:$BE$70,,$AH35), 1 / ($BF$66:$BF$70*BY35 + (1-$BF$66:$BF$70)*BU35), N($AU$66:$AU$70&gt;$AM35)),
SUMPRODUCT(INDEX($AV$56:$AX$65,,$AI35), INDEX($AY$56:$BE$65,,$AH35), 1 / ($BG$56:$BG$65*BY35 + (1-$BG$56:$BG$65)*BU35), N($AU$56:$AU$65&gt;$AM35))
) / 1000</f>
        <v>0</v>
      </c>
      <c r="CA35" s="231">
        <f t="shared" si="26"/>
        <v>20</v>
      </c>
      <c r="CB35" s="229">
        <f t="shared" si="27"/>
        <v>33</v>
      </c>
      <c r="CC35" s="234">
        <f t="shared" si="28"/>
        <v>4.8487499999999999</v>
      </c>
      <c r="CD35" s="234" cm="1">
        <f t="array" ref="CD35">$BM35 * IF($AH35&lt;=2,
SUMPRODUCT(INDEX($AV$61:$AX$65,,$AI35), INDEX($AY$61:$BE$65,,$AH35), 1 / ($BF$61:$BF$65*CC35 + (1-$BF$61:$BF$65)*BY35), N($AU$61:$AU$65&gt;$AM35)),
SUMPRODUCT(INDEX($AV$46:$AX$55,,$AI35), INDEX($AY$46:$BE$55,,$AH35), 1 / ($BG$46:$BG$55*CC35 + (1-$BG$46:$BG$55)*BY35), N($AU$46:$AU$55&gt;$AM35))
) / 1000</f>
        <v>0</v>
      </c>
      <c r="CE35" s="234" cm="1">
        <f t="array" ref="CE35">$BM35 * IF($AH35&lt;=2,
SUMPRODUCT(INDEX($AV$22:$AX$60,,$AI35), INDEX($AY$22:$BE$60,,$AH35), 1 / ($BF$22:$BF$60*CC35), N($AU$22:$AU$60&gt;$AM35)),
SUMPRODUCT(INDEX($AV$22:$AX$45,,$AI35), INDEX($AY$22:$BE$45,,$AH35), 1 / ($BG$22:$BG$45*CC35), N($AU$22:$AU$45&gt;$AM35))
) / 1000</f>
        <v>0</v>
      </c>
      <c r="CF35" s="229">
        <f t="shared" si="29"/>
        <v>0</v>
      </c>
      <c r="CG35" s="246"/>
      <c r="CH35" s="229">
        <f t="shared" si="30"/>
        <v>0</v>
      </c>
      <c r="CI35" s="228">
        <v>35</v>
      </c>
      <c r="CJ35" s="229">
        <f t="shared" si="31"/>
        <v>48</v>
      </c>
      <c r="CK35" s="234">
        <f t="shared" si="32"/>
        <v>3.0748170731707316</v>
      </c>
      <c r="CL35" s="234" cm="1">
        <f t="array" ref="CL35">$BM35 * SUMPRODUCT(INDEX($AV$76:$AX$81,,$AI35),INDEX($AY$76:$BE$81,,$AH35), N($AU$76:$AU$81&gt;$AM35)) / CK35 / 1000</f>
        <v>0</v>
      </c>
      <c r="CM35" s="231">
        <f t="shared" si="33"/>
        <v>30</v>
      </c>
      <c r="CN35" s="229">
        <f t="shared" si="34"/>
        <v>43</v>
      </c>
      <c r="CO35" s="234">
        <f t="shared" si="35"/>
        <v>3.5018750000000001</v>
      </c>
      <c r="CP35" s="234" cm="1">
        <f t="array" ref="CP35">$BM35 * IF($AH35&lt;=2,
SUMPRODUCT(INDEX($AV$71:$AX$75,,$AI35), INDEX($AY$71:$BE$75,,$AH35), 1 / ($BF$71:$BF$75*CO35 + (1-$BF$71:$BF$75)*CK35), N($AU$71:$AU$75&gt;$AM35)),
SUMPRODUCT(INDEX($AV$66:$AX$75,,$AI35), INDEX($AY$66:$BE$75,,$AH35), 1 / ($BG$66:$BG$75*CO35 + (1-$BG$66:$BG$75)*CK35), N($AU$66:$AU$75&gt;$AM35))
) / 1000</f>
        <v>0</v>
      </c>
      <c r="CQ35" s="231">
        <f t="shared" si="36"/>
        <v>25</v>
      </c>
      <c r="CR35" s="229">
        <f t="shared" si="37"/>
        <v>38</v>
      </c>
      <c r="CS35" s="234">
        <f t="shared" si="38"/>
        <v>4.0666935483870965</v>
      </c>
      <c r="CT35" s="234" cm="1">
        <f t="array" ref="CT35">$BM35 * IF($AH35&lt;=2,
SUMPRODUCT(INDEX($AV$66:$AX$70,,$AI35), INDEX($AY$66:$BE$70,,$AH35), 1 / ($BF$66:$BF$70*CS35 + (1-$BF$66:$BF$70)*CO35), N($AU$66:$AU$70&gt;$AM35)),
SUMPRODUCT(INDEX($AV$56:$AX$65,,$AI35), INDEX($AY$56:$BE$65,,$AH35), 1 / ($BG$56:$BG$65*CS35 + (1-$BG$56:$BG$65)*CO35), N($AU$56:$AU$65&gt;$AM35))
) / 1000</f>
        <v>0</v>
      </c>
      <c r="CU35" s="231">
        <f t="shared" si="39"/>
        <v>20</v>
      </c>
      <c r="CV35" s="229">
        <f t="shared" si="40"/>
        <v>33</v>
      </c>
      <c r="CW35" s="234">
        <f t="shared" si="41"/>
        <v>4.8487499999999999</v>
      </c>
      <c r="CX35" s="234" cm="1">
        <f t="array" ref="CX35">$BM35 * IF($AH35&lt;=2,
SUMPRODUCT(INDEX($AV$61:$AX$65,,$AI35), INDEX($AY$61:$BE$65,,$AH35), 1 / ($BF$61:$BF$65*CW35 + (1-$BF$61:$BF$65)*CS35), N($AU$61:$AU$65&gt;$AM35)),
SUMPRODUCT(INDEX($AV$46:$AX$55,,$AI35), INDEX($AY$46:$BE$55,,$AH35), 1 / ($BG$46:$BG$55*CW35 + (1-$BG$46:$BG$55)*CS35), N($AU$46:$AU$55&gt;$AM35))
) / 1000</f>
        <v>0</v>
      </c>
      <c r="CY35" s="234" cm="1">
        <f t="array" ref="CY35">$BM35 * IF($AH35&lt;=2,
SUMPRODUCT(INDEX($AV$22:$AX$60,,$AI35), INDEX($AY$22:$BE$60,,$AH35), 1 / ($BF$22:$BF$60*CW35), N($AU$22:$AU$60&gt;$AM35)),
SUMPRODUCT(INDEX($AV$22:$AX$45,,$AI35), INDEX($AY$22:$BE$45,,$AH35), 1 / ($BG$22:$BG$45*CW35), N($AU$22:$AU$45&gt;$AM35))
) / 1000</f>
        <v>0</v>
      </c>
      <c r="CZ35" s="229">
        <f t="shared" si="42"/>
        <v>0</v>
      </c>
      <c r="DA35" s="246"/>
    </row>
    <row r="36" spans="1:105" s="75" customFormat="1" ht="14.25" customHeight="1" x14ac:dyDescent="0.25">
      <c r="A36" s="230" t="b">
        <f t="shared" si="0"/>
        <v>0</v>
      </c>
      <c r="B36" s="253">
        <v>15</v>
      </c>
      <c r="C36" s="266"/>
      <c r="D36" s="266"/>
      <c r="E36" s="254"/>
      <c r="F36" s="255" t="str">
        <f>IF(ISBLANK(E36), "", VLOOKUP(E36, Z!$A$2:$C$4127, 3, FALSE))</f>
        <v/>
      </c>
      <c r="G36" s="256"/>
      <c r="H36" s="256"/>
      <c r="I36" s="256"/>
      <c r="J36" s="257"/>
      <c r="K36" s="258"/>
      <c r="L36" s="267"/>
      <c r="M36" s="268"/>
      <c r="N36" s="259" t="str" cm="1">
        <f t="array" ref="N36">IF($L36&gt;0, INDEX(Clean,1+AK36,$D$1), "")</f>
        <v/>
      </c>
      <c r="O36" s="260"/>
      <c r="P36" s="260"/>
      <c r="Q36" s="261"/>
      <c r="R36" s="264">
        <f t="shared" si="7"/>
        <v>0</v>
      </c>
      <c r="S36" s="259" t="str" cm="1">
        <f t="array" ref="S36">IF($L36&gt;0, INDEX(Clean,1+AL36,$D$1), "")</f>
        <v/>
      </c>
      <c r="T36" s="260"/>
      <c r="U36" s="260"/>
      <c r="V36" s="261"/>
      <c r="W36" s="267"/>
      <c r="X36" s="267"/>
      <c r="Y36" s="257"/>
      <c r="Z36" s="264">
        <f t="shared" si="8"/>
        <v>0</v>
      </c>
      <c r="AA36" s="269"/>
      <c r="AB36" s="266"/>
      <c r="AC36" s="254"/>
      <c r="AD36" s="255" t="str">
        <f>IF(ISBLANK(AC36), "", VLOOKUP(AC36, Z!$A$2:$C$4127, 3, FALSE))</f>
        <v/>
      </c>
      <c r="AE36" s="270"/>
      <c r="AF36" s="265">
        <f t="shared" si="9"/>
        <v>0</v>
      </c>
      <c r="AG36" s="246"/>
      <c r="AH36" s="228">
        <f t="shared" ref="AH36" si="91">IF(ISBLANK(I36), 1, IFERROR(MATCH(I36, INDEX(Use,,1), 0), IFERROR(MATCH(I36, INDEX(Use,,2), 0), MATCH(I36, INDEX(Use,,3), 0))))</f>
        <v>1</v>
      </c>
      <c r="AI36" s="228">
        <f t="shared" ref="AI36" si="92">IF(ISBLANK(H36), 1, IFERROR(MATCH(H36, INDEX(Loc,,1), 0), IFERROR(MATCH(H36, INDEX(Loc,,2), 0), MATCH(H36, INDEX(Loc,,3), 0))))</f>
        <v>1</v>
      </c>
      <c r="AJ36" s="228">
        <f t="shared" ref="AJ36" si="93">_xlfn.IFNA(IF(IFERROR(MATCH(J36, INDEX(Medium,,1), 0), IFERROR(MATCH(J36, INDEX(Medium,,2), 0), MATCH(J36, INDEX(Medium,,3), 0))) = 2, 1, 0), 0)</f>
        <v>0</v>
      </c>
      <c r="AK36" s="228">
        <v>0</v>
      </c>
      <c r="AL36" s="228">
        <v>0</v>
      </c>
      <c r="AM36" s="228">
        <f t="shared" si="4"/>
        <v>-100</v>
      </c>
      <c r="AN36" s="228" cm="1">
        <f t="array" ref="AN36">IF(ISBLANK(G36), 1, IFERROR(MATCH(G36, INDEX(Kat,,1), 0), IFERROR(MATCH(Kat, INDEX(Use,,2), 0), MATCH(Kat, INDEX(Use,,3), 0))))</f>
        <v>1</v>
      </c>
      <c r="AO36" s="246"/>
      <c r="AP36" s="228" cm="1">
        <f t="array" ref="AP36">IF(W36&gt;0, INDEX(Kat, AN36,4), 0)</f>
        <v>0</v>
      </c>
      <c r="AQ36" s="228">
        <f t="shared" ref="AQ36" si="94">IF(ISBLANK(Y36), 0, IFERROR(MATCH(Y36, INDEX(Month,,1), 0), IFERROR(MATCH(Y36, INDEX(Month,,2), 0), MATCH(Y36, INDEX(Month,,3), 0))))</f>
        <v>0</v>
      </c>
      <c r="AR36" s="228" cm="1">
        <f t="array" ref="AR36">IF(X36&gt;0, INDEX(Kat, $AN36, 4+AQ36), 0)</f>
        <v>0</v>
      </c>
      <c r="AS36" s="228" cm="1">
        <f t="array" ref="AS36">IF(X36&gt;0, INDEX(Kat, $AN36, 9+AQ36), 0)</f>
        <v>0</v>
      </c>
      <c r="AT36" s="246"/>
      <c r="AU36" s="228">
        <v>-5</v>
      </c>
      <c r="AV36" s="231">
        <v>0</v>
      </c>
      <c r="AW36" s="231">
        <v>49</v>
      </c>
      <c r="AX36" s="231">
        <v>57</v>
      </c>
      <c r="AY36" s="232">
        <f t="shared" si="6"/>
        <v>0</v>
      </c>
      <c r="AZ36" s="232">
        <f t="shared" si="6"/>
        <v>0</v>
      </c>
      <c r="BA36" s="232" t="e" cm="1">
        <f t="array" ref="BA36">MIN(INDEX(Use,BA$20,5) + MAX(0, (1-INDEX(Use,BA$20,5))*($AU36-5)/(35-5)), 1)</f>
        <v>#REF!</v>
      </c>
      <c r="BB36" s="232" t="e" cm="1">
        <f t="array" ref="BB36">MIN(INDEX(Use,BB$20,5) + MAX(0, (1-INDEX(Use,BB$20,5))*($AU36-5)/(35-5)), 1)</f>
        <v>#REF!</v>
      </c>
      <c r="BC36" s="232" t="e" cm="1">
        <f t="array" ref="BC36">MIN(INDEX(Use,BC$20,5) + MAX(0, (1-INDEX(Use,BC$20,5))*($AU36-5)/(35-5)), 1)</f>
        <v>#REF!</v>
      </c>
      <c r="BD36" s="232" t="e" cm="1">
        <f t="array" ref="BD36">MIN(INDEX(Use,BD$20,5) + MAX(0, (1-INDEX(Use,BD$20,5))*($AU36-5)/(35-5)), 1)</f>
        <v>#REF!</v>
      </c>
      <c r="BE36" s="232" t="e" cm="1">
        <f t="array" ref="BE36">MIN(INDEX(Use,BE$20,5) + MAX(0, (1-INDEX(Use,BE$20,5))*($AU36-5)/(35-5)), 1)</f>
        <v>#REF!</v>
      </c>
      <c r="BF36" s="232">
        <v>1</v>
      </c>
      <c r="BG36" s="232">
        <v>1</v>
      </c>
      <c r="BH36" s="210"/>
      <c r="BI36" s="228" cm="1">
        <f t="array" ref="BI36">INDEX(Use, $AH36, 4)</f>
        <v>7</v>
      </c>
      <c r="BJ36" s="228">
        <f t="shared" si="14"/>
        <v>32</v>
      </c>
      <c r="BK36" s="228">
        <f t="shared" si="15"/>
        <v>13</v>
      </c>
      <c r="BL36" s="228">
        <f t="shared" si="16"/>
        <v>0</v>
      </c>
      <c r="BM36" s="233" cm="1">
        <f t="array" ref="BM36">L36/IF($M36&gt;0, INDEX($AY$22:$BE$76, $M36+20, $AH36), 1)</f>
        <v>0</v>
      </c>
      <c r="BN36" s="229">
        <f t="shared" si="17"/>
        <v>0</v>
      </c>
      <c r="BO36" s="228">
        <v>35</v>
      </c>
      <c r="BP36" s="229">
        <f t="shared" si="18"/>
        <v>48</v>
      </c>
      <c r="BQ36" s="234">
        <f t="shared" si="19"/>
        <v>3.0748170731707316</v>
      </c>
      <c r="BR36" s="234" cm="1">
        <f t="array" ref="BR36">$BM36 * SUMPRODUCT(INDEX($AV$76:$AX$81,,$AI36),INDEX($AY$76:$BE$81,,$AH36), N($AU$76:$AU$81&gt;$AM36)) / BQ36 / 1000</f>
        <v>0</v>
      </c>
      <c r="BS36" s="231">
        <f t="shared" si="20"/>
        <v>30</v>
      </c>
      <c r="BT36" s="229">
        <f t="shared" si="21"/>
        <v>43</v>
      </c>
      <c r="BU36" s="234">
        <f t="shared" si="22"/>
        <v>3.5018750000000001</v>
      </c>
      <c r="BV36" s="234" cm="1">
        <f t="array" ref="BV36">$BM36 * IF($AH36&lt;=2,
SUMPRODUCT(INDEX($AV$71:$AX$75,,$AI36), INDEX($AY$71:$BE$75,,$AH36), 1 / ($BF$71:$BF$75*BU36 + (1-$BF$71:$BF$75)*BQ36), N($AU$71:$AU$75&gt;$AM36)),
SUMPRODUCT(INDEX($AV$66:$AX$75,,$AI36), INDEX($AY$66:$BE$75,,$AH36), 1 / ($BG$66:$BG$75*BU36 + (1-$BG$66:$BG$75)*BQ36), N($AU$66:$AU$75&gt;$AM36))
) / 1000</f>
        <v>0</v>
      </c>
      <c r="BW36" s="231">
        <f t="shared" si="23"/>
        <v>25</v>
      </c>
      <c r="BX36" s="229">
        <f t="shared" si="24"/>
        <v>38</v>
      </c>
      <c r="BY36" s="234">
        <f t="shared" si="25"/>
        <v>4.0666935483870965</v>
      </c>
      <c r="BZ36" s="234" cm="1">
        <f t="array" ref="BZ36">$BM36 * IF($AH36&lt;=2,
SUMPRODUCT(INDEX($AV$66:$AX$70,,$AI36), INDEX($AY$66:$BE$70,,$AH36), 1 / ($BF$66:$BF$70*BY36 + (1-$BF$66:$BF$70)*BU36), N($AU$66:$AU$70&gt;$AM36)),
SUMPRODUCT(INDEX($AV$56:$AX$65,,$AI36), INDEX($AY$56:$BE$65,,$AH36), 1 / ($BG$56:$BG$65*BY36 + (1-$BG$56:$BG$65)*BU36), N($AU$56:$AU$65&gt;$AM36))
) / 1000</f>
        <v>0</v>
      </c>
      <c r="CA36" s="231">
        <f t="shared" si="26"/>
        <v>20</v>
      </c>
      <c r="CB36" s="229">
        <f t="shared" si="27"/>
        <v>33</v>
      </c>
      <c r="CC36" s="234">
        <f t="shared" si="28"/>
        <v>4.8487499999999999</v>
      </c>
      <c r="CD36" s="234" cm="1">
        <f t="array" ref="CD36">$BM36 * IF($AH36&lt;=2,
SUMPRODUCT(INDEX($AV$61:$AX$65,,$AI36), INDEX($AY$61:$BE$65,,$AH36), 1 / ($BF$61:$BF$65*CC36 + (1-$BF$61:$BF$65)*BY36), N($AU$61:$AU$65&gt;$AM36)),
SUMPRODUCT(INDEX($AV$46:$AX$55,,$AI36), INDEX($AY$46:$BE$55,,$AH36), 1 / ($BG$46:$BG$55*CC36 + (1-$BG$46:$BG$55)*BY36), N($AU$46:$AU$55&gt;$AM36))
) / 1000</f>
        <v>0</v>
      </c>
      <c r="CE36" s="234" cm="1">
        <f t="array" ref="CE36">$BM36 * IF($AH36&lt;=2,
SUMPRODUCT(INDEX($AV$22:$AX$60,,$AI36), INDEX($AY$22:$BE$60,,$AH36), 1 / ($BF$22:$BF$60*CC36), N($AU$22:$AU$60&gt;$AM36)),
SUMPRODUCT(INDEX($AV$22:$AX$45,,$AI36), INDEX($AY$22:$BE$45,,$AH36), 1 / ($BG$22:$BG$45*CC36), N($AU$22:$AU$45&gt;$AM36))
) / 1000</f>
        <v>0</v>
      </c>
      <c r="CF36" s="229">
        <f t="shared" si="29"/>
        <v>0</v>
      </c>
      <c r="CG36" s="246"/>
      <c r="CH36" s="229">
        <f t="shared" si="30"/>
        <v>0</v>
      </c>
      <c r="CI36" s="228">
        <v>35</v>
      </c>
      <c r="CJ36" s="229">
        <f t="shared" si="31"/>
        <v>48</v>
      </c>
      <c r="CK36" s="234">
        <f t="shared" si="32"/>
        <v>3.0748170731707316</v>
      </c>
      <c r="CL36" s="234" cm="1">
        <f t="array" ref="CL36">$BM36 * SUMPRODUCT(INDEX($AV$76:$AX$81,,$AI36),INDEX($AY$76:$BE$81,,$AH36), N($AU$76:$AU$81&gt;$AM36)) / CK36 / 1000</f>
        <v>0</v>
      </c>
      <c r="CM36" s="231">
        <f t="shared" si="33"/>
        <v>30</v>
      </c>
      <c r="CN36" s="229">
        <f t="shared" si="34"/>
        <v>43</v>
      </c>
      <c r="CO36" s="234">
        <f t="shared" si="35"/>
        <v>3.5018750000000001</v>
      </c>
      <c r="CP36" s="234" cm="1">
        <f t="array" ref="CP36">$BM36 * IF($AH36&lt;=2,
SUMPRODUCT(INDEX($AV$71:$AX$75,,$AI36), INDEX($AY$71:$BE$75,,$AH36), 1 / ($BF$71:$BF$75*CO36 + (1-$BF$71:$BF$75)*CK36), N($AU$71:$AU$75&gt;$AM36)),
SUMPRODUCT(INDEX($AV$66:$AX$75,,$AI36), INDEX($AY$66:$BE$75,,$AH36), 1 / ($BG$66:$BG$75*CO36 + (1-$BG$66:$BG$75)*CK36), N($AU$66:$AU$75&gt;$AM36))
) / 1000</f>
        <v>0</v>
      </c>
      <c r="CQ36" s="231">
        <f t="shared" si="36"/>
        <v>25</v>
      </c>
      <c r="CR36" s="229">
        <f t="shared" si="37"/>
        <v>38</v>
      </c>
      <c r="CS36" s="234">
        <f t="shared" si="38"/>
        <v>4.0666935483870965</v>
      </c>
      <c r="CT36" s="234" cm="1">
        <f t="array" ref="CT36">$BM36 * IF($AH36&lt;=2,
SUMPRODUCT(INDEX($AV$66:$AX$70,,$AI36), INDEX($AY$66:$BE$70,,$AH36), 1 / ($BF$66:$BF$70*CS36 + (1-$BF$66:$BF$70)*CO36), N($AU$66:$AU$70&gt;$AM36)),
SUMPRODUCT(INDEX($AV$56:$AX$65,,$AI36), INDEX($AY$56:$BE$65,,$AH36), 1 / ($BG$56:$BG$65*CS36 + (1-$BG$56:$BG$65)*CO36), N($AU$56:$AU$65&gt;$AM36))
) / 1000</f>
        <v>0</v>
      </c>
      <c r="CU36" s="231">
        <f t="shared" si="39"/>
        <v>20</v>
      </c>
      <c r="CV36" s="229">
        <f t="shared" si="40"/>
        <v>33</v>
      </c>
      <c r="CW36" s="234">
        <f t="shared" si="41"/>
        <v>4.8487499999999999</v>
      </c>
      <c r="CX36" s="234" cm="1">
        <f t="array" ref="CX36">$BM36 * IF($AH36&lt;=2,
SUMPRODUCT(INDEX($AV$61:$AX$65,,$AI36), INDEX($AY$61:$BE$65,,$AH36), 1 / ($BF$61:$BF$65*CW36 + (1-$BF$61:$BF$65)*CS36), N($AU$61:$AU$65&gt;$AM36)),
SUMPRODUCT(INDEX($AV$46:$AX$55,,$AI36), INDEX($AY$46:$BE$55,,$AH36), 1 / ($BG$46:$BG$55*CW36 + (1-$BG$46:$BG$55)*CS36), N($AU$46:$AU$55&gt;$AM36))
) / 1000</f>
        <v>0</v>
      </c>
      <c r="CY36" s="234" cm="1">
        <f t="array" ref="CY36">$BM36 * IF($AH36&lt;=2,
SUMPRODUCT(INDEX($AV$22:$AX$60,,$AI36), INDEX($AY$22:$BE$60,,$AH36), 1 / ($BF$22:$BF$60*CW36), N($AU$22:$AU$60&gt;$AM36)),
SUMPRODUCT(INDEX($AV$22:$AX$45,,$AI36), INDEX($AY$22:$BE$45,,$AH36), 1 / ($BG$22:$BG$45*CW36), N($AU$22:$AU$45&gt;$AM36))
) / 1000</f>
        <v>0</v>
      </c>
      <c r="CZ36" s="229">
        <f t="shared" si="42"/>
        <v>0</v>
      </c>
      <c r="DA36" s="246"/>
    </row>
    <row r="37" spans="1:105" s="75" customFormat="1" ht="14.25" customHeight="1" x14ac:dyDescent="0.25">
      <c r="A37" s="230" t="b">
        <f t="shared" si="0"/>
        <v>0</v>
      </c>
      <c r="B37" s="253">
        <v>16</v>
      </c>
      <c r="C37" s="266"/>
      <c r="D37" s="266"/>
      <c r="E37" s="254"/>
      <c r="F37" s="255" t="str">
        <f>IF(ISBLANK(E37), "", VLOOKUP(E37, Z!$A$2:$C$4127, 3, FALSE))</f>
        <v/>
      </c>
      <c r="G37" s="256"/>
      <c r="H37" s="256"/>
      <c r="I37" s="256"/>
      <c r="J37" s="257"/>
      <c r="K37" s="258"/>
      <c r="L37" s="267"/>
      <c r="M37" s="268"/>
      <c r="N37" s="259" t="str" cm="1">
        <f t="array" ref="N37">IF($L37&gt;0, INDEX(Clean,1+AK37,$D$1), "")</f>
        <v/>
      </c>
      <c r="O37" s="260"/>
      <c r="P37" s="260"/>
      <c r="Q37" s="261"/>
      <c r="R37" s="264">
        <f t="shared" si="7"/>
        <v>0</v>
      </c>
      <c r="S37" s="259" t="str" cm="1">
        <f t="array" ref="S37">IF($L37&gt;0, INDEX(Clean,1+AL37,$D$1), "")</f>
        <v/>
      </c>
      <c r="T37" s="260"/>
      <c r="U37" s="260"/>
      <c r="V37" s="261"/>
      <c r="W37" s="267"/>
      <c r="X37" s="267"/>
      <c r="Y37" s="257"/>
      <c r="Z37" s="264">
        <f t="shared" si="8"/>
        <v>0</v>
      </c>
      <c r="AA37" s="269"/>
      <c r="AB37" s="266"/>
      <c r="AC37" s="254"/>
      <c r="AD37" s="255" t="str">
        <f>IF(ISBLANK(AC37), "", VLOOKUP(AC37, Z!$A$2:$C$4127, 3, FALSE))</f>
        <v/>
      </c>
      <c r="AE37" s="270"/>
      <c r="AF37" s="265">
        <f t="shared" si="9"/>
        <v>0</v>
      </c>
      <c r="AG37" s="246"/>
      <c r="AH37" s="228">
        <f t="shared" ref="AH37" si="95">IF(ISBLANK(I37), 1, IFERROR(MATCH(I37, INDEX(Use,,1), 0), IFERROR(MATCH(I37, INDEX(Use,,2), 0), MATCH(I37, INDEX(Use,,3), 0))))</f>
        <v>1</v>
      </c>
      <c r="AI37" s="228">
        <f t="shared" ref="AI37" si="96">IF(ISBLANK(H37), 1, IFERROR(MATCH(H37, INDEX(Loc,,1), 0), IFERROR(MATCH(H37, INDEX(Loc,,2), 0), MATCH(H37, INDEX(Loc,,3), 0))))</f>
        <v>1</v>
      </c>
      <c r="AJ37" s="228">
        <f t="shared" ref="AJ37" si="97">_xlfn.IFNA(IF(IFERROR(MATCH(J37, INDEX(Medium,,1), 0), IFERROR(MATCH(J37, INDEX(Medium,,2), 0), MATCH(J37, INDEX(Medium,,3), 0))) = 2, 1, 0), 0)</f>
        <v>0</v>
      </c>
      <c r="AK37" s="228">
        <v>0</v>
      </c>
      <c r="AL37" s="228">
        <v>0</v>
      </c>
      <c r="AM37" s="228">
        <f t="shared" si="4"/>
        <v>-100</v>
      </c>
      <c r="AN37" s="228" cm="1">
        <f t="array" ref="AN37">IF(ISBLANK(G37), 1, IFERROR(MATCH(G37, INDEX(Kat,,1), 0), IFERROR(MATCH(Kat, INDEX(Use,,2), 0), MATCH(Kat, INDEX(Use,,3), 0))))</f>
        <v>1</v>
      </c>
      <c r="AO37" s="246"/>
      <c r="AP37" s="228" cm="1">
        <f t="array" ref="AP37">IF(W37&gt;0, INDEX(Kat, AN37,4), 0)</f>
        <v>0</v>
      </c>
      <c r="AQ37" s="228">
        <f t="shared" ref="AQ37" si="98">IF(ISBLANK(Y37), 0, IFERROR(MATCH(Y37, INDEX(Month,,1), 0), IFERROR(MATCH(Y37, INDEX(Month,,2), 0), MATCH(Y37, INDEX(Month,,3), 0))))</f>
        <v>0</v>
      </c>
      <c r="AR37" s="228" cm="1">
        <f t="array" ref="AR37">IF(X37&gt;0, INDEX(Kat, $AN37, 4+AQ37), 0)</f>
        <v>0</v>
      </c>
      <c r="AS37" s="228" cm="1">
        <f t="array" ref="AS37">IF(X37&gt;0, INDEX(Kat, $AN37, 9+AQ37), 0)</f>
        <v>0</v>
      </c>
      <c r="AT37" s="246"/>
      <c r="AU37" s="228">
        <v>-4</v>
      </c>
      <c r="AV37" s="231">
        <v>2</v>
      </c>
      <c r="AW37" s="231">
        <v>105</v>
      </c>
      <c r="AX37" s="231">
        <v>56</v>
      </c>
      <c r="AY37" s="232">
        <f t="shared" si="6"/>
        <v>0</v>
      </c>
      <c r="AZ37" s="232">
        <f t="shared" si="6"/>
        <v>0</v>
      </c>
      <c r="BA37" s="232" t="e" cm="1">
        <f t="array" ref="BA37">MIN(INDEX(Use,BA$20,5) + MAX(0, (1-INDEX(Use,BA$20,5))*($AU37-5)/(35-5)), 1)</f>
        <v>#REF!</v>
      </c>
      <c r="BB37" s="232" t="e" cm="1">
        <f t="array" ref="BB37">MIN(INDEX(Use,BB$20,5) + MAX(0, (1-INDEX(Use,BB$20,5))*($AU37-5)/(35-5)), 1)</f>
        <v>#REF!</v>
      </c>
      <c r="BC37" s="232" t="e" cm="1">
        <f t="array" ref="BC37">MIN(INDEX(Use,BC$20,5) + MAX(0, (1-INDEX(Use,BC$20,5))*($AU37-5)/(35-5)), 1)</f>
        <v>#REF!</v>
      </c>
      <c r="BD37" s="232" t="e" cm="1">
        <f t="array" ref="BD37">MIN(INDEX(Use,BD$20,5) + MAX(0, (1-INDEX(Use,BD$20,5))*($AU37-5)/(35-5)), 1)</f>
        <v>#REF!</v>
      </c>
      <c r="BE37" s="232" t="e" cm="1">
        <f t="array" ref="BE37">MIN(INDEX(Use,BE$20,5) + MAX(0, (1-INDEX(Use,BE$20,5))*($AU37-5)/(35-5)), 1)</f>
        <v>#REF!</v>
      </c>
      <c r="BF37" s="232">
        <v>1</v>
      </c>
      <c r="BG37" s="232">
        <v>1</v>
      </c>
      <c r="BH37" s="210"/>
      <c r="BI37" s="228" cm="1">
        <f t="array" ref="BI37">INDEX(Use, $AH37, 4)</f>
        <v>7</v>
      </c>
      <c r="BJ37" s="228">
        <f t="shared" si="14"/>
        <v>32</v>
      </c>
      <c r="BK37" s="228">
        <f t="shared" si="15"/>
        <v>13</v>
      </c>
      <c r="BL37" s="228">
        <f t="shared" si="16"/>
        <v>0</v>
      </c>
      <c r="BM37" s="233" cm="1">
        <f t="array" ref="BM37">L37/IF($M37&gt;0, INDEX($AY$22:$BE$76, $M37+20, $AH37), 1)</f>
        <v>0</v>
      </c>
      <c r="BN37" s="229">
        <f t="shared" si="17"/>
        <v>0</v>
      </c>
      <c r="BO37" s="228">
        <v>35</v>
      </c>
      <c r="BP37" s="229">
        <f t="shared" si="18"/>
        <v>48</v>
      </c>
      <c r="BQ37" s="234">
        <f t="shared" si="19"/>
        <v>3.0748170731707316</v>
      </c>
      <c r="BR37" s="234" cm="1">
        <f t="array" ref="BR37">$BM37 * SUMPRODUCT(INDEX($AV$76:$AX$81,,$AI37),INDEX($AY$76:$BE$81,,$AH37), N($AU$76:$AU$81&gt;$AM37)) / BQ37 / 1000</f>
        <v>0</v>
      </c>
      <c r="BS37" s="231">
        <f t="shared" si="20"/>
        <v>30</v>
      </c>
      <c r="BT37" s="229">
        <f t="shared" si="21"/>
        <v>43</v>
      </c>
      <c r="BU37" s="234">
        <f t="shared" si="22"/>
        <v>3.5018750000000001</v>
      </c>
      <c r="BV37" s="234" cm="1">
        <f t="array" ref="BV37">$BM37 * IF($AH37&lt;=2,
SUMPRODUCT(INDEX($AV$71:$AX$75,,$AI37), INDEX($AY$71:$BE$75,,$AH37), 1 / ($BF$71:$BF$75*BU37 + (1-$BF$71:$BF$75)*BQ37), N($AU$71:$AU$75&gt;$AM37)),
SUMPRODUCT(INDEX($AV$66:$AX$75,,$AI37), INDEX($AY$66:$BE$75,,$AH37), 1 / ($BG$66:$BG$75*BU37 + (1-$BG$66:$BG$75)*BQ37), N($AU$66:$AU$75&gt;$AM37))
) / 1000</f>
        <v>0</v>
      </c>
      <c r="BW37" s="231">
        <f t="shared" si="23"/>
        <v>25</v>
      </c>
      <c r="BX37" s="229">
        <f t="shared" si="24"/>
        <v>38</v>
      </c>
      <c r="BY37" s="234">
        <f t="shared" si="25"/>
        <v>4.0666935483870965</v>
      </c>
      <c r="BZ37" s="234" cm="1">
        <f t="array" ref="BZ37">$BM37 * IF($AH37&lt;=2,
SUMPRODUCT(INDEX($AV$66:$AX$70,,$AI37), INDEX($AY$66:$BE$70,,$AH37), 1 / ($BF$66:$BF$70*BY37 + (1-$BF$66:$BF$70)*BU37), N($AU$66:$AU$70&gt;$AM37)),
SUMPRODUCT(INDEX($AV$56:$AX$65,,$AI37), INDEX($AY$56:$BE$65,,$AH37), 1 / ($BG$56:$BG$65*BY37 + (1-$BG$56:$BG$65)*BU37), N($AU$56:$AU$65&gt;$AM37))
) / 1000</f>
        <v>0</v>
      </c>
      <c r="CA37" s="231">
        <f t="shared" si="26"/>
        <v>20</v>
      </c>
      <c r="CB37" s="229">
        <f t="shared" si="27"/>
        <v>33</v>
      </c>
      <c r="CC37" s="234">
        <f t="shared" si="28"/>
        <v>4.8487499999999999</v>
      </c>
      <c r="CD37" s="234" cm="1">
        <f t="array" ref="CD37">$BM37 * IF($AH37&lt;=2,
SUMPRODUCT(INDEX($AV$61:$AX$65,,$AI37), INDEX($AY$61:$BE$65,,$AH37), 1 / ($BF$61:$BF$65*CC37 + (1-$BF$61:$BF$65)*BY37), N($AU$61:$AU$65&gt;$AM37)),
SUMPRODUCT(INDEX($AV$46:$AX$55,,$AI37), INDEX($AY$46:$BE$55,,$AH37), 1 / ($BG$46:$BG$55*CC37 + (1-$BG$46:$BG$55)*BY37), N($AU$46:$AU$55&gt;$AM37))
) / 1000</f>
        <v>0</v>
      </c>
      <c r="CE37" s="234" cm="1">
        <f t="array" ref="CE37">$BM37 * IF($AH37&lt;=2,
SUMPRODUCT(INDEX($AV$22:$AX$60,,$AI37), INDEX($AY$22:$BE$60,,$AH37), 1 / ($BF$22:$BF$60*CC37), N($AU$22:$AU$60&gt;$AM37)),
SUMPRODUCT(INDEX($AV$22:$AX$45,,$AI37), INDEX($AY$22:$BE$45,,$AH37), 1 / ($BG$22:$BG$45*CC37), N($AU$22:$AU$45&gt;$AM37))
) / 1000</f>
        <v>0</v>
      </c>
      <c r="CF37" s="229">
        <f t="shared" si="29"/>
        <v>0</v>
      </c>
      <c r="CG37" s="246"/>
      <c r="CH37" s="229">
        <f t="shared" si="30"/>
        <v>0</v>
      </c>
      <c r="CI37" s="228">
        <v>35</v>
      </c>
      <c r="CJ37" s="229">
        <f t="shared" si="31"/>
        <v>48</v>
      </c>
      <c r="CK37" s="234">
        <f t="shared" si="32"/>
        <v>3.0748170731707316</v>
      </c>
      <c r="CL37" s="234" cm="1">
        <f t="array" ref="CL37">$BM37 * SUMPRODUCT(INDEX($AV$76:$AX$81,,$AI37),INDEX($AY$76:$BE$81,,$AH37), N($AU$76:$AU$81&gt;$AM37)) / CK37 / 1000</f>
        <v>0</v>
      </c>
      <c r="CM37" s="231">
        <f t="shared" si="33"/>
        <v>30</v>
      </c>
      <c r="CN37" s="229">
        <f t="shared" si="34"/>
        <v>43</v>
      </c>
      <c r="CO37" s="234">
        <f t="shared" si="35"/>
        <v>3.5018750000000001</v>
      </c>
      <c r="CP37" s="234" cm="1">
        <f t="array" ref="CP37">$BM37 * IF($AH37&lt;=2,
SUMPRODUCT(INDEX($AV$71:$AX$75,,$AI37), INDEX($AY$71:$BE$75,,$AH37), 1 / ($BF$71:$BF$75*CO37 + (1-$BF$71:$BF$75)*CK37), N($AU$71:$AU$75&gt;$AM37)),
SUMPRODUCT(INDEX($AV$66:$AX$75,,$AI37), INDEX($AY$66:$BE$75,,$AH37), 1 / ($BG$66:$BG$75*CO37 + (1-$BG$66:$BG$75)*CK37), N($AU$66:$AU$75&gt;$AM37))
) / 1000</f>
        <v>0</v>
      </c>
      <c r="CQ37" s="231">
        <f t="shared" si="36"/>
        <v>25</v>
      </c>
      <c r="CR37" s="229">
        <f t="shared" si="37"/>
        <v>38</v>
      </c>
      <c r="CS37" s="234">
        <f t="shared" si="38"/>
        <v>4.0666935483870965</v>
      </c>
      <c r="CT37" s="234" cm="1">
        <f t="array" ref="CT37">$BM37 * IF($AH37&lt;=2,
SUMPRODUCT(INDEX($AV$66:$AX$70,,$AI37), INDEX($AY$66:$BE$70,,$AH37), 1 / ($BF$66:$BF$70*CS37 + (1-$BF$66:$BF$70)*CO37), N($AU$66:$AU$70&gt;$AM37)),
SUMPRODUCT(INDEX($AV$56:$AX$65,,$AI37), INDEX($AY$56:$BE$65,,$AH37), 1 / ($BG$56:$BG$65*CS37 + (1-$BG$56:$BG$65)*CO37), N($AU$56:$AU$65&gt;$AM37))
) / 1000</f>
        <v>0</v>
      </c>
      <c r="CU37" s="231">
        <f t="shared" si="39"/>
        <v>20</v>
      </c>
      <c r="CV37" s="229">
        <f t="shared" si="40"/>
        <v>33</v>
      </c>
      <c r="CW37" s="234">
        <f t="shared" si="41"/>
        <v>4.8487499999999999</v>
      </c>
      <c r="CX37" s="234" cm="1">
        <f t="array" ref="CX37">$BM37 * IF($AH37&lt;=2,
SUMPRODUCT(INDEX($AV$61:$AX$65,,$AI37), INDEX($AY$61:$BE$65,,$AH37), 1 / ($BF$61:$BF$65*CW37 + (1-$BF$61:$BF$65)*CS37), N($AU$61:$AU$65&gt;$AM37)),
SUMPRODUCT(INDEX($AV$46:$AX$55,,$AI37), INDEX($AY$46:$BE$55,,$AH37), 1 / ($BG$46:$BG$55*CW37 + (1-$BG$46:$BG$55)*CS37), N($AU$46:$AU$55&gt;$AM37))
) / 1000</f>
        <v>0</v>
      </c>
      <c r="CY37" s="234" cm="1">
        <f t="array" ref="CY37">$BM37 * IF($AH37&lt;=2,
SUMPRODUCT(INDEX($AV$22:$AX$60,,$AI37), INDEX($AY$22:$BE$60,,$AH37), 1 / ($BF$22:$BF$60*CW37), N($AU$22:$AU$60&gt;$AM37)),
SUMPRODUCT(INDEX($AV$22:$AX$45,,$AI37), INDEX($AY$22:$BE$45,,$AH37), 1 / ($BG$22:$BG$45*CW37), N($AU$22:$AU$45&gt;$AM37))
) / 1000</f>
        <v>0</v>
      </c>
      <c r="CZ37" s="229">
        <f t="shared" si="42"/>
        <v>0</v>
      </c>
      <c r="DA37" s="246"/>
    </row>
    <row r="38" spans="1:105" s="75" customFormat="1" ht="14.25" customHeight="1" x14ac:dyDescent="0.25">
      <c r="A38" s="230" t="b">
        <f t="shared" si="0"/>
        <v>0</v>
      </c>
      <c r="B38" s="253">
        <v>17</v>
      </c>
      <c r="C38" s="266"/>
      <c r="D38" s="266"/>
      <c r="E38" s="254"/>
      <c r="F38" s="255" t="str">
        <f>IF(ISBLANK(E38), "", VLOOKUP(E38, Z!$A$2:$C$4127, 3, FALSE))</f>
        <v/>
      </c>
      <c r="G38" s="256"/>
      <c r="H38" s="256"/>
      <c r="I38" s="256"/>
      <c r="J38" s="257"/>
      <c r="K38" s="258"/>
      <c r="L38" s="267"/>
      <c r="M38" s="268"/>
      <c r="N38" s="259" t="str" cm="1">
        <f t="array" ref="N38">IF($L38&gt;0, INDEX(Clean,1+AK38,$D$1), "")</f>
        <v/>
      </c>
      <c r="O38" s="260"/>
      <c r="P38" s="260"/>
      <c r="Q38" s="261"/>
      <c r="R38" s="264">
        <f t="shared" si="7"/>
        <v>0</v>
      </c>
      <c r="S38" s="259" t="str" cm="1">
        <f t="array" ref="S38">IF($L38&gt;0, INDEX(Clean,1+AL38,$D$1), "")</f>
        <v/>
      </c>
      <c r="T38" s="260"/>
      <c r="U38" s="260"/>
      <c r="V38" s="261"/>
      <c r="W38" s="267"/>
      <c r="X38" s="267"/>
      <c r="Y38" s="257"/>
      <c r="Z38" s="264">
        <f t="shared" si="8"/>
        <v>0</v>
      </c>
      <c r="AA38" s="269"/>
      <c r="AB38" s="266"/>
      <c r="AC38" s="254"/>
      <c r="AD38" s="255" t="str">
        <f>IF(ISBLANK(AC38), "", VLOOKUP(AC38, Z!$A$2:$C$4127, 3, FALSE))</f>
        <v/>
      </c>
      <c r="AE38" s="270"/>
      <c r="AF38" s="265">
        <f t="shared" si="9"/>
        <v>0</v>
      </c>
      <c r="AG38" s="246"/>
      <c r="AH38" s="228">
        <f t="shared" ref="AH38" si="99">IF(ISBLANK(I38), 1, IFERROR(MATCH(I38, INDEX(Use,,1), 0), IFERROR(MATCH(I38, INDEX(Use,,2), 0), MATCH(I38, INDEX(Use,,3), 0))))</f>
        <v>1</v>
      </c>
      <c r="AI38" s="228">
        <f t="shared" ref="AI38" si="100">IF(ISBLANK(H38), 1, IFERROR(MATCH(H38, INDEX(Loc,,1), 0), IFERROR(MATCH(H38, INDEX(Loc,,2), 0), MATCH(H38, INDEX(Loc,,3), 0))))</f>
        <v>1</v>
      </c>
      <c r="AJ38" s="228">
        <f t="shared" ref="AJ38" si="101">_xlfn.IFNA(IF(IFERROR(MATCH(J38, INDEX(Medium,,1), 0), IFERROR(MATCH(J38, INDEX(Medium,,2), 0), MATCH(J38, INDEX(Medium,,3), 0))) = 2, 1, 0), 0)</f>
        <v>0</v>
      </c>
      <c r="AK38" s="228">
        <v>0</v>
      </c>
      <c r="AL38" s="228">
        <v>0</v>
      </c>
      <c r="AM38" s="228">
        <f t="shared" si="4"/>
        <v>-100</v>
      </c>
      <c r="AN38" s="228" cm="1">
        <f t="array" ref="AN38">IF(ISBLANK(G38), 1, IFERROR(MATCH(G38, INDEX(Kat,,1), 0), IFERROR(MATCH(Kat, INDEX(Use,,2), 0), MATCH(Kat, INDEX(Use,,3), 0))))</f>
        <v>1</v>
      </c>
      <c r="AO38" s="246"/>
      <c r="AP38" s="228" cm="1">
        <f t="array" ref="AP38">IF(W38&gt;0, INDEX(Kat, AN38,4), 0)</f>
        <v>0</v>
      </c>
      <c r="AQ38" s="228">
        <f t="shared" ref="AQ38" si="102">IF(ISBLANK(Y38), 0, IFERROR(MATCH(Y38, INDEX(Month,,1), 0), IFERROR(MATCH(Y38, INDEX(Month,,2), 0), MATCH(Y38, INDEX(Month,,3), 0))))</f>
        <v>0</v>
      </c>
      <c r="AR38" s="228" cm="1">
        <f t="array" ref="AR38">IF(X38&gt;0, INDEX(Kat, $AN38, 4+AQ38), 0)</f>
        <v>0</v>
      </c>
      <c r="AS38" s="228" cm="1">
        <f t="array" ref="AS38">IF(X38&gt;0, INDEX(Kat, $AN38, 9+AQ38), 0)</f>
        <v>0</v>
      </c>
      <c r="AT38" s="246"/>
      <c r="AU38" s="228">
        <v>-3</v>
      </c>
      <c r="AV38" s="231">
        <v>13</v>
      </c>
      <c r="AW38" s="231">
        <v>115</v>
      </c>
      <c r="AX38" s="231">
        <v>128</v>
      </c>
      <c r="AY38" s="232">
        <f t="shared" si="6"/>
        <v>0</v>
      </c>
      <c r="AZ38" s="232">
        <f t="shared" si="6"/>
        <v>0</v>
      </c>
      <c r="BA38" s="232" t="e" cm="1">
        <f t="array" ref="BA38">MIN(INDEX(Use,BA$20,5) + MAX(0, (1-INDEX(Use,BA$20,5))*($AU38-5)/(35-5)), 1)</f>
        <v>#REF!</v>
      </c>
      <c r="BB38" s="232" t="e" cm="1">
        <f t="array" ref="BB38">MIN(INDEX(Use,BB$20,5) + MAX(0, (1-INDEX(Use,BB$20,5))*($AU38-5)/(35-5)), 1)</f>
        <v>#REF!</v>
      </c>
      <c r="BC38" s="232" t="e" cm="1">
        <f t="array" ref="BC38">MIN(INDEX(Use,BC$20,5) + MAX(0, (1-INDEX(Use,BC$20,5))*($AU38-5)/(35-5)), 1)</f>
        <v>#REF!</v>
      </c>
      <c r="BD38" s="232" t="e" cm="1">
        <f t="array" ref="BD38">MIN(INDEX(Use,BD$20,5) + MAX(0, (1-INDEX(Use,BD$20,5))*($AU38-5)/(35-5)), 1)</f>
        <v>#REF!</v>
      </c>
      <c r="BE38" s="232" t="e" cm="1">
        <f t="array" ref="BE38">MIN(INDEX(Use,BE$20,5) + MAX(0, (1-INDEX(Use,BE$20,5))*($AU38-5)/(35-5)), 1)</f>
        <v>#REF!</v>
      </c>
      <c r="BF38" s="232">
        <v>1</v>
      </c>
      <c r="BG38" s="232">
        <v>1</v>
      </c>
      <c r="BH38" s="210"/>
      <c r="BI38" s="228" cm="1">
        <f t="array" ref="BI38">INDEX(Use, $AH38, 4)</f>
        <v>7</v>
      </c>
      <c r="BJ38" s="228">
        <f t="shared" si="14"/>
        <v>32</v>
      </c>
      <c r="BK38" s="228">
        <f t="shared" si="15"/>
        <v>13</v>
      </c>
      <c r="BL38" s="228">
        <f t="shared" si="16"/>
        <v>0</v>
      </c>
      <c r="BM38" s="233" cm="1">
        <f t="array" ref="BM38">L38/IF($M38&gt;0, INDEX($AY$22:$BE$76, $M38+20, $AH38), 1)</f>
        <v>0</v>
      </c>
      <c r="BN38" s="229">
        <f t="shared" si="17"/>
        <v>0</v>
      </c>
      <c r="BO38" s="228">
        <v>35</v>
      </c>
      <c r="BP38" s="229">
        <f t="shared" si="18"/>
        <v>48</v>
      </c>
      <c r="BQ38" s="234">
        <f t="shared" si="19"/>
        <v>3.0748170731707316</v>
      </c>
      <c r="BR38" s="234" cm="1">
        <f t="array" ref="BR38">$BM38 * SUMPRODUCT(INDEX($AV$76:$AX$81,,$AI38),INDEX($AY$76:$BE$81,,$AH38), N($AU$76:$AU$81&gt;$AM38)) / BQ38 / 1000</f>
        <v>0</v>
      </c>
      <c r="BS38" s="231">
        <f t="shared" si="20"/>
        <v>30</v>
      </c>
      <c r="BT38" s="229">
        <f t="shared" si="21"/>
        <v>43</v>
      </c>
      <c r="BU38" s="234">
        <f t="shared" si="22"/>
        <v>3.5018750000000001</v>
      </c>
      <c r="BV38" s="234" cm="1">
        <f t="array" ref="BV38">$BM38 * IF($AH38&lt;=2,
SUMPRODUCT(INDEX($AV$71:$AX$75,,$AI38), INDEX($AY$71:$BE$75,,$AH38), 1 / ($BF$71:$BF$75*BU38 + (1-$BF$71:$BF$75)*BQ38), N($AU$71:$AU$75&gt;$AM38)),
SUMPRODUCT(INDEX($AV$66:$AX$75,,$AI38), INDEX($AY$66:$BE$75,,$AH38), 1 / ($BG$66:$BG$75*BU38 + (1-$BG$66:$BG$75)*BQ38), N($AU$66:$AU$75&gt;$AM38))
) / 1000</f>
        <v>0</v>
      </c>
      <c r="BW38" s="231">
        <f t="shared" si="23"/>
        <v>25</v>
      </c>
      <c r="BX38" s="229">
        <f t="shared" si="24"/>
        <v>38</v>
      </c>
      <c r="BY38" s="234">
        <f t="shared" si="25"/>
        <v>4.0666935483870965</v>
      </c>
      <c r="BZ38" s="234" cm="1">
        <f t="array" ref="BZ38">$BM38 * IF($AH38&lt;=2,
SUMPRODUCT(INDEX($AV$66:$AX$70,,$AI38), INDEX($AY$66:$BE$70,,$AH38), 1 / ($BF$66:$BF$70*BY38 + (1-$BF$66:$BF$70)*BU38), N($AU$66:$AU$70&gt;$AM38)),
SUMPRODUCT(INDEX($AV$56:$AX$65,,$AI38), INDEX($AY$56:$BE$65,,$AH38), 1 / ($BG$56:$BG$65*BY38 + (1-$BG$56:$BG$65)*BU38), N($AU$56:$AU$65&gt;$AM38))
) / 1000</f>
        <v>0</v>
      </c>
      <c r="CA38" s="231">
        <f t="shared" si="26"/>
        <v>20</v>
      </c>
      <c r="CB38" s="229">
        <f t="shared" si="27"/>
        <v>33</v>
      </c>
      <c r="CC38" s="234">
        <f t="shared" si="28"/>
        <v>4.8487499999999999</v>
      </c>
      <c r="CD38" s="234" cm="1">
        <f t="array" ref="CD38">$BM38 * IF($AH38&lt;=2,
SUMPRODUCT(INDEX($AV$61:$AX$65,,$AI38), INDEX($AY$61:$BE$65,,$AH38), 1 / ($BF$61:$BF$65*CC38 + (1-$BF$61:$BF$65)*BY38), N($AU$61:$AU$65&gt;$AM38)),
SUMPRODUCT(INDEX($AV$46:$AX$55,,$AI38), INDEX($AY$46:$BE$55,,$AH38), 1 / ($BG$46:$BG$55*CC38 + (1-$BG$46:$BG$55)*BY38), N($AU$46:$AU$55&gt;$AM38))
) / 1000</f>
        <v>0</v>
      </c>
      <c r="CE38" s="234" cm="1">
        <f t="array" ref="CE38">$BM38 * IF($AH38&lt;=2,
SUMPRODUCT(INDEX($AV$22:$AX$60,,$AI38), INDEX($AY$22:$BE$60,,$AH38), 1 / ($BF$22:$BF$60*CC38), N($AU$22:$AU$60&gt;$AM38)),
SUMPRODUCT(INDEX($AV$22:$AX$45,,$AI38), INDEX($AY$22:$BE$45,,$AH38), 1 / ($BG$22:$BG$45*CC38), N($AU$22:$AU$45&gt;$AM38))
) / 1000</f>
        <v>0</v>
      </c>
      <c r="CF38" s="229">
        <f t="shared" si="29"/>
        <v>0</v>
      </c>
      <c r="CG38" s="246"/>
      <c r="CH38" s="229">
        <f t="shared" si="30"/>
        <v>0</v>
      </c>
      <c r="CI38" s="228">
        <v>35</v>
      </c>
      <c r="CJ38" s="229">
        <f t="shared" si="31"/>
        <v>48</v>
      </c>
      <c r="CK38" s="234">
        <f t="shared" si="32"/>
        <v>3.0748170731707316</v>
      </c>
      <c r="CL38" s="234" cm="1">
        <f t="array" ref="CL38">$BM38 * SUMPRODUCT(INDEX($AV$76:$AX$81,,$AI38),INDEX($AY$76:$BE$81,,$AH38), N($AU$76:$AU$81&gt;$AM38)) / CK38 / 1000</f>
        <v>0</v>
      </c>
      <c r="CM38" s="231">
        <f t="shared" si="33"/>
        <v>30</v>
      </c>
      <c r="CN38" s="229">
        <f t="shared" si="34"/>
        <v>43</v>
      </c>
      <c r="CO38" s="234">
        <f t="shared" si="35"/>
        <v>3.5018750000000001</v>
      </c>
      <c r="CP38" s="234" cm="1">
        <f t="array" ref="CP38">$BM38 * IF($AH38&lt;=2,
SUMPRODUCT(INDEX($AV$71:$AX$75,,$AI38), INDEX($AY$71:$BE$75,,$AH38), 1 / ($BF$71:$BF$75*CO38 + (1-$BF$71:$BF$75)*CK38), N($AU$71:$AU$75&gt;$AM38)),
SUMPRODUCT(INDEX($AV$66:$AX$75,,$AI38), INDEX($AY$66:$BE$75,,$AH38), 1 / ($BG$66:$BG$75*CO38 + (1-$BG$66:$BG$75)*CK38), N($AU$66:$AU$75&gt;$AM38))
) / 1000</f>
        <v>0</v>
      </c>
      <c r="CQ38" s="231">
        <f t="shared" si="36"/>
        <v>25</v>
      </c>
      <c r="CR38" s="229">
        <f t="shared" si="37"/>
        <v>38</v>
      </c>
      <c r="CS38" s="234">
        <f t="shared" si="38"/>
        <v>4.0666935483870965</v>
      </c>
      <c r="CT38" s="234" cm="1">
        <f t="array" ref="CT38">$BM38 * IF($AH38&lt;=2,
SUMPRODUCT(INDEX($AV$66:$AX$70,,$AI38), INDEX($AY$66:$BE$70,,$AH38), 1 / ($BF$66:$BF$70*CS38 + (1-$BF$66:$BF$70)*CO38), N($AU$66:$AU$70&gt;$AM38)),
SUMPRODUCT(INDEX($AV$56:$AX$65,,$AI38), INDEX($AY$56:$BE$65,,$AH38), 1 / ($BG$56:$BG$65*CS38 + (1-$BG$56:$BG$65)*CO38), N($AU$56:$AU$65&gt;$AM38))
) / 1000</f>
        <v>0</v>
      </c>
      <c r="CU38" s="231">
        <f t="shared" si="39"/>
        <v>20</v>
      </c>
      <c r="CV38" s="229">
        <f t="shared" si="40"/>
        <v>33</v>
      </c>
      <c r="CW38" s="234">
        <f t="shared" si="41"/>
        <v>4.8487499999999999</v>
      </c>
      <c r="CX38" s="234" cm="1">
        <f t="array" ref="CX38">$BM38 * IF($AH38&lt;=2,
SUMPRODUCT(INDEX($AV$61:$AX$65,,$AI38), INDEX($AY$61:$BE$65,,$AH38), 1 / ($BF$61:$BF$65*CW38 + (1-$BF$61:$BF$65)*CS38), N($AU$61:$AU$65&gt;$AM38)),
SUMPRODUCT(INDEX($AV$46:$AX$55,,$AI38), INDEX($AY$46:$BE$55,,$AH38), 1 / ($BG$46:$BG$55*CW38 + (1-$BG$46:$BG$55)*CS38), N($AU$46:$AU$55&gt;$AM38))
) / 1000</f>
        <v>0</v>
      </c>
      <c r="CY38" s="234" cm="1">
        <f t="array" ref="CY38">$BM38 * IF($AH38&lt;=2,
SUMPRODUCT(INDEX($AV$22:$AX$60,,$AI38), INDEX($AY$22:$BE$60,,$AH38), 1 / ($BF$22:$BF$60*CW38), N($AU$22:$AU$60&gt;$AM38)),
SUMPRODUCT(INDEX($AV$22:$AX$45,,$AI38), INDEX($AY$22:$BE$45,,$AH38), 1 / ($BG$22:$BG$45*CW38), N($AU$22:$AU$45&gt;$AM38))
) / 1000</f>
        <v>0</v>
      </c>
      <c r="CZ38" s="229">
        <f t="shared" si="42"/>
        <v>0</v>
      </c>
      <c r="DA38" s="246"/>
    </row>
    <row r="39" spans="1:105" s="75" customFormat="1" ht="14.25" customHeight="1" x14ac:dyDescent="0.25">
      <c r="A39" s="230" t="b">
        <f t="shared" si="0"/>
        <v>0</v>
      </c>
      <c r="B39" s="253">
        <v>18</v>
      </c>
      <c r="C39" s="266"/>
      <c r="D39" s="266"/>
      <c r="E39" s="254"/>
      <c r="F39" s="255" t="str">
        <f>IF(ISBLANK(E39), "", VLOOKUP(E39, Z!$A$2:$C$4127, 3, FALSE))</f>
        <v/>
      </c>
      <c r="G39" s="256"/>
      <c r="H39" s="256"/>
      <c r="I39" s="256"/>
      <c r="J39" s="257"/>
      <c r="K39" s="258"/>
      <c r="L39" s="267"/>
      <c r="M39" s="268"/>
      <c r="N39" s="259" t="str" cm="1">
        <f t="array" ref="N39">IF($L39&gt;0, INDEX(Clean,1+AK39,$D$1), "")</f>
        <v/>
      </c>
      <c r="O39" s="260"/>
      <c r="P39" s="260"/>
      <c r="Q39" s="261"/>
      <c r="R39" s="264">
        <f t="shared" si="7"/>
        <v>0</v>
      </c>
      <c r="S39" s="259" t="str" cm="1">
        <f t="array" ref="S39">IF($L39&gt;0, INDEX(Clean,1+AL39,$D$1), "")</f>
        <v/>
      </c>
      <c r="T39" s="260"/>
      <c r="U39" s="260"/>
      <c r="V39" s="261"/>
      <c r="W39" s="267"/>
      <c r="X39" s="267"/>
      <c r="Y39" s="257"/>
      <c r="Z39" s="264">
        <f t="shared" si="8"/>
        <v>0</v>
      </c>
      <c r="AA39" s="269"/>
      <c r="AB39" s="266"/>
      <c r="AC39" s="254"/>
      <c r="AD39" s="255" t="str">
        <f>IF(ISBLANK(AC39), "", VLOOKUP(AC39, Z!$A$2:$C$4127, 3, FALSE))</f>
        <v/>
      </c>
      <c r="AE39" s="270"/>
      <c r="AF39" s="265">
        <f t="shared" si="9"/>
        <v>0</v>
      </c>
      <c r="AG39" s="246"/>
      <c r="AH39" s="228">
        <f t="shared" ref="AH39" si="103">IF(ISBLANK(I39), 1, IFERROR(MATCH(I39, INDEX(Use,,1), 0), IFERROR(MATCH(I39, INDEX(Use,,2), 0), MATCH(I39, INDEX(Use,,3), 0))))</f>
        <v>1</v>
      </c>
      <c r="AI39" s="228">
        <f t="shared" ref="AI39" si="104">IF(ISBLANK(H39), 1, IFERROR(MATCH(H39, INDEX(Loc,,1), 0), IFERROR(MATCH(H39, INDEX(Loc,,2), 0), MATCH(H39, INDEX(Loc,,3), 0))))</f>
        <v>1</v>
      </c>
      <c r="AJ39" s="228">
        <f t="shared" ref="AJ39" si="105">_xlfn.IFNA(IF(IFERROR(MATCH(J39, INDEX(Medium,,1), 0), IFERROR(MATCH(J39, INDEX(Medium,,2), 0), MATCH(J39, INDEX(Medium,,3), 0))) = 2, 1, 0), 0)</f>
        <v>0</v>
      </c>
      <c r="AK39" s="228">
        <v>0</v>
      </c>
      <c r="AL39" s="228">
        <v>0</v>
      </c>
      <c r="AM39" s="228">
        <f t="shared" si="4"/>
        <v>-100</v>
      </c>
      <c r="AN39" s="228" cm="1">
        <f t="array" ref="AN39">IF(ISBLANK(G39), 1, IFERROR(MATCH(G39, INDEX(Kat,,1), 0), IFERROR(MATCH(Kat, INDEX(Use,,2), 0), MATCH(Kat, INDEX(Use,,3), 0))))</f>
        <v>1</v>
      </c>
      <c r="AO39" s="246"/>
      <c r="AP39" s="228" cm="1">
        <f t="array" ref="AP39">IF(W39&gt;0, INDEX(Kat, AN39,4), 0)</f>
        <v>0</v>
      </c>
      <c r="AQ39" s="228">
        <f t="shared" ref="AQ39" si="106">IF(ISBLANK(Y39), 0, IFERROR(MATCH(Y39, INDEX(Month,,1), 0), IFERROR(MATCH(Y39, INDEX(Month,,2), 0), MATCH(Y39, INDEX(Month,,3), 0))))</f>
        <v>0</v>
      </c>
      <c r="AR39" s="228" cm="1">
        <f t="array" ref="AR39">IF(X39&gt;0, INDEX(Kat, $AN39, 4+AQ39), 0)</f>
        <v>0</v>
      </c>
      <c r="AS39" s="228" cm="1">
        <f t="array" ref="AS39">IF(X39&gt;0, INDEX(Kat, $AN39, 9+AQ39), 0)</f>
        <v>0</v>
      </c>
      <c r="AT39" s="246"/>
      <c r="AU39" s="228">
        <v>-2</v>
      </c>
      <c r="AV39" s="231">
        <v>47</v>
      </c>
      <c r="AW39" s="231">
        <v>181</v>
      </c>
      <c r="AX39" s="231">
        <v>180</v>
      </c>
      <c r="AY39" s="232">
        <f t="shared" si="6"/>
        <v>0</v>
      </c>
      <c r="AZ39" s="232">
        <f t="shared" si="6"/>
        <v>0</v>
      </c>
      <c r="BA39" s="232" t="e" cm="1">
        <f t="array" ref="BA39">MIN(INDEX(Use,BA$20,5) + MAX(0, (1-INDEX(Use,BA$20,5))*($AU39-5)/(35-5)), 1)</f>
        <v>#REF!</v>
      </c>
      <c r="BB39" s="232" t="e" cm="1">
        <f t="array" ref="BB39">MIN(INDEX(Use,BB$20,5) + MAX(0, (1-INDEX(Use,BB$20,5))*($AU39-5)/(35-5)), 1)</f>
        <v>#REF!</v>
      </c>
      <c r="BC39" s="232" t="e" cm="1">
        <f t="array" ref="BC39">MIN(INDEX(Use,BC$20,5) + MAX(0, (1-INDEX(Use,BC$20,5))*($AU39-5)/(35-5)), 1)</f>
        <v>#REF!</v>
      </c>
      <c r="BD39" s="232" t="e" cm="1">
        <f t="array" ref="BD39">MIN(INDEX(Use,BD$20,5) + MAX(0, (1-INDEX(Use,BD$20,5))*($AU39-5)/(35-5)), 1)</f>
        <v>#REF!</v>
      </c>
      <c r="BE39" s="232" t="e" cm="1">
        <f t="array" ref="BE39">MIN(INDEX(Use,BE$20,5) + MAX(0, (1-INDEX(Use,BE$20,5))*($AU39-5)/(35-5)), 1)</f>
        <v>#REF!</v>
      </c>
      <c r="BF39" s="232">
        <v>1</v>
      </c>
      <c r="BG39" s="232">
        <v>1</v>
      </c>
      <c r="BH39" s="210"/>
      <c r="BI39" s="228" cm="1">
        <f t="array" ref="BI39">INDEX(Use, $AH39, 4)</f>
        <v>7</v>
      </c>
      <c r="BJ39" s="228">
        <f t="shared" si="14"/>
        <v>32</v>
      </c>
      <c r="BK39" s="228">
        <f t="shared" si="15"/>
        <v>13</v>
      </c>
      <c r="BL39" s="228">
        <f t="shared" si="16"/>
        <v>0</v>
      </c>
      <c r="BM39" s="233" cm="1">
        <f t="array" ref="BM39">L39/IF($M39&gt;0, INDEX($AY$22:$BE$76, $M39+20, $AH39), 1)</f>
        <v>0</v>
      </c>
      <c r="BN39" s="229">
        <f t="shared" si="17"/>
        <v>0</v>
      </c>
      <c r="BO39" s="228">
        <v>35</v>
      </c>
      <c r="BP39" s="229">
        <f t="shared" si="18"/>
        <v>48</v>
      </c>
      <c r="BQ39" s="234">
        <f t="shared" si="19"/>
        <v>3.0748170731707316</v>
      </c>
      <c r="BR39" s="234" cm="1">
        <f t="array" ref="BR39">$BM39 * SUMPRODUCT(INDEX($AV$76:$AX$81,,$AI39),INDEX($AY$76:$BE$81,,$AH39), N($AU$76:$AU$81&gt;$AM39)) / BQ39 / 1000</f>
        <v>0</v>
      </c>
      <c r="BS39" s="231">
        <f t="shared" si="20"/>
        <v>30</v>
      </c>
      <c r="BT39" s="229">
        <f t="shared" si="21"/>
        <v>43</v>
      </c>
      <c r="BU39" s="234">
        <f t="shared" si="22"/>
        <v>3.5018750000000001</v>
      </c>
      <c r="BV39" s="234" cm="1">
        <f t="array" ref="BV39">$BM39 * IF($AH39&lt;=2,
SUMPRODUCT(INDEX($AV$71:$AX$75,,$AI39), INDEX($AY$71:$BE$75,,$AH39), 1 / ($BF$71:$BF$75*BU39 + (1-$BF$71:$BF$75)*BQ39), N($AU$71:$AU$75&gt;$AM39)),
SUMPRODUCT(INDEX($AV$66:$AX$75,,$AI39), INDEX($AY$66:$BE$75,,$AH39), 1 / ($BG$66:$BG$75*BU39 + (1-$BG$66:$BG$75)*BQ39), N($AU$66:$AU$75&gt;$AM39))
) / 1000</f>
        <v>0</v>
      </c>
      <c r="BW39" s="231">
        <f t="shared" si="23"/>
        <v>25</v>
      </c>
      <c r="BX39" s="229">
        <f t="shared" si="24"/>
        <v>38</v>
      </c>
      <c r="BY39" s="234">
        <f t="shared" si="25"/>
        <v>4.0666935483870965</v>
      </c>
      <c r="BZ39" s="234" cm="1">
        <f t="array" ref="BZ39">$BM39 * IF($AH39&lt;=2,
SUMPRODUCT(INDEX($AV$66:$AX$70,,$AI39), INDEX($AY$66:$BE$70,,$AH39), 1 / ($BF$66:$BF$70*BY39 + (1-$BF$66:$BF$70)*BU39), N($AU$66:$AU$70&gt;$AM39)),
SUMPRODUCT(INDEX($AV$56:$AX$65,,$AI39), INDEX($AY$56:$BE$65,,$AH39), 1 / ($BG$56:$BG$65*BY39 + (1-$BG$56:$BG$65)*BU39), N($AU$56:$AU$65&gt;$AM39))
) / 1000</f>
        <v>0</v>
      </c>
      <c r="CA39" s="231">
        <f t="shared" si="26"/>
        <v>20</v>
      </c>
      <c r="CB39" s="229">
        <f t="shared" si="27"/>
        <v>33</v>
      </c>
      <c r="CC39" s="234">
        <f t="shared" si="28"/>
        <v>4.8487499999999999</v>
      </c>
      <c r="CD39" s="234" cm="1">
        <f t="array" ref="CD39">$BM39 * IF($AH39&lt;=2,
SUMPRODUCT(INDEX($AV$61:$AX$65,,$AI39), INDEX($AY$61:$BE$65,,$AH39), 1 / ($BF$61:$BF$65*CC39 + (1-$BF$61:$BF$65)*BY39), N($AU$61:$AU$65&gt;$AM39)),
SUMPRODUCT(INDEX($AV$46:$AX$55,,$AI39), INDEX($AY$46:$BE$55,,$AH39), 1 / ($BG$46:$BG$55*CC39 + (1-$BG$46:$BG$55)*BY39), N($AU$46:$AU$55&gt;$AM39))
) / 1000</f>
        <v>0</v>
      </c>
      <c r="CE39" s="234" cm="1">
        <f t="array" ref="CE39">$BM39 * IF($AH39&lt;=2,
SUMPRODUCT(INDEX($AV$22:$AX$60,,$AI39), INDEX($AY$22:$BE$60,,$AH39), 1 / ($BF$22:$BF$60*CC39), N($AU$22:$AU$60&gt;$AM39)),
SUMPRODUCT(INDEX($AV$22:$AX$45,,$AI39), INDEX($AY$22:$BE$45,,$AH39), 1 / ($BG$22:$BG$45*CC39), N($AU$22:$AU$45&gt;$AM39))
) / 1000</f>
        <v>0</v>
      </c>
      <c r="CF39" s="229">
        <f t="shared" si="29"/>
        <v>0</v>
      </c>
      <c r="CG39" s="246"/>
      <c r="CH39" s="229">
        <f t="shared" si="30"/>
        <v>0</v>
      </c>
      <c r="CI39" s="228">
        <v>35</v>
      </c>
      <c r="CJ39" s="229">
        <f t="shared" si="31"/>
        <v>48</v>
      </c>
      <c r="CK39" s="234">
        <f t="shared" si="32"/>
        <v>3.0748170731707316</v>
      </c>
      <c r="CL39" s="234" cm="1">
        <f t="array" ref="CL39">$BM39 * SUMPRODUCT(INDEX($AV$76:$AX$81,,$AI39),INDEX($AY$76:$BE$81,,$AH39), N($AU$76:$AU$81&gt;$AM39)) / CK39 / 1000</f>
        <v>0</v>
      </c>
      <c r="CM39" s="231">
        <f t="shared" si="33"/>
        <v>30</v>
      </c>
      <c r="CN39" s="229">
        <f t="shared" si="34"/>
        <v>43</v>
      </c>
      <c r="CO39" s="234">
        <f t="shared" si="35"/>
        <v>3.5018750000000001</v>
      </c>
      <c r="CP39" s="234" cm="1">
        <f t="array" ref="CP39">$BM39 * IF($AH39&lt;=2,
SUMPRODUCT(INDEX($AV$71:$AX$75,,$AI39), INDEX($AY$71:$BE$75,,$AH39), 1 / ($BF$71:$BF$75*CO39 + (1-$BF$71:$BF$75)*CK39), N($AU$71:$AU$75&gt;$AM39)),
SUMPRODUCT(INDEX($AV$66:$AX$75,,$AI39), INDEX($AY$66:$BE$75,,$AH39), 1 / ($BG$66:$BG$75*CO39 + (1-$BG$66:$BG$75)*CK39), N($AU$66:$AU$75&gt;$AM39))
) / 1000</f>
        <v>0</v>
      </c>
      <c r="CQ39" s="231">
        <f t="shared" si="36"/>
        <v>25</v>
      </c>
      <c r="CR39" s="229">
        <f t="shared" si="37"/>
        <v>38</v>
      </c>
      <c r="CS39" s="234">
        <f t="shared" si="38"/>
        <v>4.0666935483870965</v>
      </c>
      <c r="CT39" s="234" cm="1">
        <f t="array" ref="CT39">$BM39 * IF($AH39&lt;=2,
SUMPRODUCT(INDEX($AV$66:$AX$70,,$AI39), INDEX($AY$66:$BE$70,,$AH39), 1 / ($BF$66:$BF$70*CS39 + (1-$BF$66:$BF$70)*CO39), N($AU$66:$AU$70&gt;$AM39)),
SUMPRODUCT(INDEX($AV$56:$AX$65,,$AI39), INDEX($AY$56:$BE$65,,$AH39), 1 / ($BG$56:$BG$65*CS39 + (1-$BG$56:$BG$65)*CO39), N($AU$56:$AU$65&gt;$AM39))
) / 1000</f>
        <v>0</v>
      </c>
      <c r="CU39" s="231">
        <f t="shared" si="39"/>
        <v>20</v>
      </c>
      <c r="CV39" s="229">
        <f t="shared" si="40"/>
        <v>33</v>
      </c>
      <c r="CW39" s="234">
        <f t="shared" si="41"/>
        <v>4.8487499999999999</v>
      </c>
      <c r="CX39" s="234" cm="1">
        <f t="array" ref="CX39">$BM39 * IF($AH39&lt;=2,
SUMPRODUCT(INDEX($AV$61:$AX$65,,$AI39), INDEX($AY$61:$BE$65,,$AH39), 1 / ($BF$61:$BF$65*CW39 + (1-$BF$61:$BF$65)*CS39), N($AU$61:$AU$65&gt;$AM39)),
SUMPRODUCT(INDEX($AV$46:$AX$55,,$AI39), INDEX($AY$46:$BE$55,,$AH39), 1 / ($BG$46:$BG$55*CW39 + (1-$BG$46:$BG$55)*CS39), N($AU$46:$AU$55&gt;$AM39))
) / 1000</f>
        <v>0</v>
      </c>
      <c r="CY39" s="234" cm="1">
        <f t="array" ref="CY39">$BM39 * IF($AH39&lt;=2,
SUMPRODUCT(INDEX($AV$22:$AX$60,,$AI39), INDEX($AY$22:$BE$60,,$AH39), 1 / ($BF$22:$BF$60*CW39), N($AU$22:$AU$60&gt;$AM39)),
SUMPRODUCT(INDEX($AV$22:$AX$45,,$AI39), INDEX($AY$22:$BE$45,,$AH39), 1 / ($BG$22:$BG$45*CW39), N($AU$22:$AU$45&gt;$AM39))
) / 1000</f>
        <v>0</v>
      </c>
      <c r="CZ39" s="229">
        <f t="shared" si="42"/>
        <v>0</v>
      </c>
      <c r="DA39" s="246"/>
    </row>
    <row r="40" spans="1:105" s="75" customFormat="1" ht="14.25" customHeight="1" x14ac:dyDescent="0.25">
      <c r="A40" s="230" t="b">
        <f t="shared" si="0"/>
        <v>0</v>
      </c>
      <c r="B40" s="253">
        <v>19</v>
      </c>
      <c r="C40" s="266"/>
      <c r="D40" s="266"/>
      <c r="E40" s="254"/>
      <c r="F40" s="255" t="str">
        <f>IF(ISBLANK(E40), "", VLOOKUP(E40, Z!$A$2:$C$4127, 3, FALSE))</f>
        <v/>
      </c>
      <c r="G40" s="256"/>
      <c r="H40" s="256"/>
      <c r="I40" s="256"/>
      <c r="J40" s="257"/>
      <c r="K40" s="258"/>
      <c r="L40" s="267"/>
      <c r="M40" s="268"/>
      <c r="N40" s="259" t="str" cm="1">
        <f t="array" ref="N40">IF($L40&gt;0, INDEX(Clean,1+AK40,$D$1), "")</f>
        <v/>
      </c>
      <c r="O40" s="260"/>
      <c r="P40" s="260"/>
      <c r="Q40" s="261"/>
      <c r="R40" s="264">
        <f t="shared" si="7"/>
        <v>0</v>
      </c>
      <c r="S40" s="259" t="str" cm="1">
        <f t="array" ref="S40">IF($L40&gt;0, INDEX(Clean,1+AL40,$D$1), "")</f>
        <v/>
      </c>
      <c r="T40" s="260"/>
      <c r="U40" s="260"/>
      <c r="V40" s="261"/>
      <c r="W40" s="267"/>
      <c r="X40" s="267"/>
      <c r="Y40" s="257"/>
      <c r="Z40" s="264">
        <f t="shared" si="8"/>
        <v>0</v>
      </c>
      <c r="AA40" s="269"/>
      <c r="AB40" s="266"/>
      <c r="AC40" s="254"/>
      <c r="AD40" s="255" t="str">
        <f>IF(ISBLANK(AC40), "", VLOOKUP(AC40, Z!$A$2:$C$4127, 3, FALSE))</f>
        <v/>
      </c>
      <c r="AE40" s="270"/>
      <c r="AF40" s="265">
        <f t="shared" si="9"/>
        <v>0</v>
      </c>
      <c r="AG40" s="246"/>
      <c r="AH40" s="228">
        <f t="shared" ref="AH40" si="107">IF(ISBLANK(I40), 1, IFERROR(MATCH(I40, INDEX(Use,,1), 0), IFERROR(MATCH(I40, INDEX(Use,,2), 0), MATCH(I40, INDEX(Use,,3), 0))))</f>
        <v>1</v>
      </c>
      <c r="AI40" s="228">
        <f t="shared" ref="AI40" si="108">IF(ISBLANK(H40), 1, IFERROR(MATCH(H40, INDEX(Loc,,1), 0), IFERROR(MATCH(H40, INDEX(Loc,,2), 0), MATCH(H40, INDEX(Loc,,3), 0))))</f>
        <v>1</v>
      </c>
      <c r="AJ40" s="228">
        <f t="shared" ref="AJ40" si="109">_xlfn.IFNA(IF(IFERROR(MATCH(J40, INDEX(Medium,,1), 0), IFERROR(MATCH(J40, INDEX(Medium,,2), 0), MATCH(J40, INDEX(Medium,,3), 0))) = 2, 1, 0), 0)</f>
        <v>0</v>
      </c>
      <c r="AK40" s="228">
        <v>0</v>
      </c>
      <c r="AL40" s="228">
        <v>0</v>
      </c>
      <c r="AM40" s="228">
        <f t="shared" si="4"/>
        <v>-100</v>
      </c>
      <c r="AN40" s="228" cm="1">
        <f t="array" ref="AN40">IF(ISBLANK(G40), 1, IFERROR(MATCH(G40, INDEX(Kat,,1), 0), IFERROR(MATCH(Kat, INDEX(Use,,2), 0), MATCH(Kat, INDEX(Use,,3), 0))))</f>
        <v>1</v>
      </c>
      <c r="AO40" s="246"/>
      <c r="AP40" s="228" cm="1">
        <f t="array" ref="AP40">IF(W40&gt;0, INDEX(Kat, AN40,4), 0)</f>
        <v>0</v>
      </c>
      <c r="AQ40" s="228">
        <f t="shared" ref="AQ40" si="110">IF(ISBLANK(Y40), 0, IFERROR(MATCH(Y40, INDEX(Month,,1), 0), IFERROR(MATCH(Y40, INDEX(Month,,2), 0), MATCH(Y40, INDEX(Month,,3), 0))))</f>
        <v>0</v>
      </c>
      <c r="AR40" s="228" cm="1">
        <f t="array" ref="AR40">IF(X40&gt;0, INDEX(Kat, $AN40, 4+AQ40), 0)</f>
        <v>0</v>
      </c>
      <c r="AS40" s="228" cm="1">
        <f t="array" ref="AS40">IF(X40&gt;0, INDEX(Kat, $AN40, 9+AQ40), 0)</f>
        <v>0</v>
      </c>
      <c r="AT40" s="246"/>
      <c r="AU40" s="228">
        <v>-1</v>
      </c>
      <c r="AV40" s="231">
        <v>75</v>
      </c>
      <c r="AW40" s="231">
        <v>178</v>
      </c>
      <c r="AX40" s="231">
        <v>197</v>
      </c>
      <c r="AY40" s="232">
        <f t="shared" si="6"/>
        <v>0</v>
      </c>
      <c r="AZ40" s="232">
        <f t="shared" si="6"/>
        <v>0</v>
      </c>
      <c r="BA40" s="232" t="e" cm="1">
        <f t="array" ref="BA40">MIN(INDEX(Use,BA$20,5) + MAX(0, (1-INDEX(Use,BA$20,5))*($AU40-5)/(35-5)), 1)</f>
        <v>#REF!</v>
      </c>
      <c r="BB40" s="232" t="e" cm="1">
        <f t="array" ref="BB40">MIN(INDEX(Use,BB$20,5) + MAX(0, (1-INDEX(Use,BB$20,5))*($AU40-5)/(35-5)), 1)</f>
        <v>#REF!</v>
      </c>
      <c r="BC40" s="232" t="e" cm="1">
        <f t="array" ref="BC40">MIN(INDEX(Use,BC$20,5) + MAX(0, (1-INDEX(Use,BC$20,5))*($AU40-5)/(35-5)), 1)</f>
        <v>#REF!</v>
      </c>
      <c r="BD40" s="232" t="e" cm="1">
        <f t="array" ref="BD40">MIN(INDEX(Use,BD$20,5) + MAX(0, (1-INDEX(Use,BD$20,5))*($AU40-5)/(35-5)), 1)</f>
        <v>#REF!</v>
      </c>
      <c r="BE40" s="232" t="e" cm="1">
        <f t="array" ref="BE40">MIN(INDEX(Use,BE$20,5) + MAX(0, (1-INDEX(Use,BE$20,5))*($AU40-5)/(35-5)), 1)</f>
        <v>#REF!</v>
      </c>
      <c r="BF40" s="232">
        <v>1</v>
      </c>
      <c r="BG40" s="232">
        <v>1</v>
      </c>
      <c r="BH40" s="210"/>
      <c r="BI40" s="228" cm="1">
        <f t="array" ref="BI40">INDEX(Use, $AH40, 4)</f>
        <v>7</v>
      </c>
      <c r="BJ40" s="228">
        <f t="shared" si="14"/>
        <v>32</v>
      </c>
      <c r="BK40" s="228">
        <f t="shared" si="15"/>
        <v>13</v>
      </c>
      <c r="BL40" s="228">
        <f t="shared" si="16"/>
        <v>0</v>
      </c>
      <c r="BM40" s="233" cm="1">
        <f t="array" ref="BM40">L40/IF($M40&gt;0, INDEX($AY$22:$BE$76, $M40+20, $AH40), 1)</f>
        <v>0</v>
      </c>
      <c r="BN40" s="229">
        <f t="shared" si="17"/>
        <v>0</v>
      </c>
      <c r="BO40" s="228">
        <v>35</v>
      </c>
      <c r="BP40" s="229">
        <f t="shared" si="18"/>
        <v>48</v>
      </c>
      <c r="BQ40" s="234">
        <f t="shared" si="19"/>
        <v>3.0748170731707316</v>
      </c>
      <c r="BR40" s="234" cm="1">
        <f t="array" ref="BR40">$BM40 * SUMPRODUCT(INDEX($AV$76:$AX$81,,$AI40),INDEX($AY$76:$BE$81,,$AH40), N($AU$76:$AU$81&gt;$AM40)) / BQ40 / 1000</f>
        <v>0</v>
      </c>
      <c r="BS40" s="231">
        <f t="shared" si="20"/>
        <v>30</v>
      </c>
      <c r="BT40" s="229">
        <f t="shared" si="21"/>
        <v>43</v>
      </c>
      <c r="BU40" s="234">
        <f t="shared" si="22"/>
        <v>3.5018750000000001</v>
      </c>
      <c r="BV40" s="234" cm="1">
        <f t="array" ref="BV40">$BM40 * IF($AH40&lt;=2,
SUMPRODUCT(INDEX($AV$71:$AX$75,,$AI40), INDEX($AY$71:$BE$75,,$AH40), 1 / ($BF$71:$BF$75*BU40 + (1-$BF$71:$BF$75)*BQ40), N($AU$71:$AU$75&gt;$AM40)),
SUMPRODUCT(INDEX($AV$66:$AX$75,,$AI40), INDEX($AY$66:$BE$75,,$AH40), 1 / ($BG$66:$BG$75*BU40 + (1-$BG$66:$BG$75)*BQ40), N($AU$66:$AU$75&gt;$AM40))
) / 1000</f>
        <v>0</v>
      </c>
      <c r="BW40" s="231">
        <f t="shared" si="23"/>
        <v>25</v>
      </c>
      <c r="BX40" s="229">
        <f t="shared" si="24"/>
        <v>38</v>
      </c>
      <c r="BY40" s="234">
        <f t="shared" si="25"/>
        <v>4.0666935483870965</v>
      </c>
      <c r="BZ40" s="234" cm="1">
        <f t="array" ref="BZ40">$BM40 * IF($AH40&lt;=2,
SUMPRODUCT(INDEX($AV$66:$AX$70,,$AI40), INDEX($AY$66:$BE$70,,$AH40), 1 / ($BF$66:$BF$70*BY40 + (1-$BF$66:$BF$70)*BU40), N($AU$66:$AU$70&gt;$AM40)),
SUMPRODUCT(INDEX($AV$56:$AX$65,,$AI40), INDEX($AY$56:$BE$65,,$AH40), 1 / ($BG$56:$BG$65*BY40 + (1-$BG$56:$BG$65)*BU40), N($AU$56:$AU$65&gt;$AM40))
) / 1000</f>
        <v>0</v>
      </c>
      <c r="CA40" s="231">
        <f t="shared" si="26"/>
        <v>20</v>
      </c>
      <c r="CB40" s="229">
        <f t="shared" si="27"/>
        <v>33</v>
      </c>
      <c r="CC40" s="234">
        <f t="shared" si="28"/>
        <v>4.8487499999999999</v>
      </c>
      <c r="CD40" s="234" cm="1">
        <f t="array" ref="CD40">$BM40 * IF($AH40&lt;=2,
SUMPRODUCT(INDEX($AV$61:$AX$65,,$AI40), INDEX($AY$61:$BE$65,,$AH40), 1 / ($BF$61:$BF$65*CC40 + (1-$BF$61:$BF$65)*BY40), N($AU$61:$AU$65&gt;$AM40)),
SUMPRODUCT(INDEX($AV$46:$AX$55,,$AI40), INDEX($AY$46:$BE$55,,$AH40), 1 / ($BG$46:$BG$55*CC40 + (1-$BG$46:$BG$55)*BY40), N($AU$46:$AU$55&gt;$AM40))
) / 1000</f>
        <v>0</v>
      </c>
      <c r="CE40" s="234" cm="1">
        <f t="array" ref="CE40">$BM40 * IF($AH40&lt;=2,
SUMPRODUCT(INDEX($AV$22:$AX$60,,$AI40), INDEX($AY$22:$BE$60,,$AH40), 1 / ($BF$22:$BF$60*CC40), N($AU$22:$AU$60&gt;$AM40)),
SUMPRODUCT(INDEX($AV$22:$AX$45,,$AI40), INDEX($AY$22:$BE$45,,$AH40), 1 / ($BG$22:$BG$45*CC40), N($AU$22:$AU$45&gt;$AM40))
) / 1000</f>
        <v>0</v>
      </c>
      <c r="CF40" s="229">
        <f t="shared" si="29"/>
        <v>0</v>
      </c>
      <c r="CG40" s="246"/>
      <c r="CH40" s="229">
        <f t="shared" si="30"/>
        <v>0</v>
      </c>
      <c r="CI40" s="228">
        <v>35</v>
      </c>
      <c r="CJ40" s="229">
        <f t="shared" si="31"/>
        <v>48</v>
      </c>
      <c r="CK40" s="234">
        <f t="shared" si="32"/>
        <v>3.0748170731707316</v>
      </c>
      <c r="CL40" s="234" cm="1">
        <f t="array" ref="CL40">$BM40 * SUMPRODUCT(INDEX($AV$76:$AX$81,,$AI40),INDEX($AY$76:$BE$81,,$AH40), N($AU$76:$AU$81&gt;$AM40)) / CK40 / 1000</f>
        <v>0</v>
      </c>
      <c r="CM40" s="231">
        <f t="shared" si="33"/>
        <v>30</v>
      </c>
      <c r="CN40" s="229">
        <f t="shared" si="34"/>
        <v>43</v>
      </c>
      <c r="CO40" s="234">
        <f t="shared" si="35"/>
        <v>3.5018750000000001</v>
      </c>
      <c r="CP40" s="234" cm="1">
        <f t="array" ref="CP40">$BM40 * IF($AH40&lt;=2,
SUMPRODUCT(INDEX($AV$71:$AX$75,,$AI40), INDEX($AY$71:$BE$75,,$AH40), 1 / ($BF$71:$BF$75*CO40 + (1-$BF$71:$BF$75)*CK40), N($AU$71:$AU$75&gt;$AM40)),
SUMPRODUCT(INDEX($AV$66:$AX$75,,$AI40), INDEX($AY$66:$BE$75,,$AH40), 1 / ($BG$66:$BG$75*CO40 + (1-$BG$66:$BG$75)*CK40), N($AU$66:$AU$75&gt;$AM40))
) / 1000</f>
        <v>0</v>
      </c>
      <c r="CQ40" s="231">
        <f t="shared" si="36"/>
        <v>25</v>
      </c>
      <c r="CR40" s="229">
        <f t="shared" si="37"/>
        <v>38</v>
      </c>
      <c r="CS40" s="234">
        <f t="shared" si="38"/>
        <v>4.0666935483870965</v>
      </c>
      <c r="CT40" s="234" cm="1">
        <f t="array" ref="CT40">$BM40 * IF($AH40&lt;=2,
SUMPRODUCT(INDEX($AV$66:$AX$70,,$AI40), INDEX($AY$66:$BE$70,,$AH40), 1 / ($BF$66:$BF$70*CS40 + (1-$BF$66:$BF$70)*CO40), N($AU$66:$AU$70&gt;$AM40)),
SUMPRODUCT(INDEX($AV$56:$AX$65,,$AI40), INDEX($AY$56:$BE$65,,$AH40), 1 / ($BG$56:$BG$65*CS40 + (1-$BG$56:$BG$65)*CO40), N($AU$56:$AU$65&gt;$AM40))
) / 1000</f>
        <v>0</v>
      </c>
      <c r="CU40" s="231">
        <f t="shared" si="39"/>
        <v>20</v>
      </c>
      <c r="CV40" s="229">
        <f t="shared" si="40"/>
        <v>33</v>
      </c>
      <c r="CW40" s="234">
        <f t="shared" si="41"/>
        <v>4.8487499999999999</v>
      </c>
      <c r="CX40" s="234" cm="1">
        <f t="array" ref="CX40">$BM40 * IF($AH40&lt;=2,
SUMPRODUCT(INDEX($AV$61:$AX$65,,$AI40), INDEX($AY$61:$BE$65,,$AH40), 1 / ($BF$61:$BF$65*CW40 + (1-$BF$61:$BF$65)*CS40), N($AU$61:$AU$65&gt;$AM40)),
SUMPRODUCT(INDEX($AV$46:$AX$55,,$AI40), INDEX($AY$46:$BE$55,,$AH40), 1 / ($BG$46:$BG$55*CW40 + (1-$BG$46:$BG$55)*CS40), N($AU$46:$AU$55&gt;$AM40))
) / 1000</f>
        <v>0</v>
      </c>
      <c r="CY40" s="234" cm="1">
        <f t="array" ref="CY40">$BM40 * IF($AH40&lt;=2,
SUMPRODUCT(INDEX($AV$22:$AX$60,,$AI40), INDEX($AY$22:$BE$60,,$AH40), 1 / ($BF$22:$BF$60*CW40), N($AU$22:$AU$60&gt;$AM40)),
SUMPRODUCT(INDEX($AV$22:$AX$45,,$AI40), INDEX($AY$22:$BE$45,,$AH40), 1 / ($BG$22:$BG$45*CW40), N($AU$22:$AU$45&gt;$AM40))
) / 1000</f>
        <v>0</v>
      </c>
      <c r="CZ40" s="229">
        <f t="shared" si="42"/>
        <v>0</v>
      </c>
      <c r="DA40" s="246"/>
    </row>
    <row r="41" spans="1:105" s="75" customFormat="1" ht="14.25" customHeight="1" x14ac:dyDescent="0.25">
      <c r="A41" s="230" t="b">
        <f t="shared" si="0"/>
        <v>0</v>
      </c>
      <c r="B41" s="253">
        <v>20</v>
      </c>
      <c r="C41" s="266"/>
      <c r="D41" s="266"/>
      <c r="E41" s="254"/>
      <c r="F41" s="255" t="str">
        <f>IF(ISBLANK(E41), "", VLOOKUP(E41, Z!$A$2:$C$4127, 3, FALSE))</f>
        <v/>
      </c>
      <c r="G41" s="256"/>
      <c r="H41" s="256"/>
      <c r="I41" s="256"/>
      <c r="J41" s="257"/>
      <c r="K41" s="258"/>
      <c r="L41" s="267"/>
      <c r="M41" s="268"/>
      <c r="N41" s="259" t="str" cm="1">
        <f t="array" ref="N41">IF($L41&gt;0, INDEX(Clean,1+AK41,$D$1), "")</f>
        <v/>
      </c>
      <c r="O41" s="260"/>
      <c r="P41" s="260"/>
      <c r="Q41" s="261"/>
      <c r="R41" s="264">
        <f t="shared" si="7"/>
        <v>0</v>
      </c>
      <c r="S41" s="259" t="str" cm="1">
        <f t="array" ref="S41">IF($L41&gt;0, INDEX(Clean,1+AL41,$D$1), "")</f>
        <v/>
      </c>
      <c r="T41" s="260"/>
      <c r="U41" s="260"/>
      <c r="V41" s="261"/>
      <c r="W41" s="267"/>
      <c r="X41" s="267"/>
      <c r="Y41" s="257"/>
      <c r="Z41" s="264">
        <f t="shared" si="8"/>
        <v>0</v>
      </c>
      <c r="AA41" s="269"/>
      <c r="AB41" s="266"/>
      <c r="AC41" s="254"/>
      <c r="AD41" s="255" t="str">
        <f>IF(ISBLANK(AC41), "", VLOOKUP(AC41, Z!$A$2:$C$4127, 3, FALSE))</f>
        <v/>
      </c>
      <c r="AE41" s="270"/>
      <c r="AF41" s="265">
        <f t="shared" si="9"/>
        <v>0</v>
      </c>
      <c r="AG41" s="246"/>
      <c r="AH41" s="228">
        <f t="shared" ref="AH41" si="111">IF(ISBLANK(I41), 1, IFERROR(MATCH(I41, INDEX(Use,,1), 0), IFERROR(MATCH(I41, INDEX(Use,,2), 0), MATCH(I41, INDEX(Use,,3), 0))))</f>
        <v>1</v>
      </c>
      <c r="AI41" s="228">
        <f t="shared" ref="AI41" si="112">IF(ISBLANK(H41), 1, IFERROR(MATCH(H41, INDEX(Loc,,1), 0), IFERROR(MATCH(H41, INDEX(Loc,,2), 0), MATCH(H41, INDEX(Loc,,3), 0))))</f>
        <v>1</v>
      </c>
      <c r="AJ41" s="228">
        <f t="shared" ref="AJ41" si="113">_xlfn.IFNA(IF(IFERROR(MATCH(J41, INDEX(Medium,,1), 0), IFERROR(MATCH(J41, INDEX(Medium,,2), 0), MATCH(J41, INDEX(Medium,,3), 0))) = 2, 1, 0), 0)</f>
        <v>0</v>
      </c>
      <c r="AK41" s="228">
        <v>0</v>
      </c>
      <c r="AL41" s="228">
        <v>0</v>
      </c>
      <c r="AM41" s="228">
        <f t="shared" si="4"/>
        <v>-100</v>
      </c>
      <c r="AN41" s="228" cm="1">
        <f t="array" ref="AN41">IF(ISBLANK(G41), 1, IFERROR(MATCH(G41, INDEX(Kat,,1), 0), IFERROR(MATCH(Kat, INDEX(Use,,2), 0), MATCH(Kat, INDEX(Use,,3), 0))))</f>
        <v>1</v>
      </c>
      <c r="AO41" s="246"/>
      <c r="AP41" s="228" cm="1">
        <f t="array" ref="AP41">IF(W41&gt;0, INDEX(Kat, AN41,4), 0)</f>
        <v>0</v>
      </c>
      <c r="AQ41" s="228">
        <f t="shared" ref="AQ41" si="114">IF(ISBLANK(Y41), 0, IFERROR(MATCH(Y41, INDEX(Month,,1), 0), IFERROR(MATCH(Y41, INDEX(Month,,2), 0), MATCH(Y41, INDEX(Month,,3), 0))))</f>
        <v>0</v>
      </c>
      <c r="AR41" s="228" cm="1">
        <f t="array" ref="AR41">IF(X41&gt;0, INDEX(Kat, $AN41, 4+AQ41), 0)</f>
        <v>0</v>
      </c>
      <c r="AS41" s="228" cm="1">
        <f t="array" ref="AS41">IF(X41&gt;0, INDEX(Kat, $AN41, 9+AQ41), 0)</f>
        <v>0</v>
      </c>
      <c r="AT41" s="246"/>
      <c r="AU41" s="228">
        <v>0</v>
      </c>
      <c r="AV41" s="231">
        <v>131</v>
      </c>
      <c r="AW41" s="231">
        <v>189</v>
      </c>
      <c r="AX41" s="231">
        <v>249</v>
      </c>
      <c r="AY41" s="232">
        <f t="shared" si="6"/>
        <v>0</v>
      </c>
      <c r="AZ41" s="232">
        <f t="shared" si="6"/>
        <v>0</v>
      </c>
      <c r="BA41" s="232" t="e" cm="1">
        <f t="array" ref="BA41">MIN(INDEX(Use,BA$20,5) + MAX(0, (1-INDEX(Use,BA$20,5))*($AU41-5)/(35-5)), 1)</f>
        <v>#REF!</v>
      </c>
      <c r="BB41" s="232" t="e" cm="1">
        <f t="array" ref="BB41">MIN(INDEX(Use,BB$20,5) + MAX(0, (1-INDEX(Use,BB$20,5))*($AU41-5)/(35-5)), 1)</f>
        <v>#REF!</v>
      </c>
      <c r="BC41" s="232" t="e" cm="1">
        <f t="array" ref="BC41">MIN(INDEX(Use,BC$20,5) + MAX(0, (1-INDEX(Use,BC$20,5))*($AU41-5)/(35-5)), 1)</f>
        <v>#REF!</v>
      </c>
      <c r="BD41" s="232" t="e" cm="1">
        <f t="array" ref="BD41">MIN(INDEX(Use,BD$20,5) + MAX(0, (1-INDEX(Use,BD$20,5))*($AU41-5)/(35-5)), 1)</f>
        <v>#REF!</v>
      </c>
      <c r="BE41" s="232" t="e" cm="1">
        <f t="array" ref="BE41">MIN(INDEX(Use,BE$20,5) + MAX(0, (1-INDEX(Use,BE$20,5))*($AU41-5)/(35-5)), 1)</f>
        <v>#REF!</v>
      </c>
      <c r="BF41" s="232">
        <v>1</v>
      </c>
      <c r="BG41" s="232">
        <v>1</v>
      </c>
      <c r="BH41" s="210"/>
      <c r="BI41" s="228" cm="1">
        <f t="array" ref="BI41">INDEX(Use, $AH41, 4)</f>
        <v>7</v>
      </c>
      <c r="BJ41" s="228">
        <f t="shared" si="14"/>
        <v>32</v>
      </c>
      <c r="BK41" s="228">
        <f t="shared" si="15"/>
        <v>13</v>
      </c>
      <c r="BL41" s="228">
        <f t="shared" si="16"/>
        <v>0</v>
      </c>
      <c r="BM41" s="233" cm="1">
        <f t="array" ref="BM41">L41/IF($M41&gt;0, INDEX($AY$22:$BE$76, $M41+20, $AH41), 1)</f>
        <v>0</v>
      </c>
      <c r="BN41" s="229">
        <f t="shared" si="17"/>
        <v>0</v>
      </c>
      <c r="BO41" s="228">
        <v>35</v>
      </c>
      <c r="BP41" s="229">
        <f t="shared" si="18"/>
        <v>48</v>
      </c>
      <c r="BQ41" s="234">
        <f t="shared" si="19"/>
        <v>3.0748170731707316</v>
      </c>
      <c r="BR41" s="234" cm="1">
        <f t="array" ref="BR41">$BM41 * SUMPRODUCT(INDEX($AV$76:$AX$81,,$AI41),INDEX($AY$76:$BE$81,,$AH41), N($AU$76:$AU$81&gt;$AM41)) / BQ41 / 1000</f>
        <v>0</v>
      </c>
      <c r="BS41" s="231">
        <f t="shared" si="20"/>
        <v>30</v>
      </c>
      <c r="BT41" s="229">
        <f t="shared" si="21"/>
        <v>43</v>
      </c>
      <c r="BU41" s="234">
        <f t="shared" si="22"/>
        <v>3.5018750000000001</v>
      </c>
      <c r="BV41" s="234" cm="1">
        <f t="array" ref="BV41">$BM41 * IF($AH41&lt;=2,
SUMPRODUCT(INDEX($AV$71:$AX$75,,$AI41), INDEX($AY$71:$BE$75,,$AH41), 1 / ($BF$71:$BF$75*BU41 + (1-$BF$71:$BF$75)*BQ41), N($AU$71:$AU$75&gt;$AM41)),
SUMPRODUCT(INDEX($AV$66:$AX$75,,$AI41), INDEX($AY$66:$BE$75,,$AH41), 1 / ($BG$66:$BG$75*BU41 + (1-$BG$66:$BG$75)*BQ41), N($AU$66:$AU$75&gt;$AM41))
) / 1000</f>
        <v>0</v>
      </c>
      <c r="BW41" s="231">
        <f t="shared" si="23"/>
        <v>25</v>
      </c>
      <c r="BX41" s="229">
        <f t="shared" si="24"/>
        <v>38</v>
      </c>
      <c r="BY41" s="234">
        <f t="shared" si="25"/>
        <v>4.0666935483870965</v>
      </c>
      <c r="BZ41" s="234" cm="1">
        <f t="array" ref="BZ41">$BM41 * IF($AH41&lt;=2,
SUMPRODUCT(INDEX($AV$66:$AX$70,,$AI41), INDEX($AY$66:$BE$70,,$AH41), 1 / ($BF$66:$BF$70*BY41 + (1-$BF$66:$BF$70)*BU41), N($AU$66:$AU$70&gt;$AM41)),
SUMPRODUCT(INDEX($AV$56:$AX$65,,$AI41), INDEX($AY$56:$BE$65,,$AH41), 1 / ($BG$56:$BG$65*BY41 + (1-$BG$56:$BG$65)*BU41), N($AU$56:$AU$65&gt;$AM41))
) / 1000</f>
        <v>0</v>
      </c>
      <c r="CA41" s="231">
        <f t="shared" si="26"/>
        <v>20</v>
      </c>
      <c r="CB41" s="229">
        <f t="shared" si="27"/>
        <v>33</v>
      </c>
      <c r="CC41" s="234">
        <f t="shared" si="28"/>
        <v>4.8487499999999999</v>
      </c>
      <c r="CD41" s="234" cm="1">
        <f t="array" ref="CD41">$BM41 * IF($AH41&lt;=2,
SUMPRODUCT(INDEX($AV$61:$AX$65,,$AI41), INDEX($AY$61:$BE$65,,$AH41), 1 / ($BF$61:$BF$65*CC41 + (1-$BF$61:$BF$65)*BY41), N($AU$61:$AU$65&gt;$AM41)),
SUMPRODUCT(INDEX($AV$46:$AX$55,,$AI41), INDEX($AY$46:$BE$55,,$AH41), 1 / ($BG$46:$BG$55*CC41 + (1-$BG$46:$BG$55)*BY41), N($AU$46:$AU$55&gt;$AM41))
) / 1000</f>
        <v>0</v>
      </c>
      <c r="CE41" s="234" cm="1">
        <f t="array" ref="CE41">$BM41 * IF($AH41&lt;=2,
SUMPRODUCT(INDEX($AV$22:$AX$60,,$AI41), INDEX($AY$22:$BE$60,,$AH41), 1 / ($BF$22:$BF$60*CC41), N($AU$22:$AU$60&gt;$AM41)),
SUMPRODUCT(INDEX($AV$22:$AX$45,,$AI41), INDEX($AY$22:$BE$45,,$AH41), 1 / ($BG$22:$BG$45*CC41), N($AU$22:$AU$45&gt;$AM41))
) / 1000</f>
        <v>0</v>
      </c>
      <c r="CF41" s="229">
        <f t="shared" si="29"/>
        <v>0</v>
      </c>
      <c r="CG41" s="246"/>
      <c r="CH41" s="229">
        <f t="shared" si="30"/>
        <v>0</v>
      </c>
      <c r="CI41" s="228">
        <v>35</v>
      </c>
      <c r="CJ41" s="229">
        <f t="shared" si="31"/>
        <v>48</v>
      </c>
      <c r="CK41" s="234">
        <f t="shared" si="32"/>
        <v>3.0748170731707316</v>
      </c>
      <c r="CL41" s="234" cm="1">
        <f t="array" ref="CL41">$BM41 * SUMPRODUCT(INDEX($AV$76:$AX$81,,$AI41),INDEX($AY$76:$BE$81,,$AH41), N($AU$76:$AU$81&gt;$AM41)) / CK41 / 1000</f>
        <v>0</v>
      </c>
      <c r="CM41" s="231">
        <f t="shared" si="33"/>
        <v>30</v>
      </c>
      <c r="CN41" s="229">
        <f t="shared" si="34"/>
        <v>43</v>
      </c>
      <c r="CO41" s="234">
        <f t="shared" si="35"/>
        <v>3.5018750000000001</v>
      </c>
      <c r="CP41" s="234" cm="1">
        <f t="array" ref="CP41">$BM41 * IF($AH41&lt;=2,
SUMPRODUCT(INDEX($AV$71:$AX$75,,$AI41), INDEX($AY$71:$BE$75,,$AH41), 1 / ($BF$71:$BF$75*CO41 + (1-$BF$71:$BF$75)*CK41), N($AU$71:$AU$75&gt;$AM41)),
SUMPRODUCT(INDEX($AV$66:$AX$75,,$AI41), INDEX($AY$66:$BE$75,,$AH41), 1 / ($BG$66:$BG$75*CO41 + (1-$BG$66:$BG$75)*CK41), N($AU$66:$AU$75&gt;$AM41))
) / 1000</f>
        <v>0</v>
      </c>
      <c r="CQ41" s="231">
        <f t="shared" si="36"/>
        <v>25</v>
      </c>
      <c r="CR41" s="229">
        <f t="shared" si="37"/>
        <v>38</v>
      </c>
      <c r="CS41" s="234">
        <f t="shared" si="38"/>
        <v>4.0666935483870965</v>
      </c>
      <c r="CT41" s="234" cm="1">
        <f t="array" ref="CT41">$BM41 * IF($AH41&lt;=2,
SUMPRODUCT(INDEX($AV$66:$AX$70,,$AI41), INDEX($AY$66:$BE$70,,$AH41), 1 / ($BF$66:$BF$70*CS41 + (1-$BF$66:$BF$70)*CO41), N($AU$66:$AU$70&gt;$AM41)),
SUMPRODUCT(INDEX($AV$56:$AX$65,,$AI41), INDEX($AY$56:$BE$65,,$AH41), 1 / ($BG$56:$BG$65*CS41 + (1-$BG$56:$BG$65)*CO41), N($AU$56:$AU$65&gt;$AM41))
) / 1000</f>
        <v>0</v>
      </c>
      <c r="CU41" s="231">
        <f t="shared" si="39"/>
        <v>20</v>
      </c>
      <c r="CV41" s="229">
        <f t="shared" si="40"/>
        <v>33</v>
      </c>
      <c r="CW41" s="234">
        <f t="shared" si="41"/>
        <v>4.8487499999999999</v>
      </c>
      <c r="CX41" s="234" cm="1">
        <f t="array" ref="CX41">$BM41 * IF($AH41&lt;=2,
SUMPRODUCT(INDEX($AV$61:$AX$65,,$AI41), INDEX($AY$61:$BE$65,,$AH41), 1 / ($BF$61:$BF$65*CW41 + (1-$BF$61:$BF$65)*CS41), N($AU$61:$AU$65&gt;$AM41)),
SUMPRODUCT(INDEX($AV$46:$AX$55,,$AI41), INDEX($AY$46:$BE$55,,$AH41), 1 / ($BG$46:$BG$55*CW41 + (1-$BG$46:$BG$55)*CS41), N($AU$46:$AU$55&gt;$AM41))
) / 1000</f>
        <v>0</v>
      </c>
      <c r="CY41" s="234" cm="1">
        <f t="array" ref="CY41">$BM41 * IF($AH41&lt;=2,
SUMPRODUCT(INDEX($AV$22:$AX$60,,$AI41), INDEX($AY$22:$BE$60,,$AH41), 1 / ($BF$22:$BF$60*CW41), N($AU$22:$AU$60&gt;$AM41)),
SUMPRODUCT(INDEX($AV$22:$AX$45,,$AI41), INDEX($AY$22:$BE$45,,$AH41), 1 / ($BG$22:$BG$45*CW41), N($AU$22:$AU$45&gt;$AM41))
) / 1000</f>
        <v>0</v>
      </c>
      <c r="CZ41" s="229">
        <f t="shared" si="42"/>
        <v>0</v>
      </c>
      <c r="DA41" s="246"/>
    </row>
    <row r="42" spans="1:105" s="75" customFormat="1" ht="14.25" customHeight="1" x14ac:dyDescent="0.25">
      <c r="A42" s="230" t="b">
        <f t="shared" si="0"/>
        <v>0</v>
      </c>
      <c r="B42" s="253">
        <v>21</v>
      </c>
      <c r="C42" s="266"/>
      <c r="D42" s="266"/>
      <c r="E42" s="254"/>
      <c r="F42" s="255" t="str">
        <f>IF(ISBLANK(E42), "", VLOOKUP(E42, Z!$A$2:$C$4127, 3, FALSE))</f>
        <v/>
      </c>
      <c r="G42" s="256"/>
      <c r="H42" s="256"/>
      <c r="I42" s="256"/>
      <c r="J42" s="257"/>
      <c r="K42" s="258"/>
      <c r="L42" s="267"/>
      <c r="M42" s="268"/>
      <c r="N42" s="259" t="str" cm="1">
        <f t="array" ref="N42">IF($L42&gt;0, INDEX(Clean,1+AK42,$D$1), "")</f>
        <v/>
      </c>
      <c r="O42" s="260"/>
      <c r="P42" s="260"/>
      <c r="Q42" s="261"/>
      <c r="R42" s="264">
        <f t="shared" si="7"/>
        <v>0</v>
      </c>
      <c r="S42" s="259" t="str" cm="1">
        <f t="array" ref="S42">IF($L42&gt;0, INDEX(Clean,1+AL42,$D$1), "")</f>
        <v/>
      </c>
      <c r="T42" s="260"/>
      <c r="U42" s="260"/>
      <c r="V42" s="261"/>
      <c r="W42" s="267"/>
      <c r="X42" s="267"/>
      <c r="Y42" s="257"/>
      <c r="Z42" s="264">
        <f t="shared" si="8"/>
        <v>0</v>
      </c>
      <c r="AA42" s="269"/>
      <c r="AB42" s="266"/>
      <c r="AC42" s="254"/>
      <c r="AD42" s="255" t="str">
        <f>IF(ISBLANK(AC42), "", VLOOKUP(AC42, Z!$A$2:$C$4127, 3, FALSE))</f>
        <v/>
      </c>
      <c r="AE42" s="270"/>
      <c r="AF42" s="265">
        <f t="shared" si="9"/>
        <v>0</v>
      </c>
      <c r="AG42" s="246"/>
      <c r="AH42" s="228">
        <f t="shared" ref="AH42" si="115">IF(ISBLANK(I42), 1, IFERROR(MATCH(I42, INDEX(Use,,1), 0), IFERROR(MATCH(I42, INDEX(Use,,2), 0), MATCH(I42, INDEX(Use,,3), 0))))</f>
        <v>1</v>
      </c>
      <c r="AI42" s="228">
        <f t="shared" ref="AI42" si="116">IF(ISBLANK(H42), 1, IFERROR(MATCH(H42, INDEX(Loc,,1), 0), IFERROR(MATCH(H42, INDEX(Loc,,2), 0), MATCH(H42, INDEX(Loc,,3), 0))))</f>
        <v>1</v>
      </c>
      <c r="AJ42" s="228">
        <f t="shared" ref="AJ42" si="117">_xlfn.IFNA(IF(IFERROR(MATCH(J42, INDEX(Medium,,1), 0), IFERROR(MATCH(J42, INDEX(Medium,,2), 0), MATCH(J42, INDEX(Medium,,3), 0))) = 2, 1, 0), 0)</f>
        <v>0</v>
      </c>
      <c r="AK42" s="228">
        <v>0</v>
      </c>
      <c r="AL42" s="228">
        <v>0</v>
      </c>
      <c r="AM42" s="228">
        <f t="shared" si="4"/>
        <v>-100</v>
      </c>
      <c r="AN42" s="228" cm="1">
        <f t="array" ref="AN42">IF(ISBLANK(G42), 1, IFERROR(MATCH(G42, INDEX(Kat,,1), 0), IFERROR(MATCH(Kat, INDEX(Use,,2), 0), MATCH(Kat, INDEX(Use,,3), 0))))</f>
        <v>1</v>
      </c>
      <c r="AO42" s="246"/>
      <c r="AP42" s="228" cm="1">
        <f t="array" ref="AP42">IF(W42&gt;0, INDEX(Kat, AN42,4), 0)</f>
        <v>0</v>
      </c>
      <c r="AQ42" s="228">
        <f t="shared" ref="AQ42" si="118">IF(ISBLANK(Y42), 0, IFERROR(MATCH(Y42, INDEX(Month,,1), 0), IFERROR(MATCH(Y42, INDEX(Month,,2), 0), MATCH(Y42, INDEX(Month,,3), 0))))</f>
        <v>0</v>
      </c>
      <c r="AR42" s="228" cm="1">
        <f t="array" ref="AR42">IF(X42&gt;0, INDEX(Kat, $AN42, 4+AQ42), 0)</f>
        <v>0</v>
      </c>
      <c r="AS42" s="228" cm="1">
        <f t="array" ref="AS42">IF(X42&gt;0, INDEX(Kat, $AN42, 9+AQ42), 0)</f>
        <v>0</v>
      </c>
      <c r="AT42" s="246"/>
      <c r="AU42" s="228">
        <v>1</v>
      </c>
      <c r="AV42" s="231">
        <v>184</v>
      </c>
      <c r="AW42" s="231">
        <v>295</v>
      </c>
      <c r="AX42" s="231">
        <v>332</v>
      </c>
      <c r="AY42" s="232">
        <f t="shared" si="6"/>
        <v>0</v>
      </c>
      <c r="AZ42" s="232">
        <f t="shared" si="6"/>
        <v>0</v>
      </c>
      <c r="BA42" s="232" t="e" cm="1">
        <f t="array" ref="BA42">MIN(INDEX(Use,BA$20,5) + MAX(0, (1-INDEX(Use,BA$20,5))*($AU42-5)/(35-5)), 1)</f>
        <v>#REF!</v>
      </c>
      <c r="BB42" s="232" t="e" cm="1">
        <f t="array" ref="BB42">MIN(INDEX(Use,BB$20,5) + MAX(0, (1-INDEX(Use,BB$20,5))*($AU42-5)/(35-5)), 1)</f>
        <v>#REF!</v>
      </c>
      <c r="BC42" s="232" t="e" cm="1">
        <f t="array" ref="BC42">MIN(INDEX(Use,BC$20,5) + MAX(0, (1-INDEX(Use,BC$20,5))*($AU42-5)/(35-5)), 1)</f>
        <v>#REF!</v>
      </c>
      <c r="BD42" s="232" t="e" cm="1">
        <f t="array" ref="BD42">MIN(INDEX(Use,BD$20,5) + MAX(0, (1-INDEX(Use,BD$20,5))*($AU42-5)/(35-5)), 1)</f>
        <v>#REF!</v>
      </c>
      <c r="BE42" s="232" t="e" cm="1">
        <f t="array" ref="BE42">MIN(INDEX(Use,BE$20,5) + MAX(0, (1-INDEX(Use,BE$20,5))*($AU42-5)/(35-5)), 1)</f>
        <v>#REF!</v>
      </c>
      <c r="BF42" s="232">
        <v>1</v>
      </c>
      <c r="BG42" s="232">
        <v>1</v>
      </c>
      <c r="BH42" s="210"/>
      <c r="BI42" s="228" cm="1">
        <f t="array" ref="BI42">INDEX(Use, $AH42, 4)</f>
        <v>7</v>
      </c>
      <c r="BJ42" s="228">
        <f t="shared" si="14"/>
        <v>32</v>
      </c>
      <c r="BK42" s="228">
        <f t="shared" si="15"/>
        <v>13</v>
      </c>
      <c r="BL42" s="228">
        <f t="shared" si="16"/>
        <v>0</v>
      </c>
      <c r="BM42" s="233" cm="1">
        <f t="array" ref="BM42">L42/IF($M42&gt;0, INDEX($AY$22:$BE$76, $M42+20, $AH42), 1)</f>
        <v>0</v>
      </c>
      <c r="BN42" s="229">
        <f t="shared" si="17"/>
        <v>0</v>
      </c>
      <c r="BO42" s="228">
        <v>35</v>
      </c>
      <c r="BP42" s="229">
        <f t="shared" si="18"/>
        <v>48</v>
      </c>
      <c r="BQ42" s="234">
        <f t="shared" si="19"/>
        <v>3.0748170731707316</v>
      </c>
      <c r="BR42" s="234" cm="1">
        <f t="array" ref="BR42">$BM42 * SUMPRODUCT(INDEX($AV$76:$AX$81,,$AI42),INDEX($AY$76:$BE$81,,$AH42), N($AU$76:$AU$81&gt;$AM42)) / BQ42 / 1000</f>
        <v>0</v>
      </c>
      <c r="BS42" s="231">
        <f t="shared" si="20"/>
        <v>30</v>
      </c>
      <c r="BT42" s="229">
        <f t="shared" si="21"/>
        <v>43</v>
      </c>
      <c r="BU42" s="234">
        <f t="shared" si="22"/>
        <v>3.5018750000000001</v>
      </c>
      <c r="BV42" s="234" cm="1">
        <f t="array" ref="BV42">$BM42 * IF($AH42&lt;=2,
SUMPRODUCT(INDEX($AV$71:$AX$75,,$AI42), INDEX($AY$71:$BE$75,,$AH42), 1 / ($BF$71:$BF$75*BU42 + (1-$BF$71:$BF$75)*BQ42), N($AU$71:$AU$75&gt;$AM42)),
SUMPRODUCT(INDEX($AV$66:$AX$75,,$AI42), INDEX($AY$66:$BE$75,,$AH42), 1 / ($BG$66:$BG$75*BU42 + (1-$BG$66:$BG$75)*BQ42), N($AU$66:$AU$75&gt;$AM42))
) / 1000</f>
        <v>0</v>
      </c>
      <c r="BW42" s="231">
        <f t="shared" si="23"/>
        <v>25</v>
      </c>
      <c r="BX42" s="229">
        <f t="shared" si="24"/>
        <v>38</v>
      </c>
      <c r="BY42" s="234">
        <f t="shared" si="25"/>
        <v>4.0666935483870965</v>
      </c>
      <c r="BZ42" s="234" cm="1">
        <f t="array" ref="BZ42">$BM42 * IF($AH42&lt;=2,
SUMPRODUCT(INDEX($AV$66:$AX$70,,$AI42), INDEX($AY$66:$BE$70,,$AH42), 1 / ($BF$66:$BF$70*BY42 + (1-$BF$66:$BF$70)*BU42), N($AU$66:$AU$70&gt;$AM42)),
SUMPRODUCT(INDEX($AV$56:$AX$65,,$AI42), INDEX($AY$56:$BE$65,,$AH42), 1 / ($BG$56:$BG$65*BY42 + (1-$BG$56:$BG$65)*BU42), N($AU$56:$AU$65&gt;$AM42))
) / 1000</f>
        <v>0</v>
      </c>
      <c r="CA42" s="231">
        <f t="shared" si="26"/>
        <v>20</v>
      </c>
      <c r="CB42" s="229">
        <f t="shared" si="27"/>
        <v>33</v>
      </c>
      <c r="CC42" s="234">
        <f t="shared" si="28"/>
        <v>4.8487499999999999</v>
      </c>
      <c r="CD42" s="234" cm="1">
        <f t="array" ref="CD42">$BM42 * IF($AH42&lt;=2,
SUMPRODUCT(INDEX($AV$61:$AX$65,,$AI42), INDEX($AY$61:$BE$65,,$AH42), 1 / ($BF$61:$BF$65*CC42 + (1-$BF$61:$BF$65)*BY42), N($AU$61:$AU$65&gt;$AM42)),
SUMPRODUCT(INDEX($AV$46:$AX$55,,$AI42), INDEX($AY$46:$BE$55,,$AH42), 1 / ($BG$46:$BG$55*CC42 + (1-$BG$46:$BG$55)*BY42), N($AU$46:$AU$55&gt;$AM42))
) / 1000</f>
        <v>0</v>
      </c>
      <c r="CE42" s="234" cm="1">
        <f t="array" ref="CE42">$BM42 * IF($AH42&lt;=2,
SUMPRODUCT(INDEX($AV$22:$AX$60,,$AI42), INDEX($AY$22:$BE$60,,$AH42), 1 / ($BF$22:$BF$60*CC42), N($AU$22:$AU$60&gt;$AM42)),
SUMPRODUCT(INDEX($AV$22:$AX$45,,$AI42), INDEX($AY$22:$BE$45,,$AH42), 1 / ($BG$22:$BG$45*CC42), N($AU$22:$AU$45&gt;$AM42))
) / 1000</f>
        <v>0</v>
      </c>
      <c r="CF42" s="229">
        <f t="shared" si="29"/>
        <v>0</v>
      </c>
      <c r="CG42" s="246"/>
      <c r="CH42" s="229">
        <f t="shared" si="30"/>
        <v>0</v>
      </c>
      <c r="CI42" s="228">
        <v>35</v>
      </c>
      <c r="CJ42" s="229">
        <f t="shared" si="31"/>
        <v>48</v>
      </c>
      <c r="CK42" s="234">
        <f t="shared" si="32"/>
        <v>3.0748170731707316</v>
      </c>
      <c r="CL42" s="234" cm="1">
        <f t="array" ref="CL42">$BM42 * SUMPRODUCT(INDEX($AV$76:$AX$81,,$AI42),INDEX($AY$76:$BE$81,,$AH42), N($AU$76:$AU$81&gt;$AM42)) / CK42 / 1000</f>
        <v>0</v>
      </c>
      <c r="CM42" s="231">
        <f t="shared" si="33"/>
        <v>30</v>
      </c>
      <c r="CN42" s="229">
        <f t="shared" si="34"/>
        <v>43</v>
      </c>
      <c r="CO42" s="234">
        <f t="shared" si="35"/>
        <v>3.5018750000000001</v>
      </c>
      <c r="CP42" s="234" cm="1">
        <f t="array" ref="CP42">$BM42 * IF($AH42&lt;=2,
SUMPRODUCT(INDEX($AV$71:$AX$75,,$AI42), INDEX($AY$71:$BE$75,,$AH42), 1 / ($BF$71:$BF$75*CO42 + (1-$BF$71:$BF$75)*CK42), N($AU$71:$AU$75&gt;$AM42)),
SUMPRODUCT(INDEX($AV$66:$AX$75,,$AI42), INDEX($AY$66:$BE$75,,$AH42), 1 / ($BG$66:$BG$75*CO42 + (1-$BG$66:$BG$75)*CK42), N($AU$66:$AU$75&gt;$AM42))
) / 1000</f>
        <v>0</v>
      </c>
      <c r="CQ42" s="231">
        <f t="shared" si="36"/>
        <v>25</v>
      </c>
      <c r="CR42" s="229">
        <f t="shared" si="37"/>
        <v>38</v>
      </c>
      <c r="CS42" s="234">
        <f t="shared" si="38"/>
        <v>4.0666935483870965</v>
      </c>
      <c r="CT42" s="234" cm="1">
        <f t="array" ref="CT42">$BM42 * IF($AH42&lt;=2,
SUMPRODUCT(INDEX($AV$66:$AX$70,,$AI42), INDEX($AY$66:$BE$70,,$AH42), 1 / ($BF$66:$BF$70*CS42 + (1-$BF$66:$BF$70)*CO42), N($AU$66:$AU$70&gt;$AM42)),
SUMPRODUCT(INDEX($AV$56:$AX$65,,$AI42), INDEX($AY$56:$BE$65,,$AH42), 1 / ($BG$56:$BG$65*CS42 + (1-$BG$56:$BG$65)*CO42), N($AU$56:$AU$65&gt;$AM42))
) / 1000</f>
        <v>0</v>
      </c>
      <c r="CU42" s="231">
        <f t="shared" si="39"/>
        <v>20</v>
      </c>
      <c r="CV42" s="229">
        <f t="shared" si="40"/>
        <v>33</v>
      </c>
      <c r="CW42" s="234">
        <f t="shared" si="41"/>
        <v>4.8487499999999999</v>
      </c>
      <c r="CX42" s="234" cm="1">
        <f t="array" ref="CX42">$BM42 * IF($AH42&lt;=2,
SUMPRODUCT(INDEX($AV$61:$AX$65,,$AI42), INDEX($AY$61:$BE$65,,$AH42), 1 / ($BF$61:$BF$65*CW42 + (1-$BF$61:$BF$65)*CS42), N($AU$61:$AU$65&gt;$AM42)),
SUMPRODUCT(INDEX($AV$46:$AX$55,,$AI42), INDEX($AY$46:$BE$55,,$AH42), 1 / ($BG$46:$BG$55*CW42 + (1-$BG$46:$BG$55)*CS42), N($AU$46:$AU$55&gt;$AM42))
) / 1000</f>
        <v>0</v>
      </c>
      <c r="CY42" s="234" cm="1">
        <f t="array" ref="CY42">$BM42 * IF($AH42&lt;=2,
SUMPRODUCT(INDEX($AV$22:$AX$60,,$AI42), INDEX($AY$22:$BE$60,,$AH42), 1 / ($BF$22:$BF$60*CW42), N($AU$22:$AU$60&gt;$AM42)),
SUMPRODUCT(INDEX($AV$22:$AX$45,,$AI42), INDEX($AY$22:$BE$45,,$AH42), 1 / ($BG$22:$BG$45*CW42), N($AU$22:$AU$45&gt;$AM42))
) / 1000</f>
        <v>0</v>
      </c>
      <c r="CZ42" s="229">
        <f t="shared" si="42"/>
        <v>0</v>
      </c>
      <c r="DA42" s="246"/>
    </row>
    <row r="43" spans="1:105" s="75" customFormat="1" ht="14.25" customHeight="1" x14ac:dyDescent="0.25">
      <c r="A43" s="230" t="b">
        <f t="shared" si="0"/>
        <v>0</v>
      </c>
      <c r="B43" s="253">
        <v>22</v>
      </c>
      <c r="C43" s="266"/>
      <c r="D43" s="266"/>
      <c r="E43" s="254"/>
      <c r="F43" s="255" t="str">
        <f>IF(ISBLANK(E43), "", VLOOKUP(E43, Z!$A$2:$C$4127, 3, FALSE))</f>
        <v/>
      </c>
      <c r="G43" s="256"/>
      <c r="H43" s="256"/>
      <c r="I43" s="256"/>
      <c r="J43" s="257"/>
      <c r="K43" s="258"/>
      <c r="L43" s="267"/>
      <c r="M43" s="268"/>
      <c r="N43" s="259" t="str" cm="1">
        <f t="array" ref="N43">IF($L43&gt;0, INDEX(Clean,1+AK43,$D$1), "")</f>
        <v/>
      </c>
      <c r="O43" s="260"/>
      <c r="P43" s="260"/>
      <c r="Q43" s="261"/>
      <c r="R43" s="264">
        <f t="shared" si="7"/>
        <v>0</v>
      </c>
      <c r="S43" s="259" t="str" cm="1">
        <f t="array" ref="S43">IF($L43&gt;0, INDEX(Clean,1+AL43,$D$1), "")</f>
        <v/>
      </c>
      <c r="T43" s="260"/>
      <c r="U43" s="260"/>
      <c r="V43" s="261"/>
      <c r="W43" s="267"/>
      <c r="X43" s="267"/>
      <c r="Y43" s="257"/>
      <c r="Z43" s="264">
        <f t="shared" si="8"/>
        <v>0</v>
      </c>
      <c r="AA43" s="269"/>
      <c r="AB43" s="266"/>
      <c r="AC43" s="254"/>
      <c r="AD43" s="255" t="str">
        <f>IF(ISBLANK(AC43), "", VLOOKUP(AC43, Z!$A$2:$C$4127, 3, FALSE))</f>
        <v/>
      </c>
      <c r="AE43" s="270"/>
      <c r="AF43" s="265">
        <f t="shared" si="9"/>
        <v>0</v>
      </c>
      <c r="AG43" s="246"/>
      <c r="AH43" s="228">
        <f t="shared" ref="AH43" si="119">IF(ISBLANK(I43), 1, IFERROR(MATCH(I43, INDEX(Use,,1), 0), IFERROR(MATCH(I43, INDEX(Use,,2), 0), MATCH(I43, INDEX(Use,,3), 0))))</f>
        <v>1</v>
      </c>
      <c r="AI43" s="228">
        <f t="shared" ref="AI43" si="120">IF(ISBLANK(H43), 1, IFERROR(MATCH(H43, INDEX(Loc,,1), 0), IFERROR(MATCH(H43, INDEX(Loc,,2), 0), MATCH(H43, INDEX(Loc,,3), 0))))</f>
        <v>1</v>
      </c>
      <c r="AJ43" s="228">
        <f t="shared" ref="AJ43" si="121">_xlfn.IFNA(IF(IFERROR(MATCH(J43, INDEX(Medium,,1), 0), IFERROR(MATCH(J43, INDEX(Medium,,2), 0), MATCH(J43, INDEX(Medium,,3), 0))) = 2, 1, 0), 0)</f>
        <v>0</v>
      </c>
      <c r="AK43" s="228">
        <v>0</v>
      </c>
      <c r="AL43" s="228">
        <v>0</v>
      </c>
      <c r="AM43" s="228">
        <f t="shared" si="4"/>
        <v>-100</v>
      </c>
      <c r="AN43" s="228" cm="1">
        <f t="array" ref="AN43">IF(ISBLANK(G43), 1, IFERROR(MATCH(G43, INDEX(Kat,,1), 0), IFERROR(MATCH(Kat, INDEX(Use,,2), 0), MATCH(Kat, INDEX(Use,,3), 0))))</f>
        <v>1</v>
      </c>
      <c r="AO43" s="246"/>
      <c r="AP43" s="228" cm="1">
        <f t="array" ref="AP43">IF(W43&gt;0, INDEX(Kat, AN43,4), 0)</f>
        <v>0</v>
      </c>
      <c r="AQ43" s="228">
        <f t="shared" ref="AQ43" si="122">IF(ISBLANK(Y43), 0, IFERROR(MATCH(Y43, INDEX(Month,,1), 0), IFERROR(MATCH(Y43, INDEX(Month,,2), 0), MATCH(Y43, INDEX(Month,,3), 0))))</f>
        <v>0</v>
      </c>
      <c r="AR43" s="228" cm="1">
        <f t="array" ref="AR43">IF(X43&gt;0, INDEX(Kat, $AN43, 4+AQ43), 0)</f>
        <v>0</v>
      </c>
      <c r="AS43" s="228" cm="1">
        <f t="array" ref="AS43">IF(X43&gt;0, INDEX(Kat, $AN43, 9+AQ43), 0)</f>
        <v>0</v>
      </c>
      <c r="AT43" s="246"/>
      <c r="AU43" s="228">
        <v>2</v>
      </c>
      <c r="AV43" s="231">
        <v>281</v>
      </c>
      <c r="AW43" s="231">
        <v>289</v>
      </c>
      <c r="AX43" s="231">
        <v>381</v>
      </c>
      <c r="AY43" s="232">
        <f t="shared" si="6"/>
        <v>0</v>
      </c>
      <c r="AZ43" s="232">
        <f t="shared" si="6"/>
        <v>0</v>
      </c>
      <c r="BA43" s="232" t="e" cm="1">
        <f t="array" ref="BA43">MIN(INDEX(Use,BA$20,5) + MAX(0, (1-INDEX(Use,BA$20,5))*($AU43-5)/(35-5)), 1)</f>
        <v>#REF!</v>
      </c>
      <c r="BB43" s="232" t="e" cm="1">
        <f t="array" ref="BB43">MIN(INDEX(Use,BB$20,5) + MAX(0, (1-INDEX(Use,BB$20,5))*($AU43-5)/(35-5)), 1)</f>
        <v>#REF!</v>
      </c>
      <c r="BC43" s="232" t="e" cm="1">
        <f t="array" ref="BC43">MIN(INDEX(Use,BC$20,5) + MAX(0, (1-INDEX(Use,BC$20,5))*($AU43-5)/(35-5)), 1)</f>
        <v>#REF!</v>
      </c>
      <c r="BD43" s="232" t="e" cm="1">
        <f t="array" ref="BD43">MIN(INDEX(Use,BD$20,5) + MAX(0, (1-INDEX(Use,BD$20,5))*($AU43-5)/(35-5)), 1)</f>
        <v>#REF!</v>
      </c>
      <c r="BE43" s="232" t="e" cm="1">
        <f t="array" ref="BE43">MIN(INDEX(Use,BE$20,5) + MAX(0, (1-INDEX(Use,BE$20,5))*($AU43-5)/(35-5)), 1)</f>
        <v>#REF!</v>
      </c>
      <c r="BF43" s="232">
        <v>1</v>
      </c>
      <c r="BG43" s="232">
        <v>1</v>
      </c>
      <c r="BH43" s="210"/>
      <c r="BI43" s="228" cm="1">
        <f t="array" ref="BI43">INDEX(Use, $AH43, 4)</f>
        <v>7</v>
      </c>
      <c r="BJ43" s="228">
        <f t="shared" si="14"/>
        <v>32</v>
      </c>
      <c r="BK43" s="228">
        <f t="shared" si="15"/>
        <v>13</v>
      </c>
      <c r="BL43" s="228">
        <f t="shared" si="16"/>
        <v>0</v>
      </c>
      <c r="BM43" s="233" cm="1">
        <f t="array" ref="BM43">L43/IF($M43&gt;0, INDEX($AY$22:$BE$76, $M43+20, $AH43), 1)</f>
        <v>0</v>
      </c>
      <c r="BN43" s="229">
        <f t="shared" si="17"/>
        <v>0</v>
      </c>
      <c r="BO43" s="228">
        <v>35</v>
      </c>
      <c r="BP43" s="229">
        <f t="shared" si="18"/>
        <v>48</v>
      </c>
      <c r="BQ43" s="234">
        <f t="shared" si="19"/>
        <v>3.0748170731707316</v>
      </c>
      <c r="BR43" s="234" cm="1">
        <f t="array" ref="BR43">$BM43 * SUMPRODUCT(INDEX($AV$76:$AX$81,,$AI43),INDEX($AY$76:$BE$81,,$AH43), N($AU$76:$AU$81&gt;$AM43)) / BQ43 / 1000</f>
        <v>0</v>
      </c>
      <c r="BS43" s="231">
        <f t="shared" si="20"/>
        <v>30</v>
      </c>
      <c r="BT43" s="229">
        <f t="shared" si="21"/>
        <v>43</v>
      </c>
      <c r="BU43" s="234">
        <f t="shared" si="22"/>
        <v>3.5018750000000001</v>
      </c>
      <c r="BV43" s="234" cm="1">
        <f t="array" ref="BV43">$BM43 * IF($AH43&lt;=2,
SUMPRODUCT(INDEX($AV$71:$AX$75,,$AI43), INDEX($AY$71:$BE$75,,$AH43), 1 / ($BF$71:$BF$75*BU43 + (1-$BF$71:$BF$75)*BQ43), N($AU$71:$AU$75&gt;$AM43)),
SUMPRODUCT(INDEX($AV$66:$AX$75,,$AI43), INDEX($AY$66:$BE$75,,$AH43), 1 / ($BG$66:$BG$75*BU43 + (1-$BG$66:$BG$75)*BQ43), N($AU$66:$AU$75&gt;$AM43))
) / 1000</f>
        <v>0</v>
      </c>
      <c r="BW43" s="231">
        <f t="shared" si="23"/>
        <v>25</v>
      </c>
      <c r="BX43" s="229">
        <f t="shared" si="24"/>
        <v>38</v>
      </c>
      <c r="BY43" s="234">
        <f t="shared" si="25"/>
        <v>4.0666935483870965</v>
      </c>
      <c r="BZ43" s="234" cm="1">
        <f t="array" ref="BZ43">$BM43 * IF($AH43&lt;=2,
SUMPRODUCT(INDEX($AV$66:$AX$70,,$AI43), INDEX($AY$66:$BE$70,,$AH43), 1 / ($BF$66:$BF$70*BY43 + (1-$BF$66:$BF$70)*BU43), N($AU$66:$AU$70&gt;$AM43)),
SUMPRODUCT(INDEX($AV$56:$AX$65,,$AI43), INDEX($AY$56:$BE$65,,$AH43), 1 / ($BG$56:$BG$65*BY43 + (1-$BG$56:$BG$65)*BU43), N($AU$56:$AU$65&gt;$AM43))
) / 1000</f>
        <v>0</v>
      </c>
      <c r="CA43" s="231">
        <f t="shared" si="26"/>
        <v>20</v>
      </c>
      <c r="CB43" s="229">
        <f t="shared" si="27"/>
        <v>33</v>
      </c>
      <c r="CC43" s="234">
        <f t="shared" si="28"/>
        <v>4.8487499999999999</v>
      </c>
      <c r="CD43" s="234" cm="1">
        <f t="array" ref="CD43">$BM43 * IF($AH43&lt;=2,
SUMPRODUCT(INDEX($AV$61:$AX$65,,$AI43), INDEX($AY$61:$BE$65,,$AH43), 1 / ($BF$61:$BF$65*CC43 + (1-$BF$61:$BF$65)*BY43), N($AU$61:$AU$65&gt;$AM43)),
SUMPRODUCT(INDEX($AV$46:$AX$55,,$AI43), INDEX($AY$46:$BE$55,,$AH43), 1 / ($BG$46:$BG$55*CC43 + (1-$BG$46:$BG$55)*BY43), N($AU$46:$AU$55&gt;$AM43))
) / 1000</f>
        <v>0</v>
      </c>
      <c r="CE43" s="234" cm="1">
        <f t="array" ref="CE43">$BM43 * IF($AH43&lt;=2,
SUMPRODUCT(INDEX($AV$22:$AX$60,,$AI43), INDEX($AY$22:$BE$60,,$AH43), 1 / ($BF$22:$BF$60*CC43), N($AU$22:$AU$60&gt;$AM43)),
SUMPRODUCT(INDEX($AV$22:$AX$45,,$AI43), INDEX($AY$22:$BE$45,,$AH43), 1 / ($BG$22:$BG$45*CC43), N($AU$22:$AU$45&gt;$AM43))
) / 1000</f>
        <v>0</v>
      </c>
      <c r="CF43" s="229">
        <f t="shared" si="29"/>
        <v>0</v>
      </c>
      <c r="CG43" s="246"/>
      <c r="CH43" s="229">
        <f t="shared" si="30"/>
        <v>0</v>
      </c>
      <c r="CI43" s="228">
        <v>35</v>
      </c>
      <c r="CJ43" s="229">
        <f t="shared" si="31"/>
        <v>48</v>
      </c>
      <c r="CK43" s="234">
        <f t="shared" si="32"/>
        <v>3.0748170731707316</v>
      </c>
      <c r="CL43" s="234" cm="1">
        <f t="array" ref="CL43">$BM43 * SUMPRODUCT(INDEX($AV$76:$AX$81,,$AI43),INDEX($AY$76:$BE$81,,$AH43), N($AU$76:$AU$81&gt;$AM43)) / CK43 / 1000</f>
        <v>0</v>
      </c>
      <c r="CM43" s="231">
        <f t="shared" si="33"/>
        <v>30</v>
      </c>
      <c r="CN43" s="229">
        <f t="shared" si="34"/>
        <v>43</v>
      </c>
      <c r="CO43" s="234">
        <f t="shared" si="35"/>
        <v>3.5018750000000001</v>
      </c>
      <c r="CP43" s="234" cm="1">
        <f t="array" ref="CP43">$BM43 * IF($AH43&lt;=2,
SUMPRODUCT(INDEX($AV$71:$AX$75,,$AI43), INDEX($AY$71:$BE$75,,$AH43), 1 / ($BF$71:$BF$75*CO43 + (1-$BF$71:$BF$75)*CK43), N($AU$71:$AU$75&gt;$AM43)),
SUMPRODUCT(INDEX($AV$66:$AX$75,,$AI43), INDEX($AY$66:$BE$75,,$AH43), 1 / ($BG$66:$BG$75*CO43 + (1-$BG$66:$BG$75)*CK43), N($AU$66:$AU$75&gt;$AM43))
) / 1000</f>
        <v>0</v>
      </c>
      <c r="CQ43" s="231">
        <f t="shared" si="36"/>
        <v>25</v>
      </c>
      <c r="CR43" s="229">
        <f t="shared" si="37"/>
        <v>38</v>
      </c>
      <c r="CS43" s="234">
        <f t="shared" si="38"/>
        <v>4.0666935483870965</v>
      </c>
      <c r="CT43" s="234" cm="1">
        <f t="array" ref="CT43">$BM43 * IF($AH43&lt;=2,
SUMPRODUCT(INDEX($AV$66:$AX$70,,$AI43), INDEX($AY$66:$BE$70,,$AH43), 1 / ($BF$66:$BF$70*CS43 + (1-$BF$66:$BF$70)*CO43), N($AU$66:$AU$70&gt;$AM43)),
SUMPRODUCT(INDEX($AV$56:$AX$65,,$AI43), INDEX($AY$56:$BE$65,,$AH43), 1 / ($BG$56:$BG$65*CS43 + (1-$BG$56:$BG$65)*CO43), N($AU$56:$AU$65&gt;$AM43))
) / 1000</f>
        <v>0</v>
      </c>
      <c r="CU43" s="231">
        <f t="shared" si="39"/>
        <v>20</v>
      </c>
      <c r="CV43" s="229">
        <f t="shared" si="40"/>
        <v>33</v>
      </c>
      <c r="CW43" s="234">
        <f t="shared" si="41"/>
        <v>4.8487499999999999</v>
      </c>
      <c r="CX43" s="234" cm="1">
        <f t="array" ref="CX43">$BM43 * IF($AH43&lt;=2,
SUMPRODUCT(INDEX($AV$61:$AX$65,,$AI43), INDEX($AY$61:$BE$65,,$AH43), 1 / ($BF$61:$BF$65*CW43 + (1-$BF$61:$BF$65)*CS43), N($AU$61:$AU$65&gt;$AM43)),
SUMPRODUCT(INDEX($AV$46:$AX$55,,$AI43), INDEX($AY$46:$BE$55,,$AH43), 1 / ($BG$46:$BG$55*CW43 + (1-$BG$46:$BG$55)*CS43), N($AU$46:$AU$55&gt;$AM43))
) / 1000</f>
        <v>0</v>
      </c>
      <c r="CY43" s="234" cm="1">
        <f t="array" ref="CY43">$BM43 * IF($AH43&lt;=2,
SUMPRODUCT(INDEX($AV$22:$AX$60,,$AI43), INDEX($AY$22:$BE$60,,$AH43), 1 / ($BF$22:$BF$60*CW43), N($AU$22:$AU$60&gt;$AM43)),
SUMPRODUCT(INDEX($AV$22:$AX$45,,$AI43), INDEX($AY$22:$BE$45,,$AH43), 1 / ($BG$22:$BG$45*CW43), N($AU$22:$AU$45&gt;$AM43))
) / 1000</f>
        <v>0</v>
      </c>
      <c r="CZ43" s="229">
        <f t="shared" si="42"/>
        <v>0</v>
      </c>
      <c r="DA43" s="246"/>
    </row>
    <row r="44" spans="1:105" s="75" customFormat="1" ht="14.25" customHeight="1" x14ac:dyDescent="0.25">
      <c r="A44" s="230" t="b">
        <f t="shared" si="0"/>
        <v>0</v>
      </c>
      <c r="B44" s="253">
        <v>23</v>
      </c>
      <c r="C44" s="266"/>
      <c r="D44" s="266"/>
      <c r="E44" s="254"/>
      <c r="F44" s="255" t="str">
        <f>IF(ISBLANK(E44), "", VLOOKUP(E44, Z!$A$2:$C$4127, 3, FALSE))</f>
        <v/>
      </c>
      <c r="G44" s="256"/>
      <c r="H44" s="256"/>
      <c r="I44" s="256"/>
      <c r="J44" s="257"/>
      <c r="K44" s="258"/>
      <c r="L44" s="267"/>
      <c r="M44" s="268"/>
      <c r="N44" s="259" t="str" cm="1">
        <f t="array" ref="N44">IF($L44&gt;0, INDEX(Clean,1+AK44,$D$1), "")</f>
        <v/>
      </c>
      <c r="O44" s="260"/>
      <c r="P44" s="260"/>
      <c r="Q44" s="261"/>
      <c r="R44" s="264">
        <f t="shared" si="7"/>
        <v>0</v>
      </c>
      <c r="S44" s="259" t="str" cm="1">
        <f t="array" ref="S44">IF($L44&gt;0, INDEX(Clean,1+AL44,$D$1), "")</f>
        <v/>
      </c>
      <c r="T44" s="260"/>
      <c r="U44" s="260"/>
      <c r="V44" s="261"/>
      <c r="W44" s="267"/>
      <c r="X44" s="267"/>
      <c r="Y44" s="257"/>
      <c r="Z44" s="264">
        <f t="shared" si="8"/>
        <v>0</v>
      </c>
      <c r="AA44" s="269"/>
      <c r="AB44" s="266"/>
      <c r="AC44" s="254"/>
      <c r="AD44" s="255" t="str">
        <f>IF(ISBLANK(AC44), "", VLOOKUP(AC44, Z!$A$2:$C$4127, 3, FALSE))</f>
        <v/>
      </c>
      <c r="AE44" s="270"/>
      <c r="AF44" s="265">
        <f t="shared" si="9"/>
        <v>0</v>
      </c>
      <c r="AG44" s="246"/>
      <c r="AH44" s="228">
        <f t="shared" ref="AH44" si="123">IF(ISBLANK(I44), 1, IFERROR(MATCH(I44, INDEX(Use,,1), 0), IFERROR(MATCH(I44, INDEX(Use,,2), 0), MATCH(I44, INDEX(Use,,3), 0))))</f>
        <v>1</v>
      </c>
      <c r="AI44" s="228">
        <f t="shared" ref="AI44" si="124">IF(ISBLANK(H44), 1, IFERROR(MATCH(H44, INDEX(Loc,,1), 0), IFERROR(MATCH(H44, INDEX(Loc,,2), 0), MATCH(H44, INDEX(Loc,,3), 0))))</f>
        <v>1</v>
      </c>
      <c r="AJ44" s="228">
        <f t="shared" ref="AJ44" si="125">_xlfn.IFNA(IF(IFERROR(MATCH(J44, INDEX(Medium,,1), 0), IFERROR(MATCH(J44, INDEX(Medium,,2), 0), MATCH(J44, INDEX(Medium,,3), 0))) = 2, 1, 0), 0)</f>
        <v>0</v>
      </c>
      <c r="AK44" s="228">
        <v>0</v>
      </c>
      <c r="AL44" s="228">
        <v>0</v>
      </c>
      <c r="AM44" s="228">
        <f t="shared" si="4"/>
        <v>-100</v>
      </c>
      <c r="AN44" s="228" cm="1">
        <f t="array" ref="AN44">IF(ISBLANK(G44), 1, IFERROR(MATCH(G44, INDEX(Kat,,1), 0), IFERROR(MATCH(Kat, INDEX(Use,,2), 0), MATCH(Kat, INDEX(Use,,3), 0))))</f>
        <v>1</v>
      </c>
      <c r="AO44" s="246"/>
      <c r="AP44" s="228" cm="1">
        <f t="array" ref="AP44">IF(W44&gt;0, INDEX(Kat, AN44,4), 0)</f>
        <v>0</v>
      </c>
      <c r="AQ44" s="228">
        <f t="shared" ref="AQ44" si="126">IF(ISBLANK(Y44), 0, IFERROR(MATCH(Y44, INDEX(Month,,1), 0), IFERROR(MATCH(Y44, INDEX(Month,,2), 0), MATCH(Y44, INDEX(Month,,3), 0))))</f>
        <v>0</v>
      </c>
      <c r="AR44" s="228" cm="1">
        <f t="array" ref="AR44">IF(X44&gt;0, INDEX(Kat, $AN44, 4+AQ44), 0)</f>
        <v>0</v>
      </c>
      <c r="AS44" s="228" cm="1">
        <f t="array" ref="AS44">IF(X44&gt;0, INDEX(Kat, $AN44, 9+AQ44), 0)</f>
        <v>0</v>
      </c>
      <c r="AT44" s="246"/>
      <c r="AU44" s="228">
        <v>3</v>
      </c>
      <c r="AV44" s="231">
        <v>328</v>
      </c>
      <c r="AW44" s="231">
        <v>346</v>
      </c>
      <c r="AX44" s="231">
        <v>451</v>
      </c>
      <c r="AY44" s="232">
        <f t="shared" si="6"/>
        <v>0</v>
      </c>
      <c r="AZ44" s="232">
        <f t="shared" si="6"/>
        <v>0</v>
      </c>
      <c r="BA44" s="232" t="e" cm="1">
        <f t="array" ref="BA44">MIN(INDEX(Use,BA$20,5) + MAX(0, (1-INDEX(Use,BA$20,5))*($AU44-5)/(35-5)), 1)</f>
        <v>#REF!</v>
      </c>
      <c r="BB44" s="232" t="e" cm="1">
        <f t="array" ref="BB44">MIN(INDEX(Use,BB$20,5) + MAX(0, (1-INDEX(Use,BB$20,5))*($AU44-5)/(35-5)), 1)</f>
        <v>#REF!</v>
      </c>
      <c r="BC44" s="232" t="e" cm="1">
        <f t="array" ref="BC44">MIN(INDEX(Use,BC$20,5) + MAX(0, (1-INDEX(Use,BC$20,5))*($AU44-5)/(35-5)), 1)</f>
        <v>#REF!</v>
      </c>
      <c r="BD44" s="232" t="e" cm="1">
        <f t="array" ref="BD44">MIN(INDEX(Use,BD$20,5) + MAX(0, (1-INDEX(Use,BD$20,5))*($AU44-5)/(35-5)), 1)</f>
        <v>#REF!</v>
      </c>
      <c r="BE44" s="232" t="e" cm="1">
        <f t="array" ref="BE44">MIN(INDEX(Use,BE$20,5) + MAX(0, (1-INDEX(Use,BE$20,5))*($AU44-5)/(35-5)), 1)</f>
        <v>#REF!</v>
      </c>
      <c r="BF44" s="232">
        <v>1</v>
      </c>
      <c r="BG44" s="232">
        <v>1</v>
      </c>
      <c r="BH44" s="210"/>
      <c r="BI44" s="228" cm="1">
        <f t="array" ref="BI44">INDEX(Use, $AH44, 4)</f>
        <v>7</v>
      </c>
      <c r="BJ44" s="228">
        <f t="shared" si="14"/>
        <v>32</v>
      </c>
      <c r="BK44" s="228">
        <f t="shared" si="15"/>
        <v>13</v>
      </c>
      <c r="BL44" s="228">
        <f t="shared" si="16"/>
        <v>0</v>
      </c>
      <c r="BM44" s="233" cm="1">
        <f t="array" ref="BM44">L44/IF($M44&gt;0, INDEX($AY$22:$BE$76, $M44+20, $AH44), 1)</f>
        <v>0</v>
      </c>
      <c r="BN44" s="229">
        <f t="shared" si="17"/>
        <v>0</v>
      </c>
      <c r="BO44" s="228">
        <v>35</v>
      </c>
      <c r="BP44" s="229">
        <f t="shared" si="18"/>
        <v>48</v>
      </c>
      <c r="BQ44" s="234">
        <f t="shared" si="19"/>
        <v>3.0748170731707316</v>
      </c>
      <c r="BR44" s="234" cm="1">
        <f t="array" ref="BR44">$BM44 * SUMPRODUCT(INDEX($AV$76:$AX$81,,$AI44),INDEX($AY$76:$BE$81,,$AH44), N($AU$76:$AU$81&gt;$AM44)) / BQ44 / 1000</f>
        <v>0</v>
      </c>
      <c r="BS44" s="231">
        <f t="shared" si="20"/>
        <v>30</v>
      </c>
      <c r="BT44" s="229">
        <f t="shared" si="21"/>
        <v>43</v>
      </c>
      <c r="BU44" s="234">
        <f t="shared" si="22"/>
        <v>3.5018750000000001</v>
      </c>
      <c r="BV44" s="234" cm="1">
        <f t="array" ref="BV44">$BM44 * IF($AH44&lt;=2,
SUMPRODUCT(INDEX($AV$71:$AX$75,,$AI44), INDEX($AY$71:$BE$75,,$AH44), 1 / ($BF$71:$BF$75*BU44 + (1-$BF$71:$BF$75)*BQ44), N($AU$71:$AU$75&gt;$AM44)),
SUMPRODUCT(INDEX($AV$66:$AX$75,,$AI44), INDEX($AY$66:$BE$75,,$AH44), 1 / ($BG$66:$BG$75*BU44 + (1-$BG$66:$BG$75)*BQ44), N($AU$66:$AU$75&gt;$AM44))
) / 1000</f>
        <v>0</v>
      </c>
      <c r="BW44" s="231">
        <f t="shared" si="23"/>
        <v>25</v>
      </c>
      <c r="BX44" s="229">
        <f t="shared" si="24"/>
        <v>38</v>
      </c>
      <c r="BY44" s="234">
        <f t="shared" si="25"/>
        <v>4.0666935483870965</v>
      </c>
      <c r="BZ44" s="234" cm="1">
        <f t="array" ref="BZ44">$BM44 * IF($AH44&lt;=2,
SUMPRODUCT(INDEX($AV$66:$AX$70,,$AI44), INDEX($AY$66:$BE$70,,$AH44), 1 / ($BF$66:$BF$70*BY44 + (1-$BF$66:$BF$70)*BU44), N($AU$66:$AU$70&gt;$AM44)),
SUMPRODUCT(INDEX($AV$56:$AX$65,,$AI44), INDEX($AY$56:$BE$65,,$AH44), 1 / ($BG$56:$BG$65*BY44 + (1-$BG$56:$BG$65)*BU44), N($AU$56:$AU$65&gt;$AM44))
) / 1000</f>
        <v>0</v>
      </c>
      <c r="CA44" s="231">
        <f t="shared" si="26"/>
        <v>20</v>
      </c>
      <c r="CB44" s="229">
        <f t="shared" si="27"/>
        <v>33</v>
      </c>
      <c r="CC44" s="234">
        <f t="shared" si="28"/>
        <v>4.8487499999999999</v>
      </c>
      <c r="CD44" s="234" cm="1">
        <f t="array" ref="CD44">$BM44 * IF($AH44&lt;=2,
SUMPRODUCT(INDEX($AV$61:$AX$65,,$AI44), INDEX($AY$61:$BE$65,,$AH44), 1 / ($BF$61:$BF$65*CC44 + (1-$BF$61:$BF$65)*BY44), N($AU$61:$AU$65&gt;$AM44)),
SUMPRODUCT(INDEX($AV$46:$AX$55,,$AI44), INDEX($AY$46:$BE$55,,$AH44), 1 / ($BG$46:$BG$55*CC44 + (1-$BG$46:$BG$55)*BY44), N($AU$46:$AU$55&gt;$AM44))
) / 1000</f>
        <v>0</v>
      </c>
      <c r="CE44" s="234" cm="1">
        <f t="array" ref="CE44">$BM44 * IF($AH44&lt;=2,
SUMPRODUCT(INDEX($AV$22:$AX$60,,$AI44), INDEX($AY$22:$BE$60,,$AH44), 1 / ($BF$22:$BF$60*CC44), N($AU$22:$AU$60&gt;$AM44)),
SUMPRODUCT(INDEX($AV$22:$AX$45,,$AI44), INDEX($AY$22:$BE$45,,$AH44), 1 / ($BG$22:$BG$45*CC44), N($AU$22:$AU$45&gt;$AM44))
) / 1000</f>
        <v>0</v>
      </c>
      <c r="CF44" s="229">
        <f t="shared" si="29"/>
        <v>0</v>
      </c>
      <c r="CG44" s="246"/>
      <c r="CH44" s="229">
        <f t="shared" si="30"/>
        <v>0</v>
      </c>
      <c r="CI44" s="228">
        <v>35</v>
      </c>
      <c r="CJ44" s="229">
        <f t="shared" si="31"/>
        <v>48</v>
      </c>
      <c r="CK44" s="234">
        <f t="shared" si="32"/>
        <v>3.0748170731707316</v>
      </c>
      <c r="CL44" s="234" cm="1">
        <f t="array" ref="CL44">$BM44 * SUMPRODUCT(INDEX($AV$76:$AX$81,,$AI44),INDEX($AY$76:$BE$81,,$AH44), N($AU$76:$AU$81&gt;$AM44)) / CK44 / 1000</f>
        <v>0</v>
      </c>
      <c r="CM44" s="231">
        <f t="shared" si="33"/>
        <v>30</v>
      </c>
      <c r="CN44" s="229">
        <f t="shared" si="34"/>
        <v>43</v>
      </c>
      <c r="CO44" s="234">
        <f t="shared" si="35"/>
        <v>3.5018750000000001</v>
      </c>
      <c r="CP44" s="234" cm="1">
        <f t="array" ref="CP44">$BM44 * IF($AH44&lt;=2,
SUMPRODUCT(INDEX($AV$71:$AX$75,,$AI44), INDEX($AY$71:$BE$75,,$AH44), 1 / ($BF$71:$BF$75*CO44 + (1-$BF$71:$BF$75)*CK44), N($AU$71:$AU$75&gt;$AM44)),
SUMPRODUCT(INDEX($AV$66:$AX$75,,$AI44), INDEX($AY$66:$BE$75,,$AH44), 1 / ($BG$66:$BG$75*CO44 + (1-$BG$66:$BG$75)*CK44), N($AU$66:$AU$75&gt;$AM44))
) / 1000</f>
        <v>0</v>
      </c>
      <c r="CQ44" s="231">
        <f t="shared" si="36"/>
        <v>25</v>
      </c>
      <c r="CR44" s="229">
        <f t="shared" si="37"/>
        <v>38</v>
      </c>
      <c r="CS44" s="234">
        <f t="shared" si="38"/>
        <v>4.0666935483870965</v>
      </c>
      <c r="CT44" s="234" cm="1">
        <f t="array" ref="CT44">$BM44 * IF($AH44&lt;=2,
SUMPRODUCT(INDEX($AV$66:$AX$70,,$AI44), INDEX($AY$66:$BE$70,,$AH44), 1 / ($BF$66:$BF$70*CS44 + (1-$BF$66:$BF$70)*CO44), N($AU$66:$AU$70&gt;$AM44)),
SUMPRODUCT(INDEX($AV$56:$AX$65,,$AI44), INDEX($AY$56:$BE$65,,$AH44), 1 / ($BG$56:$BG$65*CS44 + (1-$BG$56:$BG$65)*CO44), N($AU$56:$AU$65&gt;$AM44))
) / 1000</f>
        <v>0</v>
      </c>
      <c r="CU44" s="231">
        <f t="shared" si="39"/>
        <v>20</v>
      </c>
      <c r="CV44" s="229">
        <f t="shared" si="40"/>
        <v>33</v>
      </c>
      <c r="CW44" s="234">
        <f t="shared" si="41"/>
        <v>4.8487499999999999</v>
      </c>
      <c r="CX44" s="234" cm="1">
        <f t="array" ref="CX44">$BM44 * IF($AH44&lt;=2,
SUMPRODUCT(INDEX($AV$61:$AX$65,,$AI44), INDEX($AY$61:$BE$65,,$AH44), 1 / ($BF$61:$BF$65*CW44 + (1-$BF$61:$BF$65)*CS44), N($AU$61:$AU$65&gt;$AM44)),
SUMPRODUCT(INDEX($AV$46:$AX$55,,$AI44), INDEX($AY$46:$BE$55,,$AH44), 1 / ($BG$46:$BG$55*CW44 + (1-$BG$46:$BG$55)*CS44), N($AU$46:$AU$55&gt;$AM44))
) / 1000</f>
        <v>0</v>
      </c>
      <c r="CY44" s="234" cm="1">
        <f t="array" ref="CY44">$BM44 * IF($AH44&lt;=2,
SUMPRODUCT(INDEX($AV$22:$AX$60,,$AI44), INDEX($AY$22:$BE$60,,$AH44), 1 / ($BF$22:$BF$60*CW44), N($AU$22:$AU$60&gt;$AM44)),
SUMPRODUCT(INDEX($AV$22:$AX$45,,$AI44), INDEX($AY$22:$BE$45,,$AH44), 1 / ($BG$22:$BG$45*CW44), N($AU$22:$AU$45&gt;$AM44))
) / 1000</f>
        <v>0</v>
      </c>
      <c r="CZ44" s="229">
        <f t="shared" si="42"/>
        <v>0</v>
      </c>
      <c r="DA44" s="246"/>
    </row>
    <row r="45" spans="1:105" s="75" customFormat="1" ht="14.25" customHeight="1" x14ac:dyDescent="0.25">
      <c r="A45" s="230" t="b">
        <f t="shared" si="0"/>
        <v>0</v>
      </c>
      <c r="B45" s="253">
        <v>24</v>
      </c>
      <c r="C45" s="266"/>
      <c r="D45" s="266"/>
      <c r="E45" s="254"/>
      <c r="F45" s="255" t="str">
        <f>IF(ISBLANK(E45), "", VLOOKUP(E45, Z!$A$2:$C$4127, 3, FALSE))</f>
        <v/>
      </c>
      <c r="G45" s="256"/>
      <c r="H45" s="256"/>
      <c r="I45" s="256"/>
      <c r="J45" s="257"/>
      <c r="K45" s="258"/>
      <c r="L45" s="267"/>
      <c r="M45" s="268"/>
      <c r="N45" s="259" t="str" cm="1">
        <f t="array" ref="N45">IF($L45&gt;0, INDEX(Clean,1+AK45,$D$1), "")</f>
        <v/>
      </c>
      <c r="O45" s="260"/>
      <c r="P45" s="260"/>
      <c r="Q45" s="261"/>
      <c r="R45" s="264">
        <f t="shared" si="7"/>
        <v>0</v>
      </c>
      <c r="S45" s="259" t="str" cm="1">
        <f t="array" ref="S45">IF($L45&gt;0, INDEX(Clean,1+AL45,$D$1), "")</f>
        <v/>
      </c>
      <c r="T45" s="260"/>
      <c r="U45" s="260"/>
      <c r="V45" s="261"/>
      <c r="W45" s="267"/>
      <c r="X45" s="267"/>
      <c r="Y45" s="257"/>
      <c r="Z45" s="264">
        <f t="shared" si="8"/>
        <v>0</v>
      </c>
      <c r="AA45" s="269"/>
      <c r="AB45" s="266"/>
      <c r="AC45" s="254"/>
      <c r="AD45" s="255" t="str">
        <f>IF(ISBLANK(AC45), "", VLOOKUP(AC45, Z!$A$2:$C$4127, 3, FALSE))</f>
        <v/>
      </c>
      <c r="AE45" s="270"/>
      <c r="AF45" s="265">
        <f t="shared" si="9"/>
        <v>0</v>
      </c>
      <c r="AG45" s="246"/>
      <c r="AH45" s="228">
        <f t="shared" ref="AH45" si="127">IF(ISBLANK(I45), 1, IFERROR(MATCH(I45, INDEX(Use,,1), 0), IFERROR(MATCH(I45, INDEX(Use,,2), 0), MATCH(I45, INDEX(Use,,3), 0))))</f>
        <v>1</v>
      </c>
      <c r="AI45" s="228">
        <f t="shared" ref="AI45" si="128">IF(ISBLANK(H45), 1, IFERROR(MATCH(H45, INDEX(Loc,,1), 0), IFERROR(MATCH(H45, INDEX(Loc,,2), 0), MATCH(H45, INDEX(Loc,,3), 0))))</f>
        <v>1</v>
      </c>
      <c r="AJ45" s="228">
        <f t="shared" ref="AJ45" si="129">_xlfn.IFNA(IF(IFERROR(MATCH(J45, INDEX(Medium,,1), 0), IFERROR(MATCH(J45, INDEX(Medium,,2), 0), MATCH(J45, INDEX(Medium,,3), 0))) = 2, 1, 0), 0)</f>
        <v>0</v>
      </c>
      <c r="AK45" s="228">
        <v>0</v>
      </c>
      <c r="AL45" s="228">
        <v>0</v>
      </c>
      <c r="AM45" s="228">
        <f t="shared" si="4"/>
        <v>-100</v>
      </c>
      <c r="AN45" s="228" cm="1">
        <f t="array" ref="AN45">IF(ISBLANK(G45), 1, IFERROR(MATCH(G45, INDEX(Kat,,1), 0), IFERROR(MATCH(Kat, INDEX(Use,,2), 0), MATCH(Kat, INDEX(Use,,3), 0))))</f>
        <v>1</v>
      </c>
      <c r="AO45" s="246"/>
      <c r="AP45" s="228" cm="1">
        <f t="array" ref="AP45">IF(W45&gt;0, INDEX(Kat, AN45,4), 0)</f>
        <v>0</v>
      </c>
      <c r="AQ45" s="228">
        <f t="shared" ref="AQ45" si="130">IF(ISBLANK(Y45), 0, IFERROR(MATCH(Y45, INDEX(Month,,1), 0), IFERROR(MATCH(Y45, INDEX(Month,,2), 0), MATCH(Y45, INDEX(Month,,3), 0))))</f>
        <v>0</v>
      </c>
      <c r="AR45" s="228" cm="1">
        <f t="array" ref="AR45">IF(X45&gt;0, INDEX(Kat, $AN45, 4+AQ45), 0)</f>
        <v>0</v>
      </c>
      <c r="AS45" s="228" cm="1">
        <f t="array" ref="AS45">IF(X45&gt;0, INDEX(Kat, $AN45, 9+AQ45), 0)</f>
        <v>0</v>
      </c>
      <c r="AT45" s="246"/>
      <c r="AU45" s="228">
        <v>4</v>
      </c>
      <c r="AV45" s="231">
        <v>349</v>
      </c>
      <c r="AW45" s="231">
        <v>359</v>
      </c>
      <c r="AX45" s="231">
        <v>459</v>
      </c>
      <c r="AY45" s="232">
        <f t="shared" si="6"/>
        <v>0</v>
      </c>
      <c r="AZ45" s="232">
        <f t="shared" si="6"/>
        <v>0</v>
      </c>
      <c r="BA45" s="232" t="e" cm="1">
        <f t="array" ref="BA45">MIN(INDEX(Use,BA$20,5) + MAX(0, (1-INDEX(Use,BA$20,5))*($AU45-5)/(35-5)), 1)</f>
        <v>#REF!</v>
      </c>
      <c r="BB45" s="232" t="e" cm="1">
        <f t="array" ref="BB45">MIN(INDEX(Use,BB$20,5) + MAX(0, (1-INDEX(Use,BB$20,5))*($AU45-5)/(35-5)), 1)</f>
        <v>#REF!</v>
      </c>
      <c r="BC45" s="232" t="e" cm="1">
        <f t="array" ref="BC45">MIN(INDEX(Use,BC$20,5) + MAX(0, (1-INDEX(Use,BC$20,5))*($AU45-5)/(35-5)), 1)</f>
        <v>#REF!</v>
      </c>
      <c r="BD45" s="232" t="e" cm="1">
        <f t="array" ref="BD45">MIN(INDEX(Use,BD$20,5) + MAX(0, (1-INDEX(Use,BD$20,5))*($AU45-5)/(35-5)), 1)</f>
        <v>#REF!</v>
      </c>
      <c r="BE45" s="232" t="e" cm="1">
        <f t="array" ref="BE45">MIN(INDEX(Use,BE$20,5) + MAX(0, (1-INDEX(Use,BE$20,5))*($AU45-5)/(35-5)), 1)</f>
        <v>#REF!</v>
      </c>
      <c r="BF45" s="232">
        <v>1</v>
      </c>
      <c r="BG45" s="232">
        <v>1</v>
      </c>
      <c r="BH45" s="210"/>
      <c r="BI45" s="228" cm="1">
        <f t="array" ref="BI45">INDEX(Use, $AH45, 4)</f>
        <v>7</v>
      </c>
      <c r="BJ45" s="228">
        <f t="shared" si="14"/>
        <v>32</v>
      </c>
      <c r="BK45" s="228">
        <f t="shared" si="15"/>
        <v>13</v>
      </c>
      <c r="BL45" s="228">
        <f t="shared" si="16"/>
        <v>0</v>
      </c>
      <c r="BM45" s="233" cm="1">
        <f t="array" ref="BM45">L45/IF($M45&gt;0, INDEX($AY$22:$BE$76, $M45+20, $AH45), 1)</f>
        <v>0</v>
      </c>
      <c r="BN45" s="229">
        <f t="shared" si="17"/>
        <v>0</v>
      </c>
      <c r="BO45" s="228">
        <v>35</v>
      </c>
      <c r="BP45" s="229">
        <f t="shared" si="18"/>
        <v>48</v>
      </c>
      <c r="BQ45" s="234">
        <f t="shared" si="19"/>
        <v>3.0748170731707316</v>
      </c>
      <c r="BR45" s="234" cm="1">
        <f t="array" ref="BR45">$BM45 * SUMPRODUCT(INDEX($AV$76:$AX$81,,$AI45),INDEX($AY$76:$BE$81,,$AH45), N($AU$76:$AU$81&gt;$AM45)) / BQ45 / 1000</f>
        <v>0</v>
      </c>
      <c r="BS45" s="231">
        <f t="shared" si="20"/>
        <v>30</v>
      </c>
      <c r="BT45" s="229">
        <f t="shared" si="21"/>
        <v>43</v>
      </c>
      <c r="BU45" s="234">
        <f t="shared" si="22"/>
        <v>3.5018750000000001</v>
      </c>
      <c r="BV45" s="234" cm="1">
        <f t="array" ref="BV45">$BM45 * IF($AH45&lt;=2,
SUMPRODUCT(INDEX($AV$71:$AX$75,,$AI45), INDEX($AY$71:$BE$75,,$AH45), 1 / ($BF$71:$BF$75*BU45 + (1-$BF$71:$BF$75)*BQ45), N($AU$71:$AU$75&gt;$AM45)),
SUMPRODUCT(INDEX($AV$66:$AX$75,,$AI45), INDEX($AY$66:$BE$75,,$AH45), 1 / ($BG$66:$BG$75*BU45 + (1-$BG$66:$BG$75)*BQ45), N($AU$66:$AU$75&gt;$AM45))
) / 1000</f>
        <v>0</v>
      </c>
      <c r="BW45" s="231">
        <f t="shared" si="23"/>
        <v>25</v>
      </c>
      <c r="BX45" s="229">
        <f t="shared" si="24"/>
        <v>38</v>
      </c>
      <c r="BY45" s="234">
        <f t="shared" si="25"/>
        <v>4.0666935483870965</v>
      </c>
      <c r="BZ45" s="234" cm="1">
        <f t="array" ref="BZ45">$BM45 * IF($AH45&lt;=2,
SUMPRODUCT(INDEX($AV$66:$AX$70,,$AI45), INDEX($AY$66:$BE$70,,$AH45), 1 / ($BF$66:$BF$70*BY45 + (1-$BF$66:$BF$70)*BU45), N($AU$66:$AU$70&gt;$AM45)),
SUMPRODUCT(INDEX($AV$56:$AX$65,,$AI45), INDEX($AY$56:$BE$65,,$AH45), 1 / ($BG$56:$BG$65*BY45 + (1-$BG$56:$BG$65)*BU45), N($AU$56:$AU$65&gt;$AM45))
) / 1000</f>
        <v>0</v>
      </c>
      <c r="CA45" s="231">
        <f t="shared" si="26"/>
        <v>20</v>
      </c>
      <c r="CB45" s="229">
        <f t="shared" si="27"/>
        <v>33</v>
      </c>
      <c r="CC45" s="234">
        <f t="shared" si="28"/>
        <v>4.8487499999999999</v>
      </c>
      <c r="CD45" s="234" cm="1">
        <f t="array" ref="CD45">$BM45 * IF($AH45&lt;=2,
SUMPRODUCT(INDEX($AV$61:$AX$65,,$AI45), INDEX($AY$61:$BE$65,,$AH45), 1 / ($BF$61:$BF$65*CC45 + (1-$BF$61:$BF$65)*BY45), N($AU$61:$AU$65&gt;$AM45)),
SUMPRODUCT(INDEX($AV$46:$AX$55,,$AI45), INDEX($AY$46:$BE$55,,$AH45), 1 / ($BG$46:$BG$55*CC45 + (1-$BG$46:$BG$55)*BY45), N($AU$46:$AU$55&gt;$AM45))
) / 1000</f>
        <v>0</v>
      </c>
      <c r="CE45" s="234" cm="1">
        <f t="array" ref="CE45">$BM45 * IF($AH45&lt;=2,
SUMPRODUCT(INDEX($AV$22:$AX$60,,$AI45), INDEX($AY$22:$BE$60,,$AH45), 1 / ($BF$22:$BF$60*CC45), N($AU$22:$AU$60&gt;$AM45)),
SUMPRODUCT(INDEX($AV$22:$AX$45,,$AI45), INDEX($AY$22:$BE$45,,$AH45), 1 / ($BG$22:$BG$45*CC45), N($AU$22:$AU$45&gt;$AM45))
) / 1000</f>
        <v>0</v>
      </c>
      <c r="CF45" s="229">
        <f t="shared" si="29"/>
        <v>0</v>
      </c>
      <c r="CG45" s="246"/>
      <c r="CH45" s="229">
        <f t="shared" si="30"/>
        <v>0</v>
      </c>
      <c r="CI45" s="228">
        <v>35</v>
      </c>
      <c r="CJ45" s="229">
        <f t="shared" si="31"/>
        <v>48</v>
      </c>
      <c r="CK45" s="234">
        <f t="shared" si="32"/>
        <v>3.0748170731707316</v>
      </c>
      <c r="CL45" s="234" cm="1">
        <f t="array" ref="CL45">$BM45 * SUMPRODUCT(INDEX($AV$76:$AX$81,,$AI45),INDEX($AY$76:$BE$81,,$AH45), N($AU$76:$AU$81&gt;$AM45)) / CK45 / 1000</f>
        <v>0</v>
      </c>
      <c r="CM45" s="231">
        <f t="shared" si="33"/>
        <v>30</v>
      </c>
      <c r="CN45" s="229">
        <f t="shared" si="34"/>
        <v>43</v>
      </c>
      <c r="CO45" s="234">
        <f t="shared" si="35"/>
        <v>3.5018750000000001</v>
      </c>
      <c r="CP45" s="234" cm="1">
        <f t="array" ref="CP45">$BM45 * IF($AH45&lt;=2,
SUMPRODUCT(INDEX($AV$71:$AX$75,,$AI45), INDEX($AY$71:$BE$75,,$AH45), 1 / ($BF$71:$BF$75*CO45 + (1-$BF$71:$BF$75)*CK45), N($AU$71:$AU$75&gt;$AM45)),
SUMPRODUCT(INDEX($AV$66:$AX$75,,$AI45), INDEX($AY$66:$BE$75,,$AH45), 1 / ($BG$66:$BG$75*CO45 + (1-$BG$66:$BG$75)*CK45), N($AU$66:$AU$75&gt;$AM45))
) / 1000</f>
        <v>0</v>
      </c>
      <c r="CQ45" s="231">
        <f t="shared" si="36"/>
        <v>25</v>
      </c>
      <c r="CR45" s="229">
        <f t="shared" si="37"/>
        <v>38</v>
      </c>
      <c r="CS45" s="234">
        <f t="shared" si="38"/>
        <v>4.0666935483870965</v>
      </c>
      <c r="CT45" s="234" cm="1">
        <f t="array" ref="CT45">$BM45 * IF($AH45&lt;=2,
SUMPRODUCT(INDEX($AV$66:$AX$70,,$AI45), INDEX($AY$66:$BE$70,,$AH45), 1 / ($BF$66:$BF$70*CS45 + (1-$BF$66:$BF$70)*CO45), N($AU$66:$AU$70&gt;$AM45)),
SUMPRODUCT(INDEX($AV$56:$AX$65,,$AI45), INDEX($AY$56:$BE$65,,$AH45), 1 / ($BG$56:$BG$65*CS45 + (1-$BG$56:$BG$65)*CO45), N($AU$56:$AU$65&gt;$AM45))
) / 1000</f>
        <v>0</v>
      </c>
      <c r="CU45" s="231">
        <f t="shared" si="39"/>
        <v>20</v>
      </c>
      <c r="CV45" s="229">
        <f t="shared" si="40"/>
        <v>33</v>
      </c>
      <c r="CW45" s="234">
        <f t="shared" si="41"/>
        <v>4.8487499999999999</v>
      </c>
      <c r="CX45" s="234" cm="1">
        <f t="array" ref="CX45">$BM45 * IF($AH45&lt;=2,
SUMPRODUCT(INDEX($AV$61:$AX$65,,$AI45), INDEX($AY$61:$BE$65,,$AH45), 1 / ($BF$61:$BF$65*CW45 + (1-$BF$61:$BF$65)*CS45), N($AU$61:$AU$65&gt;$AM45)),
SUMPRODUCT(INDEX($AV$46:$AX$55,,$AI45), INDEX($AY$46:$BE$55,,$AH45), 1 / ($BG$46:$BG$55*CW45 + (1-$BG$46:$BG$55)*CS45), N($AU$46:$AU$55&gt;$AM45))
) / 1000</f>
        <v>0</v>
      </c>
      <c r="CY45" s="234" cm="1">
        <f t="array" ref="CY45">$BM45 * IF($AH45&lt;=2,
SUMPRODUCT(INDEX($AV$22:$AX$60,,$AI45), INDEX($AY$22:$BE$60,,$AH45), 1 / ($BF$22:$BF$60*CW45), N($AU$22:$AU$60&gt;$AM45)),
SUMPRODUCT(INDEX($AV$22:$AX$45,,$AI45), INDEX($AY$22:$BE$45,,$AH45), 1 / ($BG$22:$BG$45*CW45), N($AU$22:$AU$45&gt;$AM45))
) / 1000</f>
        <v>0</v>
      </c>
      <c r="CZ45" s="229">
        <f t="shared" si="42"/>
        <v>0</v>
      </c>
      <c r="DA45" s="246"/>
    </row>
    <row r="46" spans="1:105" s="75" customFormat="1" ht="14.25" customHeight="1" x14ac:dyDescent="0.25">
      <c r="A46" s="230" t="b">
        <f t="shared" si="0"/>
        <v>0</v>
      </c>
      <c r="B46" s="253">
        <v>25</v>
      </c>
      <c r="C46" s="266"/>
      <c r="D46" s="266"/>
      <c r="E46" s="254"/>
      <c r="F46" s="255" t="str">
        <f>IF(ISBLANK(E46), "", VLOOKUP(E46, Z!$A$2:$C$4127, 3, FALSE))</f>
        <v/>
      </c>
      <c r="G46" s="256"/>
      <c r="H46" s="256"/>
      <c r="I46" s="256"/>
      <c r="J46" s="257"/>
      <c r="K46" s="258"/>
      <c r="L46" s="267"/>
      <c r="M46" s="268"/>
      <c r="N46" s="259" t="str" cm="1">
        <f t="array" ref="N46">IF($L46&gt;0, INDEX(Clean,1+AK46,$D$1), "")</f>
        <v/>
      </c>
      <c r="O46" s="260"/>
      <c r="P46" s="260"/>
      <c r="Q46" s="261"/>
      <c r="R46" s="264">
        <f t="shared" si="7"/>
        <v>0</v>
      </c>
      <c r="S46" s="259" t="str" cm="1">
        <f t="array" ref="S46">IF($L46&gt;0, INDEX(Clean,1+AL46,$D$1), "")</f>
        <v/>
      </c>
      <c r="T46" s="260"/>
      <c r="U46" s="260"/>
      <c r="V46" s="261"/>
      <c r="W46" s="267"/>
      <c r="X46" s="267"/>
      <c r="Y46" s="257"/>
      <c r="Z46" s="264">
        <f t="shared" si="8"/>
        <v>0</v>
      </c>
      <c r="AA46" s="269"/>
      <c r="AB46" s="266"/>
      <c r="AC46" s="254"/>
      <c r="AD46" s="255" t="str">
        <f>IF(ISBLANK(AC46), "", VLOOKUP(AC46, Z!$A$2:$C$4127, 3, FALSE))</f>
        <v/>
      </c>
      <c r="AE46" s="270"/>
      <c r="AF46" s="265">
        <f t="shared" si="9"/>
        <v>0</v>
      </c>
      <c r="AG46" s="246"/>
      <c r="AH46" s="228">
        <f t="shared" ref="AH46" si="131">IF(ISBLANK(I46), 1, IFERROR(MATCH(I46, INDEX(Use,,1), 0), IFERROR(MATCH(I46, INDEX(Use,,2), 0), MATCH(I46, INDEX(Use,,3), 0))))</f>
        <v>1</v>
      </c>
      <c r="AI46" s="228">
        <f t="shared" ref="AI46" si="132">IF(ISBLANK(H46), 1, IFERROR(MATCH(H46, INDEX(Loc,,1), 0), IFERROR(MATCH(H46, INDEX(Loc,,2), 0), MATCH(H46, INDEX(Loc,,3), 0))))</f>
        <v>1</v>
      </c>
      <c r="AJ46" s="228">
        <f t="shared" ref="AJ46" si="133">_xlfn.IFNA(IF(IFERROR(MATCH(J46, INDEX(Medium,,1), 0), IFERROR(MATCH(J46, INDEX(Medium,,2), 0), MATCH(J46, INDEX(Medium,,3), 0))) = 2, 1, 0), 0)</f>
        <v>0</v>
      </c>
      <c r="AK46" s="228">
        <v>0</v>
      </c>
      <c r="AL46" s="228">
        <v>0</v>
      </c>
      <c r="AM46" s="228">
        <f t="shared" si="4"/>
        <v>-100</v>
      </c>
      <c r="AN46" s="228" cm="1">
        <f t="array" ref="AN46">IF(ISBLANK(G46), 1, IFERROR(MATCH(G46, INDEX(Kat,,1), 0), IFERROR(MATCH(Kat, INDEX(Use,,2), 0), MATCH(Kat, INDEX(Use,,3), 0))))</f>
        <v>1</v>
      </c>
      <c r="AO46" s="246"/>
      <c r="AP46" s="228" cm="1">
        <f t="array" ref="AP46">IF(W46&gt;0, INDEX(Kat, AN46,4), 0)</f>
        <v>0</v>
      </c>
      <c r="AQ46" s="228">
        <f t="shared" ref="AQ46" si="134">IF(ISBLANK(Y46), 0, IFERROR(MATCH(Y46, INDEX(Month,,1), 0), IFERROR(MATCH(Y46, INDEX(Month,,2), 0), MATCH(Y46, INDEX(Month,,3), 0))))</f>
        <v>0</v>
      </c>
      <c r="AR46" s="228" cm="1">
        <f t="array" ref="AR46">IF(X46&gt;0, INDEX(Kat, $AN46, 4+AQ46), 0)</f>
        <v>0</v>
      </c>
      <c r="AS46" s="228" cm="1">
        <f t="array" ref="AS46">IF(X46&gt;0, INDEX(Kat, $AN46, 9+AQ46), 0)</f>
        <v>0</v>
      </c>
      <c r="AT46" s="246"/>
      <c r="AU46" s="228">
        <v>5</v>
      </c>
      <c r="AV46" s="231">
        <v>324</v>
      </c>
      <c r="AW46" s="231">
        <v>359</v>
      </c>
      <c r="AX46" s="231">
        <v>335</v>
      </c>
      <c r="AY46" s="232">
        <f t="shared" si="6"/>
        <v>0</v>
      </c>
      <c r="AZ46" s="232">
        <f t="shared" si="6"/>
        <v>0</v>
      </c>
      <c r="BA46" s="232" t="e" cm="1">
        <f t="array" ref="BA46">MIN(INDEX(Use,BA$20,5) + MAX(0, (1-INDEX(Use,BA$20,5))*($AU46-5)/(35-5)), 1)</f>
        <v>#REF!</v>
      </c>
      <c r="BB46" s="232" t="e" cm="1">
        <f t="array" ref="BB46">MIN(INDEX(Use,BB$20,5) + MAX(0, (1-INDEX(Use,BB$20,5))*($AU46-5)/(35-5)), 1)</f>
        <v>#REF!</v>
      </c>
      <c r="BC46" s="232" t="e" cm="1">
        <f t="array" ref="BC46">MIN(INDEX(Use,BC$20,5) + MAX(0, (1-INDEX(Use,BC$20,5))*($AU46-5)/(35-5)), 1)</f>
        <v>#REF!</v>
      </c>
      <c r="BD46" s="232" t="e" cm="1">
        <f t="array" ref="BD46">MIN(INDEX(Use,BD$20,5) + MAX(0, (1-INDEX(Use,BD$20,5))*($AU46-5)/(35-5)), 1)</f>
        <v>#REF!</v>
      </c>
      <c r="BE46" s="232" t="e" cm="1">
        <f t="array" ref="BE46">MIN(INDEX(Use,BE$20,5) + MAX(0, (1-INDEX(Use,BE$20,5))*($AU46-5)/(35-5)), 1)</f>
        <v>#REF!</v>
      </c>
      <c r="BF46" s="232">
        <v>1</v>
      </c>
      <c r="BG46" s="232">
        <v>1</v>
      </c>
      <c r="BH46" s="210"/>
      <c r="BI46" s="228" cm="1">
        <f t="array" ref="BI46">INDEX(Use, $AH46, 4)</f>
        <v>7</v>
      </c>
      <c r="BJ46" s="228">
        <f t="shared" si="14"/>
        <v>32</v>
      </c>
      <c r="BK46" s="228">
        <f t="shared" si="15"/>
        <v>13</v>
      </c>
      <c r="BL46" s="228">
        <f t="shared" si="16"/>
        <v>0</v>
      </c>
      <c r="BM46" s="233" cm="1">
        <f t="array" ref="BM46">L46/IF($M46&gt;0, INDEX($AY$22:$BE$76, $M46+20, $AH46), 1)</f>
        <v>0</v>
      </c>
      <c r="BN46" s="229">
        <f t="shared" si="17"/>
        <v>0</v>
      </c>
      <c r="BO46" s="228">
        <v>35</v>
      </c>
      <c r="BP46" s="229">
        <f t="shared" si="18"/>
        <v>48</v>
      </c>
      <c r="BQ46" s="234">
        <f t="shared" si="19"/>
        <v>3.0748170731707316</v>
      </c>
      <c r="BR46" s="234" cm="1">
        <f t="array" ref="BR46">$BM46 * SUMPRODUCT(INDEX($AV$76:$AX$81,,$AI46),INDEX($AY$76:$BE$81,,$AH46), N($AU$76:$AU$81&gt;$AM46)) / BQ46 / 1000</f>
        <v>0</v>
      </c>
      <c r="BS46" s="231">
        <f t="shared" si="20"/>
        <v>30</v>
      </c>
      <c r="BT46" s="229">
        <f t="shared" si="21"/>
        <v>43</v>
      </c>
      <c r="BU46" s="234">
        <f t="shared" si="22"/>
        <v>3.5018750000000001</v>
      </c>
      <c r="BV46" s="234" cm="1">
        <f t="array" ref="BV46">$BM46 * IF($AH46&lt;=2,
SUMPRODUCT(INDEX($AV$71:$AX$75,,$AI46), INDEX($AY$71:$BE$75,,$AH46), 1 / ($BF$71:$BF$75*BU46 + (1-$BF$71:$BF$75)*BQ46), N($AU$71:$AU$75&gt;$AM46)),
SUMPRODUCT(INDEX($AV$66:$AX$75,,$AI46), INDEX($AY$66:$BE$75,,$AH46), 1 / ($BG$66:$BG$75*BU46 + (1-$BG$66:$BG$75)*BQ46), N($AU$66:$AU$75&gt;$AM46))
) / 1000</f>
        <v>0</v>
      </c>
      <c r="BW46" s="231">
        <f t="shared" si="23"/>
        <v>25</v>
      </c>
      <c r="BX46" s="229">
        <f t="shared" si="24"/>
        <v>38</v>
      </c>
      <c r="BY46" s="234">
        <f t="shared" si="25"/>
        <v>4.0666935483870965</v>
      </c>
      <c r="BZ46" s="234" cm="1">
        <f t="array" ref="BZ46">$BM46 * IF($AH46&lt;=2,
SUMPRODUCT(INDEX($AV$66:$AX$70,,$AI46), INDEX($AY$66:$BE$70,,$AH46), 1 / ($BF$66:$BF$70*BY46 + (1-$BF$66:$BF$70)*BU46), N($AU$66:$AU$70&gt;$AM46)),
SUMPRODUCT(INDEX($AV$56:$AX$65,,$AI46), INDEX($AY$56:$BE$65,,$AH46), 1 / ($BG$56:$BG$65*BY46 + (1-$BG$56:$BG$65)*BU46), N($AU$56:$AU$65&gt;$AM46))
) / 1000</f>
        <v>0</v>
      </c>
      <c r="CA46" s="231">
        <f t="shared" si="26"/>
        <v>20</v>
      </c>
      <c r="CB46" s="229">
        <f t="shared" si="27"/>
        <v>33</v>
      </c>
      <c r="CC46" s="234">
        <f t="shared" si="28"/>
        <v>4.8487499999999999</v>
      </c>
      <c r="CD46" s="234" cm="1">
        <f t="array" ref="CD46">$BM46 * IF($AH46&lt;=2,
SUMPRODUCT(INDEX($AV$61:$AX$65,,$AI46), INDEX($AY$61:$BE$65,,$AH46), 1 / ($BF$61:$BF$65*CC46 + (1-$BF$61:$BF$65)*BY46), N($AU$61:$AU$65&gt;$AM46)),
SUMPRODUCT(INDEX($AV$46:$AX$55,,$AI46), INDEX($AY$46:$BE$55,,$AH46), 1 / ($BG$46:$BG$55*CC46 + (1-$BG$46:$BG$55)*BY46), N($AU$46:$AU$55&gt;$AM46))
) / 1000</f>
        <v>0</v>
      </c>
      <c r="CE46" s="234" cm="1">
        <f t="array" ref="CE46">$BM46 * IF($AH46&lt;=2,
SUMPRODUCT(INDEX($AV$22:$AX$60,,$AI46), INDEX($AY$22:$BE$60,,$AH46), 1 / ($BF$22:$BF$60*CC46), N($AU$22:$AU$60&gt;$AM46)),
SUMPRODUCT(INDEX($AV$22:$AX$45,,$AI46), INDEX($AY$22:$BE$45,,$AH46), 1 / ($BG$22:$BG$45*CC46), N($AU$22:$AU$45&gt;$AM46))
) / 1000</f>
        <v>0</v>
      </c>
      <c r="CF46" s="229">
        <f t="shared" si="29"/>
        <v>0</v>
      </c>
      <c r="CG46" s="246"/>
      <c r="CH46" s="229">
        <f t="shared" si="30"/>
        <v>0</v>
      </c>
      <c r="CI46" s="228">
        <v>35</v>
      </c>
      <c r="CJ46" s="229">
        <f t="shared" si="31"/>
        <v>48</v>
      </c>
      <c r="CK46" s="234">
        <f t="shared" si="32"/>
        <v>3.0748170731707316</v>
      </c>
      <c r="CL46" s="234" cm="1">
        <f t="array" ref="CL46">$BM46 * SUMPRODUCT(INDEX($AV$76:$AX$81,,$AI46),INDEX($AY$76:$BE$81,,$AH46), N($AU$76:$AU$81&gt;$AM46)) / CK46 / 1000</f>
        <v>0</v>
      </c>
      <c r="CM46" s="231">
        <f t="shared" si="33"/>
        <v>30</v>
      </c>
      <c r="CN46" s="229">
        <f t="shared" si="34"/>
        <v>43</v>
      </c>
      <c r="CO46" s="234">
        <f t="shared" si="35"/>
        <v>3.5018750000000001</v>
      </c>
      <c r="CP46" s="234" cm="1">
        <f t="array" ref="CP46">$BM46 * IF($AH46&lt;=2,
SUMPRODUCT(INDEX($AV$71:$AX$75,,$AI46), INDEX($AY$71:$BE$75,,$AH46), 1 / ($BF$71:$BF$75*CO46 + (1-$BF$71:$BF$75)*CK46), N($AU$71:$AU$75&gt;$AM46)),
SUMPRODUCT(INDEX($AV$66:$AX$75,,$AI46), INDEX($AY$66:$BE$75,,$AH46), 1 / ($BG$66:$BG$75*CO46 + (1-$BG$66:$BG$75)*CK46), N($AU$66:$AU$75&gt;$AM46))
) / 1000</f>
        <v>0</v>
      </c>
      <c r="CQ46" s="231">
        <f t="shared" si="36"/>
        <v>25</v>
      </c>
      <c r="CR46" s="229">
        <f t="shared" si="37"/>
        <v>38</v>
      </c>
      <c r="CS46" s="234">
        <f t="shared" si="38"/>
        <v>4.0666935483870965</v>
      </c>
      <c r="CT46" s="234" cm="1">
        <f t="array" ref="CT46">$BM46 * IF($AH46&lt;=2,
SUMPRODUCT(INDEX($AV$66:$AX$70,,$AI46), INDEX($AY$66:$BE$70,,$AH46), 1 / ($BF$66:$BF$70*CS46 + (1-$BF$66:$BF$70)*CO46), N($AU$66:$AU$70&gt;$AM46)),
SUMPRODUCT(INDEX($AV$56:$AX$65,,$AI46), INDEX($AY$56:$BE$65,,$AH46), 1 / ($BG$56:$BG$65*CS46 + (1-$BG$56:$BG$65)*CO46), N($AU$56:$AU$65&gt;$AM46))
) / 1000</f>
        <v>0</v>
      </c>
      <c r="CU46" s="231">
        <f t="shared" si="39"/>
        <v>20</v>
      </c>
      <c r="CV46" s="229">
        <f t="shared" si="40"/>
        <v>33</v>
      </c>
      <c r="CW46" s="234">
        <f t="shared" si="41"/>
        <v>4.8487499999999999</v>
      </c>
      <c r="CX46" s="234" cm="1">
        <f t="array" ref="CX46">$BM46 * IF($AH46&lt;=2,
SUMPRODUCT(INDEX($AV$61:$AX$65,,$AI46), INDEX($AY$61:$BE$65,,$AH46), 1 / ($BF$61:$BF$65*CW46 + (1-$BF$61:$BF$65)*CS46), N($AU$61:$AU$65&gt;$AM46)),
SUMPRODUCT(INDEX($AV$46:$AX$55,,$AI46), INDEX($AY$46:$BE$55,,$AH46), 1 / ($BG$46:$BG$55*CW46 + (1-$BG$46:$BG$55)*CS46), N($AU$46:$AU$55&gt;$AM46))
) / 1000</f>
        <v>0</v>
      </c>
      <c r="CY46" s="234" cm="1">
        <f t="array" ref="CY46">$BM46 * IF($AH46&lt;=2,
SUMPRODUCT(INDEX($AV$22:$AX$60,,$AI46), INDEX($AY$22:$BE$60,,$AH46), 1 / ($BF$22:$BF$60*CW46), N($AU$22:$AU$60&gt;$AM46)),
SUMPRODUCT(INDEX($AV$22:$AX$45,,$AI46), INDEX($AY$22:$BE$45,,$AH46), 1 / ($BG$22:$BG$45*CW46), N($AU$22:$AU$45&gt;$AM46))
) / 1000</f>
        <v>0</v>
      </c>
      <c r="CZ46" s="229">
        <f t="shared" si="42"/>
        <v>0</v>
      </c>
      <c r="DA46" s="246"/>
    </row>
    <row r="47" spans="1:105" s="75" customFormat="1" ht="14.25" customHeight="1" x14ac:dyDescent="0.25">
      <c r="A47" s="230" t="b">
        <f t="shared" si="0"/>
        <v>0</v>
      </c>
      <c r="B47" s="253">
        <v>26</v>
      </c>
      <c r="C47" s="266"/>
      <c r="D47" s="266"/>
      <c r="E47" s="254"/>
      <c r="F47" s="255" t="str">
        <f>IF(ISBLANK(E47), "", VLOOKUP(E47, Z!$A$2:$C$4127, 3, FALSE))</f>
        <v/>
      </c>
      <c r="G47" s="256"/>
      <c r="H47" s="256"/>
      <c r="I47" s="256"/>
      <c r="J47" s="257"/>
      <c r="K47" s="258"/>
      <c r="L47" s="267"/>
      <c r="M47" s="268"/>
      <c r="N47" s="259" t="str" cm="1">
        <f t="array" ref="N47">IF($L47&gt;0, INDEX(Clean,1+AK47,$D$1), "")</f>
        <v/>
      </c>
      <c r="O47" s="260"/>
      <c r="P47" s="260"/>
      <c r="Q47" s="261"/>
      <c r="R47" s="264">
        <f t="shared" si="7"/>
        <v>0</v>
      </c>
      <c r="S47" s="259" t="str" cm="1">
        <f t="array" ref="S47">IF($L47&gt;0, INDEX(Clean,1+AL47,$D$1), "")</f>
        <v/>
      </c>
      <c r="T47" s="260"/>
      <c r="U47" s="260"/>
      <c r="V47" s="261"/>
      <c r="W47" s="267"/>
      <c r="X47" s="267"/>
      <c r="Y47" s="257"/>
      <c r="Z47" s="264">
        <f t="shared" si="8"/>
        <v>0</v>
      </c>
      <c r="AA47" s="269"/>
      <c r="AB47" s="266"/>
      <c r="AC47" s="254"/>
      <c r="AD47" s="255" t="str">
        <f>IF(ISBLANK(AC47), "", VLOOKUP(AC47, Z!$A$2:$C$4127, 3, FALSE))</f>
        <v/>
      </c>
      <c r="AE47" s="270"/>
      <c r="AF47" s="265">
        <f t="shared" si="9"/>
        <v>0</v>
      </c>
      <c r="AG47" s="246"/>
      <c r="AH47" s="228">
        <f t="shared" ref="AH47" si="135">IF(ISBLANK(I47), 1, IFERROR(MATCH(I47, INDEX(Use,,1), 0), IFERROR(MATCH(I47, INDEX(Use,,2), 0), MATCH(I47, INDEX(Use,,3), 0))))</f>
        <v>1</v>
      </c>
      <c r="AI47" s="228">
        <f t="shared" ref="AI47" si="136">IF(ISBLANK(H47), 1, IFERROR(MATCH(H47, INDEX(Loc,,1), 0), IFERROR(MATCH(H47, INDEX(Loc,,2), 0), MATCH(H47, INDEX(Loc,,3), 0))))</f>
        <v>1</v>
      </c>
      <c r="AJ47" s="228">
        <f t="shared" ref="AJ47" si="137">_xlfn.IFNA(IF(IFERROR(MATCH(J47, INDEX(Medium,,1), 0), IFERROR(MATCH(J47, INDEX(Medium,,2), 0), MATCH(J47, INDEX(Medium,,3), 0))) = 2, 1, 0), 0)</f>
        <v>0</v>
      </c>
      <c r="AK47" s="228">
        <v>0</v>
      </c>
      <c r="AL47" s="228">
        <v>0</v>
      </c>
      <c r="AM47" s="228">
        <f t="shared" si="4"/>
        <v>-100</v>
      </c>
      <c r="AN47" s="228" cm="1">
        <f t="array" ref="AN47">IF(ISBLANK(G47), 1, IFERROR(MATCH(G47, INDEX(Kat,,1), 0), IFERROR(MATCH(Kat, INDEX(Use,,2), 0), MATCH(Kat, INDEX(Use,,3), 0))))</f>
        <v>1</v>
      </c>
      <c r="AO47" s="246"/>
      <c r="AP47" s="228" cm="1">
        <f t="array" ref="AP47">IF(W47&gt;0, INDEX(Kat, AN47,4), 0)</f>
        <v>0</v>
      </c>
      <c r="AQ47" s="228">
        <f t="shared" ref="AQ47" si="138">IF(ISBLANK(Y47), 0, IFERROR(MATCH(Y47, INDEX(Month,,1), 0), IFERROR(MATCH(Y47, INDEX(Month,,2), 0), MATCH(Y47, INDEX(Month,,3), 0))))</f>
        <v>0</v>
      </c>
      <c r="AR47" s="228" cm="1">
        <f t="array" ref="AR47">IF(X47&gt;0, INDEX(Kat, $AN47, 4+AQ47), 0)</f>
        <v>0</v>
      </c>
      <c r="AS47" s="228" cm="1">
        <f t="array" ref="AS47">IF(X47&gt;0, INDEX(Kat, $AN47, 9+AQ47), 0)</f>
        <v>0</v>
      </c>
      <c r="AT47" s="246"/>
      <c r="AU47" s="228">
        <v>6</v>
      </c>
      <c r="AV47" s="231">
        <v>362</v>
      </c>
      <c r="AW47" s="231">
        <v>365</v>
      </c>
      <c r="AX47" s="231">
        <v>417</v>
      </c>
      <c r="AY47" s="232">
        <f t="shared" si="6"/>
        <v>0</v>
      </c>
      <c r="AZ47" s="232">
        <f t="shared" si="6"/>
        <v>0</v>
      </c>
      <c r="BA47" s="232" t="e" cm="1">
        <f t="array" ref="BA47">MIN(INDEX(Use,BA$20,5) + MAX(0, (1-INDEX(Use,BA$20,5))*($AU47-5)/(35-5)), 1)</f>
        <v>#REF!</v>
      </c>
      <c r="BB47" s="232" t="e" cm="1">
        <f t="array" ref="BB47">MIN(INDEX(Use,BB$20,5) + MAX(0, (1-INDEX(Use,BB$20,5))*($AU47-5)/(35-5)), 1)</f>
        <v>#REF!</v>
      </c>
      <c r="BC47" s="232" t="e" cm="1">
        <f t="array" ref="BC47">MIN(INDEX(Use,BC$20,5) + MAX(0, (1-INDEX(Use,BC$20,5))*($AU47-5)/(35-5)), 1)</f>
        <v>#REF!</v>
      </c>
      <c r="BD47" s="232" t="e" cm="1">
        <f t="array" ref="BD47">MIN(INDEX(Use,BD$20,5) + MAX(0, (1-INDEX(Use,BD$20,5))*($AU47-5)/(35-5)), 1)</f>
        <v>#REF!</v>
      </c>
      <c r="BE47" s="232" t="e" cm="1">
        <f t="array" ref="BE47">MIN(INDEX(Use,BE$20,5) + MAX(0, (1-INDEX(Use,BE$20,5))*($AU47-5)/(35-5)), 1)</f>
        <v>#REF!</v>
      </c>
      <c r="BF47" s="232">
        <v>1</v>
      </c>
      <c r="BG47" s="232">
        <v>0.9</v>
      </c>
      <c r="BH47" s="210"/>
      <c r="BI47" s="228" cm="1">
        <f t="array" ref="BI47">INDEX(Use, $AH47, 4)</f>
        <v>7</v>
      </c>
      <c r="BJ47" s="228">
        <f t="shared" si="14"/>
        <v>32</v>
      </c>
      <c r="BK47" s="228">
        <f t="shared" si="15"/>
        <v>13</v>
      </c>
      <c r="BL47" s="228">
        <f t="shared" si="16"/>
        <v>0</v>
      </c>
      <c r="BM47" s="233" cm="1">
        <f t="array" ref="BM47">L47/IF($M47&gt;0, INDEX($AY$22:$BE$76, $M47+20, $AH47), 1)</f>
        <v>0</v>
      </c>
      <c r="BN47" s="229">
        <f t="shared" si="17"/>
        <v>0</v>
      </c>
      <c r="BO47" s="228">
        <v>35</v>
      </c>
      <c r="BP47" s="229">
        <f t="shared" si="18"/>
        <v>48</v>
      </c>
      <c r="BQ47" s="234">
        <f t="shared" si="19"/>
        <v>3.0748170731707316</v>
      </c>
      <c r="BR47" s="234" cm="1">
        <f t="array" ref="BR47">$BM47 * SUMPRODUCT(INDEX($AV$76:$AX$81,,$AI47),INDEX($AY$76:$BE$81,,$AH47), N($AU$76:$AU$81&gt;$AM47)) / BQ47 / 1000</f>
        <v>0</v>
      </c>
      <c r="BS47" s="231">
        <f t="shared" si="20"/>
        <v>30</v>
      </c>
      <c r="BT47" s="229">
        <f t="shared" si="21"/>
        <v>43</v>
      </c>
      <c r="BU47" s="234">
        <f t="shared" si="22"/>
        <v>3.5018750000000001</v>
      </c>
      <c r="BV47" s="234" cm="1">
        <f t="array" ref="BV47">$BM47 * IF($AH47&lt;=2,
SUMPRODUCT(INDEX($AV$71:$AX$75,,$AI47), INDEX($AY$71:$BE$75,,$AH47), 1 / ($BF$71:$BF$75*BU47 + (1-$BF$71:$BF$75)*BQ47), N($AU$71:$AU$75&gt;$AM47)),
SUMPRODUCT(INDEX($AV$66:$AX$75,,$AI47), INDEX($AY$66:$BE$75,,$AH47), 1 / ($BG$66:$BG$75*BU47 + (1-$BG$66:$BG$75)*BQ47), N($AU$66:$AU$75&gt;$AM47))
) / 1000</f>
        <v>0</v>
      </c>
      <c r="BW47" s="231">
        <f t="shared" si="23"/>
        <v>25</v>
      </c>
      <c r="BX47" s="229">
        <f t="shared" si="24"/>
        <v>38</v>
      </c>
      <c r="BY47" s="234">
        <f t="shared" si="25"/>
        <v>4.0666935483870965</v>
      </c>
      <c r="BZ47" s="234" cm="1">
        <f t="array" ref="BZ47">$BM47 * IF($AH47&lt;=2,
SUMPRODUCT(INDEX($AV$66:$AX$70,,$AI47), INDEX($AY$66:$BE$70,,$AH47), 1 / ($BF$66:$BF$70*BY47 + (1-$BF$66:$BF$70)*BU47), N($AU$66:$AU$70&gt;$AM47)),
SUMPRODUCT(INDEX($AV$56:$AX$65,,$AI47), INDEX($AY$56:$BE$65,,$AH47), 1 / ($BG$56:$BG$65*BY47 + (1-$BG$56:$BG$65)*BU47), N($AU$56:$AU$65&gt;$AM47))
) / 1000</f>
        <v>0</v>
      </c>
      <c r="CA47" s="231">
        <f t="shared" si="26"/>
        <v>20</v>
      </c>
      <c r="CB47" s="229">
        <f t="shared" si="27"/>
        <v>33</v>
      </c>
      <c r="CC47" s="234">
        <f t="shared" si="28"/>
        <v>4.8487499999999999</v>
      </c>
      <c r="CD47" s="234" cm="1">
        <f t="array" ref="CD47">$BM47 * IF($AH47&lt;=2,
SUMPRODUCT(INDEX($AV$61:$AX$65,,$AI47), INDEX($AY$61:$BE$65,,$AH47), 1 / ($BF$61:$BF$65*CC47 + (1-$BF$61:$BF$65)*BY47), N($AU$61:$AU$65&gt;$AM47)),
SUMPRODUCT(INDEX($AV$46:$AX$55,,$AI47), INDEX($AY$46:$BE$55,,$AH47), 1 / ($BG$46:$BG$55*CC47 + (1-$BG$46:$BG$55)*BY47), N($AU$46:$AU$55&gt;$AM47))
) / 1000</f>
        <v>0</v>
      </c>
      <c r="CE47" s="234" cm="1">
        <f t="array" ref="CE47">$BM47 * IF($AH47&lt;=2,
SUMPRODUCT(INDEX($AV$22:$AX$60,,$AI47), INDEX($AY$22:$BE$60,,$AH47), 1 / ($BF$22:$BF$60*CC47), N($AU$22:$AU$60&gt;$AM47)),
SUMPRODUCT(INDEX($AV$22:$AX$45,,$AI47), INDEX($AY$22:$BE$45,,$AH47), 1 / ($BG$22:$BG$45*CC47), N($AU$22:$AU$45&gt;$AM47))
) / 1000</f>
        <v>0</v>
      </c>
      <c r="CF47" s="229">
        <f t="shared" si="29"/>
        <v>0</v>
      </c>
      <c r="CG47" s="246"/>
      <c r="CH47" s="229">
        <f t="shared" si="30"/>
        <v>0</v>
      </c>
      <c r="CI47" s="228">
        <v>35</v>
      </c>
      <c r="CJ47" s="229">
        <f t="shared" si="31"/>
        <v>48</v>
      </c>
      <c r="CK47" s="234">
        <f t="shared" si="32"/>
        <v>3.0748170731707316</v>
      </c>
      <c r="CL47" s="234" cm="1">
        <f t="array" ref="CL47">$BM47 * SUMPRODUCT(INDEX($AV$76:$AX$81,,$AI47),INDEX($AY$76:$BE$81,,$AH47), N($AU$76:$AU$81&gt;$AM47)) / CK47 / 1000</f>
        <v>0</v>
      </c>
      <c r="CM47" s="231">
        <f t="shared" si="33"/>
        <v>30</v>
      </c>
      <c r="CN47" s="229">
        <f t="shared" si="34"/>
        <v>43</v>
      </c>
      <c r="CO47" s="234">
        <f t="shared" si="35"/>
        <v>3.5018750000000001</v>
      </c>
      <c r="CP47" s="234" cm="1">
        <f t="array" ref="CP47">$BM47 * IF($AH47&lt;=2,
SUMPRODUCT(INDEX($AV$71:$AX$75,,$AI47), INDEX($AY$71:$BE$75,,$AH47), 1 / ($BF$71:$BF$75*CO47 + (1-$BF$71:$BF$75)*CK47), N($AU$71:$AU$75&gt;$AM47)),
SUMPRODUCT(INDEX($AV$66:$AX$75,,$AI47), INDEX($AY$66:$BE$75,,$AH47), 1 / ($BG$66:$BG$75*CO47 + (1-$BG$66:$BG$75)*CK47), N($AU$66:$AU$75&gt;$AM47))
) / 1000</f>
        <v>0</v>
      </c>
      <c r="CQ47" s="231">
        <f t="shared" si="36"/>
        <v>25</v>
      </c>
      <c r="CR47" s="229">
        <f t="shared" si="37"/>
        <v>38</v>
      </c>
      <c r="CS47" s="234">
        <f t="shared" si="38"/>
        <v>4.0666935483870965</v>
      </c>
      <c r="CT47" s="234" cm="1">
        <f t="array" ref="CT47">$BM47 * IF($AH47&lt;=2,
SUMPRODUCT(INDEX($AV$66:$AX$70,,$AI47), INDEX($AY$66:$BE$70,,$AH47), 1 / ($BF$66:$BF$70*CS47 + (1-$BF$66:$BF$70)*CO47), N($AU$66:$AU$70&gt;$AM47)),
SUMPRODUCT(INDEX($AV$56:$AX$65,,$AI47), INDEX($AY$56:$BE$65,,$AH47), 1 / ($BG$56:$BG$65*CS47 + (1-$BG$56:$BG$65)*CO47), N($AU$56:$AU$65&gt;$AM47))
) / 1000</f>
        <v>0</v>
      </c>
      <c r="CU47" s="231">
        <f t="shared" si="39"/>
        <v>20</v>
      </c>
      <c r="CV47" s="229">
        <f t="shared" si="40"/>
        <v>33</v>
      </c>
      <c r="CW47" s="234">
        <f t="shared" si="41"/>
        <v>4.8487499999999999</v>
      </c>
      <c r="CX47" s="234" cm="1">
        <f t="array" ref="CX47">$BM47 * IF($AH47&lt;=2,
SUMPRODUCT(INDEX($AV$61:$AX$65,,$AI47), INDEX($AY$61:$BE$65,,$AH47), 1 / ($BF$61:$BF$65*CW47 + (1-$BF$61:$BF$65)*CS47), N($AU$61:$AU$65&gt;$AM47)),
SUMPRODUCT(INDEX($AV$46:$AX$55,,$AI47), INDEX($AY$46:$BE$55,,$AH47), 1 / ($BG$46:$BG$55*CW47 + (1-$BG$46:$BG$55)*CS47), N($AU$46:$AU$55&gt;$AM47))
) / 1000</f>
        <v>0</v>
      </c>
      <c r="CY47" s="234" cm="1">
        <f t="array" ref="CY47">$BM47 * IF($AH47&lt;=2,
SUMPRODUCT(INDEX($AV$22:$AX$60,,$AI47), INDEX($AY$22:$BE$60,,$AH47), 1 / ($BF$22:$BF$60*CW47), N($AU$22:$AU$60&gt;$AM47)),
SUMPRODUCT(INDEX($AV$22:$AX$45,,$AI47), INDEX($AY$22:$BE$45,,$AH47), 1 / ($BG$22:$BG$45*CW47), N($AU$22:$AU$45&gt;$AM47))
) / 1000</f>
        <v>0</v>
      </c>
      <c r="CZ47" s="229">
        <f t="shared" si="42"/>
        <v>0</v>
      </c>
      <c r="DA47" s="246"/>
    </row>
    <row r="48" spans="1:105" s="75" customFormat="1" ht="14.25" customHeight="1" x14ac:dyDescent="0.25">
      <c r="A48" s="230" t="b">
        <f t="shared" si="0"/>
        <v>0</v>
      </c>
      <c r="B48" s="253">
        <v>27</v>
      </c>
      <c r="C48" s="266"/>
      <c r="D48" s="266"/>
      <c r="E48" s="254"/>
      <c r="F48" s="255" t="str">
        <f>IF(ISBLANK(E48), "", VLOOKUP(E48, Z!$A$2:$C$4127, 3, FALSE))</f>
        <v/>
      </c>
      <c r="G48" s="256"/>
      <c r="H48" s="256"/>
      <c r="I48" s="256"/>
      <c r="J48" s="257"/>
      <c r="K48" s="258"/>
      <c r="L48" s="267"/>
      <c r="M48" s="268"/>
      <c r="N48" s="259" t="str" cm="1">
        <f t="array" ref="N48">IF($L48&gt;0, INDEX(Clean,1+AK48,$D$1), "")</f>
        <v/>
      </c>
      <c r="O48" s="260"/>
      <c r="P48" s="260"/>
      <c r="Q48" s="261"/>
      <c r="R48" s="264">
        <f t="shared" si="7"/>
        <v>0</v>
      </c>
      <c r="S48" s="259" t="str" cm="1">
        <f t="array" ref="S48">IF($L48&gt;0, INDEX(Clean,1+AL48,$D$1), "")</f>
        <v/>
      </c>
      <c r="T48" s="260"/>
      <c r="U48" s="260"/>
      <c r="V48" s="261"/>
      <c r="W48" s="267"/>
      <c r="X48" s="267"/>
      <c r="Y48" s="257"/>
      <c r="Z48" s="264">
        <f t="shared" si="8"/>
        <v>0</v>
      </c>
      <c r="AA48" s="269"/>
      <c r="AB48" s="266"/>
      <c r="AC48" s="254"/>
      <c r="AD48" s="255" t="str">
        <f>IF(ISBLANK(AC48), "", VLOOKUP(AC48, Z!$A$2:$C$4127, 3, FALSE))</f>
        <v/>
      </c>
      <c r="AE48" s="270"/>
      <c r="AF48" s="265">
        <f t="shared" si="9"/>
        <v>0</v>
      </c>
      <c r="AG48" s="246"/>
      <c r="AH48" s="228">
        <f t="shared" ref="AH48" si="139">IF(ISBLANK(I48), 1, IFERROR(MATCH(I48, INDEX(Use,,1), 0), IFERROR(MATCH(I48, INDEX(Use,,2), 0), MATCH(I48, INDEX(Use,,3), 0))))</f>
        <v>1</v>
      </c>
      <c r="AI48" s="228">
        <f t="shared" ref="AI48" si="140">IF(ISBLANK(H48), 1, IFERROR(MATCH(H48, INDEX(Loc,,1), 0), IFERROR(MATCH(H48, INDEX(Loc,,2), 0), MATCH(H48, INDEX(Loc,,3), 0))))</f>
        <v>1</v>
      </c>
      <c r="AJ48" s="228">
        <f t="shared" ref="AJ48" si="141">_xlfn.IFNA(IF(IFERROR(MATCH(J48, INDEX(Medium,,1), 0), IFERROR(MATCH(J48, INDEX(Medium,,2), 0), MATCH(J48, INDEX(Medium,,3), 0))) = 2, 1, 0), 0)</f>
        <v>0</v>
      </c>
      <c r="AK48" s="228">
        <v>0</v>
      </c>
      <c r="AL48" s="228">
        <v>0</v>
      </c>
      <c r="AM48" s="228">
        <f t="shared" si="4"/>
        <v>-100</v>
      </c>
      <c r="AN48" s="228" cm="1">
        <f t="array" ref="AN48">IF(ISBLANK(G48), 1, IFERROR(MATCH(G48, INDEX(Kat,,1), 0), IFERROR(MATCH(Kat, INDEX(Use,,2), 0), MATCH(Kat, INDEX(Use,,3), 0))))</f>
        <v>1</v>
      </c>
      <c r="AO48" s="246"/>
      <c r="AP48" s="228" cm="1">
        <f t="array" ref="AP48">IF(W48&gt;0, INDEX(Kat, AN48,4), 0)</f>
        <v>0</v>
      </c>
      <c r="AQ48" s="228">
        <f t="shared" ref="AQ48" si="142">IF(ISBLANK(Y48), 0, IFERROR(MATCH(Y48, INDEX(Month,,1), 0), IFERROR(MATCH(Y48, INDEX(Month,,2), 0), MATCH(Y48, INDEX(Month,,3), 0))))</f>
        <v>0</v>
      </c>
      <c r="AR48" s="228" cm="1">
        <f t="array" ref="AR48">IF(X48&gt;0, INDEX(Kat, $AN48, 4+AQ48), 0)</f>
        <v>0</v>
      </c>
      <c r="AS48" s="228" cm="1">
        <f t="array" ref="AS48">IF(X48&gt;0, INDEX(Kat, $AN48, 9+AQ48), 0)</f>
        <v>0</v>
      </c>
      <c r="AT48" s="246"/>
      <c r="AU48" s="228">
        <v>7</v>
      </c>
      <c r="AV48" s="231">
        <v>426</v>
      </c>
      <c r="AW48" s="231">
        <v>341</v>
      </c>
      <c r="AX48" s="231">
        <v>406</v>
      </c>
      <c r="AY48" s="232">
        <f t="shared" si="6"/>
        <v>0</v>
      </c>
      <c r="AZ48" s="232">
        <f t="shared" si="6"/>
        <v>0</v>
      </c>
      <c r="BA48" s="232" t="e" cm="1">
        <f t="array" ref="BA48">MIN(INDEX(Use,BA$20,5) + MAX(0, (1-INDEX(Use,BA$20,5))*($AU48-5)/(35-5)), 1)</f>
        <v>#REF!</v>
      </c>
      <c r="BB48" s="232" t="e" cm="1">
        <f t="array" ref="BB48">MIN(INDEX(Use,BB$20,5) + MAX(0, (1-INDEX(Use,BB$20,5))*($AU48-5)/(35-5)), 1)</f>
        <v>#REF!</v>
      </c>
      <c r="BC48" s="232" t="e" cm="1">
        <f t="array" ref="BC48">MIN(INDEX(Use,BC$20,5) + MAX(0, (1-INDEX(Use,BC$20,5))*($AU48-5)/(35-5)), 1)</f>
        <v>#REF!</v>
      </c>
      <c r="BD48" s="232" t="e" cm="1">
        <f t="array" ref="BD48">MIN(INDEX(Use,BD$20,5) + MAX(0, (1-INDEX(Use,BD$20,5))*($AU48-5)/(35-5)), 1)</f>
        <v>#REF!</v>
      </c>
      <c r="BE48" s="232" t="e" cm="1">
        <f t="array" ref="BE48">MIN(INDEX(Use,BE$20,5) + MAX(0, (1-INDEX(Use,BE$20,5))*($AU48-5)/(35-5)), 1)</f>
        <v>#REF!</v>
      </c>
      <c r="BF48" s="232">
        <v>1</v>
      </c>
      <c r="BG48" s="232">
        <v>0.8</v>
      </c>
      <c r="BH48" s="210"/>
      <c r="BI48" s="228" cm="1">
        <f t="array" ref="BI48">INDEX(Use, $AH48, 4)</f>
        <v>7</v>
      </c>
      <c r="BJ48" s="228">
        <f t="shared" si="14"/>
        <v>32</v>
      </c>
      <c r="BK48" s="228">
        <f t="shared" si="15"/>
        <v>13</v>
      </c>
      <c r="BL48" s="228">
        <f t="shared" si="16"/>
        <v>0</v>
      </c>
      <c r="BM48" s="233" cm="1">
        <f t="array" ref="BM48">L48/IF($M48&gt;0, INDEX($AY$22:$BE$76, $M48+20, $AH48), 1)</f>
        <v>0</v>
      </c>
      <c r="BN48" s="229">
        <f t="shared" si="17"/>
        <v>0</v>
      </c>
      <c r="BO48" s="228">
        <v>35</v>
      </c>
      <c r="BP48" s="229">
        <f t="shared" si="18"/>
        <v>48</v>
      </c>
      <c r="BQ48" s="234">
        <f t="shared" si="19"/>
        <v>3.0748170731707316</v>
      </c>
      <c r="BR48" s="234" cm="1">
        <f t="array" ref="BR48">$BM48 * SUMPRODUCT(INDEX($AV$76:$AX$81,,$AI48),INDEX($AY$76:$BE$81,,$AH48), N($AU$76:$AU$81&gt;$AM48)) / BQ48 / 1000</f>
        <v>0</v>
      </c>
      <c r="BS48" s="231">
        <f t="shared" si="20"/>
        <v>30</v>
      </c>
      <c r="BT48" s="229">
        <f t="shared" si="21"/>
        <v>43</v>
      </c>
      <c r="BU48" s="234">
        <f t="shared" si="22"/>
        <v>3.5018750000000001</v>
      </c>
      <c r="BV48" s="234" cm="1">
        <f t="array" ref="BV48">$BM48 * IF($AH48&lt;=2,
SUMPRODUCT(INDEX($AV$71:$AX$75,,$AI48), INDEX($AY$71:$BE$75,,$AH48), 1 / ($BF$71:$BF$75*BU48 + (1-$BF$71:$BF$75)*BQ48), N($AU$71:$AU$75&gt;$AM48)),
SUMPRODUCT(INDEX($AV$66:$AX$75,,$AI48), INDEX($AY$66:$BE$75,,$AH48), 1 / ($BG$66:$BG$75*BU48 + (1-$BG$66:$BG$75)*BQ48), N($AU$66:$AU$75&gt;$AM48))
) / 1000</f>
        <v>0</v>
      </c>
      <c r="BW48" s="231">
        <f t="shared" si="23"/>
        <v>25</v>
      </c>
      <c r="BX48" s="229">
        <f t="shared" si="24"/>
        <v>38</v>
      </c>
      <c r="BY48" s="234">
        <f t="shared" si="25"/>
        <v>4.0666935483870965</v>
      </c>
      <c r="BZ48" s="234" cm="1">
        <f t="array" ref="BZ48">$BM48 * IF($AH48&lt;=2,
SUMPRODUCT(INDEX($AV$66:$AX$70,,$AI48), INDEX($AY$66:$BE$70,,$AH48), 1 / ($BF$66:$BF$70*BY48 + (1-$BF$66:$BF$70)*BU48), N($AU$66:$AU$70&gt;$AM48)),
SUMPRODUCT(INDEX($AV$56:$AX$65,,$AI48), INDEX($AY$56:$BE$65,,$AH48), 1 / ($BG$56:$BG$65*BY48 + (1-$BG$56:$BG$65)*BU48), N($AU$56:$AU$65&gt;$AM48))
) / 1000</f>
        <v>0</v>
      </c>
      <c r="CA48" s="231">
        <f t="shared" si="26"/>
        <v>20</v>
      </c>
      <c r="CB48" s="229">
        <f t="shared" si="27"/>
        <v>33</v>
      </c>
      <c r="CC48" s="234">
        <f t="shared" si="28"/>
        <v>4.8487499999999999</v>
      </c>
      <c r="CD48" s="234" cm="1">
        <f t="array" ref="CD48">$BM48 * IF($AH48&lt;=2,
SUMPRODUCT(INDEX($AV$61:$AX$65,,$AI48), INDEX($AY$61:$BE$65,,$AH48), 1 / ($BF$61:$BF$65*CC48 + (1-$BF$61:$BF$65)*BY48), N($AU$61:$AU$65&gt;$AM48)),
SUMPRODUCT(INDEX($AV$46:$AX$55,,$AI48), INDEX($AY$46:$BE$55,,$AH48), 1 / ($BG$46:$BG$55*CC48 + (1-$BG$46:$BG$55)*BY48), N($AU$46:$AU$55&gt;$AM48))
) / 1000</f>
        <v>0</v>
      </c>
      <c r="CE48" s="234" cm="1">
        <f t="array" ref="CE48">$BM48 * IF($AH48&lt;=2,
SUMPRODUCT(INDEX($AV$22:$AX$60,,$AI48), INDEX($AY$22:$BE$60,,$AH48), 1 / ($BF$22:$BF$60*CC48), N($AU$22:$AU$60&gt;$AM48)),
SUMPRODUCT(INDEX($AV$22:$AX$45,,$AI48), INDEX($AY$22:$BE$45,,$AH48), 1 / ($BG$22:$BG$45*CC48), N($AU$22:$AU$45&gt;$AM48))
) / 1000</f>
        <v>0</v>
      </c>
      <c r="CF48" s="229">
        <f t="shared" si="29"/>
        <v>0</v>
      </c>
      <c r="CG48" s="246"/>
      <c r="CH48" s="229">
        <f t="shared" si="30"/>
        <v>0</v>
      </c>
      <c r="CI48" s="228">
        <v>35</v>
      </c>
      <c r="CJ48" s="229">
        <f t="shared" si="31"/>
        <v>48</v>
      </c>
      <c r="CK48" s="234">
        <f t="shared" si="32"/>
        <v>3.0748170731707316</v>
      </c>
      <c r="CL48" s="234" cm="1">
        <f t="array" ref="CL48">$BM48 * SUMPRODUCT(INDEX($AV$76:$AX$81,,$AI48),INDEX($AY$76:$BE$81,,$AH48), N($AU$76:$AU$81&gt;$AM48)) / CK48 / 1000</f>
        <v>0</v>
      </c>
      <c r="CM48" s="231">
        <f t="shared" si="33"/>
        <v>30</v>
      </c>
      <c r="CN48" s="229">
        <f t="shared" si="34"/>
        <v>43</v>
      </c>
      <c r="CO48" s="234">
        <f t="shared" si="35"/>
        <v>3.5018750000000001</v>
      </c>
      <c r="CP48" s="234" cm="1">
        <f t="array" ref="CP48">$BM48 * IF($AH48&lt;=2,
SUMPRODUCT(INDEX($AV$71:$AX$75,,$AI48), INDEX($AY$71:$BE$75,,$AH48), 1 / ($BF$71:$BF$75*CO48 + (1-$BF$71:$BF$75)*CK48), N($AU$71:$AU$75&gt;$AM48)),
SUMPRODUCT(INDEX($AV$66:$AX$75,,$AI48), INDEX($AY$66:$BE$75,,$AH48), 1 / ($BG$66:$BG$75*CO48 + (1-$BG$66:$BG$75)*CK48), N($AU$66:$AU$75&gt;$AM48))
) / 1000</f>
        <v>0</v>
      </c>
      <c r="CQ48" s="231">
        <f t="shared" si="36"/>
        <v>25</v>
      </c>
      <c r="CR48" s="229">
        <f t="shared" si="37"/>
        <v>38</v>
      </c>
      <c r="CS48" s="234">
        <f t="shared" si="38"/>
        <v>4.0666935483870965</v>
      </c>
      <c r="CT48" s="234" cm="1">
        <f t="array" ref="CT48">$BM48 * IF($AH48&lt;=2,
SUMPRODUCT(INDEX($AV$66:$AX$70,,$AI48), INDEX($AY$66:$BE$70,,$AH48), 1 / ($BF$66:$BF$70*CS48 + (1-$BF$66:$BF$70)*CO48), N($AU$66:$AU$70&gt;$AM48)),
SUMPRODUCT(INDEX($AV$56:$AX$65,,$AI48), INDEX($AY$56:$BE$65,,$AH48), 1 / ($BG$56:$BG$65*CS48 + (1-$BG$56:$BG$65)*CO48), N($AU$56:$AU$65&gt;$AM48))
) / 1000</f>
        <v>0</v>
      </c>
      <c r="CU48" s="231">
        <f t="shared" si="39"/>
        <v>20</v>
      </c>
      <c r="CV48" s="229">
        <f t="shared" si="40"/>
        <v>33</v>
      </c>
      <c r="CW48" s="234">
        <f t="shared" si="41"/>
        <v>4.8487499999999999</v>
      </c>
      <c r="CX48" s="234" cm="1">
        <f t="array" ref="CX48">$BM48 * IF($AH48&lt;=2,
SUMPRODUCT(INDEX($AV$61:$AX$65,,$AI48), INDEX($AY$61:$BE$65,,$AH48), 1 / ($BF$61:$BF$65*CW48 + (1-$BF$61:$BF$65)*CS48), N($AU$61:$AU$65&gt;$AM48)),
SUMPRODUCT(INDEX($AV$46:$AX$55,,$AI48), INDEX($AY$46:$BE$55,,$AH48), 1 / ($BG$46:$BG$55*CW48 + (1-$BG$46:$BG$55)*CS48), N($AU$46:$AU$55&gt;$AM48))
) / 1000</f>
        <v>0</v>
      </c>
      <c r="CY48" s="234" cm="1">
        <f t="array" ref="CY48">$BM48 * IF($AH48&lt;=2,
SUMPRODUCT(INDEX($AV$22:$AX$60,,$AI48), INDEX($AY$22:$BE$60,,$AH48), 1 / ($BF$22:$BF$60*CW48), N($AU$22:$AU$60&gt;$AM48)),
SUMPRODUCT(INDEX($AV$22:$AX$45,,$AI48), INDEX($AY$22:$BE$45,,$AH48), 1 / ($BG$22:$BG$45*CW48), N($AU$22:$AU$45&gt;$AM48))
) / 1000</f>
        <v>0</v>
      </c>
      <c r="CZ48" s="229">
        <f t="shared" si="42"/>
        <v>0</v>
      </c>
      <c r="DA48" s="246"/>
    </row>
    <row r="49" spans="1:105" s="75" customFormat="1" ht="14.25" customHeight="1" x14ac:dyDescent="0.25">
      <c r="A49" s="230" t="b">
        <f t="shared" si="0"/>
        <v>0</v>
      </c>
      <c r="B49" s="253">
        <v>28</v>
      </c>
      <c r="C49" s="266"/>
      <c r="D49" s="266"/>
      <c r="E49" s="254"/>
      <c r="F49" s="255" t="str">
        <f>IF(ISBLANK(E49), "", VLOOKUP(E49, Z!$A$2:$C$4127, 3, FALSE))</f>
        <v/>
      </c>
      <c r="G49" s="256"/>
      <c r="H49" s="256"/>
      <c r="I49" s="256"/>
      <c r="J49" s="257"/>
      <c r="K49" s="258"/>
      <c r="L49" s="267"/>
      <c r="M49" s="268"/>
      <c r="N49" s="259" t="str" cm="1">
        <f t="array" ref="N49">IF($L49&gt;0, INDEX(Clean,1+AK49,$D$1), "")</f>
        <v/>
      </c>
      <c r="O49" s="260"/>
      <c r="P49" s="260"/>
      <c r="Q49" s="261"/>
      <c r="R49" s="264">
        <f t="shared" si="7"/>
        <v>0</v>
      </c>
      <c r="S49" s="259" t="str" cm="1">
        <f t="array" ref="S49">IF($L49&gt;0, INDEX(Clean,1+AL49,$D$1), "")</f>
        <v/>
      </c>
      <c r="T49" s="260"/>
      <c r="U49" s="260"/>
      <c r="V49" s="261"/>
      <c r="W49" s="267"/>
      <c r="X49" s="267"/>
      <c r="Y49" s="257"/>
      <c r="Z49" s="264">
        <f t="shared" si="8"/>
        <v>0</v>
      </c>
      <c r="AA49" s="269"/>
      <c r="AB49" s="266"/>
      <c r="AC49" s="254"/>
      <c r="AD49" s="255" t="str">
        <f>IF(ISBLANK(AC49), "", VLOOKUP(AC49, Z!$A$2:$C$4127, 3, FALSE))</f>
        <v/>
      </c>
      <c r="AE49" s="270"/>
      <c r="AF49" s="265">
        <f t="shared" si="9"/>
        <v>0</v>
      </c>
      <c r="AG49" s="246"/>
      <c r="AH49" s="228">
        <f t="shared" ref="AH49" si="143">IF(ISBLANK(I49), 1, IFERROR(MATCH(I49, INDEX(Use,,1), 0), IFERROR(MATCH(I49, INDEX(Use,,2), 0), MATCH(I49, INDEX(Use,,3), 0))))</f>
        <v>1</v>
      </c>
      <c r="AI49" s="228">
        <f t="shared" ref="AI49" si="144">IF(ISBLANK(H49), 1, IFERROR(MATCH(H49, INDEX(Loc,,1), 0), IFERROR(MATCH(H49, INDEX(Loc,,2), 0), MATCH(H49, INDEX(Loc,,3), 0))))</f>
        <v>1</v>
      </c>
      <c r="AJ49" s="228">
        <f t="shared" ref="AJ49" si="145">_xlfn.IFNA(IF(IFERROR(MATCH(J49, INDEX(Medium,,1), 0), IFERROR(MATCH(J49, INDEX(Medium,,2), 0), MATCH(J49, INDEX(Medium,,3), 0))) = 2, 1, 0), 0)</f>
        <v>0</v>
      </c>
      <c r="AK49" s="228">
        <v>0</v>
      </c>
      <c r="AL49" s="228">
        <v>0</v>
      </c>
      <c r="AM49" s="228">
        <f t="shared" si="4"/>
        <v>-100</v>
      </c>
      <c r="AN49" s="228" cm="1">
        <f t="array" ref="AN49">IF(ISBLANK(G49), 1, IFERROR(MATCH(G49, INDEX(Kat,,1), 0), IFERROR(MATCH(Kat, INDEX(Use,,2), 0), MATCH(Kat, INDEX(Use,,3), 0))))</f>
        <v>1</v>
      </c>
      <c r="AO49" s="246"/>
      <c r="AP49" s="228" cm="1">
        <f t="array" ref="AP49">IF(W49&gt;0, INDEX(Kat, AN49,4), 0)</f>
        <v>0</v>
      </c>
      <c r="AQ49" s="228">
        <f t="shared" ref="AQ49" si="146">IF(ISBLANK(Y49), 0, IFERROR(MATCH(Y49, INDEX(Month,,1), 0), IFERROR(MATCH(Y49, INDEX(Month,,2), 0), MATCH(Y49, INDEX(Month,,3), 0))))</f>
        <v>0</v>
      </c>
      <c r="AR49" s="228" cm="1">
        <f t="array" ref="AR49">IF(X49&gt;0, INDEX(Kat, $AN49, 4+AQ49), 0)</f>
        <v>0</v>
      </c>
      <c r="AS49" s="228" cm="1">
        <f t="array" ref="AS49">IF(X49&gt;0, INDEX(Kat, $AN49, 9+AQ49), 0)</f>
        <v>0</v>
      </c>
      <c r="AT49" s="246"/>
      <c r="AU49" s="228">
        <v>8</v>
      </c>
      <c r="AV49" s="231">
        <v>438</v>
      </c>
      <c r="AW49" s="231">
        <v>321</v>
      </c>
      <c r="AX49" s="231">
        <v>336</v>
      </c>
      <c r="AY49" s="232">
        <f t="shared" si="6"/>
        <v>0</v>
      </c>
      <c r="AZ49" s="232">
        <f t="shared" si="6"/>
        <v>0</v>
      </c>
      <c r="BA49" s="232" t="e" cm="1">
        <f t="array" ref="BA49">MIN(INDEX(Use,BA$20,5) + MAX(0, (1-INDEX(Use,BA$20,5))*($AU49-5)/(35-5)), 1)</f>
        <v>#REF!</v>
      </c>
      <c r="BB49" s="232" t="e" cm="1">
        <f t="array" ref="BB49">MIN(INDEX(Use,BB$20,5) + MAX(0, (1-INDEX(Use,BB$20,5))*($AU49-5)/(35-5)), 1)</f>
        <v>#REF!</v>
      </c>
      <c r="BC49" s="232" t="e" cm="1">
        <f t="array" ref="BC49">MIN(INDEX(Use,BC$20,5) + MAX(0, (1-INDEX(Use,BC$20,5))*($AU49-5)/(35-5)), 1)</f>
        <v>#REF!</v>
      </c>
      <c r="BD49" s="232" t="e" cm="1">
        <f t="array" ref="BD49">MIN(INDEX(Use,BD$20,5) + MAX(0, (1-INDEX(Use,BD$20,5))*($AU49-5)/(35-5)), 1)</f>
        <v>#REF!</v>
      </c>
      <c r="BE49" s="232" t="e" cm="1">
        <f t="array" ref="BE49">MIN(INDEX(Use,BE$20,5) + MAX(0, (1-INDEX(Use,BE$20,5))*($AU49-5)/(35-5)), 1)</f>
        <v>#REF!</v>
      </c>
      <c r="BF49" s="232">
        <v>1</v>
      </c>
      <c r="BG49" s="232">
        <v>0.7</v>
      </c>
      <c r="BH49" s="210"/>
      <c r="BI49" s="228" cm="1">
        <f t="array" ref="BI49">INDEX(Use, $AH49, 4)</f>
        <v>7</v>
      </c>
      <c r="BJ49" s="228">
        <f t="shared" si="14"/>
        <v>32</v>
      </c>
      <c r="BK49" s="228">
        <f t="shared" si="15"/>
        <v>13</v>
      </c>
      <c r="BL49" s="228">
        <f t="shared" si="16"/>
        <v>0</v>
      </c>
      <c r="BM49" s="233" cm="1">
        <f t="array" ref="BM49">L49/IF($M49&gt;0, INDEX($AY$22:$BE$76, $M49+20, $AH49), 1)</f>
        <v>0</v>
      </c>
      <c r="BN49" s="229">
        <f t="shared" si="17"/>
        <v>0</v>
      </c>
      <c r="BO49" s="228">
        <v>35</v>
      </c>
      <c r="BP49" s="229">
        <f t="shared" si="18"/>
        <v>48</v>
      </c>
      <c r="BQ49" s="234">
        <f t="shared" si="19"/>
        <v>3.0748170731707316</v>
      </c>
      <c r="BR49" s="234" cm="1">
        <f t="array" ref="BR49">$BM49 * SUMPRODUCT(INDEX($AV$76:$AX$81,,$AI49),INDEX($AY$76:$BE$81,,$AH49), N($AU$76:$AU$81&gt;$AM49)) / BQ49 / 1000</f>
        <v>0</v>
      </c>
      <c r="BS49" s="231">
        <f t="shared" si="20"/>
        <v>30</v>
      </c>
      <c r="BT49" s="229">
        <f t="shared" si="21"/>
        <v>43</v>
      </c>
      <c r="BU49" s="234">
        <f t="shared" si="22"/>
        <v>3.5018750000000001</v>
      </c>
      <c r="BV49" s="234" cm="1">
        <f t="array" ref="BV49">$BM49 * IF($AH49&lt;=2,
SUMPRODUCT(INDEX($AV$71:$AX$75,,$AI49), INDEX($AY$71:$BE$75,,$AH49), 1 / ($BF$71:$BF$75*BU49 + (1-$BF$71:$BF$75)*BQ49), N($AU$71:$AU$75&gt;$AM49)),
SUMPRODUCT(INDEX($AV$66:$AX$75,,$AI49), INDEX($AY$66:$BE$75,,$AH49), 1 / ($BG$66:$BG$75*BU49 + (1-$BG$66:$BG$75)*BQ49), N($AU$66:$AU$75&gt;$AM49))
) / 1000</f>
        <v>0</v>
      </c>
      <c r="BW49" s="231">
        <f t="shared" si="23"/>
        <v>25</v>
      </c>
      <c r="BX49" s="229">
        <f t="shared" si="24"/>
        <v>38</v>
      </c>
      <c r="BY49" s="234">
        <f t="shared" si="25"/>
        <v>4.0666935483870965</v>
      </c>
      <c r="BZ49" s="234" cm="1">
        <f t="array" ref="BZ49">$BM49 * IF($AH49&lt;=2,
SUMPRODUCT(INDEX($AV$66:$AX$70,,$AI49), INDEX($AY$66:$BE$70,,$AH49), 1 / ($BF$66:$BF$70*BY49 + (1-$BF$66:$BF$70)*BU49), N($AU$66:$AU$70&gt;$AM49)),
SUMPRODUCT(INDEX($AV$56:$AX$65,,$AI49), INDEX($AY$56:$BE$65,,$AH49), 1 / ($BG$56:$BG$65*BY49 + (1-$BG$56:$BG$65)*BU49), N($AU$56:$AU$65&gt;$AM49))
) / 1000</f>
        <v>0</v>
      </c>
      <c r="CA49" s="231">
        <f t="shared" si="26"/>
        <v>20</v>
      </c>
      <c r="CB49" s="229">
        <f t="shared" si="27"/>
        <v>33</v>
      </c>
      <c r="CC49" s="234">
        <f t="shared" si="28"/>
        <v>4.8487499999999999</v>
      </c>
      <c r="CD49" s="234" cm="1">
        <f t="array" ref="CD49">$BM49 * IF($AH49&lt;=2,
SUMPRODUCT(INDEX($AV$61:$AX$65,,$AI49), INDEX($AY$61:$BE$65,,$AH49), 1 / ($BF$61:$BF$65*CC49 + (1-$BF$61:$BF$65)*BY49), N($AU$61:$AU$65&gt;$AM49)),
SUMPRODUCT(INDEX($AV$46:$AX$55,,$AI49), INDEX($AY$46:$BE$55,,$AH49), 1 / ($BG$46:$BG$55*CC49 + (1-$BG$46:$BG$55)*BY49), N($AU$46:$AU$55&gt;$AM49))
) / 1000</f>
        <v>0</v>
      </c>
      <c r="CE49" s="234" cm="1">
        <f t="array" ref="CE49">$BM49 * IF($AH49&lt;=2,
SUMPRODUCT(INDEX($AV$22:$AX$60,,$AI49), INDEX($AY$22:$BE$60,,$AH49), 1 / ($BF$22:$BF$60*CC49), N($AU$22:$AU$60&gt;$AM49)),
SUMPRODUCT(INDEX($AV$22:$AX$45,,$AI49), INDEX($AY$22:$BE$45,,$AH49), 1 / ($BG$22:$BG$45*CC49), N($AU$22:$AU$45&gt;$AM49))
) / 1000</f>
        <v>0</v>
      </c>
      <c r="CF49" s="229">
        <f t="shared" si="29"/>
        <v>0</v>
      </c>
      <c r="CG49" s="246"/>
      <c r="CH49" s="229">
        <f t="shared" si="30"/>
        <v>0</v>
      </c>
      <c r="CI49" s="228">
        <v>35</v>
      </c>
      <c r="CJ49" s="229">
        <f t="shared" si="31"/>
        <v>48</v>
      </c>
      <c r="CK49" s="234">
        <f t="shared" si="32"/>
        <v>3.0748170731707316</v>
      </c>
      <c r="CL49" s="234" cm="1">
        <f t="array" ref="CL49">$BM49 * SUMPRODUCT(INDEX($AV$76:$AX$81,,$AI49),INDEX($AY$76:$BE$81,,$AH49), N($AU$76:$AU$81&gt;$AM49)) / CK49 / 1000</f>
        <v>0</v>
      </c>
      <c r="CM49" s="231">
        <f t="shared" si="33"/>
        <v>30</v>
      </c>
      <c r="CN49" s="229">
        <f t="shared" si="34"/>
        <v>43</v>
      </c>
      <c r="CO49" s="234">
        <f t="shared" si="35"/>
        <v>3.5018750000000001</v>
      </c>
      <c r="CP49" s="234" cm="1">
        <f t="array" ref="CP49">$BM49 * IF($AH49&lt;=2,
SUMPRODUCT(INDEX($AV$71:$AX$75,,$AI49), INDEX($AY$71:$BE$75,,$AH49), 1 / ($BF$71:$BF$75*CO49 + (1-$BF$71:$BF$75)*CK49), N($AU$71:$AU$75&gt;$AM49)),
SUMPRODUCT(INDEX($AV$66:$AX$75,,$AI49), INDEX($AY$66:$BE$75,,$AH49), 1 / ($BG$66:$BG$75*CO49 + (1-$BG$66:$BG$75)*CK49), N($AU$66:$AU$75&gt;$AM49))
) / 1000</f>
        <v>0</v>
      </c>
      <c r="CQ49" s="231">
        <f t="shared" si="36"/>
        <v>25</v>
      </c>
      <c r="CR49" s="229">
        <f t="shared" si="37"/>
        <v>38</v>
      </c>
      <c r="CS49" s="234">
        <f t="shared" si="38"/>
        <v>4.0666935483870965</v>
      </c>
      <c r="CT49" s="234" cm="1">
        <f t="array" ref="CT49">$BM49 * IF($AH49&lt;=2,
SUMPRODUCT(INDEX($AV$66:$AX$70,,$AI49), INDEX($AY$66:$BE$70,,$AH49), 1 / ($BF$66:$BF$70*CS49 + (1-$BF$66:$BF$70)*CO49), N($AU$66:$AU$70&gt;$AM49)),
SUMPRODUCT(INDEX($AV$56:$AX$65,,$AI49), INDEX($AY$56:$BE$65,,$AH49), 1 / ($BG$56:$BG$65*CS49 + (1-$BG$56:$BG$65)*CO49), N($AU$56:$AU$65&gt;$AM49))
) / 1000</f>
        <v>0</v>
      </c>
      <c r="CU49" s="231">
        <f t="shared" si="39"/>
        <v>20</v>
      </c>
      <c r="CV49" s="229">
        <f t="shared" si="40"/>
        <v>33</v>
      </c>
      <c r="CW49" s="234">
        <f t="shared" si="41"/>
        <v>4.8487499999999999</v>
      </c>
      <c r="CX49" s="234" cm="1">
        <f t="array" ref="CX49">$BM49 * IF($AH49&lt;=2,
SUMPRODUCT(INDEX($AV$61:$AX$65,,$AI49), INDEX($AY$61:$BE$65,,$AH49), 1 / ($BF$61:$BF$65*CW49 + (1-$BF$61:$BF$65)*CS49), N($AU$61:$AU$65&gt;$AM49)),
SUMPRODUCT(INDEX($AV$46:$AX$55,,$AI49), INDEX($AY$46:$BE$55,,$AH49), 1 / ($BG$46:$BG$55*CW49 + (1-$BG$46:$BG$55)*CS49), N($AU$46:$AU$55&gt;$AM49))
) / 1000</f>
        <v>0</v>
      </c>
      <c r="CY49" s="234" cm="1">
        <f t="array" ref="CY49">$BM49 * IF($AH49&lt;=2,
SUMPRODUCT(INDEX($AV$22:$AX$60,,$AI49), INDEX($AY$22:$BE$60,,$AH49), 1 / ($BF$22:$BF$60*CW49), N($AU$22:$AU$60&gt;$AM49)),
SUMPRODUCT(INDEX($AV$22:$AX$45,,$AI49), INDEX($AY$22:$BE$45,,$AH49), 1 / ($BG$22:$BG$45*CW49), N($AU$22:$AU$45&gt;$AM49))
) / 1000</f>
        <v>0</v>
      </c>
      <c r="CZ49" s="229">
        <f t="shared" si="42"/>
        <v>0</v>
      </c>
      <c r="DA49" s="246"/>
    </row>
    <row r="50" spans="1:105" s="75" customFormat="1" ht="14.25" customHeight="1" x14ac:dyDescent="0.25">
      <c r="A50" s="230" t="b">
        <f t="shared" si="0"/>
        <v>0</v>
      </c>
      <c r="B50" s="253">
        <v>29</v>
      </c>
      <c r="C50" s="266"/>
      <c r="D50" s="266"/>
      <c r="E50" s="254"/>
      <c r="F50" s="255" t="str">
        <f>IF(ISBLANK(E50), "", VLOOKUP(E50, Z!$A$2:$C$4127, 3, FALSE))</f>
        <v/>
      </c>
      <c r="G50" s="256"/>
      <c r="H50" s="256"/>
      <c r="I50" s="256"/>
      <c r="J50" s="257"/>
      <c r="K50" s="258"/>
      <c r="L50" s="267"/>
      <c r="M50" s="268"/>
      <c r="N50" s="259" t="str" cm="1">
        <f t="array" ref="N50">IF($L50&gt;0, INDEX(Clean,1+AK50,$D$1), "")</f>
        <v/>
      </c>
      <c r="O50" s="260"/>
      <c r="P50" s="260"/>
      <c r="Q50" s="261"/>
      <c r="R50" s="264">
        <f t="shared" si="7"/>
        <v>0</v>
      </c>
      <c r="S50" s="259" t="str" cm="1">
        <f t="array" ref="S50">IF($L50&gt;0, INDEX(Clean,1+AL50,$D$1), "")</f>
        <v/>
      </c>
      <c r="T50" s="260"/>
      <c r="U50" s="260"/>
      <c r="V50" s="261"/>
      <c r="W50" s="267"/>
      <c r="X50" s="267"/>
      <c r="Y50" s="257"/>
      <c r="Z50" s="264">
        <f t="shared" si="8"/>
        <v>0</v>
      </c>
      <c r="AA50" s="269"/>
      <c r="AB50" s="266"/>
      <c r="AC50" s="254"/>
      <c r="AD50" s="255" t="str">
        <f>IF(ISBLANK(AC50), "", VLOOKUP(AC50, Z!$A$2:$C$4127, 3, FALSE))</f>
        <v/>
      </c>
      <c r="AE50" s="270"/>
      <c r="AF50" s="265">
        <f t="shared" si="9"/>
        <v>0</v>
      </c>
      <c r="AG50" s="246"/>
      <c r="AH50" s="228">
        <f t="shared" ref="AH50" si="147">IF(ISBLANK(I50), 1, IFERROR(MATCH(I50, INDEX(Use,,1), 0), IFERROR(MATCH(I50, INDEX(Use,,2), 0), MATCH(I50, INDEX(Use,,3), 0))))</f>
        <v>1</v>
      </c>
      <c r="AI50" s="228">
        <f t="shared" ref="AI50" si="148">IF(ISBLANK(H50), 1, IFERROR(MATCH(H50, INDEX(Loc,,1), 0), IFERROR(MATCH(H50, INDEX(Loc,,2), 0), MATCH(H50, INDEX(Loc,,3), 0))))</f>
        <v>1</v>
      </c>
      <c r="AJ50" s="228">
        <f t="shared" ref="AJ50" si="149">_xlfn.IFNA(IF(IFERROR(MATCH(J50, INDEX(Medium,,1), 0), IFERROR(MATCH(J50, INDEX(Medium,,2), 0), MATCH(J50, INDEX(Medium,,3), 0))) = 2, 1, 0), 0)</f>
        <v>0</v>
      </c>
      <c r="AK50" s="228">
        <v>0</v>
      </c>
      <c r="AL50" s="228">
        <v>0</v>
      </c>
      <c r="AM50" s="228">
        <f t="shared" si="4"/>
        <v>-100</v>
      </c>
      <c r="AN50" s="228" cm="1">
        <f t="array" ref="AN50">IF(ISBLANK(G50), 1, IFERROR(MATCH(G50, INDEX(Kat,,1), 0), IFERROR(MATCH(Kat, INDEX(Use,,2), 0), MATCH(Kat, INDEX(Use,,3), 0))))</f>
        <v>1</v>
      </c>
      <c r="AO50" s="246"/>
      <c r="AP50" s="228" cm="1">
        <f t="array" ref="AP50">IF(W50&gt;0, INDEX(Kat, AN50,4), 0)</f>
        <v>0</v>
      </c>
      <c r="AQ50" s="228">
        <f t="shared" ref="AQ50" si="150">IF(ISBLANK(Y50), 0, IFERROR(MATCH(Y50, INDEX(Month,,1), 0), IFERROR(MATCH(Y50, INDEX(Month,,2), 0), MATCH(Y50, INDEX(Month,,3), 0))))</f>
        <v>0</v>
      </c>
      <c r="AR50" s="228" cm="1">
        <f t="array" ref="AR50">IF(X50&gt;0, INDEX(Kat, $AN50, 4+AQ50), 0)</f>
        <v>0</v>
      </c>
      <c r="AS50" s="228" cm="1">
        <f t="array" ref="AS50">IF(X50&gt;0, INDEX(Kat, $AN50, 9+AQ50), 0)</f>
        <v>0</v>
      </c>
      <c r="AT50" s="246"/>
      <c r="AU50" s="228">
        <v>9</v>
      </c>
      <c r="AV50" s="231">
        <v>366</v>
      </c>
      <c r="AW50" s="231">
        <v>359</v>
      </c>
      <c r="AX50" s="231">
        <v>339</v>
      </c>
      <c r="AY50" s="232">
        <f t="shared" si="6"/>
        <v>0</v>
      </c>
      <c r="AZ50" s="232">
        <f t="shared" si="6"/>
        <v>0</v>
      </c>
      <c r="BA50" s="232" t="e" cm="1">
        <f t="array" ref="BA50">MIN(INDEX(Use,BA$20,5) + MAX(0, (1-INDEX(Use,BA$20,5))*($AU50-5)/(35-5)), 1)</f>
        <v>#REF!</v>
      </c>
      <c r="BB50" s="232" t="e" cm="1">
        <f t="array" ref="BB50">MIN(INDEX(Use,BB$20,5) + MAX(0, (1-INDEX(Use,BB$20,5))*($AU50-5)/(35-5)), 1)</f>
        <v>#REF!</v>
      </c>
      <c r="BC50" s="232" t="e" cm="1">
        <f t="array" ref="BC50">MIN(INDEX(Use,BC$20,5) + MAX(0, (1-INDEX(Use,BC$20,5))*($AU50-5)/(35-5)), 1)</f>
        <v>#REF!</v>
      </c>
      <c r="BD50" s="232" t="e" cm="1">
        <f t="array" ref="BD50">MIN(INDEX(Use,BD$20,5) + MAX(0, (1-INDEX(Use,BD$20,5))*($AU50-5)/(35-5)), 1)</f>
        <v>#REF!</v>
      </c>
      <c r="BE50" s="232" t="e" cm="1">
        <f t="array" ref="BE50">MIN(INDEX(Use,BE$20,5) + MAX(0, (1-INDEX(Use,BE$20,5))*($AU50-5)/(35-5)), 1)</f>
        <v>#REF!</v>
      </c>
      <c r="BF50" s="232">
        <v>1</v>
      </c>
      <c r="BG50" s="232">
        <v>0.6</v>
      </c>
      <c r="BH50" s="210"/>
      <c r="BI50" s="228" cm="1">
        <f t="array" ref="BI50">INDEX(Use, $AH50, 4)</f>
        <v>7</v>
      </c>
      <c r="BJ50" s="228">
        <f t="shared" si="14"/>
        <v>32</v>
      </c>
      <c r="BK50" s="228">
        <f t="shared" si="15"/>
        <v>13</v>
      </c>
      <c r="BL50" s="228">
        <f t="shared" si="16"/>
        <v>0</v>
      </c>
      <c r="BM50" s="233" cm="1">
        <f t="array" ref="BM50">L50/IF($M50&gt;0, INDEX($AY$22:$BE$76, $M50+20, $AH50), 1)</f>
        <v>0</v>
      </c>
      <c r="BN50" s="229">
        <f t="shared" si="17"/>
        <v>0</v>
      </c>
      <c r="BO50" s="228">
        <v>35</v>
      </c>
      <c r="BP50" s="229">
        <f t="shared" si="18"/>
        <v>48</v>
      </c>
      <c r="BQ50" s="234">
        <f t="shared" si="19"/>
        <v>3.0748170731707316</v>
      </c>
      <c r="BR50" s="234" cm="1">
        <f t="array" ref="BR50">$BM50 * SUMPRODUCT(INDEX($AV$76:$AX$81,,$AI50),INDEX($AY$76:$BE$81,,$AH50), N($AU$76:$AU$81&gt;$AM50)) / BQ50 / 1000</f>
        <v>0</v>
      </c>
      <c r="BS50" s="231">
        <f t="shared" si="20"/>
        <v>30</v>
      </c>
      <c r="BT50" s="229">
        <f t="shared" si="21"/>
        <v>43</v>
      </c>
      <c r="BU50" s="234">
        <f t="shared" si="22"/>
        <v>3.5018750000000001</v>
      </c>
      <c r="BV50" s="234" cm="1">
        <f t="array" ref="BV50">$BM50 * IF($AH50&lt;=2,
SUMPRODUCT(INDEX($AV$71:$AX$75,,$AI50), INDEX($AY$71:$BE$75,,$AH50), 1 / ($BF$71:$BF$75*BU50 + (1-$BF$71:$BF$75)*BQ50), N($AU$71:$AU$75&gt;$AM50)),
SUMPRODUCT(INDEX($AV$66:$AX$75,,$AI50), INDEX($AY$66:$BE$75,,$AH50), 1 / ($BG$66:$BG$75*BU50 + (1-$BG$66:$BG$75)*BQ50), N($AU$66:$AU$75&gt;$AM50))
) / 1000</f>
        <v>0</v>
      </c>
      <c r="BW50" s="231">
        <f t="shared" si="23"/>
        <v>25</v>
      </c>
      <c r="BX50" s="229">
        <f t="shared" si="24"/>
        <v>38</v>
      </c>
      <c r="BY50" s="234">
        <f t="shared" si="25"/>
        <v>4.0666935483870965</v>
      </c>
      <c r="BZ50" s="234" cm="1">
        <f t="array" ref="BZ50">$BM50 * IF($AH50&lt;=2,
SUMPRODUCT(INDEX($AV$66:$AX$70,,$AI50), INDEX($AY$66:$BE$70,,$AH50), 1 / ($BF$66:$BF$70*BY50 + (1-$BF$66:$BF$70)*BU50), N($AU$66:$AU$70&gt;$AM50)),
SUMPRODUCT(INDEX($AV$56:$AX$65,,$AI50), INDEX($AY$56:$BE$65,,$AH50), 1 / ($BG$56:$BG$65*BY50 + (1-$BG$56:$BG$65)*BU50), N($AU$56:$AU$65&gt;$AM50))
) / 1000</f>
        <v>0</v>
      </c>
      <c r="CA50" s="231">
        <f t="shared" si="26"/>
        <v>20</v>
      </c>
      <c r="CB50" s="229">
        <f t="shared" si="27"/>
        <v>33</v>
      </c>
      <c r="CC50" s="234">
        <f t="shared" si="28"/>
        <v>4.8487499999999999</v>
      </c>
      <c r="CD50" s="234" cm="1">
        <f t="array" ref="CD50">$BM50 * IF($AH50&lt;=2,
SUMPRODUCT(INDEX($AV$61:$AX$65,,$AI50), INDEX($AY$61:$BE$65,,$AH50), 1 / ($BF$61:$BF$65*CC50 + (1-$BF$61:$BF$65)*BY50), N($AU$61:$AU$65&gt;$AM50)),
SUMPRODUCT(INDEX($AV$46:$AX$55,,$AI50), INDEX($AY$46:$BE$55,,$AH50), 1 / ($BG$46:$BG$55*CC50 + (1-$BG$46:$BG$55)*BY50), N($AU$46:$AU$55&gt;$AM50))
) / 1000</f>
        <v>0</v>
      </c>
      <c r="CE50" s="234" cm="1">
        <f t="array" ref="CE50">$BM50 * IF($AH50&lt;=2,
SUMPRODUCT(INDEX($AV$22:$AX$60,,$AI50), INDEX($AY$22:$BE$60,,$AH50), 1 / ($BF$22:$BF$60*CC50), N($AU$22:$AU$60&gt;$AM50)),
SUMPRODUCT(INDEX($AV$22:$AX$45,,$AI50), INDEX($AY$22:$BE$45,,$AH50), 1 / ($BG$22:$BG$45*CC50), N($AU$22:$AU$45&gt;$AM50))
) / 1000</f>
        <v>0</v>
      </c>
      <c r="CF50" s="229">
        <f t="shared" si="29"/>
        <v>0</v>
      </c>
      <c r="CG50" s="246"/>
      <c r="CH50" s="229">
        <f t="shared" si="30"/>
        <v>0</v>
      </c>
      <c r="CI50" s="228">
        <v>35</v>
      </c>
      <c r="CJ50" s="229">
        <f t="shared" si="31"/>
        <v>48</v>
      </c>
      <c r="CK50" s="234">
        <f t="shared" si="32"/>
        <v>3.0748170731707316</v>
      </c>
      <c r="CL50" s="234" cm="1">
        <f t="array" ref="CL50">$BM50 * SUMPRODUCT(INDEX($AV$76:$AX$81,,$AI50),INDEX($AY$76:$BE$81,,$AH50), N($AU$76:$AU$81&gt;$AM50)) / CK50 / 1000</f>
        <v>0</v>
      </c>
      <c r="CM50" s="231">
        <f t="shared" si="33"/>
        <v>30</v>
      </c>
      <c r="CN50" s="229">
        <f t="shared" si="34"/>
        <v>43</v>
      </c>
      <c r="CO50" s="234">
        <f t="shared" si="35"/>
        <v>3.5018750000000001</v>
      </c>
      <c r="CP50" s="234" cm="1">
        <f t="array" ref="CP50">$BM50 * IF($AH50&lt;=2,
SUMPRODUCT(INDEX($AV$71:$AX$75,,$AI50), INDEX($AY$71:$BE$75,,$AH50), 1 / ($BF$71:$BF$75*CO50 + (1-$BF$71:$BF$75)*CK50), N($AU$71:$AU$75&gt;$AM50)),
SUMPRODUCT(INDEX($AV$66:$AX$75,,$AI50), INDEX($AY$66:$BE$75,,$AH50), 1 / ($BG$66:$BG$75*CO50 + (1-$BG$66:$BG$75)*CK50), N($AU$66:$AU$75&gt;$AM50))
) / 1000</f>
        <v>0</v>
      </c>
      <c r="CQ50" s="231">
        <f t="shared" si="36"/>
        <v>25</v>
      </c>
      <c r="CR50" s="229">
        <f t="shared" si="37"/>
        <v>38</v>
      </c>
      <c r="CS50" s="234">
        <f t="shared" si="38"/>
        <v>4.0666935483870965</v>
      </c>
      <c r="CT50" s="234" cm="1">
        <f t="array" ref="CT50">$BM50 * IF($AH50&lt;=2,
SUMPRODUCT(INDEX($AV$66:$AX$70,,$AI50), INDEX($AY$66:$BE$70,,$AH50), 1 / ($BF$66:$BF$70*CS50 + (1-$BF$66:$BF$70)*CO50), N($AU$66:$AU$70&gt;$AM50)),
SUMPRODUCT(INDEX($AV$56:$AX$65,,$AI50), INDEX($AY$56:$BE$65,,$AH50), 1 / ($BG$56:$BG$65*CS50 + (1-$BG$56:$BG$65)*CO50), N($AU$56:$AU$65&gt;$AM50))
) / 1000</f>
        <v>0</v>
      </c>
      <c r="CU50" s="231">
        <f t="shared" si="39"/>
        <v>20</v>
      </c>
      <c r="CV50" s="229">
        <f t="shared" si="40"/>
        <v>33</v>
      </c>
      <c r="CW50" s="234">
        <f t="shared" si="41"/>
        <v>4.8487499999999999</v>
      </c>
      <c r="CX50" s="234" cm="1">
        <f t="array" ref="CX50">$BM50 * IF($AH50&lt;=2,
SUMPRODUCT(INDEX($AV$61:$AX$65,,$AI50), INDEX($AY$61:$BE$65,,$AH50), 1 / ($BF$61:$BF$65*CW50 + (1-$BF$61:$BF$65)*CS50), N($AU$61:$AU$65&gt;$AM50)),
SUMPRODUCT(INDEX($AV$46:$AX$55,,$AI50), INDEX($AY$46:$BE$55,,$AH50), 1 / ($BG$46:$BG$55*CW50 + (1-$BG$46:$BG$55)*CS50), N($AU$46:$AU$55&gt;$AM50))
) / 1000</f>
        <v>0</v>
      </c>
      <c r="CY50" s="234" cm="1">
        <f t="array" ref="CY50">$BM50 * IF($AH50&lt;=2,
SUMPRODUCT(INDEX($AV$22:$AX$60,,$AI50), INDEX($AY$22:$BE$60,,$AH50), 1 / ($BF$22:$BF$60*CW50), N($AU$22:$AU$60&gt;$AM50)),
SUMPRODUCT(INDEX($AV$22:$AX$45,,$AI50), INDEX($AY$22:$BE$45,,$AH50), 1 / ($BG$22:$BG$45*CW50), N($AU$22:$AU$45&gt;$AM50))
) / 1000</f>
        <v>0</v>
      </c>
      <c r="CZ50" s="229">
        <f t="shared" si="42"/>
        <v>0</v>
      </c>
      <c r="DA50" s="246"/>
    </row>
    <row r="51" spans="1:105" s="75" customFormat="1" ht="14.25" customHeight="1" x14ac:dyDescent="0.25">
      <c r="A51" s="230" t="b">
        <f t="shared" si="0"/>
        <v>0</v>
      </c>
      <c r="B51" s="253">
        <v>30</v>
      </c>
      <c r="C51" s="266"/>
      <c r="D51" s="266"/>
      <c r="E51" s="254"/>
      <c r="F51" s="255" t="str">
        <f>IF(ISBLANK(E51), "", VLOOKUP(E51, Z!$A$2:$C$4127, 3, FALSE))</f>
        <v/>
      </c>
      <c r="G51" s="256"/>
      <c r="H51" s="256"/>
      <c r="I51" s="256"/>
      <c r="J51" s="257"/>
      <c r="K51" s="258"/>
      <c r="L51" s="267"/>
      <c r="M51" s="268"/>
      <c r="N51" s="259" t="str" cm="1">
        <f t="array" ref="N51">IF($L51&gt;0, INDEX(Clean,1+AK51,$D$1), "")</f>
        <v/>
      </c>
      <c r="O51" s="260"/>
      <c r="P51" s="260"/>
      <c r="Q51" s="261"/>
      <c r="R51" s="264">
        <f t="shared" si="7"/>
        <v>0</v>
      </c>
      <c r="S51" s="259" t="str" cm="1">
        <f t="array" ref="S51">IF($L51&gt;0, INDEX(Clean,1+AL51,$D$1), "")</f>
        <v/>
      </c>
      <c r="T51" s="260"/>
      <c r="U51" s="260"/>
      <c r="V51" s="261"/>
      <c r="W51" s="267"/>
      <c r="X51" s="267"/>
      <c r="Y51" s="257"/>
      <c r="Z51" s="264">
        <f t="shared" si="8"/>
        <v>0</v>
      </c>
      <c r="AA51" s="269"/>
      <c r="AB51" s="266"/>
      <c r="AC51" s="254"/>
      <c r="AD51" s="255" t="str">
        <f>IF(ISBLANK(AC51), "", VLOOKUP(AC51, Z!$A$2:$C$4127, 3, FALSE))</f>
        <v/>
      </c>
      <c r="AE51" s="270"/>
      <c r="AF51" s="265">
        <f t="shared" si="9"/>
        <v>0</v>
      </c>
      <c r="AG51" s="246"/>
      <c r="AH51" s="228">
        <f t="shared" ref="AH51" si="151">IF(ISBLANK(I51), 1, IFERROR(MATCH(I51, INDEX(Use,,1), 0), IFERROR(MATCH(I51, INDEX(Use,,2), 0), MATCH(I51, INDEX(Use,,3), 0))))</f>
        <v>1</v>
      </c>
      <c r="AI51" s="228">
        <f t="shared" ref="AI51" si="152">IF(ISBLANK(H51), 1, IFERROR(MATCH(H51, INDEX(Loc,,1), 0), IFERROR(MATCH(H51, INDEX(Loc,,2), 0), MATCH(H51, INDEX(Loc,,3), 0))))</f>
        <v>1</v>
      </c>
      <c r="AJ51" s="228">
        <f t="shared" ref="AJ51" si="153">_xlfn.IFNA(IF(IFERROR(MATCH(J51, INDEX(Medium,,1), 0), IFERROR(MATCH(J51, INDEX(Medium,,2), 0), MATCH(J51, INDEX(Medium,,3), 0))) = 2, 1, 0), 0)</f>
        <v>0</v>
      </c>
      <c r="AK51" s="228">
        <v>0</v>
      </c>
      <c r="AL51" s="228">
        <v>0</v>
      </c>
      <c r="AM51" s="228">
        <f t="shared" si="4"/>
        <v>-100</v>
      </c>
      <c r="AN51" s="228" cm="1">
        <f t="array" ref="AN51">IF(ISBLANK(G51), 1, IFERROR(MATCH(G51, INDEX(Kat,,1), 0), IFERROR(MATCH(Kat, INDEX(Use,,2), 0), MATCH(Kat, INDEX(Use,,3), 0))))</f>
        <v>1</v>
      </c>
      <c r="AO51" s="246"/>
      <c r="AP51" s="228" cm="1">
        <f t="array" ref="AP51">IF(W51&gt;0, INDEX(Kat, AN51,4), 0)</f>
        <v>0</v>
      </c>
      <c r="AQ51" s="228">
        <f t="shared" ref="AQ51" si="154">IF(ISBLANK(Y51), 0, IFERROR(MATCH(Y51, INDEX(Month,,1), 0), IFERROR(MATCH(Y51, INDEX(Month,,2), 0), MATCH(Y51, INDEX(Month,,3), 0))))</f>
        <v>0</v>
      </c>
      <c r="AR51" s="228" cm="1">
        <f t="array" ref="AR51">IF(X51&gt;0, INDEX(Kat, $AN51, 4+AQ51), 0)</f>
        <v>0</v>
      </c>
      <c r="AS51" s="228" cm="1">
        <f t="array" ref="AS51">IF(X51&gt;0, INDEX(Kat, $AN51, 9+AQ51), 0)</f>
        <v>0</v>
      </c>
      <c r="AT51" s="246"/>
      <c r="AU51" s="228">
        <v>10</v>
      </c>
      <c r="AV51" s="231">
        <v>339</v>
      </c>
      <c r="AW51" s="231">
        <v>346</v>
      </c>
      <c r="AX51" s="231">
        <v>318</v>
      </c>
      <c r="AY51" s="232">
        <f t="shared" si="6"/>
        <v>0</v>
      </c>
      <c r="AZ51" s="232">
        <f t="shared" si="6"/>
        <v>0</v>
      </c>
      <c r="BA51" s="232" t="e" cm="1">
        <f t="array" ref="BA51">MIN(INDEX(Use,BA$20,5) + MAX(0, (1-INDEX(Use,BA$20,5))*($AU51-5)/(35-5)), 1)</f>
        <v>#REF!</v>
      </c>
      <c r="BB51" s="232" t="e" cm="1">
        <f t="array" ref="BB51">MIN(INDEX(Use,BB$20,5) + MAX(0, (1-INDEX(Use,BB$20,5))*($AU51-5)/(35-5)), 1)</f>
        <v>#REF!</v>
      </c>
      <c r="BC51" s="232" t="e" cm="1">
        <f t="array" ref="BC51">MIN(INDEX(Use,BC$20,5) + MAX(0, (1-INDEX(Use,BC$20,5))*($AU51-5)/(35-5)), 1)</f>
        <v>#REF!</v>
      </c>
      <c r="BD51" s="232" t="e" cm="1">
        <f t="array" ref="BD51">MIN(INDEX(Use,BD$20,5) + MAX(0, (1-INDEX(Use,BD$20,5))*($AU51-5)/(35-5)), 1)</f>
        <v>#REF!</v>
      </c>
      <c r="BE51" s="232" t="e" cm="1">
        <f t="array" ref="BE51">MIN(INDEX(Use,BE$20,5) + MAX(0, (1-INDEX(Use,BE$20,5))*($AU51-5)/(35-5)), 1)</f>
        <v>#REF!</v>
      </c>
      <c r="BF51" s="232">
        <v>1</v>
      </c>
      <c r="BG51" s="232">
        <v>0.5</v>
      </c>
      <c r="BH51" s="210"/>
      <c r="BI51" s="228" cm="1">
        <f t="array" ref="BI51">INDEX(Use, $AH51, 4)</f>
        <v>7</v>
      </c>
      <c r="BJ51" s="228">
        <f t="shared" si="14"/>
        <v>32</v>
      </c>
      <c r="BK51" s="228">
        <f t="shared" si="15"/>
        <v>13</v>
      </c>
      <c r="BL51" s="228">
        <f t="shared" si="16"/>
        <v>0</v>
      </c>
      <c r="BM51" s="233" cm="1">
        <f t="array" ref="BM51">L51/IF($M51&gt;0, INDEX($AY$22:$BE$76, $M51+20, $AH51), 1)</f>
        <v>0</v>
      </c>
      <c r="BN51" s="229">
        <f t="shared" si="17"/>
        <v>0</v>
      </c>
      <c r="BO51" s="228">
        <v>35</v>
      </c>
      <c r="BP51" s="229">
        <f t="shared" si="18"/>
        <v>48</v>
      </c>
      <c r="BQ51" s="234">
        <f t="shared" si="19"/>
        <v>3.0748170731707316</v>
      </c>
      <c r="BR51" s="234" cm="1">
        <f t="array" ref="BR51">$BM51 * SUMPRODUCT(INDEX($AV$76:$AX$81,,$AI51),INDEX($AY$76:$BE$81,,$AH51), N($AU$76:$AU$81&gt;$AM51)) / BQ51 / 1000</f>
        <v>0</v>
      </c>
      <c r="BS51" s="231">
        <f t="shared" si="20"/>
        <v>30</v>
      </c>
      <c r="BT51" s="229">
        <f t="shared" si="21"/>
        <v>43</v>
      </c>
      <c r="BU51" s="234">
        <f t="shared" si="22"/>
        <v>3.5018750000000001</v>
      </c>
      <c r="BV51" s="234" cm="1">
        <f t="array" ref="BV51">$BM51 * IF($AH51&lt;=2,
SUMPRODUCT(INDEX($AV$71:$AX$75,,$AI51), INDEX($AY$71:$BE$75,,$AH51), 1 / ($BF$71:$BF$75*BU51 + (1-$BF$71:$BF$75)*BQ51), N($AU$71:$AU$75&gt;$AM51)),
SUMPRODUCT(INDEX($AV$66:$AX$75,,$AI51), INDEX($AY$66:$BE$75,,$AH51), 1 / ($BG$66:$BG$75*BU51 + (1-$BG$66:$BG$75)*BQ51), N($AU$66:$AU$75&gt;$AM51))
) / 1000</f>
        <v>0</v>
      </c>
      <c r="BW51" s="231">
        <f t="shared" si="23"/>
        <v>25</v>
      </c>
      <c r="BX51" s="229">
        <f t="shared" si="24"/>
        <v>38</v>
      </c>
      <c r="BY51" s="234">
        <f t="shared" si="25"/>
        <v>4.0666935483870965</v>
      </c>
      <c r="BZ51" s="234" cm="1">
        <f t="array" ref="BZ51">$BM51 * IF($AH51&lt;=2,
SUMPRODUCT(INDEX($AV$66:$AX$70,,$AI51), INDEX($AY$66:$BE$70,,$AH51), 1 / ($BF$66:$BF$70*BY51 + (1-$BF$66:$BF$70)*BU51), N($AU$66:$AU$70&gt;$AM51)),
SUMPRODUCT(INDEX($AV$56:$AX$65,,$AI51), INDEX($AY$56:$BE$65,,$AH51), 1 / ($BG$56:$BG$65*BY51 + (1-$BG$56:$BG$65)*BU51), N($AU$56:$AU$65&gt;$AM51))
) / 1000</f>
        <v>0</v>
      </c>
      <c r="CA51" s="231">
        <f t="shared" si="26"/>
        <v>20</v>
      </c>
      <c r="CB51" s="229">
        <f t="shared" si="27"/>
        <v>33</v>
      </c>
      <c r="CC51" s="234">
        <f t="shared" si="28"/>
        <v>4.8487499999999999</v>
      </c>
      <c r="CD51" s="234" cm="1">
        <f t="array" ref="CD51">$BM51 * IF($AH51&lt;=2,
SUMPRODUCT(INDEX($AV$61:$AX$65,,$AI51), INDEX($AY$61:$BE$65,,$AH51), 1 / ($BF$61:$BF$65*CC51 + (1-$BF$61:$BF$65)*BY51), N($AU$61:$AU$65&gt;$AM51)),
SUMPRODUCT(INDEX($AV$46:$AX$55,,$AI51), INDEX($AY$46:$BE$55,,$AH51), 1 / ($BG$46:$BG$55*CC51 + (1-$BG$46:$BG$55)*BY51), N($AU$46:$AU$55&gt;$AM51))
) / 1000</f>
        <v>0</v>
      </c>
      <c r="CE51" s="234" cm="1">
        <f t="array" ref="CE51">$BM51 * IF($AH51&lt;=2,
SUMPRODUCT(INDEX($AV$22:$AX$60,,$AI51), INDEX($AY$22:$BE$60,,$AH51), 1 / ($BF$22:$BF$60*CC51), N($AU$22:$AU$60&gt;$AM51)),
SUMPRODUCT(INDEX($AV$22:$AX$45,,$AI51), INDEX($AY$22:$BE$45,,$AH51), 1 / ($BG$22:$BG$45*CC51), N($AU$22:$AU$45&gt;$AM51))
) / 1000</f>
        <v>0</v>
      </c>
      <c r="CF51" s="229">
        <f t="shared" si="29"/>
        <v>0</v>
      </c>
      <c r="CG51" s="246"/>
      <c r="CH51" s="229">
        <f t="shared" si="30"/>
        <v>0</v>
      </c>
      <c r="CI51" s="228">
        <v>35</v>
      </c>
      <c r="CJ51" s="229">
        <f t="shared" si="31"/>
        <v>48</v>
      </c>
      <c r="CK51" s="234">
        <f t="shared" si="32"/>
        <v>3.0748170731707316</v>
      </c>
      <c r="CL51" s="234" cm="1">
        <f t="array" ref="CL51">$BM51 * SUMPRODUCT(INDEX($AV$76:$AX$81,,$AI51),INDEX($AY$76:$BE$81,,$AH51), N($AU$76:$AU$81&gt;$AM51)) / CK51 / 1000</f>
        <v>0</v>
      </c>
      <c r="CM51" s="231">
        <f t="shared" si="33"/>
        <v>30</v>
      </c>
      <c r="CN51" s="229">
        <f t="shared" si="34"/>
        <v>43</v>
      </c>
      <c r="CO51" s="234">
        <f t="shared" si="35"/>
        <v>3.5018750000000001</v>
      </c>
      <c r="CP51" s="234" cm="1">
        <f t="array" ref="CP51">$BM51 * IF($AH51&lt;=2,
SUMPRODUCT(INDEX($AV$71:$AX$75,,$AI51), INDEX($AY$71:$BE$75,,$AH51), 1 / ($BF$71:$BF$75*CO51 + (1-$BF$71:$BF$75)*CK51), N($AU$71:$AU$75&gt;$AM51)),
SUMPRODUCT(INDEX($AV$66:$AX$75,,$AI51), INDEX($AY$66:$BE$75,,$AH51), 1 / ($BG$66:$BG$75*CO51 + (1-$BG$66:$BG$75)*CK51), N($AU$66:$AU$75&gt;$AM51))
) / 1000</f>
        <v>0</v>
      </c>
      <c r="CQ51" s="231">
        <f t="shared" si="36"/>
        <v>25</v>
      </c>
      <c r="CR51" s="229">
        <f t="shared" si="37"/>
        <v>38</v>
      </c>
      <c r="CS51" s="234">
        <f t="shared" si="38"/>
        <v>4.0666935483870965</v>
      </c>
      <c r="CT51" s="234" cm="1">
        <f t="array" ref="CT51">$BM51 * IF($AH51&lt;=2,
SUMPRODUCT(INDEX($AV$66:$AX$70,,$AI51), INDEX($AY$66:$BE$70,,$AH51), 1 / ($BF$66:$BF$70*CS51 + (1-$BF$66:$BF$70)*CO51), N($AU$66:$AU$70&gt;$AM51)),
SUMPRODUCT(INDEX($AV$56:$AX$65,,$AI51), INDEX($AY$56:$BE$65,,$AH51), 1 / ($BG$56:$BG$65*CS51 + (1-$BG$56:$BG$65)*CO51), N($AU$56:$AU$65&gt;$AM51))
) / 1000</f>
        <v>0</v>
      </c>
      <c r="CU51" s="231">
        <f t="shared" si="39"/>
        <v>20</v>
      </c>
      <c r="CV51" s="229">
        <f t="shared" si="40"/>
        <v>33</v>
      </c>
      <c r="CW51" s="234">
        <f t="shared" si="41"/>
        <v>4.8487499999999999</v>
      </c>
      <c r="CX51" s="234" cm="1">
        <f t="array" ref="CX51">$BM51 * IF($AH51&lt;=2,
SUMPRODUCT(INDEX($AV$61:$AX$65,,$AI51), INDEX($AY$61:$BE$65,,$AH51), 1 / ($BF$61:$BF$65*CW51 + (1-$BF$61:$BF$65)*CS51), N($AU$61:$AU$65&gt;$AM51)),
SUMPRODUCT(INDEX($AV$46:$AX$55,,$AI51), INDEX($AY$46:$BE$55,,$AH51), 1 / ($BG$46:$BG$55*CW51 + (1-$BG$46:$BG$55)*CS51), N($AU$46:$AU$55&gt;$AM51))
) / 1000</f>
        <v>0</v>
      </c>
      <c r="CY51" s="234" cm="1">
        <f t="array" ref="CY51">$BM51 * IF($AH51&lt;=2,
SUMPRODUCT(INDEX($AV$22:$AX$60,,$AI51), INDEX($AY$22:$BE$60,,$AH51), 1 / ($BF$22:$BF$60*CW51), N($AU$22:$AU$60&gt;$AM51)),
SUMPRODUCT(INDEX($AV$22:$AX$45,,$AI51), INDEX($AY$22:$BE$45,,$AH51), 1 / ($BG$22:$BG$45*CW51), N($AU$22:$AU$45&gt;$AM51))
) / 1000</f>
        <v>0</v>
      </c>
      <c r="CZ51" s="229">
        <f t="shared" si="42"/>
        <v>0</v>
      </c>
      <c r="DA51" s="246"/>
    </row>
    <row r="52" spans="1:105" s="75" customFormat="1" ht="14.25" customHeight="1" x14ac:dyDescent="0.25">
      <c r="A52" s="230" t="b">
        <f t="shared" si="0"/>
        <v>0</v>
      </c>
      <c r="B52" s="253">
        <v>31</v>
      </c>
      <c r="C52" s="266"/>
      <c r="D52" s="266"/>
      <c r="E52" s="254"/>
      <c r="F52" s="255" t="str">
        <f>IF(ISBLANK(E52), "", VLOOKUP(E52, Z!$A$2:$C$4127, 3, FALSE))</f>
        <v/>
      </c>
      <c r="G52" s="256"/>
      <c r="H52" s="256"/>
      <c r="I52" s="256"/>
      <c r="J52" s="257"/>
      <c r="K52" s="258"/>
      <c r="L52" s="267"/>
      <c r="M52" s="268"/>
      <c r="N52" s="259" t="str" cm="1">
        <f t="array" ref="N52">IF($L52&gt;0, INDEX(Clean,1+AK52,$D$1), "")</f>
        <v/>
      </c>
      <c r="O52" s="260"/>
      <c r="P52" s="260"/>
      <c r="Q52" s="261"/>
      <c r="R52" s="264">
        <f t="shared" si="7"/>
        <v>0</v>
      </c>
      <c r="S52" s="259" t="str" cm="1">
        <f t="array" ref="S52">IF($L52&gt;0, INDEX(Clean,1+AL52,$D$1), "")</f>
        <v/>
      </c>
      <c r="T52" s="260"/>
      <c r="U52" s="260"/>
      <c r="V52" s="261"/>
      <c r="W52" s="267"/>
      <c r="X52" s="267"/>
      <c r="Y52" s="257"/>
      <c r="Z52" s="264">
        <f t="shared" si="8"/>
        <v>0</v>
      </c>
      <c r="AA52" s="269"/>
      <c r="AB52" s="266"/>
      <c r="AC52" s="254"/>
      <c r="AD52" s="255" t="str">
        <f>IF(ISBLANK(AC52), "", VLOOKUP(AC52, Z!$A$2:$C$4127, 3, FALSE))</f>
        <v/>
      </c>
      <c r="AE52" s="270"/>
      <c r="AF52" s="265">
        <f t="shared" si="9"/>
        <v>0</v>
      </c>
      <c r="AG52" s="246"/>
      <c r="AH52" s="228">
        <f t="shared" ref="AH52" si="155">IF(ISBLANK(I52), 1, IFERROR(MATCH(I52, INDEX(Use,,1), 0), IFERROR(MATCH(I52, INDEX(Use,,2), 0), MATCH(I52, INDEX(Use,,3), 0))))</f>
        <v>1</v>
      </c>
      <c r="AI52" s="228">
        <f t="shared" ref="AI52" si="156">IF(ISBLANK(H52), 1, IFERROR(MATCH(H52, INDEX(Loc,,1), 0), IFERROR(MATCH(H52, INDEX(Loc,,2), 0), MATCH(H52, INDEX(Loc,,3), 0))))</f>
        <v>1</v>
      </c>
      <c r="AJ52" s="228">
        <f t="shared" ref="AJ52" si="157">_xlfn.IFNA(IF(IFERROR(MATCH(J52, INDEX(Medium,,1), 0), IFERROR(MATCH(J52, INDEX(Medium,,2), 0), MATCH(J52, INDEX(Medium,,3), 0))) = 2, 1, 0), 0)</f>
        <v>0</v>
      </c>
      <c r="AK52" s="228">
        <v>0</v>
      </c>
      <c r="AL52" s="228">
        <v>0</v>
      </c>
      <c r="AM52" s="228">
        <f t="shared" si="4"/>
        <v>-100</v>
      </c>
      <c r="AN52" s="228" cm="1">
        <f t="array" ref="AN52">IF(ISBLANK(G52), 1, IFERROR(MATCH(G52, INDEX(Kat,,1), 0), IFERROR(MATCH(Kat, INDEX(Use,,2), 0), MATCH(Kat, INDEX(Use,,3), 0))))</f>
        <v>1</v>
      </c>
      <c r="AO52" s="246"/>
      <c r="AP52" s="228" cm="1">
        <f t="array" ref="AP52">IF(W52&gt;0, INDEX(Kat, AN52,4), 0)</f>
        <v>0</v>
      </c>
      <c r="AQ52" s="228">
        <f t="shared" ref="AQ52" si="158">IF(ISBLANK(Y52), 0, IFERROR(MATCH(Y52, INDEX(Month,,1), 0), IFERROR(MATCH(Y52, INDEX(Month,,2), 0), MATCH(Y52, INDEX(Month,,3), 0))))</f>
        <v>0</v>
      </c>
      <c r="AR52" s="228" cm="1">
        <f t="array" ref="AR52">IF(X52&gt;0, INDEX(Kat, $AN52, 4+AQ52), 0)</f>
        <v>0</v>
      </c>
      <c r="AS52" s="228" cm="1">
        <f t="array" ref="AS52">IF(X52&gt;0, INDEX(Kat, $AN52, 9+AQ52), 0)</f>
        <v>0</v>
      </c>
      <c r="AT52" s="246"/>
      <c r="AU52" s="228">
        <v>11</v>
      </c>
      <c r="AV52" s="231">
        <v>329</v>
      </c>
      <c r="AW52" s="231">
        <v>376</v>
      </c>
      <c r="AX52" s="231">
        <v>368</v>
      </c>
      <c r="AY52" s="232">
        <f t="shared" si="6"/>
        <v>0</v>
      </c>
      <c r="AZ52" s="232">
        <f t="shared" si="6"/>
        <v>0</v>
      </c>
      <c r="BA52" s="232" t="e" cm="1">
        <f t="array" ref="BA52">MIN(INDEX(Use,BA$20,5) + MAX(0, (1-INDEX(Use,BA$20,5))*($AU52-5)/(35-5)), 1)</f>
        <v>#REF!</v>
      </c>
      <c r="BB52" s="232" t="e" cm="1">
        <f t="array" ref="BB52">MIN(INDEX(Use,BB$20,5) + MAX(0, (1-INDEX(Use,BB$20,5))*($AU52-5)/(35-5)), 1)</f>
        <v>#REF!</v>
      </c>
      <c r="BC52" s="232" t="e" cm="1">
        <f t="array" ref="BC52">MIN(INDEX(Use,BC$20,5) + MAX(0, (1-INDEX(Use,BC$20,5))*($AU52-5)/(35-5)), 1)</f>
        <v>#REF!</v>
      </c>
      <c r="BD52" s="232" t="e" cm="1">
        <f t="array" ref="BD52">MIN(INDEX(Use,BD$20,5) + MAX(0, (1-INDEX(Use,BD$20,5))*($AU52-5)/(35-5)), 1)</f>
        <v>#REF!</v>
      </c>
      <c r="BE52" s="232" t="e" cm="1">
        <f t="array" ref="BE52">MIN(INDEX(Use,BE$20,5) + MAX(0, (1-INDEX(Use,BE$20,5))*($AU52-5)/(35-5)), 1)</f>
        <v>#REF!</v>
      </c>
      <c r="BF52" s="232">
        <v>1</v>
      </c>
      <c r="BG52" s="232">
        <v>0.4</v>
      </c>
      <c r="BH52" s="210"/>
      <c r="BI52" s="228" cm="1">
        <f t="array" ref="BI52">INDEX(Use, $AH52, 4)</f>
        <v>7</v>
      </c>
      <c r="BJ52" s="228">
        <f t="shared" si="14"/>
        <v>32</v>
      </c>
      <c r="BK52" s="228">
        <f t="shared" si="15"/>
        <v>13</v>
      </c>
      <c r="BL52" s="228">
        <f t="shared" si="16"/>
        <v>0</v>
      </c>
      <c r="BM52" s="233" cm="1">
        <f t="array" ref="BM52">L52/IF($M52&gt;0, INDEX($AY$22:$BE$76, $M52+20, $AH52), 1)</f>
        <v>0</v>
      </c>
      <c r="BN52" s="229">
        <f t="shared" si="17"/>
        <v>0</v>
      </c>
      <c r="BO52" s="228">
        <v>35</v>
      </c>
      <c r="BP52" s="229">
        <f t="shared" si="18"/>
        <v>48</v>
      </c>
      <c r="BQ52" s="234">
        <f t="shared" si="19"/>
        <v>3.0748170731707316</v>
      </c>
      <c r="BR52" s="234" cm="1">
        <f t="array" ref="BR52">$BM52 * SUMPRODUCT(INDEX($AV$76:$AX$81,,$AI52),INDEX($AY$76:$BE$81,,$AH52), N($AU$76:$AU$81&gt;$AM52)) / BQ52 / 1000</f>
        <v>0</v>
      </c>
      <c r="BS52" s="231">
        <f t="shared" si="20"/>
        <v>30</v>
      </c>
      <c r="BT52" s="229">
        <f t="shared" si="21"/>
        <v>43</v>
      </c>
      <c r="BU52" s="234">
        <f t="shared" si="22"/>
        <v>3.5018750000000001</v>
      </c>
      <c r="BV52" s="234" cm="1">
        <f t="array" ref="BV52">$BM52 * IF($AH52&lt;=2,
SUMPRODUCT(INDEX($AV$71:$AX$75,,$AI52), INDEX($AY$71:$BE$75,,$AH52), 1 / ($BF$71:$BF$75*BU52 + (1-$BF$71:$BF$75)*BQ52), N($AU$71:$AU$75&gt;$AM52)),
SUMPRODUCT(INDEX($AV$66:$AX$75,,$AI52), INDEX($AY$66:$BE$75,,$AH52), 1 / ($BG$66:$BG$75*BU52 + (1-$BG$66:$BG$75)*BQ52), N($AU$66:$AU$75&gt;$AM52))
) / 1000</f>
        <v>0</v>
      </c>
      <c r="BW52" s="231">
        <f t="shared" si="23"/>
        <v>25</v>
      </c>
      <c r="BX52" s="229">
        <f t="shared" si="24"/>
        <v>38</v>
      </c>
      <c r="BY52" s="234">
        <f t="shared" si="25"/>
        <v>4.0666935483870965</v>
      </c>
      <c r="BZ52" s="234" cm="1">
        <f t="array" ref="BZ52">$BM52 * IF($AH52&lt;=2,
SUMPRODUCT(INDEX($AV$66:$AX$70,,$AI52), INDEX($AY$66:$BE$70,,$AH52), 1 / ($BF$66:$BF$70*BY52 + (1-$BF$66:$BF$70)*BU52), N($AU$66:$AU$70&gt;$AM52)),
SUMPRODUCT(INDEX($AV$56:$AX$65,,$AI52), INDEX($AY$56:$BE$65,,$AH52), 1 / ($BG$56:$BG$65*BY52 + (1-$BG$56:$BG$65)*BU52), N($AU$56:$AU$65&gt;$AM52))
) / 1000</f>
        <v>0</v>
      </c>
      <c r="CA52" s="231">
        <f t="shared" si="26"/>
        <v>20</v>
      </c>
      <c r="CB52" s="229">
        <f t="shared" si="27"/>
        <v>33</v>
      </c>
      <c r="CC52" s="234">
        <f t="shared" si="28"/>
        <v>4.8487499999999999</v>
      </c>
      <c r="CD52" s="234" cm="1">
        <f t="array" ref="CD52">$BM52 * IF($AH52&lt;=2,
SUMPRODUCT(INDEX($AV$61:$AX$65,,$AI52), INDEX($AY$61:$BE$65,,$AH52), 1 / ($BF$61:$BF$65*CC52 + (1-$BF$61:$BF$65)*BY52), N($AU$61:$AU$65&gt;$AM52)),
SUMPRODUCT(INDEX($AV$46:$AX$55,,$AI52), INDEX($AY$46:$BE$55,,$AH52), 1 / ($BG$46:$BG$55*CC52 + (1-$BG$46:$BG$55)*BY52), N($AU$46:$AU$55&gt;$AM52))
) / 1000</f>
        <v>0</v>
      </c>
      <c r="CE52" s="234" cm="1">
        <f t="array" ref="CE52">$BM52 * IF($AH52&lt;=2,
SUMPRODUCT(INDEX($AV$22:$AX$60,,$AI52), INDEX($AY$22:$BE$60,,$AH52), 1 / ($BF$22:$BF$60*CC52), N($AU$22:$AU$60&gt;$AM52)),
SUMPRODUCT(INDEX($AV$22:$AX$45,,$AI52), INDEX($AY$22:$BE$45,,$AH52), 1 / ($BG$22:$BG$45*CC52), N($AU$22:$AU$45&gt;$AM52))
) / 1000</f>
        <v>0</v>
      </c>
      <c r="CF52" s="229">
        <f t="shared" si="29"/>
        <v>0</v>
      </c>
      <c r="CG52" s="246"/>
      <c r="CH52" s="229">
        <f t="shared" si="30"/>
        <v>0</v>
      </c>
      <c r="CI52" s="228">
        <v>35</v>
      </c>
      <c r="CJ52" s="229">
        <f t="shared" si="31"/>
        <v>48</v>
      </c>
      <c r="CK52" s="234">
        <f t="shared" si="32"/>
        <v>3.0748170731707316</v>
      </c>
      <c r="CL52" s="234" cm="1">
        <f t="array" ref="CL52">$BM52 * SUMPRODUCT(INDEX($AV$76:$AX$81,,$AI52),INDEX($AY$76:$BE$81,,$AH52), N($AU$76:$AU$81&gt;$AM52)) / CK52 / 1000</f>
        <v>0</v>
      </c>
      <c r="CM52" s="231">
        <f t="shared" si="33"/>
        <v>30</v>
      </c>
      <c r="CN52" s="229">
        <f t="shared" si="34"/>
        <v>43</v>
      </c>
      <c r="CO52" s="234">
        <f t="shared" si="35"/>
        <v>3.5018750000000001</v>
      </c>
      <c r="CP52" s="234" cm="1">
        <f t="array" ref="CP52">$BM52 * IF($AH52&lt;=2,
SUMPRODUCT(INDEX($AV$71:$AX$75,,$AI52), INDEX($AY$71:$BE$75,,$AH52), 1 / ($BF$71:$BF$75*CO52 + (1-$BF$71:$BF$75)*CK52), N($AU$71:$AU$75&gt;$AM52)),
SUMPRODUCT(INDEX($AV$66:$AX$75,,$AI52), INDEX($AY$66:$BE$75,,$AH52), 1 / ($BG$66:$BG$75*CO52 + (1-$BG$66:$BG$75)*CK52), N($AU$66:$AU$75&gt;$AM52))
) / 1000</f>
        <v>0</v>
      </c>
      <c r="CQ52" s="231">
        <f t="shared" si="36"/>
        <v>25</v>
      </c>
      <c r="CR52" s="229">
        <f t="shared" si="37"/>
        <v>38</v>
      </c>
      <c r="CS52" s="234">
        <f t="shared" si="38"/>
        <v>4.0666935483870965</v>
      </c>
      <c r="CT52" s="234" cm="1">
        <f t="array" ref="CT52">$BM52 * IF($AH52&lt;=2,
SUMPRODUCT(INDEX($AV$66:$AX$70,,$AI52), INDEX($AY$66:$BE$70,,$AH52), 1 / ($BF$66:$BF$70*CS52 + (1-$BF$66:$BF$70)*CO52), N($AU$66:$AU$70&gt;$AM52)),
SUMPRODUCT(INDEX($AV$56:$AX$65,,$AI52), INDEX($AY$56:$BE$65,,$AH52), 1 / ($BG$56:$BG$65*CS52 + (1-$BG$56:$BG$65)*CO52), N($AU$56:$AU$65&gt;$AM52))
) / 1000</f>
        <v>0</v>
      </c>
      <c r="CU52" s="231">
        <f t="shared" si="39"/>
        <v>20</v>
      </c>
      <c r="CV52" s="229">
        <f t="shared" si="40"/>
        <v>33</v>
      </c>
      <c r="CW52" s="234">
        <f t="shared" si="41"/>
        <v>4.8487499999999999</v>
      </c>
      <c r="CX52" s="234" cm="1">
        <f t="array" ref="CX52">$BM52 * IF($AH52&lt;=2,
SUMPRODUCT(INDEX($AV$61:$AX$65,,$AI52), INDEX($AY$61:$BE$65,,$AH52), 1 / ($BF$61:$BF$65*CW52 + (1-$BF$61:$BF$65)*CS52), N($AU$61:$AU$65&gt;$AM52)),
SUMPRODUCT(INDEX($AV$46:$AX$55,,$AI52), INDEX($AY$46:$BE$55,,$AH52), 1 / ($BG$46:$BG$55*CW52 + (1-$BG$46:$BG$55)*CS52), N($AU$46:$AU$55&gt;$AM52))
) / 1000</f>
        <v>0</v>
      </c>
      <c r="CY52" s="234" cm="1">
        <f t="array" ref="CY52">$BM52 * IF($AH52&lt;=2,
SUMPRODUCT(INDEX($AV$22:$AX$60,,$AI52), INDEX($AY$22:$BE$60,,$AH52), 1 / ($BF$22:$BF$60*CW52), N($AU$22:$AU$60&gt;$AM52)),
SUMPRODUCT(INDEX($AV$22:$AX$45,,$AI52), INDEX($AY$22:$BE$45,,$AH52), 1 / ($BG$22:$BG$45*CW52), N($AU$22:$AU$45&gt;$AM52))
) / 1000</f>
        <v>0</v>
      </c>
      <c r="CZ52" s="229">
        <f t="shared" si="42"/>
        <v>0</v>
      </c>
      <c r="DA52" s="246"/>
    </row>
    <row r="53" spans="1:105" s="75" customFormat="1" ht="14.25" customHeight="1" x14ac:dyDescent="0.25">
      <c r="A53" s="230" t="b">
        <f t="shared" si="0"/>
        <v>0</v>
      </c>
      <c r="B53" s="253">
        <v>32</v>
      </c>
      <c r="C53" s="266"/>
      <c r="D53" s="266"/>
      <c r="E53" s="254"/>
      <c r="F53" s="255" t="str">
        <f>IF(ISBLANK(E53), "", VLOOKUP(E53, Z!$A$2:$C$4127, 3, FALSE))</f>
        <v/>
      </c>
      <c r="G53" s="256"/>
      <c r="H53" s="256"/>
      <c r="I53" s="256"/>
      <c r="J53" s="257"/>
      <c r="K53" s="258"/>
      <c r="L53" s="267"/>
      <c r="M53" s="268"/>
      <c r="N53" s="259" t="str" cm="1">
        <f t="array" ref="N53">IF($L53&gt;0, INDEX(Clean,1+AK53,$D$1), "")</f>
        <v/>
      </c>
      <c r="O53" s="260"/>
      <c r="P53" s="260"/>
      <c r="Q53" s="261"/>
      <c r="R53" s="264">
        <f t="shared" si="7"/>
        <v>0</v>
      </c>
      <c r="S53" s="259" t="str" cm="1">
        <f t="array" ref="S53">IF($L53&gt;0, INDEX(Clean,1+AL53,$D$1), "")</f>
        <v/>
      </c>
      <c r="T53" s="260"/>
      <c r="U53" s="260"/>
      <c r="V53" s="261"/>
      <c r="W53" s="267"/>
      <c r="X53" s="267"/>
      <c r="Y53" s="257"/>
      <c r="Z53" s="264">
        <f t="shared" si="8"/>
        <v>0</v>
      </c>
      <c r="AA53" s="269"/>
      <c r="AB53" s="266"/>
      <c r="AC53" s="254"/>
      <c r="AD53" s="255" t="str">
        <f>IF(ISBLANK(AC53), "", VLOOKUP(AC53, Z!$A$2:$C$4127, 3, FALSE))</f>
        <v/>
      </c>
      <c r="AE53" s="270"/>
      <c r="AF53" s="265">
        <f t="shared" si="9"/>
        <v>0</v>
      </c>
      <c r="AG53" s="246"/>
      <c r="AH53" s="228">
        <f t="shared" ref="AH53" si="159">IF(ISBLANK(I53), 1, IFERROR(MATCH(I53, INDEX(Use,,1), 0), IFERROR(MATCH(I53, INDEX(Use,,2), 0), MATCH(I53, INDEX(Use,,3), 0))))</f>
        <v>1</v>
      </c>
      <c r="AI53" s="228">
        <f t="shared" ref="AI53" si="160">IF(ISBLANK(H53), 1, IFERROR(MATCH(H53, INDEX(Loc,,1), 0), IFERROR(MATCH(H53, INDEX(Loc,,2), 0), MATCH(H53, INDEX(Loc,,3), 0))))</f>
        <v>1</v>
      </c>
      <c r="AJ53" s="228">
        <f t="shared" ref="AJ53" si="161">_xlfn.IFNA(IF(IFERROR(MATCH(J53, INDEX(Medium,,1), 0), IFERROR(MATCH(J53, INDEX(Medium,,2), 0), MATCH(J53, INDEX(Medium,,3), 0))) = 2, 1, 0), 0)</f>
        <v>0</v>
      </c>
      <c r="AK53" s="228">
        <v>0</v>
      </c>
      <c r="AL53" s="228">
        <v>0</v>
      </c>
      <c r="AM53" s="228">
        <f t="shared" si="4"/>
        <v>-100</v>
      </c>
      <c r="AN53" s="228" cm="1">
        <f t="array" ref="AN53">IF(ISBLANK(G53), 1, IFERROR(MATCH(G53, INDEX(Kat,,1), 0), IFERROR(MATCH(Kat, INDEX(Use,,2), 0), MATCH(Kat, INDEX(Use,,3), 0))))</f>
        <v>1</v>
      </c>
      <c r="AO53" s="246"/>
      <c r="AP53" s="228" cm="1">
        <f t="array" ref="AP53">IF(W53&gt;0, INDEX(Kat, AN53,4), 0)</f>
        <v>0</v>
      </c>
      <c r="AQ53" s="228">
        <f t="shared" ref="AQ53" si="162">IF(ISBLANK(Y53), 0, IFERROR(MATCH(Y53, INDEX(Month,,1), 0), IFERROR(MATCH(Y53, INDEX(Month,,2), 0), MATCH(Y53, INDEX(Month,,3), 0))))</f>
        <v>0</v>
      </c>
      <c r="AR53" s="228" cm="1">
        <f t="array" ref="AR53">IF(X53&gt;0, INDEX(Kat, $AN53, 4+AQ53), 0)</f>
        <v>0</v>
      </c>
      <c r="AS53" s="228" cm="1">
        <f t="array" ref="AS53">IF(X53&gt;0, INDEX(Kat, $AN53, 9+AQ53), 0)</f>
        <v>0</v>
      </c>
      <c r="AT53" s="246"/>
      <c r="AU53" s="228">
        <v>12</v>
      </c>
      <c r="AV53" s="231">
        <v>385</v>
      </c>
      <c r="AW53" s="231">
        <v>427</v>
      </c>
      <c r="AX53" s="231">
        <v>321</v>
      </c>
      <c r="AY53" s="232">
        <f t="shared" si="6"/>
        <v>0</v>
      </c>
      <c r="AZ53" s="232">
        <f t="shared" si="6"/>
        <v>0</v>
      </c>
      <c r="BA53" s="232" t="e" cm="1">
        <f t="array" ref="BA53">MIN(INDEX(Use,BA$20,5) + MAX(0, (1-INDEX(Use,BA$20,5))*($AU53-5)/(35-5)), 1)</f>
        <v>#REF!</v>
      </c>
      <c r="BB53" s="232" t="e" cm="1">
        <f t="array" ref="BB53">MIN(INDEX(Use,BB$20,5) + MAX(0, (1-INDEX(Use,BB$20,5))*($AU53-5)/(35-5)), 1)</f>
        <v>#REF!</v>
      </c>
      <c r="BC53" s="232" t="e" cm="1">
        <f t="array" ref="BC53">MIN(INDEX(Use,BC$20,5) + MAX(0, (1-INDEX(Use,BC$20,5))*($AU53-5)/(35-5)), 1)</f>
        <v>#REF!</v>
      </c>
      <c r="BD53" s="232" t="e" cm="1">
        <f t="array" ref="BD53">MIN(INDEX(Use,BD$20,5) + MAX(0, (1-INDEX(Use,BD$20,5))*($AU53-5)/(35-5)), 1)</f>
        <v>#REF!</v>
      </c>
      <c r="BE53" s="232" t="e" cm="1">
        <f t="array" ref="BE53">MIN(INDEX(Use,BE$20,5) + MAX(0, (1-INDEX(Use,BE$20,5))*($AU53-5)/(35-5)), 1)</f>
        <v>#REF!</v>
      </c>
      <c r="BF53" s="232">
        <v>1</v>
      </c>
      <c r="BG53" s="232">
        <v>0.3</v>
      </c>
      <c r="BH53" s="210"/>
      <c r="BI53" s="228" cm="1">
        <f t="array" ref="BI53">INDEX(Use, $AH53, 4)</f>
        <v>7</v>
      </c>
      <c r="BJ53" s="228">
        <f t="shared" si="14"/>
        <v>32</v>
      </c>
      <c r="BK53" s="228">
        <f t="shared" si="15"/>
        <v>13</v>
      </c>
      <c r="BL53" s="228">
        <f t="shared" si="16"/>
        <v>0</v>
      </c>
      <c r="BM53" s="233" cm="1">
        <f t="array" ref="BM53">L53/IF($M53&gt;0, INDEX($AY$22:$BE$76, $M53+20, $AH53), 1)</f>
        <v>0</v>
      </c>
      <c r="BN53" s="229">
        <f t="shared" si="17"/>
        <v>0</v>
      </c>
      <c r="BO53" s="228">
        <v>35</v>
      </c>
      <c r="BP53" s="229">
        <f t="shared" si="18"/>
        <v>48</v>
      </c>
      <c r="BQ53" s="234">
        <f t="shared" si="19"/>
        <v>3.0748170731707316</v>
      </c>
      <c r="BR53" s="234" cm="1">
        <f t="array" ref="BR53">$BM53 * SUMPRODUCT(INDEX($AV$76:$AX$81,,$AI53),INDEX($AY$76:$BE$81,,$AH53), N($AU$76:$AU$81&gt;$AM53)) / BQ53 / 1000</f>
        <v>0</v>
      </c>
      <c r="BS53" s="231">
        <f t="shared" si="20"/>
        <v>30</v>
      </c>
      <c r="BT53" s="229">
        <f t="shared" si="21"/>
        <v>43</v>
      </c>
      <c r="BU53" s="234">
        <f t="shared" si="22"/>
        <v>3.5018750000000001</v>
      </c>
      <c r="BV53" s="234" cm="1">
        <f t="array" ref="BV53">$BM53 * IF($AH53&lt;=2,
SUMPRODUCT(INDEX($AV$71:$AX$75,,$AI53), INDEX($AY$71:$BE$75,,$AH53), 1 / ($BF$71:$BF$75*BU53 + (1-$BF$71:$BF$75)*BQ53), N($AU$71:$AU$75&gt;$AM53)),
SUMPRODUCT(INDEX($AV$66:$AX$75,,$AI53), INDEX($AY$66:$BE$75,,$AH53), 1 / ($BG$66:$BG$75*BU53 + (1-$BG$66:$BG$75)*BQ53), N($AU$66:$AU$75&gt;$AM53))
) / 1000</f>
        <v>0</v>
      </c>
      <c r="BW53" s="231">
        <f t="shared" si="23"/>
        <v>25</v>
      </c>
      <c r="BX53" s="229">
        <f t="shared" si="24"/>
        <v>38</v>
      </c>
      <c r="BY53" s="234">
        <f t="shared" si="25"/>
        <v>4.0666935483870965</v>
      </c>
      <c r="BZ53" s="234" cm="1">
        <f t="array" ref="BZ53">$BM53 * IF($AH53&lt;=2,
SUMPRODUCT(INDEX($AV$66:$AX$70,,$AI53), INDEX($AY$66:$BE$70,,$AH53), 1 / ($BF$66:$BF$70*BY53 + (1-$BF$66:$BF$70)*BU53), N($AU$66:$AU$70&gt;$AM53)),
SUMPRODUCT(INDEX($AV$56:$AX$65,,$AI53), INDEX($AY$56:$BE$65,,$AH53), 1 / ($BG$56:$BG$65*BY53 + (1-$BG$56:$BG$65)*BU53), N($AU$56:$AU$65&gt;$AM53))
) / 1000</f>
        <v>0</v>
      </c>
      <c r="CA53" s="231">
        <f t="shared" si="26"/>
        <v>20</v>
      </c>
      <c r="CB53" s="229">
        <f t="shared" si="27"/>
        <v>33</v>
      </c>
      <c r="CC53" s="234">
        <f t="shared" si="28"/>
        <v>4.8487499999999999</v>
      </c>
      <c r="CD53" s="234" cm="1">
        <f t="array" ref="CD53">$BM53 * IF($AH53&lt;=2,
SUMPRODUCT(INDEX($AV$61:$AX$65,,$AI53), INDEX($AY$61:$BE$65,,$AH53), 1 / ($BF$61:$BF$65*CC53 + (1-$BF$61:$BF$65)*BY53), N($AU$61:$AU$65&gt;$AM53)),
SUMPRODUCT(INDEX($AV$46:$AX$55,,$AI53), INDEX($AY$46:$BE$55,,$AH53), 1 / ($BG$46:$BG$55*CC53 + (1-$BG$46:$BG$55)*BY53), N($AU$46:$AU$55&gt;$AM53))
) / 1000</f>
        <v>0</v>
      </c>
      <c r="CE53" s="234" cm="1">
        <f t="array" ref="CE53">$BM53 * IF($AH53&lt;=2,
SUMPRODUCT(INDEX($AV$22:$AX$60,,$AI53), INDEX($AY$22:$BE$60,,$AH53), 1 / ($BF$22:$BF$60*CC53), N($AU$22:$AU$60&gt;$AM53)),
SUMPRODUCT(INDEX($AV$22:$AX$45,,$AI53), INDEX($AY$22:$BE$45,,$AH53), 1 / ($BG$22:$BG$45*CC53), N($AU$22:$AU$45&gt;$AM53))
) / 1000</f>
        <v>0</v>
      </c>
      <c r="CF53" s="229">
        <f t="shared" si="29"/>
        <v>0</v>
      </c>
      <c r="CG53" s="246"/>
      <c r="CH53" s="229">
        <f t="shared" si="30"/>
        <v>0</v>
      </c>
      <c r="CI53" s="228">
        <v>35</v>
      </c>
      <c r="CJ53" s="229">
        <f t="shared" si="31"/>
        <v>48</v>
      </c>
      <c r="CK53" s="234">
        <f t="shared" si="32"/>
        <v>3.0748170731707316</v>
      </c>
      <c r="CL53" s="234" cm="1">
        <f t="array" ref="CL53">$BM53 * SUMPRODUCT(INDEX($AV$76:$AX$81,,$AI53),INDEX($AY$76:$BE$81,,$AH53), N($AU$76:$AU$81&gt;$AM53)) / CK53 / 1000</f>
        <v>0</v>
      </c>
      <c r="CM53" s="231">
        <f t="shared" si="33"/>
        <v>30</v>
      </c>
      <c r="CN53" s="229">
        <f t="shared" si="34"/>
        <v>43</v>
      </c>
      <c r="CO53" s="234">
        <f t="shared" si="35"/>
        <v>3.5018750000000001</v>
      </c>
      <c r="CP53" s="234" cm="1">
        <f t="array" ref="CP53">$BM53 * IF($AH53&lt;=2,
SUMPRODUCT(INDEX($AV$71:$AX$75,,$AI53), INDEX($AY$71:$BE$75,,$AH53), 1 / ($BF$71:$BF$75*CO53 + (1-$BF$71:$BF$75)*CK53), N($AU$71:$AU$75&gt;$AM53)),
SUMPRODUCT(INDEX($AV$66:$AX$75,,$AI53), INDEX($AY$66:$BE$75,,$AH53), 1 / ($BG$66:$BG$75*CO53 + (1-$BG$66:$BG$75)*CK53), N($AU$66:$AU$75&gt;$AM53))
) / 1000</f>
        <v>0</v>
      </c>
      <c r="CQ53" s="231">
        <f t="shared" si="36"/>
        <v>25</v>
      </c>
      <c r="CR53" s="229">
        <f t="shared" si="37"/>
        <v>38</v>
      </c>
      <c r="CS53" s="234">
        <f t="shared" si="38"/>
        <v>4.0666935483870965</v>
      </c>
      <c r="CT53" s="234" cm="1">
        <f t="array" ref="CT53">$BM53 * IF($AH53&lt;=2,
SUMPRODUCT(INDEX($AV$66:$AX$70,,$AI53), INDEX($AY$66:$BE$70,,$AH53), 1 / ($BF$66:$BF$70*CS53 + (1-$BF$66:$BF$70)*CO53), N($AU$66:$AU$70&gt;$AM53)),
SUMPRODUCT(INDEX($AV$56:$AX$65,,$AI53), INDEX($AY$56:$BE$65,,$AH53), 1 / ($BG$56:$BG$65*CS53 + (1-$BG$56:$BG$65)*CO53), N($AU$56:$AU$65&gt;$AM53))
) / 1000</f>
        <v>0</v>
      </c>
      <c r="CU53" s="231">
        <f t="shared" si="39"/>
        <v>20</v>
      </c>
      <c r="CV53" s="229">
        <f t="shared" si="40"/>
        <v>33</v>
      </c>
      <c r="CW53" s="234">
        <f t="shared" si="41"/>
        <v>4.8487499999999999</v>
      </c>
      <c r="CX53" s="234" cm="1">
        <f t="array" ref="CX53">$BM53 * IF($AH53&lt;=2,
SUMPRODUCT(INDEX($AV$61:$AX$65,,$AI53), INDEX($AY$61:$BE$65,,$AH53), 1 / ($BF$61:$BF$65*CW53 + (1-$BF$61:$BF$65)*CS53), N($AU$61:$AU$65&gt;$AM53)),
SUMPRODUCT(INDEX($AV$46:$AX$55,,$AI53), INDEX($AY$46:$BE$55,,$AH53), 1 / ($BG$46:$BG$55*CW53 + (1-$BG$46:$BG$55)*CS53), N($AU$46:$AU$55&gt;$AM53))
) / 1000</f>
        <v>0</v>
      </c>
      <c r="CY53" s="234" cm="1">
        <f t="array" ref="CY53">$BM53 * IF($AH53&lt;=2,
SUMPRODUCT(INDEX($AV$22:$AX$60,,$AI53), INDEX($AY$22:$BE$60,,$AH53), 1 / ($BF$22:$BF$60*CW53), N($AU$22:$AU$60&gt;$AM53)),
SUMPRODUCT(INDEX($AV$22:$AX$45,,$AI53), INDEX($AY$22:$BE$45,,$AH53), 1 / ($BG$22:$BG$45*CW53), N($AU$22:$AU$45&gt;$AM53))
) / 1000</f>
        <v>0</v>
      </c>
      <c r="CZ53" s="229">
        <f t="shared" si="42"/>
        <v>0</v>
      </c>
      <c r="DA53" s="246"/>
    </row>
    <row r="54" spans="1:105" s="75" customFormat="1" ht="14.25" customHeight="1" x14ac:dyDescent="0.25">
      <c r="A54" s="230" t="b">
        <f t="shared" si="0"/>
        <v>0</v>
      </c>
      <c r="B54" s="253">
        <v>33</v>
      </c>
      <c r="C54" s="266"/>
      <c r="D54" s="266"/>
      <c r="E54" s="254"/>
      <c r="F54" s="255" t="str">
        <f>IF(ISBLANK(E54), "", VLOOKUP(E54, Z!$A$2:$C$4127, 3, FALSE))</f>
        <v/>
      </c>
      <c r="G54" s="256"/>
      <c r="H54" s="256"/>
      <c r="I54" s="256"/>
      <c r="J54" s="257"/>
      <c r="K54" s="258"/>
      <c r="L54" s="267"/>
      <c r="M54" s="268"/>
      <c r="N54" s="259" t="str" cm="1">
        <f t="array" ref="N54">IF($L54&gt;0, INDEX(Clean,1+AK54,$D$1), "")</f>
        <v/>
      </c>
      <c r="O54" s="260"/>
      <c r="P54" s="260"/>
      <c r="Q54" s="261"/>
      <c r="R54" s="264">
        <f t="shared" si="7"/>
        <v>0</v>
      </c>
      <c r="S54" s="259" t="str" cm="1">
        <f t="array" ref="S54">IF($L54&gt;0, INDEX(Clean,1+AL54,$D$1), "")</f>
        <v/>
      </c>
      <c r="T54" s="260"/>
      <c r="U54" s="260"/>
      <c r="V54" s="261"/>
      <c r="W54" s="267"/>
      <c r="X54" s="267"/>
      <c r="Y54" s="257"/>
      <c r="Z54" s="264">
        <f t="shared" si="8"/>
        <v>0</v>
      </c>
      <c r="AA54" s="269"/>
      <c r="AB54" s="266"/>
      <c r="AC54" s="254"/>
      <c r="AD54" s="255" t="str">
        <f>IF(ISBLANK(AC54), "", VLOOKUP(AC54, Z!$A$2:$C$4127, 3, FALSE))</f>
        <v/>
      </c>
      <c r="AE54" s="270"/>
      <c r="AF54" s="265">
        <f t="shared" si="9"/>
        <v>0</v>
      </c>
      <c r="AG54" s="246"/>
      <c r="AH54" s="228">
        <f t="shared" ref="AH54" si="163">IF(ISBLANK(I54), 1, IFERROR(MATCH(I54, INDEX(Use,,1), 0), IFERROR(MATCH(I54, INDEX(Use,,2), 0), MATCH(I54, INDEX(Use,,3), 0))))</f>
        <v>1</v>
      </c>
      <c r="AI54" s="228">
        <f t="shared" ref="AI54" si="164">IF(ISBLANK(H54), 1, IFERROR(MATCH(H54, INDEX(Loc,,1), 0), IFERROR(MATCH(H54, INDEX(Loc,,2), 0), MATCH(H54, INDEX(Loc,,3), 0))))</f>
        <v>1</v>
      </c>
      <c r="AJ54" s="228">
        <f t="shared" ref="AJ54" si="165">_xlfn.IFNA(IF(IFERROR(MATCH(J54, INDEX(Medium,,1), 0), IFERROR(MATCH(J54, INDEX(Medium,,2), 0), MATCH(J54, INDEX(Medium,,3), 0))) = 2, 1, 0), 0)</f>
        <v>0</v>
      </c>
      <c r="AK54" s="228">
        <v>0</v>
      </c>
      <c r="AL54" s="228">
        <v>0</v>
      </c>
      <c r="AM54" s="228">
        <f t="shared" si="4"/>
        <v>-100</v>
      </c>
      <c r="AN54" s="228" cm="1">
        <f t="array" ref="AN54">IF(ISBLANK(G54), 1, IFERROR(MATCH(G54, INDEX(Kat,,1), 0), IFERROR(MATCH(Kat, INDEX(Use,,2), 0), MATCH(Kat, INDEX(Use,,3), 0))))</f>
        <v>1</v>
      </c>
      <c r="AO54" s="246"/>
      <c r="AP54" s="228" cm="1">
        <f t="array" ref="AP54">IF(W54&gt;0, INDEX(Kat, AN54,4), 0)</f>
        <v>0</v>
      </c>
      <c r="AQ54" s="228">
        <f t="shared" ref="AQ54" si="166">IF(ISBLANK(Y54), 0, IFERROR(MATCH(Y54, INDEX(Month,,1), 0), IFERROR(MATCH(Y54, INDEX(Month,,2), 0), MATCH(Y54, INDEX(Month,,3), 0))))</f>
        <v>0</v>
      </c>
      <c r="AR54" s="228" cm="1">
        <f t="array" ref="AR54">IF(X54&gt;0, INDEX(Kat, $AN54, 4+AQ54), 0)</f>
        <v>0</v>
      </c>
      <c r="AS54" s="228" cm="1">
        <f t="array" ref="AS54">IF(X54&gt;0, INDEX(Kat, $AN54, 9+AQ54), 0)</f>
        <v>0</v>
      </c>
      <c r="AT54" s="246"/>
      <c r="AU54" s="228">
        <v>13</v>
      </c>
      <c r="AV54" s="231">
        <v>350</v>
      </c>
      <c r="AW54" s="231">
        <v>426</v>
      </c>
      <c r="AX54" s="231">
        <v>350</v>
      </c>
      <c r="AY54" s="232">
        <f t="shared" si="6"/>
        <v>0</v>
      </c>
      <c r="AZ54" s="232">
        <f t="shared" si="6"/>
        <v>0</v>
      </c>
      <c r="BA54" s="232" t="e" cm="1">
        <f t="array" ref="BA54">MIN(INDEX(Use,BA$20,5) + MAX(0, (1-INDEX(Use,BA$20,5))*($AU54-5)/(35-5)), 1)</f>
        <v>#REF!</v>
      </c>
      <c r="BB54" s="232" t="e" cm="1">
        <f t="array" ref="BB54">MIN(INDEX(Use,BB$20,5) + MAX(0, (1-INDEX(Use,BB$20,5))*($AU54-5)/(35-5)), 1)</f>
        <v>#REF!</v>
      </c>
      <c r="BC54" s="232" t="e" cm="1">
        <f t="array" ref="BC54">MIN(INDEX(Use,BC$20,5) + MAX(0, (1-INDEX(Use,BC$20,5))*($AU54-5)/(35-5)), 1)</f>
        <v>#REF!</v>
      </c>
      <c r="BD54" s="232" t="e" cm="1">
        <f t="array" ref="BD54">MIN(INDEX(Use,BD$20,5) + MAX(0, (1-INDEX(Use,BD$20,5))*($AU54-5)/(35-5)), 1)</f>
        <v>#REF!</v>
      </c>
      <c r="BE54" s="232" t="e" cm="1">
        <f t="array" ref="BE54">MIN(INDEX(Use,BE$20,5) + MAX(0, (1-INDEX(Use,BE$20,5))*($AU54-5)/(35-5)), 1)</f>
        <v>#REF!</v>
      </c>
      <c r="BF54" s="232">
        <v>1</v>
      </c>
      <c r="BG54" s="232">
        <v>0.2</v>
      </c>
      <c r="BH54" s="210"/>
      <c r="BI54" s="228" cm="1">
        <f t="array" ref="BI54">INDEX(Use, $AH54, 4)</f>
        <v>7</v>
      </c>
      <c r="BJ54" s="228">
        <f t="shared" si="14"/>
        <v>32</v>
      </c>
      <c r="BK54" s="228">
        <f t="shared" si="15"/>
        <v>13</v>
      </c>
      <c r="BL54" s="228">
        <f t="shared" si="16"/>
        <v>0</v>
      </c>
      <c r="BM54" s="233" cm="1">
        <f t="array" ref="BM54">L54/IF($M54&gt;0, INDEX($AY$22:$BE$76, $M54+20, $AH54), 1)</f>
        <v>0</v>
      </c>
      <c r="BN54" s="229">
        <f t="shared" si="17"/>
        <v>0</v>
      </c>
      <c r="BO54" s="228">
        <v>35</v>
      </c>
      <c r="BP54" s="229">
        <f t="shared" si="18"/>
        <v>48</v>
      </c>
      <c r="BQ54" s="234">
        <f t="shared" si="19"/>
        <v>3.0748170731707316</v>
      </c>
      <c r="BR54" s="234" cm="1">
        <f t="array" ref="BR54">$BM54 * SUMPRODUCT(INDEX($AV$76:$AX$81,,$AI54),INDEX($AY$76:$BE$81,,$AH54), N($AU$76:$AU$81&gt;$AM54)) / BQ54 / 1000</f>
        <v>0</v>
      </c>
      <c r="BS54" s="231">
        <f t="shared" si="20"/>
        <v>30</v>
      </c>
      <c r="BT54" s="229">
        <f t="shared" si="21"/>
        <v>43</v>
      </c>
      <c r="BU54" s="234">
        <f t="shared" si="22"/>
        <v>3.5018750000000001</v>
      </c>
      <c r="BV54" s="234" cm="1">
        <f t="array" ref="BV54">$BM54 * IF($AH54&lt;=2,
SUMPRODUCT(INDEX($AV$71:$AX$75,,$AI54), INDEX($AY$71:$BE$75,,$AH54), 1 / ($BF$71:$BF$75*BU54 + (1-$BF$71:$BF$75)*BQ54), N($AU$71:$AU$75&gt;$AM54)),
SUMPRODUCT(INDEX($AV$66:$AX$75,,$AI54), INDEX($AY$66:$BE$75,,$AH54), 1 / ($BG$66:$BG$75*BU54 + (1-$BG$66:$BG$75)*BQ54), N($AU$66:$AU$75&gt;$AM54))
) / 1000</f>
        <v>0</v>
      </c>
      <c r="BW54" s="231">
        <f t="shared" si="23"/>
        <v>25</v>
      </c>
      <c r="BX54" s="229">
        <f t="shared" si="24"/>
        <v>38</v>
      </c>
      <c r="BY54" s="234">
        <f t="shared" si="25"/>
        <v>4.0666935483870965</v>
      </c>
      <c r="BZ54" s="234" cm="1">
        <f t="array" ref="BZ54">$BM54 * IF($AH54&lt;=2,
SUMPRODUCT(INDEX($AV$66:$AX$70,,$AI54), INDEX($AY$66:$BE$70,,$AH54), 1 / ($BF$66:$BF$70*BY54 + (1-$BF$66:$BF$70)*BU54), N($AU$66:$AU$70&gt;$AM54)),
SUMPRODUCT(INDEX($AV$56:$AX$65,,$AI54), INDEX($AY$56:$BE$65,,$AH54), 1 / ($BG$56:$BG$65*BY54 + (1-$BG$56:$BG$65)*BU54), N($AU$56:$AU$65&gt;$AM54))
) / 1000</f>
        <v>0</v>
      </c>
      <c r="CA54" s="231">
        <f t="shared" si="26"/>
        <v>20</v>
      </c>
      <c r="CB54" s="229">
        <f t="shared" si="27"/>
        <v>33</v>
      </c>
      <c r="CC54" s="234">
        <f t="shared" si="28"/>
        <v>4.8487499999999999</v>
      </c>
      <c r="CD54" s="234" cm="1">
        <f t="array" ref="CD54">$BM54 * IF($AH54&lt;=2,
SUMPRODUCT(INDEX($AV$61:$AX$65,,$AI54), INDEX($AY$61:$BE$65,,$AH54), 1 / ($BF$61:$BF$65*CC54 + (1-$BF$61:$BF$65)*BY54), N($AU$61:$AU$65&gt;$AM54)),
SUMPRODUCT(INDEX($AV$46:$AX$55,,$AI54), INDEX($AY$46:$BE$55,,$AH54), 1 / ($BG$46:$BG$55*CC54 + (1-$BG$46:$BG$55)*BY54), N($AU$46:$AU$55&gt;$AM54))
) / 1000</f>
        <v>0</v>
      </c>
      <c r="CE54" s="234" cm="1">
        <f t="array" ref="CE54">$BM54 * IF($AH54&lt;=2,
SUMPRODUCT(INDEX($AV$22:$AX$60,,$AI54), INDEX($AY$22:$BE$60,,$AH54), 1 / ($BF$22:$BF$60*CC54), N($AU$22:$AU$60&gt;$AM54)),
SUMPRODUCT(INDEX($AV$22:$AX$45,,$AI54), INDEX($AY$22:$BE$45,,$AH54), 1 / ($BG$22:$BG$45*CC54), N($AU$22:$AU$45&gt;$AM54))
) / 1000</f>
        <v>0</v>
      </c>
      <c r="CF54" s="229">
        <f t="shared" si="29"/>
        <v>0</v>
      </c>
      <c r="CG54" s="246"/>
      <c r="CH54" s="229">
        <f t="shared" si="30"/>
        <v>0</v>
      </c>
      <c r="CI54" s="228">
        <v>35</v>
      </c>
      <c r="CJ54" s="229">
        <f t="shared" si="31"/>
        <v>48</v>
      </c>
      <c r="CK54" s="234">
        <f t="shared" si="32"/>
        <v>3.0748170731707316</v>
      </c>
      <c r="CL54" s="234" cm="1">
        <f t="array" ref="CL54">$BM54 * SUMPRODUCT(INDEX($AV$76:$AX$81,,$AI54),INDEX($AY$76:$BE$81,,$AH54), N($AU$76:$AU$81&gt;$AM54)) / CK54 / 1000</f>
        <v>0</v>
      </c>
      <c r="CM54" s="231">
        <f t="shared" si="33"/>
        <v>30</v>
      </c>
      <c r="CN54" s="229">
        <f t="shared" si="34"/>
        <v>43</v>
      </c>
      <c r="CO54" s="234">
        <f t="shared" si="35"/>
        <v>3.5018750000000001</v>
      </c>
      <c r="CP54" s="234" cm="1">
        <f t="array" ref="CP54">$BM54 * IF($AH54&lt;=2,
SUMPRODUCT(INDEX($AV$71:$AX$75,,$AI54), INDEX($AY$71:$BE$75,,$AH54), 1 / ($BF$71:$BF$75*CO54 + (1-$BF$71:$BF$75)*CK54), N($AU$71:$AU$75&gt;$AM54)),
SUMPRODUCT(INDEX($AV$66:$AX$75,,$AI54), INDEX($AY$66:$BE$75,,$AH54), 1 / ($BG$66:$BG$75*CO54 + (1-$BG$66:$BG$75)*CK54), N($AU$66:$AU$75&gt;$AM54))
) / 1000</f>
        <v>0</v>
      </c>
      <c r="CQ54" s="231">
        <f t="shared" si="36"/>
        <v>25</v>
      </c>
      <c r="CR54" s="229">
        <f t="shared" si="37"/>
        <v>38</v>
      </c>
      <c r="CS54" s="234">
        <f t="shared" si="38"/>
        <v>4.0666935483870965</v>
      </c>
      <c r="CT54" s="234" cm="1">
        <f t="array" ref="CT54">$BM54 * IF($AH54&lt;=2,
SUMPRODUCT(INDEX($AV$66:$AX$70,,$AI54), INDEX($AY$66:$BE$70,,$AH54), 1 / ($BF$66:$BF$70*CS54 + (1-$BF$66:$BF$70)*CO54), N($AU$66:$AU$70&gt;$AM54)),
SUMPRODUCT(INDEX($AV$56:$AX$65,,$AI54), INDEX($AY$56:$BE$65,,$AH54), 1 / ($BG$56:$BG$65*CS54 + (1-$BG$56:$BG$65)*CO54), N($AU$56:$AU$65&gt;$AM54))
) / 1000</f>
        <v>0</v>
      </c>
      <c r="CU54" s="231">
        <f t="shared" si="39"/>
        <v>20</v>
      </c>
      <c r="CV54" s="229">
        <f t="shared" si="40"/>
        <v>33</v>
      </c>
      <c r="CW54" s="234">
        <f t="shared" si="41"/>
        <v>4.8487499999999999</v>
      </c>
      <c r="CX54" s="234" cm="1">
        <f t="array" ref="CX54">$BM54 * IF($AH54&lt;=2,
SUMPRODUCT(INDEX($AV$61:$AX$65,,$AI54), INDEX($AY$61:$BE$65,,$AH54), 1 / ($BF$61:$BF$65*CW54 + (1-$BF$61:$BF$65)*CS54), N($AU$61:$AU$65&gt;$AM54)),
SUMPRODUCT(INDEX($AV$46:$AX$55,,$AI54), INDEX($AY$46:$BE$55,,$AH54), 1 / ($BG$46:$BG$55*CW54 + (1-$BG$46:$BG$55)*CS54), N($AU$46:$AU$55&gt;$AM54))
) / 1000</f>
        <v>0</v>
      </c>
      <c r="CY54" s="234" cm="1">
        <f t="array" ref="CY54">$BM54 * IF($AH54&lt;=2,
SUMPRODUCT(INDEX($AV$22:$AX$60,,$AI54), INDEX($AY$22:$BE$60,,$AH54), 1 / ($BF$22:$BF$60*CW54), N($AU$22:$AU$60&gt;$AM54)),
SUMPRODUCT(INDEX($AV$22:$AX$45,,$AI54), INDEX($AY$22:$BE$45,,$AH54), 1 / ($BG$22:$BG$45*CW54), N($AU$22:$AU$45&gt;$AM54))
) / 1000</f>
        <v>0</v>
      </c>
      <c r="CZ54" s="229">
        <f t="shared" si="42"/>
        <v>0</v>
      </c>
      <c r="DA54" s="246"/>
    </row>
    <row r="55" spans="1:105" s="75" customFormat="1" ht="14.25" customHeight="1" x14ac:dyDescent="0.25">
      <c r="A55" s="230" t="b">
        <f t="shared" si="0"/>
        <v>0</v>
      </c>
      <c r="B55" s="253">
        <v>34</v>
      </c>
      <c r="C55" s="266"/>
      <c r="D55" s="266"/>
      <c r="E55" s="254"/>
      <c r="F55" s="255" t="str">
        <f>IF(ISBLANK(E55), "", VLOOKUP(E55, Z!$A$2:$C$4127, 3, FALSE))</f>
        <v/>
      </c>
      <c r="G55" s="256"/>
      <c r="H55" s="256"/>
      <c r="I55" s="256"/>
      <c r="J55" s="257"/>
      <c r="K55" s="258"/>
      <c r="L55" s="267"/>
      <c r="M55" s="268"/>
      <c r="N55" s="259" t="str" cm="1">
        <f t="array" ref="N55">IF($L55&gt;0, INDEX(Clean,1+AK55,$D$1), "")</f>
        <v/>
      </c>
      <c r="O55" s="260"/>
      <c r="P55" s="260"/>
      <c r="Q55" s="261"/>
      <c r="R55" s="264">
        <f t="shared" si="7"/>
        <v>0</v>
      </c>
      <c r="S55" s="259" t="str" cm="1">
        <f t="array" ref="S55">IF($L55&gt;0, INDEX(Clean,1+AL55,$D$1), "")</f>
        <v/>
      </c>
      <c r="T55" s="260"/>
      <c r="U55" s="260"/>
      <c r="V55" s="261"/>
      <c r="W55" s="267"/>
      <c r="X55" s="267"/>
      <c r="Y55" s="257"/>
      <c r="Z55" s="264">
        <f t="shared" si="8"/>
        <v>0</v>
      </c>
      <c r="AA55" s="269"/>
      <c r="AB55" s="266"/>
      <c r="AC55" s="254"/>
      <c r="AD55" s="255" t="str">
        <f>IF(ISBLANK(AC55), "", VLOOKUP(AC55, Z!$A$2:$C$4127, 3, FALSE))</f>
        <v/>
      </c>
      <c r="AE55" s="270"/>
      <c r="AF55" s="265">
        <f t="shared" si="9"/>
        <v>0</v>
      </c>
      <c r="AG55" s="246"/>
      <c r="AH55" s="228">
        <f t="shared" ref="AH55" si="167">IF(ISBLANK(I55), 1, IFERROR(MATCH(I55, INDEX(Use,,1), 0), IFERROR(MATCH(I55, INDEX(Use,,2), 0), MATCH(I55, INDEX(Use,,3), 0))))</f>
        <v>1</v>
      </c>
      <c r="AI55" s="228">
        <f t="shared" ref="AI55" si="168">IF(ISBLANK(H55), 1, IFERROR(MATCH(H55, INDEX(Loc,,1), 0), IFERROR(MATCH(H55, INDEX(Loc,,2), 0), MATCH(H55, INDEX(Loc,,3), 0))))</f>
        <v>1</v>
      </c>
      <c r="AJ55" s="228">
        <f t="shared" ref="AJ55" si="169">_xlfn.IFNA(IF(IFERROR(MATCH(J55, INDEX(Medium,,1), 0), IFERROR(MATCH(J55, INDEX(Medium,,2), 0), MATCH(J55, INDEX(Medium,,3), 0))) = 2, 1, 0), 0)</f>
        <v>0</v>
      </c>
      <c r="AK55" s="228">
        <v>0</v>
      </c>
      <c r="AL55" s="228">
        <v>0</v>
      </c>
      <c r="AM55" s="228">
        <f t="shared" si="4"/>
        <v>-100</v>
      </c>
      <c r="AN55" s="228" cm="1">
        <f t="array" ref="AN55">IF(ISBLANK(G55), 1, IFERROR(MATCH(G55, INDEX(Kat,,1), 0), IFERROR(MATCH(Kat, INDEX(Use,,2), 0), MATCH(Kat, INDEX(Use,,3), 0))))</f>
        <v>1</v>
      </c>
      <c r="AO55" s="246"/>
      <c r="AP55" s="228" cm="1">
        <f t="array" ref="AP55">IF(W55&gt;0, INDEX(Kat, AN55,4), 0)</f>
        <v>0</v>
      </c>
      <c r="AQ55" s="228">
        <f t="shared" ref="AQ55" si="170">IF(ISBLANK(Y55), 0, IFERROR(MATCH(Y55, INDEX(Month,,1), 0), IFERROR(MATCH(Y55, INDEX(Month,,2), 0), MATCH(Y55, INDEX(Month,,3), 0))))</f>
        <v>0</v>
      </c>
      <c r="AR55" s="228" cm="1">
        <f t="array" ref="AR55">IF(X55&gt;0, INDEX(Kat, $AN55, 4+AQ55), 0)</f>
        <v>0</v>
      </c>
      <c r="AS55" s="228" cm="1">
        <f t="array" ref="AS55">IF(X55&gt;0, INDEX(Kat, $AN55, 9+AQ55), 0)</f>
        <v>0</v>
      </c>
      <c r="AT55" s="246"/>
      <c r="AU55" s="228">
        <v>14</v>
      </c>
      <c r="AV55" s="231">
        <v>385</v>
      </c>
      <c r="AW55" s="231">
        <v>344</v>
      </c>
      <c r="AX55" s="231">
        <v>378</v>
      </c>
      <c r="AY55" s="232">
        <f t="shared" si="6"/>
        <v>0</v>
      </c>
      <c r="AZ55" s="232">
        <f t="shared" si="6"/>
        <v>0</v>
      </c>
      <c r="BA55" s="232" t="e" cm="1">
        <f t="array" ref="BA55">MIN(INDEX(Use,BA$20,5) + MAX(0, (1-INDEX(Use,BA$20,5))*($AU55-5)/(35-5)), 1)</f>
        <v>#REF!</v>
      </c>
      <c r="BB55" s="232" t="e" cm="1">
        <f t="array" ref="BB55">MIN(INDEX(Use,BB$20,5) + MAX(0, (1-INDEX(Use,BB$20,5))*($AU55-5)/(35-5)), 1)</f>
        <v>#REF!</v>
      </c>
      <c r="BC55" s="232" t="e" cm="1">
        <f t="array" ref="BC55">MIN(INDEX(Use,BC$20,5) + MAX(0, (1-INDEX(Use,BC$20,5))*($AU55-5)/(35-5)), 1)</f>
        <v>#REF!</v>
      </c>
      <c r="BD55" s="232" t="e" cm="1">
        <f t="array" ref="BD55">MIN(INDEX(Use,BD$20,5) + MAX(0, (1-INDEX(Use,BD$20,5))*($AU55-5)/(35-5)), 1)</f>
        <v>#REF!</v>
      </c>
      <c r="BE55" s="232" t="e" cm="1">
        <f t="array" ref="BE55">MIN(INDEX(Use,BE$20,5) + MAX(0, (1-INDEX(Use,BE$20,5))*($AU55-5)/(35-5)), 1)</f>
        <v>#REF!</v>
      </c>
      <c r="BF55" s="232">
        <v>1</v>
      </c>
      <c r="BG55" s="232">
        <v>0.1</v>
      </c>
      <c r="BH55" s="210"/>
      <c r="BI55" s="228" cm="1">
        <f t="array" ref="BI55">INDEX(Use, $AH55, 4)</f>
        <v>7</v>
      </c>
      <c r="BJ55" s="228">
        <f t="shared" si="14"/>
        <v>32</v>
      </c>
      <c r="BK55" s="228">
        <f t="shared" si="15"/>
        <v>13</v>
      </c>
      <c r="BL55" s="228">
        <f t="shared" si="16"/>
        <v>0</v>
      </c>
      <c r="BM55" s="233" cm="1">
        <f t="array" ref="BM55">L55/IF($M55&gt;0, INDEX($AY$22:$BE$76, $M55+20, $AH55), 1)</f>
        <v>0</v>
      </c>
      <c r="BN55" s="229">
        <f t="shared" si="17"/>
        <v>0</v>
      </c>
      <c r="BO55" s="228">
        <v>35</v>
      </c>
      <c r="BP55" s="229">
        <f t="shared" si="18"/>
        <v>48</v>
      </c>
      <c r="BQ55" s="234">
        <f t="shared" si="19"/>
        <v>3.0748170731707316</v>
      </c>
      <c r="BR55" s="234" cm="1">
        <f t="array" ref="BR55">$BM55 * SUMPRODUCT(INDEX($AV$76:$AX$81,,$AI55),INDEX($AY$76:$BE$81,,$AH55), N($AU$76:$AU$81&gt;$AM55)) / BQ55 / 1000</f>
        <v>0</v>
      </c>
      <c r="BS55" s="231">
        <f t="shared" si="20"/>
        <v>30</v>
      </c>
      <c r="BT55" s="229">
        <f t="shared" si="21"/>
        <v>43</v>
      </c>
      <c r="BU55" s="234">
        <f t="shared" si="22"/>
        <v>3.5018750000000001</v>
      </c>
      <c r="BV55" s="234" cm="1">
        <f t="array" ref="BV55">$BM55 * IF($AH55&lt;=2,
SUMPRODUCT(INDEX($AV$71:$AX$75,,$AI55), INDEX($AY$71:$BE$75,,$AH55), 1 / ($BF$71:$BF$75*BU55 + (1-$BF$71:$BF$75)*BQ55), N($AU$71:$AU$75&gt;$AM55)),
SUMPRODUCT(INDEX($AV$66:$AX$75,,$AI55), INDEX($AY$66:$BE$75,,$AH55), 1 / ($BG$66:$BG$75*BU55 + (1-$BG$66:$BG$75)*BQ55), N($AU$66:$AU$75&gt;$AM55))
) / 1000</f>
        <v>0</v>
      </c>
      <c r="BW55" s="231">
        <f t="shared" si="23"/>
        <v>25</v>
      </c>
      <c r="BX55" s="229">
        <f t="shared" si="24"/>
        <v>38</v>
      </c>
      <c r="BY55" s="234">
        <f t="shared" si="25"/>
        <v>4.0666935483870965</v>
      </c>
      <c r="BZ55" s="234" cm="1">
        <f t="array" ref="BZ55">$BM55 * IF($AH55&lt;=2,
SUMPRODUCT(INDEX($AV$66:$AX$70,,$AI55), INDEX($AY$66:$BE$70,,$AH55), 1 / ($BF$66:$BF$70*BY55 + (1-$BF$66:$BF$70)*BU55), N($AU$66:$AU$70&gt;$AM55)),
SUMPRODUCT(INDEX($AV$56:$AX$65,,$AI55), INDEX($AY$56:$BE$65,,$AH55), 1 / ($BG$56:$BG$65*BY55 + (1-$BG$56:$BG$65)*BU55), N($AU$56:$AU$65&gt;$AM55))
) / 1000</f>
        <v>0</v>
      </c>
      <c r="CA55" s="231">
        <f t="shared" si="26"/>
        <v>20</v>
      </c>
      <c r="CB55" s="229">
        <f t="shared" si="27"/>
        <v>33</v>
      </c>
      <c r="CC55" s="234">
        <f t="shared" si="28"/>
        <v>4.8487499999999999</v>
      </c>
      <c r="CD55" s="234" cm="1">
        <f t="array" ref="CD55">$BM55 * IF($AH55&lt;=2,
SUMPRODUCT(INDEX($AV$61:$AX$65,,$AI55), INDEX($AY$61:$BE$65,,$AH55), 1 / ($BF$61:$BF$65*CC55 + (1-$BF$61:$BF$65)*BY55), N($AU$61:$AU$65&gt;$AM55)),
SUMPRODUCT(INDEX($AV$46:$AX$55,,$AI55), INDEX($AY$46:$BE$55,,$AH55), 1 / ($BG$46:$BG$55*CC55 + (1-$BG$46:$BG$55)*BY55), N($AU$46:$AU$55&gt;$AM55))
) / 1000</f>
        <v>0</v>
      </c>
      <c r="CE55" s="234" cm="1">
        <f t="array" ref="CE55">$BM55 * IF($AH55&lt;=2,
SUMPRODUCT(INDEX($AV$22:$AX$60,,$AI55), INDEX($AY$22:$BE$60,,$AH55), 1 / ($BF$22:$BF$60*CC55), N($AU$22:$AU$60&gt;$AM55)),
SUMPRODUCT(INDEX($AV$22:$AX$45,,$AI55), INDEX($AY$22:$BE$45,,$AH55), 1 / ($BG$22:$BG$45*CC55), N($AU$22:$AU$45&gt;$AM55))
) / 1000</f>
        <v>0</v>
      </c>
      <c r="CF55" s="229">
        <f t="shared" si="29"/>
        <v>0</v>
      </c>
      <c r="CG55" s="246"/>
      <c r="CH55" s="229">
        <f t="shared" si="30"/>
        <v>0</v>
      </c>
      <c r="CI55" s="228">
        <v>35</v>
      </c>
      <c r="CJ55" s="229">
        <f t="shared" si="31"/>
        <v>48</v>
      </c>
      <c r="CK55" s="234">
        <f t="shared" si="32"/>
        <v>3.0748170731707316</v>
      </c>
      <c r="CL55" s="234" cm="1">
        <f t="array" ref="CL55">$BM55 * SUMPRODUCT(INDEX($AV$76:$AX$81,,$AI55),INDEX($AY$76:$BE$81,,$AH55), N($AU$76:$AU$81&gt;$AM55)) / CK55 / 1000</f>
        <v>0</v>
      </c>
      <c r="CM55" s="231">
        <f t="shared" si="33"/>
        <v>30</v>
      </c>
      <c r="CN55" s="229">
        <f t="shared" si="34"/>
        <v>43</v>
      </c>
      <c r="CO55" s="234">
        <f t="shared" si="35"/>
        <v>3.5018750000000001</v>
      </c>
      <c r="CP55" s="234" cm="1">
        <f t="array" ref="CP55">$BM55 * IF($AH55&lt;=2,
SUMPRODUCT(INDEX($AV$71:$AX$75,,$AI55), INDEX($AY$71:$BE$75,,$AH55), 1 / ($BF$71:$BF$75*CO55 + (1-$BF$71:$BF$75)*CK55), N($AU$71:$AU$75&gt;$AM55)),
SUMPRODUCT(INDEX($AV$66:$AX$75,,$AI55), INDEX($AY$66:$BE$75,,$AH55), 1 / ($BG$66:$BG$75*CO55 + (1-$BG$66:$BG$75)*CK55), N($AU$66:$AU$75&gt;$AM55))
) / 1000</f>
        <v>0</v>
      </c>
      <c r="CQ55" s="231">
        <f t="shared" si="36"/>
        <v>25</v>
      </c>
      <c r="CR55" s="229">
        <f t="shared" si="37"/>
        <v>38</v>
      </c>
      <c r="CS55" s="234">
        <f t="shared" si="38"/>
        <v>4.0666935483870965</v>
      </c>
      <c r="CT55" s="234" cm="1">
        <f t="array" ref="CT55">$BM55 * IF($AH55&lt;=2,
SUMPRODUCT(INDEX($AV$66:$AX$70,,$AI55), INDEX($AY$66:$BE$70,,$AH55), 1 / ($BF$66:$BF$70*CS55 + (1-$BF$66:$BF$70)*CO55), N($AU$66:$AU$70&gt;$AM55)),
SUMPRODUCT(INDEX($AV$56:$AX$65,,$AI55), INDEX($AY$56:$BE$65,,$AH55), 1 / ($BG$56:$BG$65*CS55 + (1-$BG$56:$BG$65)*CO55), N($AU$56:$AU$65&gt;$AM55))
) / 1000</f>
        <v>0</v>
      </c>
      <c r="CU55" s="231">
        <f t="shared" si="39"/>
        <v>20</v>
      </c>
      <c r="CV55" s="229">
        <f t="shared" si="40"/>
        <v>33</v>
      </c>
      <c r="CW55" s="234">
        <f t="shared" si="41"/>
        <v>4.8487499999999999</v>
      </c>
      <c r="CX55" s="234" cm="1">
        <f t="array" ref="CX55">$BM55 * IF($AH55&lt;=2,
SUMPRODUCT(INDEX($AV$61:$AX$65,,$AI55), INDEX($AY$61:$BE$65,,$AH55), 1 / ($BF$61:$BF$65*CW55 + (1-$BF$61:$BF$65)*CS55), N($AU$61:$AU$65&gt;$AM55)),
SUMPRODUCT(INDEX($AV$46:$AX$55,,$AI55), INDEX($AY$46:$BE$55,,$AH55), 1 / ($BG$46:$BG$55*CW55 + (1-$BG$46:$BG$55)*CS55), N($AU$46:$AU$55&gt;$AM55))
) / 1000</f>
        <v>0</v>
      </c>
      <c r="CY55" s="234" cm="1">
        <f t="array" ref="CY55">$BM55 * IF($AH55&lt;=2,
SUMPRODUCT(INDEX($AV$22:$AX$60,,$AI55), INDEX($AY$22:$BE$60,,$AH55), 1 / ($BF$22:$BF$60*CW55), N($AU$22:$AU$60&gt;$AM55)),
SUMPRODUCT(INDEX($AV$22:$AX$45,,$AI55), INDEX($AY$22:$BE$45,,$AH55), 1 / ($BG$22:$BG$45*CW55), N($AU$22:$AU$45&gt;$AM55))
) / 1000</f>
        <v>0</v>
      </c>
      <c r="CZ55" s="229">
        <f t="shared" si="42"/>
        <v>0</v>
      </c>
      <c r="DA55" s="246"/>
    </row>
    <row r="56" spans="1:105" s="75" customFormat="1" ht="14.25" customHeight="1" x14ac:dyDescent="0.25">
      <c r="A56" s="230" t="b">
        <f t="shared" si="0"/>
        <v>0</v>
      </c>
      <c r="B56" s="253">
        <v>35</v>
      </c>
      <c r="C56" s="266"/>
      <c r="D56" s="266"/>
      <c r="E56" s="254"/>
      <c r="F56" s="255" t="str">
        <f>IF(ISBLANK(E56), "", VLOOKUP(E56, Z!$A$2:$C$4127, 3, FALSE))</f>
        <v/>
      </c>
      <c r="G56" s="256"/>
      <c r="H56" s="256"/>
      <c r="I56" s="256"/>
      <c r="J56" s="257"/>
      <c r="K56" s="258"/>
      <c r="L56" s="267"/>
      <c r="M56" s="268"/>
      <c r="N56" s="259" t="str" cm="1">
        <f t="array" ref="N56">IF($L56&gt;0, INDEX(Clean,1+AK56,$D$1), "")</f>
        <v/>
      </c>
      <c r="O56" s="260"/>
      <c r="P56" s="260"/>
      <c r="Q56" s="261"/>
      <c r="R56" s="264">
        <f t="shared" si="7"/>
        <v>0</v>
      </c>
      <c r="S56" s="259" t="str" cm="1">
        <f t="array" ref="S56">IF($L56&gt;0, INDEX(Clean,1+AL56,$D$1), "")</f>
        <v/>
      </c>
      <c r="T56" s="260"/>
      <c r="U56" s="260"/>
      <c r="V56" s="261"/>
      <c r="W56" s="267"/>
      <c r="X56" s="267"/>
      <c r="Y56" s="257"/>
      <c r="Z56" s="264">
        <f t="shared" si="8"/>
        <v>0</v>
      </c>
      <c r="AA56" s="269"/>
      <c r="AB56" s="266"/>
      <c r="AC56" s="254"/>
      <c r="AD56" s="255" t="str">
        <f>IF(ISBLANK(AC56), "", VLOOKUP(AC56, Z!$A$2:$C$4127, 3, FALSE))</f>
        <v/>
      </c>
      <c r="AE56" s="270"/>
      <c r="AF56" s="265">
        <f t="shared" si="9"/>
        <v>0</v>
      </c>
      <c r="AG56" s="246"/>
      <c r="AH56" s="228">
        <f t="shared" ref="AH56" si="171">IF(ISBLANK(I56), 1, IFERROR(MATCH(I56, INDEX(Use,,1), 0), IFERROR(MATCH(I56, INDEX(Use,,2), 0), MATCH(I56, INDEX(Use,,3), 0))))</f>
        <v>1</v>
      </c>
      <c r="AI56" s="228">
        <f t="shared" ref="AI56" si="172">IF(ISBLANK(H56), 1, IFERROR(MATCH(H56, INDEX(Loc,,1), 0), IFERROR(MATCH(H56, INDEX(Loc,,2), 0), MATCH(H56, INDEX(Loc,,3), 0))))</f>
        <v>1</v>
      </c>
      <c r="AJ56" s="228">
        <f t="shared" ref="AJ56" si="173">_xlfn.IFNA(IF(IFERROR(MATCH(J56, INDEX(Medium,,1), 0), IFERROR(MATCH(J56, INDEX(Medium,,2), 0), MATCH(J56, INDEX(Medium,,3), 0))) = 2, 1, 0), 0)</f>
        <v>0</v>
      </c>
      <c r="AK56" s="228">
        <v>0</v>
      </c>
      <c r="AL56" s="228">
        <v>0</v>
      </c>
      <c r="AM56" s="228">
        <f t="shared" si="4"/>
        <v>-100</v>
      </c>
      <c r="AN56" s="228" cm="1">
        <f t="array" ref="AN56">IF(ISBLANK(G56), 1, IFERROR(MATCH(G56, INDEX(Kat,,1), 0), IFERROR(MATCH(Kat, INDEX(Use,,2), 0), MATCH(Kat, INDEX(Use,,3), 0))))</f>
        <v>1</v>
      </c>
      <c r="AO56" s="246"/>
      <c r="AP56" s="228" cm="1">
        <f t="array" ref="AP56">IF(W56&gt;0, INDEX(Kat, AN56,4), 0)</f>
        <v>0</v>
      </c>
      <c r="AQ56" s="228">
        <f t="shared" ref="AQ56" si="174">IF(ISBLANK(Y56), 0, IFERROR(MATCH(Y56, INDEX(Month,,1), 0), IFERROR(MATCH(Y56, INDEX(Month,,2), 0), MATCH(Y56, INDEX(Month,,3), 0))))</f>
        <v>0</v>
      </c>
      <c r="AR56" s="228" cm="1">
        <f t="array" ref="AR56">IF(X56&gt;0, INDEX(Kat, $AN56, 4+AQ56), 0)</f>
        <v>0</v>
      </c>
      <c r="AS56" s="228" cm="1">
        <f t="array" ref="AS56">IF(X56&gt;0, INDEX(Kat, $AN56, 9+AQ56), 0)</f>
        <v>0</v>
      </c>
      <c r="AT56" s="246"/>
      <c r="AU56" s="228">
        <v>15</v>
      </c>
      <c r="AV56" s="231">
        <v>404</v>
      </c>
      <c r="AW56" s="231">
        <v>375</v>
      </c>
      <c r="AX56" s="231">
        <v>330</v>
      </c>
      <c r="AY56" s="232">
        <f t="shared" si="6"/>
        <v>0</v>
      </c>
      <c r="AZ56" s="232">
        <f t="shared" si="6"/>
        <v>0</v>
      </c>
      <c r="BA56" s="232" t="e" cm="1">
        <f t="array" ref="BA56">MIN(INDEX(Use,BA$20,5) + MAX(0, (1-INDEX(Use,BA$20,5))*($AU56-5)/(35-5)), 1)</f>
        <v>#REF!</v>
      </c>
      <c r="BB56" s="232" t="e" cm="1">
        <f t="array" ref="BB56">MIN(INDEX(Use,BB$20,5) + MAX(0, (1-INDEX(Use,BB$20,5))*($AU56-5)/(35-5)), 1)</f>
        <v>#REF!</v>
      </c>
      <c r="BC56" s="232" t="e" cm="1">
        <f t="array" ref="BC56">MIN(INDEX(Use,BC$20,5) + MAX(0, (1-INDEX(Use,BC$20,5))*($AU56-5)/(35-5)), 1)</f>
        <v>#REF!</v>
      </c>
      <c r="BD56" s="232" t="e" cm="1">
        <f t="array" ref="BD56">MIN(INDEX(Use,BD$20,5) + MAX(0, (1-INDEX(Use,BD$20,5))*($AU56-5)/(35-5)), 1)</f>
        <v>#REF!</v>
      </c>
      <c r="BE56" s="232" t="e" cm="1">
        <f t="array" ref="BE56">MIN(INDEX(Use,BE$20,5) + MAX(0, (1-INDEX(Use,BE$20,5))*($AU56-5)/(35-5)), 1)</f>
        <v>#REF!</v>
      </c>
      <c r="BF56" s="232">
        <v>1</v>
      </c>
      <c r="BG56" s="232">
        <v>1</v>
      </c>
      <c r="BH56" s="210"/>
      <c r="BI56" s="228" cm="1">
        <f t="array" ref="BI56">INDEX(Use, $AH56, 4)</f>
        <v>7</v>
      </c>
      <c r="BJ56" s="228">
        <f t="shared" si="14"/>
        <v>32</v>
      </c>
      <c r="BK56" s="228">
        <f t="shared" si="15"/>
        <v>13</v>
      </c>
      <c r="BL56" s="228">
        <f t="shared" si="16"/>
        <v>0</v>
      </c>
      <c r="BM56" s="233" cm="1">
        <f t="array" ref="BM56">L56/IF($M56&gt;0, INDEX($AY$22:$BE$76, $M56+20, $AH56), 1)</f>
        <v>0</v>
      </c>
      <c r="BN56" s="229">
        <f t="shared" si="17"/>
        <v>0</v>
      </c>
      <c r="BO56" s="228">
        <v>35</v>
      </c>
      <c r="BP56" s="229">
        <f t="shared" si="18"/>
        <v>48</v>
      </c>
      <c r="BQ56" s="234">
        <f t="shared" si="19"/>
        <v>3.0748170731707316</v>
      </c>
      <c r="BR56" s="234" cm="1">
        <f t="array" ref="BR56">$BM56 * SUMPRODUCT(INDEX($AV$76:$AX$81,,$AI56),INDEX($AY$76:$BE$81,,$AH56), N($AU$76:$AU$81&gt;$AM56)) / BQ56 / 1000</f>
        <v>0</v>
      </c>
      <c r="BS56" s="231">
        <f t="shared" si="20"/>
        <v>30</v>
      </c>
      <c r="BT56" s="229">
        <f t="shared" si="21"/>
        <v>43</v>
      </c>
      <c r="BU56" s="234">
        <f t="shared" si="22"/>
        <v>3.5018750000000001</v>
      </c>
      <c r="BV56" s="234" cm="1">
        <f t="array" ref="BV56">$BM56 * IF($AH56&lt;=2,
SUMPRODUCT(INDEX($AV$71:$AX$75,,$AI56), INDEX($AY$71:$BE$75,,$AH56), 1 / ($BF$71:$BF$75*BU56 + (1-$BF$71:$BF$75)*BQ56), N($AU$71:$AU$75&gt;$AM56)),
SUMPRODUCT(INDEX($AV$66:$AX$75,,$AI56), INDEX($AY$66:$BE$75,,$AH56), 1 / ($BG$66:$BG$75*BU56 + (1-$BG$66:$BG$75)*BQ56), N($AU$66:$AU$75&gt;$AM56))
) / 1000</f>
        <v>0</v>
      </c>
      <c r="BW56" s="231">
        <f t="shared" si="23"/>
        <v>25</v>
      </c>
      <c r="BX56" s="229">
        <f t="shared" si="24"/>
        <v>38</v>
      </c>
      <c r="BY56" s="234">
        <f t="shared" si="25"/>
        <v>4.0666935483870965</v>
      </c>
      <c r="BZ56" s="234" cm="1">
        <f t="array" ref="BZ56">$BM56 * IF($AH56&lt;=2,
SUMPRODUCT(INDEX($AV$66:$AX$70,,$AI56), INDEX($AY$66:$BE$70,,$AH56), 1 / ($BF$66:$BF$70*BY56 + (1-$BF$66:$BF$70)*BU56), N($AU$66:$AU$70&gt;$AM56)),
SUMPRODUCT(INDEX($AV$56:$AX$65,,$AI56), INDEX($AY$56:$BE$65,,$AH56), 1 / ($BG$56:$BG$65*BY56 + (1-$BG$56:$BG$65)*BU56), N($AU$56:$AU$65&gt;$AM56))
) / 1000</f>
        <v>0</v>
      </c>
      <c r="CA56" s="231">
        <f t="shared" si="26"/>
        <v>20</v>
      </c>
      <c r="CB56" s="229">
        <f t="shared" si="27"/>
        <v>33</v>
      </c>
      <c r="CC56" s="234">
        <f t="shared" si="28"/>
        <v>4.8487499999999999</v>
      </c>
      <c r="CD56" s="234" cm="1">
        <f t="array" ref="CD56">$BM56 * IF($AH56&lt;=2,
SUMPRODUCT(INDEX($AV$61:$AX$65,,$AI56), INDEX($AY$61:$BE$65,,$AH56), 1 / ($BF$61:$BF$65*CC56 + (1-$BF$61:$BF$65)*BY56), N($AU$61:$AU$65&gt;$AM56)),
SUMPRODUCT(INDEX($AV$46:$AX$55,,$AI56), INDEX($AY$46:$BE$55,,$AH56), 1 / ($BG$46:$BG$55*CC56 + (1-$BG$46:$BG$55)*BY56), N($AU$46:$AU$55&gt;$AM56))
) / 1000</f>
        <v>0</v>
      </c>
      <c r="CE56" s="234" cm="1">
        <f t="array" ref="CE56">$BM56 * IF($AH56&lt;=2,
SUMPRODUCT(INDEX($AV$22:$AX$60,,$AI56), INDEX($AY$22:$BE$60,,$AH56), 1 / ($BF$22:$BF$60*CC56), N($AU$22:$AU$60&gt;$AM56)),
SUMPRODUCT(INDEX($AV$22:$AX$45,,$AI56), INDEX($AY$22:$BE$45,,$AH56), 1 / ($BG$22:$BG$45*CC56), N($AU$22:$AU$45&gt;$AM56))
) / 1000</f>
        <v>0</v>
      </c>
      <c r="CF56" s="229">
        <f t="shared" si="29"/>
        <v>0</v>
      </c>
      <c r="CG56" s="246"/>
      <c r="CH56" s="229">
        <f t="shared" si="30"/>
        <v>0</v>
      </c>
      <c r="CI56" s="228">
        <v>35</v>
      </c>
      <c r="CJ56" s="229">
        <f t="shared" si="31"/>
        <v>48</v>
      </c>
      <c r="CK56" s="234">
        <f t="shared" si="32"/>
        <v>3.0748170731707316</v>
      </c>
      <c r="CL56" s="234" cm="1">
        <f t="array" ref="CL56">$BM56 * SUMPRODUCT(INDEX($AV$76:$AX$81,,$AI56),INDEX($AY$76:$BE$81,,$AH56), N($AU$76:$AU$81&gt;$AM56)) / CK56 / 1000</f>
        <v>0</v>
      </c>
      <c r="CM56" s="231">
        <f t="shared" si="33"/>
        <v>30</v>
      </c>
      <c r="CN56" s="229">
        <f t="shared" si="34"/>
        <v>43</v>
      </c>
      <c r="CO56" s="234">
        <f t="shared" si="35"/>
        <v>3.5018750000000001</v>
      </c>
      <c r="CP56" s="234" cm="1">
        <f t="array" ref="CP56">$BM56 * IF($AH56&lt;=2,
SUMPRODUCT(INDEX($AV$71:$AX$75,,$AI56), INDEX($AY$71:$BE$75,,$AH56), 1 / ($BF$71:$BF$75*CO56 + (1-$BF$71:$BF$75)*CK56), N($AU$71:$AU$75&gt;$AM56)),
SUMPRODUCT(INDEX($AV$66:$AX$75,,$AI56), INDEX($AY$66:$BE$75,,$AH56), 1 / ($BG$66:$BG$75*CO56 + (1-$BG$66:$BG$75)*CK56), N($AU$66:$AU$75&gt;$AM56))
) / 1000</f>
        <v>0</v>
      </c>
      <c r="CQ56" s="231">
        <f t="shared" si="36"/>
        <v>25</v>
      </c>
      <c r="CR56" s="229">
        <f t="shared" si="37"/>
        <v>38</v>
      </c>
      <c r="CS56" s="234">
        <f t="shared" si="38"/>
        <v>4.0666935483870965</v>
      </c>
      <c r="CT56" s="234" cm="1">
        <f t="array" ref="CT56">$BM56 * IF($AH56&lt;=2,
SUMPRODUCT(INDEX($AV$66:$AX$70,,$AI56), INDEX($AY$66:$BE$70,,$AH56), 1 / ($BF$66:$BF$70*CS56 + (1-$BF$66:$BF$70)*CO56), N($AU$66:$AU$70&gt;$AM56)),
SUMPRODUCT(INDEX($AV$56:$AX$65,,$AI56), INDEX($AY$56:$BE$65,,$AH56), 1 / ($BG$56:$BG$65*CS56 + (1-$BG$56:$BG$65)*CO56), N($AU$56:$AU$65&gt;$AM56))
) / 1000</f>
        <v>0</v>
      </c>
      <c r="CU56" s="231">
        <f t="shared" si="39"/>
        <v>20</v>
      </c>
      <c r="CV56" s="229">
        <f t="shared" si="40"/>
        <v>33</v>
      </c>
      <c r="CW56" s="234">
        <f t="shared" si="41"/>
        <v>4.8487499999999999</v>
      </c>
      <c r="CX56" s="234" cm="1">
        <f t="array" ref="CX56">$BM56 * IF($AH56&lt;=2,
SUMPRODUCT(INDEX($AV$61:$AX$65,,$AI56), INDEX($AY$61:$BE$65,,$AH56), 1 / ($BF$61:$BF$65*CW56 + (1-$BF$61:$BF$65)*CS56), N($AU$61:$AU$65&gt;$AM56)),
SUMPRODUCT(INDEX($AV$46:$AX$55,,$AI56), INDEX($AY$46:$BE$55,,$AH56), 1 / ($BG$46:$BG$55*CW56 + (1-$BG$46:$BG$55)*CS56), N($AU$46:$AU$55&gt;$AM56))
) / 1000</f>
        <v>0</v>
      </c>
      <c r="CY56" s="234" cm="1">
        <f t="array" ref="CY56">$BM56 * IF($AH56&lt;=2,
SUMPRODUCT(INDEX($AV$22:$AX$60,,$AI56), INDEX($AY$22:$BE$60,,$AH56), 1 / ($BF$22:$BF$60*CW56), N($AU$22:$AU$60&gt;$AM56)),
SUMPRODUCT(INDEX($AV$22:$AX$45,,$AI56), INDEX($AY$22:$BE$45,,$AH56), 1 / ($BG$22:$BG$45*CW56), N($AU$22:$AU$45&gt;$AM56))
) / 1000</f>
        <v>0</v>
      </c>
      <c r="CZ56" s="229">
        <f t="shared" si="42"/>
        <v>0</v>
      </c>
      <c r="DA56" s="246"/>
    </row>
    <row r="57" spans="1:105" s="75" customFormat="1" ht="14.25" customHeight="1" x14ac:dyDescent="0.25">
      <c r="A57" s="230" t="b">
        <f t="shared" si="0"/>
        <v>0</v>
      </c>
      <c r="B57" s="253">
        <v>36</v>
      </c>
      <c r="C57" s="266"/>
      <c r="D57" s="266"/>
      <c r="E57" s="254"/>
      <c r="F57" s="255" t="str">
        <f>IF(ISBLANK(E57), "", VLOOKUP(E57, Z!$A$2:$C$4127, 3, FALSE))</f>
        <v/>
      </c>
      <c r="G57" s="256"/>
      <c r="H57" s="256"/>
      <c r="I57" s="256"/>
      <c r="J57" s="257"/>
      <c r="K57" s="258"/>
      <c r="L57" s="267"/>
      <c r="M57" s="268"/>
      <c r="N57" s="259" t="str" cm="1">
        <f t="array" ref="N57">IF($L57&gt;0, INDEX(Clean,1+AK57,$D$1), "")</f>
        <v/>
      </c>
      <c r="O57" s="260"/>
      <c r="P57" s="260"/>
      <c r="Q57" s="261"/>
      <c r="R57" s="264">
        <f t="shared" si="7"/>
        <v>0</v>
      </c>
      <c r="S57" s="259" t="str" cm="1">
        <f t="array" ref="S57">IF($L57&gt;0, INDEX(Clean,1+AL57,$D$1), "")</f>
        <v/>
      </c>
      <c r="T57" s="260"/>
      <c r="U57" s="260"/>
      <c r="V57" s="261"/>
      <c r="W57" s="267"/>
      <c r="X57" s="267"/>
      <c r="Y57" s="257"/>
      <c r="Z57" s="264">
        <f t="shared" si="8"/>
        <v>0</v>
      </c>
      <c r="AA57" s="269"/>
      <c r="AB57" s="266"/>
      <c r="AC57" s="254"/>
      <c r="AD57" s="255" t="str">
        <f>IF(ISBLANK(AC57), "", VLOOKUP(AC57, Z!$A$2:$C$4127, 3, FALSE))</f>
        <v/>
      </c>
      <c r="AE57" s="270"/>
      <c r="AF57" s="265">
        <f t="shared" si="9"/>
        <v>0</v>
      </c>
      <c r="AG57" s="246"/>
      <c r="AH57" s="228">
        <f t="shared" ref="AH57" si="175">IF(ISBLANK(I57), 1, IFERROR(MATCH(I57, INDEX(Use,,1), 0), IFERROR(MATCH(I57, INDEX(Use,,2), 0), MATCH(I57, INDEX(Use,,3), 0))))</f>
        <v>1</v>
      </c>
      <c r="AI57" s="228">
        <f t="shared" ref="AI57" si="176">IF(ISBLANK(H57), 1, IFERROR(MATCH(H57, INDEX(Loc,,1), 0), IFERROR(MATCH(H57, INDEX(Loc,,2), 0), MATCH(H57, INDEX(Loc,,3), 0))))</f>
        <v>1</v>
      </c>
      <c r="AJ57" s="228">
        <f t="shared" ref="AJ57" si="177">_xlfn.IFNA(IF(IFERROR(MATCH(J57, INDEX(Medium,,1), 0), IFERROR(MATCH(J57, INDEX(Medium,,2), 0), MATCH(J57, INDEX(Medium,,3), 0))) = 2, 1, 0), 0)</f>
        <v>0</v>
      </c>
      <c r="AK57" s="228">
        <v>0</v>
      </c>
      <c r="AL57" s="228">
        <v>0</v>
      </c>
      <c r="AM57" s="228">
        <f t="shared" si="4"/>
        <v>-100</v>
      </c>
      <c r="AN57" s="228" cm="1">
        <f t="array" ref="AN57">IF(ISBLANK(G57), 1, IFERROR(MATCH(G57, INDEX(Kat,,1), 0), IFERROR(MATCH(Kat, INDEX(Use,,2), 0), MATCH(Kat, INDEX(Use,,3), 0))))</f>
        <v>1</v>
      </c>
      <c r="AO57" s="246"/>
      <c r="AP57" s="228" cm="1">
        <f t="array" ref="AP57">IF(W57&gt;0, INDEX(Kat, AN57,4), 0)</f>
        <v>0</v>
      </c>
      <c r="AQ57" s="228">
        <f t="shared" ref="AQ57" si="178">IF(ISBLANK(Y57), 0, IFERROR(MATCH(Y57, INDEX(Month,,1), 0), IFERROR(MATCH(Y57, INDEX(Month,,2), 0), MATCH(Y57, INDEX(Month,,3), 0))))</f>
        <v>0</v>
      </c>
      <c r="AR57" s="228" cm="1">
        <f t="array" ref="AR57">IF(X57&gt;0, INDEX(Kat, $AN57, 4+AQ57), 0)</f>
        <v>0</v>
      </c>
      <c r="AS57" s="228" cm="1">
        <f t="array" ref="AS57">IF(X57&gt;0, INDEX(Kat, $AN57, 9+AQ57), 0)</f>
        <v>0</v>
      </c>
      <c r="AT57" s="246"/>
      <c r="AU57" s="228">
        <v>16</v>
      </c>
      <c r="AV57" s="231">
        <v>395</v>
      </c>
      <c r="AW57" s="231">
        <v>374</v>
      </c>
      <c r="AX57" s="231">
        <v>390</v>
      </c>
      <c r="AY57" s="232">
        <f t="shared" si="6"/>
        <v>0</v>
      </c>
      <c r="AZ57" s="232">
        <f t="shared" si="6"/>
        <v>0</v>
      </c>
      <c r="BA57" s="232" t="e" cm="1">
        <f t="array" ref="BA57">MIN(INDEX(Use,BA$20,5) + MAX(0, (1-INDEX(Use,BA$20,5))*($AU57-5)/(35-5)), 1)</f>
        <v>#REF!</v>
      </c>
      <c r="BB57" s="232" t="e" cm="1">
        <f t="array" ref="BB57">MIN(INDEX(Use,BB$20,5) + MAX(0, (1-INDEX(Use,BB$20,5))*($AU57-5)/(35-5)), 1)</f>
        <v>#REF!</v>
      </c>
      <c r="BC57" s="232" t="e" cm="1">
        <f t="array" ref="BC57">MIN(INDEX(Use,BC$20,5) + MAX(0, (1-INDEX(Use,BC$20,5))*($AU57-5)/(35-5)), 1)</f>
        <v>#REF!</v>
      </c>
      <c r="BD57" s="232" t="e" cm="1">
        <f t="array" ref="BD57">MIN(INDEX(Use,BD$20,5) + MAX(0, (1-INDEX(Use,BD$20,5))*($AU57-5)/(35-5)), 1)</f>
        <v>#REF!</v>
      </c>
      <c r="BE57" s="232" t="e" cm="1">
        <f t="array" ref="BE57">MIN(INDEX(Use,BE$20,5) + MAX(0, (1-INDEX(Use,BE$20,5))*($AU57-5)/(35-5)), 1)</f>
        <v>#REF!</v>
      </c>
      <c r="BF57" s="232">
        <v>1</v>
      </c>
      <c r="BG57" s="232">
        <v>0.9</v>
      </c>
      <c r="BH57" s="210"/>
      <c r="BI57" s="228" cm="1">
        <f t="array" ref="BI57">INDEX(Use, $AH57, 4)</f>
        <v>7</v>
      </c>
      <c r="BJ57" s="228">
        <f t="shared" si="14"/>
        <v>32</v>
      </c>
      <c r="BK57" s="228">
        <f t="shared" si="15"/>
        <v>13</v>
      </c>
      <c r="BL57" s="228">
        <f t="shared" si="16"/>
        <v>0</v>
      </c>
      <c r="BM57" s="233" cm="1">
        <f t="array" ref="BM57">L57/IF($M57&gt;0, INDEX($AY$22:$BE$76, $M57+20, $AH57), 1)</f>
        <v>0</v>
      </c>
      <c r="BN57" s="229">
        <f t="shared" si="17"/>
        <v>0</v>
      </c>
      <c r="BO57" s="228">
        <v>35</v>
      </c>
      <c r="BP57" s="229">
        <f t="shared" si="18"/>
        <v>48</v>
      </c>
      <c r="BQ57" s="234">
        <f t="shared" si="19"/>
        <v>3.0748170731707316</v>
      </c>
      <c r="BR57" s="234" cm="1">
        <f t="array" ref="BR57">$BM57 * SUMPRODUCT(INDEX($AV$76:$AX$81,,$AI57),INDEX($AY$76:$BE$81,,$AH57), N($AU$76:$AU$81&gt;$AM57)) / BQ57 / 1000</f>
        <v>0</v>
      </c>
      <c r="BS57" s="231">
        <f t="shared" si="20"/>
        <v>30</v>
      </c>
      <c r="BT57" s="229">
        <f t="shared" si="21"/>
        <v>43</v>
      </c>
      <c r="BU57" s="234">
        <f t="shared" si="22"/>
        <v>3.5018750000000001</v>
      </c>
      <c r="BV57" s="234" cm="1">
        <f t="array" ref="BV57">$BM57 * IF($AH57&lt;=2,
SUMPRODUCT(INDEX($AV$71:$AX$75,,$AI57), INDEX($AY$71:$BE$75,,$AH57), 1 / ($BF$71:$BF$75*BU57 + (1-$BF$71:$BF$75)*BQ57), N($AU$71:$AU$75&gt;$AM57)),
SUMPRODUCT(INDEX($AV$66:$AX$75,,$AI57), INDEX($AY$66:$BE$75,,$AH57), 1 / ($BG$66:$BG$75*BU57 + (1-$BG$66:$BG$75)*BQ57), N($AU$66:$AU$75&gt;$AM57))
) / 1000</f>
        <v>0</v>
      </c>
      <c r="BW57" s="231">
        <f t="shared" si="23"/>
        <v>25</v>
      </c>
      <c r="BX57" s="229">
        <f t="shared" si="24"/>
        <v>38</v>
      </c>
      <c r="BY57" s="234">
        <f t="shared" si="25"/>
        <v>4.0666935483870965</v>
      </c>
      <c r="BZ57" s="234" cm="1">
        <f t="array" ref="BZ57">$BM57 * IF($AH57&lt;=2,
SUMPRODUCT(INDEX($AV$66:$AX$70,,$AI57), INDEX($AY$66:$BE$70,,$AH57), 1 / ($BF$66:$BF$70*BY57 + (1-$BF$66:$BF$70)*BU57), N($AU$66:$AU$70&gt;$AM57)),
SUMPRODUCT(INDEX($AV$56:$AX$65,,$AI57), INDEX($AY$56:$BE$65,,$AH57), 1 / ($BG$56:$BG$65*BY57 + (1-$BG$56:$BG$65)*BU57), N($AU$56:$AU$65&gt;$AM57))
) / 1000</f>
        <v>0</v>
      </c>
      <c r="CA57" s="231">
        <f t="shared" si="26"/>
        <v>20</v>
      </c>
      <c r="CB57" s="229">
        <f t="shared" si="27"/>
        <v>33</v>
      </c>
      <c r="CC57" s="234">
        <f t="shared" si="28"/>
        <v>4.8487499999999999</v>
      </c>
      <c r="CD57" s="234" cm="1">
        <f t="array" ref="CD57">$BM57 * IF($AH57&lt;=2,
SUMPRODUCT(INDEX($AV$61:$AX$65,,$AI57), INDEX($AY$61:$BE$65,,$AH57), 1 / ($BF$61:$BF$65*CC57 + (1-$BF$61:$BF$65)*BY57), N($AU$61:$AU$65&gt;$AM57)),
SUMPRODUCT(INDEX($AV$46:$AX$55,,$AI57), INDEX($AY$46:$BE$55,,$AH57), 1 / ($BG$46:$BG$55*CC57 + (1-$BG$46:$BG$55)*BY57), N($AU$46:$AU$55&gt;$AM57))
) / 1000</f>
        <v>0</v>
      </c>
      <c r="CE57" s="234" cm="1">
        <f t="array" ref="CE57">$BM57 * IF($AH57&lt;=2,
SUMPRODUCT(INDEX($AV$22:$AX$60,,$AI57), INDEX($AY$22:$BE$60,,$AH57), 1 / ($BF$22:$BF$60*CC57), N($AU$22:$AU$60&gt;$AM57)),
SUMPRODUCT(INDEX($AV$22:$AX$45,,$AI57), INDEX($AY$22:$BE$45,,$AH57), 1 / ($BG$22:$BG$45*CC57), N($AU$22:$AU$45&gt;$AM57))
) / 1000</f>
        <v>0</v>
      </c>
      <c r="CF57" s="229">
        <f t="shared" si="29"/>
        <v>0</v>
      </c>
      <c r="CG57" s="246"/>
      <c r="CH57" s="229">
        <f t="shared" si="30"/>
        <v>0</v>
      </c>
      <c r="CI57" s="228">
        <v>35</v>
      </c>
      <c r="CJ57" s="229">
        <f t="shared" si="31"/>
        <v>48</v>
      </c>
      <c r="CK57" s="234">
        <f t="shared" si="32"/>
        <v>3.0748170731707316</v>
      </c>
      <c r="CL57" s="234" cm="1">
        <f t="array" ref="CL57">$BM57 * SUMPRODUCT(INDEX($AV$76:$AX$81,,$AI57),INDEX($AY$76:$BE$81,,$AH57), N($AU$76:$AU$81&gt;$AM57)) / CK57 / 1000</f>
        <v>0</v>
      </c>
      <c r="CM57" s="231">
        <f t="shared" si="33"/>
        <v>30</v>
      </c>
      <c r="CN57" s="229">
        <f t="shared" si="34"/>
        <v>43</v>
      </c>
      <c r="CO57" s="234">
        <f t="shared" si="35"/>
        <v>3.5018750000000001</v>
      </c>
      <c r="CP57" s="234" cm="1">
        <f t="array" ref="CP57">$BM57 * IF($AH57&lt;=2,
SUMPRODUCT(INDEX($AV$71:$AX$75,,$AI57), INDEX($AY$71:$BE$75,,$AH57), 1 / ($BF$71:$BF$75*CO57 + (1-$BF$71:$BF$75)*CK57), N($AU$71:$AU$75&gt;$AM57)),
SUMPRODUCT(INDEX($AV$66:$AX$75,,$AI57), INDEX($AY$66:$BE$75,,$AH57), 1 / ($BG$66:$BG$75*CO57 + (1-$BG$66:$BG$75)*CK57), N($AU$66:$AU$75&gt;$AM57))
) / 1000</f>
        <v>0</v>
      </c>
      <c r="CQ57" s="231">
        <f t="shared" si="36"/>
        <v>25</v>
      </c>
      <c r="CR57" s="229">
        <f t="shared" si="37"/>
        <v>38</v>
      </c>
      <c r="CS57" s="234">
        <f t="shared" si="38"/>
        <v>4.0666935483870965</v>
      </c>
      <c r="CT57" s="234" cm="1">
        <f t="array" ref="CT57">$BM57 * IF($AH57&lt;=2,
SUMPRODUCT(INDEX($AV$66:$AX$70,,$AI57), INDEX($AY$66:$BE$70,,$AH57), 1 / ($BF$66:$BF$70*CS57 + (1-$BF$66:$BF$70)*CO57), N($AU$66:$AU$70&gt;$AM57)),
SUMPRODUCT(INDEX($AV$56:$AX$65,,$AI57), INDEX($AY$56:$BE$65,,$AH57), 1 / ($BG$56:$BG$65*CS57 + (1-$BG$56:$BG$65)*CO57), N($AU$56:$AU$65&gt;$AM57))
) / 1000</f>
        <v>0</v>
      </c>
      <c r="CU57" s="231">
        <f t="shared" si="39"/>
        <v>20</v>
      </c>
      <c r="CV57" s="229">
        <f t="shared" si="40"/>
        <v>33</v>
      </c>
      <c r="CW57" s="234">
        <f t="shared" si="41"/>
        <v>4.8487499999999999</v>
      </c>
      <c r="CX57" s="234" cm="1">
        <f t="array" ref="CX57">$BM57 * IF($AH57&lt;=2,
SUMPRODUCT(INDEX($AV$61:$AX$65,,$AI57), INDEX($AY$61:$BE$65,,$AH57), 1 / ($BF$61:$BF$65*CW57 + (1-$BF$61:$BF$65)*CS57), N($AU$61:$AU$65&gt;$AM57)),
SUMPRODUCT(INDEX($AV$46:$AX$55,,$AI57), INDEX($AY$46:$BE$55,,$AH57), 1 / ($BG$46:$BG$55*CW57 + (1-$BG$46:$BG$55)*CS57), N($AU$46:$AU$55&gt;$AM57))
) / 1000</f>
        <v>0</v>
      </c>
      <c r="CY57" s="234" cm="1">
        <f t="array" ref="CY57">$BM57 * IF($AH57&lt;=2,
SUMPRODUCT(INDEX($AV$22:$AX$60,,$AI57), INDEX($AY$22:$BE$60,,$AH57), 1 / ($BF$22:$BF$60*CW57), N($AU$22:$AU$60&gt;$AM57)),
SUMPRODUCT(INDEX($AV$22:$AX$45,,$AI57), INDEX($AY$22:$BE$45,,$AH57), 1 / ($BG$22:$BG$45*CW57), N($AU$22:$AU$45&gt;$AM57))
) / 1000</f>
        <v>0</v>
      </c>
      <c r="CZ57" s="229">
        <f t="shared" si="42"/>
        <v>0</v>
      </c>
      <c r="DA57" s="246"/>
    </row>
    <row r="58" spans="1:105" s="75" customFormat="1" ht="14.25" customHeight="1" x14ac:dyDescent="0.25">
      <c r="A58" s="230" t="b">
        <f t="shared" si="0"/>
        <v>0</v>
      </c>
      <c r="B58" s="253">
        <v>37</v>
      </c>
      <c r="C58" s="266"/>
      <c r="D58" s="266"/>
      <c r="E58" s="254"/>
      <c r="F58" s="255" t="str">
        <f>IF(ISBLANK(E58), "", VLOOKUP(E58, Z!$A$2:$C$4127, 3, FALSE))</f>
        <v/>
      </c>
      <c r="G58" s="256"/>
      <c r="H58" s="256"/>
      <c r="I58" s="256"/>
      <c r="J58" s="257"/>
      <c r="K58" s="258"/>
      <c r="L58" s="267"/>
      <c r="M58" s="268"/>
      <c r="N58" s="259" t="str" cm="1">
        <f t="array" ref="N58">IF($L58&gt;0, INDEX(Clean,1+AK58,$D$1), "")</f>
        <v/>
      </c>
      <c r="O58" s="260"/>
      <c r="P58" s="260"/>
      <c r="Q58" s="261"/>
      <c r="R58" s="264">
        <f t="shared" si="7"/>
        <v>0</v>
      </c>
      <c r="S58" s="259" t="str" cm="1">
        <f t="array" ref="S58">IF($L58&gt;0, INDEX(Clean,1+AL58,$D$1), "")</f>
        <v/>
      </c>
      <c r="T58" s="260"/>
      <c r="U58" s="260"/>
      <c r="V58" s="261"/>
      <c r="W58" s="267"/>
      <c r="X58" s="267"/>
      <c r="Y58" s="257"/>
      <c r="Z58" s="264">
        <f t="shared" si="8"/>
        <v>0</v>
      </c>
      <c r="AA58" s="269"/>
      <c r="AB58" s="266"/>
      <c r="AC58" s="254"/>
      <c r="AD58" s="255" t="str">
        <f>IF(ISBLANK(AC58), "", VLOOKUP(AC58, Z!$A$2:$C$4127, 3, FALSE))</f>
        <v/>
      </c>
      <c r="AE58" s="270"/>
      <c r="AF58" s="265">
        <f t="shared" si="9"/>
        <v>0</v>
      </c>
      <c r="AG58" s="246"/>
      <c r="AH58" s="228">
        <f t="shared" ref="AH58" si="179">IF(ISBLANK(I58), 1, IFERROR(MATCH(I58, INDEX(Use,,1), 0), IFERROR(MATCH(I58, INDEX(Use,,2), 0), MATCH(I58, INDEX(Use,,3), 0))))</f>
        <v>1</v>
      </c>
      <c r="AI58" s="228">
        <f t="shared" ref="AI58" si="180">IF(ISBLANK(H58), 1, IFERROR(MATCH(H58, INDEX(Loc,,1), 0), IFERROR(MATCH(H58, INDEX(Loc,,2), 0), MATCH(H58, INDEX(Loc,,3), 0))))</f>
        <v>1</v>
      </c>
      <c r="AJ58" s="228">
        <f t="shared" ref="AJ58" si="181">_xlfn.IFNA(IF(IFERROR(MATCH(J58, INDEX(Medium,,1), 0), IFERROR(MATCH(J58, INDEX(Medium,,2), 0), MATCH(J58, INDEX(Medium,,3), 0))) = 2, 1, 0), 0)</f>
        <v>0</v>
      </c>
      <c r="AK58" s="228">
        <v>0</v>
      </c>
      <c r="AL58" s="228">
        <v>0</v>
      </c>
      <c r="AM58" s="228">
        <f t="shared" si="4"/>
        <v>-100</v>
      </c>
      <c r="AN58" s="228" cm="1">
        <f t="array" ref="AN58">IF(ISBLANK(G58), 1, IFERROR(MATCH(G58, INDEX(Kat,,1), 0), IFERROR(MATCH(Kat, INDEX(Use,,2), 0), MATCH(Kat, INDEX(Use,,3), 0))))</f>
        <v>1</v>
      </c>
      <c r="AO58" s="246"/>
      <c r="AP58" s="228" cm="1">
        <f t="array" ref="AP58">IF(W58&gt;0, INDEX(Kat, AN58,4), 0)</f>
        <v>0</v>
      </c>
      <c r="AQ58" s="228">
        <f t="shared" ref="AQ58" si="182">IF(ISBLANK(Y58), 0, IFERROR(MATCH(Y58, INDEX(Month,,1), 0), IFERROR(MATCH(Y58, INDEX(Month,,2), 0), MATCH(Y58, INDEX(Month,,3), 0))))</f>
        <v>0</v>
      </c>
      <c r="AR58" s="228" cm="1">
        <f t="array" ref="AR58">IF(X58&gt;0, INDEX(Kat, $AN58, 4+AQ58), 0)</f>
        <v>0</v>
      </c>
      <c r="AS58" s="228" cm="1">
        <f t="array" ref="AS58">IF(X58&gt;0, INDEX(Kat, $AN58, 9+AQ58), 0)</f>
        <v>0</v>
      </c>
      <c r="AT58" s="246"/>
      <c r="AU58" s="228">
        <v>17</v>
      </c>
      <c r="AV58" s="231">
        <v>358</v>
      </c>
      <c r="AW58" s="231">
        <v>301</v>
      </c>
      <c r="AX58" s="231">
        <v>365</v>
      </c>
      <c r="AY58" s="232">
        <f t="shared" si="6"/>
        <v>0</v>
      </c>
      <c r="AZ58" s="232">
        <f t="shared" si="6"/>
        <v>0</v>
      </c>
      <c r="BA58" s="232" t="e" cm="1">
        <f t="array" ref="BA58">MIN(INDEX(Use,BA$20,5) + MAX(0, (1-INDEX(Use,BA$20,5))*($AU58-5)/(35-5)), 1)</f>
        <v>#REF!</v>
      </c>
      <c r="BB58" s="232" t="e" cm="1">
        <f t="array" ref="BB58">MIN(INDEX(Use,BB$20,5) + MAX(0, (1-INDEX(Use,BB$20,5))*($AU58-5)/(35-5)), 1)</f>
        <v>#REF!</v>
      </c>
      <c r="BC58" s="232" t="e" cm="1">
        <f t="array" ref="BC58">MIN(INDEX(Use,BC$20,5) + MAX(0, (1-INDEX(Use,BC$20,5))*($AU58-5)/(35-5)), 1)</f>
        <v>#REF!</v>
      </c>
      <c r="BD58" s="232" t="e" cm="1">
        <f t="array" ref="BD58">MIN(INDEX(Use,BD$20,5) + MAX(0, (1-INDEX(Use,BD$20,5))*($AU58-5)/(35-5)), 1)</f>
        <v>#REF!</v>
      </c>
      <c r="BE58" s="232" t="e" cm="1">
        <f t="array" ref="BE58">MIN(INDEX(Use,BE$20,5) + MAX(0, (1-INDEX(Use,BE$20,5))*($AU58-5)/(35-5)), 1)</f>
        <v>#REF!</v>
      </c>
      <c r="BF58" s="232">
        <v>1</v>
      </c>
      <c r="BG58" s="232">
        <v>0.8</v>
      </c>
      <c r="BH58" s="210"/>
      <c r="BI58" s="228" cm="1">
        <f t="array" ref="BI58">INDEX(Use, $AH58, 4)</f>
        <v>7</v>
      </c>
      <c r="BJ58" s="228">
        <f t="shared" si="14"/>
        <v>32</v>
      </c>
      <c r="BK58" s="228">
        <f t="shared" si="15"/>
        <v>13</v>
      </c>
      <c r="BL58" s="228">
        <f t="shared" si="16"/>
        <v>0</v>
      </c>
      <c r="BM58" s="233" cm="1">
        <f t="array" ref="BM58">L58/IF($M58&gt;0, INDEX($AY$22:$BE$76, $M58+20, $AH58), 1)</f>
        <v>0</v>
      </c>
      <c r="BN58" s="229">
        <f t="shared" si="17"/>
        <v>0</v>
      </c>
      <c r="BO58" s="228">
        <v>35</v>
      </c>
      <c r="BP58" s="229">
        <f t="shared" si="18"/>
        <v>48</v>
      </c>
      <c r="BQ58" s="234">
        <f t="shared" si="19"/>
        <v>3.0748170731707316</v>
      </c>
      <c r="BR58" s="234" cm="1">
        <f t="array" ref="BR58">$BM58 * SUMPRODUCT(INDEX($AV$76:$AX$81,,$AI58),INDEX($AY$76:$BE$81,,$AH58), N($AU$76:$AU$81&gt;$AM58)) / BQ58 / 1000</f>
        <v>0</v>
      </c>
      <c r="BS58" s="231">
        <f t="shared" si="20"/>
        <v>30</v>
      </c>
      <c r="BT58" s="229">
        <f t="shared" si="21"/>
        <v>43</v>
      </c>
      <c r="BU58" s="234">
        <f t="shared" si="22"/>
        <v>3.5018750000000001</v>
      </c>
      <c r="BV58" s="234" cm="1">
        <f t="array" ref="BV58">$BM58 * IF($AH58&lt;=2,
SUMPRODUCT(INDEX($AV$71:$AX$75,,$AI58), INDEX($AY$71:$BE$75,,$AH58), 1 / ($BF$71:$BF$75*BU58 + (1-$BF$71:$BF$75)*BQ58), N($AU$71:$AU$75&gt;$AM58)),
SUMPRODUCT(INDEX($AV$66:$AX$75,,$AI58), INDEX($AY$66:$BE$75,,$AH58), 1 / ($BG$66:$BG$75*BU58 + (1-$BG$66:$BG$75)*BQ58), N($AU$66:$AU$75&gt;$AM58))
) / 1000</f>
        <v>0</v>
      </c>
      <c r="BW58" s="231">
        <f t="shared" si="23"/>
        <v>25</v>
      </c>
      <c r="BX58" s="229">
        <f t="shared" si="24"/>
        <v>38</v>
      </c>
      <c r="BY58" s="234">
        <f t="shared" si="25"/>
        <v>4.0666935483870965</v>
      </c>
      <c r="BZ58" s="234" cm="1">
        <f t="array" ref="BZ58">$BM58 * IF($AH58&lt;=2,
SUMPRODUCT(INDEX($AV$66:$AX$70,,$AI58), INDEX($AY$66:$BE$70,,$AH58), 1 / ($BF$66:$BF$70*BY58 + (1-$BF$66:$BF$70)*BU58), N($AU$66:$AU$70&gt;$AM58)),
SUMPRODUCT(INDEX($AV$56:$AX$65,,$AI58), INDEX($AY$56:$BE$65,,$AH58), 1 / ($BG$56:$BG$65*BY58 + (1-$BG$56:$BG$65)*BU58), N($AU$56:$AU$65&gt;$AM58))
) / 1000</f>
        <v>0</v>
      </c>
      <c r="CA58" s="231">
        <f t="shared" si="26"/>
        <v>20</v>
      </c>
      <c r="CB58" s="229">
        <f t="shared" si="27"/>
        <v>33</v>
      </c>
      <c r="CC58" s="234">
        <f t="shared" si="28"/>
        <v>4.8487499999999999</v>
      </c>
      <c r="CD58" s="234" cm="1">
        <f t="array" ref="CD58">$BM58 * IF($AH58&lt;=2,
SUMPRODUCT(INDEX($AV$61:$AX$65,,$AI58), INDEX($AY$61:$BE$65,,$AH58), 1 / ($BF$61:$BF$65*CC58 + (1-$BF$61:$BF$65)*BY58), N($AU$61:$AU$65&gt;$AM58)),
SUMPRODUCT(INDEX($AV$46:$AX$55,,$AI58), INDEX($AY$46:$BE$55,,$AH58), 1 / ($BG$46:$BG$55*CC58 + (1-$BG$46:$BG$55)*BY58), N($AU$46:$AU$55&gt;$AM58))
) / 1000</f>
        <v>0</v>
      </c>
      <c r="CE58" s="234" cm="1">
        <f t="array" ref="CE58">$BM58 * IF($AH58&lt;=2,
SUMPRODUCT(INDEX($AV$22:$AX$60,,$AI58), INDEX($AY$22:$BE$60,,$AH58), 1 / ($BF$22:$BF$60*CC58), N($AU$22:$AU$60&gt;$AM58)),
SUMPRODUCT(INDEX($AV$22:$AX$45,,$AI58), INDEX($AY$22:$BE$45,,$AH58), 1 / ($BG$22:$BG$45*CC58), N($AU$22:$AU$45&gt;$AM58))
) / 1000</f>
        <v>0</v>
      </c>
      <c r="CF58" s="229">
        <f t="shared" si="29"/>
        <v>0</v>
      </c>
      <c r="CG58" s="246"/>
      <c r="CH58" s="229">
        <f t="shared" si="30"/>
        <v>0</v>
      </c>
      <c r="CI58" s="228">
        <v>35</v>
      </c>
      <c r="CJ58" s="229">
        <f t="shared" si="31"/>
        <v>48</v>
      </c>
      <c r="CK58" s="234">
        <f t="shared" si="32"/>
        <v>3.0748170731707316</v>
      </c>
      <c r="CL58" s="234" cm="1">
        <f t="array" ref="CL58">$BM58 * SUMPRODUCT(INDEX($AV$76:$AX$81,,$AI58),INDEX($AY$76:$BE$81,,$AH58), N($AU$76:$AU$81&gt;$AM58)) / CK58 / 1000</f>
        <v>0</v>
      </c>
      <c r="CM58" s="231">
        <f t="shared" si="33"/>
        <v>30</v>
      </c>
      <c r="CN58" s="229">
        <f t="shared" si="34"/>
        <v>43</v>
      </c>
      <c r="CO58" s="234">
        <f t="shared" si="35"/>
        <v>3.5018750000000001</v>
      </c>
      <c r="CP58" s="234" cm="1">
        <f t="array" ref="CP58">$BM58 * IF($AH58&lt;=2,
SUMPRODUCT(INDEX($AV$71:$AX$75,,$AI58), INDEX($AY$71:$BE$75,,$AH58), 1 / ($BF$71:$BF$75*CO58 + (1-$BF$71:$BF$75)*CK58), N($AU$71:$AU$75&gt;$AM58)),
SUMPRODUCT(INDEX($AV$66:$AX$75,,$AI58), INDEX($AY$66:$BE$75,,$AH58), 1 / ($BG$66:$BG$75*CO58 + (1-$BG$66:$BG$75)*CK58), N($AU$66:$AU$75&gt;$AM58))
) / 1000</f>
        <v>0</v>
      </c>
      <c r="CQ58" s="231">
        <f t="shared" si="36"/>
        <v>25</v>
      </c>
      <c r="CR58" s="229">
        <f t="shared" si="37"/>
        <v>38</v>
      </c>
      <c r="CS58" s="234">
        <f t="shared" si="38"/>
        <v>4.0666935483870965</v>
      </c>
      <c r="CT58" s="234" cm="1">
        <f t="array" ref="CT58">$BM58 * IF($AH58&lt;=2,
SUMPRODUCT(INDEX($AV$66:$AX$70,,$AI58), INDEX($AY$66:$BE$70,,$AH58), 1 / ($BF$66:$BF$70*CS58 + (1-$BF$66:$BF$70)*CO58), N($AU$66:$AU$70&gt;$AM58)),
SUMPRODUCT(INDEX($AV$56:$AX$65,,$AI58), INDEX($AY$56:$BE$65,,$AH58), 1 / ($BG$56:$BG$65*CS58 + (1-$BG$56:$BG$65)*CO58), N($AU$56:$AU$65&gt;$AM58))
) / 1000</f>
        <v>0</v>
      </c>
      <c r="CU58" s="231">
        <f t="shared" si="39"/>
        <v>20</v>
      </c>
      <c r="CV58" s="229">
        <f t="shared" si="40"/>
        <v>33</v>
      </c>
      <c r="CW58" s="234">
        <f t="shared" si="41"/>
        <v>4.8487499999999999</v>
      </c>
      <c r="CX58" s="234" cm="1">
        <f t="array" ref="CX58">$BM58 * IF($AH58&lt;=2,
SUMPRODUCT(INDEX($AV$61:$AX$65,,$AI58), INDEX($AY$61:$BE$65,,$AH58), 1 / ($BF$61:$BF$65*CW58 + (1-$BF$61:$BF$65)*CS58), N($AU$61:$AU$65&gt;$AM58)),
SUMPRODUCT(INDEX($AV$46:$AX$55,,$AI58), INDEX($AY$46:$BE$55,,$AH58), 1 / ($BG$46:$BG$55*CW58 + (1-$BG$46:$BG$55)*CS58), N($AU$46:$AU$55&gt;$AM58))
) / 1000</f>
        <v>0</v>
      </c>
      <c r="CY58" s="234" cm="1">
        <f t="array" ref="CY58">$BM58 * IF($AH58&lt;=2,
SUMPRODUCT(INDEX($AV$22:$AX$60,,$AI58), INDEX($AY$22:$BE$60,,$AH58), 1 / ($BF$22:$BF$60*CW58), N($AU$22:$AU$60&gt;$AM58)),
SUMPRODUCT(INDEX($AV$22:$AX$45,,$AI58), INDEX($AY$22:$BE$45,,$AH58), 1 / ($BG$22:$BG$45*CW58), N($AU$22:$AU$45&gt;$AM58))
) / 1000</f>
        <v>0</v>
      </c>
      <c r="CZ58" s="229">
        <f t="shared" si="42"/>
        <v>0</v>
      </c>
      <c r="DA58" s="246"/>
    </row>
    <row r="59" spans="1:105" s="75" customFormat="1" ht="14.25" customHeight="1" x14ac:dyDescent="0.25">
      <c r="A59" s="230" t="b">
        <f t="shared" si="0"/>
        <v>0</v>
      </c>
      <c r="B59" s="253">
        <v>38</v>
      </c>
      <c r="C59" s="266"/>
      <c r="D59" s="266"/>
      <c r="E59" s="254"/>
      <c r="F59" s="255" t="str">
        <f>IF(ISBLANK(E59), "", VLOOKUP(E59, Z!$A$2:$C$4127, 3, FALSE))</f>
        <v/>
      </c>
      <c r="G59" s="256"/>
      <c r="H59" s="256"/>
      <c r="I59" s="256"/>
      <c r="J59" s="257"/>
      <c r="K59" s="258"/>
      <c r="L59" s="267"/>
      <c r="M59" s="268"/>
      <c r="N59" s="259" t="str" cm="1">
        <f t="array" ref="N59">IF($L59&gt;0, INDEX(Clean,1+AK59,$D$1), "")</f>
        <v/>
      </c>
      <c r="O59" s="260"/>
      <c r="P59" s="260"/>
      <c r="Q59" s="261"/>
      <c r="R59" s="264">
        <f t="shared" si="7"/>
        <v>0</v>
      </c>
      <c r="S59" s="259" t="str" cm="1">
        <f t="array" ref="S59">IF($L59&gt;0, INDEX(Clean,1+AL59,$D$1), "")</f>
        <v/>
      </c>
      <c r="T59" s="260"/>
      <c r="U59" s="260"/>
      <c r="V59" s="261"/>
      <c r="W59" s="267"/>
      <c r="X59" s="267"/>
      <c r="Y59" s="257"/>
      <c r="Z59" s="264">
        <f t="shared" si="8"/>
        <v>0</v>
      </c>
      <c r="AA59" s="269"/>
      <c r="AB59" s="266"/>
      <c r="AC59" s="254"/>
      <c r="AD59" s="255" t="str">
        <f>IF(ISBLANK(AC59), "", VLOOKUP(AC59, Z!$A$2:$C$4127, 3, FALSE))</f>
        <v/>
      </c>
      <c r="AE59" s="270"/>
      <c r="AF59" s="265">
        <f t="shared" si="9"/>
        <v>0</v>
      </c>
      <c r="AG59" s="246"/>
      <c r="AH59" s="228">
        <f t="shared" ref="AH59" si="183">IF(ISBLANK(I59), 1, IFERROR(MATCH(I59, INDEX(Use,,1), 0), IFERROR(MATCH(I59, INDEX(Use,,2), 0), MATCH(I59, INDEX(Use,,3), 0))))</f>
        <v>1</v>
      </c>
      <c r="AI59" s="228">
        <f t="shared" ref="AI59" si="184">IF(ISBLANK(H59), 1, IFERROR(MATCH(H59, INDEX(Loc,,1), 0), IFERROR(MATCH(H59, INDEX(Loc,,2), 0), MATCH(H59, INDEX(Loc,,3), 0))))</f>
        <v>1</v>
      </c>
      <c r="AJ59" s="228">
        <f t="shared" ref="AJ59" si="185">_xlfn.IFNA(IF(IFERROR(MATCH(J59, INDEX(Medium,,1), 0), IFERROR(MATCH(J59, INDEX(Medium,,2), 0), MATCH(J59, INDEX(Medium,,3), 0))) = 2, 1, 0), 0)</f>
        <v>0</v>
      </c>
      <c r="AK59" s="228">
        <v>0</v>
      </c>
      <c r="AL59" s="228">
        <v>0</v>
      </c>
      <c r="AM59" s="228">
        <f t="shared" si="4"/>
        <v>-100</v>
      </c>
      <c r="AN59" s="228" cm="1">
        <f t="array" ref="AN59">IF(ISBLANK(G59), 1, IFERROR(MATCH(G59, INDEX(Kat,,1), 0), IFERROR(MATCH(Kat, INDEX(Use,,2), 0), MATCH(Kat, INDEX(Use,,3), 0))))</f>
        <v>1</v>
      </c>
      <c r="AO59" s="246"/>
      <c r="AP59" s="228" cm="1">
        <f t="array" ref="AP59">IF(W59&gt;0, INDEX(Kat, AN59,4), 0)</f>
        <v>0</v>
      </c>
      <c r="AQ59" s="228">
        <f t="shared" ref="AQ59" si="186">IF(ISBLANK(Y59), 0, IFERROR(MATCH(Y59, INDEX(Month,,1), 0), IFERROR(MATCH(Y59, INDEX(Month,,2), 0), MATCH(Y59, INDEX(Month,,3), 0))))</f>
        <v>0</v>
      </c>
      <c r="AR59" s="228" cm="1">
        <f t="array" ref="AR59">IF(X59&gt;0, INDEX(Kat, $AN59, 4+AQ59), 0)</f>
        <v>0</v>
      </c>
      <c r="AS59" s="228" cm="1">
        <f t="array" ref="AS59">IF(X59&gt;0, INDEX(Kat, $AN59, 9+AQ59), 0)</f>
        <v>0</v>
      </c>
      <c r="AT59" s="246"/>
      <c r="AU59" s="228">
        <v>18</v>
      </c>
      <c r="AV59" s="231">
        <v>341</v>
      </c>
      <c r="AW59" s="231">
        <v>281</v>
      </c>
      <c r="AX59" s="231">
        <v>295</v>
      </c>
      <c r="AY59" s="232">
        <f t="shared" si="6"/>
        <v>0</v>
      </c>
      <c r="AZ59" s="232">
        <f t="shared" si="6"/>
        <v>0</v>
      </c>
      <c r="BA59" s="232" t="e" cm="1">
        <f t="array" ref="BA59">MIN(INDEX(Use,BA$20,5) + MAX(0, (1-INDEX(Use,BA$20,5))*($AU59-5)/(35-5)), 1)</f>
        <v>#REF!</v>
      </c>
      <c r="BB59" s="232" t="e" cm="1">
        <f t="array" ref="BB59">MIN(INDEX(Use,BB$20,5) + MAX(0, (1-INDEX(Use,BB$20,5))*($AU59-5)/(35-5)), 1)</f>
        <v>#REF!</v>
      </c>
      <c r="BC59" s="232" t="e" cm="1">
        <f t="array" ref="BC59">MIN(INDEX(Use,BC$20,5) + MAX(0, (1-INDEX(Use,BC$20,5))*($AU59-5)/(35-5)), 1)</f>
        <v>#REF!</v>
      </c>
      <c r="BD59" s="232" t="e" cm="1">
        <f t="array" ref="BD59">MIN(INDEX(Use,BD$20,5) + MAX(0, (1-INDEX(Use,BD$20,5))*($AU59-5)/(35-5)), 1)</f>
        <v>#REF!</v>
      </c>
      <c r="BE59" s="232" t="e" cm="1">
        <f t="array" ref="BE59">MIN(INDEX(Use,BE$20,5) + MAX(0, (1-INDEX(Use,BE$20,5))*($AU59-5)/(35-5)), 1)</f>
        <v>#REF!</v>
      </c>
      <c r="BF59" s="232">
        <v>1</v>
      </c>
      <c r="BG59" s="232">
        <v>0.7</v>
      </c>
      <c r="BH59" s="210"/>
      <c r="BI59" s="228" cm="1">
        <f t="array" ref="BI59">INDEX(Use, $AH59, 4)</f>
        <v>7</v>
      </c>
      <c r="BJ59" s="228">
        <f t="shared" si="14"/>
        <v>32</v>
      </c>
      <c r="BK59" s="228">
        <f t="shared" si="15"/>
        <v>13</v>
      </c>
      <c r="BL59" s="228">
        <f t="shared" si="16"/>
        <v>0</v>
      </c>
      <c r="BM59" s="233" cm="1">
        <f t="array" ref="BM59">L59/IF($M59&gt;0, INDEX($AY$22:$BE$76, $M59+20, $AH59), 1)</f>
        <v>0</v>
      </c>
      <c r="BN59" s="229">
        <f t="shared" si="17"/>
        <v>0</v>
      </c>
      <c r="BO59" s="228">
        <v>35</v>
      </c>
      <c r="BP59" s="229">
        <f t="shared" si="18"/>
        <v>48</v>
      </c>
      <c r="BQ59" s="234">
        <f t="shared" si="19"/>
        <v>3.0748170731707316</v>
      </c>
      <c r="BR59" s="234" cm="1">
        <f t="array" ref="BR59">$BM59 * SUMPRODUCT(INDEX($AV$76:$AX$81,,$AI59),INDEX($AY$76:$BE$81,,$AH59), N($AU$76:$AU$81&gt;$AM59)) / BQ59 / 1000</f>
        <v>0</v>
      </c>
      <c r="BS59" s="231">
        <f t="shared" si="20"/>
        <v>30</v>
      </c>
      <c r="BT59" s="229">
        <f t="shared" si="21"/>
        <v>43</v>
      </c>
      <c r="BU59" s="234">
        <f t="shared" si="22"/>
        <v>3.5018750000000001</v>
      </c>
      <c r="BV59" s="234" cm="1">
        <f t="array" ref="BV59">$BM59 * IF($AH59&lt;=2,
SUMPRODUCT(INDEX($AV$71:$AX$75,,$AI59), INDEX($AY$71:$BE$75,,$AH59), 1 / ($BF$71:$BF$75*BU59 + (1-$BF$71:$BF$75)*BQ59), N($AU$71:$AU$75&gt;$AM59)),
SUMPRODUCT(INDEX($AV$66:$AX$75,,$AI59), INDEX($AY$66:$BE$75,,$AH59), 1 / ($BG$66:$BG$75*BU59 + (1-$BG$66:$BG$75)*BQ59), N($AU$66:$AU$75&gt;$AM59))
) / 1000</f>
        <v>0</v>
      </c>
      <c r="BW59" s="231">
        <f t="shared" si="23"/>
        <v>25</v>
      </c>
      <c r="BX59" s="229">
        <f t="shared" si="24"/>
        <v>38</v>
      </c>
      <c r="BY59" s="234">
        <f t="shared" si="25"/>
        <v>4.0666935483870965</v>
      </c>
      <c r="BZ59" s="234" cm="1">
        <f t="array" ref="BZ59">$BM59 * IF($AH59&lt;=2,
SUMPRODUCT(INDEX($AV$66:$AX$70,,$AI59), INDEX($AY$66:$BE$70,,$AH59), 1 / ($BF$66:$BF$70*BY59 + (1-$BF$66:$BF$70)*BU59), N($AU$66:$AU$70&gt;$AM59)),
SUMPRODUCT(INDEX($AV$56:$AX$65,,$AI59), INDEX($AY$56:$BE$65,,$AH59), 1 / ($BG$56:$BG$65*BY59 + (1-$BG$56:$BG$65)*BU59), N($AU$56:$AU$65&gt;$AM59))
) / 1000</f>
        <v>0</v>
      </c>
      <c r="CA59" s="231">
        <f t="shared" si="26"/>
        <v>20</v>
      </c>
      <c r="CB59" s="229">
        <f t="shared" si="27"/>
        <v>33</v>
      </c>
      <c r="CC59" s="234">
        <f t="shared" si="28"/>
        <v>4.8487499999999999</v>
      </c>
      <c r="CD59" s="234" cm="1">
        <f t="array" ref="CD59">$BM59 * IF($AH59&lt;=2,
SUMPRODUCT(INDEX($AV$61:$AX$65,,$AI59), INDEX($AY$61:$BE$65,,$AH59), 1 / ($BF$61:$BF$65*CC59 + (1-$BF$61:$BF$65)*BY59), N($AU$61:$AU$65&gt;$AM59)),
SUMPRODUCT(INDEX($AV$46:$AX$55,,$AI59), INDEX($AY$46:$BE$55,,$AH59), 1 / ($BG$46:$BG$55*CC59 + (1-$BG$46:$BG$55)*BY59), N($AU$46:$AU$55&gt;$AM59))
) / 1000</f>
        <v>0</v>
      </c>
      <c r="CE59" s="234" cm="1">
        <f t="array" ref="CE59">$BM59 * IF($AH59&lt;=2,
SUMPRODUCT(INDEX($AV$22:$AX$60,,$AI59), INDEX($AY$22:$BE$60,,$AH59), 1 / ($BF$22:$BF$60*CC59), N($AU$22:$AU$60&gt;$AM59)),
SUMPRODUCT(INDEX($AV$22:$AX$45,,$AI59), INDEX($AY$22:$BE$45,,$AH59), 1 / ($BG$22:$BG$45*CC59), N($AU$22:$AU$45&gt;$AM59))
) / 1000</f>
        <v>0</v>
      </c>
      <c r="CF59" s="229">
        <f t="shared" si="29"/>
        <v>0</v>
      </c>
      <c r="CG59" s="246"/>
      <c r="CH59" s="229">
        <f t="shared" si="30"/>
        <v>0</v>
      </c>
      <c r="CI59" s="228">
        <v>35</v>
      </c>
      <c r="CJ59" s="229">
        <f t="shared" si="31"/>
        <v>48</v>
      </c>
      <c r="CK59" s="234">
        <f t="shared" si="32"/>
        <v>3.0748170731707316</v>
      </c>
      <c r="CL59" s="234" cm="1">
        <f t="array" ref="CL59">$BM59 * SUMPRODUCT(INDEX($AV$76:$AX$81,,$AI59),INDEX($AY$76:$BE$81,,$AH59), N($AU$76:$AU$81&gt;$AM59)) / CK59 / 1000</f>
        <v>0</v>
      </c>
      <c r="CM59" s="231">
        <f t="shared" si="33"/>
        <v>30</v>
      </c>
      <c r="CN59" s="229">
        <f t="shared" si="34"/>
        <v>43</v>
      </c>
      <c r="CO59" s="234">
        <f t="shared" si="35"/>
        <v>3.5018750000000001</v>
      </c>
      <c r="CP59" s="234" cm="1">
        <f t="array" ref="CP59">$BM59 * IF($AH59&lt;=2,
SUMPRODUCT(INDEX($AV$71:$AX$75,,$AI59), INDEX($AY$71:$BE$75,,$AH59), 1 / ($BF$71:$BF$75*CO59 + (1-$BF$71:$BF$75)*CK59), N($AU$71:$AU$75&gt;$AM59)),
SUMPRODUCT(INDEX($AV$66:$AX$75,,$AI59), INDEX($AY$66:$BE$75,,$AH59), 1 / ($BG$66:$BG$75*CO59 + (1-$BG$66:$BG$75)*CK59), N($AU$66:$AU$75&gt;$AM59))
) / 1000</f>
        <v>0</v>
      </c>
      <c r="CQ59" s="231">
        <f t="shared" si="36"/>
        <v>25</v>
      </c>
      <c r="CR59" s="229">
        <f t="shared" si="37"/>
        <v>38</v>
      </c>
      <c r="CS59" s="234">
        <f t="shared" si="38"/>
        <v>4.0666935483870965</v>
      </c>
      <c r="CT59" s="234" cm="1">
        <f t="array" ref="CT59">$BM59 * IF($AH59&lt;=2,
SUMPRODUCT(INDEX($AV$66:$AX$70,,$AI59), INDEX($AY$66:$BE$70,,$AH59), 1 / ($BF$66:$BF$70*CS59 + (1-$BF$66:$BF$70)*CO59), N($AU$66:$AU$70&gt;$AM59)),
SUMPRODUCT(INDEX($AV$56:$AX$65,,$AI59), INDEX($AY$56:$BE$65,,$AH59), 1 / ($BG$56:$BG$65*CS59 + (1-$BG$56:$BG$65)*CO59), N($AU$56:$AU$65&gt;$AM59))
) / 1000</f>
        <v>0</v>
      </c>
      <c r="CU59" s="231">
        <f t="shared" si="39"/>
        <v>20</v>
      </c>
      <c r="CV59" s="229">
        <f t="shared" si="40"/>
        <v>33</v>
      </c>
      <c r="CW59" s="234">
        <f t="shared" si="41"/>
        <v>4.8487499999999999</v>
      </c>
      <c r="CX59" s="234" cm="1">
        <f t="array" ref="CX59">$BM59 * IF($AH59&lt;=2,
SUMPRODUCT(INDEX($AV$61:$AX$65,,$AI59), INDEX($AY$61:$BE$65,,$AH59), 1 / ($BF$61:$BF$65*CW59 + (1-$BF$61:$BF$65)*CS59), N($AU$61:$AU$65&gt;$AM59)),
SUMPRODUCT(INDEX($AV$46:$AX$55,,$AI59), INDEX($AY$46:$BE$55,,$AH59), 1 / ($BG$46:$BG$55*CW59 + (1-$BG$46:$BG$55)*CS59), N($AU$46:$AU$55&gt;$AM59))
) / 1000</f>
        <v>0</v>
      </c>
      <c r="CY59" s="234" cm="1">
        <f t="array" ref="CY59">$BM59 * IF($AH59&lt;=2,
SUMPRODUCT(INDEX($AV$22:$AX$60,,$AI59), INDEX($AY$22:$BE$60,,$AH59), 1 / ($BF$22:$BF$60*CW59), N($AU$22:$AU$60&gt;$AM59)),
SUMPRODUCT(INDEX($AV$22:$AX$45,,$AI59), INDEX($AY$22:$BE$45,,$AH59), 1 / ($BG$22:$BG$45*CW59), N($AU$22:$AU$45&gt;$AM59))
) / 1000</f>
        <v>0</v>
      </c>
      <c r="CZ59" s="229">
        <f t="shared" si="42"/>
        <v>0</v>
      </c>
      <c r="DA59" s="246"/>
    </row>
    <row r="60" spans="1:105" s="75" customFormat="1" ht="14.25" customHeight="1" x14ac:dyDescent="0.25">
      <c r="A60" s="230" t="b">
        <f t="shared" si="0"/>
        <v>0</v>
      </c>
      <c r="B60" s="253">
        <v>39</v>
      </c>
      <c r="C60" s="266"/>
      <c r="D60" s="266"/>
      <c r="E60" s="254"/>
      <c r="F60" s="255" t="str">
        <f>IF(ISBLANK(E60), "", VLOOKUP(E60, Z!$A$2:$C$4127, 3, FALSE))</f>
        <v/>
      </c>
      <c r="G60" s="256"/>
      <c r="H60" s="256"/>
      <c r="I60" s="256"/>
      <c r="J60" s="257"/>
      <c r="K60" s="258"/>
      <c r="L60" s="267"/>
      <c r="M60" s="268"/>
      <c r="N60" s="259" t="str" cm="1">
        <f t="array" ref="N60">IF($L60&gt;0, INDEX(Clean,1+AK60,$D$1), "")</f>
        <v/>
      </c>
      <c r="O60" s="260"/>
      <c r="P60" s="260"/>
      <c r="Q60" s="261"/>
      <c r="R60" s="264">
        <f t="shared" si="7"/>
        <v>0</v>
      </c>
      <c r="S60" s="259" t="str" cm="1">
        <f t="array" ref="S60">IF($L60&gt;0, INDEX(Clean,1+AL60,$D$1), "")</f>
        <v/>
      </c>
      <c r="T60" s="260"/>
      <c r="U60" s="260"/>
      <c r="V60" s="261"/>
      <c r="W60" s="267"/>
      <c r="X60" s="267"/>
      <c r="Y60" s="257"/>
      <c r="Z60" s="264">
        <f t="shared" si="8"/>
        <v>0</v>
      </c>
      <c r="AA60" s="269"/>
      <c r="AB60" s="266"/>
      <c r="AC60" s="254"/>
      <c r="AD60" s="255" t="str">
        <f>IF(ISBLANK(AC60), "", VLOOKUP(AC60, Z!$A$2:$C$4127, 3, FALSE))</f>
        <v/>
      </c>
      <c r="AE60" s="270"/>
      <c r="AF60" s="265">
        <f t="shared" si="9"/>
        <v>0</v>
      </c>
      <c r="AG60" s="246"/>
      <c r="AH60" s="228">
        <f t="shared" ref="AH60" si="187">IF(ISBLANK(I60), 1, IFERROR(MATCH(I60, INDEX(Use,,1), 0), IFERROR(MATCH(I60, INDEX(Use,,2), 0), MATCH(I60, INDEX(Use,,3), 0))))</f>
        <v>1</v>
      </c>
      <c r="AI60" s="228">
        <f t="shared" ref="AI60" si="188">IF(ISBLANK(H60), 1, IFERROR(MATCH(H60, INDEX(Loc,,1), 0), IFERROR(MATCH(H60, INDEX(Loc,,2), 0), MATCH(H60, INDEX(Loc,,3), 0))))</f>
        <v>1</v>
      </c>
      <c r="AJ60" s="228">
        <f t="shared" ref="AJ60" si="189">_xlfn.IFNA(IF(IFERROR(MATCH(J60, INDEX(Medium,,1), 0), IFERROR(MATCH(J60, INDEX(Medium,,2), 0), MATCH(J60, INDEX(Medium,,3), 0))) = 2, 1, 0), 0)</f>
        <v>0</v>
      </c>
      <c r="AK60" s="228">
        <v>0</v>
      </c>
      <c r="AL60" s="228">
        <v>0</v>
      </c>
      <c r="AM60" s="228">
        <f t="shared" si="4"/>
        <v>-100</v>
      </c>
      <c r="AN60" s="228" cm="1">
        <f t="array" ref="AN60">IF(ISBLANK(G60), 1, IFERROR(MATCH(G60, INDEX(Kat,,1), 0), IFERROR(MATCH(Kat, INDEX(Use,,2), 0), MATCH(Kat, INDEX(Use,,3), 0))))</f>
        <v>1</v>
      </c>
      <c r="AO60" s="246"/>
      <c r="AP60" s="228" cm="1">
        <f t="array" ref="AP60">IF(W60&gt;0, INDEX(Kat, AN60,4), 0)</f>
        <v>0</v>
      </c>
      <c r="AQ60" s="228">
        <f t="shared" ref="AQ60" si="190">IF(ISBLANK(Y60), 0, IFERROR(MATCH(Y60, INDEX(Month,,1), 0), IFERROR(MATCH(Y60, INDEX(Month,,2), 0), MATCH(Y60, INDEX(Month,,3), 0))))</f>
        <v>0</v>
      </c>
      <c r="AR60" s="228" cm="1">
        <f t="array" ref="AR60">IF(X60&gt;0, INDEX(Kat, $AN60, 4+AQ60), 0)</f>
        <v>0</v>
      </c>
      <c r="AS60" s="228" cm="1">
        <f t="array" ref="AS60">IF(X60&gt;0, INDEX(Kat, $AN60, 9+AQ60), 0)</f>
        <v>0</v>
      </c>
      <c r="AT60" s="246"/>
      <c r="AU60" s="228">
        <v>19</v>
      </c>
      <c r="AV60" s="231">
        <v>344</v>
      </c>
      <c r="AW60" s="231">
        <v>240</v>
      </c>
      <c r="AX60" s="231">
        <v>238</v>
      </c>
      <c r="AY60" s="232">
        <f t="shared" si="6"/>
        <v>0</v>
      </c>
      <c r="AZ60" s="232">
        <f t="shared" si="6"/>
        <v>0</v>
      </c>
      <c r="BA60" s="232" t="e" cm="1">
        <f t="array" ref="BA60">MIN(INDEX(Use,BA$20,5) + MAX(0, (1-INDEX(Use,BA$20,5))*($AU60-5)/(35-5)), 1)</f>
        <v>#REF!</v>
      </c>
      <c r="BB60" s="232" t="e" cm="1">
        <f t="array" ref="BB60">MIN(INDEX(Use,BB$20,5) + MAX(0, (1-INDEX(Use,BB$20,5))*($AU60-5)/(35-5)), 1)</f>
        <v>#REF!</v>
      </c>
      <c r="BC60" s="232" t="e" cm="1">
        <f t="array" ref="BC60">MIN(INDEX(Use,BC$20,5) + MAX(0, (1-INDEX(Use,BC$20,5))*($AU60-5)/(35-5)), 1)</f>
        <v>#REF!</v>
      </c>
      <c r="BD60" s="232" t="e" cm="1">
        <f t="array" ref="BD60">MIN(INDEX(Use,BD$20,5) + MAX(0, (1-INDEX(Use,BD$20,5))*($AU60-5)/(35-5)), 1)</f>
        <v>#REF!</v>
      </c>
      <c r="BE60" s="232" t="e" cm="1">
        <f t="array" ref="BE60">MIN(INDEX(Use,BE$20,5) + MAX(0, (1-INDEX(Use,BE$20,5))*($AU60-5)/(35-5)), 1)</f>
        <v>#REF!</v>
      </c>
      <c r="BF60" s="232">
        <v>1</v>
      </c>
      <c r="BG60" s="232">
        <v>0.6</v>
      </c>
      <c r="BH60" s="210"/>
      <c r="BI60" s="228" cm="1">
        <f t="array" ref="BI60">INDEX(Use, $AH60, 4)</f>
        <v>7</v>
      </c>
      <c r="BJ60" s="228">
        <f t="shared" si="14"/>
        <v>32</v>
      </c>
      <c r="BK60" s="228">
        <f t="shared" si="15"/>
        <v>13</v>
      </c>
      <c r="BL60" s="228">
        <f t="shared" si="16"/>
        <v>0</v>
      </c>
      <c r="BM60" s="233" cm="1">
        <f t="array" ref="BM60">L60/IF($M60&gt;0, INDEX($AY$22:$BE$76, $M60+20, $AH60), 1)</f>
        <v>0</v>
      </c>
      <c r="BN60" s="229">
        <f t="shared" si="17"/>
        <v>0</v>
      </c>
      <c r="BO60" s="228">
        <v>35</v>
      </c>
      <c r="BP60" s="229">
        <f t="shared" si="18"/>
        <v>48</v>
      </c>
      <c r="BQ60" s="234">
        <f t="shared" si="19"/>
        <v>3.0748170731707316</v>
      </c>
      <c r="BR60" s="234" cm="1">
        <f t="array" ref="BR60">$BM60 * SUMPRODUCT(INDEX($AV$76:$AX$81,,$AI60),INDEX($AY$76:$BE$81,,$AH60), N($AU$76:$AU$81&gt;$AM60)) / BQ60 / 1000</f>
        <v>0</v>
      </c>
      <c r="BS60" s="231">
        <f t="shared" si="20"/>
        <v>30</v>
      </c>
      <c r="BT60" s="229">
        <f t="shared" si="21"/>
        <v>43</v>
      </c>
      <c r="BU60" s="234">
        <f t="shared" si="22"/>
        <v>3.5018750000000001</v>
      </c>
      <c r="BV60" s="234" cm="1">
        <f t="array" ref="BV60">$BM60 * IF($AH60&lt;=2,
SUMPRODUCT(INDEX($AV$71:$AX$75,,$AI60), INDEX($AY$71:$BE$75,,$AH60), 1 / ($BF$71:$BF$75*BU60 + (1-$BF$71:$BF$75)*BQ60), N($AU$71:$AU$75&gt;$AM60)),
SUMPRODUCT(INDEX($AV$66:$AX$75,,$AI60), INDEX($AY$66:$BE$75,,$AH60), 1 / ($BG$66:$BG$75*BU60 + (1-$BG$66:$BG$75)*BQ60), N($AU$66:$AU$75&gt;$AM60))
) / 1000</f>
        <v>0</v>
      </c>
      <c r="BW60" s="231">
        <f t="shared" si="23"/>
        <v>25</v>
      </c>
      <c r="BX60" s="229">
        <f t="shared" si="24"/>
        <v>38</v>
      </c>
      <c r="BY60" s="234">
        <f t="shared" si="25"/>
        <v>4.0666935483870965</v>
      </c>
      <c r="BZ60" s="234" cm="1">
        <f t="array" ref="BZ60">$BM60 * IF($AH60&lt;=2,
SUMPRODUCT(INDEX($AV$66:$AX$70,,$AI60), INDEX($AY$66:$BE$70,,$AH60), 1 / ($BF$66:$BF$70*BY60 + (1-$BF$66:$BF$70)*BU60), N($AU$66:$AU$70&gt;$AM60)),
SUMPRODUCT(INDEX($AV$56:$AX$65,,$AI60), INDEX($AY$56:$BE$65,,$AH60), 1 / ($BG$56:$BG$65*BY60 + (1-$BG$56:$BG$65)*BU60), N($AU$56:$AU$65&gt;$AM60))
) / 1000</f>
        <v>0</v>
      </c>
      <c r="CA60" s="231">
        <f t="shared" si="26"/>
        <v>20</v>
      </c>
      <c r="CB60" s="229">
        <f t="shared" si="27"/>
        <v>33</v>
      </c>
      <c r="CC60" s="234">
        <f t="shared" si="28"/>
        <v>4.8487499999999999</v>
      </c>
      <c r="CD60" s="234" cm="1">
        <f t="array" ref="CD60">$BM60 * IF($AH60&lt;=2,
SUMPRODUCT(INDEX($AV$61:$AX$65,,$AI60), INDEX($AY$61:$BE$65,,$AH60), 1 / ($BF$61:$BF$65*CC60 + (1-$BF$61:$BF$65)*BY60), N($AU$61:$AU$65&gt;$AM60)),
SUMPRODUCT(INDEX($AV$46:$AX$55,,$AI60), INDEX($AY$46:$BE$55,,$AH60), 1 / ($BG$46:$BG$55*CC60 + (1-$BG$46:$BG$55)*BY60), N($AU$46:$AU$55&gt;$AM60))
) / 1000</f>
        <v>0</v>
      </c>
      <c r="CE60" s="234" cm="1">
        <f t="array" ref="CE60">$BM60 * IF($AH60&lt;=2,
SUMPRODUCT(INDEX($AV$22:$AX$60,,$AI60), INDEX($AY$22:$BE$60,,$AH60), 1 / ($BF$22:$BF$60*CC60), N($AU$22:$AU$60&gt;$AM60)),
SUMPRODUCT(INDEX($AV$22:$AX$45,,$AI60), INDEX($AY$22:$BE$45,,$AH60), 1 / ($BG$22:$BG$45*CC60), N($AU$22:$AU$45&gt;$AM60))
) / 1000</f>
        <v>0</v>
      </c>
      <c r="CF60" s="229">
        <f t="shared" si="29"/>
        <v>0</v>
      </c>
      <c r="CG60" s="246"/>
      <c r="CH60" s="229">
        <f t="shared" si="30"/>
        <v>0</v>
      </c>
      <c r="CI60" s="228">
        <v>35</v>
      </c>
      <c r="CJ60" s="229">
        <f t="shared" si="31"/>
        <v>48</v>
      </c>
      <c r="CK60" s="234">
        <f t="shared" si="32"/>
        <v>3.0748170731707316</v>
      </c>
      <c r="CL60" s="234" cm="1">
        <f t="array" ref="CL60">$BM60 * SUMPRODUCT(INDEX($AV$76:$AX$81,,$AI60),INDEX($AY$76:$BE$81,,$AH60), N($AU$76:$AU$81&gt;$AM60)) / CK60 / 1000</f>
        <v>0</v>
      </c>
      <c r="CM60" s="231">
        <f t="shared" si="33"/>
        <v>30</v>
      </c>
      <c r="CN60" s="229">
        <f t="shared" si="34"/>
        <v>43</v>
      </c>
      <c r="CO60" s="234">
        <f t="shared" si="35"/>
        <v>3.5018750000000001</v>
      </c>
      <c r="CP60" s="234" cm="1">
        <f t="array" ref="CP60">$BM60 * IF($AH60&lt;=2,
SUMPRODUCT(INDEX($AV$71:$AX$75,,$AI60), INDEX($AY$71:$BE$75,,$AH60), 1 / ($BF$71:$BF$75*CO60 + (1-$BF$71:$BF$75)*CK60), N($AU$71:$AU$75&gt;$AM60)),
SUMPRODUCT(INDEX($AV$66:$AX$75,,$AI60), INDEX($AY$66:$BE$75,,$AH60), 1 / ($BG$66:$BG$75*CO60 + (1-$BG$66:$BG$75)*CK60), N($AU$66:$AU$75&gt;$AM60))
) / 1000</f>
        <v>0</v>
      </c>
      <c r="CQ60" s="231">
        <f t="shared" si="36"/>
        <v>25</v>
      </c>
      <c r="CR60" s="229">
        <f t="shared" si="37"/>
        <v>38</v>
      </c>
      <c r="CS60" s="234">
        <f t="shared" si="38"/>
        <v>4.0666935483870965</v>
      </c>
      <c r="CT60" s="234" cm="1">
        <f t="array" ref="CT60">$BM60 * IF($AH60&lt;=2,
SUMPRODUCT(INDEX($AV$66:$AX$70,,$AI60), INDEX($AY$66:$BE$70,,$AH60), 1 / ($BF$66:$BF$70*CS60 + (1-$BF$66:$BF$70)*CO60), N($AU$66:$AU$70&gt;$AM60)),
SUMPRODUCT(INDEX($AV$56:$AX$65,,$AI60), INDEX($AY$56:$BE$65,,$AH60), 1 / ($BG$56:$BG$65*CS60 + (1-$BG$56:$BG$65)*CO60), N($AU$56:$AU$65&gt;$AM60))
) / 1000</f>
        <v>0</v>
      </c>
      <c r="CU60" s="231">
        <f t="shared" si="39"/>
        <v>20</v>
      </c>
      <c r="CV60" s="229">
        <f t="shared" si="40"/>
        <v>33</v>
      </c>
      <c r="CW60" s="234">
        <f t="shared" si="41"/>
        <v>4.8487499999999999</v>
      </c>
      <c r="CX60" s="234" cm="1">
        <f t="array" ref="CX60">$BM60 * IF($AH60&lt;=2,
SUMPRODUCT(INDEX($AV$61:$AX$65,,$AI60), INDEX($AY$61:$BE$65,,$AH60), 1 / ($BF$61:$BF$65*CW60 + (1-$BF$61:$BF$65)*CS60), N($AU$61:$AU$65&gt;$AM60)),
SUMPRODUCT(INDEX($AV$46:$AX$55,,$AI60), INDEX($AY$46:$BE$55,,$AH60), 1 / ($BG$46:$BG$55*CW60 + (1-$BG$46:$BG$55)*CS60), N($AU$46:$AU$55&gt;$AM60))
) / 1000</f>
        <v>0</v>
      </c>
      <c r="CY60" s="234" cm="1">
        <f t="array" ref="CY60">$BM60 * IF($AH60&lt;=2,
SUMPRODUCT(INDEX($AV$22:$AX$60,,$AI60), INDEX($AY$22:$BE$60,,$AH60), 1 / ($BF$22:$BF$60*CW60), N($AU$22:$AU$60&gt;$AM60)),
SUMPRODUCT(INDEX($AV$22:$AX$45,,$AI60), INDEX($AY$22:$BE$45,,$AH60), 1 / ($BG$22:$BG$45*CW60), N($AU$22:$AU$45&gt;$AM60))
) / 1000</f>
        <v>0</v>
      </c>
      <c r="CZ60" s="229">
        <f t="shared" si="42"/>
        <v>0</v>
      </c>
      <c r="DA60" s="246"/>
    </row>
    <row r="61" spans="1:105" s="75" customFormat="1" ht="14.25" customHeight="1" x14ac:dyDescent="0.25">
      <c r="A61" s="230" t="b">
        <f t="shared" si="0"/>
        <v>0</v>
      </c>
      <c r="B61" s="253">
        <v>40</v>
      </c>
      <c r="C61" s="266"/>
      <c r="D61" s="266"/>
      <c r="E61" s="254"/>
      <c r="F61" s="255" t="str">
        <f>IF(ISBLANK(E61), "", VLOOKUP(E61, Z!$A$2:$C$4127, 3, FALSE))</f>
        <v/>
      </c>
      <c r="G61" s="256"/>
      <c r="H61" s="256"/>
      <c r="I61" s="256"/>
      <c r="J61" s="257"/>
      <c r="K61" s="258"/>
      <c r="L61" s="267"/>
      <c r="M61" s="268"/>
      <c r="N61" s="259" t="str" cm="1">
        <f t="array" ref="N61">IF($L61&gt;0, INDEX(Clean,1+AK61,$D$1), "")</f>
        <v/>
      </c>
      <c r="O61" s="260"/>
      <c r="P61" s="260"/>
      <c r="Q61" s="261"/>
      <c r="R61" s="264">
        <f t="shared" si="7"/>
        <v>0</v>
      </c>
      <c r="S61" s="259" t="str" cm="1">
        <f t="array" ref="S61">IF($L61&gt;0, INDEX(Clean,1+AL61,$D$1), "")</f>
        <v/>
      </c>
      <c r="T61" s="260"/>
      <c r="U61" s="260"/>
      <c r="V61" s="261"/>
      <c r="W61" s="267"/>
      <c r="X61" s="267"/>
      <c r="Y61" s="257"/>
      <c r="Z61" s="264">
        <f t="shared" si="8"/>
        <v>0</v>
      </c>
      <c r="AA61" s="269"/>
      <c r="AB61" s="266"/>
      <c r="AC61" s="254"/>
      <c r="AD61" s="255" t="str">
        <f>IF(ISBLANK(AC61), "", VLOOKUP(AC61, Z!$A$2:$C$4127, 3, FALSE))</f>
        <v/>
      </c>
      <c r="AE61" s="270"/>
      <c r="AF61" s="265">
        <f t="shared" si="9"/>
        <v>0</v>
      </c>
      <c r="AG61" s="246"/>
      <c r="AH61" s="228">
        <f t="shared" ref="AH61" si="191">IF(ISBLANK(I61), 1, IFERROR(MATCH(I61, INDEX(Use,,1), 0), IFERROR(MATCH(I61, INDEX(Use,,2), 0), MATCH(I61, INDEX(Use,,3), 0))))</f>
        <v>1</v>
      </c>
      <c r="AI61" s="228">
        <f t="shared" ref="AI61" si="192">IF(ISBLANK(H61), 1, IFERROR(MATCH(H61, INDEX(Loc,,1), 0), IFERROR(MATCH(H61, INDEX(Loc,,2), 0), MATCH(H61, INDEX(Loc,,3), 0))))</f>
        <v>1</v>
      </c>
      <c r="AJ61" s="228">
        <f t="shared" ref="AJ61" si="193">_xlfn.IFNA(IF(IFERROR(MATCH(J61, INDEX(Medium,,1), 0), IFERROR(MATCH(J61, INDEX(Medium,,2), 0), MATCH(J61, INDEX(Medium,,3), 0))) = 2, 1, 0), 0)</f>
        <v>0</v>
      </c>
      <c r="AK61" s="228">
        <v>0</v>
      </c>
      <c r="AL61" s="228">
        <v>0</v>
      </c>
      <c r="AM61" s="228">
        <f t="shared" si="4"/>
        <v>-100</v>
      </c>
      <c r="AN61" s="228" cm="1">
        <f t="array" ref="AN61">IF(ISBLANK(G61), 1, IFERROR(MATCH(G61, INDEX(Kat,,1), 0), IFERROR(MATCH(Kat, INDEX(Use,,2), 0), MATCH(Kat, INDEX(Use,,3), 0))))</f>
        <v>1</v>
      </c>
      <c r="AO61" s="246"/>
      <c r="AP61" s="228" cm="1">
        <f t="array" ref="AP61">IF(W61&gt;0, INDEX(Kat, AN61,4), 0)</f>
        <v>0</v>
      </c>
      <c r="AQ61" s="228">
        <f t="shared" ref="AQ61" si="194">IF(ISBLANK(Y61), 0, IFERROR(MATCH(Y61, INDEX(Month,,1), 0), IFERROR(MATCH(Y61, INDEX(Month,,2), 0), MATCH(Y61, INDEX(Month,,3), 0))))</f>
        <v>0</v>
      </c>
      <c r="AR61" s="228" cm="1">
        <f t="array" ref="AR61">IF(X61&gt;0, INDEX(Kat, $AN61, 4+AQ61), 0)</f>
        <v>0</v>
      </c>
      <c r="AS61" s="228" cm="1">
        <f t="array" ref="AS61">IF(X61&gt;0, INDEX(Kat, $AN61, 9+AQ61), 0)</f>
        <v>0</v>
      </c>
      <c r="AT61" s="246"/>
      <c r="AU61" s="228">
        <v>20</v>
      </c>
      <c r="AV61" s="231">
        <v>304</v>
      </c>
      <c r="AW61" s="231">
        <v>259</v>
      </c>
      <c r="AX61" s="231">
        <v>188</v>
      </c>
      <c r="AY61" s="232">
        <f t="shared" si="6"/>
        <v>6.25E-2</v>
      </c>
      <c r="AZ61" s="232">
        <f t="shared" si="6"/>
        <v>6.25E-2</v>
      </c>
      <c r="BA61" s="232" t="e" cm="1">
        <f t="array" ref="BA61">MIN(INDEX(Use,BA$20,5) + MAX(0, (1-INDEX(Use,BA$20,5))*($AU61-5)/(35-5)), 1)</f>
        <v>#REF!</v>
      </c>
      <c r="BB61" s="232" t="e" cm="1">
        <f t="array" ref="BB61">MIN(INDEX(Use,BB$20,5) + MAX(0, (1-INDEX(Use,BB$20,5))*($AU61-5)/(35-5)), 1)</f>
        <v>#REF!</v>
      </c>
      <c r="BC61" s="232" t="e" cm="1">
        <f t="array" ref="BC61">MIN(INDEX(Use,BC$20,5) + MAX(0, (1-INDEX(Use,BC$20,5))*($AU61-5)/(35-5)), 1)</f>
        <v>#REF!</v>
      </c>
      <c r="BD61" s="232" t="e" cm="1">
        <f t="array" ref="BD61">MIN(INDEX(Use,BD$20,5) + MAX(0, (1-INDEX(Use,BD$20,5))*($AU61-5)/(35-5)), 1)</f>
        <v>#REF!</v>
      </c>
      <c r="BE61" s="232" t="e" cm="1">
        <f t="array" ref="BE61">MIN(INDEX(Use,BE$20,5) + MAX(0, (1-INDEX(Use,BE$20,5))*($AU61-5)/(35-5)), 1)</f>
        <v>#REF!</v>
      </c>
      <c r="BF61" s="232">
        <v>1</v>
      </c>
      <c r="BG61" s="232">
        <v>0.5</v>
      </c>
      <c r="BH61" s="210"/>
      <c r="BI61" s="228" cm="1">
        <f t="array" ref="BI61">INDEX(Use, $AH61, 4)</f>
        <v>7</v>
      </c>
      <c r="BJ61" s="228">
        <f t="shared" si="14"/>
        <v>32</v>
      </c>
      <c r="BK61" s="228">
        <f t="shared" si="15"/>
        <v>13</v>
      </c>
      <c r="BL61" s="228">
        <f t="shared" si="16"/>
        <v>0</v>
      </c>
      <c r="BM61" s="233" cm="1">
        <f t="array" ref="BM61">L61/IF($M61&gt;0, INDEX($AY$22:$BE$76, $M61+20, $AH61), 1)</f>
        <v>0</v>
      </c>
      <c r="BN61" s="229">
        <f t="shared" si="17"/>
        <v>0</v>
      </c>
      <c r="BO61" s="228">
        <v>35</v>
      </c>
      <c r="BP61" s="229">
        <f t="shared" si="18"/>
        <v>48</v>
      </c>
      <c r="BQ61" s="234">
        <f t="shared" si="19"/>
        <v>3.0748170731707316</v>
      </c>
      <c r="BR61" s="234" cm="1">
        <f t="array" ref="BR61">$BM61 * SUMPRODUCT(INDEX($AV$76:$AX$81,,$AI61),INDEX($AY$76:$BE$81,,$AH61), N($AU$76:$AU$81&gt;$AM61)) / BQ61 / 1000</f>
        <v>0</v>
      </c>
      <c r="BS61" s="231">
        <f t="shared" si="20"/>
        <v>30</v>
      </c>
      <c r="BT61" s="229">
        <f t="shared" si="21"/>
        <v>43</v>
      </c>
      <c r="BU61" s="234">
        <f t="shared" si="22"/>
        <v>3.5018750000000001</v>
      </c>
      <c r="BV61" s="234" cm="1">
        <f t="array" ref="BV61">$BM61 * IF($AH61&lt;=2,
SUMPRODUCT(INDEX($AV$71:$AX$75,,$AI61), INDEX($AY$71:$BE$75,,$AH61), 1 / ($BF$71:$BF$75*BU61 + (1-$BF$71:$BF$75)*BQ61), N($AU$71:$AU$75&gt;$AM61)),
SUMPRODUCT(INDEX($AV$66:$AX$75,,$AI61), INDEX($AY$66:$BE$75,,$AH61), 1 / ($BG$66:$BG$75*BU61 + (1-$BG$66:$BG$75)*BQ61), N($AU$66:$AU$75&gt;$AM61))
) / 1000</f>
        <v>0</v>
      </c>
      <c r="BW61" s="231">
        <f t="shared" si="23"/>
        <v>25</v>
      </c>
      <c r="BX61" s="229">
        <f t="shared" si="24"/>
        <v>38</v>
      </c>
      <c r="BY61" s="234">
        <f t="shared" si="25"/>
        <v>4.0666935483870965</v>
      </c>
      <c r="BZ61" s="234" cm="1">
        <f t="array" ref="BZ61">$BM61 * IF($AH61&lt;=2,
SUMPRODUCT(INDEX($AV$66:$AX$70,,$AI61), INDEX($AY$66:$BE$70,,$AH61), 1 / ($BF$66:$BF$70*BY61 + (1-$BF$66:$BF$70)*BU61), N($AU$66:$AU$70&gt;$AM61)),
SUMPRODUCT(INDEX($AV$56:$AX$65,,$AI61), INDEX($AY$56:$BE$65,,$AH61), 1 / ($BG$56:$BG$65*BY61 + (1-$BG$56:$BG$65)*BU61), N($AU$56:$AU$65&gt;$AM61))
) / 1000</f>
        <v>0</v>
      </c>
      <c r="CA61" s="231">
        <f t="shared" si="26"/>
        <v>20</v>
      </c>
      <c r="CB61" s="229">
        <f t="shared" si="27"/>
        <v>33</v>
      </c>
      <c r="CC61" s="234">
        <f t="shared" si="28"/>
        <v>4.8487499999999999</v>
      </c>
      <c r="CD61" s="234" cm="1">
        <f t="array" ref="CD61">$BM61 * IF($AH61&lt;=2,
SUMPRODUCT(INDEX($AV$61:$AX$65,,$AI61), INDEX($AY$61:$BE$65,,$AH61), 1 / ($BF$61:$BF$65*CC61 + (1-$BF$61:$BF$65)*BY61), N($AU$61:$AU$65&gt;$AM61)),
SUMPRODUCT(INDEX($AV$46:$AX$55,,$AI61), INDEX($AY$46:$BE$55,,$AH61), 1 / ($BG$46:$BG$55*CC61 + (1-$BG$46:$BG$55)*BY61), N($AU$46:$AU$55&gt;$AM61))
) / 1000</f>
        <v>0</v>
      </c>
      <c r="CE61" s="234" cm="1">
        <f t="array" ref="CE61">$BM61 * IF($AH61&lt;=2,
SUMPRODUCT(INDEX($AV$22:$AX$60,,$AI61), INDEX($AY$22:$BE$60,,$AH61), 1 / ($BF$22:$BF$60*CC61), N($AU$22:$AU$60&gt;$AM61)),
SUMPRODUCT(INDEX($AV$22:$AX$45,,$AI61), INDEX($AY$22:$BE$45,,$AH61), 1 / ($BG$22:$BG$45*CC61), N($AU$22:$AU$45&gt;$AM61))
) / 1000</f>
        <v>0</v>
      </c>
      <c r="CF61" s="229">
        <f t="shared" si="29"/>
        <v>0</v>
      </c>
      <c r="CG61" s="246"/>
      <c r="CH61" s="229">
        <f t="shared" si="30"/>
        <v>0</v>
      </c>
      <c r="CI61" s="228">
        <v>35</v>
      </c>
      <c r="CJ61" s="229">
        <f t="shared" si="31"/>
        <v>48</v>
      </c>
      <c r="CK61" s="234">
        <f t="shared" si="32"/>
        <v>3.0748170731707316</v>
      </c>
      <c r="CL61" s="234" cm="1">
        <f t="array" ref="CL61">$BM61 * SUMPRODUCT(INDEX($AV$76:$AX$81,,$AI61),INDEX($AY$76:$BE$81,,$AH61), N($AU$76:$AU$81&gt;$AM61)) / CK61 / 1000</f>
        <v>0</v>
      </c>
      <c r="CM61" s="231">
        <f t="shared" si="33"/>
        <v>30</v>
      </c>
      <c r="CN61" s="229">
        <f t="shared" si="34"/>
        <v>43</v>
      </c>
      <c r="CO61" s="234">
        <f t="shared" si="35"/>
        <v>3.5018750000000001</v>
      </c>
      <c r="CP61" s="234" cm="1">
        <f t="array" ref="CP61">$BM61 * IF($AH61&lt;=2,
SUMPRODUCT(INDEX($AV$71:$AX$75,,$AI61), INDEX($AY$71:$BE$75,,$AH61), 1 / ($BF$71:$BF$75*CO61 + (1-$BF$71:$BF$75)*CK61), N($AU$71:$AU$75&gt;$AM61)),
SUMPRODUCT(INDEX($AV$66:$AX$75,,$AI61), INDEX($AY$66:$BE$75,,$AH61), 1 / ($BG$66:$BG$75*CO61 + (1-$BG$66:$BG$75)*CK61), N($AU$66:$AU$75&gt;$AM61))
) / 1000</f>
        <v>0</v>
      </c>
      <c r="CQ61" s="231">
        <f t="shared" si="36"/>
        <v>25</v>
      </c>
      <c r="CR61" s="229">
        <f t="shared" si="37"/>
        <v>38</v>
      </c>
      <c r="CS61" s="234">
        <f t="shared" si="38"/>
        <v>4.0666935483870965</v>
      </c>
      <c r="CT61" s="234" cm="1">
        <f t="array" ref="CT61">$BM61 * IF($AH61&lt;=2,
SUMPRODUCT(INDEX($AV$66:$AX$70,,$AI61), INDEX($AY$66:$BE$70,,$AH61), 1 / ($BF$66:$BF$70*CS61 + (1-$BF$66:$BF$70)*CO61), N($AU$66:$AU$70&gt;$AM61)),
SUMPRODUCT(INDEX($AV$56:$AX$65,,$AI61), INDEX($AY$56:$BE$65,,$AH61), 1 / ($BG$56:$BG$65*CS61 + (1-$BG$56:$BG$65)*CO61), N($AU$56:$AU$65&gt;$AM61))
) / 1000</f>
        <v>0</v>
      </c>
      <c r="CU61" s="231">
        <f t="shared" si="39"/>
        <v>20</v>
      </c>
      <c r="CV61" s="229">
        <f t="shared" si="40"/>
        <v>33</v>
      </c>
      <c r="CW61" s="234">
        <f t="shared" si="41"/>
        <v>4.8487499999999999</v>
      </c>
      <c r="CX61" s="234" cm="1">
        <f t="array" ref="CX61">$BM61 * IF($AH61&lt;=2,
SUMPRODUCT(INDEX($AV$61:$AX$65,,$AI61), INDEX($AY$61:$BE$65,,$AH61), 1 / ($BF$61:$BF$65*CW61 + (1-$BF$61:$BF$65)*CS61), N($AU$61:$AU$65&gt;$AM61)),
SUMPRODUCT(INDEX($AV$46:$AX$55,,$AI61), INDEX($AY$46:$BE$55,,$AH61), 1 / ($BG$46:$BG$55*CW61 + (1-$BG$46:$BG$55)*CS61), N($AU$46:$AU$55&gt;$AM61))
) / 1000</f>
        <v>0</v>
      </c>
      <c r="CY61" s="234" cm="1">
        <f t="array" ref="CY61">$BM61 * IF($AH61&lt;=2,
SUMPRODUCT(INDEX($AV$22:$AX$60,,$AI61), INDEX($AY$22:$BE$60,,$AH61), 1 / ($BF$22:$BF$60*CW61), N($AU$22:$AU$60&gt;$AM61)),
SUMPRODUCT(INDEX($AV$22:$AX$45,,$AI61), INDEX($AY$22:$BE$45,,$AH61), 1 / ($BG$22:$BG$45*CW61), N($AU$22:$AU$45&gt;$AM61))
) / 1000</f>
        <v>0</v>
      </c>
      <c r="CZ61" s="229">
        <f t="shared" si="42"/>
        <v>0</v>
      </c>
      <c r="DA61" s="246"/>
    </row>
    <row r="62" spans="1:105" s="75" customFormat="1" ht="14.25" customHeight="1" x14ac:dyDescent="0.25">
      <c r="A62" s="230" t="b">
        <f t="shared" si="0"/>
        <v>0</v>
      </c>
      <c r="B62" s="253">
        <v>41</v>
      </c>
      <c r="C62" s="266"/>
      <c r="D62" s="266"/>
      <c r="E62" s="254"/>
      <c r="F62" s="255" t="str">
        <f>IF(ISBLANK(E62), "", VLOOKUP(E62, Z!$A$2:$C$4127, 3, FALSE))</f>
        <v/>
      </c>
      <c r="G62" s="256"/>
      <c r="H62" s="256"/>
      <c r="I62" s="256"/>
      <c r="J62" s="257"/>
      <c r="K62" s="258"/>
      <c r="L62" s="267"/>
      <c r="M62" s="268"/>
      <c r="N62" s="259" t="str" cm="1">
        <f t="array" ref="N62">IF($L62&gt;0, INDEX(Clean,1+AK62,$D$1), "")</f>
        <v/>
      </c>
      <c r="O62" s="260"/>
      <c r="P62" s="260"/>
      <c r="Q62" s="261"/>
      <c r="R62" s="264">
        <f t="shared" si="7"/>
        <v>0</v>
      </c>
      <c r="S62" s="259" t="str" cm="1">
        <f t="array" ref="S62">IF($L62&gt;0, INDEX(Clean,1+AL62,$D$1), "")</f>
        <v/>
      </c>
      <c r="T62" s="260"/>
      <c r="U62" s="260"/>
      <c r="V62" s="261"/>
      <c r="W62" s="267"/>
      <c r="X62" s="267"/>
      <c r="Y62" s="257"/>
      <c r="Z62" s="264">
        <f t="shared" si="8"/>
        <v>0</v>
      </c>
      <c r="AA62" s="269"/>
      <c r="AB62" s="266"/>
      <c r="AC62" s="254"/>
      <c r="AD62" s="255" t="str">
        <f>IF(ISBLANK(AC62), "", VLOOKUP(AC62, Z!$A$2:$C$4127, 3, FALSE))</f>
        <v/>
      </c>
      <c r="AE62" s="270"/>
      <c r="AF62" s="265">
        <f t="shared" si="9"/>
        <v>0</v>
      </c>
      <c r="AG62" s="246"/>
      <c r="AH62" s="228">
        <f t="shared" ref="AH62" si="195">IF(ISBLANK(I62), 1, IFERROR(MATCH(I62, INDEX(Use,,1), 0), IFERROR(MATCH(I62, INDEX(Use,,2), 0), MATCH(I62, INDEX(Use,,3), 0))))</f>
        <v>1</v>
      </c>
      <c r="AI62" s="228">
        <f t="shared" ref="AI62" si="196">IF(ISBLANK(H62), 1, IFERROR(MATCH(H62, INDEX(Loc,,1), 0), IFERROR(MATCH(H62, INDEX(Loc,,2), 0), MATCH(H62, INDEX(Loc,,3), 0))))</f>
        <v>1</v>
      </c>
      <c r="AJ62" s="228">
        <f t="shared" ref="AJ62" si="197">_xlfn.IFNA(IF(IFERROR(MATCH(J62, INDEX(Medium,,1), 0), IFERROR(MATCH(J62, INDEX(Medium,,2), 0), MATCH(J62, INDEX(Medium,,3), 0))) = 2, 1, 0), 0)</f>
        <v>0</v>
      </c>
      <c r="AK62" s="228">
        <v>0</v>
      </c>
      <c r="AL62" s="228">
        <v>0</v>
      </c>
      <c r="AM62" s="228">
        <f t="shared" si="4"/>
        <v>-100</v>
      </c>
      <c r="AN62" s="228" cm="1">
        <f t="array" ref="AN62">IF(ISBLANK(G62), 1, IFERROR(MATCH(G62, INDEX(Kat,,1), 0), IFERROR(MATCH(Kat, INDEX(Use,,2), 0), MATCH(Kat, INDEX(Use,,3), 0))))</f>
        <v>1</v>
      </c>
      <c r="AO62" s="246"/>
      <c r="AP62" s="228" cm="1">
        <f t="array" ref="AP62">IF(W62&gt;0, INDEX(Kat, AN62,4), 0)</f>
        <v>0</v>
      </c>
      <c r="AQ62" s="228">
        <f t="shared" ref="AQ62" si="198">IF(ISBLANK(Y62), 0, IFERROR(MATCH(Y62, INDEX(Month,,1), 0), IFERROR(MATCH(Y62, INDEX(Month,,2), 0), MATCH(Y62, INDEX(Month,,3), 0))))</f>
        <v>0</v>
      </c>
      <c r="AR62" s="228" cm="1">
        <f t="array" ref="AR62">IF(X62&gt;0, INDEX(Kat, $AN62, 4+AQ62), 0)</f>
        <v>0</v>
      </c>
      <c r="AS62" s="228" cm="1">
        <f t="array" ref="AS62">IF(X62&gt;0, INDEX(Kat, $AN62, 9+AQ62), 0)</f>
        <v>0</v>
      </c>
      <c r="AT62" s="246"/>
      <c r="AU62" s="228">
        <v>21</v>
      </c>
      <c r="AV62" s="231">
        <v>295</v>
      </c>
      <c r="AW62" s="231">
        <v>198</v>
      </c>
      <c r="AX62" s="231">
        <v>146</v>
      </c>
      <c r="AY62" s="232">
        <f t="shared" si="6"/>
        <v>0.125</v>
      </c>
      <c r="AZ62" s="232">
        <f t="shared" si="6"/>
        <v>0.125</v>
      </c>
      <c r="BA62" s="232" t="e" cm="1">
        <f t="array" ref="BA62">MIN(INDEX(Use,BA$20,5) + MAX(0, (1-INDEX(Use,BA$20,5))*($AU62-5)/(35-5)), 1)</f>
        <v>#REF!</v>
      </c>
      <c r="BB62" s="232" t="e" cm="1">
        <f t="array" ref="BB62">MIN(INDEX(Use,BB$20,5) + MAX(0, (1-INDEX(Use,BB$20,5))*($AU62-5)/(35-5)), 1)</f>
        <v>#REF!</v>
      </c>
      <c r="BC62" s="232" t="e" cm="1">
        <f t="array" ref="BC62">MIN(INDEX(Use,BC$20,5) + MAX(0, (1-INDEX(Use,BC$20,5))*($AU62-5)/(35-5)), 1)</f>
        <v>#REF!</v>
      </c>
      <c r="BD62" s="232" t="e" cm="1">
        <f t="array" ref="BD62">MIN(INDEX(Use,BD$20,5) + MAX(0, (1-INDEX(Use,BD$20,5))*($AU62-5)/(35-5)), 1)</f>
        <v>#REF!</v>
      </c>
      <c r="BE62" s="232" t="e" cm="1">
        <f t="array" ref="BE62">MIN(INDEX(Use,BE$20,5) + MAX(0, (1-INDEX(Use,BE$20,5))*($AU62-5)/(35-5)), 1)</f>
        <v>#REF!</v>
      </c>
      <c r="BF62" s="232">
        <v>0.8</v>
      </c>
      <c r="BG62" s="232">
        <v>0.4</v>
      </c>
      <c r="BH62" s="210"/>
      <c r="BI62" s="228" cm="1">
        <f t="array" ref="BI62">INDEX(Use, $AH62, 4)</f>
        <v>7</v>
      </c>
      <c r="BJ62" s="228">
        <f t="shared" si="14"/>
        <v>32</v>
      </c>
      <c r="BK62" s="228">
        <f t="shared" si="15"/>
        <v>13</v>
      </c>
      <c r="BL62" s="228">
        <f t="shared" si="16"/>
        <v>0</v>
      </c>
      <c r="BM62" s="233" cm="1">
        <f t="array" ref="BM62">L62/IF($M62&gt;0, INDEX($AY$22:$BE$76, $M62+20, $AH62), 1)</f>
        <v>0</v>
      </c>
      <c r="BN62" s="229">
        <f t="shared" si="17"/>
        <v>0</v>
      </c>
      <c r="BO62" s="228">
        <v>35</v>
      </c>
      <c r="BP62" s="229">
        <f t="shared" si="18"/>
        <v>48</v>
      </c>
      <c r="BQ62" s="234">
        <f t="shared" si="19"/>
        <v>3.0748170731707316</v>
      </c>
      <c r="BR62" s="234" cm="1">
        <f t="array" ref="BR62">$BM62 * SUMPRODUCT(INDEX($AV$76:$AX$81,,$AI62),INDEX($AY$76:$BE$81,,$AH62), N($AU$76:$AU$81&gt;$AM62)) / BQ62 / 1000</f>
        <v>0</v>
      </c>
      <c r="BS62" s="231">
        <f t="shared" si="20"/>
        <v>30</v>
      </c>
      <c r="BT62" s="229">
        <f t="shared" si="21"/>
        <v>43</v>
      </c>
      <c r="BU62" s="234">
        <f t="shared" si="22"/>
        <v>3.5018750000000001</v>
      </c>
      <c r="BV62" s="234" cm="1">
        <f t="array" ref="BV62">$BM62 * IF($AH62&lt;=2,
SUMPRODUCT(INDEX($AV$71:$AX$75,,$AI62), INDEX($AY$71:$BE$75,,$AH62), 1 / ($BF$71:$BF$75*BU62 + (1-$BF$71:$BF$75)*BQ62), N($AU$71:$AU$75&gt;$AM62)),
SUMPRODUCT(INDEX($AV$66:$AX$75,,$AI62), INDEX($AY$66:$BE$75,,$AH62), 1 / ($BG$66:$BG$75*BU62 + (1-$BG$66:$BG$75)*BQ62), N($AU$66:$AU$75&gt;$AM62))
) / 1000</f>
        <v>0</v>
      </c>
      <c r="BW62" s="231">
        <f t="shared" si="23"/>
        <v>25</v>
      </c>
      <c r="BX62" s="229">
        <f t="shared" si="24"/>
        <v>38</v>
      </c>
      <c r="BY62" s="234">
        <f t="shared" si="25"/>
        <v>4.0666935483870965</v>
      </c>
      <c r="BZ62" s="234" cm="1">
        <f t="array" ref="BZ62">$BM62 * IF($AH62&lt;=2,
SUMPRODUCT(INDEX($AV$66:$AX$70,,$AI62), INDEX($AY$66:$BE$70,,$AH62), 1 / ($BF$66:$BF$70*BY62 + (1-$BF$66:$BF$70)*BU62), N($AU$66:$AU$70&gt;$AM62)),
SUMPRODUCT(INDEX($AV$56:$AX$65,,$AI62), INDEX($AY$56:$BE$65,,$AH62), 1 / ($BG$56:$BG$65*BY62 + (1-$BG$56:$BG$65)*BU62), N($AU$56:$AU$65&gt;$AM62))
) / 1000</f>
        <v>0</v>
      </c>
      <c r="CA62" s="231">
        <f t="shared" si="26"/>
        <v>20</v>
      </c>
      <c r="CB62" s="229">
        <f t="shared" si="27"/>
        <v>33</v>
      </c>
      <c r="CC62" s="234">
        <f t="shared" si="28"/>
        <v>4.8487499999999999</v>
      </c>
      <c r="CD62" s="234" cm="1">
        <f t="array" ref="CD62">$BM62 * IF($AH62&lt;=2,
SUMPRODUCT(INDEX($AV$61:$AX$65,,$AI62), INDEX($AY$61:$BE$65,,$AH62), 1 / ($BF$61:$BF$65*CC62 + (1-$BF$61:$BF$65)*BY62), N($AU$61:$AU$65&gt;$AM62)),
SUMPRODUCT(INDEX($AV$46:$AX$55,,$AI62), INDEX($AY$46:$BE$55,,$AH62), 1 / ($BG$46:$BG$55*CC62 + (1-$BG$46:$BG$55)*BY62), N($AU$46:$AU$55&gt;$AM62))
) / 1000</f>
        <v>0</v>
      </c>
      <c r="CE62" s="234" cm="1">
        <f t="array" ref="CE62">$BM62 * IF($AH62&lt;=2,
SUMPRODUCT(INDEX($AV$22:$AX$60,,$AI62), INDEX($AY$22:$BE$60,,$AH62), 1 / ($BF$22:$BF$60*CC62), N($AU$22:$AU$60&gt;$AM62)),
SUMPRODUCT(INDEX($AV$22:$AX$45,,$AI62), INDEX($AY$22:$BE$45,,$AH62), 1 / ($BG$22:$BG$45*CC62), N($AU$22:$AU$45&gt;$AM62))
) / 1000</f>
        <v>0</v>
      </c>
      <c r="CF62" s="229">
        <f t="shared" si="29"/>
        <v>0</v>
      </c>
      <c r="CG62" s="246"/>
      <c r="CH62" s="229">
        <f t="shared" si="30"/>
        <v>0</v>
      </c>
      <c r="CI62" s="228">
        <v>35</v>
      </c>
      <c r="CJ62" s="229">
        <f t="shared" si="31"/>
        <v>48</v>
      </c>
      <c r="CK62" s="234">
        <f t="shared" si="32"/>
        <v>3.0748170731707316</v>
      </c>
      <c r="CL62" s="234" cm="1">
        <f t="array" ref="CL62">$BM62 * SUMPRODUCT(INDEX($AV$76:$AX$81,,$AI62),INDEX($AY$76:$BE$81,,$AH62), N($AU$76:$AU$81&gt;$AM62)) / CK62 / 1000</f>
        <v>0</v>
      </c>
      <c r="CM62" s="231">
        <f t="shared" si="33"/>
        <v>30</v>
      </c>
      <c r="CN62" s="229">
        <f t="shared" si="34"/>
        <v>43</v>
      </c>
      <c r="CO62" s="234">
        <f t="shared" si="35"/>
        <v>3.5018750000000001</v>
      </c>
      <c r="CP62" s="234" cm="1">
        <f t="array" ref="CP62">$BM62 * IF($AH62&lt;=2,
SUMPRODUCT(INDEX($AV$71:$AX$75,,$AI62), INDEX($AY$71:$BE$75,,$AH62), 1 / ($BF$71:$BF$75*CO62 + (1-$BF$71:$BF$75)*CK62), N($AU$71:$AU$75&gt;$AM62)),
SUMPRODUCT(INDEX($AV$66:$AX$75,,$AI62), INDEX($AY$66:$BE$75,,$AH62), 1 / ($BG$66:$BG$75*CO62 + (1-$BG$66:$BG$75)*CK62), N($AU$66:$AU$75&gt;$AM62))
) / 1000</f>
        <v>0</v>
      </c>
      <c r="CQ62" s="231">
        <f t="shared" si="36"/>
        <v>25</v>
      </c>
      <c r="CR62" s="229">
        <f t="shared" si="37"/>
        <v>38</v>
      </c>
      <c r="CS62" s="234">
        <f t="shared" si="38"/>
        <v>4.0666935483870965</v>
      </c>
      <c r="CT62" s="234" cm="1">
        <f t="array" ref="CT62">$BM62 * IF($AH62&lt;=2,
SUMPRODUCT(INDEX($AV$66:$AX$70,,$AI62), INDEX($AY$66:$BE$70,,$AH62), 1 / ($BF$66:$BF$70*CS62 + (1-$BF$66:$BF$70)*CO62), N($AU$66:$AU$70&gt;$AM62)),
SUMPRODUCT(INDEX($AV$56:$AX$65,,$AI62), INDEX($AY$56:$BE$65,,$AH62), 1 / ($BG$56:$BG$65*CS62 + (1-$BG$56:$BG$65)*CO62), N($AU$56:$AU$65&gt;$AM62))
) / 1000</f>
        <v>0</v>
      </c>
      <c r="CU62" s="231">
        <f t="shared" si="39"/>
        <v>20</v>
      </c>
      <c r="CV62" s="229">
        <f t="shared" si="40"/>
        <v>33</v>
      </c>
      <c r="CW62" s="234">
        <f t="shared" si="41"/>
        <v>4.8487499999999999</v>
      </c>
      <c r="CX62" s="234" cm="1">
        <f t="array" ref="CX62">$BM62 * IF($AH62&lt;=2,
SUMPRODUCT(INDEX($AV$61:$AX$65,,$AI62), INDEX($AY$61:$BE$65,,$AH62), 1 / ($BF$61:$BF$65*CW62 + (1-$BF$61:$BF$65)*CS62), N($AU$61:$AU$65&gt;$AM62)),
SUMPRODUCT(INDEX($AV$46:$AX$55,,$AI62), INDEX($AY$46:$BE$55,,$AH62), 1 / ($BG$46:$BG$55*CW62 + (1-$BG$46:$BG$55)*CS62), N($AU$46:$AU$55&gt;$AM62))
) / 1000</f>
        <v>0</v>
      </c>
      <c r="CY62" s="234" cm="1">
        <f t="array" ref="CY62">$BM62 * IF($AH62&lt;=2,
SUMPRODUCT(INDEX($AV$22:$AX$60,,$AI62), INDEX($AY$22:$BE$60,,$AH62), 1 / ($BF$22:$BF$60*CW62), N($AU$22:$AU$60&gt;$AM62)),
SUMPRODUCT(INDEX($AV$22:$AX$45,,$AI62), INDEX($AY$22:$BE$45,,$AH62), 1 / ($BG$22:$BG$45*CW62), N($AU$22:$AU$45&gt;$AM62))
) / 1000</f>
        <v>0</v>
      </c>
      <c r="CZ62" s="229">
        <f t="shared" si="42"/>
        <v>0</v>
      </c>
      <c r="DA62" s="246"/>
    </row>
    <row r="63" spans="1:105" s="75" customFormat="1" ht="14.25" customHeight="1" x14ac:dyDescent="0.25">
      <c r="A63" s="230" t="b">
        <f t="shared" si="0"/>
        <v>0</v>
      </c>
      <c r="B63" s="253">
        <v>42</v>
      </c>
      <c r="C63" s="266"/>
      <c r="D63" s="266"/>
      <c r="E63" s="254"/>
      <c r="F63" s="255" t="str">
        <f>IF(ISBLANK(E63), "", VLOOKUP(E63, Z!$A$2:$C$4127, 3, FALSE))</f>
        <v/>
      </c>
      <c r="G63" s="256"/>
      <c r="H63" s="256"/>
      <c r="I63" s="256"/>
      <c r="J63" s="257"/>
      <c r="K63" s="258"/>
      <c r="L63" s="267"/>
      <c r="M63" s="268"/>
      <c r="N63" s="259" t="str" cm="1">
        <f t="array" ref="N63">IF($L63&gt;0, INDEX(Clean,1+AK63,$D$1), "")</f>
        <v/>
      </c>
      <c r="O63" s="260"/>
      <c r="P63" s="260"/>
      <c r="Q63" s="261"/>
      <c r="R63" s="264">
        <f t="shared" si="7"/>
        <v>0</v>
      </c>
      <c r="S63" s="259" t="str" cm="1">
        <f t="array" ref="S63">IF($L63&gt;0, INDEX(Clean,1+AL63,$D$1), "")</f>
        <v/>
      </c>
      <c r="T63" s="260"/>
      <c r="U63" s="260"/>
      <c r="V63" s="261"/>
      <c r="W63" s="267"/>
      <c r="X63" s="267"/>
      <c r="Y63" s="257"/>
      <c r="Z63" s="264">
        <f t="shared" si="8"/>
        <v>0</v>
      </c>
      <c r="AA63" s="269"/>
      <c r="AB63" s="266"/>
      <c r="AC63" s="254"/>
      <c r="AD63" s="255" t="str">
        <f>IF(ISBLANK(AC63), "", VLOOKUP(AC63, Z!$A$2:$C$4127, 3, FALSE))</f>
        <v/>
      </c>
      <c r="AE63" s="270"/>
      <c r="AF63" s="265">
        <f t="shared" si="9"/>
        <v>0</v>
      </c>
      <c r="AG63" s="246"/>
      <c r="AH63" s="228">
        <f t="shared" ref="AH63" si="199">IF(ISBLANK(I63), 1, IFERROR(MATCH(I63, INDEX(Use,,1), 0), IFERROR(MATCH(I63, INDEX(Use,,2), 0), MATCH(I63, INDEX(Use,,3), 0))))</f>
        <v>1</v>
      </c>
      <c r="AI63" s="228">
        <f t="shared" ref="AI63" si="200">IF(ISBLANK(H63), 1, IFERROR(MATCH(H63, INDEX(Loc,,1), 0), IFERROR(MATCH(H63, INDEX(Loc,,2), 0), MATCH(H63, INDEX(Loc,,3), 0))))</f>
        <v>1</v>
      </c>
      <c r="AJ63" s="228">
        <f t="shared" ref="AJ63" si="201">_xlfn.IFNA(IF(IFERROR(MATCH(J63, INDEX(Medium,,1), 0), IFERROR(MATCH(J63, INDEX(Medium,,2), 0), MATCH(J63, INDEX(Medium,,3), 0))) = 2, 1, 0), 0)</f>
        <v>0</v>
      </c>
      <c r="AK63" s="228">
        <v>0</v>
      </c>
      <c r="AL63" s="228">
        <v>0</v>
      </c>
      <c r="AM63" s="228">
        <f t="shared" si="4"/>
        <v>-100</v>
      </c>
      <c r="AN63" s="228" cm="1">
        <f t="array" ref="AN63">IF(ISBLANK(G63), 1, IFERROR(MATCH(G63, INDEX(Kat,,1), 0), IFERROR(MATCH(Kat, INDEX(Use,,2), 0), MATCH(Kat, INDEX(Use,,3), 0))))</f>
        <v>1</v>
      </c>
      <c r="AO63" s="246"/>
      <c r="AP63" s="228" cm="1">
        <f t="array" ref="AP63">IF(W63&gt;0, INDEX(Kat, AN63,4), 0)</f>
        <v>0</v>
      </c>
      <c r="AQ63" s="228">
        <f t="shared" ref="AQ63" si="202">IF(ISBLANK(Y63), 0, IFERROR(MATCH(Y63, INDEX(Month,,1), 0), IFERROR(MATCH(Y63, INDEX(Month,,2), 0), MATCH(Y63, INDEX(Month,,3), 0))))</f>
        <v>0</v>
      </c>
      <c r="AR63" s="228" cm="1">
        <f t="array" ref="AR63">IF(X63&gt;0, INDEX(Kat, $AN63, 4+AQ63), 0)</f>
        <v>0</v>
      </c>
      <c r="AS63" s="228" cm="1">
        <f t="array" ref="AS63">IF(X63&gt;0, INDEX(Kat, $AN63, 9+AQ63), 0)</f>
        <v>0</v>
      </c>
      <c r="AT63" s="246"/>
      <c r="AU63" s="228">
        <v>22</v>
      </c>
      <c r="AV63" s="231">
        <v>242</v>
      </c>
      <c r="AW63" s="231">
        <v>172</v>
      </c>
      <c r="AX63" s="231">
        <v>134</v>
      </c>
      <c r="AY63" s="232">
        <f t="shared" si="6"/>
        <v>0.1875</v>
      </c>
      <c r="AZ63" s="232">
        <f t="shared" si="6"/>
        <v>0.1875</v>
      </c>
      <c r="BA63" s="232" t="e" cm="1">
        <f t="array" ref="BA63">MIN(INDEX(Use,BA$20,5) + MAX(0, (1-INDEX(Use,BA$20,5))*($AU63-5)/(35-5)), 1)</f>
        <v>#REF!</v>
      </c>
      <c r="BB63" s="232" t="e" cm="1">
        <f t="array" ref="BB63">MIN(INDEX(Use,BB$20,5) + MAX(0, (1-INDEX(Use,BB$20,5))*($AU63-5)/(35-5)), 1)</f>
        <v>#REF!</v>
      </c>
      <c r="BC63" s="232" t="e" cm="1">
        <f t="array" ref="BC63">MIN(INDEX(Use,BC$20,5) + MAX(0, (1-INDEX(Use,BC$20,5))*($AU63-5)/(35-5)), 1)</f>
        <v>#REF!</v>
      </c>
      <c r="BD63" s="232" t="e" cm="1">
        <f t="array" ref="BD63">MIN(INDEX(Use,BD$20,5) + MAX(0, (1-INDEX(Use,BD$20,5))*($AU63-5)/(35-5)), 1)</f>
        <v>#REF!</v>
      </c>
      <c r="BE63" s="232" t="e" cm="1">
        <f t="array" ref="BE63">MIN(INDEX(Use,BE$20,5) + MAX(0, (1-INDEX(Use,BE$20,5))*($AU63-5)/(35-5)), 1)</f>
        <v>#REF!</v>
      </c>
      <c r="BF63" s="232">
        <v>0.6</v>
      </c>
      <c r="BG63" s="232">
        <v>0.3</v>
      </c>
      <c r="BH63" s="210"/>
      <c r="BI63" s="228" cm="1">
        <f t="array" ref="BI63">INDEX(Use, $AH63, 4)</f>
        <v>7</v>
      </c>
      <c r="BJ63" s="228">
        <f t="shared" si="14"/>
        <v>32</v>
      </c>
      <c r="BK63" s="228">
        <f t="shared" si="15"/>
        <v>13</v>
      </c>
      <c r="BL63" s="228">
        <f t="shared" si="16"/>
        <v>0</v>
      </c>
      <c r="BM63" s="233" cm="1">
        <f t="array" ref="BM63">L63/IF($M63&gt;0, INDEX($AY$22:$BE$76, $M63+20, $AH63), 1)</f>
        <v>0</v>
      </c>
      <c r="BN63" s="229">
        <f t="shared" si="17"/>
        <v>0</v>
      </c>
      <c r="BO63" s="228">
        <v>35</v>
      </c>
      <c r="BP63" s="229">
        <f t="shared" si="18"/>
        <v>48</v>
      </c>
      <c r="BQ63" s="234">
        <f t="shared" si="19"/>
        <v>3.0748170731707316</v>
      </c>
      <c r="BR63" s="234" cm="1">
        <f t="array" ref="BR63">$BM63 * SUMPRODUCT(INDEX($AV$76:$AX$81,,$AI63),INDEX($AY$76:$BE$81,,$AH63), N($AU$76:$AU$81&gt;$AM63)) / BQ63 / 1000</f>
        <v>0</v>
      </c>
      <c r="BS63" s="231">
        <f t="shared" si="20"/>
        <v>30</v>
      </c>
      <c r="BT63" s="229">
        <f t="shared" si="21"/>
        <v>43</v>
      </c>
      <c r="BU63" s="234">
        <f t="shared" si="22"/>
        <v>3.5018750000000001</v>
      </c>
      <c r="BV63" s="234" cm="1">
        <f t="array" ref="BV63">$BM63 * IF($AH63&lt;=2,
SUMPRODUCT(INDEX($AV$71:$AX$75,,$AI63), INDEX($AY$71:$BE$75,,$AH63), 1 / ($BF$71:$BF$75*BU63 + (1-$BF$71:$BF$75)*BQ63), N($AU$71:$AU$75&gt;$AM63)),
SUMPRODUCT(INDEX($AV$66:$AX$75,,$AI63), INDEX($AY$66:$BE$75,,$AH63), 1 / ($BG$66:$BG$75*BU63 + (1-$BG$66:$BG$75)*BQ63), N($AU$66:$AU$75&gt;$AM63))
) / 1000</f>
        <v>0</v>
      </c>
      <c r="BW63" s="231">
        <f t="shared" si="23"/>
        <v>25</v>
      </c>
      <c r="BX63" s="229">
        <f t="shared" si="24"/>
        <v>38</v>
      </c>
      <c r="BY63" s="234">
        <f t="shared" si="25"/>
        <v>4.0666935483870965</v>
      </c>
      <c r="BZ63" s="234" cm="1">
        <f t="array" ref="BZ63">$BM63 * IF($AH63&lt;=2,
SUMPRODUCT(INDEX($AV$66:$AX$70,,$AI63), INDEX($AY$66:$BE$70,,$AH63), 1 / ($BF$66:$BF$70*BY63 + (1-$BF$66:$BF$70)*BU63), N($AU$66:$AU$70&gt;$AM63)),
SUMPRODUCT(INDEX($AV$56:$AX$65,,$AI63), INDEX($AY$56:$BE$65,,$AH63), 1 / ($BG$56:$BG$65*BY63 + (1-$BG$56:$BG$65)*BU63), N($AU$56:$AU$65&gt;$AM63))
) / 1000</f>
        <v>0</v>
      </c>
      <c r="CA63" s="231">
        <f t="shared" si="26"/>
        <v>20</v>
      </c>
      <c r="CB63" s="229">
        <f t="shared" si="27"/>
        <v>33</v>
      </c>
      <c r="CC63" s="234">
        <f t="shared" si="28"/>
        <v>4.8487499999999999</v>
      </c>
      <c r="CD63" s="234" cm="1">
        <f t="array" ref="CD63">$BM63 * IF($AH63&lt;=2,
SUMPRODUCT(INDEX($AV$61:$AX$65,,$AI63), INDEX($AY$61:$BE$65,,$AH63), 1 / ($BF$61:$BF$65*CC63 + (1-$BF$61:$BF$65)*BY63), N($AU$61:$AU$65&gt;$AM63)),
SUMPRODUCT(INDEX($AV$46:$AX$55,,$AI63), INDEX($AY$46:$BE$55,,$AH63), 1 / ($BG$46:$BG$55*CC63 + (1-$BG$46:$BG$55)*BY63), N($AU$46:$AU$55&gt;$AM63))
) / 1000</f>
        <v>0</v>
      </c>
      <c r="CE63" s="234" cm="1">
        <f t="array" ref="CE63">$BM63 * IF($AH63&lt;=2,
SUMPRODUCT(INDEX($AV$22:$AX$60,,$AI63), INDEX($AY$22:$BE$60,,$AH63), 1 / ($BF$22:$BF$60*CC63), N($AU$22:$AU$60&gt;$AM63)),
SUMPRODUCT(INDEX($AV$22:$AX$45,,$AI63), INDEX($AY$22:$BE$45,,$AH63), 1 / ($BG$22:$BG$45*CC63), N($AU$22:$AU$45&gt;$AM63))
) / 1000</f>
        <v>0</v>
      </c>
      <c r="CF63" s="229">
        <f t="shared" si="29"/>
        <v>0</v>
      </c>
      <c r="CG63" s="246"/>
      <c r="CH63" s="229">
        <f t="shared" si="30"/>
        <v>0</v>
      </c>
      <c r="CI63" s="228">
        <v>35</v>
      </c>
      <c r="CJ63" s="229">
        <f t="shared" si="31"/>
        <v>48</v>
      </c>
      <c r="CK63" s="234">
        <f t="shared" si="32"/>
        <v>3.0748170731707316</v>
      </c>
      <c r="CL63" s="234" cm="1">
        <f t="array" ref="CL63">$BM63 * SUMPRODUCT(INDEX($AV$76:$AX$81,,$AI63),INDEX($AY$76:$BE$81,,$AH63), N($AU$76:$AU$81&gt;$AM63)) / CK63 / 1000</f>
        <v>0</v>
      </c>
      <c r="CM63" s="231">
        <f t="shared" si="33"/>
        <v>30</v>
      </c>
      <c r="CN63" s="229">
        <f t="shared" si="34"/>
        <v>43</v>
      </c>
      <c r="CO63" s="234">
        <f t="shared" si="35"/>
        <v>3.5018750000000001</v>
      </c>
      <c r="CP63" s="234" cm="1">
        <f t="array" ref="CP63">$BM63 * IF($AH63&lt;=2,
SUMPRODUCT(INDEX($AV$71:$AX$75,,$AI63), INDEX($AY$71:$BE$75,,$AH63), 1 / ($BF$71:$BF$75*CO63 + (1-$BF$71:$BF$75)*CK63), N($AU$71:$AU$75&gt;$AM63)),
SUMPRODUCT(INDEX($AV$66:$AX$75,,$AI63), INDEX($AY$66:$BE$75,,$AH63), 1 / ($BG$66:$BG$75*CO63 + (1-$BG$66:$BG$75)*CK63), N($AU$66:$AU$75&gt;$AM63))
) / 1000</f>
        <v>0</v>
      </c>
      <c r="CQ63" s="231">
        <f t="shared" si="36"/>
        <v>25</v>
      </c>
      <c r="CR63" s="229">
        <f t="shared" si="37"/>
        <v>38</v>
      </c>
      <c r="CS63" s="234">
        <f t="shared" si="38"/>
        <v>4.0666935483870965</v>
      </c>
      <c r="CT63" s="234" cm="1">
        <f t="array" ref="CT63">$BM63 * IF($AH63&lt;=2,
SUMPRODUCT(INDEX($AV$66:$AX$70,,$AI63), INDEX($AY$66:$BE$70,,$AH63), 1 / ($BF$66:$BF$70*CS63 + (1-$BF$66:$BF$70)*CO63), N($AU$66:$AU$70&gt;$AM63)),
SUMPRODUCT(INDEX($AV$56:$AX$65,,$AI63), INDEX($AY$56:$BE$65,,$AH63), 1 / ($BG$56:$BG$65*CS63 + (1-$BG$56:$BG$65)*CO63), N($AU$56:$AU$65&gt;$AM63))
) / 1000</f>
        <v>0</v>
      </c>
      <c r="CU63" s="231">
        <f t="shared" si="39"/>
        <v>20</v>
      </c>
      <c r="CV63" s="229">
        <f t="shared" si="40"/>
        <v>33</v>
      </c>
      <c r="CW63" s="234">
        <f t="shared" si="41"/>
        <v>4.8487499999999999</v>
      </c>
      <c r="CX63" s="234" cm="1">
        <f t="array" ref="CX63">$BM63 * IF($AH63&lt;=2,
SUMPRODUCT(INDEX($AV$61:$AX$65,,$AI63), INDEX($AY$61:$BE$65,,$AH63), 1 / ($BF$61:$BF$65*CW63 + (1-$BF$61:$BF$65)*CS63), N($AU$61:$AU$65&gt;$AM63)),
SUMPRODUCT(INDEX($AV$46:$AX$55,,$AI63), INDEX($AY$46:$BE$55,,$AH63), 1 / ($BG$46:$BG$55*CW63 + (1-$BG$46:$BG$55)*CS63), N($AU$46:$AU$55&gt;$AM63))
) / 1000</f>
        <v>0</v>
      </c>
      <c r="CY63" s="234" cm="1">
        <f t="array" ref="CY63">$BM63 * IF($AH63&lt;=2,
SUMPRODUCT(INDEX($AV$22:$AX$60,,$AI63), INDEX($AY$22:$BE$60,,$AH63), 1 / ($BF$22:$BF$60*CW63), N($AU$22:$AU$60&gt;$AM63)),
SUMPRODUCT(INDEX($AV$22:$AX$45,,$AI63), INDEX($AY$22:$BE$45,,$AH63), 1 / ($BG$22:$BG$45*CW63), N($AU$22:$AU$45&gt;$AM63))
) / 1000</f>
        <v>0</v>
      </c>
      <c r="CZ63" s="229">
        <f t="shared" si="42"/>
        <v>0</v>
      </c>
      <c r="DA63" s="246"/>
    </row>
    <row r="64" spans="1:105" s="75" customFormat="1" ht="14.25" customHeight="1" x14ac:dyDescent="0.25">
      <c r="A64" s="230" t="b">
        <f t="shared" si="0"/>
        <v>0</v>
      </c>
      <c r="B64" s="253">
        <v>43</v>
      </c>
      <c r="C64" s="266"/>
      <c r="D64" s="266"/>
      <c r="E64" s="254"/>
      <c r="F64" s="255" t="str">
        <f>IF(ISBLANK(E64), "", VLOOKUP(E64, Z!$A$2:$C$4127, 3, FALSE))</f>
        <v/>
      </c>
      <c r="G64" s="256"/>
      <c r="H64" s="256"/>
      <c r="I64" s="256"/>
      <c r="J64" s="257"/>
      <c r="K64" s="258"/>
      <c r="L64" s="267"/>
      <c r="M64" s="268"/>
      <c r="N64" s="259" t="str" cm="1">
        <f t="array" ref="N64">IF($L64&gt;0, INDEX(Clean,1+AK64,$D$1), "")</f>
        <v/>
      </c>
      <c r="O64" s="260"/>
      <c r="P64" s="260"/>
      <c r="Q64" s="261"/>
      <c r="R64" s="264">
        <f t="shared" si="7"/>
        <v>0</v>
      </c>
      <c r="S64" s="259" t="str" cm="1">
        <f t="array" ref="S64">IF($L64&gt;0, INDEX(Clean,1+AL64,$D$1), "")</f>
        <v/>
      </c>
      <c r="T64" s="260"/>
      <c r="U64" s="260"/>
      <c r="V64" s="261"/>
      <c r="W64" s="267"/>
      <c r="X64" s="267"/>
      <c r="Y64" s="257"/>
      <c r="Z64" s="264">
        <f t="shared" si="8"/>
        <v>0</v>
      </c>
      <c r="AA64" s="269"/>
      <c r="AB64" s="266"/>
      <c r="AC64" s="254"/>
      <c r="AD64" s="255" t="str">
        <f>IF(ISBLANK(AC64), "", VLOOKUP(AC64, Z!$A$2:$C$4127, 3, FALSE))</f>
        <v/>
      </c>
      <c r="AE64" s="270"/>
      <c r="AF64" s="265">
        <f t="shared" si="9"/>
        <v>0</v>
      </c>
      <c r="AG64" s="246"/>
      <c r="AH64" s="228">
        <f t="shared" ref="AH64" si="203">IF(ISBLANK(I64), 1, IFERROR(MATCH(I64, INDEX(Use,,1), 0), IFERROR(MATCH(I64, INDEX(Use,,2), 0), MATCH(I64, INDEX(Use,,3), 0))))</f>
        <v>1</v>
      </c>
      <c r="AI64" s="228">
        <f t="shared" ref="AI64" si="204">IF(ISBLANK(H64), 1, IFERROR(MATCH(H64, INDEX(Loc,,1), 0), IFERROR(MATCH(H64, INDEX(Loc,,2), 0), MATCH(H64, INDEX(Loc,,3), 0))))</f>
        <v>1</v>
      </c>
      <c r="AJ64" s="228">
        <f t="shared" ref="AJ64" si="205">_xlfn.IFNA(IF(IFERROR(MATCH(J64, INDEX(Medium,,1), 0), IFERROR(MATCH(J64, INDEX(Medium,,2), 0), MATCH(J64, INDEX(Medium,,3), 0))) = 2, 1, 0), 0)</f>
        <v>0</v>
      </c>
      <c r="AK64" s="228">
        <v>0</v>
      </c>
      <c r="AL64" s="228">
        <v>0</v>
      </c>
      <c r="AM64" s="228">
        <f t="shared" si="4"/>
        <v>-100</v>
      </c>
      <c r="AN64" s="228" cm="1">
        <f t="array" ref="AN64">IF(ISBLANK(G64), 1, IFERROR(MATCH(G64, INDEX(Kat,,1), 0), IFERROR(MATCH(Kat, INDEX(Use,,2), 0), MATCH(Kat, INDEX(Use,,3), 0))))</f>
        <v>1</v>
      </c>
      <c r="AO64" s="246"/>
      <c r="AP64" s="228" cm="1">
        <f t="array" ref="AP64">IF(W64&gt;0, INDEX(Kat, AN64,4), 0)</f>
        <v>0</v>
      </c>
      <c r="AQ64" s="228">
        <f t="shared" ref="AQ64" si="206">IF(ISBLANK(Y64), 0, IFERROR(MATCH(Y64, INDEX(Month,,1), 0), IFERROR(MATCH(Y64, INDEX(Month,,2), 0), MATCH(Y64, INDEX(Month,,3), 0))))</f>
        <v>0</v>
      </c>
      <c r="AR64" s="228" cm="1">
        <f t="array" ref="AR64">IF(X64&gt;0, INDEX(Kat, $AN64, 4+AQ64), 0)</f>
        <v>0</v>
      </c>
      <c r="AS64" s="228" cm="1">
        <f t="array" ref="AS64">IF(X64&gt;0, INDEX(Kat, $AN64, 9+AQ64), 0)</f>
        <v>0</v>
      </c>
      <c r="AT64" s="246"/>
      <c r="AU64" s="228">
        <v>23</v>
      </c>
      <c r="AV64" s="231">
        <v>208</v>
      </c>
      <c r="AW64" s="231">
        <v>135</v>
      </c>
      <c r="AX64" s="231">
        <v>114</v>
      </c>
      <c r="AY64" s="232">
        <f t="shared" si="6"/>
        <v>0.25</v>
      </c>
      <c r="AZ64" s="232">
        <f t="shared" si="6"/>
        <v>0.25</v>
      </c>
      <c r="BA64" s="232" t="e" cm="1">
        <f t="array" ref="BA64">MIN(INDEX(Use,BA$20,5) + MAX(0, (1-INDEX(Use,BA$20,5))*($AU64-5)/(35-5)), 1)</f>
        <v>#REF!</v>
      </c>
      <c r="BB64" s="232" t="e" cm="1">
        <f t="array" ref="BB64">MIN(INDEX(Use,BB$20,5) + MAX(0, (1-INDEX(Use,BB$20,5))*($AU64-5)/(35-5)), 1)</f>
        <v>#REF!</v>
      </c>
      <c r="BC64" s="232" t="e" cm="1">
        <f t="array" ref="BC64">MIN(INDEX(Use,BC$20,5) + MAX(0, (1-INDEX(Use,BC$20,5))*($AU64-5)/(35-5)), 1)</f>
        <v>#REF!</v>
      </c>
      <c r="BD64" s="232" t="e" cm="1">
        <f t="array" ref="BD64">MIN(INDEX(Use,BD$20,5) + MAX(0, (1-INDEX(Use,BD$20,5))*($AU64-5)/(35-5)), 1)</f>
        <v>#REF!</v>
      </c>
      <c r="BE64" s="232" t="e" cm="1">
        <f t="array" ref="BE64">MIN(INDEX(Use,BE$20,5) + MAX(0, (1-INDEX(Use,BE$20,5))*($AU64-5)/(35-5)), 1)</f>
        <v>#REF!</v>
      </c>
      <c r="BF64" s="232">
        <v>0.4</v>
      </c>
      <c r="BG64" s="232">
        <v>0.2</v>
      </c>
      <c r="BH64" s="210"/>
      <c r="BI64" s="228" cm="1">
        <f t="array" ref="BI64">INDEX(Use, $AH64, 4)</f>
        <v>7</v>
      </c>
      <c r="BJ64" s="228">
        <f t="shared" si="14"/>
        <v>32</v>
      </c>
      <c r="BK64" s="228">
        <f t="shared" si="15"/>
        <v>13</v>
      </c>
      <c r="BL64" s="228">
        <f t="shared" si="16"/>
        <v>0</v>
      </c>
      <c r="BM64" s="233" cm="1">
        <f t="array" ref="BM64">L64/IF($M64&gt;0, INDEX($AY$22:$BE$76, $M64+20, $AH64), 1)</f>
        <v>0</v>
      </c>
      <c r="BN64" s="229">
        <f t="shared" si="17"/>
        <v>0</v>
      </c>
      <c r="BO64" s="228">
        <v>35</v>
      </c>
      <c r="BP64" s="229">
        <f t="shared" si="18"/>
        <v>48</v>
      </c>
      <c r="BQ64" s="234">
        <f t="shared" si="19"/>
        <v>3.0748170731707316</v>
      </c>
      <c r="BR64" s="234" cm="1">
        <f t="array" ref="BR64">$BM64 * SUMPRODUCT(INDEX($AV$76:$AX$81,,$AI64),INDEX($AY$76:$BE$81,,$AH64), N($AU$76:$AU$81&gt;$AM64)) / BQ64 / 1000</f>
        <v>0</v>
      </c>
      <c r="BS64" s="231">
        <f t="shared" si="20"/>
        <v>30</v>
      </c>
      <c r="BT64" s="229">
        <f t="shared" si="21"/>
        <v>43</v>
      </c>
      <c r="BU64" s="234">
        <f t="shared" si="22"/>
        <v>3.5018750000000001</v>
      </c>
      <c r="BV64" s="234" cm="1">
        <f t="array" ref="BV64">$BM64 * IF($AH64&lt;=2,
SUMPRODUCT(INDEX($AV$71:$AX$75,,$AI64), INDEX($AY$71:$BE$75,,$AH64), 1 / ($BF$71:$BF$75*BU64 + (1-$BF$71:$BF$75)*BQ64), N($AU$71:$AU$75&gt;$AM64)),
SUMPRODUCT(INDEX($AV$66:$AX$75,,$AI64), INDEX($AY$66:$BE$75,,$AH64), 1 / ($BG$66:$BG$75*BU64 + (1-$BG$66:$BG$75)*BQ64), N($AU$66:$AU$75&gt;$AM64))
) / 1000</f>
        <v>0</v>
      </c>
      <c r="BW64" s="231">
        <f t="shared" si="23"/>
        <v>25</v>
      </c>
      <c r="BX64" s="229">
        <f t="shared" si="24"/>
        <v>38</v>
      </c>
      <c r="BY64" s="234">
        <f t="shared" si="25"/>
        <v>4.0666935483870965</v>
      </c>
      <c r="BZ64" s="234" cm="1">
        <f t="array" ref="BZ64">$BM64 * IF($AH64&lt;=2,
SUMPRODUCT(INDEX($AV$66:$AX$70,,$AI64), INDEX($AY$66:$BE$70,,$AH64), 1 / ($BF$66:$BF$70*BY64 + (1-$BF$66:$BF$70)*BU64), N($AU$66:$AU$70&gt;$AM64)),
SUMPRODUCT(INDEX($AV$56:$AX$65,,$AI64), INDEX($AY$56:$BE$65,,$AH64), 1 / ($BG$56:$BG$65*BY64 + (1-$BG$56:$BG$65)*BU64), N($AU$56:$AU$65&gt;$AM64))
) / 1000</f>
        <v>0</v>
      </c>
      <c r="CA64" s="231">
        <f t="shared" si="26"/>
        <v>20</v>
      </c>
      <c r="CB64" s="229">
        <f t="shared" si="27"/>
        <v>33</v>
      </c>
      <c r="CC64" s="234">
        <f t="shared" si="28"/>
        <v>4.8487499999999999</v>
      </c>
      <c r="CD64" s="234" cm="1">
        <f t="array" ref="CD64">$BM64 * IF($AH64&lt;=2,
SUMPRODUCT(INDEX($AV$61:$AX$65,,$AI64), INDEX($AY$61:$BE$65,,$AH64), 1 / ($BF$61:$BF$65*CC64 + (1-$BF$61:$BF$65)*BY64), N($AU$61:$AU$65&gt;$AM64)),
SUMPRODUCT(INDEX($AV$46:$AX$55,,$AI64), INDEX($AY$46:$BE$55,,$AH64), 1 / ($BG$46:$BG$55*CC64 + (1-$BG$46:$BG$55)*BY64), N($AU$46:$AU$55&gt;$AM64))
) / 1000</f>
        <v>0</v>
      </c>
      <c r="CE64" s="234" cm="1">
        <f t="array" ref="CE64">$BM64 * IF($AH64&lt;=2,
SUMPRODUCT(INDEX($AV$22:$AX$60,,$AI64), INDEX($AY$22:$BE$60,,$AH64), 1 / ($BF$22:$BF$60*CC64), N($AU$22:$AU$60&gt;$AM64)),
SUMPRODUCT(INDEX($AV$22:$AX$45,,$AI64), INDEX($AY$22:$BE$45,,$AH64), 1 / ($BG$22:$BG$45*CC64), N($AU$22:$AU$45&gt;$AM64))
) / 1000</f>
        <v>0</v>
      </c>
      <c r="CF64" s="229">
        <f t="shared" si="29"/>
        <v>0</v>
      </c>
      <c r="CG64" s="246"/>
      <c r="CH64" s="229">
        <f t="shared" si="30"/>
        <v>0</v>
      </c>
      <c r="CI64" s="228">
        <v>35</v>
      </c>
      <c r="CJ64" s="229">
        <f t="shared" si="31"/>
        <v>48</v>
      </c>
      <c r="CK64" s="234">
        <f t="shared" si="32"/>
        <v>3.0748170731707316</v>
      </c>
      <c r="CL64" s="234" cm="1">
        <f t="array" ref="CL64">$BM64 * SUMPRODUCT(INDEX($AV$76:$AX$81,,$AI64),INDEX($AY$76:$BE$81,,$AH64), N($AU$76:$AU$81&gt;$AM64)) / CK64 / 1000</f>
        <v>0</v>
      </c>
      <c r="CM64" s="231">
        <f t="shared" si="33"/>
        <v>30</v>
      </c>
      <c r="CN64" s="229">
        <f t="shared" si="34"/>
        <v>43</v>
      </c>
      <c r="CO64" s="234">
        <f t="shared" si="35"/>
        <v>3.5018750000000001</v>
      </c>
      <c r="CP64" s="234" cm="1">
        <f t="array" ref="CP64">$BM64 * IF($AH64&lt;=2,
SUMPRODUCT(INDEX($AV$71:$AX$75,,$AI64), INDEX($AY$71:$BE$75,,$AH64), 1 / ($BF$71:$BF$75*CO64 + (1-$BF$71:$BF$75)*CK64), N($AU$71:$AU$75&gt;$AM64)),
SUMPRODUCT(INDEX($AV$66:$AX$75,,$AI64), INDEX($AY$66:$BE$75,,$AH64), 1 / ($BG$66:$BG$75*CO64 + (1-$BG$66:$BG$75)*CK64), N($AU$66:$AU$75&gt;$AM64))
) / 1000</f>
        <v>0</v>
      </c>
      <c r="CQ64" s="231">
        <f t="shared" si="36"/>
        <v>25</v>
      </c>
      <c r="CR64" s="229">
        <f t="shared" si="37"/>
        <v>38</v>
      </c>
      <c r="CS64" s="234">
        <f t="shared" si="38"/>
        <v>4.0666935483870965</v>
      </c>
      <c r="CT64" s="234" cm="1">
        <f t="array" ref="CT64">$BM64 * IF($AH64&lt;=2,
SUMPRODUCT(INDEX($AV$66:$AX$70,,$AI64), INDEX($AY$66:$BE$70,,$AH64), 1 / ($BF$66:$BF$70*CS64 + (1-$BF$66:$BF$70)*CO64), N($AU$66:$AU$70&gt;$AM64)),
SUMPRODUCT(INDEX($AV$56:$AX$65,,$AI64), INDEX($AY$56:$BE$65,,$AH64), 1 / ($BG$56:$BG$65*CS64 + (1-$BG$56:$BG$65)*CO64), N($AU$56:$AU$65&gt;$AM64))
) / 1000</f>
        <v>0</v>
      </c>
      <c r="CU64" s="231">
        <f t="shared" si="39"/>
        <v>20</v>
      </c>
      <c r="CV64" s="229">
        <f t="shared" si="40"/>
        <v>33</v>
      </c>
      <c r="CW64" s="234">
        <f t="shared" si="41"/>
        <v>4.8487499999999999</v>
      </c>
      <c r="CX64" s="234" cm="1">
        <f t="array" ref="CX64">$BM64 * IF($AH64&lt;=2,
SUMPRODUCT(INDEX($AV$61:$AX$65,,$AI64), INDEX($AY$61:$BE$65,,$AH64), 1 / ($BF$61:$BF$65*CW64 + (1-$BF$61:$BF$65)*CS64), N($AU$61:$AU$65&gt;$AM64)),
SUMPRODUCT(INDEX($AV$46:$AX$55,,$AI64), INDEX($AY$46:$BE$55,,$AH64), 1 / ($BG$46:$BG$55*CW64 + (1-$BG$46:$BG$55)*CS64), N($AU$46:$AU$55&gt;$AM64))
) / 1000</f>
        <v>0</v>
      </c>
      <c r="CY64" s="234" cm="1">
        <f t="array" ref="CY64">$BM64 * IF($AH64&lt;=2,
SUMPRODUCT(INDEX($AV$22:$AX$60,,$AI64), INDEX($AY$22:$BE$60,,$AH64), 1 / ($BF$22:$BF$60*CW64), N($AU$22:$AU$60&gt;$AM64)),
SUMPRODUCT(INDEX($AV$22:$AX$45,,$AI64), INDEX($AY$22:$BE$45,,$AH64), 1 / ($BG$22:$BG$45*CW64), N($AU$22:$AU$45&gt;$AM64))
) / 1000</f>
        <v>0</v>
      </c>
      <c r="CZ64" s="229">
        <f t="shared" si="42"/>
        <v>0</v>
      </c>
      <c r="DA64" s="246"/>
    </row>
    <row r="65" spans="1:105" s="75" customFormat="1" ht="14.25" customHeight="1" x14ac:dyDescent="0.25">
      <c r="A65" s="230" t="b">
        <f t="shared" si="0"/>
        <v>0</v>
      </c>
      <c r="B65" s="253">
        <v>44</v>
      </c>
      <c r="C65" s="266"/>
      <c r="D65" s="266"/>
      <c r="E65" s="254"/>
      <c r="F65" s="255" t="str">
        <f>IF(ISBLANK(E65), "", VLOOKUP(E65, Z!$A$2:$C$4127, 3, FALSE))</f>
        <v/>
      </c>
      <c r="G65" s="256"/>
      <c r="H65" s="256"/>
      <c r="I65" s="256"/>
      <c r="J65" s="257"/>
      <c r="K65" s="258"/>
      <c r="L65" s="267"/>
      <c r="M65" s="268"/>
      <c r="N65" s="259" t="str" cm="1">
        <f t="array" ref="N65">IF($L65&gt;0, INDEX(Clean,1+AK65,$D$1), "")</f>
        <v/>
      </c>
      <c r="O65" s="260"/>
      <c r="P65" s="260"/>
      <c r="Q65" s="261"/>
      <c r="R65" s="264">
        <f t="shared" si="7"/>
        <v>0</v>
      </c>
      <c r="S65" s="259" t="str" cm="1">
        <f t="array" ref="S65">IF($L65&gt;0, INDEX(Clean,1+AL65,$D$1), "")</f>
        <v/>
      </c>
      <c r="T65" s="260"/>
      <c r="U65" s="260"/>
      <c r="V65" s="261"/>
      <c r="W65" s="267"/>
      <c r="X65" s="267"/>
      <c r="Y65" s="257"/>
      <c r="Z65" s="264">
        <f t="shared" si="8"/>
        <v>0</v>
      </c>
      <c r="AA65" s="269"/>
      <c r="AB65" s="266"/>
      <c r="AC65" s="254"/>
      <c r="AD65" s="255" t="str">
        <f>IF(ISBLANK(AC65), "", VLOOKUP(AC65, Z!$A$2:$C$4127, 3, FALSE))</f>
        <v/>
      </c>
      <c r="AE65" s="270"/>
      <c r="AF65" s="265">
        <f t="shared" si="9"/>
        <v>0</v>
      </c>
      <c r="AG65" s="246"/>
      <c r="AH65" s="228">
        <f t="shared" ref="AH65" si="207">IF(ISBLANK(I65), 1, IFERROR(MATCH(I65, INDEX(Use,,1), 0), IFERROR(MATCH(I65, INDEX(Use,,2), 0), MATCH(I65, INDEX(Use,,3), 0))))</f>
        <v>1</v>
      </c>
      <c r="AI65" s="228">
        <f t="shared" ref="AI65" si="208">IF(ISBLANK(H65), 1, IFERROR(MATCH(H65, INDEX(Loc,,1), 0), IFERROR(MATCH(H65, INDEX(Loc,,2), 0), MATCH(H65, INDEX(Loc,,3), 0))))</f>
        <v>1</v>
      </c>
      <c r="AJ65" s="228">
        <f t="shared" ref="AJ65" si="209">_xlfn.IFNA(IF(IFERROR(MATCH(J65, INDEX(Medium,,1), 0), IFERROR(MATCH(J65, INDEX(Medium,,2), 0), MATCH(J65, INDEX(Medium,,3), 0))) = 2, 1, 0), 0)</f>
        <v>0</v>
      </c>
      <c r="AK65" s="228">
        <v>0</v>
      </c>
      <c r="AL65" s="228">
        <v>0</v>
      </c>
      <c r="AM65" s="228">
        <f t="shared" si="4"/>
        <v>-100</v>
      </c>
      <c r="AN65" s="228" cm="1">
        <f t="array" ref="AN65">IF(ISBLANK(G65), 1, IFERROR(MATCH(G65, INDEX(Kat,,1), 0), IFERROR(MATCH(Kat, INDEX(Use,,2), 0), MATCH(Kat, INDEX(Use,,3), 0))))</f>
        <v>1</v>
      </c>
      <c r="AO65" s="246"/>
      <c r="AP65" s="228" cm="1">
        <f t="array" ref="AP65">IF(W65&gt;0, INDEX(Kat, AN65,4), 0)</f>
        <v>0</v>
      </c>
      <c r="AQ65" s="228">
        <f t="shared" ref="AQ65" si="210">IF(ISBLANK(Y65), 0, IFERROR(MATCH(Y65, INDEX(Month,,1), 0), IFERROR(MATCH(Y65, INDEX(Month,,2), 0), MATCH(Y65, INDEX(Month,,3), 0))))</f>
        <v>0</v>
      </c>
      <c r="AR65" s="228" cm="1">
        <f t="array" ref="AR65">IF(X65&gt;0, INDEX(Kat, $AN65, 4+AQ65), 0)</f>
        <v>0</v>
      </c>
      <c r="AS65" s="228" cm="1">
        <f t="array" ref="AS65">IF(X65&gt;0, INDEX(Kat, $AN65, 9+AQ65), 0)</f>
        <v>0</v>
      </c>
      <c r="AT65" s="246"/>
      <c r="AU65" s="228">
        <v>24</v>
      </c>
      <c r="AV65" s="231">
        <v>179</v>
      </c>
      <c r="AW65" s="231">
        <v>135</v>
      </c>
      <c r="AX65" s="231">
        <v>103</v>
      </c>
      <c r="AY65" s="232">
        <f t="shared" si="6"/>
        <v>0.3125</v>
      </c>
      <c r="AZ65" s="232">
        <f t="shared" si="6"/>
        <v>0.3125</v>
      </c>
      <c r="BA65" s="232" t="e" cm="1">
        <f t="array" ref="BA65">MIN(INDEX(Use,BA$20,5) + MAX(0, (1-INDEX(Use,BA$20,5))*($AU65-5)/(35-5)), 1)</f>
        <v>#REF!</v>
      </c>
      <c r="BB65" s="232" t="e" cm="1">
        <f t="array" ref="BB65">MIN(INDEX(Use,BB$20,5) + MAX(0, (1-INDEX(Use,BB$20,5))*($AU65-5)/(35-5)), 1)</f>
        <v>#REF!</v>
      </c>
      <c r="BC65" s="232" t="e" cm="1">
        <f t="array" ref="BC65">MIN(INDEX(Use,BC$20,5) + MAX(0, (1-INDEX(Use,BC$20,5))*($AU65-5)/(35-5)), 1)</f>
        <v>#REF!</v>
      </c>
      <c r="BD65" s="232" t="e" cm="1">
        <f t="array" ref="BD65">MIN(INDEX(Use,BD$20,5) + MAX(0, (1-INDEX(Use,BD$20,5))*($AU65-5)/(35-5)), 1)</f>
        <v>#REF!</v>
      </c>
      <c r="BE65" s="232" t="e" cm="1">
        <f t="array" ref="BE65">MIN(INDEX(Use,BE$20,5) + MAX(0, (1-INDEX(Use,BE$20,5))*($AU65-5)/(35-5)), 1)</f>
        <v>#REF!</v>
      </c>
      <c r="BF65" s="232">
        <v>0.2</v>
      </c>
      <c r="BG65" s="232">
        <v>0.1</v>
      </c>
      <c r="BH65" s="210"/>
      <c r="BI65" s="228" cm="1">
        <f t="array" ref="BI65">INDEX(Use, $AH65, 4)</f>
        <v>7</v>
      </c>
      <c r="BJ65" s="228">
        <f t="shared" si="14"/>
        <v>32</v>
      </c>
      <c r="BK65" s="228">
        <f t="shared" si="15"/>
        <v>13</v>
      </c>
      <c r="BL65" s="228">
        <f t="shared" si="16"/>
        <v>0</v>
      </c>
      <c r="BM65" s="233" cm="1">
        <f t="array" ref="BM65">L65/IF($M65&gt;0, INDEX($AY$22:$BE$76, $M65+20, $AH65), 1)</f>
        <v>0</v>
      </c>
      <c r="BN65" s="229">
        <f t="shared" si="17"/>
        <v>0</v>
      </c>
      <c r="BO65" s="228">
        <v>35</v>
      </c>
      <c r="BP65" s="229">
        <f t="shared" si="18"/>
        <v>48</v>
      </c>
      <c r="BQ65" s="234">
        <f t="shared" si="19"/>
        <v>3.0748170731707316</v>
      </c>
      <c r="BR65" s="234" cm="1">
        <f t="array" ref="BR65">$BM65 * SUMPRODUCT(INDEX($AV$76:$AX$81,,$AI65),INDEX($AY$76:$BE$81,,$AH65), N($AU$76:$AU$81&gt;$AM65)) / BQ65 / 1000</f>
        <v>0</v>
      </c>
      <c r="BS65" s="231">
        <f t="shared" si="20"/>
        <v>30</v>
      </c>
      <c r="BT65" s="229">
        <f t="shared" si="21"/>
        <v>43</v>
      </c>
      <c r="BU65" s="234">
        <f t="shared" si="22"/>
        <v>3.5018750000000001</v>
      </c>
      <c r="BV65" s="234" cm="1">
        <f t="array" ref="BV65">$BM65 * IF($AH65&lt;=2,
SUMPRODUCT(INDEX($AV$71:$AX$75,,$AI65), INDEX($AY$71:$BE$75,,$AH65), 1 / ($BF$71:$BF$75*BU65 + (1-$BF$71:$BF$75)*BQ65), N($AU$71:$AU$75&gt;$AM65)),
SUMPRODUCT(INDEX($AV$66:$AX$75,,$AI65), INDEX($AY$66:$BE$75,,$AH65), 1 / ($BG$66:$BG$75*BU65 + (1-$BG$66:$BG$75)*BQ65), N($AU$66:$AU$75&gt;$AM65))
) / 1000</f>
        <v>0</v>
      </c>
      <c r="BW65" s="231">
        <f t="shared" si="23"/>
        <v>25</v>
      </c>
      <c r="BX65" s="229">
        <f t="shared" si="24"/>
        <v>38</v>
      </c>
      <c r="BY65" s="234">
        <f t="shared" si="25"/>
        <v>4.0666935483870965</v>
      </c>
      <c r="BZ65" s="234" cm="1">
        <f t="array" ref="BZ65">$BM65 * IF($AH65&lt;=2,
SUMPRODUCT(INDEX($AV$66:$AX$70,,$AI65), INDEX($AY$66:$BE$70,,$AH65), 1 / ($BF$66:$BF$70*BY65 + (1-$BF$66:$BF$70)*BU65), N($AU$66:$AU$70&gt;$AM65)),
SUMPRODUCT(INDEX($AV$56:$AX$65,,$AI65), INDEX($AY$56:$BE$65,,$AH65), 1 / ($BG$56:$BG$65*BY65 + (1-$BG$56:$BG$65)*BU65), N($AU$56:$AU$65&gt;$AM65))
) / 1000</f>
        <v>0</v>
      </c>
      <c r="CA65" s="231">
        <f t="shared" si="26"/>
        <v>20</v>
      </c>
      <c r="CB65" s="229">
        <f t="shared" si="27"/>
        <v>33</v>
      </c>
      <c r="CC65" s="234">
        <f t="shared" si="28"/>
        <v>4.8487499999999999</v>
      </c>
      <c r="CD65" s="234" cm="1">
        <f t="array" ref="CD65">$BM65 * IF($AH65&lt;=2,
SUMPRODUCT(INDEX($AV$61:$AX$65,,$AI65), INDEX($AY$61:$BE$65,,$AH65), 1 / ($BF$61:$BF$65*CC65 + (1-$BF$61:$BF$65)*BY65), N($AU$61:$AU$65&gt;$AM65)),
SUMPRODUCT(INDEX($AV$46:$AX$55,,$AI65), INDEX($AY$46:$BE$55,,$AH65), 1 / ($BG$46:$BG$55*CC65 + (1-$BG$46:$BG$55)*BY65), N($AU$46:$AU$55&gt;$AM65))
) / 1000</f>
        <v>0</v>
      </c>
      <c r="CE65" s="234" cm="1">
        <f t="array" ref="CE65">$BM65 * IF($AH65&lt;=2,
SUMPRODUCT(INDEX($AV$22:$AX$60,,$AI65), INDEX($AY$22:$BE$60,,$AH65), 1 / ($BF$22:$BF$60*CC65), N($AU$22:$AU$60&gt;$AM65)),
SUMPRODUCT(INDEX($AV$22:$AX$45,,$AI65), INDEX($AY$22:$BE$45,,$AH65), 1 / ($BG$22:$BG$45*CC65), N($AU$22:$AU$45&gt;$AM65))
) / 1000</f>
        <v>0</v>
      </c>
      <c r="CF65" s="229">
        <f t="shared" si="29"/>
        <v>0</v>
      </c>
      <c r="CG65" s="246"/>
      <c r="CH65" s="229">
        <f t="shared" si="30"/>
        <v>0</v>
      </c>
      <c r="CI65" s="228">
        <v>35</v>
      </c>
      <c r="CJ65" s="229">
        <f t="shared" si="31"/>
        <v>48</v>
      </c>
      <c r="CK65" s="234">
        <f t="shared" si="32"/>
        <v>3.0748170731707316</v>
      </c>
      <c r="CL65" s="234" cm="1">
        <f t="array" ref="CL65">$BM65 * SUMPRODUCT(INDEX($AV$76:$AX$81,,$AI65),INDEX($AY$76:$BE$81,,$AH65), N($AU$76:$AU$81&gt;$AM65)) / CK65 / 1000</f>
        <v>0</v>
      </c>
      <c r="CM65" s="231">
        <f t="shared" si="33"/>
        <v>30</v>
      </c>
      <c r="CN65" s="229">
        <f t="shared" si="34"/>
        <v>43</v>
      </c>
      <c r="CO65" s="234">
        <f t="shared" si="35"/>
        <v>3.5018750000000001</v>
      </c>
      <c r="CP65" s="234" cm="1">
        <f t="array" ref="CP65">$BM65 * IF($AH65&lt;=2,
SUMPRODUCT(INDEX($AV$71:$AX$75,,$AI65), INDEX($AY$71:$BE$75,,$AH65), 1 / ($BF$71:$BF$75*CO65 + (1-$BF$71:$BF$75)*CK65), N($AU$71:$AU$75&gt;$AM65)),
SUMPRODUCT(INDEX($AV$66:$AX$75,,$AI65), INDEX($AY$66:$BE$75,,$AH65), 1 / ($BG$66:$BG$75*CO65 + (1-$BG$66:$BG$75)*CK65), N($AU$66:$AU$75&gt;$AM65))
) / 1000</f>
        <v>0</v>
      </c>
      <c r="CQ65" s="231">
        <f t="shared" si="36"/>
        <v>25</v>
      </c>
      <c r="CR65" s="229">
        <f t="shared" si="37"/>
        <v>38</v>
      </c>
      <c r="CS65" s="234">
        <f t="shared" si="38"/>
        <v>4.0666935483870965</v>
      </c>
      <c r="CT65" s="234" cm="1">
        <f t="array" ref="CT65">$BM65 * IF($AH65&lt;=2,
SUMPRODUCT(INDEX($AV$66:$AX$70,,$AI65), INDEX($AY$66:$BE$70,,$AH65), 1 / ($BF$66:$BF$70*CS65 + (1-$BF$66:$BF$70)*CO65), N($AU$66:$AU$70&gt;$AM65)),
SUMPRODUCT(INDEX($AV$56:$AX$65,,$AI65), INDEX($AY$56:$BE$65,,$AH65), 1 / ($BG$56:$BG$65*CS65 + (1-$BG$56:$BG$65)*CO65), N($AU$56:$AU$65&gt;$AM65))
) / 1000</f>
        <v>0</v>
      </c>
      <c r="CU65" s="231">
        <f t="shared" si="39"/>
        <v>20</v>
      </c>
      <c r="CV65" s="229">
        <f t="shared" si="40"/>
        <v>33</v>
      </c>
      <c r="CW65" s="234">
        <f t="shared" si="41"/>
        <v>4.8487499999999999</v>
      </c>
      <c r="CX65" s="234" cm="1">
        <f t="array" ref="CX65">$BM65 * IF($AH65&lt;=2,
SUMPRODUCT(INDEX($AV$61:$AX$65,,$AI65), INDEX($AY$61:$BE$65,,$AH65), 1 / ($BF$61:$BF$65*CW65 + (1-$BF$61:$BF$65)*CS65), N($AU$61:$AU$65&gt;$AM65)),
SUMPRODUCT(INDEX($AV$46:$AX$55,,$AI65), INDEX($AY$46:$BE$55,,$AH65), 1 / ($BG$46:$BG$55*CW65 + (1-$BG$46:$BG$55)*CS65), N($AU$46:$AU$55&gt;$AM65))
) / 1000</f>
        <v>0</v>
      </c>
      <c r="CY65" s="234" cm="1">
        <f t="array" ref="CY65">$BM65 * IF($AH65&lt;=2,
SUMPRODUCT(INDEX($AV$22:$AX$60,,$AI65), INDEX($AY$22:$BE$60,,$AH65), 1 / ($BF$22:$BF$60*CW65), N($AU$22:$AU$60&gt;$AM65)),
SUMPRODUCT(INDEX($AV$22:$AX$45,,$AI65), INDEX($AY$22:$BE$45,,$AH65), 1 / ($BG$22:$BG$45*CW65), N($AU$22:$AU$45&gt;$AM65))
) / 1000</f>
        <v>0</v>
      </c>
      <c r="CZ65" s="229">
        <f t="shared" si="42"/>
        <v>0</v>
      </c>
      <c r="DA65" s="246"/>
    </row>
    <row r="66" spans="1:105" s="75" customFormat="1" ht="14.25" customHeight="1" x14ac:dyDescent="0.25">
      <c r="A66" s="230" t="b">
        <f t="shared" si="0"/>
        <v>0</v>
      </c>
      <c r="B66" s="253">
        <v>45</v>
      </c>
      <c r="C66" s="266"/>
      <c r="D66" s="266"/>
      <c r="E66" s="254"/>
      <c r="F66" s="255" t="str">
        <f>IF(ISBLANK(E66), "", VLOOKUP(E66, Z!$A$2:$C$4127, 3, FALSE))</f>
        <v/>
      </c>
      <c r="G66" s="256"/>
      <c r="H66" s="256"/>
      <c r="I66" s="256"/>
      <c r="J66" s="257"/>
      <c r="K66" s="258"/>
      <c r="L66" s="267"/>
      <c r="M66" s="268"/>
      <c r="N66" s="259" t="str" cm="1">
        <f t="array" ref="N66">IF($L66&gt;0, INDEX(Clean,1+AK66,$D$1), "")</f>
        <v/>
      </c>
      <c r="O66" s="260"/>
      <c r="P66" s="260"/>
      <c r="Q66" s="261"/>
      <c r="R66" s="264">
        <f t="shared" si="7"/>
        <v>0</v>
      </c>
      <c r="S66" s="259" t="str" cm="1">
        <f t="array" ref="S66">IF($L66&gt;0, INDEX(Clean,1+AL66,$D$1), "")</f>
        <v/>
      </c>
      <c r="T66" s="260"/>
      <c r="U66" s="260"/>
      <c r="V66" s="261"/>
      <c r="W66" s="267"/>
      <c r="X66" s="267"/>
      <c r="Y66" s="257"/>
      <c r="Z66" s="264">
        <f t="shared" si="8"/>
        <v>0</v>
      </c>
      <c r="AA66" s="269"/>
      <c r="AB66" s="266"/>
      <c r="AC66" s="254"/>
      <c r="AD66" s="255" t="str">
        <f>IF(ISBLANK(AC66), "", VLOOKUP(AC66, Z!$A$2:$C$4127, 3, FALSE))</f>
        <v/>
      </c>
      <c r="AE66" s="270"/>
      <c r="AF66" s="265">
        <f t="shared" si="9"/>
        <v>0</v>
      </c>
      <c r="AG66" s="246"/>
      <c r="AH66" s="228">
        <f t="shared" ref="AH66" si="211">IF(ISBLANK(I66), 1, IFERROR(MATCH(I66, INDEX(Use,,1), 0), IFERROR(MATCH(I66, INDEX(Use,,2), 0), MATCH(I66, INDEX(Use,,3), 0))))</f>
        <v>1</v>
      </c>
      <c r="AI66" s="228">
        <f t="shared" ref="AI66" si="212">IF(ISBLANK(H66), 1, IFERROR(MATCH(H66, INDEX(Loc,,1), 0), IFERROR(MATCH(H66, INDEX(Loc,,2), 0), MATCH(H66, INDEX(Loc,,3), 0))))</f>
        <v>1</v>
      </c>
      <c r="AJ66" s="228">
        <f t="shared" ref="AJ66" si="213">_xlfn.IFNA(IF(IFERROR(MATCH(J66, INDEX(Medium,,1), 0), IFERROR(MATCH(J66, INDEX(Medium,,2), 0), MATCH(J66, INDEX(Medium,,3), 0))) = 2, 1, 0), 0)</f>
        <v>0</v>
      </c>
      <c r="AK66" s="228">
        <v>0</v>
      </c>
      <c r="AL66" s="228">
        <v>0</v>
      </c>
      <c r="AM66" s="228">
        <f t="shared" si="4"/>
        <v>-100</v>
      </c>
      <c r="AN66" s="228" cm="1">
        <f t="array" ref="AN66">IF(ISBLANK(G66), 1, IFERROR(MATCH(G66, INDEX(Kat,,1), 0), IFERROR(MATCH(Kat, INDEX(Use,,2), 0), MATCH(Kat, INDEX(Use,,3), 0))))</f>
        <v>1</v>
      </c>
      <c r="AO66" s="246"/>
      <c r="AP66" s="228" cm="1">
        <f t="array" ref="AP66">IF(W66&gt;0, INDEX(Kat, AN66,4), 0)</f>
        <v>0</v>
      </c>
      <c r="AQ66" s="228">
        <f t="shared" ref="AQ66" si="214">IF(ISBLANK(Y66), 0, IFERROR(MATCH(Y66, INDEX(Month,,1), 0), IFERROR(MATCH(Y66, INDEX(Month,,2), 0), MATCH(Y66, INDEX(Month,,3), 0))))</f>
        <v>0</v>
      </c>
      <c r="AR66" s="228" cm="1">
        <f t="array" ref="AR66">IF(X66&gt;0, INDEX(Kat, $AN66, 4+AQ66), 0)</f>
        <v>0</v>
      </c>
      <c r="AS66" s="228" cm="1">
        <f t="array" ref="AS66">IF(X66&gt;0, INDEX(Kat, $AN66, 9+AQ66), 0)</f>
        <v>0</v>
      </c>
      <c r="AT66" s="246"/>
      <c r="AU66" s="228">
        <v>25</v>
      </c>
      <c r="AV66" s="231">
        <v>139</v>
      </c>
      <c r="AW66" s="231">
        <v>128</v>
      </c>
      <c r="AX66" s="231">
        <v>46</v>
      </c>
      <c r="AY66" s="232">
        <f t="shared" si="6"/>
        <v>0.375</v>
      </c>
      <c r="AZ66" s="232">
        <f t="shared" si="6"/>
        <v>0.375</v>
      </c>
      <c r="BA66" s="232" t="e" cm="1">
        <f t="array" ref="BA66">MIN(INDEX(Use,BA$20,5) + MAX(0, (1-INDEX(Use,BA$20,5))*($AU66-5)/(35-5)), 1)</f>
        <v>#REF!</v>
      </c>
      <c r="BB66" s="232" t="e" cm="1">
        <f t="array" ref="BB66">MIN(INDEX(Use,BB$20,5) + MAX(0, (1-INDEX(Use,BB$20,5))*($AU66-5)/(35-5)), 1)</f>
        <v>#REF!</v>
      </c>
      <c r="BC66" s="232" t="e" cm="1">
        <f t="array" ref="BC66">MIN(INDEX(Use,BC$20,5) + MAX(0, (1-INDEX(Use,BC$20,5))*($AU66-5)/(35-5)), 1)</f>
        <v>#REF!</v>
      </c>
      <c r="BD66" s="232" t="e" cm="1">
        <f t="array" ref="BD66">MIN(INDEX(Use,BD$20,5) + MAX(0, (1-INDEX(Use,BD$20,5))*($AU66-5)/(35-5)), 1)</f>
        <v>#REF!</v>
      </c>
      <c r="BE66" s="232" t="e" cm="1">
        <f t="array" ref="BE66">MIN(INDEX(Use,BE$20,5) + MAX(0, (1-INDEX(Use,BE$20,5))*($AU66-5)/(35-5)), 1)</f>
        <v>#REF!</v>
      </c>
      <c r="BF66" s="232">
        <v>1</v>
      </c>
      <c r="BG66" s="232">
        <v>1</v>
      </c>
      <c r="BH66" s="210"/>
      <c r="BI66" s="228" cm="1">
        <f t="array" ref="BI66">INDEX(Use, $AH66, 4)</f>
        <v>7</v>
      </c>
      <c r="BJ66" s="228">
        <f t="shared" si="14"/>
        <v>32</v>
      </c>
      <c r="BK66" s="228">
        <f t="shared" si="15"/>
        <v>13</v>
      </c>
      <c r="BL66" s="228">
        <f t="shared" si="16"/>
        <v>0</v>
      </c>
      <c r="BM66" s="233" cm="1">
        <f t="array" ref="BM66">L66/IF($M66&gt;0, INDEX($AY$22:$BE$76, $M66+20, $AH66), 1)</f>
        <v>0</v>
      </c>
      <c r="BN66" s="229">
        <f t="shared" si="17"/>
        <v>0</v>
      </c>
      <c r="BO66" s="228">
        <v>35</v>
      </c>
      <c r="BP66" s="229">
        <f t="shared" si="18"/>
        <v>48</v>
      </c>
      <c r="BQ66" s="234">
        <f t="shared" si="19"/>
        <v>3.0748170731707316</v>
      </c>
      <c r="BR66" s="234" cm="1">
        <f t="array" ref="BR66">$BM66 * SUMPRODUCT(INDEX($AV$76:$AX$81,,$AI66),INDEX($AY$76:$BE$81,,$AH66), N($AU$76:$AU$81&gt;$AM66)) / BQ66 / 1000</f>
        <v>0</v>
      </c>
      <c r="BS66" s="231">
        <f t="shared" si="20"/>
        <v>30</v>
      </c>
      <c r="BT66" s="229">
        <f t="shared" si="21"/>
        <v>43</v>
      </c>
      <c r="BU66" s="234">
        <f t="shared" si="22"/>
        <v>3.5018750000000001</v>
      </c>
      <c r="BV66" s="234" cm="1">
        <f t="array" ref="BV66">$BM66 * IF($AH66&lt;=2,
SUMPRODUCT(INDEX($AV$71:$AX$75,,$AI66), INDEX($AY$71:$BE$75,,$AH66), 1 / ($BF$71:$BF$75*BU66 + (1-$BF$71:$BF$75)*BQ66), N($AU$71:$AU$75&gt;$AM66)),
SUMPRODUCT(INDEX($AV$66:$AX$75,,$AI66), INDEX($AY$66:$BE$75,,$AH66), 1 / ($BG$66:$BG$75*BU66 + (1-$BG$66:$BG$75)*BQ66), N($AU$66:$AU$75&gt;$AM66))
) / 1000</f>
        <v>0</v>
      </c>
      <c r="BW66" s="231">
        <f t="shared" si="23"/>
        <v>25</v>
      </c>
      <c r="BX66" s="229">
        <f t="shared" si="24"/>
        <v>38</v>
      </c>
      <c r="BY66" s="234">
        <f t="shared" si="25"/>
        <v>4.0666935483870965</v>
      </c>
      <c r="BZ66" s="234" cm="1">
        <f t="array" ref="BZ66">$BM66 * IF($AH66&lt;=2,
SUMPRODUCT(INDEX($AV$66:$AX$70,,$AI66), INDEX($AY$66:$BE$70,,$AH66), 1 / ($BF$66:$BF$70*BY66 + (1-$BF$66:$BF$70)*BU66), N($AU$66:$AU$70&gt;$AM66)),
SUMPRODUCT(INDEX($AV$56:$AX$65,,$AI66), INDEX($AY$56:$BE$65,,$AH66), 1 / ($BG$56:$BG$65*BY66 + (1-$BG$56:$BG$65)*BU66), N($AU$56:$AU$65&gt;$AM66))
) / 1000</f>
        <v>0</v>
      </c>
      <c r="CA66" s="231">
        <f t="shared" si="26"/>
        <v>20</v>
      </c>
      <c r="CB66" s="229">
        <f t="shared" si="27"/>
        <v>33</v>
      </c>
      <c r="CC66" s="234">
        <f t="shared" si="28"/>
        <v>4.8487499999999999</v>
      </c>
      <c r="CD66" s="234" cm="1">
        <f t="array" ref="CD66">$BM66 * IF($AH66&lt;=2,
SUMPRODUCT(INDEX($AV$61:$AX$65,,$AI66), INDEX($AY$61:$BE$65,,$AH66), 1 / ($BF$61:$BF$65*CC66 + (1-$BF$61:$BF$65)*BY66), N($AU$61:$AU$65&gt;$AM66)),
SUMPRODUCT(INDEX($AV$46:$AX$55,,$AI66), INDEX($AY$46:$BE$55,,$AH66), 1 / ($BG$46:$BG$55*CC66 + (1-$BG$46:$BG$55)*BY66), N($AU$46:$AU$55&gt;$AM66))
) / 1000</f>
        <v>0</v>
      </c>
      <c r="CE66" s="234" cm="1">
        <f t="array" ref="CE66">$BM66 * IF($AH66&lt;=2,
SUMPRODUCT(INDEX($AV$22:$AX$60,,$AI66), INDEX($AY$22:$BE$60,,$AH66), 1 / ($BF$22:$BF$60*CC66), N($AU$22:$AU$60&gt;$AM66)),
SUMPRODUCT(INDEX($AV$22:$AX$45,,$AI66), INDEX($AY$22:$BE$45,,$AH66), 1 / ($BG$22:$BG$45*CC66), N($AU$22:$AU$45&gt;$AM66))
) / 1000</f>
        <v>0</v>
      </c>
      <c r="CF66" s="229">
        <f t="shared" si="29"/>
        <v>0</v>
      </c>
      <c r="CG66" s="246"/>
      <c r="CH66" s="229">
        <f t="shared" si="30"/>
        <v>0</v>
      </c>
      <c r="CI66" s="228">
        <v>35</v>
      </c>
      <c r="CJ66" s="229">
        <f t="shared" si="31"/>
        <v>48</v>
      </c>
      <c r="CK66" s="234">
        <f t="shared" si="32"/>
        <v>3.0748170731707316</v>
      </c>
      <c r="CL66" s="234" cm="1">
        <f t="array" ref="CL66">$BM66 * SUMPRODUCT(INDEX($AV$76:$AX$81,,$AI66),INDEX($AY$76:$BE$81,,$AH66), N($AU$76:$AU$81&gt;$AM66)) / CK66 / 1000</f>
        <v>0</v>
      </c>
      <c r="CM66" s="231">
        <f t="shared" si="33"/>
        <v>30</v>
      </c>
      <c r="CN66" s="229">
        <f t="shared" si="34"/>
        <v>43</v>
      </c>
      <c r="CO66" s="234">
        <f t="shared" si="35"/>
        <v>3.5018750000000001</v>
      </c>
      <c r="CP66" s="234" cm="1">
        <f t="array" ref="CP66">$BM66 * IF($AH66&lt;=2,
SUMPRODUCT(INDEX($AV$71:$AX$75,,$AI66), INDEX($AY$71:$BE$75,,$AH66), 1 / ($BF$71:$BF$75*CO66 + (1-$BF$71:$BF$75)*CK66), N($AU$71:$AU$75&gt;$AM66)),
SUMPRODUCT(INDEX($AV$66:$AX$75,,$AI66), INDEX($AY$66:$BE$75,,$AH66), 1 / ($BG$66:$BG$75*CO66 + (1-$BG$66:$BG$75)*CK66), N($AU$66:$AU$75&gt;$AM66))
) / 1000</f>
        <v>0</v>
      </c>
      <c r="CQ66" s="231">
        <f t="shared" si="36"/>
        <v>25</v>
      </c>
      <c r="CR66" s="229">
        <f t="shared" si="37"/>
        <v>38</v>
      </c>
      <c r="CS66" s="234">
        <f t="shared" si="38"/>
        <v>4.0666935483870965</v>
      </c>
      <c r="CT66" s="234" cm="1">
        <f t="array" ref="CT66">$BM66 * IF($AH66&lt;=2,
SUMPRODUCT(INDEX($AV$66:$AX$70,,$AI66), INDEX($AY$66:$BE$70,,$AH66), 1 / ($BF$66:$BF$70*CS66 + (1-$BF$66:$BF$70)*CO66), N($AU$66:$AU$70&gt;$AM66)),
SUMPRODUCT(INDEX($AV$56:$AX$65,,$AI66), INDEX($AY$56:$BE$65,,$AH66), 1 / ($BG$56:$BG$65*CS66 + (1-$BG$56:$BG$65)*CO66), N($AU$56:$AU$65&gt;$AM66))
) / 1000</f>
        <v>0</v>
      </c>
      <c r="CU66" s="231">
        <f t="shared" si="39"/>
        <v>20</v>
      </c>
      <c r="CV66" s="229">
        <f t="shared" si="40"/>
        <v>33</v>
      </c>
      <c r="CW66" s="234">
        <f t="shared" si="41"/>
        <v>4.8487499999999999</v>
      </c>
      <c r="CX66" s="234" cm="1">
        <f t="array" ref="CX66">$BM66 * IF($AH66&lt;=2,
SUMPRODUCT(INDEX($AV$61:$AX$65,,$AI66), INDEX($AY$61:$BE$65,,$AH66), 1 / ($BF$61:$BF$65*CW66 + (1-$BF$61:$BF$65)*CS66), N($AU$61:$AU$65&gt;$AM66)),
SUMPRODUCT(INDEX($AV$46:$AX$55,,$AI66), INDEX($AY$46:$BE$55,,$AH66), 1 / ($BG$46:$BG$55*CW66 + (1-$BG$46:$BG$55)*CS66), N($AU$46:$AU$55&gt;$AM66))
) / 1000</f>
        <v>0</v>
      </c>
      <c r="CY66" s="234" cm="1">
        <f t="array" ref="CY66">$BM66 * IF($AH66&lt;=2,
SUMPRODUCT(INDEX($AV$22:$AX$60,,$AI66), INDEX($AY$22:$BE$60,,$AH66), 1 / ($BF$22:$BF$60*CW66), N($AU$22:$AU$60&gt;$AM66)),
SUMPRODUCT(INDEX($AV$22:$AX$45,,$AI66), INDEX($AY$22:$BE$45,,$AH66), 1 / ($BG$22:$BG$45*CW66), N($AU$22:$AU$45&gt;$AM66))
) / 1000</f>
        <v>0</v>
      </c>
      <c r="CZ66" s="229">
        <f t="shared" si="42"/>
        <v>0</v>
      </c>
      <c r="DA66" s="246"/>
    </row>
    <row r="67" spans="1:105" s="75" customFormat="1" ht="14.25" customHeight="1" x14ac:dyDescent="0.25">
      <c r="A67" s="230" t="b">
        <f t="shared" si="0"/>
        <v>0</v>
      </c>
      <c r="B67" s="253">
        <v>46</v>
      </c>
      <c r="C67" s="266"/>
      <c r="D67" s="266"/>
      <c r="E67" s="254"/>
      <c r="F67" s="255" t="str">
        <f>IF(ISBLANK(E67), "", VLOOKUP(E67, Z!$A$2:$C$4127, 3, FALSE))</f>
        <v/>
      </c>
      <c r="G67" s="256"/>
      <c r="H67" s="256"/>
      <c r="I67" s="256"/>
      <c r="J67" s="257"/>
      <c r="K67" s="258"/>
      <c r="L67" s="267"/>
      <c r="M67" s="268"/>
      <c r="N67" s="259" t="str" cm="1">
        <f t="array" ref="N67">IF($L67&gt;0, INDEX(Clean,1+AK67,$D$1), "")</f>
        <v/>
      </c>
      <c r="O67" s="260"/>
      <c r="P67" s="260"/>
      <c r="Q67" s="261"/>
      <c r="R67" s="264">
        <f t="shared" si="7"/>
        <v>0</v>
      </c>
      <c r="S67" s="259" t="str" cm="1">
        <f t="array" ref="S67">IF($L67&gt;0, INDEX(Clean,1+AL67,$D$1), "")</f>
        <v/>
      </c>
      <c r="T67" s="260"/>
      <c r="U67" s="260"/>
      <c r="V67" s="261"/>
      <c r="W67" s="267"/>
      <c r="X67" s="267"/>
      <c r="Y67" s="257"/>
      <c r="Z67" s="264">
        <f t="shared" si="8"/>
        <v>0</v>
      </c>
      <c r="AA67" s="269"/>
      <c r="AB67" s="266"/>
      <c r="AC67" s="254"/>
      <c r="AD67" s="255" t="str">
        <f>IF(ISBLANK(AC67), "", VLOOKUP(AC67, Z!$A$2:$C$4127, 3, FALSE))</f>
        <v/>
      </c>
      <c r="AE67" s="270"/>
      <c r="AF67" s="265">
        <f t="shared" si="9"/>
        <v>0</v>
      </c>
      <c r="AG67" s="246"/>
      <c r="AH67" s="228">
        <f t="shared" ref="AH67" si="215">IF(ISBLANK(I67), 1, IFERROR(MATCH(I67, INDEX(Use,,1), 0), IFERROR(MATCH(I67, INDEX(Use,,2), 0), MATCH(I67, INDEX(Use,,3), 0))))</f>
        <v>1</v>
      </c>
      <c r="AI67" s="228">
        <f t="shared" ref="AI67" si="216">IF(ISBLANK(H67), 1, IFERROR(MATCH(H67, INDEX(Loc,,1), 0), IFERROR(MATCH(H67, INDEX(Loc,,2), 0), MATCH(H67, INDEX(Loc,,3), 0))))</f>
        <v>1</v>
      </c>
      <c r="AJ67" s="228">
        <f t="shared" ref="AJ67" si="217">_xlfn.IFNA(IF(IFERROR(MATCH(J67, INDEX(Medium,,1), 0), IFERROR(MATCH(J67, INDEX(Medium,,2), 0), MATCH(J67, INDEX(Medium,,3), 0))) = 2, 1, 0), 0)</f>
        <v>0</v>
      </c>
      <c r="AK67" s="228">
        <v>0</v>
      </c>
      <c r="AL67" s="228">
        <v>0</v>
      </c>
      <c r="AM67" s="228">
        <f t="shared" si="4"/>
        <v>-100</v>
      </c>
      <c r="AN67" s="228" cm="1">
        <f t="array" ref="AN67">IF(ISBLANK(G67), 1, IFERROR(MATCH(G67, INDEX(Kat,,1), 0), IFERROR(MATCH(Kat, INDEX(Use,,2), 0), MATCH(Kat, INDEX(Use,,3), 0))))</f>
        <v>1</v>
      </c>
      <c r="AO67" s="246"/>
      <c r="AP67" s="228" cm="1">
        <f t="array" ref="AP67">IF(W67&gt;0, INDEX(Kat, AN67,4), 0)</f>
        <v>0</v>
      </c>
      <c r="AQ67" s="228">
        <f t="shared" ref="AQ67" si="218">IF(ISBLANK(Y67), 0, IFERROR(MATCH(Y67, INDEX(Month,,1), 0), IFERROR(MATCH(Y67, INDEX(Month,,2), 0), MATCH(Y67, INDEX(Month,,3), 0))))</f>
        <v>0</v>
      </c>
      <c r="AR67" s="228" cm="1">
        <f t="array" ref="AR67">IF(X67&gt;0, INDEX(Kat, $AN67, 4+AQ67), 0)</f>
        <v>0</v>
      </c>
      <c r="AS67" s="228" cm="1">
        <f t="array" ref="AS67">IF(X67&gt;0, INDEX(Kat, $AN67, 9+AQ67), 0)</f>
        <v>0</v>
      </c>
      <c r="AT67" s="246"/>
      <c r="AU67" s="228">
        <v>26</v>
      </c>
      <c r="AV67" s="231">
        <v>149</v>
      </c>
      <c r="AW67" s="231">
        <v>99</v>
      </c>
      <c r="AX67" s="231">
        <v>47</v>
      </c>
      <c r="AY67" s="232">
        <f t="shared" si="6"/>
        <v>0.4375</v>
      </c>
      <c r="AZ67" s="232">
        <f t="shared" si="6"/>
        <v>0.4375</v>
      </c>
      <c r="BA67" s="232" t="e" cm="1">
        <f t="array" ref="BA67">MIN(INDEX(Use,BA$20,5) + MAX(0, (1-INDEX(Use,BA$20,5))*($AU67-5)/(35-5)), 1)</f>
        <v>#REF!</v>
      </c>
      <c r="BB67" s="232" t="e" cm="1">
        <f t="array" ref="BB67">MIN(INDEX(Use,BB$20,5) + MAX(0, (1-INDEX(Use,BB$20,5))*($AU67-5)/(35-5)), 1)</f>
        <v>#REF!</v>
      </c>
      <c r="BC67" s="232" t="e" cm="1">
        <f t="array" ref="BC67">MIN(INDEX(Use,BC$20,5) + MAX(0, (1-INDEX(Use,BC$20,5))*($AU67-5)/(35-5)), 1)</f>
        <v>#REF!</v>
      </c>
      <c r="BD67" s="232" t="e" cm="1">
        <f t="array" ref="BD67">MIN(INDEX(Use,BD$20,5) + MAX(0, (1-INDEX(Use,BD$20,5))*($AU67-5)/(35-5)), 1)</f>
        <v>#REF!</v>
      </c>
      <c r="BE67" s="232" t="e" cm="1">
        <f t="array" ref="BE67">MIN(INDEX(Use,BE$20,5) + MAX(0, (1-INDEX(Use,BE$20,5))*($AU67-5)/(35-5)), 1)</f>
        <v>#REF!</v>
      </c>
      <c r="BF67" s="232">
        <v>0.8</v>
      </c>
      <c r="BG67" s="232">
        <v>0.9</v>
      </c>
      <c r="BH67" s="210"/>
      <c r="BI67" s="228" cm="1">
        <f t="array" ref="BI67">INDEX(Use, $AH67, 4)</f>
        <v>7</v>
      </c>
      <c r="BJ67" s="228">
        <f t="shared" si="14"/>
        <v>32</v>
      </c>
      <c r="BK67" s="228">
        <f t="shared" si="15"/>
        <v>13</v>
      </c>
      <c r="BL67" s="228">
        <f t="shared" si="16"/>
        <v>0</v>
      </c>
      <c r="BM67" s="233" cm="1">
        <f t="array" ref="BM67">L67/IF($M67&gt;0, INDEX($AY$22:$BE$76, $M67+20, $AH67), 1)</f>
        <v>0</v>
      </c>
      <c r="BN67" s="229">
        <f t="shared" si="17"/>
        <v>0</v>
      </c>
      <c r="BO67" s="228">
        <v>35</v>
      </c>
      <c r="BP67" s="229">
        <f t="shared" si="18"/>
        <v>48</v>
      </c>
      <c r="BQ67" s="234">
        <f t="shared" si="19"/>
        <v>3.0748170731707316</v>
      </c>
      <c r="BR67" s="234" cm="1">
        <f t="array" ref="BR67">$BM67 * SUMPRODUCT(INDEX($AV$76:$AX$81,,$AI67),INDEX($AY$76:$BE$81,,$AH67), N($AU$76:$AU$81&gt;$AM67)) / BQ67 / 1000</f>
        <v>0</v>
      </c>
      <c r="BS67" s="231">
        <f t="shared" si="20"/>
        <v>30</v>
      </c>
      <c r="BT67" s="229">
        <f t="shared" si="21"/>
        <v>43</v>
      </c>
      <c r="BU67" s="234">
        <f t="shared" si="22"/>
        <v>3.5018750000000001</v>
      </c>
      <c r="BV67" s="234" cm="1">
        <f t="array" ref="BV67">$BM67 * IF($AH67&lt;=2,
SUMPRODUCT(INDEX($AV$71:$AX$75,,$AI67), INDEX($AY$71:$BE$75,,$AH67), 1 / ($BF$71:$BF$75*BU67 + (1-$BF$71:$BF$75)*BQ67), N($AU$71:$AU$75&gt;$AM67)),
SUMPRODUCT(INDEX($AV$66:$AX$75,,$AI67), INDEX($AY$66:$BE$75,,$AH67), 1 / ($BG$66:$BG$75*BU67 + (1-$BG$66:$BG$75)*BQ67), N($AU$66:$AU$75&gt;$AM67))
) / 1000</f>
        <v>0</v>
      </c>
      <c r="BW67" s="231">
        <f t="shared" si="23"/>
        <v>25</v>
      </c>
      <c r="BX67" s="229">
        <f t="shared" si="24"/>
        <v>38</v>
      </c>
      <c r="BY67" s="234">
        <f t="shared" si="25"/>
        <v>4.0666935483870965</v>
      </c>
      <c r="BZ67" s="234" cm="1">
        <f t="array" ref="BZ67">$BM67 * IF($AH67&lt;=2,
SUMPRODUCT(INDEX($AV$66:$AX$70,,$AI67), INDEX($AY$66:$BE$70,,$AH67), 1 / ($BF$66:$BF$70*BY67 + (1-$BF$66:$BF$70)*BU67), N($AU$66:$AU$70&gt;$AM67)),
SUMPRODUCT(INDEX($AV$56:$AX$65,,$AI67), INDEX($AY$56:$BE$65,,$AH67), 1 / ($BG$56:$BG$65*BY67 + (1-$BG$56:$BG$65)*BU67), N($AU$56:$AU$65&gt;$AM67))
) / 1000</f>
        <v>0</v>
      </c>
      <c r="CA67" s="231">
        <f t="shared" si="26"/>
        <v>20</v>
      </c>
      <c r="CB67" s="229">
        <f t="shared" si="27"/>
        <v>33</v>
      </c>
      <c r="CC67" s="234">
        <f t="shared" si="28"/>
        <v>4.8487499999999999</v>
      </c>
      <c r="CD67" s="234" cm="1">
        <f t="array" ref="CD67">$BM67 * IF($AH67&lt;=2,
SUMPRODUCT(INDEX($AV$61:$AX$65,,$AI67), INDEX($AY$61:$BE$65,,$AH67), 1 / ($BF$61:$BF$65*CC67 + (1-$BF$61:$BF$65)*BY67), N($AU$61:$AU$65&gt;$AM67)),
SUMPRODUCT(INDEX($AV$46:$AX$55,,$AI67), INDEX($AY$46:$BE$55,,$AH67), 1 / ($BG$46:$BG$55*CC67 + (1-$BG$46:$BG$55)*BY67), N($AU$46:$AU$55&gt;$AM67))
) / 1000</f>
        <v>0</v>
      </c>
      <c r="CE67" s="234" cm="1">
        <f t="array" ref="CE67">$BM67 * IF($AH67&lt;=2,
SUMPRODUCT(INDEX($AV$22:$AX$60,,$AI67), INDEX($AY$22:$BE$60,,$AH67), 1 / ($BF$22:$BF$60*CC67), N($AU$22:$AU$60&gt;$AM67)),
SUMPRODUCT(INDEX($AV$22:$AX$45,,$AI67), INDEX($AY$22:$BE$45,,$AH67), 1 / ($BG$22:$BG$45*CC67), N($AU$22:$AU$45&gt;$AM67))
) / 1000</f>
        <v>0</v>
      </c>
      <c r="CF67" s="229">
        <f t="shared" si="29"/>
        <v>0</v>
      </c>
      <c r="CG67" s="246"/>
      <c r="CH67" s="229">
        <f t="shared" si="30"/>
        <v>0</v>
      </c>
      <c r="CI67" s="228">
        <v>35</v>
      </c>
      <c r="CJ67" s="229">
        <f t="shared" si="31"/>
        <v>48</v>
      </c>
      <c r="CK67" s="234">
        <f t="shared" si="32"/>
        <v>3.0748170731707316</v>
      </c>
      <c r="CL67" s="234" cm="1">
        <f t="array" ref="CL67">$BM67 * SUMPRODUCT(INDEX($AV$76:$AX$81,,$AI67),INDEX($AY$76:$BE$81,,$AH67), N($AU$76:$AU$81&gt;$AM67)) / CK67 / 1000</f>
        <v>0</v>
      </c>
      <c r="CM67" s="231">
        <f t="shared" si="33"/>
        <v>30</v>
      </c>
      <c r="CN67" s="229">
        <f t="shared" si="34"/>
        <v>43</v>
      </c>
      <c r="CO67" s="234">
        <f t="shared" si="35"/>
        <v>3.5018750000000001</v>
      </c>
      <c r="CP67" s="234" cm="1">
        <f t="array" ref="CP67">$BM67 * IF($AH67&lt;=2,
SUMPRODUCT(INDEX($AV$71:$AX$75,,$AI67), INDEX($AY$71:$BE$75,,$AH67), 1 / ($BF$71:$BF$75*CO67 + (1-$BF$71:$BF$75)*CK67), N($AU$71:$AU$75&gt;$AM67)),
SUMPRODUCT(INDEX($AV$66:$AX$75,,$AI67), INDEX($AY$66:$BE$75,,$AH67), 1 / ($BG$66:$BG$75*CO67 + (1-$BG$66:$BG$75)*CK67), N($AU$66:$AU$75&gt;$AM67))
) / 1000</f>
        <v>0</v>
      </c>
      <c r="CQ67" s="231">
        <f t="shared" si="36"/>
        <v>25</v>
      </c>
      <c r="CR67" s="229">
        <f t="shared" si="37"/>
        <v>38</v>
      </c>
      <c r="CS67" s="234">
        <f t="shared" si="38"/>
        <v>4.0666935483870965</v>
      </c>
      <c r="CT67" s="234" cm="1">
        <f t="array" ref="CT67">$BM67 * IF($AH67&lt;=2,
SUMPRODUCT(INDEX($AV$66:$AX$70,,$AI67), INDEX($AY$66:$BE$70,,$AH67), 1 / ($BF$66:$BF$70*CS67 + (1-$BF$66:$BF$70)*CO67), N($AU$66:$AU$70&gt;$AM67)),
SUMPRODUCT(INDEX($AV$56:$AX$65,,$AI67), INDEX($AY$56:$BE$65,,$AH67), 1 / ($BG$56:$BG$65*CS67 + (1-$BG$56:$BG$65)*CO67), N($AU$56:$AU$65&gt;$AM67))
) / 1000</f>
        <v>0</v>
      </c>
      <c r="CU67" s="231">
        <f t="shared" si="39"/>
        <v>20</v>
      </c>
      <c r="CV67" s="229">
        <f t="shared" si="40"/>
        <v>33</v>
      </c>
      <c r="CW67" s="234">
        <f t="shared" si="41"/>
        <v>4.8487499999999999</v>
      </c>
      <c r="CX67" s="234" cm="1">
        <f t="array" ref="CX67">$BM67 * IF($AH67&lt;=2,
SUMPRODUCT(INDEX($AV$61:$AX$65,,$AI67), INDEX($AY$61:$BE$65,,$AH67), 1 / ($BF$61:$BF$65*CW67 + (1-$BF$61:$BF$65)*CS67), N($AU$61:$AU$65&gt;$AM67)),
SUMPRODUCT(INDEX($AV$46:$AX$55,,$AI67), INDEX($AY$46:$BE$55,,$AH67), 1 / ($BG$46:$BG$55*CW67 + (1-$BG$46:$BG$55)*CS67), N($AU$46:$AU$55&gt;$AM67))
) / 1000</f>
        <v>0</v>
      </c>
      <c r="CY67" s="234" cm="1">
        <f t="array" ref="CY67">$BM67 * IF($AH67&lt;=2,
SUMPRODUCT(INDEX($AV$22:$AX$60,,$AI67), INDEX($AY$22:$BE$60,,$AH67), 1 / ($BF$22:$BF$60*CW67), N($AU$22:$AU$60&gt;$AM67)),
SUMPRODUCT(INDEX($AV$22:$AX$45,,$AI67), INDEX($AY$22:$BE$45,,$AH67), 1 / ($BG$22:$BG$45*CW67), N($AU$22:$AU$45&gt;$AM67))
) / 1000</f>
        <v>0</v>
      </c>
      <c r="CZ67" s="229">
        <f t="shared" si="42"/>
        <v>0</v>
      </c>
      <c r="DA67" s="246"/>
    </row>
    <row r="68" spans="1:105" s="75" customFormat="1" ht="14.25" customHeight="1" x14ac:dyDescent="0.25">
      <c r="A68" s="230" t="b">
        <f t="shared" si="0"/>
        <v>0</v>
      </c>
      <c r="B68" s="253">
        <v>47</v>
      </c>
      <c r="C68" s="266"/>
      <c r="D68" s="266"/>
      <c r="E68" s="254"/>
      <c r="F68" s="255" t="str">
        <f>IF(ISBLANK(E68), "", VLOOKUP(E68, Z!$A$2:$C$4127, 3, FALSE))</f>
        <v/>
      </c>
      <c r="G68" s="256"/>
      <c r="H68" s="256"/>
      <c r="I68" s="256"/>
      <c r="J68" s="257"/>
      <c r="K68" s="258"/>
      <c r="L68" s="267"/>
      <c r="M68" s="268"/>
      <c r="N68" s="259" t="str" cm="1">
        <f t="array" ref="N68">IF($L68&gt;0, INDEX(Clean,1+AK68,$D$1), "")</f>
        <v/>
      </c>
      <c r="O68" s="260"/>
      <c r="P68" s="260"/>
      <c r="Q68" s="261"/>
      <c r="R68" s="264">
        <f t="shared" si="7"/>
        <v>0</v>
      </c>
      <c r="S68" s="259" t="str" cm="1">
        <f t="array" ref="S68">IF($L68&gt;0, INDEX(Clean,1+AL68,$D$1), "")</f>
        <v/>
      </c>
      <c r="T68" s="260"/>
      <c r="U68" s="260"/>
      <c r="V68" s="261"/>
      <c r="W68" s="267"/>
      <c r="X68" s="267"/>
      <c r="Y68" s="257"/>
      <c r="Z68" s="264">
        <f t="shared" si="8"/>
        <v>0</v>
      </c>
      <c r="AA68" s="269"/>
      <c r="AB68" s="266"/>
      <c r="AC68" s="254"/>
      <c r="AD68" s="255" t="str">
        <f>IF(ISBLANK(AC68), "", VLOOKUP(AC68, Z!$A$2:$C$4127, 3, FALSE))</f>
        <v/>
      </c>
      <c r="AE68" s="270"/>
      <c r="AF68" s="265">
        <f t="shared" si="9"/>
        <v>0</v>
      </c>
      <c r="AG68" s="246"/>
      <c r="AH68" s="228">
        <f t="shared" ref="AH68" si="219">IF(ISBLANK(I68), 1, IFERROR(MATCH(I68, INDEX(Use,,1), 0), IFERROR(MATCH(I68, INDEX(Use,,2), 0), MATCH(I68, INDEX(Use,,3), 0))))</f>
        <v>1</v>
      </c>
      <c r="AI68" s="228">
        <f t="shared" ref="AI68" si="220">IF(ISBLANK(H68), 1, IFERROR(MATCH(H68, INDEX(Loc,,1), 0), IFERROR(MATCH(H68, INDEX(Loc,,2), 0), MATCH(H68, INDEX(Loc,,3), 0))))</f>
        <v>1</v>
      </c>
      <c r="AJ68" s="228">
        <f t="shared" ref="AJ68" si="221">_xlfn.IFNA(IF(IFERROR(MATCH(J68, INDEX(Medium,,1), 0), IFERROR(MATCH(J68, INDEX(Medium,,2), 0), MATCH(J68, INDEX(Medium,,3), 0))) = 2, 1, 0), 0)</f>
        <v>0</v>
      </c>
      <c r="AK68" s="228">
        <v>0</v>
      </c>
      <c r="AL68" s="228">
        <v>0</v>
      </c>
      <c r="AM68" s="228">
        <f t="shared" si="4"/>
        <v>-100</v>
      </c>
      <c r="AN68" s="228" cm="1">
        <f t="array" ref="AN68">IF(ISBLANK(G68), 1, IFERROR(MATCH(G68, INDEX(Kat,,1), 0), IFERROR(MATCH(Kat, INDEX(Use,,2), 0), MATCH(Kat, INDEX(Use,,3), 0))))</f>
        <v>1</v>
      </c>
      <c r="AO68" s="246"/>
      <c r="AP68" s="228" cm="1">
        <f t="array" ref="AP68">IF(W68&gt;0, INDEX(Kat, AN68,4), 0)</f>
        <v>0</v>
      </c>
      <c r="AQ68" s="228">
        <f t="shared" ref="AQ68" si="222">IF(ISBLANK(Y68), 0, IFERROR(MATCH(Y68, INDEX(Month,,1), 0), IFERROR(MATCH(Y68, INDEX(Month,,2), 0), MATCH(Y68, INDEX(Month,,3), 0))))</f>
        <v>0</v>
      </c>
      <c r="AR68" s="228" cm="1">
        <f t="array" ref="AR68">IF(X68&gt;0, INDEX(Kat, $AN68, 4+AQ68), 0)</f>
        <v>0</v>
      </c>
      <c r="AS68" s="228" cm="1">
        <f t="array" ref="AS68">IF(X68&gt;0, INDEX(Kat, $AN68, 9+AQ68), 0)</f>
        <v>0</v>
      </c>
      <c r="AT68" s="246"/>
      <c r="AU68" s="228">
        <v>27</v>
      </c>
      <c r="AV68" s="231">
        <v>113</v>
      </c>
      <c r="AW68" s="231">
        <v>87</v>
      </c>
      <c r="AX68" s="231">
        <v>29</v>
      </c>
      <c r="AY68" s="232">
        <f t="shared" si="6"/>
        <v>0.5</v>
      </c>
      <c r="AZ68" s="232">
        <f t="shared" si="6"/>
        <v>0.5</v>
      </c>
      <c r="BA68" s="232" t="e" cm="1">
        <f t="array" ref="BA68">MIN(INDEX(Use,BA$20,5) + MAX(0, (1-INDEX(Use,BA$20,5))*($AU68-5)/(35-5)), 1)</f>
        <v>#REF!</v>
      </c>
      <c r="BB68" s="232" t="e" cm="1">
        <f t="array" ref="BB68">MIN(INDEX(Use,BB$20,5) + MAX(0, (1-INDEX(Use,BB$20,5))*($AU68-5)/(35-5)), 1)</f>
        <v>#REF!</v>
      </c>
      <c r="BC68" s="232" t="e" cm="1">
        <f t="array" ref="BC68">MIN(INDEX(Use,BC$20,5) + MAX(0, (1-INDEX(Use,BC$20,5))*($AU68-5)/(35-5)), 1)</f>
        <v>#REF!</v>
      </c>
      <c r="BD68" s="232" t="e" cm="1">
        <f t="array" ref="BD68">MIN(INDEX(Use,BD$20,5) + MAX(0, (1-INDEX(Use,BD$20,5))*($AU68-5)/(35-5)), 1)</f>
        <v>#REF!</v>
      </c>
      <c r="BE68" s="232" t="e" cm="1">
        <f t="array" ref="BE68">MIN(INDEX(Use,BE$20,5) + MAX(0, (1-INDEX(Use,BE$20,5))*($AU68-5)/(35-5)), 1)</f>
        <v>#REF!</v>
      </c>
      <c r="BF68" s="232">
        <v>0.6</v>
      </c>
      <c r="BG68" s="232">
        <v>0.8</v>
      </c>
      <c r="BH68" s="210"/>
      <c r="BI68" s="228" cm="1">
        <f t="array" ref="BI68">INDEX(Use, $AH68, 4)</f>
        <v>7</v>
      </c>
      <c r="BJ68" s="228">
        <f t="shared" si="14"/>
        <v>32</v>
      </c>
      <c r="BK68" s="228">
        <f t="shared" si="15"/>
        <v>13</v>
      </c>
      <c r="BL68" s="228">
        <f t="shared" si="16"/>
        <v>0</v>
      </c>
      <c r="BM68" s="233" cm="1">
        <f t="array" ref="BM68">L68/IF($M68&gt;0, INDEX($AY$22:$BE$76, $M68+20, $AH68), 1)</f>
        <v>0</v>
      </c>
      <c r="BN68" s="229">
        <f t="shared" si="17"/>
        <v>0</v>
      </c>
      <c r="BO68" s="228">
        <v>35</v>
      </c>
      <c r="BP68" s="229">
        <f t="shared" si="18"/>
        <v>48</v>
      </c>
      <c r="BQ68" s="234">
        <f t="shared" si="19"/>
        <v>3.0748170731707316</v>
      </c>
      <c r="BR68" s="234" cm="1">
        <f t="array" ref="BR68">$BM68 * SUMPRODUCT(INDEX($AV$76:$AX$81,,$AI68),INDEX($AY$76:$BE$81,,$AH68), N($AU$76:$AU$81&gt;$AM68)) / BQ68 / 1000</f>
        <v>0</v>
      </c>
      <c r="BS68" s="231">
        <f t="shared" si="20"/>
        <v>30</v>
      </c>
      <c r="BT68" s="229">
        <f t="shared" si="21"/>
        <v>43</v>
      </c>
      <c r="BU68" s="234">
        <f t="shared" si="22"/>
        <v>3.5018750000000001</v>
      </c>
      <c r="BV68" s="234" cm="1">
        <f t="array" ref="BV68">$BM68 * IF($AH68&lt;=2,
SUMPRODUCT(INDEX($AV$71:$AX$75,,$AI68), INDEX($AY$71:$BE$75,,$AH68), 1 / ($BF$71:$BF$75*BU68 + (1-$BF$71:$BF$75)*BQ68), N($AU$71:$AU$75&gt;$AM68)),
SUMPRODUCT(INDEX($AV$66:$AX$75,,$AI68), INDEX($AY$66:$BE$75,,$AH68), 1 / ($BG$66:$BG$75*BU68 + (1-$BG$66:$BG$75)*BQ68), N($AU$66:$AU$75&gt;$AM68))
) / 1000</f>
        <v>0</v>
      </c>
      <c r="BW68" s="231">
        <f t="shared" si="23"/>
        <v>25</v>
      </c>
      <c r="BX68" s="229">
        <f t="shared" si="24"/>
        <v>38</v>
      </c>
      <c r="BY68" s="234">
        <f t="shared" si="25"/>
        <v>4.0666935483870965</v>
      </c>
      <c r="BZ68" s="234" cm="1">
        <f t="array" ref="BZ68">$BM68 * IF($AH68&lt;=2,
SUMPRODUCT(INDEX($AV$66:$AX$70,,$AI68), INDEX($AY$66:$BE$70,,$AH68), 1 / ($BF$66:$BF$70*BY68 + (1-$BF$66:$BF$70)*BU68), N($AU$66:$AU$70&gt;$AM68)),
SUMPRODUCT(INDEX($AV$56:$AX$65,,$AI68), INDEX($AY$56:$BE$65,,$AH68), 1 / ($BG$56:$BG$65*BY68 + (1-$BG$56:$BG$65)*BU68), N($AU$56:$AU$65&gt;$AM68))
) / 1000</f>
        <v>0</v>
      </c>
      <c r="CA68" s="231">
        <f t="shared" si="26"/>
        <v>20</v>
      </c>
      <c r="CB68" s="229">
        <f t="shared" si="27"/>
        <v>33</v>
      </c>
      <c r="CC68" s="234">
        <f t="shared" si="28"/>
        <v>4.8487499999999999</v>
      </c>
      <c r="CD68" s="234" cm="1">
        <f t="array" ref="CD68">$BM68 * IF($AH68&lt;=2,
SUMPRODUCT(INDEX($AV$61:$AX$65,,$AI68), INDEX($AY$61:$BE$65,,$AH68), 1 / ($BF$61:$BF$65*CC68 + (1-$BF$61:$BF$65)*BY68), N($AU$61:$AU$65&gt;$AM68)),
SUMPRODUCT(INDEX($AV$46:$AX$55,,$AI68), INDEX($AY$46:$BE$55,,$AH68), 1 / ($BG$46:$BG$55*CC68 + (1-$BG$46:$BG$55)*BY68), N($AU$46:$AU$55&gt;$AM68))
) / 1000</f>
        <v>0</v>
      </c>
      <c r="CE68" s="234" cm="1">
        <f t="array" ref="CE68">$BM68 * IF($AH68&lt;=2,
SUMPRODUCT(INDEX($AV$22:$AX$60,,$AI68), INDEX($AY$22:$BE$60,,$AH68), 1 / ($BF$22:$BF$60*CC68), N($AU$22:$AU$60&gt;$AM68)),
SUMPRODUCT(INDEX($AV$22:$AX$45,,$AI68), INDEX($AY$22:$BE$45,,$AH68), 1 / ($BG$22:$BG$45*CC68), N($AU$22:$AU$45&gt;$AM68))
) / 1000</f>
        <v>0</v>
      </c>
      <c r="CF68" s="229">
        <f t="shared" si="29"/>
        <v>0</v>
      </c>
      <c r="CG68" s="246"/>
      <c r="CH68" s="229">
        <f t="shared" si="30"/>
        <v>0</v>
      </c>
      <c r="CI68" s="228">
        <v>35</v>
      </c>
      <c r="CJ68" s="229">
        <f t="shared" si="31"/>
        <v>48</v>
      </c>
      <c r="CK68" s="234">
        <f t="shared" si="32"/>
        <v>3.0748170731707316</v>
      </c>
      <c r="CL68" s="234" cm="1">
        <f t="array" ref="CL68">$BM68 * SUMPRODUCT(INDEX($AV$76:$AX$81,,$AI68),INDEX($AY$76:$BE$81,,$AH68), N($AU$76:$AU$81&gt;$AM68)) / CK68 / 1000</f>
        <v>0</v>
      </c>
      <c r="CM68" s="231">
        <f t="shared" si="33"/>
        <v>30</v>
      </c>
      <c r="CN68" s="229">
        <f t="shared" si="34"/>
        <v>43</v>
      </c>
      <c r="CO68" s="234">
        <f t="shared" si="35"/>
        <v>3.5018750000000001</v>
      </c>
      <c r="CP68" s="234" cm="1">
        <f t="array" ref="CP68">$BM68 * IF($AH68&lt;=2,
SUMPRODUCT(INDEX($AV$71:$AX$75,,$AI68), INDEX($AY$71:$BE$75,,$AH68), 1 / ($BF$71:$BF$75*CO68 + (1-$BF$71:$BF$75)*CK68), N($AU$71:$AU$75&gt;$AM68)),
SUMPRODUCT(INDEX($AV$66:$AX$75,,$AI68), INDEX($AY$66:$BE$75,,$AH68), 1 / ($BG$66:$BG$75*CO68 + (1-$BG$66:$BG$75)*CK68), N($AU$66:$AU$75&gt;$AM68))
) / 1000</f>
        <v>0</v>
      </c>
      <c r="CQ68" s="231">
        <f t="shared" si="36"/>
        <v>25</v>
      </c>
      <c r="CR68" s="229">
        <f t="shared" si="37"/>
        <v>38</v>
      </c>
      <c r="CS68" s="234">
        <f t="shared" si="38"/>
        <v>4.0666935483870965</v>
      </c>
      <c r="CT68" s="234" cm="1">
        <f t="array" ref="CT68">$BM68 * IF($AH68&lt;=2,
SUMPRODUCT(INDEX($AV$66:$AX$70,,$AI68), INDEX($AY$66:$BE$70,,$AH68), 1 / ($BF$66:$BF$70*CS68 + (1-$BF$66:$BF$70)*CO68), N($AU$66:$AU$70&gt;$AM68)),
SUMPRODUCT(INDEX($AV$56:$AX$65,,$AI68), INDEX($AY$56:$BE$65,,$AH68), 1 / ($BG$56:$BG$65*CS68 + (1-$BG$56:$BG$65)*CO68), N($AU$56:$AU$65&gt;$AM68))
) / 1000</f>
        <v>0</v>
      </c>
      <c r="CU68" s="231">
        <f t="shared" si="39"/>
        <v>20</v>
      </c>
      <c r="CV68" s="229">
        <f t="shared" si="40"/>
        <v>33</v>
      </c>
      <c r="CW68" s="234">
        <f t="shared" si="41"/>
        <v>4.8487499999999999</v>
      </c>
      <c r="CX68" s="234" cm="1">
        <f t="array" ref="CX68">$BM68 * IF($AH68&lt;=2,
SUMPRODUCT(INDEX($AV$61:$AX$65,,$AI68), INDEX($AY$61:$BE$65,,$AH68), 1 / ($BF$61:$BF$65*CW68 + (1-$BF$61:$BF$65)*CS68), N($AU$61:$AU$65&gt;$AM68)),
SUMPRODUCT(INDEX($AV$46:$AX$55,,$AI68), INDEX($AY$46:$BE$55,,$AH68), 1 / ($BG$46:$BG$55*CW68 + (1-$BG$46:$BG$55)*CS68), N($AU$46:$AU$55&gt;$AM68))
) / 1000</f>
        <v>0</v>
      </c>
      <c r="CY68" s="234" cm="1">
        <f t="array" ref="CY68">$BM68 * IF($AH68&lt;=2,
SUMPRODUCT(INDEX($AV$22:$AX$60,,$AI68), INDEX($AY$22:$BE$60,,$AH68), 1 / ($BF$22:$BF$60*CW68), N($AU$22:$AU$60&gt;$AM68)),
SUMPRODUCT(INDEX($AV$22:$AX$45,,$AI68), INDEX($AY$22:$BE$45,,$AH68), 1 / ($BG$22:$BG$45*CW68), N($AU$22:$AU$45&gt;$AM68))
) / 1000</f>
        <v>0</v>
      </c>
      <c r="CZ68" s="229">
        <f t="shared" si="42"/>
        <v>0</v>
      </c>
      <c r="DA68" s="246"/>
    </row>
    <row r="69" spans="1:105" s="75" customFormat="1" ht="14.25" customHeight="1" x14ac:dyDescent="0.25">
      <c r="A69" s="230" t="b">
        <f t="shared" si="0"/>
        <v>0</v>
      </c>
      <c r="B69" s="253">
        <v>48</v>
      </c>
      <c r="C69" s="266"/>
      <c r="D69" s="266"/>
      <c r="E69" s="254"/>
      <c r="F69" s="255" t="str">
        <f>IF(ISBLANK(E69), "", VLOOKUP(E69, Z!$A$2:$C$4127, 3, FALSE))</f>
        <v/>
      </c>
      <c r="G69" s="256"/>
      <c r="H69" s="256"/>
      <c r="I69" s="256"/>
      <c r="J69" s="257"/>
      <c r="K69" s="258"/>
      <c r="L69" s="267"/>
      <c r="M69" s="268"/>
      <c r="N69" s="259" t="str" cm="1">
        <f t="array" ref="N69">IF($L69&gt;0, INDEX(Clean,1+AK69,$D$1), "")</f>
        <v/>
      </c>
      <c r="O69" s="260"/>
      <c r="P69" s="260"/>
      <c r="Q69" s="261"/>
      <c r="R69" s="264">
        <f t="shared" si="7"/>
        <v>0</v>
      </c>
      <c r="S69" s="259" t="str" cm="1">
        <f t="array" ref="S69">IF($L69&gt;0, INDEX(Clean,1+AL69,$D$1), "")</f>
        <v/>
      </c>
      <c r="T69" s="260"/>
      <c r="U69" s="260"/>
      <c r="V69" s="261"/>
      <c r="W69" s="267"/>
      <c r="X69" s="267"/>
      <c r="Y69" s="257"/>
      <c r="Z69" s="264">
        <f t="shared" si="8"/>
        <v>0</v>
      </c>
      <c r="AA69" s="269"/>
      <c r="AB69" s="266"/>
      <c r="AC69" s="254"/>
      <c r="AD69" s="255" t="str">
        <f>IF(ISBLANK(AC69), "", VLOOKUP(AC69, Z!$A$2:$C$4127, 3, FALSE))</f>
        <v/>
      </c>
      <c r="AE69" s="270"/>
      <c r="AF69" s="265">
        <f t="shared" si="9"/>
        <v>0</v>
      </c>
      <c r="AG69" s="246"/>
      <c r="AH69" s="228">
        <f t="shared" ref="AH69" si="223">IF(ISBLANK(I69), 1, IFERROR(MATCH(I69, INDEX(Use,,1), 0), IFERROR(MATCH(I69, INDEX(Use,,2), 0), MATCH(I69, INDEX(Use,,3), 0))))</f>
        <v>1</v>
      </c>
      <c r="AI69" s="228">
        <f t="shared" ref="AI69" si="224">IF(ISBLANK(H69), 1, IFERROR(MATCH(H69, INDEX(Loc,,1), 0), IFERROR(MATCH(H69, INDEX(Loc,,2), 0), MATCH(H69, INDEX(Loc,,3), 0))))</f>
        <v>1</v>
      </c>
      <c r="AJ69" s="228">
        <f t="shared" ref="AJ69" si="225">_xlfn.IFNA(IF(IFERROR(MATCH(J69, INDEX(Medium,,1), 0), IFERROR(MATCH(J69, INDEX(Medium,,2), 0), MATCH(J69, INDEX(Medium,,3), 0))) = 2, 1, 0), 0)</f>
        <v>0</v>
      </c>
      <c r="AK69" s="228">
        <v>0</v>
      </c>
      <c r="AL69" s="228">
        <v>0</v>
      </c>
      <c r="AM69" s="228">
        <f t="shared" si="4"/>
        <v>-100</v>
      </c>
      <c r="AN69" s="228" cm="1">
        <f t="array" ref="AN69">IF(ISBLANK(G69), 1, IFERROR(MATCH(G69, INDEX(Kat,,1), 0), IFERROR(MATCH(Kat, INDEX(Use,,2), 0), MATCH(Kat, INDEX(Use,,3), 0))))</f>
        <v>1</v>
      </c>
      <c r="AO69" s="246"/>
      <c r="AP69" s="228" cm="1">
        <f t="array" ref="AP69">IF(W69&gt;0, INDEX(Kat, AN69,4), 0)</f>
        <v>0</v>
      </c>
      <c r="AQ69" s="228">
        <f t="shared" ref="AQ69" si="226">IF(ISBLANK(Y69), 0, IFERROR(MATCH(Y69, INDEX(Month,,1), 0), IFERROR(MATCH(Y69, INDEX(Month,,2), 0), MATCH(Y69, INDEX(Month,,3), 0))))</f>
        <v>0</v>
      </c>
      <c r="AR69" s="228" cm="1">
        <f t="array" ref="AR69">IF(X69&gt;0, INDEX(Kat, $AN69, 4+AQ69), 0)</f>
        <v>0</v>
      </c>
      <c r="AS69" s="228" cm="1">
        <f t="array" ref="AS69">IF(X69&gt;0, INDEX(Kat, $AN69, 9+AQ69), 0)</f>
        <v>0</v>
      </c>
      <c r="AT69" s="246"/>
      <c r="AU69" s="228">
        <v>28</v>
      </c>
      <c r="AV69" s="231">
        <v>70</v>
      </c>
      <c r="AW69" s="231">
        <v>59</v>
      </c>
      <c r="AX69" s="231">
        <v>24</v>
      </c>
      <c r="AY69" s="232">
        <f t="shared" si="6"/>
        <v>0.5625</v>
      </c>
      <c r="AZ69" s="232">
        <f t="shared" si="6"/>
        <v>0.5625</v>
      </c>
      <c r="BA69" s="232" t="e" cm="1">
        <f t="array" ref="BA69">MIN(INDEX(Use,BA$20,5) + MAX(0, (1-INDEX(Use,BA$20,5))*($AU69-5)/(35-5)), 1)</f>
        <v>#REF!</v>
      </c>
      <c r="BB69" s="232" t="e" cm="1">
        <f t="array" ref="BB69">MIN(INDEX(Use,BB$20,5) + MAX(0, (1-INDEX(Use,BB$20,5))*($AU69-5)/(35-5)), 1)</f>
        <v>#REF!</v>
      </c>
      <c r="BC69" s="232" t="e" cm="1">
        <f t="array" ref="BC69">MIN(INDEX(Use,BC$20,5) + MAX(0, (1-INDEX(Use,BC$20,5))*($AU69-5)/(35-5)), 1)</f>
        <v>#REF!</v>
      </c>
      <c r="BD69" s="232" t="e" cm="1">
        <f t="array" ref="BD69">MIN(INDEX(Use,BD$20,5) + MAX(0, (1-INDEX(Use,BD$20,5))*($AU69-5)/(35-5)), 1)</f>
        <v>#REF!</v>
      </c>
      <c r="BE69" s="232" t="e" cm="1">
        <f t="array" ref="BE69">MIN(INDEX(Use,BE$20,5) + MAX(0, (1-INDEX(Use,BE$20,5))*($AU69-5)/(35-5)), 1)</f>
        <v>#REF!</v>
      </c>
      <c r="BF69" s="232">
        <v>0.4</v>
      </c>
      <c r="BG69" s="232">
        <v>0.7</v>
      </c>
      <c r="BH69" s="210"/>
      <c r="BI69" s="228" cm="1">
        <f t="array" ref="BI69">INDEX(Use, $AH69, 4)</f>
        <v>7</v>
      </c>
      <c r="BJ69" s="228">
        <f t="shared" si="14"/>
        <v>32</v>
      </c>
      <c r="BK69" s="228">
        <f t="shared" si="15"/>
        <v>13</v>
      </c>
      <c r="BL69" s="228">
        <f t="shared" si="16"/>
        <v>0</v>
      </c>
      <c r="BM69" s="233" cm="1">
        <f t="array" ref="BM69">L69/IF($M69&gt;0, INDEX($AY$22:$BE$76, $M69+20, $AH69), 1)</f>
        <v>0</v>
      </c>
      <c r="BN69" s="229">
        <f t="shared" si="17"/>
        <v>0</v>
      </c>
      <c r="BO69" s="228">
        <v>35</v>
      </c>
      <c r="BP69" s="229">
        <f t="shared" si="18"/>
        <v>48</v>
      </c>
      <c r="BQ69" s="234">
        <f t="shared" si="19"/>
        <v>3.0748170731707316</v>
      </c>
      <c r="BR69" s="234" cm="1">
        <f t="array" ref="BR69">$BM69 * SUMPRODUCT(INDEX($AV$76:$AX$81,,$AI69),INDEX($AY$76:$BE$81,,$AH69), N($AU$76:$AU$81&gt;$AM69)) / BQ69 / 1000</f>
        <v>0</v>
      </c>
      <c r="BS69" s="231">
        <f t="shared" si="20"/>
        <v>30</v>
      </c>
      <c r="BT69" s="229">
        <f t="shared" si="21"/>
        <v>43</v>
      </c>
      <c r="BU69" s="234">
        <f t="shared" si="22"/>
        <v>3.5018750000000001</v>
      </c>
      <c r="BV69" s="234" cm="1">
        <f t="array" ref="BV69">$BM69 * IF($AH69&lt;=2,
SUMPRODUCT(INDEX($AV$71:$AX$75,,$AI69), INDEX($AY$71:$BE$75,,$AH69), 1 / ($BF$71:$BF$75*BU69 + (1-$BF$71:$BF$75)*BQ69), N($AU$71:$AU$75&gt;$AM69)),
SUMPRODUCT(INDEX($AV$66:$AX$75,,$AI69), INDEX($AY$66:$BE$75,,$AH69), 1 / ($BG$66:$BG$75*BU69 + (1-$BG$66:$BG$75)*BQ69), N($AU$66:$AU$75&gt;$AM69))
) / 1000</f>
        <v>0</v>
      </c>
      <c r="BW69" s="231">
        <f t="shared" si="23"/>
        <v>25</v>
      </c>
      <c r="BX69" s="229">
        <f t="shared" si="24"/>
        <v>38</v>
      </c>
      <c r="BY69" s="234">
        <f t="shared" si="25"/>
        <v>4.0666935483870965</v>
      </c>
      <c r="BZ69" s="234" cm="1">
        <f t="array" ref="BZ69">$BM69 * IF($AH69&lt;=2,
SUMPRODUCT(INDEX($AV$66:$AX$70,,$AI69), INDEX($AY$66:$BE$70,,$AH69), 1 / ($BF$66:$BF$70*BY69 + (1-$BF$66:$BF$70)*BU69), N($AU$66:$AU$70&gt;$AM69)),
SUMPRODUCT(INDEX($AV$56:$AX$65,,$AI69), INDEX($AY$56:$BE$65,,$AH69), 1 / ($BG$56:$BG$65*BY69 + (1-$BG$56:$BG$65)*BU69), N($AU$56:$AU$65&gt;$AM69))
) / 1000</f>
        <v>0</v>
      </c>
      <c r="CA69" s="231">
        <f t="shared" si="26"/>
        <v>20</v>
      </c>
      <c r="CB69" s="229">
        <f t="shared" si="27"/>
        <v>33</v>
      </c>
      <c r="CC69" s="234">
        <f t="shared" si="28"/>
        <v>4.8487499999999999</v>
      </c>
      <c r="CD69" s="234" cm="1">
        <f t="array" ref="CD69">$BM69 * IF($AH69&lt;=2,
SUMPRODUCT(INDEX($AV$61:$AX$65,,$AI69), INDEX($AY$61:$BE$65,,$AH69), 1 / ($BF$61:$BF$65*CC69 + (1-$BF$61:$BF$65)*BY69), N($AU$61:$AU$65&gt;$AM69)),
SUMPRODUCT(INDEX($AV$46:$AX$55,,$AI69), INDEX($AY$46:$BE$55,,$AH69), 1 / ($BG$46:$BG$55*CC69 + (1-$BG$46:$BG$55)*BY69), N($AU$46:$AU$55&gt;$AM69))
) / 1000</f>
        <v>0</v>
      </c>
      <c r="CE69" s="234" cm="1">
        <f t="array" ref="CE69">$BM69 * IF($AH69&lt;=2,
SUMPRODUCT(INDEX($AV$22:$AX$60,,$AI69), INDEX($AY$22:$BE$60,,$AH69), 1 / ($BF$22:$BF$60*CC69), N($AU$22:$AU$60&gt;$AM69)),
SUMPRODUCT(INDEX($AV$22:$AX$45,,$AI69), INDEX($AY$22:$BE$45,,$AH69), 1 / ($BG$22:$BG$45*CC69), N($AU$22:$AU$45&gt;$AM69))
) / 1000</f>
        <v>0</v>
      </c>
      <c r="CF69" s="229">
        <f t="shared" si="29"/>
        <v>0</v>
      </c>
      <c r="CG69" s="246"/>
      <c r="CH69" s="229">
        <f t="shared" si="30"/>
        <v>0</v>
      </c>
      <c r="CI69" s="228">
        <v>35</v>
      </c>
      <c r="CJ69" s="229">
        <f t="shared" si="31"/>
        <v>48</v>
      </c>
      <c r="CK69" s="234">
        <f t="shared" si="32"/>
        <v>3.0748170731707316</v>
      </c>
      <c r="CL69" s="234" cm="1">
        <f t="array" ref="CL69">$BM69 * SUMPRODUCT(INDEX($AV$76:$AX$81,,$AI69),INDEX($AY$76:$BE$81,,$AH69), N($AU$76:$AU$81&gt;$AM69)) / CK69 / 1000</f>
        <v>0</v>
      </c>
      <c r="CM69" s="231">
        <f t="shared" si="33"/>
        <v>30</v>
      </c>
      <c r="CN69" s="229">
        <f t="shared" si="34"/>
        <v>43</v>
      </c>
      <c r="CO69" s="234">
        <f t="shared" si="35"/>
        <v>3.5018750000000001</v>
      </c>
      <c r="CP69" s="234" cm="1">
        <f t="array" ref="CP69">$BM69 * IF($AH69&lt;=2,
SUMPRODUCT(INDEX($AV$71:$AX$75,,$AI69), INDEX($AY$71:$BE$75,,$AH69), 1 / ($BF$71:$BF$75*CO69 + (1-$BF$71:$BF$75)*CK69), N($AU$71:$AU$75&gt;$AM69)),
SUMPRODUCT(INDEX($AV$66:$AX$75,,$AI69), INDEX($AY$66:$BE$75,,$AH69), 1 / ($BG$66:$BG$75*CO69 + (1-$BG$66:$BG$75)*CK69), N($AU$66:$AU$75&gt;$AM69))
) / 1000</f>
        <v>0</v>
      </c>
      <c r="CQ69" s="231">
        <f t="shared" si="36"/>
        <v>25</v>
      </c>
      <c r="CR69" s="229">
        <f t="shared" si="37"/>
        <v>38</v>
      </c>
      <c r="CS69" s="234">
        <f t="shared" si="38"/>
        <v>4.0666935483870965</v>
      </c>
      <c r="CT69" s="234" cm="1">
        <f t="array" ref="CT69">$BM69 * IF($AH69&lt;=2,
SUMPRODUCT(INDEX($AV$66:$AX$70,,$AI69), INDEX($AY$66:$BE$70,,$AH69), 1 / ($BF$66:$BF$70*CS69 + (1-$BF$66:$BF$70)*CO69), N($AU$66:$AU$70&gt;$AM69)),
SUMPRODUCT(INDEX($AV$56:$AX$65,,$AI69), INDEX($AY$56:$BE$65,,$AH69), 1 / ($BG$56:$BG$65*CS69 + (1-$BG$56:$BG$65)*CO69), N($AU$56:$AU$65&gt;$AM69))
) / 1000</f>
        <v>0</v>
      </c>
      <c r="CU69" s="231">
        <f t="shared" si="39"/>
        <v>20</v>
      </c>
      <c r="CV69" s="229">
        <f t="shared" si="40"/>
        <v>33</v>
      </c>
      <c r="CW69" s="234">
        <f t="shared" si="41"/>
        <v>4.8487499999999999</v>
      </c>
      <c r="CX69" s="234" cm="1">
        <f t="array" ref="CX69">$BM69 * IF($AH69&lt;=2,
SUMPRODUCT(INDEX($AV$61:$AX$65,,$AI69), INDEX($AY$61:$BE$65,,$AH69), 1 / ($BF$61:$BF$65*CW69 + (1-$BF$61:$BF$65)*CS69), N($AU$61:$AU$65&gt;$AM69)),
SUMPRODUCT(INDEX($AV$46:$AX$55,,$AI69), INDEX($AY$46:$BE$55,,$AH69), 1 / ($BG$46:$BG$55*CW69 + (1-$BG$46:$BG$55)*CS69), N($AU$46:$AU$55&gt;$AM69))
) / 1000</f>
        <v>0</v>
      </c>
      <c r="CY69" s="234" cm="1">
        <f t="array" ref="CY69">$BM69 * IF($AH69&lt;=2,
SUMPRODUCT(INDEX($AV$22:$AX$60,,$AI69), INDEX($AY$22:$BE$60,,$AH69), 1 / ($BF$22:$BF$60*CW69), N($AU$22:$AU$60&gt;$AM69)),
SUMPRODUCT(INDEX($AV$22:$AX$45,,$AI69), INDEX($AY$22:$BE$45,,$AH69), 1 / ($BG$22:$BG$45*CW69), N($AU$22:$AU$45&gt;$AM69))
) / 1000</f>
        <v>0</v>
      </c>
      <c r="CZ69" s="229">
        <f t="shared" si="42"/>
        <v>0</v>
      </c>
      <c r="DA69" s="246"/>
    </row>
    <row r="70" spans="1:105" s="75" customFormat="1" ht="14.25" customHeight="1" x14ac:dyDescent="0.25">
      <c r="A70" s="230" t="b">
        <f t="shared" si="0"/>
        <v>0</v>
      </c>
      <c r="B70" s="253">
        <v>49</v>
      </c>
      <c r="C70" s="266"/>
      <c r="D70" s="266"/>
      <c r="E70" s="254"/>
      <c r="F70" s="255" t="str">
        <f>IF(ISBLANK(E70), "", VLOOKUP(E70, Z!$A$2:$C$4127, 3, FALSE))</f>
        <v/>
      </c>
      <c r="G70" s="256"/>
      <c r="H70" s="256"/>
      <c r="I70" s="256"/>
      <c r="J70" s="257"/>
      <c r="K70" s="258"/>
      <c r="L70" s="267"/>
      <c r="M70" s="268"/>
      <c r="N70" s="259" t="str" cm="1">
        <f t="array" ref="N70">IF($L70&gt;0, INDEX(Clean,1+AK70,$D$1), "")</f>
        <v/>
      </c>
      <c r="O70" s="260"/>
      <c r="P70" s="260"/>
      <c r="Q70" s="261"/>
      <c r="R70" s="264">
        <f t="shared" si="7"/>
        <v>0</v>
      </c>
      <c r="S70" s="259" t="str" cm="1">
        <f t="array" ref="S70">IF($L70&gt;0, INDEX(Clean,1+AL70,$D$1), "")</f>
        <v/>
      </c>
      <c r="T70" s="260"/>
      <c r="U70" s="260"/>
      <c r="V70" s="261"/>
      <c r="W70" s="267"/>
      <c r="X70" s="267"/>
      <c r="Y70" s="257"/>
      <c r="Z70" s="264">
        <f t="shared" si="8"/>
        <v>0</v>
      </c>
      <c r="AA70" s="269"/>
      <c r="AB70" s="266"/>
      <c r="AC70" s="254"/>
      <c r="AD70" s="255" t="str">
        <f>IF(ISBLANK(AC70), "", VLOOKUP(AC70, Z!$A$2:$C$4127, 3, FALSE))</f>
        <v/>
      </c>
      <c r="AE70" s="270"/>
      <c r="AF70" s="265">
        <f t="shared" si="9"/>
        <v>0</v>
      </c>
      <c r="AG70" s="246"/>
      <c r="AH70" s="228">
        <f t="shared" ref="AH70" si="227">IF(ISBLANK(I70), 1, IFERROR(MATCH(I70, INDEX(Use,,1), 0), IFERROR(MATCH(I70, INDEX(Use,,2), 0), MATCH(I70, INDEX(Use,,3), 0))))</f>
        <v>1</v>
      </c>
      <c r="AI70" s="228">
        <f t="shared" ref="AI70" si="228">IF(ISBLANK(H70), 1, IFERROR(MATCH(H70, INDEX(Loc,,1), 0), IFERROR(MATCH(H70, INDEX(Loc,,2), 0), MATCH(H70, INDEX(Loc,,3), 0))))</f>
        <v>1</v>
      </c>
      <c r="AJ70" s="228">
        <f t="shared" ref="AJ70" si="229">_xlfn.IFNA(IF(IFERROR(MATCH(J70, INDEX(Medium,,1), 0), IFERROR(MATCH(J70, INDEX(Medium,,2), 0), MATCH(J70, INDEX(Medium,,3), 0))) = 2, 1, 0), 0)</f>
        <v>0</v>
      </c>
      <c r="AK70" s="228">
        <v>0</v>
      </c>
      <c r="AL70" s="228">
        <v>0</v>
      </c>
      <c r="AM70" s="228">
        <f t="shared" si="4"/>
        <v>-100</v>
      </c>
      <c r="AN70" s="228" cm="1">
        <f t="array" ref="AN70">IF(ISBLANK(G70), 1, IFERROR(MATCH(G70, INDEX(Kat,,1), 0), IFERROR(MATCH(Kat, INDEX(Use,,2), 0), MATCH(Kat, INDEX(Use,,3), 0))))</f>
        <v>1</v>
      </c>
      <c r="AO70" s="246"/>
      <c r="AP70" s="228" cm="1">
        <f t="array" ref="AP70">IF(W70&gt;0, INDEX(Kat, AN70,4), 0)</f>
        <v>0</v>
      </c>
      <c r="AQ70" s="228">
        <f t="shared" ref="AQ70" si="230">IF(ISBLANK(Y70), 0, IFERROR(MATCH(Y70, INDEX(Month,,1), 0), IFERROR(MATCH(Y70, INDEX(Month,,2), 0), MATCH(Y70, INDEX(Month,,3), 0))))</f>
        <v>0</v>
      </c>
      <c r="AR70" s="228" cm="1">
        <f t="array" ref="AR70">IF(X70&gt;0, INDEX(Kat, $AN70, 4+AQ70), 0)</f>
        <v>0</v>
      </c>
      <c r="AS70" s="228" cm="1">
        <f t="array" ref="AS70">IF(X70&gt;0, INDEX(Kat, $AN70, 9+AQ70), 0)</f>
        <v>0</v>
      </c>
      <c r="AT70" s="246"/>
      <c r="AU70" s="228">
        <v>29</v>
      </c>
      <c r="AV70" s="231">
        <v>50</v>
      </c>
      <c r="AW70" s="231">
        <v>50</v>
      </c>
      <c r="AX70" s="231">
        <v>14</v>
      </c>
      <c r="AY70" s="232">
        <f t="shared" si="6"/>
        <v>0.625</v>
      </c>
      <c r="AZ70" s="232">
        <f t="shared" si="6"/>
        <v>0.625</v>
      </c>
      <c r="BA70" s="232" t="e" cm="1">
        <f t="array" ref="BA70">MIN(INDEX(Use,BA$20,5) + MAX(0, (1-INDEX(Use,BA$20,5))*($AU70-5)/(35-5)), 1)</f>
        <v>#REF!</v>
      </c>
      <c r="BB70" s="232" t="e" cm="1">
        <f t="array" ref="BB70">MIN(INDEX(Use,BB$20,5) + MAX(0, (1-INDEX(Use,BB$20,5))*($AU70-5)/(35-5)), 1)</f>
        <v>#REF!</v>
      </c>
      <c r="BC70" s="232" t="e" cm="1">
        <f t="array" ref="BC70">MIN(INDEX(Use,BC$20,5) + MAX(0, (1-INDEX(Use,BC$20,5))*($AU70-5)/(35-5)), 1)</f>
        <v>#REF!</v>
      </c>
      <c r="BD70" s="232" t="e" cm="1">
        <f t="array" ref="BD70">MIN(INDEX(Use,BD$20,5) + MAX(0, (1-INDEX(Use,BD$20,5))*($AU70-5)/(35-5)), 1)</f>
        <v>#REF!</v>
      </c>
      <c r="BE70" s="232" t="e" cm="1">
        <f t="array" ref="BE70">MIN(INDEX(Use,BE$20,5) + MAX(0, (1-INDEX(Use,BE$20,5))*($AU70-5)/(35-5)), 1)</f>
        <v>#REF!</v>
      </c>
      <c r="BF70" s="232">
        <v>0.2</v>
      </c>
      <c r="BG70" s="232">
        <v>0.6</v>
      </c>
      <c r="BH70" s="210"/>
      <c r="BI70" s="228" cm="1">
        <f t="array" ref="BI70">INDEX(Use, $AH70, 4)</f>
        <v>7</v>
      </c>
      <c r="BJ70" s="228">
        <f t="shared" si="14"/>
        <v>32</v>
      </c>
      <c r="BK70" s="228">
        <f t="shared" si="15"/>
        <v>13</v>
      </c>
      <c r="BL70" s="228">
        <f t="shared" si="16"/>
        <v>0</v>
      </c>
      <c r="BM70" s="233" cm="1">
        <f t="array" ref="BM70">L70/IF($M70&gt;0, INDEX($AY$22:$BE$76, $M70+20, $AH70), 1)</f>
        <v>0</v>
      </c>
      <c r="BN70" s="229">
        <f t="shared" si="17"/>
        <v>0</v>
      </c>
      <c r="BO70" s="228">
        <v>35</v>
      </c>
      <c r="BP70" s="229">
        <f t="shared" si="18"/>
        <v>48</v>
      </c>
      <c r="BQ70" s="234">
        <f t="shared" si="19"/>
        <v>3.0748170731707316</v>
      </c>
      <c r="BR70" s="234" cm="1">
        <f t="array" ref="BR70">$BM70 * SUMPRODUCT(INDEX($AV$76:$AX$81,,$AI70),INDEX($AY$76:$BE$81,,$AH70), N($AU$76:$AU$81&gt;$AM70)) / BQ70 / 1000</f>
        <v>0</v>
      </c>
      <c r="BS70" s="231">
        <f t="shared" si="20"/>
        <v>30</v>
      </c>
      <c r="BT70" s="229">
        <f t="shared" si="21"/>
        <v>43</v>
      </c>
      <c r="BU70" s="234">
        <f t="shared" si="22"/>
        <v>3.5018750000000001</v>
      </c>
      <c r="BV70" s="234" cm="1">
        <f t="array" ref="BV70">$BM70 * IF($AH70&lt;=2,
SUMPRODUCT(INDEX($AV$71:$AX$75,,$AI70), INDEX($AY$71:$BE$75,,$AH70), 1 / ($BF$71:$BF$75*BU70 + (1-$BF$71:$BF$75)*BQ70), N($AU$71:$AU$75&gt;$AM70)),
SUMPRODUCT(INDEX($AV$66:$AX$75,,$AI70), INDEX($AY$66:$BE$75,,$AH70), 1 / ($BG$66:$BG$75*BU70 + (1-$BG$66:$BG$75)*BQ70), N($AU$66:$AU$75&gt;$AM70))
) / 1000</f>
        <v>0</v>
      </c>
      <c r="BW70" s="231">
        <f t="shared" si="23"/>
        <v>25</v>
      </c>
      <c r="BX70" s="229">
        <f t="shared" si="24"/>
        <v>38</v>
      </c>
      <c r="BY70" s="234">
        <f t="shared" si="25"/>
        <v>4.0666935483870965</v>
      </c>
      <c r="BZ70" s="234" cm="1">
        <f t="array" ref="BZ70">$BM70 * IF($AH70&lt;=2,
SUMPRODUCT(INDEX($AV$66:$AX$70,,$AI70), INDEX($AY$66:$BE$70,,$AH70), 1 / ($BF$66:$BF$70*BY70 + (1-$BF$66:$BF$70)*BU70), N($AU$66:$AU$70&gt;$AM70)),
SUMPRODUCT(INDEX($AV$56:$AX$65,,$AI70), INDEX($AY$56:$BE$65,,$AH70), 1 / ($BG$56:$BG$65*BY70 + (1-$BG$56:$BG$65)*BU70), N($AU$56:$AU$65&gt;$AM70))
) / 1000</f>
        <v>0</v>
      </c>
      <c r="CA70" s="231">
        <f t="shared" si="26"/>
        <v>20</v>
      </c>
      <c r="CB70" s="229">
        <f t="shared" si="27"/>
        <v>33</v>
      </c>
      <c r="CC70" s="234">
        <f t="shared" si="28"/>
        <v>4.8487499999999999</v>
      </c>
      <c r="CD70" s="234" cm="1">
        <f t="array" ref="CD70">$BM70 * IF($AH70&lt;=2,
SUMPRODUCT(INDEX($AV$61:$AX$65,,$AI70), INDEX($AY$61:$BE$65,,$AH70), 1 / ($BF$61:$BF$65*CC70 + (1-$BF$61:$BF$65)*BY70), N($AU$61:$AU$65&gt;$AM70)),
SUMPRODUCT(INDEX($AV$46:$AX$55,,$AI70), INDEX($AY$46:$BE$55,,$AH70), 1 / ($BG$46:$BG$55*CC70 + (1-$BG$46:$BG$55)*BY70), N($AU$46:$AU$55&gt;$AM70))
) / 1000</f>
        <v>0</v>
      </c>
      <c r="CE70" s="234" cm="1">
        <f t="array" ref="CE70">$BM70 * IF($AH70&lt;=2,
SUMPRODUCT(INDEX($AV$22:$AX$60,,$AI70), INDEX($AY$22:$BE$60,,$AH70), 1 / ($BF$22:$BF$60*CC70), N($AU$22:$AU$60&gt;$AM70)),
SUMPRODUCT(INDEX($AV$22:$AX$45,,$AI70), INDEX($AY$22:$BE$45,,$AH70), 1 / ($BG$22:$BG$45*CC70), N($AU$22:$AU$45&gt;$AM70))
) / 1000</f>
        <v>0</v>
      </c>
      <c r="CF70" s="229">
        <f t="shared" si="29"/>
        <v>0</v>
      </c>
      <c r="CG70" s="246"/>
      <c r="CH70" s="229">
        <f t="shared" si="30"/>
        <v>0</v>
      </c>
      <c r="CI70" s="228">
        <v>35</v>
      </c>
      <c r="CJ70" s="229">
        <f t="shared" si="31"/>
        <v>48</v>
      </c>
      <c r="CK70" s="234">
        <f t="shared" si="32"/>
        <v>3.0748170731707316</v>
      </c>
      <c r="CL70" s="234" cm="1">
        <f t="array" ref="CL70">$BM70 * SUMPRODUCT(INDEX($AV$76:$AX$81,,$AI70),INDEX($AY$76:$BE$81,,$AH70), N($AU$76:$AU$81&gt;$AM70)) / CK70 / 1000</f>
        <v>0</v>
      </c>
      <c r="CM70" s="231">
        <f t="shared" si="33"/>
        <v>30</v>
      </c>
      <c r="CN70" s="229">
        <f t="shared" si="34"/>
        <v>43</v>
      </c>
      <c r="CO70" s="234">
        <f t="shared" si="35"/>
        <v>3.5018750000000001</v>
      </c>
      <c r="CP70" s="234" cm="1">
        <f t="array" ref="CP70">$BM70 * IF($AH70&lt;=2,
SUMPRODUCT(INDEX($AV$71:$AX$75,,$AI70), INDEX($AY$71:$BE$75,,$AH70), 1 / ($BF$71:$BF$75*CO70 + (1-$BF$71:$BF$75)*CK70), N($AU$71:$AU$75&gt;$AM70)),
SUMPRODUCT(INDEX($AV$66:$AX$75,,$AI70), INDEX($AY$66:$BE$75,,$AH70), 1 / ($BG$66:$BG$75*CO70 + (1-$BG$66:$BG$75)*CK70), N($AU$66:$AU$75&gt;$AM70))
) / 1000</f>
        <v>0</v>
      </c>
      <c r="CQ70" s="231">
        <f t="shared" si="36"/>
        <v>25</v>
      </c>
      <c r="CR70" s="229">
        <f t="shared" si="37"/>
        <v>38</v>
      </c>
      <c r="CS70" s="234">
        <f t="shared" si="38"/>
        <v>4.0666935483870965</v>
      </c>
      <c r="CT70" s="234" cm="1">
        <f t="array" ref="CT70">$BM70 * IF($AH70&lt;=2,
SUMPRODUCT(INDEX($AV$66:$AX$70,,$AI70), INDEX($AY$66:$BE$70,,$AH70), 1 / ($BF$66:$BF$70*CS70 + (1-$BF$66:$BF$70)*CO70), N($AU$66:$AU$70&gt;$AM70)),
SUMPRODUCT(INDEX($AV$56:$AX$65,,$AI70), INDEX($AY$56:$BE$65,,$AH70), 1 / ($BG$56:$BG$65*CS70 + (1-$BG$56:$BG$65)*CO70), N($AU$56:$AU$65&gt;$AM70))
) / 1000</f>
        <v>0</v>
      </c>
      <c r="CU70" s="231">
        <f t="shared" si="39"/>
        <v>20</v>
      </c>
      <c r="CV70" s="229">
        <f t="shared" si="40"/>
        <v>33</v>
      </c>
      <c r="CW70" s="234">
        <f t="shared" si="41"/>
        <v>4.8487499999999999</v>
      </c>
      <c r="CX70" s="234" cm="1">
        <f t="array" ref="CX70">$BM70 * IF($AH70&lt;=2,
SUMPRODUCT(INDEX($AV$61:$AX$65,,$AI70), INDEX($AY$61:$BE$65,,$AH70), 1 / ($BF$61:$BF$65*CW70 + (1-$BF$61:$BF$65)*CS70), N($AU$61:$AU$65&gt;$AM70)),
SUMPRODUCT(INDEX($AV$46:$AX$55,,$AI70), INDEX($AY$46:$BE$55,,$AH70), 1 / ($BG$46:$BG$55*CW70 + (1-$BG$46:$BG$55)*CS70), N($AU$46:$AU$55&gt;$AM70))
) / 1000</f>
        <v>0</v>
      </c>
      <c r="CY70" s="234" cm="1">
        <f t="array" ref="CY70">$BM70 * IF($AH70&lt;=2,
SUMPRODUCT(INDEX($AV$22:$AX$60,,$AI70), INDEX($AY$22:$BE$60,,$AH70), 1 / ($BF$22:$BF$60*CW70), N($AU$22:$AU$60&gt;$AM70)),
SUMPRODUCT(INDEX($AV$22:$AX$45,,$AI70), INDEX($AY$22:$BE$45,,$AH70), 1 / ($BG$22:$BG$45*CW70), N($AU$22:$AU$45&gt;$AM70))
) / 1000</f>
        <v>0</v>
      </c>
      <c r="CZ70" s="229">
        <f t="shared" si="42"/>
        <v>0</v>
      </c>
      <c r="DA70" s="246"/>
    </row>
    <row r="71" spans="1:105" s="75" customFormat="1" ht="14.25" customHeight="1" x14ac:dyDescent="0.25">
      <c r="A71" s="230" t="b">
        <f t="shared" si="0"/>
        <v>0</v>
      </c>
      <c r="B71" s="253">
        <v>50</v>
      </c>
      <c r="C71" s="266"/>
      <c r="D71" s="266"/>
      <c r="E71" s="254"/>
      <c r="F71" s="255" t="str">
        <f>IF(ISBLANK(E71), "", VLOOKUP(E71, Z!$A$2:$C$4127, 3, FALSE))</f>
        <v/>
      </c>
      <c r="G71" s="256"/>
      <c r="H71" s="256"/>
      <c r="I71" s="256"/>
      <c r="J71" s="257"/>
      <c r="K71" s="258"/>
      <c r="L71" s="267"/>
      <c r="M71" s="268"/>
      <c r="N71" s="259" t="str" cm="1">
        <f t="array" ref="N71">IF($L71&gt;0, INDEX(Clean,1+AK71,$D$1), "")</f>
        <v/>
      </c>
      <c r="O71" s="260"/>
      <c r="P71" s="260"/>
      <c r="Q71" s="261"/>
      <c r="R71" s="264">
        <f t="shared" si="7"/>
        <v>0</v>
      </c>
      <c r="S71" s="259" t="str" cm="1">
        <f t="array" ref="S71">IF($L71&gt;0, INDEX(Clean,1+AL71,$D$1), "")</f>
        <v/>
      </c>
      <c r="T71" s="260"/>
      <c r="U71" s="260"/>
      <c r="V71" s="261"/>
      <c r="W71" s="267"/>
      <c r="X71" s="267"/>
      <c r="Y71" s="257"/>
      <c r="Z71" s="264">
        <f t="shared" si="8"/>
        <v>0</v>
      </c>
      <c r="AA71" s="269"/>
      <c r="AB71" s="266"/>
      <c r="AC71" s="254"/>
      <c r="AD71" s="255" t="str">
        <f>IF(ISBLANK(AC71), "", VLOOKUP(AC71, Z!$A$2:$C$4127, 3, FALSE))</f>
        <v/>
      </c>
      <c r="AE71" s="270"/>
      <c r="AF71" s="265">
        <f t="shared" si="9"/>
        <v>0</v>
      </c>
      <c r="AG71" s="246"/>
      <c r="AH71" s="228">
        <f t="shared" ref="AH71" si="231">IF(ISBLANK(I71), 1, IFERROR(MATCH(I71, INDEX(Use,,1), 0), IFERROR(MATCH(I71, INDEX(Use,,2), 0), MATCH(I71, INDEX(Use,,3), 0))))</f>
        <v>1</v>
      </c>
      <c r="AI71" s="228">
        <f t="shared" ref="AI71" si="232">IF(ISBLANK(H71), 1, IFERROR(MATCH(H71, INDEX(Loc,,1), 0), IFERROR(MATCH(H71, INDEX(Loc,,2), 0), MATCH(H71, INDEX(Loc,,3), 0))))</f>
        <v>1</v>
      </c>
      <c r="AJ71" s="228">
        <f t="shared" ref="AJ71" si="233">_xlfn.IFNA(IF(IFERROR(MATCH(J71, INDEX(Medium,,1), 0), IFERROR(MATCH(J71, INDEX(Medium,,2), 0), MATCH(J71, INDEX(Medium,,3), 0))) = 2, 1, 0), 0)</f>
        <v>0</v>
      </c>
      <c r="AK71" s="228">
        <v>0</v>
      </c>
      <c r="AL71" s="228">
        <v>0</v>
      </c>
      <c r="AM71" s="228">
        <f t="shared" si="4"/>
        <v>-100</v>
      </c>
      <c r="AN71" s="228" cm="1">
        <f t="array" ref="AN71">IF(ISBLANK(G71), 1, IFERROR(MATCH(G71, INDEX(Kat,,1), 0), IFERROR(MATCH(Kat, INDEX(Use,,2), 0), MATCH(Kat, INDEX(Use,,3), 0))))</f>
        <v>1</v>
      </c>
      <c r="AO71" s="246"/>
      <c r="AP71" s="228" cm="1">
        <f t="array" ref="AP71">IF(W71&gt;0, INDEX(Kat, AN71,4), 0)</f>
        <v>0</v>
      </c>
      <c r="AQ71" s="228">
        <f t="shared" ref="AQ71" si="234">IF(ISBLANK(Y71), 0, IFERROR(MATCH(Y71, INDEX(Month,,1), 0), IFERROR(MATCH(Y71, INDEX(Month,,2), 0), MATCH(Y71, INDEX(Month,,3), 0))))</f>
        <v>0</v>
      </c>
      <c r="AR71" s="228" cm="1">
        <f t="array" ref="AR71">IF(X71&gt;0, INDEX(Kat, $AN71, 4+AQ71), 0)</f>
        <v>0</v>
      </c>
      <c r="AS71" s="228" cm="1">
        <f t="array" ref="AS71">IF(X71&gt;0, INDEX(Kat, $AN71, 9+AQ71), 0)</f>
        <v>0</v>
      </c>
      <c r="AT71" s="246"/>
      <c r="AU71" s="228">
        <v>30</v>
      </c>
      <c r="AV71" s="231">
        <v>22</v>
      </c>
      <c r="AW71" s="231">
        <v>23</v>
      </c>
      <c r="AX71" s="231">
        <v>16</v>
      </c>
      <c r="AY71" s="232">
        <f t="shared" si="6"/>
        <v>0.6875</v>
      </c>
      <c r="AZ71" s="232">
        <f t="shared" si="6"/>
        <v>0.6875</v>
      </c>
      <c r="BA71" s="232" t="e" cm="1">
        <f t="array" ref="BA71">MIN(INDEX(Use,BA$20,5) + MAX(0, (1-INDEX(Use,BA$20,5))*($AU71-5)/(35-5)), 1)</f>
        <v>#REF!</v>
      </c>
      <c r="BB71" s="232" t="e" cm="1">
        <f t="array" ref="BB71">MIN(INDEX(Use,BB$20,5) + MAX(0, (1-INDEX(Use,BB$20,5))*($AU71-5)/(35-5)), 1)</f>
        <v>#REF!</v>
      </c>
      <c r="BC71" s="232" t="e" cm="1">
        <f t="array" ref="BC71">MIN(INDEX(Use,BC$20,5) + MAX(0, (1-INDEX(Use,BC$20,5))*($AU71-5)/(35-5)), 1)</f>
        <v>#REF!</v>
      </c>
      <c r="BD71" s="232" t="e" cm="1">
        <f t="array" ref="BD71">MIN(INDEX(Use,BD$20,5) + MAX(0, (1-INDEX(Use,BD$20,5))*($AU71-5)/(35-5)), 1)</f>
        <v>#REF!</v>
      </c>
      <c r="BE71" s="232" t="e" cm="1">
        <f t="array" ref="BE71">MIN(INDEX(Use,BE$20,5) + MAX(0, (1-INDEX(Use,BE$20,5))*($AU71-5)/(35-5)), 1)</f>
        <v>#REF!</v>
      </c>
      <c r="BF71" s="232">
        <v>1</v>
      </c>
      <c r="BG71" s="232">
        <v>0.5</v>
      </c>
      <c r="BH71" s="210"/>
      <c r="BI71" s="228" cm="1">
        <f t="array" ref="BI71">INDEX(Use, $AH71, 4)</f>
        <v>7</v>
      </c>
      <c r="BJ71" s="228">
        <f t="shared" si="14"/>
        <v>32</v>
      </c>
      <c r="BK71" s="228">
        <f t="shared" si="15"/>
        <v>13</v>
      </c>
      <c r="BL71" s="228">
        <f t="shared" si="16"/>
        <v>0</v>
      </c>
      <c r="BM71" s="233" cm="1">
        <f t="array" ref="BM71">L71/IF($M71&gt;0, INDEX($AY$22:$BE$76, $M71+20, $AH71), 1)</f>
        <v>0</v>
      </c>
      <c r="BN71" s="229">
        <f t="shared" si="17"/>
        <v>0</v>
      </c>
      <c r="BO71" s="228">
        <v>35</v>
      </c>
      <c r="BP71" s="229">
        <f t="shared" si="18"/>
        <v>48</v>
      </c>
      <c r="BQ71" s="234">
        <f t="shared" si="19"/>
        <v>3.0748170731707316</v>
      </c>
      <c r="BR71" s="234" cm="1">
        <f t="array" ref="BR71">$BM71 * SUMPRODUCT(INDEX($AV$76:$AX$81,,$AI71),INDEX($AY$76:$BE$81,,$AH71), N($AU$76:$AU$81&gt;$AM71)) / BQ71 / 1000</f>
        <v>0</v>
      </c>
      <c r="BS71" s="231">
        <f t="shared" si="20"/>
        <v>30</v>
      </c>
      <c r="BT71" s="229">
        <f t="shared" si="21"/>
        <v>43</v>
      </c>
      <c r="BU71" s="234">
        <f t="shared" si="22"/>
        <v>3.5018750000000001</v>
      </c>
      <c r="BV71" s="234" cm="1">
        <f t="array" ref="BV71">$BM71 * IF($AH71&lt;=2,
SUMPRODUCT(INDEX($AV$71:$AX$75,,$AI71), INDEX($AY$71:$BE$75,,$AH71), 1 / ($BF$71:$BF$75*BU71 + (1-$BF$71:$BF$75)*BQ71), N($AU$71:$AU$75&gt;$AM71)),
SUMPRODUCT(INDEX($AV$66:$AX$75,,$AI71), INDEX($AY$66:$BE$75,,$AH71), 1 / ($BG$66:$BG$75*BU71 + (1-$BG$66:$BG$75)*BQ71), N($AU$66:$AU$75&gt;$AM71))
) / 1000</f>
        <v>0</v>
      </c>
      <c r="BW71" s="231">
        <f t="shared" si="23"/>
        <v>25</v>
      </c>
      <c r="BX71" s="229">
        <f t="shared" si="24"/>
        <v>38</v>
      </c>
      <c r="BY71" s="234">
        <f t="shared" si="25"/>
        <v>4.0666935483870965</v>
      </c>
      <c r="BZ71" s="234" cm="1">
        <f t="array" ref="BZ71">$BM71 * IF($AH71&lt;=2,
SUMPRODUCT(INDEX($AV$66:$AX$70,,$AI71), INDEX($AY$66:$BE$70,,$AH71), 1 / ($BF$66:$BF$70*BY71 + (1-$BF$66:$BF$70)*BU71), N($AU$66:$AU$70&gt;$AM71)),
SUMPRODUCT(INDEX($AV$56:$AX$65,,$AI71), INDEX($AY$56:$BE$65,,$AH71), 1 / ($BG$56:$BG$65*BY71 + (1-$BG$56:$BG$65)*BU71), N($AU$56:$AU$65&gt;$AM71))
) / 1000</f>
        <v>0</v>
      </c>
      <c r="CA71" s="231">
        <f t="shared" si="26"/>
        <v>20</v>
      </c>
      <c r="CB71" s="229">
        <f t="shared" si="27"/>
        <v>33</v>
      </c>
      <c r="CC71" s="234">
        <f t="shared" si="28"/>
        <v>4.8487499999999999</v>
      </c>
      <c r="CD71" s="234" cm="1">
        <f t="array" ref="CD71">$BM71 * IF($AH71&lt;=2,
SUMPRODUCT(INDEX($AV$61:$AX$65,,$AI71), INDEX($AY$61:$BE$65,,$AH71), 1 / ($BF$61:$BF$65*CC71 + (1-$BF$61:$BF$65)*BY71), N($AU$61:$AU$65&gt;$AM71)),
SUMPRODUCT(INDEX($AV$46:$AX$55,,$AI71), INDEX($AY$46:$BE$55,,$AH71), 1 / ($BG$46:$BG$55*CC71 + (1-$BG$46:$BG$55)*BY71), N($AU$46:$AU$55&gt;$AM71))
) / 1000</f>
        <v>0</v>
      </c>
      <c r="CE71" s="234" cm="1">
        <f t="array" ref="CE71">$BM71 * IF($AH71&lt;=2,
SUMPRODUCT(INDEX($AV$22:$AX$60,,$AI71), INDEX($AY$22:$BE$60,,$AH71), 1 / ($BF$22:$BF$60*CC71), N($AU$22:$AU$60&gt;$AM71)),
SUMPRODUCT(INDEX($AV$22:$AX$45,,$AI71), INDEX($AY$22:$BE$45,,$AH71), 1 / ($BG$22:$BG$45*CC71), N($AU$22:$AU$45&gt;$AM71))
) / 1000</f>
        <v>0</v>
      </c>
      <c r="CF71" s="229">
        <f t="shared" si="29"/>
        <v>0</v>
      </c>
      <c r="CG71" s="246"/>
      <c r="CH71" s="229">
        <f t="shared" si="30"/>
        <v>0</v>
      </c>
      <c r="CI71" s="228">
        <v>35</v>
      </c>
      <c r="CJ71" s="229">
        <f t="shared" si="31"/>
        <v>48</v>
      </c>
      <c r="CK71" s="234">
        <f t="shared" si="32"/>
        <v>3.0748170731707316</v>
      </c>
      <c r="CL71" s="234" cm="1">
        <f t="array" ref="CL71">$BM71 * SUMPRODUCT(INDEX($AV$76:$AX$81,,$AI71),INDEX($AY$76:$BE$81,,$AH71), N($AU$76:$AU$81&gt;$AM71)) / CK71 / 1000</f>
        <v>0</v>
      </c>
      <c r="CM71" s="231">
        <f t="shared" si="33"/>
        <v>30</v>
      </c>
      <c r="CN71" s="229">
        <f t="shared" si="34"/>
        <v>43</v>
      </c>
      <c r="CO71" s="234">
        <f t="shared" si="35"/>
        <v>3.5018750000000001</v>
      </c>
      <c r="CP71" s="234" cm="1">
        <f t="array" ref="CP71">$BM71 * IF($AH71&lt;=2,
SUMPRODUCT(INDEX($AV$71:$AX$75,,$AI71), INDEX($AY$71:$BE$75,,$AH71), 1 / ($BF$71:$BF$75*CO71 + (1-$BF$71:$BF$75)*CK71), N($AU$71:$AU$75&gt;$AM71)),
SUMPRODUCT(INDEX($AV$66:$AX$75,,$AI71), INDEX($AY$66:$BE$75,,$AH71), 1 / ($BG$66:$BG$75*CO71 + (1-$BG$66:$BG$75)*CK71), N($AU$66:$AU$75&gt;$AM71))
) / 1000</f>
        <v>0</v>
      </c>
      <c r="CQ71" s="231">
        <f t="shared" si="36"/>
        <v>25</v>
      </c>
      <c r="CR71" s="229">
        <f t="shared" si="37"/>
        <v>38</v>
      </c>
      <c r="CS71" s="234">
        <f t="shared" si="38"/>
        <v>4.0666935483870965</v>
      </c>
      <c r="CT71" s="234" cm="1">
        <f t="array" ref="CT71">$BM71 * IF($AH71&lt;=2,
SUMPRODUCT(INDEX($AV$66:$AX$70,,$AI71), INDEX($AY$66:$BE$70,,$AH71), 1 / ($BF$66:$BF$70*CS71 + (1-$BF$66:$BF$70)*CO71), N($AU$66:$AU$70&gt;$AM71)),
SUMPRODUCT(INDEX($AV$56:$AX$65,,$AI71), INDEX($AY$56:$BE$65,,$AH71), 1 / ($BG$56:$BG$65*CS71 + (1-$BG$56:$BG$65)*CO71), N($AU$56:$AU$65&gt;$AM71))
) / 1000</f>
        <v>0</v>
      </c>
      <c r="CU71" s="231">
        <f t="shared" si="39"/>
        <v>20</v>
      </c>
      <c r="CV71" s="229">
        <f t="shared" si="40"/>
        <v>33</v>
      </c>
      <c r="CW71" s="234">
        <f t="shared" si="41"/>
        <v>4.8487499999999999</v>
      </c>
      <c r="CX71" s="234" cm="1">
        <f t="array" ref="CX71">$BM71 * IF($AH71&lt;=2,
SUMPRODUCT(INDEX($AV$61:$AX$65,,$AI71), INDEX($AY$61:$BE$65,,$AH71), 1 / ($BF$61:$BF$65*CW71 + (1-$BF$61:$BF$65)*CS71), N($AU$61:$AU$65&gt;$AM71)),
SUMPRODUCT(INDEX($AV$46:$AX$55,,$AI71), INDEX($AY$46:$BE$55,,$AH71), 1 / ($BG$46:$BG$55*CW71 + (1-$BG$46:$BG$55)*CS71), N($AU$46:$AU$55&gt;$AM71))
) / 1000</f>
        <v>0</v>
      </c>
      <c r="CY71" s="234" cm="1">
        <f t="array" ref="CY71">$BM71 * IF($AH71&lt;=2,
SUMPRODUCT(INDEX($AV$22:$AX$60,,$AI71), INDEX($AY$22:$BE$60,,$AH71), 1 / ($BF$22:$BF$60*CW71), N($AU$22:$AU$60&gt;$AM71)),
SUMPRODUCT(INDEX($AV$22:$AX$45,,$AI71), INDEX($AY$22:$BE$45,,$AH71), 1 / ($BG$22:$BG$45*CW71), N($AU$22:$AU$45&gt;$AM71))
) / 1000</f>
        <v>0</v>
      </c>
      <c r="CZ71" s="229">
        <f t="shared" si="42"/>
        <v>0</v>
      </c>
      <c r="DA71" s="246"/>
    </row>
    <row r="72" spans="1:105" s="75" customFormat="1" ht="14.25" customHeight="1" x14ac:dyDescent="0.25">
      <c r="A72" s="230" t="b">
        <f t="shared" si="0"/>
        <v>0</v>
      </c>
      <c r="B72" s="253">
        <v>51</v>
      </c>
      <c r="C72" s="266"/>
      <c r="D72" s="266"/>
      <c r="E72" s="254"/>
      <c r="F72" s="255" t="str">
        <f>IF(ISBLANK(E72), "", VLOOKUP(E72, Z!$A$2:$C$4127, 3, FALSE))</f>
        <v/>
      </c>
      <c r="G72" s="256"/>
      <c r="H72" s="256"/>
      <c r="I72" s="256"/>
      <c r="J72" s="257"/>
      <c r="K72" s="258"/>
      <c r="L72" s="267"/>
      <c r="M72" s="268"/>
      <c r="N72" s="259" t="str" cm="1">
        <f t="array" ref="N72">IF($L72&gt;0, INDEX(Clean,1+AK72,$D$1), "")</f>
        <v/>
      </c>
      <c r="O72" s="260"/>
      <c r="P72" s="260"/>
      <c r="Q72" s="261"/>
      <c r="R72" s="264">
        <f t="shared" si="7"/>
        <v>0</v>
      </c>
      <c r="S72" s="259" t="str" cm="1">
        <f t="array" ref="S72">IF($L72&gt;0, INDEX(Clean,1+AL72,$D$1), "")</f>
        <v/>
      </c>
      <c r="T72" s="260"/>
      <c r="U72" s="260"/>
      <c r="V72" s="261"/>
      <c r="W72" s="267"/>
      <c r="X72" s="267"/>
      <c r="Y72" s="257"/>
      <c r="Z72" s="264">
        <f t="shared" si="8"/>
        <v>0</v>
      </c>
      <c r="AA72" s="269"/>
      <c r="AB72" s="266"/>
      <c r="AC72" s="254"/>
      <c r="AD72" s="255" t="str">
        <f>IF(ISBLANK(AC72), "", VLOOKUP(AC72, Z!$A$2:$C$4127, 3, FALSE))</f>
        <v/>
      </c>
      <c r="AE72" s="270"/>
      <c r="AF72" s="265">
        <f t="shared" si="9"/>
        <v>0</v>
      </c>
      <c r="AG72" s="246"/>
      <c r="AH72" s="228">
        <f t="shared" ref="AH72" si="235">IF(ISBLANK(I72), 1, IFERROR(MATCH(I72, INDEX(Use,,1), 0), IFERROR(MATCH(I72, INDEX(Use,,2), 0), MATCH(I72, INDEX(Use,,3), 0))))</f>
        <v>1</v>
      </c>
      <c r="AI72" s="228">
        <f t="shared" ref="AI72" si="236">IF(ISBLANK(H72), 1, IFERROR(MATCH(H72, INDEX(Loc,,1), 0), IFERROR(MATCH(H72, INDEX(Loc,,2), 0), MATCH(H72, INDEX(Loc,,3), 0))))</f>
        <v>1</v>
      </c>
      <c r="AJ72" s="228">
        <f t="shared" ref="AJ72" si="237">_xlfn.IFNA(IF(IFERROR(MATCH(J72, INDEX(Medium,,1), 0), IFERROR(MATCH(J72, INDEX(Medium,,2), 0), MATCH(J72, INDEX(Medium,,3), 0))) = 2, 1, 0), 0)</f>
        <v>0</v>
      </c>
      <c r="AK72" s="228">
        <v>0</v>
      </c>
      <c r="AL72" s="228">
        <v>0</v>
      </c>
      <c r="AM72" s="228">
        <f t="shared" si="4"/>
        <v>-100</v>
      </c>
      <c r="AN72" s="228" cm="1">
        <f t="array" ref="AN72">IF(ISBLANK(G72), 1, IFERROR(MATCH(G72, INDEX(Kat,,1), 0), IFERROR(MATCH(Kat, INDEX(Use,,2), 0), MATCH(Kat, INDEX(Use,,3), 0))))</f>
        <v>1</v>
      </c>
      <c r="AO72" s="246"/>
      <c r="AP72" s="228" cm="1">
        <f t="array" ref="AP72">IF(W72&gt;0, INDEX(Kat, AN72,4), 0)</f>
        <v>0</v>
      </c>
      <c r="AQ72" s="228">
        <f t="shared" ref="AQ72" si="238">IF(ISBLANK(Y72), 0, IFERROR(MATCH(Y72, INDEX(Month,,1), 0), IFERROR(MATCH(Y72, INDEX(Month,,2), 0), MATCH(Y72, INDEX(Month,,3), 0))))</f>
        <v>0</v>
      </c>
      <c r="AR72" s="228" cm="1">
        <f t="array" ref="AR72">IF(X72&gt;0, INDEX(Kat, $AN72, 4+AQ72), 0)</f>
        <v>0</v>
      </c>
      <c r="AS72" s="228" cm="1">
        <f t="array" ref="AS72">IF(X72&gt;0, INDEX(Kat, $AN72, 9+AQ72), 0)</f>
        <v>0</v>
      </c>
      <c r="AT72" s="246"/>
      <c r="AU72" s="228">
        <v>31</v>
      </c>
      <c r="AV72" s="231">
        <v>17</v>
      </c>
      <c r="AW72" s="231">
        <v>19</v>
      </c>
      <c r="AX72" s="231">
        <v>6</v>
      </c>
      <c r="AY72" s="232">
        <f t="shared" si="6"/>
        <v>0.75</v>
      </c>
      <c r="AZ72" s="232">
        <f t="shared" si="6"/>
        <v>0.75</v>
      </c>
      <c r="BA72" s="232" t="e" cm="1">
        <f t="array" ref="BA72">MIN(INDEX(Use,BA$20,5) + MAX(0, (1-INDEX(Use,BA$20,5))*($AU72-5)/(35-5)), 1)</f>
        <v>#REF!</v>
      </c>
      <c r="BB72" s="232" t="e" cm="1">
        <f t="array" ref="BB72">MIN(INDEX(Use,BB$20,5) + MAX(0, (1-INDEX(Use,BB$20,5))*($AU72-5)/(35-5)), 1)</f>
        <v>#REF!</v>
      </c>
      <c r="BC72" s="232" t="e" cm="1">
        <f t="array" ref="BC72">MIN(INDEX(Use,BC$20,5) + MAX(0, (1-INDEX(Use,BC$20,5))*($AU72-5)/(35-5)), 1)</f>
        <v>#REF!</v>
      </c>
      <c r="BD72" s="232" t="e" cm="1">
        <f t="array" ref="BD72">MIN(INDEX(Use,BD$20,5) + MAX(0, (1-INDEX(Use,BD$20,5))*($AU72-5)/(35-5)), 1)</f>
        <v>#REF!</v>
      </c>
      <c r="BE72" s="232" t="e" cm="1">
        <f t="array" ref="BE72">MIN(INDEX(Use,BE$20,5) + MAX(0, (1-INDEX(Use,BE$20,5))*($AU72-5)/(35-5)), 1)</f>
        <v>#REF!</v>
      </c>
      <c r="BF72" s="232">
        <v>0.8</v>
      </c>
      <c r="BG72" s="232">
        <v>0.4</v>
      </c>
      <c r="BH72" s="210"/>
      <c r="BI72" s="228" cm="1">
        <f t="array" ref="BI72">INDEX(Use, $AH72, 4)</f>
        <v>7</v>
      </c>
      <c r="BJ72" s="228">
        <f t="shared" si="14"/>
        <v>32</v>
      </c>
      <c r="BK72" s="228">
        <f t="shared" si="15"/>
        <v>13</v>
      </c>
      <c r="BL72" s="228">
        <f t="shared" si="16"/>
        <v>0</v>
      </c>
      <c r="BM72" s="233" cm="1">
        <f t="array" ref="BM72">L72/IF($M72&gt;0, INDEX($AY$22:$BE$76, $M72+20, $AH72), 1)</f>
        <v>0</v>
      </c>
      <c r="BN72" s="229">
        <f t="shared" si="17"/>
        <v>0</v>
      </c>
      <c r="BO72" s="228">
        <v>35</v>
      </c>
      <c r="BP72" s="229">
        <f t="shared" si="18"/>
        <v>48</v>
      </c>
      <c r="BQ72" s="234">
        <f t="shared" si="19"/>
        <v>3.0748170731707316</v>
      </c>
      <c r="BR72" s="234" cm="1">
        <f t="array" ref="BR72">$BM72 * SUMPRODUCT(INDEX($AV$76:$AX$81,,$AI72),INDEX($AY$76:$BE$81,,$AH72), N($AU$76:$AU$81&gt;$AM72)) / BQ72 / 1000</f>
        <v>0</v>
      </c>
      <c r="BS72" s="231">
        <f t="shared" si="20"/>
        <v>30</v>
      </c>
      <c r="BT72" s="229">
        <f t="shared" si="21"/>
        <v>43</v>
      </c>
      <c r="BU72" s="234">
        <f t="shared" si="22"/>
        <v>3.5018750000000001</v>
      </c>
      <c r="BV72" s="234" cm="1">
        <f t="array" ref="BV72">$BM72 * IF($AH72&lt;=2,
SUMPRODUCT(INDEX($AV$71:$AX$75,,$AI72), INDEX($AY$71:$BE$75,,$AH72), 1 / ($BF$71:$BF$75*BU72 + (1-$BF$71:$BF$75)*BQ72), N($AU$71:$AU$75&gt;$AM72)),
SUMPRODUCT(INDEX($AV$66:$AX$75,,$AI72), INDEX($AY$66:$BE$75,,$AH72), 1 / ($BG$66:$BG$75*BU72 + (1-$BG$66:$BG$75)*BQ72), N($AU$66:$AU$75&gt;$AM72))
) / 1000</f>
        <v>0</v>
      </c>
      <c r="BW72" s="231">
        <f t="shared" si="23"/>
        <v>25</v>
      </c>
      <c r="BX72" s="229">
        <f t="shared" si="24"/>
        <v>38</v>
      </c>
      <c r="BY72" s="234">
        <f t="shared" si="25"/>
        <v>4.0666935483870965</v>
      </c>
      <c r="BZ72" s="234" cm="1">
        <f t="array" ref="BZ72">$BM72 * IF($AH72&lt;=2,
SUMPRODUCT(INDEX($AV$66:$AX$70,,$AI72), INDEX($AY$66:$BE$70,,$AH72), 1 / ($BF$66:$BF$70*BY72 + (1-$BF$66:$BF$70)*BU72), N($AU$66:$AU$70&gt;$AM72)),
SUMPRODUCT(INDEX($AV$56:$AX$65,,$AI72), INDEX($AY$56:$BE$65,,$AH72), 1 / ($BG$56:$BG$65*BY72 + (1-$BG$56:$BG$65)*BU72), N($AU$56:$AU$65&gt;$AM72))
) / 1000</f>
        <v>0</v>
      </c>
      <c r="CA72" s="231">
        <f t="shared" si="26"/>
        <v>20</v>
      </c>
      <c r="CB72" s="229">
        <f t="shared" si="27"/>
        <v>33</v>
      </c>
      <c r="CC72" s="234">
        <f t="shared" si="28"/>
        <v>4.8487499999999999</v>
      </c>
      <c r="CD72" s="234" cm="1">
        <f t="array" ref="CD72">$BM72 * IF($AH72&lt;=2,
SUMPRODUCT(INDEX($AV$61:$AX$65,,$AI72), INDEX($AY$61:$BE$65,,$AH72), 1 / ($BF$61:$BF$65*CC72 + (1-$BF$61:$BF$65)*BY72), N($AU$61:$AU$65&gt;$AM72)),
SUMPRODUCT(INDEX($AV$46:$AX$55,,$AI72), INDEX($AY$46:$BE$55,,$AH72), 1 / ($BG$46:$BG$55*CC72 + (1-$BG$46:$BG$55)*BY72), N($AU$46:$AU$55&gt;$AM72))
) / 1000</f>
        <v>0</v>
      </c>
      <c r="CE72" s="234" cm="1">
        <f t="array" ref="CE72">$BM72 * IF($AH72&lt;=2,
SUMPRODUCT(INDEX($AV$22:$AX$60,,$AI72), INDEX($AY$22:$BE$60,,$AH72), 1 / ($BF$22:$BF$60*CC72), N($AU$22:$AU$60&gt;$AM72)),
SUMPRODUCT(INDEX($AV$22:$AX$45,,$AI72), INDEX($AY$22:$BE$45,,$AH72), 1 / ($BG$22:$BG$45*CC72), N($AU$22:$AU$45&gt;$AM72))
) / 1000</f>
        <v>0</v>
      </c>
      <c r="CF72" s="229">
        <f t="shared" si="29"/>
        <v>0</v>
      </c>
      <c r="CG72" s="246"/>
      <c r="CH72" s="229">
        <f t="shared" si="30"/>
        <v>0</v>
      </c>
      <c r="CI72" s="228">
        <v>35</v>
      </c>
      <c r="CJ72" s="229">
        <f t="shared" si="31"/>
        <v>48</v>
      </c>
      <c r="CK72" s="234">
        <f t="shared" si="32"/>
        <v>3.0748170731707316</v>
      </c>
      <c r="CL72" s="234" cm="1">
        <f t="array" ref="CL72">$BM72 * SUMPRODUCT(INDEX($AV$76:$AX$81,,$AI72),INDEX($AY$76:$BE$81,,$AH72), N($AU$76:$AU$81&gt;$AM72)) / CK72 / 1000</f>
        <v>0</v>
      </c>
      <c r="CM72" s="231">
        <f t="shared" si="33"/>
        <v>30</v>
      </c>
      <c r="CN72" s="229">
        <f t="shared" si="34"/>
        <v>43</v>
      </c>
      <c r="CO72" s="234">
        <f t="shared" si="35"/>
        <v>3.5018750000000001</v>
      </c>
      <c r="CP72" s="234" cm="1">
        <f t="array" ref="CP72">$BM72 * IF($AH72&lt;=2,
SUMPRODUCT(INDEX($AV$71:$AX$75,,$AI72), INDEX($AY$71:$BE$75,,$AH72), 1 / ($BF$71:$BF$75*CO72 + (1-$BF$71:$BF$75)*CK72), N($AU$71:$AU$75&gt;$AM72)),
SUMPRODUCT(INDEX($AV$66:$AX$75,,$AI72), INDEX($AY$66:$BE$75,,$AH72), 1 / ($BG$66:$BG$75*CO72 + (1-$BG$66:$BG$75)*CK72), N($AU$66:$AU$75&gt;$AM72))
) / 1000</f>
        <v>0</v>
      </c>
      <c r="CQ72" s="231">
        <f t="shared" si="36"/>
        <v>25</v>
      </c>
      <c r="CR72" s="229">
        <f t="shared" si="37"/>
        <v>38</v>
      </c>
      <c r="CS72" s="234">
        <f t="shared" si="38"/>
        <v>4.0666935483870965</v>
      </c>
      <c r="CT72" s="234" cm="1">
        <f t="array" ref="CT72">$BM72 * IF($AH72&lt;=2,
SUMPRODUCT(INDEX($AV$66:$AX$70,,$AI72), INDEX($AY$66:$BE$70,,$AH72), 1 / ($BF$66:$BF$70*CS72 + (1-$BF$66:$BF$70)*CO72), N($AU$66:$AU$70&gt;$AM72)),
SUMPRODUCT(INDEX($AV$56:$AX$65,,$AI72), INDEX($AY$56:$BE$65,,$AH72), 1 / ($BG$56:$BG$65*CS72 + (1-$BG$56:$BG$65)*CO72), N($AU$56:$AU$65&gt;$AM72))
) / 1000</f>
        <v>0</v>
      </c>
      <c r="CU72" s="231">
        <f t="shared" si="39"/>
        <v>20</v>
      </c>
      <c r="CV72" s="229">
        <f t="shared" si="40"/>
        <v>33</v>
      </c>
      <c r="CW72" s="234">
        <f t="shared" si="41"/>
        <v>4.8487499999999999</v>
      </c>
      <c r="CX72" s="234" cm="1">
        <f t="array" ref="CX72">$BM72 * IF($AH72&lt;=2,
SUMPRODUCT(INDEX($AV$61:$AX$65,,$AI72), INDEX($AY$61:$BE$65,,$AH72), 1 / ($BF$61:$BF$65*CW72 + (1-$BF$61:$BF$65)*CS72), N($AU$61:$AU$65&gt;$AM72)),
SUMPRODUCT(INDEX($AV$46:$AX$55,,$AI72), INDEX($AY$46:$BE$55,,$AH72), 1 / ($BG$46:$BG$55*CW72 + (1-$BG$46:$BG$55)*CS72), N($AU$46:$AU$55&gt;$AM72))
) / 1000</f>
        <v>0</v>
      </c>
      <c r="CY72" s="234" cm="1">
        <f t="array" ref="CY72">$BM72 * IF($AH72&lt;=2,
SUMPRODUCT(INDEX($AV$22:$AX$60,,$AI72), INDEX($AY$22:$BE$60,,$AH72), 1 / ($BF$22:$BF$60*CW72), N($AU$22:$AU$60&gt;$AM72)),
SUMPRODUCT(INDEX($AV$22:$AX$45,,$AI72), INDEX($AY$22:$BE$45,,$AH72), 1 / ($BG$22:$BG$45*CW72), N($AU$22:$AU$45&gt;$AM72))
) / 1000</f>
        <v>0</v>
      </c>
      <c r="CZ72" s="229">
        <f t="shared" si="42"/>
        <v>0</v>
      </c>
      <c r="DA72" s="246"/>
    </row>
    <row r="73" spans="1:105" s="75" customFormat="1" ht="14.25" customHeight="1" x14ac:dyDescent="0.25">
      <c r="A73" s="230" t="b">
        <f t="shared" si="0"/>
        <v>0</v>
      </c>
      <c r="B73" s="253">
        <v>52</v>
      </c>
      <c r="C73" s="266"/>
      <c r="D73" s="266"/>
      <c r="E73" s="254"/>
      <c r="F73" s="255" t="str">
        <f>IF(ISBLANK(E73), "", VLOOKUP(E73, Z!$A$2:$C$4127, 3, FALSE))</f>
        <v/>
      </c>
      <c r="G73" s="256"/>
      <c r="H73" s="256"/>
      <c r="I73" s="256"/>
      <c r="J73" s="257"/>
      <c r="K73" s="258"/>
      <c r="L73" s="267"/>
      <c r="M73" s="268"/>
      <c r="N73" s="259" t="str" cm="1">
        <f t="array" ref="N73">IF($L73&gt;0, INDEX(Clean,1+AK73,$D$1), "")</f>
        <v/>
      </c>
      <c r="O73" s="260"/>
      <c r="P73" s="260"/>
      <c r="Q73" s="261"/>
      <c r="R73" s="264">
        <f t="shared" si="7"/>
        <v>0</v>
      </c>
      <c r="S73" s="259" t="str" cm="1">
        <f t="array" ref="S73">IF($L73&gt;0, INDEX(Clean,1+AL73,$D$1), "")</f>
        <v/>
      </c>
      <c r="T73" s="260"/>
      <c r="U73" s="260"/>
      <c r="V73" s="261"/>
      <c r="W73" s="267"/>
      <c r="X73" s="267"/>
      <c r="Y73" s="257"/>
      <c r="Z73" s="264">
        <f t="shared" si="8"/>
        <v>0</v>
      </c>
      <c r="AA73" s="269"/>
      <c r="AB73" s="266"/>
      <c r="AC73" s="254"/>
      <c r="AD73" s="255" t="str">
        <f>IF(ISBLANK(AC73), "", VLOOKUP(AC73, Z!$A$2:$C$4127, 3, FALSE))</f>
        <v/>
      </c>
      <c r="AE73" s="270"/>
      <c r="AF73" s="265">
        <f t="shared" si="9"/>
        <v>0</v>
      </c>
      <c r="AG73" s="246"/>
      <c r="AH73" s="228">
        <f t="shared" ref="AH73" si="239">IF(ISBLANK(I73), 1, IFERROR(MATCH(I73, INDEX(Use,,1), 0), IFERROR(MATCH(I73, INDEX(Use,,2), 0), MATCH(I73, INDEX(Use,,3), 0))))</f>
        <v>1</v>
      </c>
      <c r="AI73" s="228">
        <f t="shared" ref="AI73" si="240">IF(ISBLANK(H73), 1, IFERROR(MATCH(H73, INDEX(Loc,,1), 0), IFERROR(MATCH(H73, INDEX(Loc,,2), 0), MATCH(H73, INDEX(Loc,,3), 0))))</f>
        <v>1</v>
      </c>
      <c r="AJ73" s="228">
        <f t="shared" ref="AJ73" si="241">_xlfn.IFNA(IF(IFERROR(MATCH(J73, INDEX(Medium,,1), 0), IFERROR(MATCH(J73, INDEX(Medium,,2), 0), MATCH(J73, INDEX(Medium,,3), 0))) = 2, 1, 0), 0)</f>
        <v>0</v>
      </c>
      <c r="AK73" s="228">
        <v>0</v>
      </c>
      <c r="AL73" s="228">
        <v>0</v>
      </c>
      <c r="AM73" s="228">
        <f t="shared" si="4"/>
        <v>-100</v>
      </c>
      <c r="AN73" s="228" cm="1">
        <f t="array" ref="AN73">IF(ISBLANK(G73), 1, IFERROR(MATCH(G73, INDEX(Kat,,1), 0), IFERROR(MATCH(Kat, INDEX(Use,,2), 0), MATCH(Kat, INDEX(Use,,3), 0))))</f>
        <v>1</v>
      </c>
      <c r="AO73" s="246"/>
      <c r="AP73" s="228" cm="1">
        <f t="array" ref="AP73">IF(W73&gt;0, INDEX(Kat, AN73,4), 0)</f>
        <v>0</v>
      </c>
      <c r="AQ73" s="228">
        <f t="shared" ref="AQ73" si="242">IF(ISBLANK(Y73), 0, IFERROR(MATCH(Y73, INDEX(Month,,1), 0), IFERROR(MATCH(Y73, INDEX(Month,,2), 0), MATCH(Y73, INDEX(Month,,3), 0))))</f>
        <v>0</v>
      </c>
      <c r="AR73" s="228" cm="1">
        <f t="array" ref="AR73">IF(X73&gt;0, INDEX(Kat, $AN73, 4+AQ73), 0)</f>
        <v>0</v>
      </c>
      <c r="AS73" s="228" cm="1">
        <f t="array" ref="AS73">IF(X73&gt;0, INDEX(Kat, $AN73, 9+AQ73), 0)</f>
        <v>0</v>
      </c>
      <c r="AT73" s="246"/>
      <c r="AU73" s="228">
        <v>32</v>
      </c>
      <c r="AV73" s="231">
        <v>6</v>
      </c>
      <c r="AW73" s="231">
        <v>10</v>
      </c>
      <c r="AX73" s="231">
        <v>2</v>
      </c>
      <c r="AY73" s="232">
        <f t="shared" si="6"/>
        <v>0.8125</v>
      </c>
      <c r="AZ73" s="232">
        <f t="shared" si="6"/>
        <v>0.8125</v>
      </c>
      <c r="BA73" s="232" t="e" cm="1">
        <f t="array" ref="BA73">MIN(INDEX(Use,BA$20,5) + MAX(0, (1-INDEX(Use,BA$20,5))*($AU73-5)/(35-5)), 1)</f>
        <v>#REF!</v>
      </c>
      <c r="BB73" s="232" t="e" cm="1">
        <f t="array" ref="BB73">MIN(INDEX(Use,BB$20,5) + MAX(0, (1-INDEX(Use,BB$20,5))*($AU73-5)/(35-5)), 1)</f>
        <v>#REF!</v>
      </c>
      <c r="BC73" s="232" t="e" cm="1">
        <f t="array" ref="BC73">MIN(INDEX(Use,BC$20,5) + MAX(0, (1-INDEX(Use,BC$20,5))*($AU73-5)/(35-5)), 1)</f>
        <v>#REF!</v>
      </c>
      <c r="BD73" s="232" t="e" cm="1">
        <f t="array" ref="BD73">MIN(INDEX(Use,BD$20,5) + MAX(0, (1-INDEX(Use,BD$20,5))*($AU73-5)/(35-5)), 1)</f>
        <v>#REF!</v>
      </c>
      <c r="BE73" s="232" t="e" cm="1">
        <f t="array" ref="BE73">MIN(INDEX(Use,BE$20,5) + MAX(0, (1-INDEX(Use,BE$20,5))*($AU73-5)/(35-5)), 1)</f>
        <v>#REF!</v>
      </c>
      <c r="BF73" s="232">
        <v>0.6</v>
      </c>
      <c r="BG73" s="232">
        <v>0.3</v>
      </c>
      <c r="BH73" s="210"/>
      <c r="BI73" s="228" cm="1">
        <f t="array" ref="BI73">INDEX(Use, $AH73, 4)</f>
        <v>7</v>
      </c>
      <c r="BJ73" s="228">
        <f t="shared" si="14"/>
        <v>32</v>
      </c>
      <c r="BK73" s="228">
        <f t="shared" si="15"/>
        <v>13</v>
      </c>
      <c r="BL73" s="228">
        <f t="shared" si="16"/>
        <v>0</v>
      </c>
      <c r="BM73" s="233" cm="1">
        <f t="array" ref="BM73">L73/IF($M73&gt;0, INDEX($AY$22:$BE$76, $M73+20, $AH73), 1)</f>
        <v>0</v>
      </c>
      <c r="BN73" s="229">
        <f t="shared" si="17"/>
        <v>0</v>
      </c>
      <c r="BO73" s="228">
        <v>35</v>
      </c>
      <c r="BP73" s="229">
        <f t="shared" si="18"/>
        <v>48</v>
      </c>
      <c r="BQ73" s="234">
        <f t="shared" si="19"/>
        <v>3.0748170731707316</v>
      </c>
      <c r="BR73" s="234" cm="1">
        <f t="array" ref="BR73">$BM73 * SUMPRODUCT(INDEX($AV$76:$AX$81,,$AI73),INDEX($AY$76:$BE$81,,$AH73), N($AU$76:$AU$81&gt;$AM73)) / BQ73 / 1000</f>
        <v>0</v>
      </c>
      <c r="BS73" s="231">
        <f t="shared" si="20"/>
        <v>30</v>
      </c>
      <c r="BT73" s="229">
        <f t="shared" si="21"/>
        <v>43</v>
      </c>
      <c r="BU73" s="234">
        <f t="shared" si="22"/>
        <v>3.5018750000000001</v>
      </c>
      <c r="BV73" s="234" cm="1">
        <f t="array" ref="BV73">$BM73 * IF($AH73&lt;=2,
SUMPRODUCT(INDEX($AV$71:$AX$75,,$AI73), INDEX($AY$71:$BE$75,,$AH73), 1 / ($BF$71:$BF$75*BU73 + (1-$BF$71:$BF$75)*BQ73), N($AU$71:$AU$75&gt;$AM73)),
SUMPRODUCT(INDEX($AV$66:$AX$75,,$AI73), INDEX($AY$66:$BE$75,,$AH73), 1 / ($BG$66:$BG$75*BU73 + (1-$BG$66:$BG$75)*BQ73), N($AU$66:$AU$75&gt;$AM73))
) / 1000</f>
        <v>0</v>
      </c>
      <c r="BW73" s="231">
        <f t="shared" si="23"/>
        <v>25</v>
      </c>
      <c r="BX73" s="229">
        <f t="shared" si="24"/>
        <v>38</v>
      </c>
      <c r="BY73" s="234">
        <f t="shared" si="25"/>
        <v>4.0666935483870965</v>
      </c>
      <c r="BZ73" s="234" cm="1">
        <f t="array" ref="BZ73">$BM73 * IF($AH73&lt;=2,
SUMPRODUCT(INDEX($AV$66:$AX$70,,$AI73), INDEX($AY$66:$BE$70,,$AH73), 1 / ($BF$66:$BF$70*BY73 + (1-$BF$66:$BF$70)*BU73), N($AU$66:$AU$70&gt;$AM73)),
SUMPRODUCT(INDEX($AV$56:$AX$65,,$AI73), INDEX($AY$56:$BE$65,,$AH73), 1 / ($BG$56:$BG$65*BY73 + (1-$BG$56:$BG$65)*BU73), N($AU$56:$AU$65&gt;$AM73))
) / 1000</f>
        <v>0</v>
      </c>
      <c r="CA73" s="231">
        <f t="shared" si="26"/>
        <v>20</v>
      </c>
      <c r="CB73" s="229">
        <f t="shared" si="27"/>
        <v>33</v>
      </c>
      <c r="CC73" s="234">
        <f t="shared" si="28"/>
        <v>4.8487499999999999</v>
      </c>
      <c r="CD73" s="234" cm="1">
        <f t="array" ref="CD73">$BM73 * IF($AH73&lt;=2,
SUMPRODUCT(INDEX($AV$61:$AX$65,,$AI73), INDEX($AY$61:$BE$65,,$AH73), 1 / ($BF$61:$BF$65*CC73 + (1-$BF$61:$BF$65)*BY73), N($AU$61:$AU$65&gt;$AM73)),
SUMPRODUCT(INDEX($AV$46:$AX$55,,$AI73), INDEX($AY$46:$BE$55,,$AH73), 1 / ($BG$46:$BG$55*CC73 + (1-$BG$46:$BG$55)*BY73), N($AU$46:$AU$55&gt;$AM73))
) / 1000</f>
        <v>0</v>
      </c>
      <c r="CE73" s="234" cm="1">
        <f t="array" ref="CE73">$BM73 * IF($AH73&lt;=2,
SUMPRODUCT(INDEX($AV$22:$AX$60,,$AI73), INDEX($AY$22:$BE$60,,$AH73), 1 / ($BF$22:$BF$60*CC73), N($AU$22:$AU$60&gt;$AM73)),
SUMPRODUCT(INDEX($AV$22:$AX$45,,$AI73), INDEX($AY$22:$BE$45,,$AH73), 1 / ($BG$22:$BG$45*CC73), N($AU$22:$AU$45&gt;$AM73))
) / 1000</f>
        <v>0</v>
      </c>
      <c r="CF73" s="229">
        <f t="shared" si="29"/>
        <v>0</v>
      </c>
      <c r="CG73" s="246"/>
      <c r="CH73" s="229">
        <f t="shared" si="30"/>
        <v>0</v>
      </c>
      <c r="CI73" s="228">
        <v>35</v>
      </c>
      <c r="CJ73" s="229">
        <f t="shared" si="31"/>
        <v>48</v>
      </c>
      <c r="CK73" s="234">
        <f t="shared" si="32"/>
        <v>3.0748170731707316</v>
      </c>
      <c r="CL73" s="234" cm="1">
        <f t="array" ref="CL73">$BM73 * SUMPRODUCT(INDEX($AV$76:$AX$81,,$AI73),INDEX($AY$76:$BE$81,,$AH73), N($AU$76:$AU$81&gt;$AM73)) / CK73 / 1000</f>
        <v>0</v>
      </c>
      <c r="CM73" s="231">
        <f t="shared" si="33"/>
        <v>30</v>
      </c>
      <c r="CN73" s="229">
        <f t="shared" si="34"/>
        <v>43</v>
      </c>
      <c r="CO73" s="234">
        <f t="shared" si="35"/>
        <v>3.5018750000000001</v>
      </c>
      <c r="CP73" s="234" cm="1">
        <f t="array" ref="CP73">$BM73 * IF($AH73&lt;=2,
SUMPRODUCT(INDEX($AV$71:$AX$75,,$AI73), INDEX($AY$71:$BE$75,,$AH73), 1 / ($BF$71:$BF$75*CO73 + (1-$BF$71:$BF$75)*CK73), N($AU$71:$AU$75&gt;$AM73)),
SUMPRODUCT(INDEX($AV$66:$AX$75,,$AI73), INDEX($AY$66:$BE$75,,$AH73), 1 / ($BG$66:$BG$75*CO73 + (1-$BG$66:$BG$75)*CK73), N($AU$66:$AU$75&gt;$AM73))
) / 1000</f>
        <v>0</v>
      </c>
      <c r="CQ73" s="231">
        <f t="shared" si="36"/>
        <v>25</v>
      </c>
      <c r="CR73" s="229">
        <f t="shared" si="37"/>
        <v>38</v>
      </c>
      <c r="CS73" s="234">
        <f t="shared" si="38"/>
        <v>4.0666935483870965</v>
      </c>
      <c r="CT73" s="234" cm="1">
        <f t="array" ref="CT73">$BM73 * IF($AH73&lt;=2,
SUMPRODUCT(INDEX($AV$66:$AX$70,,$AI73), INDEX($AY$66:$BE$70,,$AH73), 1 / ($BF$66:$BF$70*CS73 + (1-$BF$66:$BF$70)*CO73), N($AU$66:$AU$70&gt;$AM73)),
SUMPRODUCT(INDEX($AV$56:$AX$65,,$AI73), INDEX($AY$56:$BE$65,,$AH73), 1 / ($BG$56:$BG$65*CS73 + (1-$BG$56:$BG$65)*CO73), N($AU$56:$AU$65&gt;$AM73))
) / 1000</f>
        <v>0</v>
      </c>
      <c r="CU73" s="231">
        <f t="shared" si="39"/>
        <v>20</v>
      </c>
      <c r="CV73" s="229">
        <f t="shared" si="40"/>
        <v>33</v>
      </c>
      <c r="CW73" s="234">
        <f t="shared" si="41"/>
        <v>4.8487499999999999</v>
      </c>
      <c r="CX73" s="234" cm="1">
        <f t="array" ref="CX73">$BM73 * IF($AH73&lt;=2,
SUMPRODUCT(INDEX($AV$61:$AX$65,,$AI73), INDEX($AY$61:$BE$65,,$AH73), 1 / ($BF$61:$BF$65*CW73 + (1-$BF$61:$BF$65)*CS73), N($AU$61:$AU$65&gt;$AM73)),
SUMPRODUCT(INDEX($AV$46:$AX$55,,$AI73), INDEX($AY$46:$BE$55,,$AH73), 1 / ($BG$46:$BG$55*CW73 + (1-$BG$46:$BG$55)*CS73), N($AU$46:$AU$55&gt;$AM73))
) / 1000</f>
        <v>0</v>
      </c>
      <c r="CY73" s="234" cm="1">
        <f t="array" ref="CY73">$BM73 * IF($AH73&lt;=2,
SUMPRODUCT(INDEX($AV$22:$AX$60,,$AI73), INDEX($AY$22:$BE$60,,$AH73), 1 / ($BF$22:$BF$60*CW73), N($AU$22:$AU$60&gt;$AM73)),
SUMPRODUCT(INDEX($AV$22:$AX$45,,$AI73), INDEX($AY$22:$BE$45,,$AH73), 1 / ($BG$22:$BG$45*CW73), N($AU$22:$AU$45&gt;$AM73))
) / 1000</f>
        <v>0</v>
      </c>
      <c r="CZ73" s="229">
        <f t="shared" si="42"/>
        <v>0</v>
      </c>
      <c r="DA73" s="246"/>
    </row>
    <row r="74" spans="1:105" s="75" customFormat="1" ht="14.25" customHeight="1" x14ac:dyDescent="0.25">
      <c r="A74" s="230" t="b">
        <f t="shared" si="0"/>
        <v>0</v>
      </c>
      <c r="B74" s="253">
        <v>53</v>
      </c>
      <c r="C74" s="266"/>
      <c r="D74" s="266"/>
      <c r="E74" s="254"/>
      <c r="F74" s="255" t="str">
        <f>IF(ISBLANK(E74), "", VLOOKUP(E74, Z!$A$2:$C$4127, 3, FALSE))</f>
        <v/>
      </c>
      <c r="G74" s="256"/>
      <c r="H74" s="256"/>
      <c r="I74" s="256"/>
      <c r="J74" s="257"/>
      <c r="K74" s="258"/>
      <c r="L74" s="267"/>
      <c r="M74" s="268"/>
      <c r="N74" s="259" t="str" cm="1">
        <f t="array" ref="N74">IF($L74&gt;0, INDEX(Clean,1+AK74,$D$1), "")</f>
        <v/>
      </c>
      <c r="O74" s="260"/>
      <c r="P74" s="260"/>
      <c r="Q74" s="261"/>
      <c r="R74" s="264">
        <f t="shared" si="7"/>
        <v>0</v>
      </c>
      <c r="S74" s="259" t="str" cm="1">
        <f t="array" ref="S74">IF($L74&gt;0, INDEX(Clean,1+AL74,$D$1), "")</f>
        <v/>
      </c>
      <c r="T74" s="260"/>
      <c r="U74" s="260"/>
      <c r="V74" s="261"/>
      <c r="W74" s="267"/>
      <c r="X74" s="267"/>
      <c r="Y74" s="257"/>
      <c r="Z74" s="264">
        <f t="shared" si="8"/>
        <v>0</v>
      </c>
      <c r="AA74" s="269"/>
      <c r="AB74" s="266"/>
      <c r="AC74" s="254"/>
      <c r="AD74" s="255" t="str">
        <f>IF(ISBLANK(AC74), "", VLOOKUP(AC74, Z!$A$2:$C$4127, 3, FALSE))</f>
        <v/>
      </c>
      <c r="AE74" s="270"/>
      <c r="AF74" s="265">
        <f t="shared" si="9"/>
        <v>0</v>
      </c>
      <c r="AG74" s="246"/>
      <c r="AH74" s="228">
        <f t="shared" ref="AH74" si="243">IF(ISBLANK(I74), 1, IFERROR(MATCH(I74, INDEX(Use,,1), 0), IFERROR(MATCH(I74, INDEX(Use,,2), 0), MATCH(I74, INDEX(Use,,3), 0))))</f>
        <v>1</v>
      </c>
      <c r="AI74" s="228">
        <f t="shared" ref="AI74" si="244">IF(ISBLANK(H74), 1, IFERROR(MATCH(H74, INDEX(Loc,,1), 0), IFERROR(MATCH(H74, INDEX(Loc,,2), 0), MATCH(H74, INDEX(Loc,,3), 0))))</f>
        <v>1</v>
      </c>
      <c r="AJ74" s="228">
        <f t="shared" ref="AJ74" si="245">_xlfn.IFNA(IF(IFERROR(MATCH(J74, INDEX(Medium,,1), 0), IFERROR(MATCH(J74, INDEX(Medium,,2), 0), MATCH(J74, INDEX(Medium,,3), 0))) = 2, 1, 0), 0)</f>
        <v>0</v>
      </c>
      <c r="AK74" s="228">
        <v>0</v>
      </c>
      <c r="AL74" s="228">
        <v>0</v>
      </c>
      <c r="AM74" s="228">
        <f t="shared" si="4"/>
        <v>-100</v>
      </c>
      <c r="AN74" s="228" cm="1">
        <f t="array" ref="AN74">IF(ISBLANK(G74), 1, IFERROR(MATCH(G74, INDEX(Kat,,1), 0), IFERROR(MATCH(Kat, INDEX(Use,,2), 0), MATCH(Kat, INDEX(Use,,3), 0))))</f>
        <v>1</v>
      </c>
      <c r="AO74" s="246"/>
      <c r="AP74" s="228" cm="1">
        <f t="array" ref="AP74">IF(W74&gt;0, INDEX(Kat, AN74,4), 0)</f>
        <v>0</v>
      </c>
      <c r="AQ74" s="228">
        <f t="shared" ref="AQ74" si="246">IF(ISBLANK(Y74), 0, IFERROR(MATCH(Y74, INDEX(Month,,1), 0), IFERROR(MATCH(Y74, INDEX(Month,,2), 0), MATCH(Y74, INDEX(Month,,3), 0))))</f>
        <v>0</v>
      </c>
      <c r="AR74" s="228" cm="1">
        <f t="array" ref="AR74">IF(X74&gt;0, INDEX(Kat, $AN74, 4+AQ74), 0)</f>
        <v>0</v>
      </c>
      <c r="AS74" s="228" cm="1">
        <f t="array" ref="AS74">IF(X74&gt;0, INDEX(Kat, $AN74, 9+AQ74), 0)</f>
        <v>0</v>
      </c>
      <c r="AT74" s="246"/>
      <c r="AU74" s="228">
        <v>33</v>
      </c>
      <c r="AV74" s="231">
        <v>7</v>
      </c>
      <c r="AW74" s="231">
        <v>13</v>
      </c>
      <c r="AX74" s="231">
        <v>3</v>
      </c>
      <c r="AY74" s="232">
        <f t="shared" si="6"/>
        <v>0.875</v>
      </c>
      <c r="AZ74" s="232">
        <f t="shared" si="6"/>
        <v>0.875</v>
      </c>
      <c r="BA74" s="232" t="e" cm="1">
        <f t="array" ref="BA74">MIN(INDEX(Use,BA$20,5) + MAX(0, (1-INDEX(Use,BA$20,5))*($AU74-5)/(35-5)), 1)</f>
        <v>#REF!</v>
      </c>
      <c r="BB74" s="232" t="e" cm="1">
        <f t="array" ref="BB74">MIN(INDEX(Use,BB$20,5) + MAX(0, (1-INDEX(Use,BB$20,5))*($AU74-5)/(35-5)), 1)</f>
        <v>#REF!</v>
      </c>
      <c r="BC74" s="232" t="e" cm="1">
        <f t="array" ref="BC74">MIN(INDEX(Use,BC$20,5) + MAX(0, (1-INDEX(Use,BC$20,5))*($AU74-5)/(35-5)), 1)</f>
        <v>#REF!</v>
      </c>
      <c r="BD74" s="232" t="e" cm="1">
        <f t="array" ref="BD74">MIN(INDEX(Use,BD$20,5) + MAX(0, (1-INDEX(Use,BD$20,5))*($AU74-5)/(35-5)), 1)</f>
        <v>#REF!</v>
      </c>
      <c r="BE74" s="232" t="e" cm="1">
        <f t="array" ref="BE74">MIN(INDEX(Use,BE$20,5) + MAX(0, (1-INDEX(Use,BE$20,5))*($AU74-5)/(35-5)), 1)</f>
        <v>#REF!</v>
      </c>
      <c r="BF74" s="232">
        <v>0.4</v>
      </c>
      <c r="BG74" s="232">
        <v>0.2</v>
      </c>
      <c r="BH74" s="210"/>
      <c r="BI74" s="228" cm="1">
        <f t="array" ref="BI74">INDEX(Use, $AH74, 4)</f>
        <v>7</v>
      </c>
      <c r="BJ74" s="228">
        <f t="shared" si="14"/>
        <v>32</v>
      </c>
      <c r="BK74" s="228">
        <f t="shared" si="15"/>
        <v>13</v>
      </c>
      <c r="BL74" s="228">
        <f t="shared" si="16"/>
        <v>0</v>
      </c>
      <c r="BM74" s="233" cm="1">
        <f t="array" ref="BM74">L74/IF($M74&gt;0, INDEX($AY$22:$BE$76, $M74+20, $AH74), 1)</f>
        <v>0</v>
      </c>
      <c r="BN74" s="229">
        <f t="shared" si="17"/>
        <v>0</v>
      </c>
      <c r="BO74" s="228">
        <v>35</v>
      </c>
      <c r="BP74" s="229">
        <f t="shared" si="18"/>
        <v>48</v>
      </c>
      <c r="BQ74" s="234">
        <f t="shared" si="19"/>
        <v>3.0748170731707316</v>
      </c>
      <c r="BR74" s="234" cm="1">
        <f t="array" ref="BR74">$BM74 * SUMPRODUCT(INDEX($AV$76:$AX$81,,$AI74),INDEX($AY$76:$BE$81,,$AH74), N($AU$76:$AU$81&gt;$AM74)) / BQ74 / 1000</f>
        <v>0</v>
      </c>
      <c r="BS74" s="231">
        <f t="shared" si="20"/>
        <v>30</v>
      </c>
      <c r="BT74" s="229">
        <f t="shared" si="21"/>
        <v>43</v>
      </c>
      <c r="BU74" s="234">
        <f t="shared" si="22"/>
        <v>3.5018750000000001</v>
      </c>
      <c r="BV74" s="234" cm="1">
        <f t="array" ref="BV74">$BM74 * IF($AH74&lt;=2,
SUMPRODUCT(INDEX($AV$71:$AX$75,,$AI74), INDEX($AY$71:$BE$75,,$AH74), 1 / ($BF$71:$BF$75*BU74 + (1-$BF$71:$BF$75)*BQ74), N($AU$71:$AU$75&gt;$AM74)),
SUMPRODUCT(INDEX($AV$66:$AX$75,,$AI74), INDEX($AY$66:$BE$75,,$AH74), 1 / ($BG$66:$BG$75*BU74 + (1-$BG$66:$BG$75)*BQ74), N($AU$66:$AU$75&gt;$AM74))
) / 1000</f>
        <v>0</v>
      </c>
      <c r="BW74" s="231">
        <f t="shared" si="23"/>
        <v>25</v>
      </c>
      <c r="BX74" s="229">
        <f t="shared" si="24"/>
        <v>38</v>
      </c>
      <c r="BY74" s="234">
        <f t="shared" si="25"/>
        <v>4.0666935483870965</v>
      </c>
      <c r="BZ74" s="234" cm="1">
        <f t="array" ref="BZ74">$BM74 * IF($AH74&lt;=2,
SUMPRODUCT(INDEX($AV$66:$AX$70,,$AI74), INDEX($AY$66:$BE$70,,$AH74), 1 / ($BF$66:$BF$70*BY74 + (1-$BF$66:$BF$70)*BU74), N($AU$66:$AU$70&gt;$AM74)),
SUMPRODUCT(INDEX($AV$56:$AX$65,,$AI74), INDEX($AY$56:$BE$65,,$AH74), 1 / ($BG$56:$BG$65*BY74 + (1-$BG$56:$BG$65)*BU74), N($AU$56:$AU$65&gt;$AM74))
) / 1000</f>
        <v>0</v>
      </c>
      <c r="CA74" s="231">
        <f t="shared" si="26"/>
        <v>20</v>
      </c>
      <c r="CB74" s="229">
        <f t="shared" si="27"/>
        <v>33</v>
      </c>
      <c r="CC74" s="234">
        <f t="shared" si="28"/>
        <v>4.8487499999999999</v>
      </c>
      <c r="CD74" s="234" cm="1">
        <f t="array" ref="CD74">$BM74 * IF($AH74&lt;=2,
SUMPRODUCT(INDEX($AV$61:$AX$65,,$AI74), INDEX($AY$61:$BE$65,,$AH74), 1 / ($BF$61:$BF$65*CC74 + (1-$BF$61:$BF$65)*BY74), N($AU$61:$AU$65&gt;$AM74)),
SUMPRODUCT(INDEX($AV$46:$AX$55,,$AI74), INDEX($AY$46:$BE$55,,$AH74), 1 / ($BG$46:$BG$55*CC74 + (1-$BG$46:$BG$55)*BY74), N($AU$46:$AU$55&gt;$AM74))
) / 1000</f>
        <v>0</v>
      </c>
      <c r="CE74" s="234" cm="1">
        <f t="array" ref="CE74">$BM74 * IF($AH74&lt;=2,
SUMPRODUCT(INDEX($AV$22:$AX$60,,$AI74), INDEX($AY$22:$BE$60,,$AH74), 1 / ($BF$22:$BF$60*CC74), N($AU$22:$AU$60&gt;$AM74)),
SUMPRODUCT(INDEX($AV$22:$AX$45,,$AI74), INDEX($AY$22:$BE$45,,$AH74), 1 / ($BG$22:$BG$45*CC74), N($AU$22:$AU$45&gt;$AM74))
) / 1000</f>
        <v>0</v>
      </c>
      <c r="CF74" s="229">
        <f t="shared" si="29"/>
        <v>0</v>
      </c>
      <c r="CG74" s="246"/>
      <c r="CH74" s="229">
        <f t="shared" si="30"/>
        <v>0</v>
      </c>
      <c r="CI74" s="228">
        <v>35</v>
      </c>
      <c r="CJ74" s="229">
        <f t="shared" si="31"/>
        <v>48</v>
      </c>
      <c r="CK74" s="234">
        <f t="shared" si="32"/>
        <v>3.0748170731707316</v>
      </c>
      <c r="CL74" s="234" cm="1">
        <f t="array" ref="CL74">$BM74 * SUMPRODUCT(INDEX($AV$76:$AX$81,,$AI74),INDEX($AY$76:$BE$81,,$AH74), N($AU$76:$AU$81&gt;$AM74)) / CK74 / 1000</f>
        <v>0</v>
      </c>
      <c r="CM74" s="231">
        <f t="shared" si="33"/>
        <v>30</v>
      </c>
      <c r="CN74" s="229">
        <f t="shared" si="34"/>
        <v>43</v>
      </c>
      <c r="CO74" s="234">
        <f t="shared" si="35"/>
        <v>3.5018750000000001</v>
      </c>
      <c r="CP74" s="234" cm="1">
        <f t="array" ref="CP74">$BM74 * IF($AH74&lt;=2,
SUMPRODUCT(INDEX($AV$71:$AX$75,,$AI74), INDEX($AY$71:$BE$75,,$AH74), 1 / ($BF$71:$BF$75*CO74 + (1-$BF$71:$BF$75)*CK74), N($AU$71:$AU$75&gt;$AM74)),
SUMPRODUCT(INDEX($AV$66:$AX$75,,$AI74), INDEX($AY$66:$BE$75,,$AH74), 1 / ($BG$66:$BG$75*CO74 + (1-$BG$66:$BG$75)*CK74), N($AU$66:$AU$75&gt;$AM74))
) / 1000</f>
        <v>0</v>
      </c>
      <c r="CQ74" s="231">
        <f t="shared" si="36"/>
        <v>25</v>
      </c>
      <c r="CR74" s="229">
        <f t="shared" si="37"/>
        <v>38</v>
      </c>
      <c r="CS74" s="234">
        <f t="shared" si="38"/>
        <v>4.0666935483870965</v>
      </c>
      <c r="CT74" s="234" cm="1">
        <f t="array" ref="CT74">$BM74 * IF($AH74&lt;=2,
SUMPRODUCT(INDEX($AV$66:$AX$70,,$AI74), INDEX($AY$66:$BE$70,,$AH74), 1 / ($BF$66:$BF$70*CS74 + (1-$BF$66:$BF$70)*CO74), N($AU$66:$AU$70&gt;$AM74)),
SUMPRODUCT(INDEX($AV$56:$AX$65,,$AI74), INDEX($AY$56:$BE$65,,$AH74), 1 / ($BG$56:$BG$65*CS74 + (1-$BG$56:$BG$65)*CO74), N($AU$56:$AU$65&gt;$AM74))
) / 1000</f>
        <v>0</v>
      </c>
      <c r="CU74" s="231">
        <f t="shared" si="39"/>
        <v>20</v>
      </c>
      <c r="CV74" s="229">
        <f t="shared" si="40"/>
        <v>33</v>
      </c>
      <c r="CW74" s="234">
        <f t="shared" si="41"/>
        <v>4.8487499999999999</v>
      </c>
      <c r="CX74" s="234" cm="1">
        <f t="array" ref="CX74">$BM74 * IF($AH74&lt;=2,
SUMPRODUCT(INDEX($AV$61:$AX$65,,$AI74), INDEX($AY$61:$BE$65,,$AH74), 1 / ($BF$61:$BF$65*CW74 + (1-$BF$61:$BF$65)*CS74), N($AU$61:$AU$65&gt;$AM74)),
SUMPRODUCT(INDEX($AV$46:$AX$55,,$AI74), INDEX($AY$46:$BE$55,,$AH74), 1 / ($BG$46:$BG$55*CW74 + (1-$BG$46:$BG$55)*CS74), N($AU$46:$AU$55&gt;$AM74))
) / 1000</f>
        <v>0</v>
      </c>
      <c r="CY74" s="234" cm="1">
        <f t="array" ref="CY74">$BM74 * IF($AH74&lt;=2,
SUMPRODUCT(INDEX($AV$22:$AX$60,,$AI74), INDEX($AY$22:$BE$60,,$AH74), 1 / ($BF$22:$BF$60*CW74), N($AU$22:$AU$60&gt;$AM74)),
SUMPRODUCT(INDEX($AV$22:$AX$45,,$AI74), INDEX($AY$22:$BE$45,,$AH74), 1 / ($BG$22:$BG$45*CW74), N($AU$22:$AU$45&gt;$AM74))
) / 1000</f>
        <v>0</v>
      </c>
      <c r="CZ74" s="229">
        <f t="shared" si="42"/>
        <v>0</v>
      </c>
      <c r="DA74" s="246"/>
    </row>
    <row r="75" spans="1:105" s="75" customFormat="1" ht="14.25" customHeight="1" x14ac:dyDescent="0.25">
      <c r="A75" s="230" t="b">
        <f t="shared" si="0"/>
        <v>0</v>
      </c>
      <c r="B75" s="253">
        <v>54</v>
      </c>
      <c r="C75" s="266"/>
      <c r="D75" s="266"/>
      <c r="E75" s="254"/>
      <c r="F75" s="255" t="str">
        <f>IF(ISBLANK(E75), "", VLOOKUP(E75, Z!$A$2:$C$4127, 3, FALSE))</f>
        <v/>
      </c>
      <c r="G75" s="256"/>
      <c r="H75" s="256"/>
      <c r="I75" s="256"/>
      <c r="J75" s="257"/>
      <c r="K75" s="258"/>
      <c r="L75" s="267"/>
      <c r="M75" s="268"/>
      <c r="N75" s="259" t="str" cm="1">
        <f t="array" ref="N75">IF($L75&gt;0, INDEX(Clean,1+AK75,$D$1), "")</f>
        <v/>
      </c>
      <c r="O75" s="260"/>
      <c r="P75" s="260"/>
      <c r="Q75" s="261"/>
      <c r="R75" s="264">
        <f t="shared" si="7"/>
        <v>0</v>
      </c>
      <c r="S75" s="259" t="str" cm="1">
        <f t="array" ref="S75">IF($L75&gt;0, INDEX(Clean,1+AL75,$D$1), "")</f>
        <v/>
      </c>
      <c r="T75" s="260"/>
      <c r="U75" s="260"/>
      <c r="V75" s="261"/>
      <c r="W75" s="267"/>
      <c r="X75" s="267"/>
      <c r="Y75" s="257"/>
      <c r="Z75" s="264">
        <f t="shared" si="8"/>
        <v>0</v>
      </c>
      <c r="AA75" s="269"/>
      <c r="AB75" s="266"/>
      <c r="AC75" s="254"/>
      <c r="AD75" s="255" t="str">
        <f>IF(ISBLANK(AC75), "", VLOOKUP(AC75, Z!$A$2:$C$4127, 3, FALSE))</f>
        <v/>
      </c>
      <c r="AE75" s="270"/>
      <c r="AF75" s="265">
        <f t="shared" si="9"/>
        <v>0</v>
      </c>
      <c r="AG75" s="246"/>
      <c r="AH75" s="228">
        <f t="shared" ref="AH75" si="247">IF(ISBLANK(I75), 1, IFERROR(MATCH(I75, INDEX(Use,,1), 0), IFERROR(MATCH(I75, INDEX(Use,,2), 0), MATCH(I75, INDEX(Use,,3), 0))))</f>
        <v>1</v>
      </c>
      <c r="AI75" s="228">
        <f t="shared" ref="AI75" si="248">IF(ISBLANK(H75), 1, IFERROR(MATCH(H75, INDEX(Loc,,1), 0), IFERROR(MATCH(H75, INDEX(Loc,,2), 0), MATCH(H75, INDEX(Loc,,3), 0))))</f>
        <v>1</v>
      </c>
      <c r="AJ75" s="228">
        <f t="shared" ref="AJ75" si="249">_xlfn.IFNA(IF(IFERROR(MATCH(J75, INDEX(Medium,,1), 0), IFERROR(MATCH(J75, INDEX(Medium,,2), 0), MATCH(J75, INDEX(Medium,,3), 0))) = 2, 1, 0), 0)</f>
        <v>0</v>
      </c>
      <c r="AK75" s="228">
        <v>0</v>
      </c>
      <c r="AL75" s="228">
        <v>0</v>
      </c>
      <c r="AM75" s="228">
        <f t="shared" si="4"/>
        <v>-100</v>
      </c>
      <c r="AN75" s="228" cm="1">
        <f t="array" ref="AN75">IF(ISBLANK(G75), 1, IFERROR(MATCH(G75, INDEX(Kat,,1), 0), IFERROR(MATCH(Kat, INDEX(Use,,2), 0), MATCH(Kat, INDEX(Use,,3), 0))))</f>
        <v>1</v>
      </c>
      <c r="AO75" s="246"/>
      <c r="AP75" s="228" cm="1">
        <f t="array" ref="AP75">IF(W75&gt;0, INDEX(Kat, AN75,4), 0)</f>
        <v>0</v>
      </c>
      <c r="AQ75" s="228">
        <f t="shared" ref="AQ75" si="250">IF(ISBLANK(Y75), 0, IFERROR(MATCH(Y75, INDEX(Month,,1), 0), IFERROR(MATCH(Y75, INDEX(Month,,2), 0), MATCH(Y75, INDEX(Month,,3), 0))))</f>
        <v>0</v>
      </c>
      <c r="AR75" s="228" cm="1">
        <f t="array" ref="AR75">IF(X75&gt;0, INDEX(Kat, $AN75, 4+AQ75), 0)</f>
        <v>0</v>
      </c>
      <c r="AS75" s="228" cm="1">
        <f t="array" ref="AS75">IF(X75&gt;0, INDEX(Kat, $AN75, 9+AQ75), 0)</f>
        <v>0</v>
      </c>
      <c r="AT75" s="246"/>
      <c r="AU75" s="228">
        <v>34</v>
      </c>
      <c r="AV75" s="231">
        <v>3</v>
      </c>
      <c r="AW75" s="231">
        <v>5</v>
      </c>
      <c r="AX75" s="231">
        <v>0</v>
      </c>
      <c r="AY75" s="232">
        <f t="shared" si="6"/>
        <v>0.9375</v>
      </c>
      <c r="AZ75" s="232">
        <f t="shared" si="6"/>
        <v>0.9375</v>
      </c>
      <c r="BA75" s="232" t="e" cm="1">
        <f t="array" ref="BA75">MIN(INDEX(Use,BA$20,5) + MAX(0, (1-INDEX(Use,BA$20,5))*($AU75-5)/(35-5)), 1)</f>
        <v>#REF!</v>
      </c>
      <c r="BB75" s="232" t="e" cm="1">
        <f t="array" ref="BB75">MIN(INDEX(Use,BB$20,5) + MAX(0, (1-INDEX(Use,BB$20,5))*($AU75-5)/(35-5)), 1)</f>
        <v>#REF!</v>
      </c>
      <c r="BC75" s="232" t="e" cm="1">
        <f t="array" ref="BC75">MIN(INDEX(Use,BC$20,5) + MAX(0, (1-INDEX(Use,BC$20,5))*($AU75-5)/(35-5)), 1)</f>
        <v>#REF!</v>
      </c>
      <c r="BD75" s="232" t="e" cm="1">
        <f t="array" ref="BD75">MIN(INDEX(Use,BD$20,5) + MAX(0, (1-INDEX(Use,BD$20,5))*($AU75-5)/(35-5)), 1)</f>
        <v>#REF!</v>
      </c>
      <c r="BE75" s="232" t="e" cm="1">
        <f t="array" ref="BE75">MIN(INDEX(Use,BE$20,5) + MAX(0, (1-INDEX(Use,BE$20,5))*($AU75-5)/(35-5)), 1)</f>
        <v>#REF!</v>
      </c>
      <c r="BF75" s="232">
        <v>0.2</v>
      </c>
      <c r="BG75" s="232">
        <v>0.1</v>
      </c>
      <c r="BH75" s="210"/>
      <c r="BI75" s="228" cm="1">
        <f t="array" ref="BI75">INDEX(Use, $AH75, 4)</f>
        <v>7</v>
      </c>
      <c r="BJ75" s="228">
        <f t="shared" si="14"/>
        <v>32</v>
      </c>
      <c r="BK75" s="228">
        <f t="shared" si="15"/>
        <v>13</v>
      </c>
      <c r="BL75" s="228">
        <f t="shared" si="16"/>
        <v>0</v>
      </c>
      <c r="BM75" s="233" cm="1">
        <f t="array" ref="BM75">L75/IF($M75&gt;0, INDEX($AY$22:$BE$76, $M75+20, $AH75), 1)</f>
        <v>0</v>
      </c>
      <c r="BN75" s="229">
        <f t="shared" si="17"/>
        <v>0</v>
      </c>
      <c r="BO75" s="228">
        <v>35</v>
      </c>
      <c r="BP75" s="229">
        <f t="shared" si="18"/>
        <v>48</v>
      </c>
      <c r="BQ75" s="234">
        <f t="shared" si="19"/>
        <v>3.0748170731707316</v>
      </c>
      <c r="BR75" s="234" cm="1">
        <f t="array" ref="BR75">$BM75 * SUMPRODUCT(INDEX($AV$76:$AX$81,,$AI75),INDEX($AY$76:$BE$81,,$AH75), N($AU$76:$AU$81&gt;$AM75)) / BQ75 / 1000</f>
        <v>0</v>
      </c>
      <c r="BS75" s="231">
        <f t="shared" si="20"/>
        <v>30</v>
      </c>
      <c r="BT75" s="229">
        <f t="shared" si="21"/>
        <v>43</v>
      </c>
      <c r="BU75" s="234">
        <f t="shared" si="22"/>
        <v>3.5018750000000001</v>
      </c>
      <c r="BV75" s="234" cm="1">
        <f t="array" ref="BV75">$BM75 * IF($AH75&lt;=2,
SUMPRODUCT(INDEX($AV$71:$AX$75,,$AI75), INDEX($AY$71:$BE$75,,$AH75), 1 / ($BF$71:$BF$75*BU75 + (1-$BF$71:$BF$75)*BQ75), N($AU$71:$AU$75&gt;$AM75)),
SUMPRODUCT(INDEX($AV$66:$AX$75,,$AI75), INDEX($AY$66:$BE$75,,$AH75), 1 / ($BG$66:$BG$75*BU75 + (1-$BG$66:$BG$75)*BQ75), N($AU$66:$AU$75&gt;$AM75))
) / 1000</f>
        <v>0</v>
      </c>
      <c r="BW75" s="231">
        <f t="shared" si="23"/>
        <v>25</v>
      </c>
      <c r="BX75" s="229">
        <f t="shared" si="24"/>
        <v>38</v>
      </c>
      <c r="BY75" s="234">
        <f t="shared" si="25"/>
        <v>4.0666935483870965</v>
      </c>
      <c r="BZ75" s="234" cm="1">
        <f t="array" ref="BZ75">$BM75 * IF($AH75&lt;=2,
SUMPRODUCT(INDEX($AV$66:$AX$70,,$AI75), INDEX($AY$66:$BE$70,,$AH75), 1 / ($BF$66:$BF$70*BY75 + (1-$BF$66:$BF$70)*BU75), N($AU$66:$AU$70&gt;$AM75)),
SUMPRODUCT(INDEX($AV$56:$AX$65,,$AI75), INDEX($AY$56:$BE$65,,$AH75), 1 / ($BG$56:$BG$65*BY75 + (1-$BG$56:$BG$65)*BU75), N($AU$56:$AU$65&gt;$AM75))
) / 1000</f>
        <v>0</v>
      </c>
      <c r="CA75" s="231">
        <f t="shared" si="26"/>
        <v>20</v>
      </c>
      <c r="CB75" s="229">
        <f t="shared" si="27"/>
        <v>33</v>
      </c>
      <c r="CC75" s="234">
        <f t="shared" si="28"/>
        <v>4.8487499999999999</v>
      </c>
      <c r="CD75" s="234" cm="1">
        <f t="array" ref="CD75">$BM75 * IF($AH75&lt;=2,
SUMPRODUCT(INDEX($AV$61:$AX$65,,$AI75), INDEX($AY$61:$BE$65,,$AH75), 1 / ($BF$61:$BF$65*CC75 + (1-$BF$61:$BF$65)*BY75), N($AU$61:$AU$65&gt;$AM75)),
SUMPRODUCT(INDEX($AV$46:$AX$55,,$AI75), INDEX($AY$46:$BE$55,,$AH75), 1 / ($BG$46:$BG$55*CC75 + (1-$BG$46:$BG$55)*BY75), N($AU$46:$AU$55&gt;$AM75))
) / 1000</f>
        <v>0</v>
      </c>
      <c r="CE75" s="234" cm="1">
        <f t="array" ref="CE75">$BM75 * IF($AH75&lt;=2,
SUMPRODUCT(INDEX($AV$22:$AX$60,,$AI75), INDEX($AY$22:$BE$60,,$AH75), 1 / ($BF$22:$BF$60*CC75), N($AU$22:$AU$60&gt;$AM75)),
SUMPRODUCT(INDEX($AV$22:$AX$45,,$AI75), INDEX($AY$22:$BE$45,,$AH75), 1 / ($BG$22:$BG$45*CC75), N($AU$22:$AU$45&gt;$AM75))
) / 1000</f>
        <v>0</v>
      </c>
      <c r="CF75" s="229">
        <f t="shared" si="29"/>
        <v>0</v>
      </c>
      <c r="CG75" s="246"/>
      <c r="CH75" s="229">
        <f t="shared" si="30"/>
        <v>0</v>
      </c>
      <c r="CI75" s="228">
        <v>35</v>
      </c>
      <c r="CJ75" s="229">
        <f t="shared" si="31"/>
        <v>48</v>
      </c>
      <c r="CK75" s="234">
        <f t="shared" si="32"/>
        <v>3.0748170731707316</v>
      </c>
      <c r="CL75" s="234" cm="1">
        <f t="array" ref="CL75">$BM75 * SUMPRODUCT(INDEX($AV$76:$AX$81,,$AI75),INDEX($AY$76:$BE$81,,$AH75), N($AU$76:$AU$81&gt;$AM75)) / CK75 / 1000</f>
        <v>0</v>
      </c>
      <c r="CM75" s="231">
        <f t="shared" si="33"/>
        <v>30</v>
      </c>
      <c r="CN75" s="229">
        <f t="shared" si="34"/>
        <v>43</v>
      </c>
      <c r="CO75" s="234">
        <f t="shared" si="35"/>
        <v>3.5018750000000001</v>
      </c>
      <c r="CP75" s="234" cm="1">
        <f t="array" ref="CP75">$BM75 * IF($AH75&lt;=2,
SUMPRODUCT(INDEX($AV$71:$AX$75,,$AI75), INDEX($AY$71:$BE$75,,$AH75), 1 / ($BF$71:$BF$75*CO75 + (1-$BF$71:$BF$75)*CK75), N($AU$71:$AU$75&gt;$AM75)),
SUMPRODUCT(INDEX($AV$66:$AX$75,,$AI75), INDEX($AY$66:$BE$75,,$AH75), 1 / ($BG$66:$BG$75*CO75 + (1-$BG$66:$BG$75)*CK75), N($AU$66:$AU$75&gt;$AM75))
) / 1000</f>
        <v>0</v>
      </c>
      <c r="CQ75" s="231">
        <f t="shared" si="36"/>
        <v>25</v>
      </c>
      <c r="CR75" s="229">
        <f t="shared" si="37"/>
        <v>38</v>
      </c>
      <c r="CS75" s="234">
        <f t="shared" si="38"/>
        <v>4.0666935483870965</v>
      </c>
      <c r="CT75" s="234" cm="1">
        <f t="array" ref="CT75">$BM75 * IF($AH75&lt;=2,
SUMPRODUCT(INDEX($AV$66:$AX$70,,$AI75), INDEX($AY$66:$BE$70,,$AH75), 1 / ($BF$66:$BF$70*CS75 + (1-$BF$66:$BF$70)*CO75), N($AU$66:$AU$70&gt;$AM75)),
SUMPRODUCT(INDEX($AV$56:$AX$65,,$AI75), INDEX($AY$56:$BE$65,,$AH75), 1 / ($BG$56:$BG$65*CS75 + (1-$BG$56:$BG$65)*CO75), N($AU$56:$AU$65&gt;$AM75))
) / 1000</f>
        <v>0</v>
      </c>
      <c r="CU75" s="231">
        <f t="shared" si="39"/>
        <v>20</v>
      </c>
      <c r="CV75" s="229">
        <f t="shared" si="40"/>
        <v>33</v>
      </c>
      <c r="CW75" s="234">
        <f t="shared" si="41"/>
        <v>4.8487499999999999</v>
      </c>
      <c r="CX75" s="234" cm="1">
        <f t="array" ref="CX75">$BM75 * IF($AH75&lt;=2,
SUMPRODUCT(INDEX($AV$61:$AX$65,,$AI75), INDEX($AY$61:$BE$65,,$AH75), 1 / ($BF$61:$BF$65*CW75 + (1-$BF$61:$BF$65)*CS75), N($AU$61:$AU$65&gt;$AM75)),
SUMPRODUCT(INDEX($AV$46:$AX$55,,$AI75), INDEX($AY$46:$BE$55,,$AH75), 1 / ($BG$46:$BG$55*CW75 + (1-$BG$46:$BG$55)*CS75), N($AU$46:$AU$55&gt;$AM75))
) / 1000</f>
        <v>0</v>
      </c>
      <c r="CY75" s="234" cm="1">
        <f t="array" ref="CY75">$BM75 * IF($AH75&lt;=2,
SUMPRODUCT(INDEX($AV$22:$AX$60,,$AI75), INDEX($AY$22:$BE$60,,$AH75), 1 / ($BF$22:$BF$60*CW75), N($AU$22:$AU$60&gt;$AM75)),
SUMPRODUCT(INDEX($AV$22:$AX$45,,$AI75), INDEX($AY$22:$BE$45,,$AH75), 1 / ($BG$22:$BG$45*CW75), N($AU$22:$AU$45&gt;$AM75))
) / 1000</f>
        <v>0</v>
      </c>
      <c r="CZ75" s="229">
        <f t="shared" si="42"/>
        <v>0</v>
      </c>
      <c r="DA75" s="246"/>
    </row>
    <row r="76" spans="1:105" s="75" customFormat="1" ht="14.25" customHeight="1" x14ac:dyDescent="0.25">
      <c r="A76" s="230" t="b">
        <f t="shared" si="0"/>
        <v>0</v>
      </c>
      <c r="B76" s="253">
        <v>55</v>
      </c>
      <c r="C76" s="266"/>
      <c r="D76" s="266"/>
      <c r="E76" s="254"/>
      <c r="F76" s="255" t="str">
        <f>IF(ISBLANK(E76), "", VLOOKUP(E76, Z!$A$2:$C$4127, 3, FALSE))</f>
        <v/>
      </c>
      <c r="G76" s="256"/>
      <c r="H76" s="256"/>
      <c r="I76" s="256"/>
      <c r="J76" s="257"/>
      <c r="K76" s="258"/>
      <c r="L76" s="267"/>
      <c r="M76" s="268"/>
      <c r="N76" s="259" t="str" cm="1">
        <f t="array" ref="N76">IF($L76&gt;0, INDEX(Clean,1+AK76,$D$1), "")</f>
        <v/>
      </c>
      <c r="O76" s="260"/>
      <c r="P76" s="260"/>
      <c r="Q76" s="261"/>
      <c r="R76" s="264">
        <f t="shared" si="7"/>
        <v>0</v>
      </c>
      <c r="S76" s="259" t="str" cm="1">
        <f t="array" ref="S76">IF($L76&gt;0, INDEX(Clean,1+AL76,$D$1), "")</f>
        <v/>
      </c>
      <c r="T76" s="260"/>
      <c r="U76" s="260"/>
      <c r="V76" s="261"/>
      <c r="W76" s="267"/>
      <c r="X76" s="267"/>
      <c r="Y76" s="257"/>
      <c r="Z76" s="264">
        <f t="shared" si="8"/>
        <v>0</v>
      </c>
      <c r="AA76" s="269"/>
      <c r="AB76" s="266"/>
      <c r="AC76" s="254"/>
      <c r="AD76" s="255" t="str">
        <f>IF(ISBLANK(AC76), "", VLOOKUP(AC76, Z!$A$2:$C$4127, 3, FALSE))</f>
        <v/>
      </c>
      <c r="AE76" s="270"/>
      <c r="AF76" s="265">
        <f t="shared" si="9"/>
        <v>0</v>
      </c>
      <c r="AG76" s="246"/>
      <c r="AH76" s="228">
        <f t="shared" ref="AH76" si="251">IF(ISBLANK(I76), 1, IFERROR(MATCH(I76, INDEX(Use,,1), 0), IFERROR(MATCH(I76, INDEX(Use,,2), 0), MATCH(I76, INDEX(Use,,3), 0))))</f>
        <v>1</v>
      </c>
      <c r="AI76" s="228">
        <f t="shared" ref="AI76" si="252">IF(ISBLANK(H76), 1, IFERROR(MATCH(H76, INDEX(Loc,,1), 0), IFERROR(MATCH(H76, INDEX(Loc,,2), 0), MATCH(H76, INDEX(Loc,,3), 0))))</f>
        <v>1</v>
      </c>
      <c r="AJ76" s="228">
        <f t="shared" ref="AJ76" si="253">_xlfn.IFNA(IF(IFERROR(MATCH(J76, INDEX(Medium,,1), 0), IFERROR(MATCH(J76, INDEX(Medium,,2), 0), MATCH(J76, INDEX(Medium,,3), 0))) = 2, 1, 0), 0)</f>
        <v>0</v>
      </c>
      <c r="AK76" s="228">
        <v>0</v>
      </c>
      <c r="AL76" s="228">
        <v>0</v>
      </c>
      <c r="AM76" s="228">
        <f t="shared" si="4"/>
        <v>-100</v>
      </c>
      <c r="AN76" s="228" cm="1">
        <f t="array" ref="AN76">IF(ISBLANK(G76), 1, IFERROR(MATCH(G76, INDEX(Kat,,1), 0), IFERROR(MATCH(Kat, INDEX(Use,,2), 0), MATCH(Kat, INDEX(Use,,3), 0))))</f>
        <v>1</v>
      </c>
      <c r="AO76" s="246"/>
      <c r="AP76" s="228" cm="1">
        <f t="array" ref="AP76">IF(W76&gt;0, INDEX(Kat, AN76,4), 0)</f>
        <v>0</v>
      </c>
      <c r="AQ76" s="228">
        <f t="shared" ref="AQ76" si="254">IF(ISBLANK(Y76), 0, IFERROR(MATCH(Y76, INDEX(Month,,1), 0), IFERROR(MATCH(Y76, INDEX(Month,,2), 0), MATCH(Y76, INDEX(Month,,3), 0))))</f>
        <v>0</v>
      </c>
      <c r="AR76" s="228" cm="1">
        <f t="array" ref="AR76">IF(X76&gt;0, INDEX(Kat, $AN76, 4+AQ76), 0)</f>
        <v>0</v>
      </c>
      <c r="AS76" s="228" cm="1">
        <f t="array" ref="AS76">IF(X76&gt;0, INDEX(Kat, $AN76, 9+AQ76), 0)</f>
        <v>0</v>
      </c>
      <c r="AT76" s="246"/>
      <c r="AU76" s="228">
        <v>35</v>
      </c>
      <c r="AV76" s="231">
        <v>0</v>
      </c>
      <c r="AW76" s="231">
        <v>2</v>
      </c>
      <c r="AX76" s="231">
        <v>0</v>
      </c>
      <c r="AY76" s="232">
        <f t="shared" si="6"/>
        <v>1</v>
      </c>
      <c r="AZ76" s="232">
        <f t="shared" si="6"/>
        <v>1</v>
      </c>
      <c r="BA76" s="232" t="e" cm="1">
        <f t="array" ref="BA76">MIN(INDEX(Use,BA$20,5) + MAX(0, (1-INDEX(Use,BA$20,5))*($AU76-5)/(35-5)), 1)</f>
        <v>#REF!</v>
      </c>
      <c r="BB76" s="232" t="e" cm="1">
        <f t="array" ref="BB76">MIN(INDEX(Use,BB$20,5) + MAX(0, (1-INDEX(Use,BB$20,5))*($AU76-5)/(35-5)), 1)</f>
        <v>#REF!</v>
      </c>
      <c r="BC76" s="232" t="e" cm="1">
        <f t="array" ref="BC76">MIN(INDEX(Use,BC$20,5) + MAX(0, (1-INDEX(Use,BC$20,5))*($AU76-5)/(35-5)), 1)</f>
        <v>#REF!</v>
      </c>
      <c r="BD76" s="232" t="e" cm="1">
        <f t="array" ref="BD76">MIN(INDEX(Use,BD$20,5) + MAX(0, (1-INDEX(Use,BD$20,5))*($AU76-5)/(35-5)), 1)</f>
        <v>#REF!</v>
      </c>
      <c r="BE76" s="232" t="e" cm="1">
        <f t="array" ref="BE76">MIN(INDEX(Use,BE$20,5) + MAX(0, (1-INDEX(Use,BE$20,5))*($AU76-5)/(35-5)), 1)</f>
        <v>#REF!</v>
      </c>
      <c r="BF76" s="232" t="s">
        <v>2</v>
      </c>
      <c r="BG76" s="232" t="s">
        <v>2</v>
      </c>
      <c r="BH76" s="210"/>
      <c r="BI76" s="228" cm="1">
        <f t="array" ref="BI76">INDEX(Use, $AH76, 4)</f>
        <v>7</v>
      </c>
      <c r="BJ76" s="228">
        <f t="shared" si="14"/>
        <v>32</v>
      </c>
      <c r="BK76" s="228">
        <f t="shared" si="15"/>
        <v>13</v>
      </c>
      <c r="BL76" s="228">
        <f t="shared" si="16"/>
        <v>0</v>
      </c>
      <c r="BM76" s="233" cm="1">
        <f t="array" ref="BM76">L76/IF($M76&gt;0, INDEX($AY$22:$BE$76, $M76+20, $AH76), 1)</f>
        <v>0</v>
      </c>
      <c r="BN76" s="229">
        <f t="shared" si="17"/>
        <v>0</v>
      </c>
      <c r="BO76" s="228">
        <v>35</v>
      </c>
      <c r="BP76" s="229">
        <f t="shared" si="18"/>
        <v>48</v>
      </c>
      <c r="BQ76" s="234">
        <f t="shared" si="19"/>
        <v>3.0748170731707316</v>
      </c>
      <c r="BR76" s="234" cm="1">
        <f t="array" ref="BR76">$BM76 * SUMPRODUCT(INDEX($AV$76:$AX$81,,$AI76),INDEX($AY$76:$BE$81,,$AH76), N($AU$76:$AU$81&gt;$AM76)) / BQ76 / 1000</f>
        <v>0</v>
      </c>
      <c r="BS76" s="231">
        <f t="shared" si="20"/>
        <v>30</v>
      </c>
      <c r="BT76" s="229">
        <f t="shared" si="21"/>
        <v>43</v>
      </c>
      <c r="BU76" s="234">
        <f t="shared" si="22"/>
        <v>3.5018750000000001</v>
      </c>
      <c r="BV76" s="234" cm="1">
        <f t="array" ref="BV76">$BM76 * IF($AH76&lt;=2,
SUMPRODUCT(INDEX($AV$71:$AX$75,,$AI76), INDEX($AY$71:$BE$75,,$AH76), 1 / ($BF$71:$BF$75*BU76 + (1-$BF$71:$BF$75)*BQ76), N($AU$71:$AU$75&gt;$AM76)),
SUMPRODUCT(INDEX($AV$66:$AX$75,,$AI76), INDEX($AY$66:$BE$75,,$AH76), 1 / ($BG$66:$BG$75*BU76 + (1-$BG$66:$BG$75)*BQ76), N($AU$66:$AU$75&gt;$AM76))
) / 1000</f>
        <v>0</v>
      </c>
      <c r="BW76" s="231">
        <f t="shared" si="23"/>
        <v>25</v>
      </c>
      <c r="BX76" s="229">
        <f t="shared" si="24"/>
        <v>38</v>
      </c>
      <c r="BY76" s="234">
        <f t="shared" si="25"/>
        <v>4.0666935483870965</v>
      </c>
      <c r="BZ76" s="234" cm="1">
        <f t="array" ref="BZ76">$BM76 * IF($AH76&lt;=2,
SUMPRODUCT(INDEX($AV$66:$AX$70,,$AI76), INDEX($AY$66:$BE$70,,$AH76), 1 / ($BF$66:$BF$70*BY76 + (1-$BF$66:$BF$70)*BU76), N($AU$66:$AU$70&gt;$AM76)),
SUMPRODUCT(INDEX($AV$56:$AX$65,,$AI76), INDEX($AY$56:$BE$65,,$AH76), 1 / ($BG$56:$BG$65*BY76 + (1-$BG$56:$BG$65)*BU76), N($AU$56:$AU$65&gt;$AM76))
) / 1000</f>
        <v>0</v>
      </c>
      <c r="CA76" s="231">
        <f t="shared" si="26"/>
        <v>20</v>
      </c>
      <c r="CB76" s="229">
        <f t="shared" si="27"/>
        <v>33</v>
      </c>
      <c r="CC76" s="234">
        <f t="shared" si="28"/>
        <v>4.8487499999999999</v>
      </c>
      <c r="CD76" s="234" cm="1">
        <f t="array" ref="CD76">$BM76 * IF($AH76&lt;=2,
SUMPRODUCT(INDEX($AV$61:$AX$65,,$AI76), INDEX($AY$61:$BE$65,,$AH76), 1 / ($BF$61:$BF$65*CC76 + (1-$BF$61:$BF$65)*BY76), N($AU$61:$AU$65&gt;$AM76)),
SUMPRODUCT(INDEX($AV$46:$AX$55,,$AI76), INDEX($AY$46:$BE$55,,$AH76), 1 / ($BG$46:$BG$55*CC76 + (1-$BG$46:$BG$55)*BY76), N($AU$46:$AU$55&gt;$AM76))
) / 1000</f>
        <v>0</v>
      </c>
      <c r="CE76" s="234" cm="1">
        <f t="array" ref="CE76">$BM76 * IF($AH76&lt;=2,
SUMPRODUCT(INDEX($AV$22:$AX$60,,$AI76), INDEX($AY$22:$BE$60,,$AH76), 1 / ($BF$22:$BF$60*CC76), N($AU$22:$AU$60&gt;$AM76)),
SUMPRODUCT(INDEX($AV$22:$AX$45,,$AI76), INDEX($AY$22:$BE$45,,$AH76), 1 / ($BG$22:$BG$45*CC76), N($AU$22:$AU$45&gt;$AM76))
) / 1000</f>
        <v>0</v>
      </c>
      <c r="CF76" s="229">
        <f t="shared" si="29"/>
        <v>0</v>
      </c>
      <c r="CG76" s="246"/>
      <c r="CH76" s="229">
        <f t="shared" si="30"/>
        <v>0</v>
      </c>
      <c r="CI76" s="228">
        <v>35</v>
      </c>
      <c r="CJ76" s="229">
        <f t="shared" si="31"/>
        <v>48</v>
      </c>
      <c r="CK76" s="234">
        <f t="shared" si="32"/>
        <v>3.0748170731707316</v>
      </c>
      <c r="CL76" s="234" cm="1">
        <f t="array" ref="CL76">$BM76 * SUMPRODUCT(INDEX($AV$76:$AX$81,,$AI76),INDEX($AY$76:$BE$81,,$AH76), N($AU$76:$AU$81&gt;$AM76)) / CK76 / 1000</f>
        <v>0</v>
      </c>
      <c r="CM76" s="231">
        <f t="shared" si="33"/>
        <v>30</v>
      </c>
      <c r="CN76" s="229">
        <f t="shared" si="34"/>
        <v>43</v>
      </c>
      <c r="CO76" s="234">
        <f t="shared" si="35"/>
        <v>3.5018750000000001</v>
      </c>
      <c r="CP76" s="234" cm="1">
        <f t="array" ref="CP76">$BM76 * IF($AH76&lt;=2,
SUMPRODUCT(INDEX($AV$71:$AX$75,,$AI76), INDEX($AY$71:$BE$75,,$AH76), 1 / ($BF$71:$BF$75*CO76 + (1-$BF$71:$BF$75)*CK76), N($AU$71:$AU$75&gt;$AM76)),
SUMPRODUCT(INDEX($AV$66:$AX$75,,$AI76), INDEX($AY$66:$BE$75,,$AH76), 1 / ($BG$66:$BG$75*CO76 + (1-$BG$66:$BG$75)*CK76), N($AU$66:$AU$75&gt;$AM76))
) / 1000</f>
        <v>0</v>
      </c>
      <c r="CQ76" s="231">
        <f t="shared" si="36"/>
        <v>25</v>
      </c>
      <c r="CR76" s="229">
        <f t="shared" si="37"/>
        <v>38</v>
      </c>
      <c r="CS76" s="234">
        <f t="shared" si="38"/>
        <v>4.0666935483870965</v>
      </c>
      <c r="CT76" s="234" cm="1">
        <f t="array" ref="CT76">$BM76 * IF($AH76&lt;=2,
SUMPRODUCT(INDEX($AV$66:$AX$70,,$AI76), INDEX($AY$66:$BE$70,,$AH76), 1 / ($BF$66:$BF$70*CS76 + (1-$BF$66:$BF$70)*CO76), N($AU$66:$AU$70&gt;$AM76)),
SUMPRODUCT(INDEX($AV$56:$AX$65,,$AI76), INDEX($AY$56:$BE$65,,$AH76), 1 / ($BG$56:$BG$65*CS76 + (1-$BG$56:$BG$65)*CO76), N($AU$56:$AU$65&gt;$AM76))
) / 1000</f>
        <v>0</v>
      </c>
      <c r="CU76" s="231">
        <f t="shared" si="39"/>
        <v>20</v>
      </c>
      <c r="CV76" s="229">
        <f t="shared" si="40"/>
        <v>33</v>
      </c>
      <c r="CW76" s="234">
        <f t="shared" si="41"/>
        <v>4.8487499999999999</v>
      </c>
      <c r="CX76" s="234" cm="1">
        <f t="array" ref="CX76">$BM76 * IF($AH76&lt;=2,
SUMPRODUCT(INDEX($AV$61:$AX$65,,$AI76), INDEX($AY$61:$BE$65,,$AH76), 1 / ($BF$61:$BF$65*CW76 + (1-$BF$61:$BF$65)*CS76), N($AU$61:$AU$65&gt;$AM76)),
SUMPRODUCT(INDEX($AV$46:$AX$55,,$AI76), INDEX($AY$46:$BE$55,,$AH76), 1 / ($BG$46:$BG$55*CW76 + (1-$BG$46:$BG$55)*CS76), N($AU$46:$AU$55&gt;$AM76))
) / 1000</f>
        <v>0</v>
      </c>
      <c r="CY76" s="234" cm="1">
        <f t="array" ref="CY76">$BM76 * IF($AH76&lt;=2,
SUMPRODUCT(INDEX($AV$22:$AX$60,,$AI76), INDEX($AY$22:$BE$60,,$AH76), 1 / ($BF$22:$BF$60*CW76), N($AU$22:$AU$60&gt;$AM76)),
SUMPRODUCT(INDEX($AV$22:$AX$45,,$AI76), INDEX($AY$22:$BE$45,,$AH76), 1 / ($BG$22:$BG$45*CW76), N($AU$22:$AU$45&gt;$AM76))
) / 1000</f>
        <v>0</v>
      </c>
      <c r="CZ76" s="229">
        <f t="shared" si="42"/>
        <v>0</v>
      </c>
      <c r="DA76" s="246"/>
    </row>
    <row r="77" spans="1:105" s="75" customFormat="1" ht="14.25" customHeight="1" x14ac:dyDescent="0.25">
      <c r="A77" s="230" t="b">
        <f t="shared" si="0"/>
        <v>0</v>
      </c>
      <c r="B77" s="253">
        <v>56</v>
      </c>
      <c r="C77" s="266"/>
      <c r="D77" s="266"/>
      <c r="E77" s="254"/>
      <c r="F77" s="255" t="str">
        <f>IF(ISBLANK(E77), "", VLOOKUP(E77, Z!$A$2:$C$4127, 3, FALSE))</f>
        <v/>
      </c>
      <c r="G77" s="256"/>
      <c r="H77" s="256"/>
      <c r="I77" s="256"/>
      <c r="J77" s="257"/>
      <c r="K77" s="258"/>
      <c r="L77" s="267"/>
      <c r="M77" s="268"/>
      <c r="N77" s="259" t="str" cm="1">
        <f t="array" ref="N77">IF($L77&gt;0, INDEX(Clean,1+AK77,$D$1), "")</f>
        <v/>
      </c>
      <c r="O77" s="260"/>
      <c r="P77" s="260"/>
      <c r="Q77" s="261"/>
      <c r="R77" s="264">
        <f t="shared" si="7"/>
        <v>0</v>
      </c>
      <c r="S77" s="259" t="str" cm="1">
        <f t="array" ref="S77">IF($L77&gt;0, INDEX(Clean,1+AL77,$D$1), "")</f>
        <v/>
      </c>
      <c r="T77" s="260"/>
      <c r="U77" s="260"/>
      <c r="V77" s="261"/>
      <c r="W77" s="267"/>
      <c r="X77" s="267"/>
      <c r="Y77" s="257"/>
      <c r="Z77" s="264">
        <f t="shared" si="8"/>
        <v>0</v>
      </c>
      <c r="AA77" s="269"/>
      <c r="AB77" s="266"/>
      <c r="AC77" s="254"/>
      <c r="AD77" s="255" t="str">
        <f>IF(ISBLANK(AC77), "", VLOOKUP(AC77, Z!$A$2:$C$4127, 3, FALSE))</f>
        <v/>
      </c>
      <c r="AE77" s="270"/>
      <c r="AF77" s="265">
        <f t="shared" si="9"/>
        <v>0</v>
      </c>
      <c r="AG77" s="246"/>
      <c r="AH77" s="228">
        <f t="shared" ref="AH77" si="255">IF(ISBLANK(I77), 1, IFERROR(MATCH(I77, INDEX(Use,,1), 0), IFERROR(MATCH(I77, INDEX(Use,,2), 0), MATCH(I77, INDEX(Use,,3), 0))))</f>
        <v>1</v>
      </c>
      <c r="AI77" s="228">
        <f t="shared" ref="AI77" si="256">IF(ISBLANK(H77), 1, IFERROR(MATCH(H77, INDEX(Loc,,1), 0), IFERROR(MATCH(H77, INDEX(Loc,,2), 0), MATCH(H77, INDEX(Loc,,3), 0))))</f>
        <v>1</v>
      </c>
      <c r="AJ77" s="228">
        <f t="shared" ref="AJ77" si="257">_xlfn.IFNA(IF(IFERROR(MATCH(J77, INDEX(Medium,,1), 0), IFERROR(MATCH(J77, INDEX(Medium,,2), 0), MATCH(J77, INDEX(Medium,,3), 0))) = 2, 1, 0), 0)</f>
        <v>0</v>
      </c>
      <c r="AK77" s="228">
        <v>0</v>
      </c>
      <c r="AL77" s="228">
        <v>0</v>
      </c>
      <c r="AM77" s="228">
        <f t="shared" si="4"/>
        <v>-100</v>
      </c>
      <c r="AN77" s="228" cm="1">
        <f t="array" ref="AN77">IF(ISBLANK(G77), 1, IFERROR(MATCH(G77, INDEX(Kat,,1), 0), IFERROR(MATCH(Kat, INDEX(Use,,2), 0), MATCH(Kat, INDEX(Use,,3), 0))))</f>
        <v>1</v>
      </c>
      <c r="AO77" s="246"/>
      <c r="AP77" s="228" cm="1">
        <f t="array" ref="AP77">IF(W77&gt;0, INDEX(Kat, AN77,4), 0)</f>
        <v>0</v>
      </c>
      <c r="AQ77" s="228">
        <f t="shared" ref="AQ77" si="258">IF(ISBLANK(Y77), 0, IFERROR(MATCH(Y77, INDEX(Month,,1), 0), IFERROR(MATCH(Y77, INDEX(Month,,2), 0), MATCH(Y77, INDEX(Month,,3), 0))))</f>
        <v>0</v>
      </c>
      <c r="AR77" s="228" cm="1">
        <f t="array" ref="AR77">IF(X77&gt;0, INDEX(Kat, $AN77, 4+AQ77), 0)</f>
        <v>0</v>
      </c>
      <c r="AS77" s="228" cm="1">
        <f t="array" ref="AS77">IF(X77&gt;0, INDEX(Kat, $AN77, 9+AQ77), 0)</f>
        <v>0</v>
      </c>
      <c r="AT77" s="246"/>
      <c r="AU77" s="228">
        <v>36</v>
      </c>
      <c r="AV77" s="231">
        <v>0</v>
      </c>
      <c r="AW77" s="231">
        <v>0</v>
      </c>
      <c r="AX77" s="231">
        <v>0</v>
      </c>
      <c r="AY77" s="232">
        <f t="shared" si="6"/>
        <v>1.0625</v>
      </c>
      <c r="AZ77" s="232">
        <f t="shared" si="6"/>
        <v>1.0625</v>
      </c>
      <c r="BA77" s="232" t="e" cm="1">
        <f t="array" ref="BA77">MIN(INDEX(Use,BA$20,5) + MAX(0, (1-INDEX(Use,BA$20,5))*($AU77-5)/(35-5)), 1)</f>
        <v>#REF!</v>
      </c>
      <c r="BB77" s="232" t="e" cm="1">
        <f t="array" ref="BB77">MIN(INDEX(Use,BB$20,5) + MAX(0, (1-INDEX(Use,BB$20,5))*($AU77-5)/(35-5)), 1)</f>
        <v>#REF!</v>
      </c>
      <c r="BC77" s="232" t="e" cm="1">
        <f t="array" ref="BC77">MIN(INDEX(Use,BC$20,5) + MAX(0, (1-INDEX(Use,BC$20,5))*($AU77-5)/(35-5)), 1)</f>
        <v>#REF!</v>
      </c>
      <c r="BD77" s="232" t="e" cm="1">
        <f t="array" ref="BD77">MIN(INDEX(Use,BD$20,5) + MAX(0, (1-INDEX(Use,BD$20,5))*($AU77-5)/(35-5)), 1)</f>
        <v>#REF!</v>
      </c>
      <c r="BE77" s="232" t="e" cm="1">
        <f t="array" ref="BE77">MIN(INDEX(Use,BE$20,5) + MAX(0, (1-INDEX(Use,BE$20,5))*($AU77-5)/(35-5)), 1)</f>
        <v>#REF!</v>
      </c>
      <c r="BF77" s="232" t="s">
        <v>2</v>
      </c>
      <c r="BG77" s="232" t="s">
        <v>2</v>
      </c>
      <c r="BH77" s="210"/>
      <c r="BI77" s="228" cm="1">
        <f t="array" ref="BI77">INDEX(Use, $AH77, 4)</f>
        <v>7</v>
      </c>
      <c r="BJ77" s="228">
        <f t="shared" si="14"/>
        <v>32</v>
      </c>
      <c r="BK77" s="228">
        <f t="shared" si="15"/>
        <v>13</v>
      </c>
      <c r="BL77" s="228">
        <f t="shared" si="16"/>
        <v>0</v>
      </c>
      <c r="BM77" s="233" cm="1">
        <f t="array" ref="BM77">L77/IF($M77&gt;0, INDEX($AY$22:$BE$76, $M77+20, $AH77), 1)</f>
        <v>0</v>
      </c>
      <c r="BN77" s="229">
        <f t="shared" si="17"/>
        <v>0</v>
      </c>
      <c r="BO77" s="228">
        <v>35</v>
      </c>
      <c r="BP77" s="229">
        <f t="shared" si="18"/>
        <v>48</v>
      </c>
      <c r="BQ77" s="234">
        <f t="shared" si="19"/>
        <v>3.0748170731707316</v>
      </c>
      <c r="BR77" s="234" cm="1">
        <f t="array" ref="BR77">$BM77 * SUMPRODUCT(INDEX($AV$76:$AX$81,,$AI77),INDEX($AY$76:$BE$81,,$AH77), N($AU$76:$AU$81&gt;$AM77)) / BQ77 / 1000</f>
        <v>0</v>
      </c>
      <c r="BS77" s="231">
        <f t="shared" si="20"/>
        <v>30</v>
      </c>
      <c r="BT77" s="229">
        <f t="shared" si="21"/>
        <v>43</v>
      </c>
      <c r="BU77" s="234">
        <f t="shared" si="22"/>
        <v>3.5018750000000001</v>
      </c>
      <c r="BV77" s="234" cm="1">
        <f t="array" ref="BV77">$BM77 * IF($AH77&lt;=2,
SUMPRODUCT(INDEX($AV$71:$AX$75,,$AI77), INDEX($AY$71:$BE$75,,$AH77), 1 / ($BF$71:$BF$75*BU77 + (1-$BF$71:$BF$75)*BQ77), N($AU$71:$AU$75&gt;$AM77)),
SUMPRODUCT(INDEX($AV$66:$AX$75,,$AI77), INDEX($AY$66:$BE$75,,$AH77), 1 / ($BG$66:$BG$75*BU77 + (1-$BG$66:$BG$75)*BQ77), N($AU$66:$AU$75&gt;$AM77))
) / 1000</f>
        <v>0</v>
      </c>
      <c r="BW77" s="231">
        <f t="shared" si="23"/>
        <v>25</v>
      </c>
      <c r="BX77" s="229">
        <f t="shared" si="24"/>
        <v>38</v>
      </c>
      <c r="BY77" s="234">
        <f t="shared" si="25"/>
        <v>4.0666935483870965</v>
      </c>
      <c r="BZ77" s="234" cm="1">
        <f t="array" ref="BZ77">$BM77 * IF($AH77&lt;=2,
SUMPRODUCT(INDEX($AV$66:$AX$70,,$AI77), INDEX($AY$66:$BE$70,,$AH77), 1 / ($BF$66:$BF$70*BY77 + (1-$BF$66:$BF$70)*BU77), N($AU$66:$AU$70&gt;$AM77)),
SUMPRODUCT(INDEX($AV$56:$AX$65,,$AI77), INDEX($AY$56:$BE$65,,$AH77), 1 / ($BG$56:$BG$65*BY77 + (1-$BG$56:$BG$65)*BU77), N($AU$56:$AU$65&gt;$AM77))
) / 1000</f>
        <v>0</v>
      </c>
      <c r="CA77" s="231">
        <f t="shared" si="26"/>
        <v>20</v>
      </c>
      <c r="CB77" s="229">
        <f t="shared" si="27"/>
        <v>33</v>
      </c>
      <c r="CC77" s="234">
        <f t="shared" si="28"/>
        <v>4.8487499999999999</v>
      </c>
      <c r="CD77" s="234" cm="1">
        <f t="array" ref="CD77">$BM77 * IF($AH77&lt;=2,
SUMPRODUCT(INDEX($AV$61:$AX$65,,$AI77), INDEX($AY$61:$BE$65,,$AH77), 1 / ($BF$61:$BF$65*CC77 + (1-$BF$61:$BF$65)*BY77), N($AU$61:$AU$65&gt;$AM77)),
SUMPRODUCT(INDEX($AV$46:$AX$55,,$AI77), INDEX($AY$46:$BE$55,,$AH77), 1 / ($BG$46:$BG$55*CC77 + (1-$BG$46:$BG$55)*BY77), N($AU$46:$AU$55&gt;$AM77))
) / 1000</f>
        <v>0</v>
      </c>
      <c r="CE77" s="234" cm="1">
        <f t="array" ref="CE77">$BM77 * IF($AH77&lt;=2,
SUMPRODUCT(INDEX($AV$22:$AX$60,,$AI77), INDEX($AY$22:$BE$60,,$AH77), 1 / ($BF$22:$BF$60*CC77), N($AU$22:$AU$60&gt;$AM77)),
SUMPRODUCT(INDEX($AV$22:$AX$45,,$AI77), INDEX($AY$22:$BE$45,,$AH77), 1 / ($BG$22:$BG$45*CC77), N($AU$22:$AU$45&gt;$AM77))
) / 1000</f>
        <v>0</v>
      </c>
      <c r="CF77" s="229">
        <f t="shared" si="29"/>
        <v>0</v>
      </c>
      <c r="CG77" s="246"/>
      <c r="CH77" s="229">
        <f t="shared" si="30"/>
        <v>0</v>
      </c>
      <c r="CI77" s="228">
        <v>35</v>
      </c>
      <c r="CJ77" s="229">
        <f t="shared" si="31"/>
        <v>48</v>
      </c>
      <c r="CK77" s="234">
        <f t="shared" si="32"/>
        <v>3.0748170731707316</v>
      </c>
      <c r="CL77" s="234" cm="1">
        <f t="array" ref="CL77">$BM77 * SUMPRODUCT(INDEX($AV$76:$AX$81,,$AI77),INDEX($AY$76:$BE$81,,$AH77), N($AU$76:$AU$81&gt;$AM77)) / CK77 / 1000</f>
        <v>0</v>
      </c>
      <c r="CM77" s="231">
        <f t="shared" si="33"/>
        <v>30</v>
      </c>
      <c r="CN77" s="229">
        <f t="shared" si="34"/>
        <v>43</v>
      </c>
      <c r="CO77" s="234">
        <f t="shared" si="35"/>
        <v>3.5018750000000001</v>
      </c>
      <c r="CP77" s="234" cm="1">
        <f t="array" ref="CP77">$BM77 * IF($AH77&lt;=2,
SUMPRODUCT(INDEX($AV$71:$AX$75,,$AI77), INDEX($AY$71:$BE$75,,$AH77), 1 / ($BF$71:$BF$75*CO77 + (1-$BF$71:$BF$75)*CK77), N($AU$71:$AU$75&gt;$AM77)),
SUMPRODUCT(INDEX($AV$66:$AX$75,,$AI77), INDEX($AY$66:$BE$75,,$AH77), 1 / ($BG$66:$BG$75*CO77 + (1-$BG$66:$BG$75)*CK77), N($AU$66:$AU$75&gt;$AM77))
) / 1000</f>
        <v>0</v>
      </c>
      <c r="CQ77" s="231">
        <f t="shared" si="36"/>
        <v>25</v>
      </c>
      <c r="CR77" s="229">
        <f t="shared" si="37"/>
        <v>38</v>
      </c>
      <c r="CS77" s="234">
        <f t="shared" si="38"/>
        <v>4.0666935483870965</v>
      </c>
      <c r="CT77" s="234" cm="1">
        <f t="array" ref="CT77">$BM77 * IF($AH77&lt;=2,
SUMPRODUCT(INDEX($AV$66:$AX$70,,$AI77), INDEX($AY$66:$BE$70,,$AH77), 1 / ($BF$66:$BF$70*CS77 + (1-$BF$66:$BF$70)*CO77), N($AU$66:$AU$70&gt;$AM77)),
SUMPRODUCT(INDEX($AV$56:$AX$65,,$AI77), INDEX($AY$56:$BE$65,,$AH77), 1 / ($BG$56:$BG$65*CS77 + (1-$BG$56:$BG$65)*CO77), N($AU$56:$AU$65&gt;$AM77))
) / 1000</f>
        <v>0</v>
      </c>
      <c r="CU77" s="231">
        <f t="shared" si="39"/>
        <v>20</v>
      </c>
      <c r="CV77" s="229">
        <f t="shared" si="40"/>
        <v>33</v>
      </c>
      <c r="CW77" s="234">
        <f t="shared" si="41"/>
        <v>4.8487499999999999</v>
      </c>
      <c r="CX77" s="234" cm="1">
        <f t="array" ref="CX77">$BM77 * IF($AH77&lt;=2,
SUMPRODUCT(INDEX($AV$61:$AX$65,,$AI77), INDEX($AY$61:$BE$65,,$AH77), 1 / ($BF$61:$BF$65*CW77 + (1-$BF$61:$BF$65)*CS77), N($AU$61:$AU$65&gt;$AM77)),
SUMPRODUCT(INDEX($AV$46:$AX$55,,$AI77), INDEX($AY$46:$BE$55,,$AH77), 1 / ($BG$46:$BG$55*CW77 + (1-$BG$46:$BG$55)*CS77), N($AU$46:$AU$55&gt;$AM77))
) / 1000</f>
        <v>0</v>
      </c>
      <c r="CY77" s="234" cm="1">
        <f t="array" ref="CY77">$BM77 * IF($AH77&lt;=2,
SUMPRODUCT(INDEX($AV$22:$AX$60,,$AI77), INDEX($AY$22:$BE$60,,$AH77), 1 / ($BF$22:$BF$60*CW77), N($AU$22:$AU$60&gt;$AM77)),
SUMPRODUCT(INDEX($AV$22:$AX$45,,$AI77), INDEX($AY$22:$BE$45,,$AH77), 1 / ($BG$22:$BG$45*CW77), N($AU$22:$AU$45&gt;$AM77))
) / 1000</f>
        <v>0</v>
      </c>
      <c r="CZ77" s="229">
        <f t="shared" si="42"/>
        <v>0</v>
      </c>
      <c r="DA77" s="246"/>
    </row>
    <row r="78" spans="1:105" s="75" customFormat="1" ht="14.25" customHeight="1" x14ac:dyDescent="0.25">
      <c r="A78" s="230" t="b">
        <f t="shared" si="0"/>
        <v>0</v>
      </c>
      <c r="B78" s="253">
        <v>57</v>
      </c>
      <c r="C78" s="266"/>
      <c r="D78" s="266"/>
      <c r="E78" s="254"/>
      <c r="F78" s="255" t="str">
        <f>IF(ISBLANK(E78), "", VLOOKUP(E78, Z!$A$2:$C$4127, 3, FALSE))</f>
        <v/>
      </c>
      <c r="G78" s="256"/>
      <c r="H78" s="256"/>
      <c r="I78" s="256"/>
      <c r="J78" s="257"/>
      <c r="K78" s="258"/>
      <c r="L78" s="267"/>
      <c r="M78" s="268"/>
      <c r="N78" s="259" t="str" cm="1">
        <f t="array" ref="N78">IF($L78&gt;0, INDEX(Clean,1+AK78,$D$1), "")</f>
        <v/>
      </c>
      <c r="O78" s="260"/>
      <c r="P78" s="260"/>
      <c r="Q78" s="261"/>
      <c r="R78" s="264">
        <f t="shared" si="7"/>
        <v>0</v>
      </c>
      <c r="S78" s="259" t="str" cm="1">
        <f t="array" ref="S78">IF($L78&gt;0, INDEX(Clean,1+AL78,$D$1), "")</f>
        <v/>
      </c>
      <c r="T78" s="260"/>
      <c r="U78" s="260"/>
      <c r="V78" s="261"/>
      <c r="W78" s="267"/>
      <c r="X78" s="267"/>
      <c r="Y78" s="257"/>
      <c r="Z78" s="264">
        <f t="shared" si="8"/>
        <v>0</v>
      </c>
      <c r="AA78" s="269"/>
      <c r="AB78" s="266"/>
      <c r="AC78" s="254"/>
      <c r="AD78" s="255" t="str">
        <f>IF(ISBLANK(AC78), "", VLOOKUP(AC78, Z!$A$2:$C$4127, 3, FALSE))</f>
        <v/>
      </c>
      <c r="AE78" s="270"/>
      <c r="AF78" s="265">
        <f t="shared" si="9"/>
        <v>0</v>
      </c>
      <c r="AG78" s="246"/>
      <c r="AH78" s="228">
        <f t="shared" ref="AH78" si="259">IF(ISBLANK(I78), 1, IFERROR(MATCH(I78, INDEX(Use,,1), 0), IFERROR(MATCH(I78, INDEX(Use,,2), 0), MATCH(I78, INDEX(Use,,3), 0))))</f>
        <v>1</v>
      </c>
      <c r="AI78" s="228">
        <f t="shared" ref="AI78" si="260">IF(ISBLANK(H78), 1, IFERROR(MATCH(H78, INDEX(Loc,,1), 0), IFERROR(MATCH(H78, INDEX(Loc,,2), 0), MATCH(H78, INDEX(Loc,,3), 0))))</f>
        <v>1</v>
      </c>
      <c r="AJ78" s="228">
        <f t="shared" ref="AJ78" si="261">_xlfn.IFNA(IF(IFERROR(MATCH(J78, INDEX(Medium,,1), 0), IFERROR(MATCH(J78, INDEX(Medium,,2), 0), MATCH(J78, INDEX(Medium,,3), 0))) = 2, 1, 0), 0)</f>
        <v>0</v>
      </c>
      <c r="AK78" s="228">
        <v>0</v>
      </c>
      <c r="AL78" s="228">
        <v>0</v>
      </c>
      <c r="AM78" s="228">
        <f t="shared" si="4"/>
        <v>-100</v>
      </c>
      <c r="AN78" s="228" cm="1">
        <f t="array" ref="AN78">IF(ISBLANK(G78), 1, IFERROR(MATCH(G78, INDEX(Kat,,1), 0), IFERROR(MATCH(Kat, INDEX(Use,,2), 0), MATCH(Kat, INDEX(Use,,3), 0))))</f>
        <v>1</v>
      </c>
      <c r="AO78" s="246"/>
      <c r="AP78" s="228" cm="1">
        <f t="array" ref="AP78">IF(W78&gt;0, INDEX(Kat, AN78,4), 0)</f>
        <v>0</v>
      </c>
      <c r="AQ78" s="228">
        <f t="shared" ref="AQ78" si="262">IF(ISBLANK(Y78), 0, IFERROR(MATCH(Y78, INDEX(Month,,1), 0), IFERROR(MATCH(Y78, INDEX(Month,,2), 0), MATCH(Y78, INDEX(Month,,3), 0))))</f>
        <v>0</v>
      </c>
      <c r="AR78" s="228" cm="1">
        <f t="array" ref="AR78">IF(X78&gt;0, INDEX(Kat, $AN78, 4+AQ78), 0)</f>
        <v>0</v>
      </c>
      <c r="AS78" s="228" cm="1">
        <f t="array" ref="AS78">IF(X78&gt;0, INDEX(Kat, $AN78, 9+AQ78), 0)</f>
        <v>0</v>
      </c>
      <c r="AT78" s="246"/>
      <c r="AU78" s="228">
        <v>37</v>
      </c>
      <c r="AV78" s="231">
        <v>0</v>
      </c>
      <c r="AW78" s="231">
        <v>0</v>
      </c>
      <c r="AX78" s="231">
        <v>0</v>
      </c>
      <c r="AY78" s="232">
        <f t="shared" si="6"/>
        <v>1.125</v>
      </c>
      <c r="AZ78" s="232">
        <f t="shared" si="6"/>
        <v>1.125</v>
      </c>
      <c r="BA78" s="232" t="e" cm="1">
        <f t="array" ref="BA78">MIN(INDEX(Use,BA$20,5) + MAX(0, (1-INDEX(Use,BA$20,5))*($AU78-5)/(35-5)), 1)</f>
        <v>#REF!</v>
      </c>
      <c r="BB78" s="232" t="e" cm="1">
        <f t="array" ref="BB78">MIN(INDEX(Use,BB$20,5) + MAX(0, (1-INDEX(Use,BB$20,5))*($AU78-5)/(35-5)), 1)</f>
        <v>#REF!</v>
      </c>
      <c r="BC78" s="232" t="e" cm="1">
        <f t="array" ref="BC78">MIN(INDEX(Use,BC$20,5) + MAX(0, (1-INDEX(Use,BC$20,5))*($AU78-5)/(35-5)), 1)</f>
        <v>#REF!</v>
      </c>
      <c r="BD78" s="232" t="e" cm="1">
        <f t="array" ref="BD78">MIN(INDEX(Use,BD$20,5) + MAX(0, (1-INDEX(Use,BD$20,5))*($AU78-5)/(35-5)), 1)</f>
        <v>#REF!</v>
      </c>
      <c r="BE78" s="232" t="e" cm="1">
        <f t="array" ref="BE78">MIN(INDEX(Use,BE$20,5) + MAX(0, (1-INDEX(Use,BE$20,5))*($AU78-5)/(35-5)), 1)</f>
        <v>#REF!</v>
      </c>
      <c r="BF78" s="232" t="s">
        <v>2</v>
      </c>
      <c r="BG78" s="232" t="s">
        <v>2</v>
      </c>
      <c r="BH78" s="210"/>
      <c r="BI78" s="228" cm="1">
        <f t="array" ref="BI78">INDEX(Use, $AH78, 4)</f>
        <v>7</v>
      </c>
      <c r="BJ78" s="228">
        <f t="shared" si="14"/>
        <v>32</v>
      </c>
      <c r="BK78" s="228">
        <f t="shared" si="15"/>
        <v>13</v>
      </c>
      <c r="BL78" s="228">
        <f t="shared" si="16"/>
        <v>0</v>
      </c>
      <c r="BM78" s="233" cm="1">
        <f t="array" ref="BM78">L78/IF($M78&gt;0, INDEX($AY$22:$BE$76, $M78+20, $AH78), 1)</f>
        <v>0</v>
      </c>
      <c r="BN78" s="229">
        <f t="shared" si="17"/>
        <v>0</v>
      </c>
      <c r="BO78" s="228">
        <v>35</v>
      </c>
      <c r="BP78" s="229">
        <f t="shared" si="18"/>
        <v>48</v>
      </c>
      <c r="BQ78" s="234">
        <f t="shared" si="19"/>
        <v>3.0748170731707316</v>
      </c>
      <c r="BR78" s="234" cm="1">
        <f t="array" ref="BR78">$BM78 * SUMPRODUCT(INDEX($AV$76:$AX$81,,$AI78),INDEX($AY$76:$BE$81,,$AH78), N($AU$76:$AU$81&gt;$AM78)) / BQ78 / 1000</f>
        <v>0</v>
      </c>
      <c r="BS78" s="231">
        <f t="shared" si="20"/>
        <v>30</v>
      </c>
      <c r="BT78" s="229">
        <f t="shared" si="21"/>
        <v>43</v>
      </c>
      <c r="BU78" s="234">
        <f t="shared" si="22"/>
        <v>3.5018750000000001</v>
      </c>
      <c r="BV78" s="234" cm="1">
        <f t="array" ref="BV78">$BM78 * IF($AH78&lt;=2,
SUMPRODUCT(INDEX($AV$71:$AX$75,,$AI78), INDEX($AY$71:$BE$75,,$AH78), 1 / ($BF$71:$BF$75*BU78 + (1-$BF$71:$BF$75)*BQ78), N($AU$71:$AU$75&gt;$AM78)),
SUMPRODUCT(INDEX($AV$66:$AX$75,,$AI78), INDEX($AY$66:$BE$75,,$AH78), 1 / ($BG$66:$BG$75*BU78 + (1-$BG$66:$BG$75)*BQ78), N($AU$66:$AU$75&gt;$AM78))
) / 1000</f>
        <v>0</v>
      </c>
      <c r="BW78" s="231">
        <f t="shared" si="23"/>
        <v>25</v>
      </c>
      <c r="BX78" s="229">
        <f t="shared" si="24"/>
        <v>38</v>
      </c>
      <c r="BY78" s="234">
        <f t="shared" si="25"/>
        <v>4.0666935483870965</v>
      </c>
      <c r="BZ78" s="234" cm="1">
        <f t="array" ref="BZ78">$BM78 * IF($AH78&lt;=2,
SUMPRODUCT(INDEX($AV$66:$AX$70,,$AI78), INDEX($AY$66:$BE$70,,$AH78), 1 / ($BF$66:$BF$70*BY78 + (1-$BF$66:$BF$70)*BU78), N($AU$66:$AU$70&gt;$AM78)),
SUMPRODUCT(INDEX($AV$56:$AX$65,,$AI78), INDEX($AY$56:$BE$65,,$AH78), 1 / ($BG$56:$BG$65*BY78 + (1-$BG$56:$BG$65)*BU78), N($AU$56:$AU$65&gt;$AM78))
) / 1000</f>
        <v>0</v>
      </c>
      <c r="CA78" s="231">
        <f t="shared" si="26"/>
        <v>20</v>
      </c>
      <c r="CB78" s="229">
        <f t="shared" si="27"/>
        <v>33</v>
      </c>
      <c r="CC78" s="234">
        <f t="shared" si="28"/>
        <v>4.8487499999999999</v>
      </c>
      <c r="CD78" s="234" cm="1">
        <f t="array" ref="CD78">$BM78 * IF($AH78&lt;=2,
SUMPRODUCT(INDEX($AV$61:$AX$65,,$AI78), INDEX($AY$61:$BE$65,,$AH78), 1 / ($BF$61:$BF$65*CC78 + (1-$BF$61:$BF$65)*BY78), N($AU$61:$AU$65&gt;$AM78)),
SUMPRODUCT(INDEX($AV$46:$AX$55,,$AI78), INDEX($AY$46:$BE$55,,$AH78), 1 / ($BG$46:$BG$55*CC78 + (1-$BG$46:$BG$55)*BY78), N($AU$46:$AU$55&gt;$AM78))
) / 1000</f>
        <v>0</v>
      </c>
      <c r="CE78" s="234" cm="1">
        <f t="array" ref="CE78">$BM78 * IF($AH78&lt;=2,
SUMPRODUCT(INDEX($AV$22:$AX$60,,$AI78), INDEX($AY$22:$BE$60,,$AH78), 1 / ($BF$22:$BF$60*CC78), N($AU$22:$AU$60&gt;$AM78)),
SUMPRODUCT(INDEX($AV$22:$AX$45,,$AI78), INDEX($AY$22:$BE$45,,$AH78), 1 / ($BG$22:$BG$45*CC78), N($AU$22:$AU$45&gt;$AM78))
) / 1000</f>
        <v>0</v>
      </c>
      <c r="CF78" s="229">
        <f t="shared" si="29"/>
        <v>0</v>
      </c>
      <c r="CG78" s="246"/>
      <c r="CH78" s="229">
        <f t="shared" si="30"/>
        <v>0</v>
      </c>
      <c r="CI78" s="228">
        <v>35</v>
      </c>
      <c r="CJ78" s="229">
        <f t="shared" si="31"/>
        <v>48</v>
      </c>
      <c r="CK78" s="234">
        <f t="shared" si="32"/>
        <v>3.0748170731707316</v>
      </c>
      <c r="CL78" s="234" cm="1">
        <f t="array" ref="CL78">$BM78 * SUMPRODUCT(INDEX($AV$76:$AX$81,,$AI78),INDEX($AY$76:$BE$81,,$AH78), N($AU$76:$AU$81&gt;$AM78)) / CK78 / 1000</f>
        <v>0</v>
      </c>
      <c r="CM78" s="231">
        <f t="shared" si="33"/>
        <v>30</v>
      </c>
      <c r="CN78" s="229">
        <f t="shared" si="34"/>
        <v>43</v>
      </c>
      <c r="CO78" s="234">
        <f t="shared" si="35"/>
        <v>3.5018750000000001</v>
      </c>
      <c r="CP78" s="234" cm="1">
        <f t="array" ref="CP78">$BM78 * IF($AH78&lt;=2,
SUMPRODUCT(INDEX($AV$71:$AX$75,,$AI78), INDEX($AY$71:$BE$75,,$AH78), 1 / ($BF$71:$BF$75*CO78 + (1-$BF$71:$BF$75)*CK78), N($AU$71:$AU$75&gt;$AM78)),
SUMPRODUCT(INDEX($AV$66:$AX$75,,$AI78), INDEX($AY$66:$BE$75,,$AH78), 1 / ($BG$66:$BG$75*CO78 + (1-$BG$66:$BG$75)*CK78), N($AU$66:$AU$75&gt;$AM78))
) / 1000</f>
        <v>0</v>
      </c>
      <c r="CQ78" s="231">
        <f t="shared" si="36"/>
        <v>25</v>
      </c>
      <c r="CR78" s="229">
        <f t="shared" si="37"/>
        <v>38</v>
      </c>
      <c r="CS78" s="234">
        <f t="shared" si="38"/>
        <v>4.0666935483870965</v>
      </c>
      <c r="CT78" s="234" cm="1">
        <f t="array" ref="CT78">$BM78 * IF($AH78&lt;=2,
SUMPRODUCT(INDEX($AV$66:$AX$70,,$AI78), INDEX($AY$66:$BE$70,,$AH78), 1 / ($BF$66:$BF$70*CS78 + (1-$BF$66:$BF$70)*CO78), N($AU$66:$AU$70&gt;$AM78)),
SUMPRODUCT(INDEX($AV$56:$AX$65,,$AI78), INDEX($AY$56:$BE$65,,$AH78), 1 / ($BG$56:$BG$65*CS78 + (1-$BG$56:$BG$65)*CO78), N($AU$56:$AU$65&gt;$AM78))
) / 1000</f>
        <v>0</v>
      </c>
      <c r="CU78" s="231">
        <f t="shared" si="39"/>
        <v>20</v>
      </c>
      <c r="CV78" s="229">
        <f t="shared" si="40"/>
        <v>33</v>
      </c>
      <c r="CW78" s="234">
        <f t="shared" si="41"/>
        <v>4.8487499999999999</v>
      </c>
      <c r="CX78" s="234" cm="1">
        <f t="array" ref="CX78">$BM78 * IF($AH78&lt;=2,
SUMPRODUCT(INDEX($AV$61:$AX$65,,$AI78), INDEX($AY$61:$BE$65,,$AH78), 1 / ($BF$61:$BF$65*CW78 + (1-$BF$61:$BF$65)*CS78), N($AU$61:$AU$65&gt;$AM78)),
SUMPRODUCT(INDEX($AV$46:$AX$55,,$AI78), INDEX($AY$46:$BE$55,,$AH78), 1 / ($BG$46:$BG$55*CW78 + (1-$BG$46:$BG$55)*CS78), N($AU$46:$AU$55&gt;$AM78))
) / 1000</f>
        <v>0</v>
      </c>
      <c r="CY78" s="234" cm="1">
        <f t="array" ref="CY78">$BM78 * IF($AH78&lt;=2,
SUMPRODUCT(INDEX($AV$22:$AX$60,,$AI78), INDEX($AY$22:$BE$60,,$AH78), 1 / ($BF$22:$BF$60*CW78), N($AU$22:$AU$60&gt;$AM78)),
SUMPRODUCT(INDEX($AV$22:$AX$45,,$AI78), INDEX($AY$22:$BE$45,,$AH78), 1 / ($BG$22:$BG$45*CW78), N($AU$22:$AU$45&gt;$AM78))
) / 1000</f>
        <v>0</v>
      </c>
      <c r="CZ78" s="229">
        <f t="shared" si="42"/>
        <v>0</v>
      </c>
      <c r="DA78" s="246"/>
    </row>
    <row r="79" spans="1:105" s="75" customFormat="1" ht="14.25" customHeight="1" x14ac:dyDescent="0.25">
      <c r="A79" s="230" t="b">
        <f t="shared" si="0"/>
        <v>0</v>
      </c>
      <c r="B79" s="253">
        <v>58</v>
      </c>
      <c r="C79" s="266"/>
      <c r="D79" s="266"/>
      <c r="E79" s="254"/>
      <c r="F79" s="255" t="str">
        <f>IF(ISBLANK(E79), "", VLOOKUP(E79, Z!$A$2:$C$4127, 3, FALSE))</f>
        <v/>
      </c>
      <c r="G79" s="256"/>
      <c r="H79" s="256"/>
      <c r="I79" s="256"/>
      <c r="J79" s="257"/>
      <c r="K79" s="258"/>
      <c r="L79" s="267"/>
      <c r="M79" s="268"/>
      <c r="N79" s="259" t="str" cm="1">
        <f t="array" ref="N79">IF($L79&gt;0, INDEX(Clean,1+AK79,$D$1), "")</f>
        <v/>
      </c>
      <c r="O79" s="260"/>
      <c r="P79" s="260"/>
      <c r="Q79" s="261"/>
      <c r="R79" s="264">
        <f t="shared" si="7"/>
        <v>0</v>
      </c>
      <c r="S79" s="259" t="str" cm="1">
        <f t="array" ref="S79">IF($L79&gt;0, INDEX(Clean,1+AL79,$D$1), "")</f>
        <v/>
      </c>
      <c r="T79" s="260"/>
      <c r="U79" s="260"/>
      <c r="V79" s="261"/>
      <c r="W79" s="267"/>
      <c r="X79" s="267"/>
      <c r="Y79" s="257"/>
      <c r="Z79" s="264">
        <f t="shared" si="8"/>
        <v>0</v>
      </c>
      <c r="AA79" s="269"/>
      <c r="AB79" s="266"/>
      <c r="AC79" s="254"/>
      <c r="AD79" s="255" t="str">
        <f>IF(ISBLANK(AC79), "", VLOOKUP(AC79, Z!$A$2:$C$4127, 3, FALSE))</f>
        <v/>
      </c>
      <c r="AE79" s="270"/>
      <c r="AF79" s="265">
        <f t="shared" si="9"/>
        <v>0</v>
      </c>
      <c r="AG79" s="246"/>
      <c r="AH79" s="228">
        <f t="shared" ref="AH79" si="263">IF(ISBLANK(I79), 1, IFERROR(MATCH(I79, INDEX(Use,,1), 0), IFERROR(MATCH(I79, INDEX(Use,,2), 0), MATCH(I79, INDEX(Use,,3), 0))))</f>
        <v>1</v>
      </c>
      <c r="AI79" s="228">
        <f t="shared" ref="AI79" si="264">IF(ISBLANK(H79), 1, IFERROR(MATCH(H79, INDEX(Loc,,1), 0), IFERROR(MATCH(H79, INDEX(Loc,,2), 0), MATCH(H79, INDEX(Loc,,3), 0))))</f>
        <v>1</v>
      </c>
      <c r="AJ79" s="228">
        <f t="shared" ref="AJ79" si="265">_xlfn.IFNA(IF(IFERROR(MATCH(J79, INDEX(Medium,,1), 0), IFERROR(MATCH(J79, INDEX(Medium,,2), 0), MATCH(J79, INDEX(Medium,,3), 0))) = 2, 1, 0), 0)</f>
        <v>0</v>
      </c>
      <c r="AK79" s="228">
        <v>0</v>
      </c>
      <c r="AL79" s="228">
        <v>0</v>
      </c>
      <c r="AM79" s="228">
        <f t="shared" si="4"/>
        <v>-100</v>
      </c>
      <c r="AN79" s="228" cm="1">
        <f t="array" ref="AN79">IF(ISBLANK(G79), 1, IFERROR(MATCH(G79, INDEX(Kat,,1), 0), IFERROR(MATCH(Kat, INDEX(Use,,2), 0), MATCH(Kat, INDEX(Use,,3), 0))))</f>
        <v>1</v>
      </c>
      <c r="AO79" s="246"/>
      <c r="AP79" s="228" cm="1">
        <f t="array" ref="AP79">IF(W79&gt;0, INDEX(Kat, AN79,4), 0)</f>
        <v>0</v>
      </c>
      <c r="AQ79" s="228">
        <f t="shared" ref="AQ79" si="266">IF(ISBLANK(Y79), 0, IFERROR(MATCH(Y79, INDEX(Month,,1), 0), IFERROR(MATCH(Y79, INDEX(Month,,2), 0), MATCH(Y79, INDEX(Month,,3), 0))))</f>
        <v>0</v>
      </c>
      <c r="AR79" s="228" cm="1">
        <f t="array" ref="AR79">IF(X79&gt;0, INDEX(Kat, $AN79, 4+AQ79), 0)</f>
        <v>0</v>
      </c>
      <c r="AS79" s="228" cm="1">
        <f t="array" ref="AS79">IF(X79&gt;0, INDEX(Kat, $AN79, 9+AQ79), 0)</f>
        <v>0</v>
      </c>
      <c r="AT79" s="246"/>
      <c r="AU79" s="228">
        <v>38</v>
      </c>
      <c r="AV79" s="231">
        <v>0</v>
      </c>
      <c r="AW79" s="231">
        <v>0</v>
      </c>
      <c r="AX79" s="231">
        <v>0</v>
      </c>
      <c r="AY79" s="232">
        <f t="shared" si="6"/>
        <v>1.1875</v>
      </c>
      <c r="AZ79" s="232">
        <f t="shared" si="6"/>
        <v>1.1875</v>
      </c>
      <c r="BA79" s="232" t="e" cm="1">
        <f t="array" ref="BA79">MIN(INDEX(Use,BA$20,5) + MAX(0, (1-INDEX(Use,BA$20,5))*($AU79-5)/(35-5)), 1)</f>
        <v>#REF!</v>
      </c>
      <c r="BB79" s="232" t="e" cm="1">
        <f t="array" ref="BB79">MIN(INDEX(Use,BB$20,5) + MAX(0, (1-INDEX(Use,BB$20,5))*($AU79-5)/(35-5)), 1)</f>
        <v>#REF!</v>
      </c>
      <c r="BC79" s="232" t="e" cm="1">
        <f t="array" ref="BC79">MIN(INDEX(Use,BC$20,5) + MAX(0, (1-INDEX(Use,BC$20,5))*($AU79-5)/(35-5)), 1)</f>
        <v>#REF!</v>
      </c>
      <c r="BD79" s="232" t="e" cm="1">
        <f t="array" ref="BD79">MIN(INDEX(Use,BD$20,5) + MAX(0, (1-INDEX(Use,BD$20,5))*($AU79-5)/(35-5)), 1)</f>
        <v>#REF!</v>
      </c>
      <c r="BE79" s="232" t="e" cm="1">
        <f t="array" ref="BE79">MIN(INDEX(Use,BE$20,5) + MAX(0, (1-INDEX(Use,BE$20,5))*($AU79-5)/(35-5)), 1)</f>
        <v>#REF!</v>
      </c>
      <c r="BF79" s="232" t="s">
        <v>2</v>
      </c>
      <c r="BG79" s="232" t="s">
        <v>2</v>
      </c>
      <c r="BH79" s="210"/>
      <c r="BI79" s="228" cm="1">
        <f t="array" ref="BI79">INDEX(Use, $AH79, 4)</f>
        <v>7</v>
      </c>
      <c r="BJ79" s="228">
        <f t="shared" si="14"/>
        <v>32</v>
      </c>
      <c r="BK79" s="228">
        <f t="shared" si="15"/>
        <v>13</v>
      </c>
      <c r="BL79" s="228">
        <f t="shared" si="16"/>
        <v>0</v>
      </c>
      <c r="BM79" s="233" cm="1">
        <f t="array" ref="BM79">L79/IF($M79&gt;0, INDEX($AY$22:$BE$76, $M79+20, $AH79), 1)</f>
        <v>0</v>
      </c>
      <c r="BN79" s="229">
        <f t="shared" si="17"/>
        <v>0</v>
      </c>
      <c r="BO79" s="228">
        <v>35</v>
      </c>
      <c r="BP79" s="229">
        <f t="shared" si="18"/>
        <v>48</v>
      </c>
      <c r="BQ79" s="234">
        <f t="shared" si="19"/>
        <v>3.0748170731707316</v>
      </c>
      <c r="BR79" s="234" cm="1">
        <f t="array" ref="BR79">$BM79 * SUMPRODUCT(INDEX($AV$76:$AX$81,,$AI79),INDEX($AY$76:$BE$81,,$AH79), N($AU$76:$AU$81&gt;$AM79)) / BQ79 / 1000</f>
        <v>0</v>
      </c>
      <c r="BS79" s="231">
        <f t="shared" si="20"/>
        <v>30</v>
      </c>
      <c r="BT79" s="229">
        <f t="shared" si="21"/>
        <v>43</v>
      </c>
      <c r="BU79" s="234">
        <f t="shared" si="22"/>
        <v>3.5018750000000001</v>
      </c>
      <c r="BV79" s="234" cm="1">
        <f t="array" ref="BV79">$BM79 * IF($AH79&lt;=2,
SUMPRODUCT(INDEX($AV$71:$AX$75,,$AI79), INDEX($AY$71:$BE$75,,$AH79), 1 / ($BF$71:$BF$75*BU79 + (1-$BF$71:$BF$75)*BQ79), N($AU$71:$AU$75&gt;$AM79)),
SUMPRODUCT(INDEX($AV$66:$AX$75,,$AI79), INDEX($AY$66:$BE$75,,$AH79), 1 / ($BG$66:$BG$75*BU79 + (1-$BG$66:$BG$75)*BQ79), N($AU$66:$AU$75&gt;$AM79))
) / 1000</f>
        <v>0</v>
      </c>
      <c r="BW79" s="231">
        <f t="shared" si="23"/>
        <v>25</v>
      </c>
      <c r="BX79" s="229">
        <f t="shared" si="24"/>
        <v>38</v>
      </c>
      <c r="BY79" s="234">
        <f t="shared" si="25"/>
        <v>4.0666935483870965</v>
      </c>
      <c r="BZ79" s="234" cm="1">
        <f t="array" ref="BZ79">$BM79 * IF($AH79&lt;=2,
SUMPRODUCT(INDEX($AV$66:$AX$70,,$AI79), INDEX($AY$66:$BE$70,,$AH79), 1 / ($BF$66:$BF$70*BY79 + (1-$BF$66:$BF$70)*BU79), N($AU$66:$AU$70&gt;$AM79)),
SUMPRODUCT(INDEX($AV$56:$AX$65,,$AI79), INDEX($AY$56:$BE$65,,$AH79), 1 / ($BG$56:$BG$65*BY79 + (1-$BG$56:$BG$65)*BU79), N($AU$56:$AU$65&gt;$AM79))
) / 1000</f>
        <v>0</v>
      </c>
      <c r="CA79" s="231">
        <f t="shared" si="26"/>
        <v>20</v>
      </c>
      <c r="CB79" s="229">
        <f t="shared" si="27"/>
        <v>33</v>
      </c>
      <c r="CC79" s="234">
        <f t="shared" si="28"/>
        <v>4.8487499999999999</v>
      </c>
      <c r="CD79" s="234" cm="1">
        <f t="array" ref="CD79">$BM79 * IF($AH79&lt;=2,
SUMPRODUCT(INDEX($AV$61:$AX$65,,$AI79), INDEX($AY$61:$BE$65,,$AH79), 1 / ($BF$61:$BF$65*CC79 + (1-$BF$61:$BF$65)*BY79), N($AU$61:$AU$65&gt;$AM79)),
SUMPRODUCT(INDEX($AV$46:$AX$55,,$AI79), INDEX($AY$46:$BE$55,,$AH79), 1 / ($BG$46:$BG$55*CC79 + (1-$BG$46:$BG$55)*BY79), N($AU$46:$AU$55&gt;$AM79))
) / 1000</f>
        <v>0</v>
      </c>
      <c r="CE79" s="234" cm="1">
        <f t="array" ref="CE79">$BM79 * IF($AH79&lt;=2,
SUMPRODUCT(INDEX($AV$22:$AX$60,,$AI79), INDEX($AY$22:$BE$60,,$AH79), 1 / ($BF$22:$BF$60*CC79), N($AU$22:$AU$60&gt;$AM79)),
SUMPRODUCT(INDEX($AV$22:$AX$45,,$AI79), INDEX($AY$22:$BE$45,,$AH79), 1 / ($BG$22:$BG$45*CC79), N($AU$22:$AU$45&gt;$AM79))
) / 1000</f>
        <v>0</v>
      </c>
      <c r="CF79" s="229">
        <f t="shared" si="29"/>
        <v>0</v>
      </c>
      <c r="CG79" s="246"/>
      <c r="CH79" s="229">
        <f t="shared" si="30"/>
        <v>0</v>
      </c>
      <c r="CI79" s="228">
        <v>35</v>
      </c>
      <c r="CJ79" s="229">
        <f t="shared" si="31"/>
        <v>48</v>
      </c>
      <c r="CK79" s="234">
        <f t="shared" si="32"/>
        <v>3.0748170731707316</v>
      </c>
      <c r="CL79" s="234" cm="1">
        <f t="array" ref="CL79">$BM79 * SUMPRODUCT(INDEX($AV$76:$AX$81,,$AI79),INDEX($AY$76:$BE$81,,$AH79), N($AU$76:$AU$81&gt;$AM79)) / CK79 / 1000</f>
        <v>0</v>
      </c>
      <c r="CM79" s="231">
        <f t="shared" si="33"/>
        <v>30</v>
      </c>
      <c r="CN79" s="229">
        <f t="shared" si="34"/>
        <v>43</v>
      </c>
      <c r="CO79" s="234">
        <f t="shared" si="35"/>
        <v>3.5018750000000001</v>
      </c>
      <c r="CP79" s="234" cm="1">
        <f t="array" ref="CP79">$BM79 * IF($AH79&lt;=2,
SUMPRODUCT(INDEX($AV$71:$AX$75,,$AI79), INDEX($AY$71:$BE$75,,$AH79), 1 / ($BF$71:$BF$75*CO79 + (1-$BF$71:$BF$75)*CK79), N($AU$71:$AU$75&gt;$AM79)),
SUMPRODUCT(INDEX($AV$66:$AX$75,,$AI79), INDEX($AY$66:$BE$75,,$AH79), 1 / ($BG$66:$BG$75*CO79 + (1-$BG$66:$BG$75)*CK79), N($AU$66:$AU$75&gt;$AM79))
) / 1000</f>
        <v>0</v>
      </c>
      <c r="CQ79" s="231">
        <f t="shared" si="36"/>
        <v>25</v>
      </c>
      <c r="CR79" s="229">
        <f t="shared" si="37"/>
        <v>38</v>
      </c>
      <c r="CS79" s="234">
        <f t="shared" si="38"/>
        <v>4.0666935483870965</v>
      </c>
      <c r="CT79" s="234" cm="1">
        <f t="array" ref="CT79">$BM79 * IF($AH79&lt;=2,
SUMPRODUCT(INDEX($AV$66:$AX$70,,$AI79), INDEX($AY$66:$BE$70,,$AH79), 1 / ($BF$66:$BF$70*CS79 + (1-$BF$66:$BF$70)*CO79), N($AU$66:$AU$70&gt;$AM79)),
SUMPRODUCT(INDEX($AV$56:$AX$65,,$AI79), INDEX($AY$56:$BE$65,,$AH79), 1 / ($BG$56:$BG$65*CS79 + (1-$BG$56:$BG$65)*CO79), N($AU$56:$AU$65&gt;$AM79))
) / 1000</f>
        <v>0</v>
      </c>
      <c r="CU79" s="231">
        <f t="shared" si="39"/>
        <v>20</v>
      </c>
      <c r="CV79" s="229">
        <f t="shared" si="40"/>
        <v>33</v>
      </c>
      <c r="CW79" s="234">
        <f t="shared" si="41"/>
        <v>4.8487499999999999</v>
      </c>
      <c r="CX79" s="234" cm="1">
        <f t="array" ref="CX79">$BM79 * IF($AH79&lt;=2,
SUMPRODUCT(INDEX($AV$61:$AX$65,,$AI79), INDEX($AY$61:$BE$65,,$AH79), 1 / ($BF$61:$BF$65*CW79 + (1-$BF$61:$BF$65)*CS79), N($AU$61:$AU$65&gt;$AM79)),
SUMPRODUCT(INDEX($AV$46:$AX$55,,$AI79), INDEX($AY$46:$BE$55,,$AH79), 1 / ($BG$46:$BG$55*CW79 + (1-$BG$46:$BG$55)*CS79), N($AU$46:$AU$55&gt;$AM79))
) / 1000</f>
        <v>0</v>
      </c>
      <c r="CY79" s="234" cm="1">
        <f t="array" ref="CY79">$BM79 * IF($AH79&lt;=2,
SUMPRODUCT(INDEX($AV$22:$AX$60,,$AI79), INDEX($AY$22:$BE$60,,$AH79), 1 / ($BF$22:$BF$60*CW79), N($AU$22:$AU$60&gt;$AM79)),
SUMPRODUCT(INDEX($AV$22:$AX$45,,$AI79), INDEX($AY$22:$BE$45,,$AH79), 1 / ($BG$22:$BG$45*CW79), N($AU$22:$AU$45&gt;$AM79))
) / 1000</f>
        <v>0</v>
      </c>
      <c r="CZ79" s="229">
        <f t="shared" si="42"/>
        <v>0</v>
      </c>
      <c r="DA79" s="246"/>
    </row>
    <row r="80" spans="1:105" s="75" customFormat="1" ht="14.25" customHeight="1" x14ac:dyDescent="0.25">
      <c r="A80" s="230" t="b">
        <f t="shared" si="0"/>
        <v>0</v>
      </c>
      <c r="B80" s="253">
        <v>59</v>
      </c>
      <c r="C80" s="266"/>
      <c r="D80" s="266"/>
      <c r="E80" s="254"/>
      <c r="F80" s="255" t="str">
        <f>IF(ISBLANK(E80), "", VLOOKUP(E80, Z!$A$2:$C$4127, 3, FALSE))</f>
        <v/>
      </c>
      <c r="G80" s="256"/>
      <c r="H80" s="256"/>
      <c r="I80" s="256"/>
      <c r="J80" s="257"/>
      <c r="K80" s="258"/>
      <c r="L80" s="267"/>
      <c r="M80" s="268"/>
      <c r="N80" s="259" t="str" cm="1">
        <f t="array" ref="N80">IF($L80&gt;0, INDEX(Clean,1+AK80,$D$1), "")</f>
        <v/>
      </c>
      <c r="O80" s="260"/>
      <c r="P80" s="260"/>
      <c r="Q80" s="261"/>
      <c r="R80" s="264">
        <f t="shared" si="7"/>
        <v>0</v>
      </c>
      <c r="S80" s="259" t="str" cm="1">
        <f t="array" ref="S80">IF($L80&gt;0, INDEX(Clean,1+AL80,$D$1), "")</f>
        <v/>
      </c>
      <c r="T80" s="260"/>
      <c r="U80" s="260"/>
      <c r="V80" s="261"/>
      <c r="W80" s="267"/>
      <c r="X80" s="267"/>
      <c r="Y80" s="257"/>
      <c r="Z80" s="264">
        <f t="shared" si="8"/>
        <v>0</v>
      </c>
      <c r="AA80" s="269"/>
      <c r="AB80" s="266"/>
      <c r="AC80" s="254"/>
      <c r="AD80" s="255" t="str">
        <f>IF(ISBLANK(AC80), "", VLOOKUP(AC80, Z!$A$2:$C$4127, 3, FALSE))</f>
        <v/>
      </c>
      <c r="AE80" s="270"/>
      <c r="AF80" s="265">
        <f t="shared" si="9"/>
        <v>0</v>
      </c>
      <c r="AG80" s="246"/>
      <c r="AH80" s="228">
        <f t="shared" ref="AH80" si="267">IF(ISBLANK(I80), 1, IFERROR(MATCH(I80, INDEX(Use,,1), 0), IFERROR(MATCH(I80, INDEX(Use,,2), 0), MATCH(I80, INDEX(Use,,3), 0))))</f>
        <v>1</v>
      </c>
      <c r="AI80" s="228">
        <f t="shared" ref="AI80" si="268">IF(ISBLANK(H80), 1, IFERROR(MATCH(H80, INDEX(Loc,,1), 0), IFERROR(MATCH(H80, INDEX(Loc,,2), 0), MATCH(H80, INDEX(Loc,,3), 0))))</f>
        <v>1</v>
      </c>
      <c r="AJ80" s="228">
        <f t="shared" ref="AJ80" si="269">_xlfn.IFNA(IF(IFERROR(MATCH(J80, INDEX(Medium,,1), 0), IFERROR(MATCH(J80, INDEX(Medium,,2), 0), MATCH(J80, INDEX(Medium,,3), 0))) = 2, 1, 0), 0)</f>
        <v>0</v>
      </c>
      <c r="AK80" s="228">
        <v>0</v>
      </c>
      <c r="AL80" s="228">
        <v>0</v>
      </c>
      <c r="AM80" s="228">
        <f t="shared" si="4"/>
        <v>-100</v>
      </c>
      <c r="AN80" s="228" cm="1">
        <f t="array" ref="AN80">IF(ISBLANK(G80), 1, IFERROR(MATCH(G80, INDEX(Kat,,1), 0), IFERROR(MATCH(Kat, INDEX(Use,,2), 0), MATCH(Kat, INDEX(Use,,3), 0))))</f>
        <v>1</v>
      </c>
      <c r="AO80" s="246"/>
      <c r="AP80" s="228" cm="1">
        <f t="array" ref="AP80">IF(W80&gt;0, INDEX(Kat, AN80,4), 0)</f>
        <v>0</v>
      </c>
      <c r="AQ80" s="228">
        <f t="shared" ref="AQ80" si="270">IF(ISBLANK(Y80), 0, IFERROR(MATCH(Y80, INDEX(Month,,1), 0), IFERROR(MATCH(Y80, INDEX(Month,,2), 0), MATCH(Y80, INDEX(Month,,3), 0))))</f>
        <v>0</v>
      </c>
      <c r="AR80" s="228" cm="1">
        <f t="array" ref="AR80">IF(X80&gt;0, INDEX(Kat, $AN80, 4+AQ80), 0)</f>
        <v>0</v>
      </c>
      <c r="AS80" s="228" cm="1">
        <f t="array" ref="AS80">IF(X80&gt;0, INDEX(Kat, $AN80, 9+AQ80), 0)</f>
        <v>0</v>
      </c>
      <c r="AT80" s="246"/>
      <c r="AU80" s="228">
        <v>39</v>
      </c>
      <c r="AV80" s="231">
        <v>0</v>
      </c>
      <c r="AW80" s="231">
        <v>0</v>
      </c>
      <c r="AX80" s="231">
        <v>0</v>
      </c>
      <c r="AY80" s="232">
        <f t="shared" si="6"/>
        <v>1.25</v>
      </c>
      <c r="AZ80" s="232">
        <f t="shared" si="6"/>
        <v>1.25</v>
      </c>
      <c r="BA80" s="232" t="e" cm="1">
        <f t="array" ref="BA80">MIN(INDEX(Use,BA$20,5) + MAX(0, (1-INDEX(Use,BA$20,5))*($AU80-5)/(35-5)), 1)</f>
        <v>#REF!</v>
      </c>
      <c r="BB80" s="232" t="e" cm="1">
        <f t="array" ref="BB80">MIN(INDEX(Use,BB$20,5) + MAX(0, (1-INDEX(Use,BB$20,5))*($AU80-5)/(35-5)), 1)</f>
        <v>#REF!</v>
      </c>
      <c r="BC80" s="232" t="e" cm="1">
        <f t="array" ref="BC80">MIN(INDEX(Use,BC$20,5) + MAX(0, (1-INDEX(Use,BC$20,5))*($AU80-5)/(35-5)), 1)</f>
        <v>#REF!</v>
      </c>
      <c r="BD80" s="232" t="e" cm="1">
        <f t="array" ref="BD80">MIN(INDEX(Use,BD$20,5) + MAX(0, (1-INDEX(Use,BD$20,5))*($AU80-5)/(35-5)), 1)</f>
        <v>#REF!</v>
      </c>
      <c r="BE80" s="232" t="e" cm="1">
        <f t="array" ref="BE80">MIN(INDEX(Use,BE$20,5) + MAX(0, (1-INDEX(Use,BE$20,5))*($AU80-5)/(35-5)), 1)</f>
        <v>#REF!</v>
      </c>
      <c r="BF80" s="232" t="s">
        <v>2</v>
      </c>
      <c r="BG80" s="232" t="s">
        <v>2</v>
      </c>
      <c r="BH80" s="210"/>
      <c r="BI80" s="228" cm="1">
        <f t="array" ref="BI80">INDEX(Use, $AH80, 4)</f>
        <v>7</v>
      </c>
      <c r="BJ80" s="228">
        <f t="shared" si="14"/>
        <v>32</v>
      </c>
      <c r="BK80" s="228">
        <f t="shared" si="15"/>
        <v>13</v>
      </c>
      <c r="BL80" s="228">
        <f t="shared" si="16"/>
        <v>0</v>
      </c>
      <c r="BM80" s="233" cm="1">
        <f t="array" ref="BM80">L80/IF($M80&gt;0, INDEX($AY$22:$BE$76, $M80+20, $AH80), 1)</f>
        <v>0</v>
      </c>
      <c r="BN80" s="229">
        <f t="shared" si="17"/>
        <v>0</v>
      </c>
      <c r="BO80" s="228">
        <v>35</v>
      </c>
      <c r="BP80" s="229">
        <f t="shared" si="18"/>
        <v>48</v>
      </c>
      <c r="BQ80" s="234">
        <f t="shared" si="19"/>
        <v>3.0748170731707316</v>
      </c>
      <c r="BR80" s="234" cm="1">
        <f t="array" ref="BR80">$BM80 * SUMPRODUCT(INDEX($AV$76:$AX$81,,$AI80),INDEX($AY$76:$BE$81,,$AH80), N($AU$76:$AU$81&gt;$AM80)) / BQ80 / 1000</f>
        <v>0</v>
      </c>
      <c r="BS80" s="231">
        <f t="shared" si="20"/>
        <v>30</v>
      </c>
      <c r="BT80" s="229">
        <f t="shared" si="21"/>
        <v>43</v>
      </c>
      <c r="BU80" s="234">
        <f t="shared" si="22"/>
        <v>3.5018750000000001</v>
      </c>
      <c r="BV80" s="234" cm="1">
        <f t="array" ref="BV80">$BM80 * IF($AH80&lt;=2,
SUMPRODUCT(INDEX($AV$71:$AX$75,,$AI80), INDEX($AY$71:$BE$75,,$AH80), 1 / ($BF$71:$BF$75*BU80 + (1-$BF$71:$BF$75)*BQ80), N($AU$71:$AU$75&gt;$AM80)),
SUMPRODUCT(INDEX($AV$66:$AX$75,,$AI80), INDEX($AY$66:$BE$75,,$AH80), 1 / ($BG$66:$BG$75*BU80 + (1-$BG$66:$BG$75)*BQ80), N($AU$66:$AU$75&gt;$AM80))
) / 1000</f>
        <v>0</v>
      </c>
      <c r="BW80" s="231">
        <f t="shared" si="23"/>
        <v>25</v>
      </c>
      <c r="BX80" s="229">
        <f t="shared" si="24"/>
        <v>38</v>
      </c>
      <c r="BY80" s="234">
        <f t="shared" si="25"/>
        <v>4.0666935483870965</v>
      </c>
      <c r="BZ80" s="234" cm="1">
        <f t="array" ref="BZ80">$BM80 * IF($AH80&lt;=2,
SUMPRODUCT(INDEX($AV$66:$AX$70,,$AI80), INDEX($AY$66:$BE$70,,$AH80), 1 / ($BF$66:$BF$70*BY80 + (1-$BF$66:$BF$70)*BU80), N($AU$66:$AU$70&gt;$AM80)),
SUMPRODUCT(INDEX($AV$56:$AX$65,,$AI80), INDEX($AY$56:$BE$65,,$AH80), 1 / ($BG$56:$BG$65*BY80 + (1-$BG$56:$BG$65)*BU80), N($AU$56:$AU$65&gt;$AM80))
) / 1000</f>
        <v>0</v>
      </c>
      <c r="CA80" s="231">
        <f t="shared" si="26"/>
        <v>20</v>
      </c>
      <c r="CB80" s="229">
        <f t="shared" si="27"/>
        <v>33</v>
      </c>
      <c r="CC80" s="234">
        <f t="shared" si="28"/>
        <v>4.8487499999999999</v>
      </c>
      <c r="CD80" s="234" cm="1">
        <f t="array" ref="CD80">$BM80 * IF($AH80&lt;=2,
SUMPRODUCT(INDEX($AV$61:$AX$65,,$AI80), INDEX($AY$61:$BE$65,,$AH80), 1 / ($BF$61:$BF$65*CC80 + (1-$BF$61:$BF$65)*BY80), N($AU$61:$AU$65&gt;$AM80)),
SUMPRODUCT(INDEX($AV$46:$AX$55,,$AI80), INDEX($AY$46:$BE$55,,$AH80), 1 / ($BG$46:$BG$55*CC80 + (1-$BG$46:$BG$55)*BY80), N($AU$46:$AU$55&gt;$AM80))
) / 1000</f>
        <v>0</v>
      </c>
      <c r="CE80" s="234" cm="1">
        <f t="array" ref="CE80">$BM80 * IF($AH80&lt;=2,
SUMPRODUCT(INDEX($AV$22:$AX$60,,$AI80), INDEX($AY$22:$BE$60,,$AH80), 1 / ($BF$22:$BF$60*CC80), N($AU$22:$AU$60&gt;$AM80)),
SUMPRODUCT(INDEX($AV$22:$AX$45,,$AI80), INDEX($AY$22:$BE$45,,$AH80), 1 / ($BG$22:$BG$45*CC80), N($AU$22:$AU$45&gt;$AM80))
) / 1000</f>
        <v>0</v>
      </c>
      <c r="CF80" s="229">
        <f t="shared" si="29"/>
        <v>0</v>
      </c>
      <c r="CG80" s="246"/>
      <c r="CH80" s="229">
        <f t="shared" si="30"/>
        <v>0</v>
      </c>
      <c r="CI80" s="228">
        <v>35</v>
      </c>
      <c r="CJ80" s="229">
        <f t="shared" si="31"/>
        <v>48</v>
      </c>
      <c r="CK80" s="234">
        <f t="shared" si="32"/>
        <v>3.0748170731707316</v>
      </c>
      <c r="CL80" s="234" cm="1">
        <f t="array" ref="CL80">$BM80 * SUMPRODUCT(INDEX($AV$76:$AX$81,,$AI80),INDEX($AY$76:$BE$81,,$AH80), N($AU$76:$AU$81&gt;$AM80)) / CK80 / 1000</f>
        <v>0</v>
      </c>
      <c r="CM80" s="231">
        <f t="shared" si="33"/>
        <v>30</v>
      </c>
      <c r="CN80" s="229">
        <f t="shared" si="34"/>
        <v>43</v>
      </c>
      <c r="CO80" s="234">
        <f t="shared" si="35"/>
        <v>3.5018750000000001</v>
      </c>
      <c r="CP80" s="234" cm="1">
        <f t="array" ref="CP80">$BM80 * IF($AH80&lt;=2,
SUMPRODUCT(INDEX($AV$71:$AX$75,,$AI80), INDEX($AY$71:$BE$75,,$AH80), 1 / ($BF$71:$BF$75*CO80 + (1-$BF$71:$BF$75)*CK80), N($AU$71:$AU$75&gt;$AM80)),
SUMPRODUCT(INDEX($AV$66:$AX$75,,$AI80), INDEX($AY$66:$BE$75,,$AH80), 1 / ($BG$66:$BG$75*CO80 + (1-$BG$66:$BG$75)*CK80), N($AU$66:$AU$75&gt;$AM80))
) / 1000</f>
        <v>0</v>
      </c>
      <c r="CQ80" s="231">
        <f t="shared" si="36"/>
        <v>25</v>
      </c>
      <c r="CR80" s="229">
        <f t="shared" si="37"/>
        <v>38</v>
      </c>
      <c r="CS80" s="234">
        <f t="shared" si="38"/>
        <v>4.0666935483870965</v>
      </c>
      <c r="CT80" s="234" cm="1">
        <f t="array" ref="CT80">$BM80 * IF($AH80&lt;=2,
SUMPRODUCT(INDEX($AV$66:$AX$70,,$AI80), INDEX($AY$66:$BE$70,,$AH80), 1 / ($BF$66:$BF$70*CS80 + (1-$BF$66:$BF$70)*CO80), N($AU$66:$AU$70&gt;$AM80)),
SUMPRODUCT(INDEX($AV$56:$AX$65,,$AI80), INDEX($AY$56:$BE$65,,$AH80), 1 / ($BG$56:$BG$65*CS80 + (1-$BG$56:$BG$65)*CO80), N($AU$56:$AU$65&gt;$AM80))
) / 1000</f>
        <v>0</v>
      </c>
      <c r="CU80" s="231">
        <f t="shared" si="39"/>
        <v>20</v>
      </c>
      <c r="CV80" s="229">
        <f t="shared" si="40"/>
        <v>33</v>
      </c>
      <c r="CW80" s="234">
        <f t="shared" si="41"/>
        <v>4.8487499999999999</v>
      </c>
      <c r="CX80" s="234" cm="1">
        <f t="array" ref="CX80">$BM80 * IF($AH80&lt;=2,
SUMPRODUCT(INDEX($AV$61:$AX$65,,$AI80), INDEX($AY$61:$BE$65,,$AH80), 1 / ($BF$61:$BF$65*CW80 + (1-$BF$61:$BF$65)*CS80), N($AU$61:$AU$65&gt;$AM80)),
SUMPRODUCT(INDEX($AV$46:$AX$55,,$AI80), INDEX($AY$46:$BE$55,,$AH80), 1 / ($BG$46:$BG$55*CW80 + (1-$BG$46:$BG$55)*CS80), N($AU$46:$AU$55&gt;$AM80))
) / 1000</f>
        <v>0</v>
      </c>
      <c r="CY80" s="234" cm="1">
        <f t="array" ref="CY80">$BM80 * IF($AH80&lt;=2,
SUMPRODUCT(INDEX($AV$22:$AX$60,,$AI80), INDEX($AY$22:$BE$60,,$AH80), 1 / ($BF$22:$BF$60*CW80), N($AU$22:$AU$60&gt;$AM80)),
SUMPRODUCT(INDEX($AV$22:$AX$45,,$AI80), INDEX($AY$22:$BE$45,,$AH80), 1 / ($BG$22:$BG$45*CW80), N($AU$22:$AU$45&gt;$AM80))
) / 1000</f>
        <v>0</v>
      </c>
      <c r="CZ80" s="229">
        <f t="shared" si="42"/>
        <v>0</v>
      </c>
      <c r="DA80" s="246"/>
    </row>
    <row r="81" spans="1:105" s="75" customFormat="1" ht="14.25" customHeight="1" x14ac:dyDescent="0.25">
      <c r="A81" s="230" t="b">
        <f t="shared" si="0"/>
        <v>0</v>
      </c>
      <c r="B81" s="253">
        <v>60</v>
      </c>
      <c r="C81" s="266"/>
      <c r="D81" s="266"/>
      <c r="E81" s="254"/>
      <c r="F81" s="255" t="str">
        <f>IF(ISBLANK(E81), "", VLOOKUP(E81, Z!$A$2:$C$4127, 3, FALSE))</f>
        <v/>
      </c>
      <c r="G81" s="256"/>
      <c r="H81" s="256"/>
      <c r="I81" s="256"/>
      <c r="J81" s="257"/>
      <c r="K81" s="258"/>
      <c r="L81" s="267"/>
      <c r="M81" s="268"/>
      <c r="N81" s="259" t="str" cm="1">
        <f t="array" ref="N81">IF($L81&gt;0, INDEX(Clean,1+AK81,$D$1), "")</f>
        <v/>
      </c>
      <c r="O81" s="260"/>
      <c r="P81" s="260"/>
      <c r="Q81" s="261"/>
      <c r="R81" s="264">
        <f t="shared" si="7"/>
        <v>0</v>
      </c>
      <c r="S81" s="259" t="str" cm="1">
        <f t="array" ref="S81">IF($L81&gt;0, INDEX(Clean,1+AL81,$D$1), "")</f>
        <v/>
      </c>
      <c r="T81" s="260"/>
      <c r="U81" s="260"/>
      <c r="V81" s="261"/>
      <c r="W81" s="267"/>
      <c r="X81" s="267"/>
      <c r="Y81" s="257"/>
      <c r="Z81" s="264">
        <f t="shared" si="8"/>
        <v>0</v>
      </c>
      <c r="AA81" s="269"/>
      <c r="AB81" s="266"/>
      <c r="AC81" s="254"/>
      <c r="AD81" s="255" t="str">
        <f>IF(ISBLANK(AC81), "", VLOOKUP(AC81, Z!$A$2:$C$4127, 3, FALSE))</f>
        <v/>
      </c>
      <c r="AE81" s="270"/>
      <c r="AF81" s="265">
        <f t="shared" si="9"/>
        <v>0</v>
      </c>
      <c r="AG81" s="246"/>
      <c r="AH81" s="228">
        <f t="shared" ref="AH81" si="271">IF(ISBLANK(I81), 1, IFERROR(MATCH(I81, INDEX(Use,,1), 0), IFERROR(MATCH(I81, INDEX(Use,,2), 0), MATCH(I81, INDEX(Use,,3), 0))))</f>
        <v>1</v>
      </c>
      <c r="AI81" s="228">
        <f t="shared" ref="AI81" si="272">IF(ISBLANK(H81), 1, IFERROR(MATCH(H81, INDEX(Loc,,1), 0), IFERROR(MATCH(H81, INDEX(Loc,,2), 0), MATCH(H81, INDEX(Loc,,3), 0))))</f>
        <v>1</v>
      </c>
      <c r="AJ81" s="228">
        <f t="shared" ref="AJ81" si="273">_xlfn.IFNA(IF(IFERROR(MATCH(J81, INDEX(Medium,,1), 0), IFERROR(MATCH(J81, INDEX(Medium,,2), 0), MATCH(J81, INDEX(Medium,,3), 0))) = 2, 1, 0), 0)</f>
        <v>0</v>
      </c>
      <c r="AK81" s="228">
        <v>0</v>
      </c>
      <c r="AL81" s="228">
        <v>0</v>
      </c>
      <c r="AM81" s="228">
        <f t="shared" si="4"/>
        <v>-100</v>
      </c>
      <c r="AN81" s="228" cm="1">
        <f t="array" ref="AN81">IF(ISBLANK(G81), 1, IFERROR(MATCH(G81, INDEX(Kat,,1), 0), IFERROR(MATCH(Kat, INDEX(Use,,2), 0), MATCH(Kat, INDEX(Use,,3), 0))))</f>
        <v>1</v>
      </c>
      <c r="AO81" s="246"/>
      <c r="AP81" s="228" cm="1">
        <f t="array" ref="AP81">IF(W81&gt;0, INDEX(Kat, AN81,4), 0)</f>
        <v>0</v>
      </c>
      <c r="AQ81" s="228">
        <f t="shared" ref="AQ81" si="274">IF(ISBLANK(Y81), 0, IFERROR(MATCH(Y81, INDEX(Month,,1), 0), IFERROR(MATCH(Y81, INDEX(Month,,2), 0), MATCH(Y81, INDEX(Month,,3), 0))))</f>
        <v>0</v>
      </c>
      <c r="AR81" s="228" cm="1">
        <f t="array" ref="AR81">IF(X81&gt;0, INDEX(Kat, $AN81, 4+AQ81), 0)</f>
        <v>0</v>
      </c>
      <c r="AS81" s="228" cm="1">
        <f t="array" ref="AS81">IF(X81&gt;0, INDEX(Kat, $AN81, 9+AQ81), 0)</f>
        <v>0</v>
      </c>
      <c r="AT81" s="246"/>
      <c r="AU81" s="228">
        <v>40</v>
      </c>
      <c r="AV81" s="231">
        <v>0</v>
      </c>
      <c r="AW81" s="231">
        <v>0</v>
      </c>
      <c r="AX81" s="231">
        <v>0</v>
      </c>
      <c r="AY81" s="232">
        <f>MAX(0, ($AU81-19)/(35-19))</f>
        <v>1.3125</v>
      </c>
      <c r="AZ81" s="232">
        <f>MAX(0, ($AU81-19)/(35-19))</f>
        <v>1.3125</v>
      </c>
      <c r="BA81" s="232" t="e" cm="1">
        <f t="array" ref="BA81">MIN(INDEX(Use,BA$20,5) + MAX(0, (1-INDEX(Use,BA$20,5))*($AU81-5)/(35-5)), 1)</f>
        <v>#REF!</v>
      </c>
      <c r="BB81" s="232" t="e" cm="1">
        <f t="array" ref="BB81">MIN(INDEX(Use,BB$20,5) + MAX(0, (1-INDEX(Use,BB$20,5))*($AU81-5)/(35-5)), 1)</f>
        <v>#REF!</v>
      </c>
      <c r="BC81" s="232" t="e" cm="1">
        <f t="array" ref="BC81">MIN(INDEX(Use,BC$20,5) + MAX(0, (1-INDEX(Use,BC$20,5))*($AU81-5)/(35-5)), 1)</f>
        <v>#REF!</v>
      </c>
      <c r="BD81" s="232" t="e" cm="1">
        <f t="array" ref="BD81">MIN(INDEX(Use,BD$20,5) + MAX(0, (1-INDEX(Use,BD$20,5))*($AU81-5)/(35-5)), 1)</f>
        <v>#REF!</v>
      </c>
      <c r="BE81" s="232" t="e" cm="1">
        <f t="array" ref="BE81">MIN(INDEX(Use,BE$20,5) + MAX(0, (1-INDEX(Use,BE$20,5))*($AU81-5)/(35-5)), 1)</f>
        <v>#REF!</v>
      </c>
      <c r="BF81" s="232" t="s">
        <v>2</v>
      </c>
      <c r="BG81" s="232" t="s">
        <v>2</v>
      </c>
      <c r="BH81" s="210"/>
      <c r="BI81" s="228" cm="1">
        <f t="array" ref="BI81">INDEX(Use, $AH81, 4)</f>
        <v>7</v>
      </c>
      <c r="BJ81" s="228">
        <f t="shared" si="14"/>
        <v>32</v>
      </c>
      <c r="BK81" s="228">
        <f t="shared" si="15"/>
        <v>13</v>
      </c>
      <c r="BL81" s="228">
        <f t="shared" si="16"/>
        <v>0</v>
      </c>
      <c r="BM81" s="233" cm="1">
        <f t="array" ref="BM81">L81/IF($M81&gt;0, INDEX($AY$22:$BE$76, $M81+20, $AH81), 1)</f>
        <v>0</v>
      </c>
      <c r="BN81" s="229">
        <f t="shared" si="17"/>
        <v>0</v>
      </c>
      <c r="BO81" s="228">
        <v>35</v>
      </c>
      <c r="BP81" s="229">
        <f t="shared" si="18"/>
        <v>48</v>
      </c>
      <c r="BQ81" s="234">
        <f t="shared" si="19"/>
        <v>3.0748170731707316</v>
      </c>
      <c r="BR81" s="234" cm="1">
        <f t="array" ref="BR81">$BM81 * SUMPRODUCT(INDEX($AV$76:$AX$81,,$AI81),INDEX($AY$76:$BE$81,,$AH81), N($AU$76:$AU$81&gt;$AM81)) / BQ81 / 1000</f>
        <v>0</v>
      </c>
      <c r="BS81" s="231">
        <f t="shared" si="20"/>
        <v>30</v>
      </c>
      <c r="BT81" s="229">
        <f t="shared" si="21"/>
        <v>43</v>
      </c>
      <c r="BU81" s="234">
        <f t="shared" si="22"/>
        <v>3.5018750000000001</v>
      </c>
      <c r="BV81" s="234" cm="1">
        <f t="array" ref="BV81">$BM81 * IF($AH81&lt;=2,
SUMPRODUCT(INDEX($AV$71:$AX$75,,$AI81), INDEX($AY$71:$BE$75,,$AH81), 1 / ($BF$71:$BF$75*BU81 + (1-$BF$71:$BF$75)*BQ81), N($AU$71:$AU$75&gt;$AM81)),
SUMPRODUCT(INDEX($AV$66:$AX$75,,$AI81), INDEX($AY$66:$BE$75,,$AH81), 1 / ($BG$66:$BG$75*BU81 + (1-$BG$66:$BG$75)*BQ81), N($AU$66:$AU$75&gt;$AM81))
) / 1000</f>
        <v>0</v>
      </c>
      <c r="BW81" s="231">
        <f t="shared" si="23"/>
        <v>25</v>
      </c>
      <c r="BX81" s="229">
        <f t="shared" si="24"/>
        <v>38</v>
      </c>
      <c r="BY81" s="234">
        <f t="shared" si="25"/>
        <v>4.0666935483870965</v>
      </c>
      <c r="BZ81" s="234" cm="1">
        <f t="array" ref="BZ81">$BM81 * IF($AH81&lt;=2,
SUMPRODUCT(INDEX($AV$66:$AX$70,,$AI81), INDEX($AY$66:$BE$70,,$AH81), 1 / ($BF$66:$BF$70*BY81 + (1-$BF$66:$BF$70)*BU81), N($AU$66:$AU$70&gt;$AM81)),
SUMPRODUCT(INDEX($AV$56:$AX$65,,$AI81), INDEX($AY$56:$BE$65,,$AH81), 1 / ($BG$56:$BG$65*BY81 + (1-$BG$56:$BG$65)*BU81), N($AU$56:$AU$65&gt;$AM81))
) / 1000</f>
        <v>0</v>
      </c>
      <c r="CA81" s="231">
        <f t="shared" si="26"/>
        <v>20</v>
      </c>
      <c r="CB81" s="229">
        <f t="shared" si="27"/>
        <v>33</v>
      </c>
      <c r="CC81" s="234">
        <f t="shared" si="28"/>
        <v>4.8487499999999999</v>
      </c>
      <c r="CD81" s="234" cm="1">
        <f t="array" ref="CD81">$BM81 * IF($AH81&lt;=2,
SUMPRODUCT(INDEX($AV$61:$AX$65,,$AI81), INDEX($AY$61:$BE$65,,$AH81), 1 / ($BF$61:$BF$65*CC81 + (1-$BF$61:$BF$65)*BY81), N($AU$61:$AU$65&gt;$AM81)),
SUMPRODUCT(INDEX($AV$46:$AX$55,,$AI81), INDEX($AY$46:$BE$55,,$AH81), 1 / ($BG$46:$BG$55*CC81 + (1-$BG$46:$BG$55)*BY81), N($AU$46:$AU$55&gt;$AM81))
) / 1000</f>
        <v>0</v>
      </c>
      <c r="CE81" s="234" cm="1">
        <f t="array" ref="CE81">$BM81 * IF($AH81&lt;=2,
SUMPRODUCT(INDEX($AV$22:$AX$60,,$AI81), INDEX($AY$22:$BE$60,,$AH81), 1 / ($BF$22:$BF$60*CC81), N($AU$22:$AU$60&gt;$AM81)),
SUMPRODUCT(INDEX($AV$22:$AX$45,,$AI81), INDEX($AY$22:$BE$45,,$AH81), 1 / ($BG$22:$BG$45*CC81), N($AU$22:$AU$45&gt;$AM81))
) / 1000</f>
        <v>0</v>
      </c>
      <c r="CF81" s="229">
        <f t="shared" si="29"/>
        <v>0</v>
      </c>
      <c r="CG81" s="246"/>
      <c r="CH81" s="229">
        <f t="shared" si="30"/>
        <v>0</v>
      </c>
      <c r="CI81" s="228">
        <v>35</v>
      </c>
      <c r="CJ81" s="229">
        <f t="shared" si="31"/>
        <v>48</v>
      </c>
      <c r="CK81" s="234">
        <f t="shared" si="32"/>
        <v>3.0748170731707316</v>
      </c>
      <c r="CL81" s="234" cm="1">
        <f t="array" ref="CL81">$BM81 * SUMPRODUCT(INDEX($AV$76:$AX$81,,$AI81),INDEX($AY$76:$BE$81,,$AH81), N($AU$76:$AU$81&gt;$AM81)) / CK81 / 1000</f>
        <v>0</v>
      </c>
      <c r="CM81" s="231">
        <f t="shared" si="33"/>
        <v>30</v>
      </c>
      <c r="CN81" s="229">
        <f t="shared" si="34"/>
        <v>43</v>
      </c>
      <c r="CO81" s="234">
        <f t="shared" si="35"/>
        <v>3.5018750000000001</v>
      </c>
      <c r="CP81" s="234" cm="1">
        <f t="array" ref="CP81">$BM81 * IF($AH81&lt;=2,
SUMPRODUCT(INDEX($AV$71:$AX$75,,$AI81), INDEX($AY$71:$BE$75,,$AH81), 1 / ($BF$71:$BF$75*CO81 + (1-$BF$71:$BF$75)*CK81), N($AU$71:$AU$75&gt;$AM81)),
SUMPRODUCT(INDEX($AV$66:$AX$75,,$AI81), INDEX($AY$66:$BE$75,,$AH81), 1 / ($BG$66:$BG$75*CO81 + (1-$BG$66:$BG$75)*CK81), N($AU$66:$AU$75&gt;$AM81))
) / 1000</f>
        <v>0</v>
      </c>
      <c r="CQ81" s="231">
        <f t="shared" si="36"/>
        <v>25</v>
      </c>
      <c r="CR81" s="229">
        <f t="shared" si="37"/>
        <v>38</v>
      </c>
      <c r="CS81" s="234">
        <f t="shared" si="38"/>
        <v>4.0666935483870965</v>
      </c>
      <c r="CT81" s="234" cm="1">
        <f t="array" ref="CT81">$BM81 * IF($AH81&lt;=2,
SUMPRODUCT(INDEX($AV$66:$AX$70,,$AI81), INDEX($AY$66:$BE$70,,$AH81), 1 / ($BF$66:$BF$70*CS81 + (1-$BF$66:$BF$70)*CO81), N($AU$66:$AU$70&gt;$AM81)),
SUMPRODUCT(INDEX($AV$56:$AX$65,,$AI81), INDEX($AY$56:$BE$65,,$AH81), 1 / ($BG$56:$BG$65*CS81 + (1-$BG$56:$BG$65)*CO81), N($AU$56:$AU$65&gt;$AM81))
) / 1000</f>
        <v>0</v>
      </c>
      <c r="CU81" s="231">
        <f t="shared" si="39"/>
        <v>20</v>
      </c>
      <c r="CV81" s="229">
        <f t="shared" si="40"/>
        <v>33</v>
      </c>
      <c r="CW81" s="234">
        <f t="shared" si="41"/>
        <v>4.8487499999999999</v>
      </c>
      <c r="CX81" s="234" cm="1">
        <f t="array" ref="CX81">$BM81 * IF($AH81&lt;=2,
SUMPRODUCT(INDEX($AV$61:$AX$65,,$AI81), INDEX($AY$61:$BE$65,,$AH81), 1 / ($BF$61:$BF$65*CW81 + (1-$BF$61:$BF$65)*CS81), N($AU$61:$AU$65&gt;$AM81)),
SUMPRODUCT(INDEX($AV$46:$AX$55,,$AI81), INDEX($AY$46:$BE$55,,$AH81), 1 / ($BG$46:$BG$55*CW81 + (1-$BG$46:$BG$55)*CS81), N($AU$46:$AU$55&gt;$AM81))
) / 1000</f>
        <v>0</v>
      </c>
      <c r="CY81" s="234" cm="1">
        <f t="array" ref="CY81">$BM81 * IF($AH81&lt;=2,
SUMPRODUCT(INDEX($AV$22:$AX$60,,$AI81), INDEX($AY$22:$BE$60,,$AH81), 1 / ($BF$22:$BF$60*CW81), N($AU$22:$AU$60&gt;$AM81)),
SUMPRODUCT(INDEX($AV$22:$AX$45,,$AI81), INDEX($AY$22:$BE$45,,$AH81), 1 / ($BG$22:$BG$45*CW81), N($AU$22:$AU$45&gt;$AM81))
) / 1000</f>
        <v>0</v>
      </c>
      <c r="CZ81" s="229">
        <f t="shared" si="42"/>
        <v>0</v>
      </c>
      <c r="DA81" s="246"/>
    </row>
    <row r="82" spans="1:105" s="75" customFormat="1" ht="14.25" customHeight="1" x14ac:dyDescent="0.25">
      <c r="A82" s="230" t="b">
        <f t="shared" si="0"/>
        <v>0</v>
      </c>
      <c r="B82" s="253">
        <v>61</v>
      </c>
      <c r="C82" s="266"/>
      <c r="D82" s="266"/>
      <c r="E82" s="254"/>
      <c r="F82" s="255" t="str">
        <f>IF(ISBLANK(E82), "", VLOOKUP(E82, Z!$A$2:$C$4127, 3, FALSE))</f>
        <v/>
      </c>
      <c r="G82" s="256"/>
      <c r="H82" s="256"/>
      <c r="I82" s="256"/>
      <c r="J82" s="257"/>
      <c r="K82" s="258"/>
      <c r="L82" s="267"/>
      <c r="M82" s="268"/>
      <c r="N82" s="259" t="str" cm="1">
        <f t="array" ref="N82">IF($L82&gt;0, INDEX(Clean,1+AK82,$D$1), "")</f>
        <v/>
      </c>
      <c r="O82" s="260"/>
      <c r="P82" s="260"/>
      <c r="Q82" s="261"/>
      <c r="R82" s="264">
        <f t="shared" si="7"/>
        <v>0</v>
      </c>
      <c r="S82" s="259" t="str" cm="1">
        <f t="array" ref="S82">IF($L82&gt;0, INDEX(Clean,1+AL82,$D$1), "")</f>
        <v/>
      </c>
      <c r="T82" s="260"/>
      <c r="U82" s="260"/>
      <c r="V82" s="261"/>
      <c r="W82" s="267"/>
      <c r="X82" s="267"/>
      <c r="Y82" s="257"/>
      <c r="Z82" s="264">
        <f t="shared" si="8"/>
        <v>0</v>
      </c>
      <c r="AA82" s="269"/>
      <c r="AB82" s="266"/>
      <c r="AC82" s="254"/>
      <c r="AD82" s="255" t="str">
        <f>IF(ISBLANK(AC82), "", VLOOKUP(AC82, Z!$A$2:$C$4127, 3, FALSE))</f>
        <v/>
      </c>
      <c r="AE82" s="270"/>
      <c r="AF82" s="265">
        <f t="shared" si="9"/>
        <v>0</v>
      </c>
      <c r="AG82" s="246"/>
      <c r="AH82" s="228">
        <f t="shared" ref="AH82" si="275">IF(ISBLANK(I82), 1, IFERROR(MATCH(I82, INDEX(Use,,1), 0), IFERROR(MATCH(I82, INDEX(Use,,2), 0), MATCH(I82, INDEX(Use,,3), 0))))</f>
        <v>1</v>
      </c>
      <c r="AI82" s="228">
        <f t="shared" ref="AI82" si="276">IF(ISBLANK(H82), 1, IFERROR(MATCH(H82, INDEX(Loc,,1), 0), IFERROR(MATCH(H82, INDEX(Loc,,2), 0), MATCH(H82, INDEX(Loc,,3), 0))))</f>
        <v>1</v>
      </c>
      <c r="AJ82" s="228">
        <f t="shared" ref="AJ82" si="277">_xlfn.IFNA(IF(IFERROR(MATCH(J82, INDEX(Medium,,1), 0), IFERROR(MATCH(J82, INDEX(Medium,,2), 0), MATCH(J82, INDEX(Medium,,3), 0))) = 2, 1, 0), 0)</f>
        <v>0</v>
      </c>
      <c r="AK82" s="228">
        <v>0</v>
      </c>
      <c r="AL82" s="228">
        <v>0</v>
      </c>
      <c r="AM82" s="228">
        <f t="shared" si="4"/>
        <v>-100</v>
      </c>
      <c r="AN82" s="228" cm="1">
        <f t="array" ref="AN82">IF(ISBLANK(G82), 1, IFERROR(MATCH(G82, INDEX(Kat,,1), 0), IFERROR(MATCH(Kat, INDEX(Use,,2), 0), MATCH(Kat, INDEX(Use,,3), 0))))</f>
        <v>1</v>
      </c>
      <c r="AO82" s="246"/>
      <c r="AP82" s="228" cm="1">
        <f t="array" ref="AP82">IF(W82&gt;0, INDEX(Kat, AN82,4), 0)</f>
        <v>0</v>
      </c>
      <c r="AQ82" s="228">
        <f t="shared" ref="AQ82" si="278">IF(ISBLANK(Y82), 0, IFERROR(MATCH(Y82, INDEX(Month,,1), 0), IFERROR(MATCH(Y82, INDEX(Month,,2), 0), MATCH(Y82, INDEX(Month,,3), 0))))</f>
        <v>0</v>
      </c>
      <c r="AR82" s="228" cm="1">
        <f t="array" ref="AR82">IF(X82&gt;0, INDEX(Kat, $AN82, 4+AQ82), 0)</f>
        <v>0</v>
      </c>
      <c r="AS82" s="228" cm="1">
        <f t="array" ref="AS82">IF(X82&gt;0, INDEX(Kat, $AN82, 9+AQ82), 0)</f>
        <v>0</v>
      </c>
      <c r="AT82" s="246"/>
      <c r="AU82" s="262"/>
      <c r="AV82" s="262"/>
      <c r="AW82" s="262"/>
      <c r="AX82" s="262"/>
      <c r="AY82" s="263"/>
      <c r="AZ82" s="263"/>
      <c r="BA82" s="263"/>
      <c r="BB82" s="263"/>
      <c r="BC82" s="263"/>
      <c r="BD82" s="263"/>
      <c r="BE82" s="263"/>
      <c r="BF82" s="263"/>
      <c r="BG82" s="263"/>
      <c r="BH82" s="210"/>
      <c r="BI82" s="228" cm="1">
        <f t="array" ref="BI82">INDEX(Use, $AH82, 4)</f>
        <v>7</v>
      </c>
      <c r="BJ82" s="228">
        <f t="shared" si="14"/>
        <v>32</v>
      </c>
      <c r="BK82" s="228">
        <f t="shared" si="15"/>
        <v>13</v>
      </c>
      <c r="BL82" s="228">
        <f t="shared" si="16"/>
        <v>0</v>
      </c>
      <c r="BM82" s="233" cm="1">
        <f t="array" ref="BM82">L82/IF($M82&gt;0, INDEX($AY$22:$BE$76, $M82+20, $AH82), 1)</f>
        <v>0</v>
      </c>
      <c r="BN82" s="229">
        <f t="shared" si="17"/>
        <v>0</v>
      </c>
      <c r="BO82" s="228">
        <v>35</v>
      </c>
      <c r="BP82" s="229">
        <f t="shared" si="18"/>
        <v>48</v>
      </c>
      <c r="BQ82" s="234">
        <f t="shared" si="19"/>
        <v>3.0748170731707316</v>
      </c>
      <c r="BR82" s="234" cm="1">
        <f t="array" ref="BR82">$BM82 * SUMPRODUCT(INDEX($AV$76:$AX$81,,$AI82),INDEX($AY$76:$BE$81,,$AH82), N($AU$76:$AU$81&gt;$AM82)) / BQ82 / 1000</f>
        <v>0</v>
      </c>
      <c r="BS82" s="231">
        <f t="shared" si="20"/>
        <v>30</v>
      </c>
      <c r="BT82" s="229">
        <f t="shared" si="21"/>
        <v>43</v>
      </c>
      <c r="BU82" s="234">
        <f t="shared" si="22"/>
        <v>3.5018750000000001</v>
      </c>
      <c r="BV82" s="234" cm="1">
        <f t="array" ref="BV82">$BM82 * IF($AH82&lt;=2,
SUMPRODUCT(INDEX($AV$71:$AX$75,,$AI82), INDEX($AY$71:$BE$75,,$AH82), 1 / ($BF$71:$BF$75*BU82 + (1-$BF$71:$BF$75)*BQ82), N($AU$71:$AU$75&gt;$AM82)),
SUMPRODUCT(INDEX($AV$66:$AX$75,,$AI82), INDEX($AY$66:$BE$75,,$AH82), 1 / ($BG$66:$BG$75*BU82 + (1-$BG$66:$BG$75)*BQ82), N($AU$66:$AU$75&gt;$AM82))
) / 1000</f>
        <v>0</v>
      </c>
      <c r="BW82" s="231">
        <f t="shared" si="23"/>
        <v>25</v>
      </c>
      <c r="BX82" s="229">
        <f t="shared" si="24"/>
        <v>38</v>
      </c>
      <c r="BY82" s="234">
        <f t="shared" si="25"/>
        <v>4.0666935483870965</v>
      </c>
      <c r="BZ82" s="234" cm="1">
        <f t="array" ref="BZ82">$BM82 * IF($AH82&lt;=2,
SUMPRODUCT(INDEX($AV$66:$AX$70,,$AI82), INDEX($AY$66:$BE$70,,$AH82), 1 / ($BF$66:$BF$70*BY82 + (1-$BF$66:$BF$70)*BU82), N($AU$66:$AU$70&gt;$AM82)),
SUMPRODUCT(INDEX($AV$56:$AX$65,,$AI82), INDEX($AY$56:$BE$65,,$AH82), 1 / ($BG$56:$BG$65*BY82 + (1-$BG$56:$BG$65)*BU82), N($AU$56:$AU$65&gt;$AM82))
) / 1000</f>
        <v>0</v>
      </c>
      <c r="CA82" s="231">
        <f t="shared" si="26"/>
        <v>20</v>
      </c>
      <c r="CB82" s="229">
        <f t="shared" si="27"/>
        <v>33</v>
      </c>
      <c r="CC82" s="234">
        <f t="shared" si="28"/>
        <v>4.8487499999999999</v>
      </c>
      <c r="CD82" s="234" cm="1">
        <f t="array" ref="CD82">$BM82 * IF($AH82&lt;=2,
SUMPRODUCT(INDEX($AV$61:$AX$65,,$AI82), INDEX($AY$61:$BE$65,,$AH82), 1 / ($BF$61:$BF$65*CC82 + (1-$BF$61:$BF$65)*BY82), N($AU$61:$AU$65&gt;$AM82)),
SUMPRODUCT(INDEX($AV$46:$AX$55,,$AI82), INDEX($AY$46:$BE$55,,$AH82), 1 / ($BG$46:$BG$55*CC82 + (1-$BG$46:$BG$55)*BY82), N($AU$46:$AU$55&gt;$AM82))
) / 1000</f>
        <v>0</v>
      </c>
      <c r="CE82" s="234" cm="1">
        <f t="array" ref="CE82">$BM82 * IF($AH82&lt;=2,
SUMPRODUCT(INDEX($AV$22:$AX$60,,$AI82), INDEX($AY$22:$BE$60,,$AH82), 1 / ($BF$22:$BF$60*CC82), N($AU$22:$AU$60&gt;$AM82)),
SUMPRODUCT(INDEX($AV$22:$AX$45,,$AI82), INDEX($AY$22:$BE$45,,$AH82), 1 / ($BG$22:$BG$45*CC82), N($AU$22:$AU$45&gt;$AM82))
) / 1000</f>
        <v>0</v>
      </c>
      <c r="CF82" s="229">
        <f t="shared" si="29"/>
        <v>0</v>
      </c>
      <c r="CG82" s="246"/>
      <c r="CH82" s="229">
        <f t="shared" si="30"/>
        <v>0</v>
      </c>
      <c r="CI82" s="228">
        <v>35</v>
      </c>
      <c r="CJ82" s="229">
        <f t="shared" si="31"/>
        <v>48</v>
      </c>
      <c r="CK82" s="234">
        <f t="shared" si="32"/>
        <v>3.0748170731707316</v>
      </c>
      <c r="CL82" s="234" cm="1">
        <f t="array" ref="CL82">$BM82 * SUMPRODUCT(INDEX($AV$76:$AX$81,,$AI82),INDEX($AY$76:$BE$81,,$AH82), N($AU$76:$AU$81&gt;$AM82)) / CK82 / 1000</f>
        <v>0</v>
      </c>
      <c r="CM82" s="231">
        <f t="shared" si="33"/>
        <v>30</v>
      </c>
      <c r="CN82" s="229">
        <f t="shared" si="34"/>
        <v>43</v>
      </c>
      <c r="CO82" s="234">
        <f t="shared" si="35"/>
        <v>3.5018750000000001</v>
      </c>
      <c r="CP82" s="234" cm="1">
        <f t="array" ref="CP82">$BM82 * IF($AH82&lt;=2,
SUMPRODUCT(INDEX($AV$71:$AX$75,,$AI82), INDEX($AY$71:$BE$75,,$AH82), 1 / ($BF$71:$BF$75*CO82 + (1-$BF$71:$BF$75)*CK82), N($AU$71:$AU$75&gt;$AM82)),
SUMPRODUCT(INDEX($AV$66:$AX$75,,$AI82), INDEX($AY$66:$BE$75,,$AH82), 1 / ($BG$66:$BG$75*CO82 + (1-$BG$66:$BG$75)*CK82), N($AU$66:$AU$75&gt;$AM82))
) / 1000</f>
        <v>0</v>
      </c>
      <c r="CQ82" s="231">
        <f t="shared" si="36"/>
        <v>25</v>
      </c>
      <c r="CR82" s="229">
        <f t="shared" si="37"/>
        <v>38</v>
      </c>
      <c r="CS82" s="234">
        <f t="shared" si="38"/>
        <v>4.0666935483870965</v>
      </c>
      <c r="CT82" s="234" cm="1">
        <f t="array" ref="CT82">$BM82 * IF($AH82&lt;=2,
SUMPRODUCT(INDEX($AV$66:$AX$70,,$AI82), INDEX($AY$66:$BE$70,,$AH82), 1 / ($BF$66:$BF$70*CS82 + (1-$BF$66:$BF$70)*CO82), N($AU$66:$AU$70&gt;$AM82)),
SUMPRODUCT(INDEX($AV$56:$AX$65,,$AI82), INDEX($AY$56:$BE$65,,$AH82), 1 / ($BG$56:$BG$65*CS82 + (1-$BG$56:$BG$65)*CO82), N($AU$56:$AU$65&gt;$AM82))
) / 1000</f>
        <v>0</v>
      </c>
      <c r="CU82" s="231">
        <f t="shared" si="39"/>
        <v>20</v>
      </c>
      <c r="CV82" s="229">
        <f t="shared" si="40"/>
        <v>33</v>
      </c>
      <c r="CW82" s="234">
        <f t="shared" si="41"/>
        <v>4.8487499999999999</v>
      </c>
      <c r="CX82" s="234" cm="1">
        <f t="array" ref="CX82">$BM82 * IF($AH82&lt;=2,
SUMPRODUCT(INDEX($AV$61:$AX$65,,$AI82), INDEX($AY$61:$BE$65,,$AH82), 1 / ($BF$61:$BF$65*CW82 + (1-$BF$61:$BF$65)*CS82), N($AU$61:$AU$65&gt;$AM82)),
SUMPRODUCT(INDEX($AV$46:$AX$55,,$AI82), INDEX($AY$46:$BE$55,,$AH82), 1 / ($BG$46:$BG$55*CW82 + (1-$BG$46:$BG$55)*CS82), N($AU$46:$AU$55&gt;$AM82))
) / 1000</f>
        <v>0</v>
      </c>
      <c r="CY82" s="234" cm="1">
        <f t="array" ref="CY82">$BM82 * IF($AH82&lt;=2,
SUMPRODUCT(INDEX($AV$22:$AX$60,,$AI82), INDEX($AY$22:$BE$60,,$AH82), 1 / ($BF$22:$BF$60*CW82), N($AU$22:$AU$60&gt;$AM82)),
SUMPRODUCT(INDEX($AV$22:$AX$45,,$AI82), INDEX($AY$22:$BE$45,,$AH82), 1 / ($BG$22:$BG$45*CW82), N($AU$22:$AU$45&gt;$AM82))
) / 1000</f>
        <v>0</v>
      </c>
      <c r="CZ82" s="229">
        <f t="shared" si="42"/>
        <v>0</v>
      </c>
      <c r="DA82" s="246"/>
    </row>
    <row r="83" spans="1:105" s="75" customFormat="1" ht="14.25" customHeight="1" x14ac:dyDescent="0.25">
      <c r="A83" s="230" t="b">
        <f t="shared" si="0"/>
        <v>0</v>
      </c>
      <c r="B83" s="253">
        <v>62</v>
      </c>
      <c r="C83" s="266"/>
      <c r="D83" s="266"/>
      <c r="E83" s="254"/>
      <c r="F83" s="255" t="str">
        <f>IF(ISBLANK(E83), "", VLOOKUP(E83, Z!$A$2:$C$4127, 3, FALSE))</f>
        <v/>
      </c>
      <c r="G83" s="256"/>
      <c r="H83" s="256"/>
      <c r="I83" s="256"/>
      <c r="J83" s="257"/>
      <c r="K83" s="258"/>
      <c r="L83" s="267"/>
      <c r="M83" s="268"/>
      <c r="N83" s="259" t="str" cm="1">
        <f t="array" ref="N83">IF($L83&gt;0, INDEX(Clean,1+AK83,$D$1), "")</f>
        <v/>
      </c>
      <c r="O83" s="260"/>
      <c r="P83" s="260"/>
      <c r="Q83" s="261"/>
      <c r="R83" s="264">
        <f t="shared" si="7"/>
        <v>0</v>
      </c>
      <c r="S83" s="259" t="str" cm="1">
        <f t="array" ref="S83">IF($L83&gt;0, INDEX(Clean,1+AL83,$D$1), "")</f>
        <v/>
      </c>
      <c r="T83" s="260"/>
      <c r="U83" s="260"/>
      <c r="V83" s="261"/>
      <c r="W83" s="267"/>
      <c r="X83" s="267"/>
      <c r="Y83" s="257"/>
      <c r="Z83" s="264">
        <f t="shared" si="8"/>
        <v>0</v>
      </c>
      <c r="AA83" s="269"/>
      <c r="AB83" s="266"/>
      <c r="AC83" s="254"/>
      <c r="AD83" s="255" t="str">
        <f>IF(ISBLANK(AC83), "", VLOOKUP(AC83, Z!$A$2:$C$4127, 3, FALSE))</f>
        <v/>
      </c>
      <c r="AE83" s="270"/>
      <c r="AF83" s="265">
        <f t="shared" si="9"/>
        <v>0</v>
      </c>
      <c r="AG83" s="246"/>
      <c r="AH83" s="228">
        <f t="shared" ref="AH83" si="279">IF(ISBLANK(I83), 1, IFERROR(MATCH(I83, INDEX(Use,,1), 0), IFERROR(MATCH(I83, INDEX(Use,,2), 0), MATCH(I83, INDEX(Use,,3), 0))))</f>
        <v>1</v>
      </c>
      <c r="AI83" s="228">
        <f t="shared" ref="AI83" si="280">IF(ISBLANK(H83), 1, IFERROR(MATCH(H83, INDEX(Loc,,1), 0), IFERROR(MATCH(H83, INDEX(Loc,,2), 0), MATCH(H83, INDEX(Loc,,3), 0))))</f>
        <v>1</v>
      </c>
      <c r="AJ83" s="228">
        <f t="shared" ref="AJ83" si="281">_xlfn.IFNA(IF(IFERROR(MATCH(J83, INDEX(Medium,,1), 0), IFERROR(MATCH(J83, INDEX(Medium,,2), 0), MATCH(J83, INDEX(Medium,,3), 0))) = 2, 1, 0), 0)</f>
        <v>0</v>
      </c>
      <c r="AK83" s="228">
        <v>0</v>
      </c>
      <c r="AL83" s="228">
        <v>0</v>
      </c>
      <c r="AM83" s="228">
        <f t="shared" si="4"/>
        <v>-100</v>
      </c>
      <c r="AN83" s="228" cm="1">
        <f t="array" ref="AN83">IF(ISBLANK(G83), 1, IFERROR(MATCH(G83, INDEX(Kat,,1), 0), IFERROR(MATCH(Kat, INDEX(Use,,2), 0), MATCH(Kat, INDEX(Use,,3), 0))))</f>
        <v>1</v>
      </c>
      <c r="AO83" s="246"/>
      <c r="AP83" s="228" cm="1">
        <f t="array" ref="AP83">IF(W83&gt;0, INDEX(Kat, AN83,4), 0)</f>
        <v>0</v>
      </c>
      <c r="AQ83" s="228">
        <f t="shared" ref="AQ83" si="282">IF(ISBLANK(Y83), 0, IFERROR(MATCH(Y83, INDEX(Month,,1), 0), IFERROR(MATCH(Y83, INDEX(Month,,2), 0), MATCH(Y83, INDEX(Month,,3), 0))))</f>
        <v>0</v>
      </c>
      <c r="AR83" s="228" cm="1">
        <f t="array" ref="AR83">IF(X83&gt;0, INDEX(Kat, $AN83, 4+AQ83), 0)</f>
        <v>0</v>
      </c>
      <c r="AS83" s="228" cm="1">
        <f t="array" ref="AS83">IF(X83&gt;0, INDEX(Kat, $AN83, 9+AQ83), 0)</f>
        <v>0</v>
      </c>
      <c r="AT83" s="246"/>
      <c r="AU83" s="262"/>
      <c r="AV83" s="262"/>
      <c r="AW83" s="262"/>
      <c r="AX83" s="262"/>
      <c r="AY83" s="263"/>
      <c r="AZ83" s="263"/>
      <c r="BA83" s="263"/>
      <c r="BB83" s="263"/>
      <c r="BC83" s="263"/>
      <c r="BD83" s="263"/>
      <c r="BE83" s="263"/>
      <c r="BF83" s="263"/>
      <c r="BG83" s="263"/>
      <c r="BH83" s="210"/>
      <c r="BI83" s="228" cm="1">
        <f t="array" ref="BI83">INDEX(Use, $AH83, 4)</f>
        <v>7</v>
      </c>
      <c r="BJ83" s="228">
        <f t="shared" si="14"/>
        <v>32</v>
      </c>
      <c r="BK83" s="228">
        <f t="shared" si="15"/>
        <v>13</v>
      </c>
      <c r="BL83" s="228">
        <f t="shared" si="16"/>
        <v>0</v>
      </c>
      <c r="BM83" s="233" cm="1">
        <f t="array" ref="BM83">L83/IF($M83&gt;0, INDEX($AY$22:$BE$76, $M83+20, $AH83), 1)</f>
        <v>0</v>
      </c>
      <c r="BN83" s="229">
        <f t="shared" si="17"/>
        <v>0</v>
      </c>
      <c r="BO83" s="228">
        <v>35</v>
      </c>
      <c r="BP83" s="229">
        <f t="shared" si="18"/>
        <v>48</v>
      </c>
      <c r="BQ83" s="234">
        <f t="shared" si="19"/>
        <v>3.0748170731707316</v>
      </c>
      <c r="BR83" s="234" cm="1">
        <f t="array" ref="BR83">$BM83 * SUMPRODUCT(INDEX($AV$76:$AX$81,,$AI83),INDEX($AY$76:$BE$81,,$AH83), N($AU$76:$AU$81&gt;$AM83)) / BQ83 / 1000</f>
        <v>0</v>
      </c>
      <c r="BS83" s="231">
        <f t="shared" si="20"/>
        <v>30</v>
      </c>
      <c r="BT83" s="229">
        <f t="shared" si="21"/>
        <v>43</v>
      </c>
      <c r="BU83" s="234">
        <f t="shared" si="22"/>
        <v>3.5018750000000001</v>
      </c>
      <c r="BV83" s="234" cm="1">
        <f t="array" ref="BV83">$BM83 * IF($AH83&lt;=2,
SUMPRODUCT(INDEX($AV$71:$AX$75,,$AI83), INDEX($AY$71:$BE$75,,$AH83), 1 / ($BF$71:$BF$75*BU83 + (1-$BF$71:$BF$75)*BQ83), N($AU$71:$AU$75&gt;$AM83)),
SUMPRODUCT(INDEX($AV$66:$AX$75,,$AI83), INDEX($AY$66:$BE$75,,$AH83), 1 / ($BG$66:$BG$75*BU83 + (1-$BG$66:$BG$75)*BQ83), N($AU$66:$AU$75&gt;$AM83))
) / 1000</f>
        <v>0</v>
      </c>
      <c r="BW83" s="231">
        <f t="shared" si="23"/>
        <v>25</v>
      </c>
      <c r="BX83" s="229">
        <f t="shared" si="24"/>
        <v>38</v>
      </c>
      <c r="BY83" s="234">
        <f t="shared" si="25"/>
        <v>4.0666935483870965</v>
      </c>
      <c r="BZ83" s="234" cm="1">
        <f t="array" ref="BZ83">$BM83 * IF($AH83&lt;=2,
SUMPRODUCT(INDEX($AV$66:$AX$70,,$AI83), INDEX($AY$66:$BE$70,,$AH83), 1 / ($BF$66:$BF$70*BY83 + (1-$BF$66:$BF$70)*BU83), N($AU$66:$AU$70&gt;$AM83)),
SUMPRODUCT(INDEX($AV$56:$AX$65,,$AI83), INDEX($AY$56:$BE$65,,$AH83), 1 / ($BG$56:$BG$65*BY83 + (1-$BG$56:$BG$65)*BU83), N($AU$56:$AU$65&gt;$AM83))
) / 1000</f>
        <v>0</v>
      </c>
      <c r="CA83" s="231">
        <f t="shared" si="26"/>
        <v>20</v>
      </c>
      <c r="CB83" s="229">
        <f t="shared" si="27"/>
        <v>33</v>
      </c>
      <c r="CC83" s="234">
        <f t="shared" si="28"/>
        <v>4.8487499999999999</v>
      </c>
      <c r="CD83" s="234" cm="1">
        <f t="array" ref="CD83">$BM83 * IF($AH83&lt;=2,
SUMPRODUCT(INDEX($AV$61:$AX$65,,$AI83), INDEX($AY$61:$BE$65,,$AH83), 1 / ($BF$61:$BF$65*CC83 + (1-$BF$61:$BF$65)*BY83), N($AU$61:$AU$65&gt;$AM83)),
SUMPRODUCT(INDEX($AV$46:$AX$55,,$AI83), INDEX($AY$46:$BE$55,,$AH83), 1 / ($BG$46:$BG$55*CC83 + (1-$BG$46:$BG$55)*BY83), N($AU$46:$AU$55&gt;$AM83))
) / 1000</f>
        <v>0</v>
      </c>
      <c r="CE83" s="234" cm="1">
        <f t="array" ref="CE83">$BM83 * IF($AH83&lt;=2,
SUMPRODUCT(INDEX($AV$22:$AX$60,,$AI83), INDEX($AY$22:$BE$60,,$AH83), 1 / ($BF$22:$BF$60*CC83), N($AU$22:$AU$60&gt;$AM83)),
SUMPRODUCT(INDEX($AV$22:$AX$45,,$AI83), INDEX($AY$22:$BE$45,,$AH83), 1 / ($BG$22:$BG$45*CC83), N($AU$22:$AU$45&gt;$AM83))
) / 1000</f>
        <v>0</v>
      </c>
      <c r="CF83" s="229">
        <f t="shared" si="29"/>
        <v>0</v>
      </c>
      <c r="CG83" s="246"/>
      <c r="CH83" s="229">
        <f t="shared" si="30"/>
        <v>0</v>
      </c>
      <c r="CI83" s="228">
        <v>35</v>
      </c>
      <c r="CJ83" s="229">
        <f t="shared" si="31"/>
        <v>48</v>
      </c>
      <c r="CK83" s="234">
        <f t="shared" si="32"/>
        <v>3.0748170731707316</v>
      </c>
      <c r="CL83" s="234" cm="1">
        <f t="array" ref="CL83">$BM83 * SUMPRODUCT(INDEX($AV$76:$AX$81,,$AI83),INDEX($AY$76:$BE$81,,$AH83), N($AU$76:$AU$81&gt;$AM83)) / CK83 / 1000</f>
        <v>0</v>
      </c>
      <c r="CM83" s="231">
        <f t="shared" si="33"/>
        <v>30</v>
      </c>
      <c r="CN83" s="229">
        <f t="shared" si="34"/>
        <v>43</v>
      </c>
      <c r="CO83" s="234">
        <f t="shared" si="35"/>
        <v>3.5018750000000001</v>
      </c>
      <c r="CP83" s="234" cm="1">
        <f t="array" ref="CP83">$BM83 * IF($AH83&lt;=2,
SUMPRODUCT(INDEX($AV$71:$AX$75,,$AI83), INDEX($AY$71:$BE$75,,$AH83), 1 / ($BF$71:$BF$75*CO83 + (1-$BF$71:$BF$75)*CK83), N($AU$71:$AU$75&gt;$AM83)),
SUMPRODUCT(INDEX($AV$66:$AX$75,,$AI83), INDEX($AY$66:$BE$75,,$AH83), 1 / ($BG$66:$BG$75*CO83 + (1-$BG$66:$BG$75)*CK83), N($AU$66:$AU$75&gt;$AM83))
) / 1000</f>
        <v>0</v>
      </c>
      <c r="CQ83" s="231">
        <f t="shared" si="36"/>
        <v>25</v>
      </c>
      <c r="CR83" s="229">
        <f t="shared" si="37"/>
        <v>38</v>
      </c>
      <c r="CS83" s="234">
        <f t="shared" si="38"/>
        <v>4.0666935483870965</v>
      </c>
      <c r="CT83" s="234" cm="1">
        <f t="array" ref="CT83">$BM83 * IF($AH83&lt;=2,
SUMPRODUCT(INDEX($AV$66:$AX$70,,$AI83), INDEX($AY$66:$BE$70,,$AH83), 1 / ($BF$66:$BF$70*CS83 + (1-$BF$66:$BF$70)*CO83), N($AU$66:$AU$70&gt;$AM83)),
SUMPRODUCT(INDEX($AV$56:$AX$65,,$AI83), INDEX($AY$56:$BE$65,,$AH83), 1 / ($BG$56:$BG$65*CS83 + (1-$BG$56:$BG$65)*CO83), N($AU$56:$AU$65&gt;$AM83))
) / 1000</f>
        <v>0</v>
      </c>
      <c r="CU83" s="231">
        <f t="shared" si="39"/>
        <v>20</v>
      </c>
      <c r="CV83" s="229">
        <f t="shared" si="40"/>
        <v>33</v>
      </c>
      <c r="CW83" s="234">
        <f t="shared" si="41"/>
        <v>4.8487499999999999</v>
      </c>
      <c r="CX83" s="234" cm="1">
        <f t="array" ref="CX83">$BM83 * IF($AH83&lt;=2,
SUMPRODUCT(INDEX($AV$61:$AX$65,,$AI83), INDEX($AY$61:$BE$65,,$AH83), 1 / ($BF$61:$BF$65*CW83 + (1-$BF$61:$BF$65)*CS83), N($AU$61:$AU$65&gt;$AM83)),
SUMPRODUCT(INDEX($AV$46:$AX$55,,$AI83), INDEX($AY$46:$BE$55,,$AH83), 1 / ($BG$46:$BG$55*CW83 + (1-$BG$46:$BG$55)*CS83), N($AU$46:$AU$55&gt;$AM83))
) / 1000</f>
        <v>0</v>
      </c>
      <c r="CY83" s="234" cm="1">
        <f t="array" ref="CY83">$BM83 * IF($AH83&lt;=2,
SUMPRODUCT(INDEX($AV$22:$AX$60,,$AI83), INDEX($AY$22:$BE$60,,$AH83), 1 / ($BF$22:$BF$60*CW83), N($AU$22:$AU$60&gt;$AM83)),
SUMPRODUCT(INDEX($AV$22:$AX$45,,$AI83), INDEX($AY$22:$BE$45,,$AH83), 1 / ($BG$22:$BG$45*CW83), N($AU$22:$AU$45&gt;$AM83))
) / 1000</f>
        <v>0</v>
      </c>
      <c r="CZ83" s="229">
        <f t="shared" si="42"/>
        <v>0</v>
      </c>
      <c r="DA83" s="246"/>
    </row>
    <row r="84" spans="1:105" s="75" customFormat="1" ht="14.25" customHeight="1" x14ac:dyDescent="0.25">
      <c r="A84" s="230" t="b">
        <f t="shared" si="0"/>
        <v>0</v>
      </c>
      <c r="B84" s="253">
        <v>63</v>
      </c>
      <c r="C84" s="266"/>
      <c r="D84" s="266"/>
      <c r="E84" s="254"/>
      <c r="F84" s="255" t="str">
        <f>IF(ISBLANK(E84), "", VLOOKUP(E84, Z!$A$2:$C$4127, 3, FALSE))</f>
        <v/>
      </c>
      <c r="G84" s="256"/>
      <c r="H84" s="256"/>
      <c r="I84" s="256"/>
      <c r="J84" s="257"/>
      <c r="K84" s="258"/>
      <c r="L84" s="267"/>
      <c r="M84" s="268"/>
      <c r="N84" s="259" t="str" cm="1">
        <f t="array" ref="N84">IF($L84&gt;0, INDEX(Clean,1+AK84,$D$1), "")</f>
        <v/>
      </c>
      <c r="O84" s="260"/>
      <c r="P84" s="260"/>
      <c r="Q84" s="261"/>
      <c r="R84" s="264">
        <f t="shared" si="7"/>
        <v>0</v>
      </c>
      <c r="S84" s="259" t="str" cm="1">
        <f t="array" ref="S84">IF($L84&gt;0, INDEX(Clean,1+AL84,$D$1), "")</f>
        <v/>
      </c>
      <c r="T84" s="260"/>
      <c r="U84" s="260"/>
      <c r="V84" s="261"/>
      <c r="W84" s="267"/>
      <c r="X84" s="267"/>
      <c r="Y84" s="257"/>
      <c r="Z84" s="264">
        <f t="shared" si="8"/>
        <v>0</v>
      </c>
      <c r="AA84" s="269"/>
      <c r="AB84" s="266"/>
      <c r="AC84" s="254"/>
      <c r="AD84" s="255" t="str">
        <f>IF(ISBLANK(AC84), "", VLOOKUP(AC84, Z!$A$2:$C$4127, 3, FALSE))</f>
        <v/>
      </c>
      <c r="AE84" s="270"/>
      <c r="AF84" s="265">
        <f t="shared" si="9"/>
        <v>0</v>
      </c>
      <c r="AG84" s="246"/>
      <c r="AH84" s="228">
        <f t="shared" ref="AH84" si="283">IF(ISBLANK(I84), 1, IFERROR(MATCH(I84, INDEX(Use,,1), 0), IFERROR(MATCH(I84, INDEX(Use,,2), 0), MATCH(I84, INDEX(Use,,3), 0))))</f>
        <v>1</v>
      </c>
      <c r="AI84" s="228">
        <f t="shared" ref="AI84" si="284">IF(ISBLANK(H84), 1, IFERROR(MATCH(H84, INDEX(Loc,,1), 0), IFERROR(MATCH(H84, INDEX(Loc,,2), 0), MATCH(H84, INDEX(Loc,,3), 0))))</f>
        <v>1</v>
      </c>
      <c r="AJ84" s="228">
        <f t="shared" ref="AJ84" si="285">_xlfn.IFNA(IF(IFERROR(MATCH(J84, INDEX(Medium,,1), 0), IFERROR(MATCH(J84, INDEX(Medium,,2), 0), MATCH(J84, INDEX(Medium,,3), 0))) = 2, 1, 0), 0)</f>
        <v>0</v>
      </c>
      <c r="AK84" s="228">
        <v>0</v>
      </c>
      <c r="AL84" s="228">
        <v>0</v>
      </c>
      <c r="AM84" s="228">
        <f t="shared" si="4"/>
        <v>-100</v>
      </c>
      <c r="AN84" s="228" cm="1">
        <f t="array" ref="AN84">IF(ISBLANK(G84), 1, IFERROR(MATCH(G84, INDEX(Kat,,1), 0), IFERROR(MATCH(Kat, INDEX(Use,,2), 0), MATCH(Kat, INDEX(Use,,3), 0))))</f>
        <v>1</v>
      </c>
      <c r="AO84" s="246"/>
      <c r="AP84" s="228" cm="1">
        <f t="array" ref="AP84">IF(W84&gt;0, INDEX(Kat, AN84,4), 0)</f>
        <v>0</v>
      </c>
      <c r="AQ84" s="228">
        <f t="shared" ref="AQ84" si="286">IF(ISBLANK(Y84), 0, IFERROR(MATCH(Y84, INDEX(Month,,1), 0), IFERROR(MATCH(Y84, INDEX(Month,,2), 0), MATCH(Y84, INDEX(Month,,3), 0))))</f>
        <v>0</v>
      </c>
      <c r="AR84" s="228" cm="1">
        <f t="array" ref="AR84">IF(X84&gt;0, INDEX(Kat, $AN84, 4+AQ84), 0)</f>
        <v>0</v>
      </c>
      <c r="AS84" s="228" cm="1">
        <f t="array" ref="AS84">IF(X84&gt;0, INDEX(Kat, $AN84, 9+AQ84), 0)</f>
        <v>0</v>
      </c>
      <c r="AT84" s="246"/>
      <c r="AU84" s="262"/>
      <c r="AV84" s="262"/>
      <c r="AW84" s="262"/>
      <c r="AX84" s="262"/>
      <c r="AY84" s="263"/>
      <c r="AZ84" s="263"/>
      <c r="BA84" s="263"/>
      <c r="BB84" s="263"/>
      <c r="BC84" s="263"/>
      <c r="BD84" s="263"/>
      <c r="BE84" s="263"/>
      <c r="BF84" s="263"/>
      <c r="BG84" s="263"/>
      <c r="BH84" s="210"/>
      <c r="BI84" s="228" cm="1">
        <f t="array" ref="BI84">INDEX(Use, $AH84, 4)</f>
        <v>7</v>
      </c>
      <c r="BJ84" s="228">
        <f t="shared" si="14"/>
        <v>32</v>
      </c>
      <c r="BK84" s="228">
        <f t="shared" si="15"/>
        <v>13</v>
      </c>
      <c r="BL84" s="228">
        <f t="shared" si="16"/>
        <v>0</v>
      </c>
      <c r="BM84" s="233" cm="1">
        <f t="array" ref="BM84">L84/IF($M84&gt;0, INDEX($AY$22:$BE$76, $M84+20, $AH84), 1)</f>
        <v>0</v>
      </c>
      <c r="BN84" s="229">
        <f t="shared" si="17"/>
        <v>0</v>
      </c>
      <c r="BO84" s="228">
        <v>35</v>
      </c>
      <c r="BP84" s="229">
        <f t="shared" si="18"/>
        <v>48</v>
      </c>
      <c r="BQ84" s="234">
        <f t="shared" si="19"/>
        <v>3.0748170731707316</v>
      </c>
      <c r="BR84" s="234" cm="1">
        <f t="array" ref="BR84">$BM84 * SUMPRODUCT(INDEX($AV$76:$AX$81,,$AI84),INDEX($AY$76:$BE$81,,$AH84), N($AU$76:$AU$81&gt;$AM84)) / BQ84 / 1000</f>
        <v>0</v>
      </c>
      <c r="BS84" s="231">
        <f t="shared" si="20"/>
        <v>30</v>
      </c>
      <c r="BT84" s="229">
        <f t="shared" si="21"/>
        <v>43</v>
      </c>
      <c r="BU84" s="234">
        <f t="shared" si="22"/>
        <v>3.5018750000000001</v>
      </c>
      <c r="BV84" s="234" cm="1">
        <f t="array" ref="BV84">$BM84 * IF($AH84&lt;=2,
SUMPRODUCT(INDEX($AV$71:$AX$75,,$AI84), INDEX($AY$71:$BE$75,,$AH84), 1 / ($BF$71:$BF$75*BU84 + (1-$BF$71:$BF$75)*BQ84), N($AU$71:$AU$75&gt;$AM84)),
SUMPRODUCT(INDEX($AV$66:$AX$75,,$AI84), INDEX($AY$66:$BE$75,,$AH84), 1 / ($BG$66:$BG$75*BU84 + (1-$BG$66:$BG$75)*BQ84), N($AU$66:$AU$75&gt;$AM84))
) / 1000</f>
        <v>0</v>
      </c>
      <c r="BW84" s="231">
        <f t="shared" si="23"/>
        <v>25</v>
      </c>
      <c r="BX84" s="229">
        <f t="shared" si="24"/>
        <v>38</v>
      </c>
      <c r="BY84" s="234">
        <f t="shared" si="25"/>
        <v>4.0666935483870965</v>
      </c>
      <c r="BZ84" s="234" cm="1">
        <f t="array" ref="BZ84">$BM84 * IF($AH84&lt;=2,
SUMPRODUCT(INDEX($AV$66:$AX$70,,$AI84), INDEX($AY$66:$BE$70,,$AH84), 1 / ($BF$66:$BF$70*BY84 + (1-$BF$66:$BF$70)*BU84), N($AU$66:$AU$70&gt;$AM84)),
SUMPRODUCT(INDEX($AV$56:$AX$65,,$AI84), INDEX($AY$56:$BE$65,,$AH84), 1 / ($BG$56:$BG$65*BY84 + (1-$BG$56:$BG$65)*BU84), N($AU$56:$AU$65&gt;$AM84))
) / 1000</f>
        <v>0</v>
      </c>
      <c r="CA84" s="231">
        <f t="shared" si="26"/>
        <v>20</v>
      </c>
      <c r="CB84" s="229">
        <f t="shared" si="27"/>
        <v>33</v>
      </c>
      <c r="CC84" s="234">
        <f t="shared" si="28"/>
        <v>4.8487499999999999</v>
      </c>
      <c r="CD84" s="234" cm="1">
        <f t="array" ref="CD84">$BM84 * IF($AH84&lt;=2,
SUMPRODUCT(INDEX($AV$61:$AX$65,,$AI84), INDEX($AY$61:$BE$65,,$AH84), 1 / ($BF$61:$BF$65*CC84 + (1-$BF$61:$BF$65)*BY84), N($AU$61:$AU$65&gt;$AM84)),
SUMPRODUCT(INDEX($AV$46:$AX$55,,$AI84), INDEX($AY$46:$BE$55,,$AH84), 1 / ($BG$46:$BG$55*CC84 + (1-$BG$46:$BG$55)*BY84), N($AU$46:$AU$55&gt;$AM84))
) / 1000</f>
        <v>0</v>
      </c>
      <c r="CE84" s="234" cm="1">
        <f t="array" ref="CE84">$BM84 * IF($AH84&lt;=2,
SUMPRODUCT(INDEX($AV$22:$AX$60,,$AI84), INDEX($AY$22:$BE$60,,$AH84), 1 / ($BF$22:$BF$60*CC84), N($AU$22:$AU$60&gt;$AM84)),
SUMPRODUCT(INDEX($AV$22:$AX$45,,$AI84), INDEX($AY$22:$BE$45,,$AH84), 1 / ($BG$22:$BG$45*CC84), N($AU$22:$AU$45&gt;$AM84))
) / 1000</f>
        <v>0</v>
      </c>
      <c r="CF84" s="229">
        <f t="shared" si="29"/>
        <v>0</v>
      </c>
      <c r="CG84" s="246"/>
      <c r="CH84" s="229">
        <f t="shared" si="30"/>
        <v>0</v>
      </c>
      <c r="CI84" s="228">
        <v>35</v>
      </c>
      <c r="CJ84" s="229">
        <f t="shared" si="31"/>
        <v>48</v>
      </c>
      <c r="CK84" s="234">
        <f t="shared" si="32"/>
        <v>3.0748170731707316</v>
      </c>
      <c r="CL84" s="234" cm="1">
        <f t="array" ref="CL84">$BM84 * SUMPRODUCT(INDEX($AV$76:$AX$81,,$AI84),INDEX($AY$76:$BE$81,,$AH84), N($AU$76:$AU$81&gt;$AM84)) / CK84 / 1000</f>
        <v>0</v>
      </c>
      <c r="CM84" s="231">
        <f t="shared" si="33"/>
        <v>30</v>
      </c>
      <c r="CN84" s="229">
        <f t="shared" si="34"/>
        <v>43</v>
      </c>
      <c r="CO84" s="234">
        <f t="shared" si="35"/>
        <v>3.5018750000000001</v>
      </c>
      <c r="CP84" s="234" cm="1">
        <f t="array" ref="CP84">$BM84 * IF($AH84&lt;=2,
SUMPRODUCT(INDEX($AV$71:$AX$75,,$AI84), INDEX($AY$71:$BE$75,,$AH84), 1 / ($BF$71:$BF$75*CO84 + (1-$BF$71:$BF$75)*CK84), N($AU$71:$AU$75&gt;$AM84)),
SUMPRODUCT(INDEX($AV$66:$AX$75,,$AI84), INDEX($AY$66:$BE$75,,$AH84), 1 / ($BG$66:$BG$75*CO84 + (1-$BG$66:$BG$75)*CK84), N($AU$66:$AU$75&gt;$AM84))
) / 1000</f>
        <v>0</v>
      </c>
      <c r="CQ84" s="231">
        <f t="shared" si="36"/>
        <v>25</v>
      </c>
      <c r="CR84" s="229">
        <f t="shared" si="37"/>
        <v>38</v>
      </c>
      <c r="CS84" s="234">
        <f t="shared" si="38"/>
        <v>4.0666935483870965</v>
      </c>
      <c r="CT84" s="234" cm="1">
        <f t="array" ref="CT84">$BM84 * IF($AH84&lt;=2,
SUMPRODUCT(INDEX($AV$66:$AX$70,,$AI84), INDEX($AY$66:$BE$70,,$AH84), 1 / ($BF$66:$BF$70*CS84 + (1-$BF$66:$BF$70)*CO84), N($AU$66:$AU$70&gt;$AM84)),
SUMPRODUCT(INDEX($AV$56:$AX$65,,$AI84), INDEX($AY$56:$BE$65,,$AH84), 1 / ($BG$56:$BG$65*CS84 + (1-$BG$56:$BG$65)*CO84), N($AU$56:$AU$65&gt;$AM84))
) / 1000</f>
        <v>0</v>
      </c>
      <c r="CU84" s="231">
        <f t="shared" si="39"/>
        <v>20</v>
      </c>
      <c r="CV84" s="229">
        <f t="shared" si="40"/>
        <v>33</v>
      </c>
      <c r="CW84" s="234">
        <f t="shared" si="41"/>
        <v>4.8487499999999999</v>
      </c>
      <c r="CX84" s="234" cm="1">
        <f t="array" ref="CX84">$BM84 * IF($AH84&lt;=2,
SUMPRODUCT(INDEX($AV$61:$AX$65,,$AI84), INDEX($AY$61:$BE$65,,$AH84), 1 / ($BF$61:$BF$65*CW84 + (1-$BF$61:$BF$65)*CS84), N($AU$61:$AU$65&gt;$AM84)),
SUMPRODUCT(INDEX($AV$46:$AX$55,,$AI84), INDEX($AY$46:$BE$55,,$AH84), 1 / ($BG$46:$BG$55*CW84 + (1-$BG$46:$BG$55)*CS84), N($AU$46:$AU$55&gt;$AM84))
) / 1000</f>
        <v>0</v>
      </c>
      <c r="CY84" s="234" cm="1">
        <f t="array" ref="CY84">$BM84 * IF($AH84&lt;=2,
SUMPRODUCT(INDEX($AV$22:$AX$60,,$AI84), INDEX($AY$22:$BE$60,,$AH84), 1 / ($BF$22:$BF$60*CW84), N($AU$22:$AU$60&gt;$AM84)),
SUMPRODUCT(INDEX($AV$22:$AX$45,,$AI84), INDEX($AY$22:$BE$45,,$AH84), 1 / ($BG$22:$BG$45*CW84), N($AU$22:$AU$45&gt;$AM84))
) / 1000</f>
        <v>0</v>
      </c>
      <c r="CZ84" s="229">
        <f t="shared" si="42"/>
        <v>0</v>
      </c>
      <c r="DA84" s="246"/>
    </row>
    <row r="85" spans="1:105" s="75" customFormat="1" ht="14.25" customHeight="1" x14ac:dyDescent="0.25">
      <c r="A85" s="230" t="b">
        <f t="shared" si="0"/>
        <v>0</v>
      </c>
      <c r="B85" s="253">
        <v>64</v>
      </c>
      <c r="C85" s="266"/>
      <c r="D85" s="266"/>
      <c r="E85" s="254"/>
      <c r="F85" s="255" t="str">
        <f>IF(ISBLANK(E85), "", VLOOKUP(E85, Z!$A$2:$C$4127, 3, FALSE))</f>
        <v/>
      </c>
      <c r="G85" s="256"/>
      <c r="H85" s="256"/>
      <c r="I85" s="256"/>
      <c r="J85" s="257"/>
      <c r="K85" s="258"/>
      <c r="L85" s="267"/>
      <c r="M85" s="268"/>
      <c r="N85" s="259" t="str" cm="1">
        <f t="array" ref="N85">IF($L85&gt;0, INDEX(Clean,1+AK85,$D$1), "")</f>
        <v/>
      </c>
      <c r="O85" s="260"/>
      <c r="P85" s="260"/>
      <c r="Q85" s="261"/>
      <c r="R85" s="264">
        <f t="shared" si="7"/>
        <v>0</v>
      </c>
      <c r="S85" s="259" t="str" cm="1">
        <f t="array" ref="S85">IF($L85&gt;0, INDEX(Clean,1+AL85,$D$1), "")</f>
        <v/>
      </c>
      <c r="T85" s="260"/>
      <c r="U85" s="260"/>
      <c r="V85" s="261"/>
      <c r="W85" s="267"/>
      <c r="X85" s="267"/>
      <c r="Y85" s="257"/>
      <c r="Z85" s="264">
        <f t="shared" si="8"/>
        <v>0</v>
      </c>
      <c r="AA85" s="269"/>
      <c r="AB85" s="266"/>
      <c r="AC85" s="254"/>
      <c r="AD85" s="255" t="str">
        <f>IF(ISBLANK(AC85), "", VLOOKUP(AC85, Z!$A$2:$C$4127, 3, FALSE))</f>
        <v/>
      </c>
      <c r="AE85" s="270"/>
      <c r="AF85" s="265">
        <f t="shared" si="9"/>
        <v>0</v>
      </c>
      <c r="AG85" s="246"/>
      <c r="AH85" s="228">
        <f t="shared" ref="AH85" si="287">IF(ISBLANK(I85), 1, IFERROR(MATCH(I85, INDEX(Use,,1), 0), IFERROR(MATCH(I85, INDEX(Use,,2), 0), MATCH(I85, INDEX(Use,,3), 0))))</f>
        <v>1</v>
      </c>
      <c r="AI85" s="228">
        <f t="shared" ref="AI85" si="288">IF(ISBLANK(H85), 1, IFERROR(MATCH(H85, INDEX(Loc,,1), 0), IFERROR(MATCH(H85, INDEX(Loc,,2), 0), MATCH(H85, INDEX(Loc,,3), 0))))</f>
        <v>1</v>
      </c>
      <c r="AJ85" s="228">
        <f t="shared" ref="AJ85" si="289">_xlfn.IFNA(IF(IFERROR(MATCH(J85, INDEX(Medium,,1), 0), IFERROR(MATCH(J85, INDEX(Medium,,2), 0), MATCH(J85, INDEX(Medium,,3), 0))) = 2, 1, 0), 0)</f>
        <v>0</v>
      </c>
      <c r="AK85" s="228">
        <v>0</v>
      </c>
      <c r="AL85" s="228">
        <v>0</v>
      </c>
      <c r="AM85" s="228">
        <f t="shared" si="4"/>
        <v>-100</v>
      </c>
      <c r="AN85" s="228" cm="1">
        <f t="array" ref="AN85">IF(ISBLANK(G85), 1, IFERROR(MATCH(G85, INDEX(Kat,,1), 0), IFERROR(MATCH(Kat, INDEX(Use,,2), 0), MATCH(Kat, INDEX(Use,,3), 0))))</f>
        <v>1</v>
      </c>
      <c r="AO85" s="246"/>
      <c r="AP85" s="228" cm="1">
        <f t="array" ref="AP85">IF(W85&gt;0, INDEX(Kat, AN85,4), 0)</f>
        <v>0</v>
      </c>
      <c r="AQ85" s="228">
        <f t="shared" ref="AQ85" si="290">IF(ISBLANK(Y85), 0, IFERROR(MATCH(Y85, INDEX(Month,,1), 0), IFERROR(MATCH(Y85, INDEX(Month,,2), 0), MATCH(Y85, INDEX(Month,,3), 0))))</f>
        <v>0</v>
      </c>
      <c r="AR85" s="228" cm="1">
        <f t="array" ref="AR85">IF(X85&gt;0, INDEX(Kat, $AN85, 4+AQ85), 0)</f>
        <v>0</v>
      </c>
      <c r="AS85" s="228" cm="1">
        <f t="array" ref="AS85">IF(X85&gt;0, INDEX(Kat, $AN85, 9+AQ85), 0)</f>
        <v>0</v>
      </c>
      <c r="AT85" s="246"/>
      <c r="AU85" s="262"/>
      <c r="AV85" s="262"/>
      <c r="AW85" s="262"/>
      <c r="AX85" s="262"/>
      <c r="AY85" s="263"/>
      <c r="AZ85" s="263"/>
      <c r="BA85" s="263"/>
      <c r="BB85" s="263"/>
      <c r="BC85" s="263"/>
      <c r="BD85" s="263"/>
      <c r="BE85" s="263"/>
      <c r="BF85" s="263"/>
      <c r="BG85" s="263"/>
      <c r="BH85" s="210"/>
      <c r="BI85" s="228" cm="1">
        <f t="array" ref="BI85">INDEX(Use, $AH85, 4)</f>
        <v>7</v>
      </c>
      <c r="BJ85" s="228">
        <f t="shared" si="14"/>
        <v>32</v>
      </c>
      <c r="BK85" s="228">
        <f t="shared" si="15"/>
        <v>13</v>
      </c>
      <c r="BL85" s="228">
        <f t="shared" si="16"/>
        <v>0</v>
      </c>
      <c r="BM85" s="233" cm="1">
        <f t="array" ref="BM85">L85/IF($M85&gt;0, INDEX($AY$22:$BE$76, $M85+20, $AH85), 1)</f>
        <v>0</v>
      </c>
      <c r="BN85" s="229">
        <f t="shared" si="17"/>
        <v>0</v>
      </c>
      <c r="BO85" s="228">
        <v>35</v>
      </c>
      <c r="BP85" s="229">
        <f t="shared" si="18"/>
        <v>48</v>
      </c>
      <c r="BQ85" s="234">
        <f t="shared" si="19"/>
        <v>3.0748170731707316</v>
      </c>
      <c r="BR85" s="234" cm="1">
        <f t="array" ref="BR85">$BM85 * SUMPRODUCT(INDEX($AV$76:$AX$81,,$AI85),INDEX($AY$76:$BE$81,,$AH85), N($AU$76:$AU$81&gt;$AM85)) / BQ85 / 1000</f>
        <v>0</v>
      </c>
      <c r="BS85" s="231">
        <f t="shared" si="20"/>
        <v>30</v>
      </c>
      <c r="BT85" s="229">
        <f t="shared" si="21"/>
        <v>43</v>
      </c>
      <c r="BU85" s="234">
        <f t="shared" si="22"/>
        <v>3.5018750000000001</v>
      </c>
      <c r="BV85" s="234" cm="1">
        <f t="array" ref="BV85">$BM85 * IF($AH85&lt;=2,
SUMPRODUCT(INDEX($AV$71:$AX$75,,$AI85), INDEX($AY$71:$BE$75,,$AH85), 1 / ($BF$71:$BF$75*BU85 + (1-$BF$71:$BF$75)*BQ85), N($AU$71:$AU$75&gt;$AM85)),
SUMPRODUCT(INDEX($AV$66:$AX$75,,$AI85), INDEX($AY$66:$BE$75,,$AH85), 1 / ($BG$66:$BG$75*BU85 + (1-$BG$66:$BG$75)*BQ85), N($AU$66:$AU$75&gt;$AM85))
) / 1000</f>
        <v>0</v>
      </c>
      <c r="BW85" s="231">
        <f t="shared" si="23"/>
        <v>25</v>
      </c>
      <c r="BX85" s="229">
        <f t="shared" si="24"/>
        <v>38</v>
      </c>
      <c r="BY85" s="234">
        <f t="shared" si="25"/>
        <v>4.0666935483870965</v>
      </c>
      <c r="BZ85" s="234" cm="1">
        <f t="array" ref="BZ85">$BM85 * IF($AH85&lt;=2,
SUMPRODUCT(INDEX($AV$66:$AX$70,,$AI85), INDEX($AY$66:$BE$70,,$AH85), 1 / ($BF$66:$BF$70*BY85 + (1-$BF$66:$BF$70)*BU85), N($AU$66:$AU$70&gt;$AM85)),
SUMPRODUCT(INDEX($AV$56:$AX$65,,$AI85), INDEX($AY$56:$BE$65,,$AH85), 1 / ($BG$56:$BG$65*BY85 + (1-$BG$56:$BG$65)*BU85), N($AU$56:$AU$65&gt;$AM85))
) / 1000</f>
        <v>0</v>
      </c>
      <c r="CA85" s="231">
        <f t="shared" si="26"/>
        <v>20</v>
      </c>
      <c r="CB85" s="229">
        <f t="shared" si="27"/>
        <v>33</v>
      </c>
      <c r="CC85" s="234">
        <f t="shared" si="28"/>
        <v>4.8487499999999999</v>
      </c>
      <c r="CD85" s="234" cm="1">
        <f t="array" ref="CD85">$BM85 * IF($AH85&lt;=2,
SUMPRODUCT(INDEX($AV$61:$AX$65,,$AI85), INDEX($AY$61:$BE$65,,$AH85), 1 / ($BF$61:$BF$65*CC85 + (1-$BF$61:$BF$65)*BY85), N($AU$61:$AU$65&gt;$AM85)),
SUMPRODUCT(INDEX($AV$46:$AX$55,,$AI85), INDEX($AY$46:$BE$55,,$AH85), 1 / ($BG$46:$BG$55*CC85 + (1-$BG$46:$BG$55)*BY85), N($AU$46:$AU$55&gt;$AM85))
) / 1000</f>
        <v>0</v>
      </c>
      <c r="CE85" s="234" cm="1">
        <f t="array" ref="CE85">$BM85 * IF($AH85&lt;=2,
SUMPRODUCT(INDEX($AV$22:$AX$60,,$AI85), INDEX($AY$22:$BE$60,,$AH85), 1 / ($BF$22:$BF$60*CC85), N($AU$22:$AU$60&gt;$AM85)),
SUMPRODUCT(INDEX($AV$22:$AX$45,,$AI85), INDEX($AY$22:$BE$45,,$AH85), 1 / ($BG$22:$BG$45*CC85), N($AU$22:$AU$45&gt;$AM85))
) / 1000</f>
        <v>0</v>
      </c>
      <c r="CF85" s="229">
        <f t="shared" si="29"/>
        <v>0</v>
      </c>
      <c r="CG85" s="246"/>
      <c r="CH85" s="229">
        <f t="shared" si="30"/>
        <v>0</v>
      </c>
      <c r="CI85" s="228">
        <v>35</v>
      </c>
      <c r="CJ85" s="229">
        <f t="shared" si="31"/>
        <v>48</v>
      </c>
      <c r="CK85" s="234">
        <f t="shared" si="32"/>
        <v>3.0748170731707316</v>
      </c>
      <c r="CL85" s="234" cm="1">
        <f t="array" ref="CL85">$BM85 * SUMPRODUCT(INDEX($AV$76:$AX$81,,$AI85),INDEX($AY$76:$BE$81,,$AH85), N($AU$76:$AU$81&gt;$AM85)) / CK85 / 1000</f>
        <v>0</v>
      </c>
      <c r="CM85" s="231">
        <f t="shared" si="33"/>
        <v>30</v>
      </c>
      <c r="CN85" s="229">
        <f t="shared" si="34"/>
        <v>43</v>
      </c>
      <c r="CO85" s="234">
        <f t="shared" si="35"/>
        <v>3.5018750000000001</v>
      </c>
      <c r="CP85" s="234" cm="1">
        <f t="array" ref="CP85">$BM85 * IF($AH85&lt;=2,
SUMPRODUCT(INDEX($AV$71:$AX$75,,$AI85), INDEX($AY$71:$BE$75,,$AH85), 1 / ($BF$71:$BF$75*CO85 + (1-$BF$71:$BF$75)*CK85), N($AU$71:$AU$75&gt;$AM85)),
SUMPRODUCT(INDEX($AV$66:$AX$75,,$AI85), INDEX($AY$66:$BE$75,,$AH85), 1 / ($BG$66:$BG$75*CO85 + (1-$BG$66:$BG$75)*CK85), N($AU$66:$AU$75&gt;$AM85))
) / 1000</f>
        <v>0</v>
      </c>
      <c r="CQ85" s="231">
        <f t="shared" si="36"/>
        <v>25</v>
      </c>
      <c r="CR85" s="229">
        <f t="shared" si="37"/>
        <v>38</v>
      </c>
      <c r="CS85" s="234">
        <f t="shared" si="38"/>
        <v>4.0666935483870965</v>
      </c>
      <c r="CT85" s="234" cm="1">
        <f t="array" ref="CT85">$BM85 * IF($AH85&lt;=2,
SUMPRODUCT(INDEX($AV$66:$AX$70,,$AI85), INDEX($AY$66:$BE$70,,$AH85), 1 / ($BF$66:$BF$70*CS85 + (1-$BF$66:$BF$70)*CO85), N($AU$66:$AU$70&gt;$AM85)),
SUMPRODUCT(INDEX($AV$56:$AX$65,,$AI85), INDEX($AY$56:$BE$65,,$AH85), 1 / ($BG$56:$BG$65*CS85 + (1-$BG$56:$BG$65)*CO85), N($AU$56:$AU$65&gt;$AM85))
) / 1000</f>
        <v>0</v>
      </c>
      <c r="CU85" s="231">
        <f t="shared" si="39"/>
        <v>20</v>
      </c>
      <c r="CV85" s="229">
        <f t="shared" si="40"/>
        <v>33</v>
      </c>
      <c r="CW85" s="234">
        <f t="shared" si="41"/>
        <v>4.8487499999999999</v>
      </c>
      <c r="CX85" s="234" cm="1">
        <f t="array" ref="CX85">$BM85 * IF($AH85&lt;=2,
SUMPRODUCT(INDEX($AV$61:$AX$65,,$AI85), INDEX($AY$61:$BE$65,,$AH85), 1 / ($BF$61:$BF$65*CW85 + (1-$BF$61:$BF$65)*CS85), N($AU$61:$AU$65&gt;$AM85)),
SUMPRODUCT(INDEX($AV$46:$AX$55,,$AI85), INDEX($AY$46:$BE$55,,$AH85), 1 / ($BG$46:$BG$55*CW85 + (1-$BG$46:$BG$55)*CS85), N($AU$46:$AU$55&gt;$AM85))
) / 1000</f>
        <v>0</v>
      </c>
      <c r="CY85" s="234" cm="1">
        <f t="array" ref="CY85">$BM85 * IF($AH85&lt;=2,
SUMPRODUCT(INDEX($AV$22:$AX$60,,$AI85), INDEX($AY$22:$BE$60,,$AH85), 1 / ($BF$22:$BF$60*CW85), N($AU$22:$AU$60&gt;$AM85)),
SUMPRODUCT(INDEX($AV$22:$AX$45,,$AI85), INDEX($AY$22:$BE$45,,$AH85), 1 / ($BG$22:$BG$45*CW85), N($AU$22:$AU$45&gt;$AM85))
) / 1000</f>
        <v>0</v>
      </c>
      <c r="CZ85" s="229">
        <f t="shared" si="42"/>
        <v>0</v>
      </c>
      <c r="DA85" s="246"/>
    </row>
    <row r="86" spans="1:105" s="75" customFormat="1" ht="14.25" customHeight="1" x14ac:dyDescent="0.25">
      <c r="A86" s="230" t="b">
        <f t="shared" ref="A86:A340" si="291">IF(OR(AND($L86&gt;80, $AH86=1), AND($L86&gt;40, $AH86=3), AND($L86&gt;30, $AH86=4),), TRUE, FALSE)</f>
        <v>0</v>
      </c>
      <c r="B86" s="253">
        <v>65</v>
      </c>
      <c r="C86" s="266"/>
      <c r="D86" s="266"/>
      <c r="E86" s="254"/>
      <c r="F86" s="255" t="str">
        <f>IF(ISBLANK(E86), "", VLOOKUP(E86, Z!$A$2:$C$4127, 3, FALSE))</f>
        <v/>
      </c>
      <c r="G86" s="256"/>
      <c r="H86" s="256"/>
      <c r="I86" s="256"/>
      <c r="J86" s="257"/>
      <c r="K86" s="258"/>
      <c r="L86" s="267"/>
      <c r="M86" s="268"/>
      <c r="N86" s="259" t="str" cm="1">
        <f t="array" ref="N86">IF($L86&gt;0, INDEX(Clean,1+AK86,$D$1), "")</f>
        <v/>
      </c>
      <c r="O86" s="260"/>
      <c r="P86" s="260"/>
      <c r="Q86" s="261"/>
      <c r="R86" s="264">
        <f t="shared" si="7"/>
        <v>0</v>
      </c>
      <c r="S86" s="259" t="str" cm="1">
        <f t="array" ref="S86">IF($L86&gt;0, INDEX(Clean,1+AL86,$D$1), "")</f>
        <v/>
      </c>
      <c r="T86" s="260"/>
      <c r="U86" s="260"/>
      <c r="V86" s="261"/>
      <c r="W86" s="267"/>
      <c r="X86" s="267"/>
      <c r="Y86" s="257"/>
      <c r="Z86" s="264">
        <f t="shared" si="8"/>
        <v>0</v>
      </c>
      <c r="AA86" s="269"/>
      <c r="AB86" s="266"/>
      <c r="AC86" s="254"/>
      <c r="AD86" s="255" t="str">
        <f>IF(ISBLANK(AC86), "", VLOOKUP(AC86, Z!$A$2:$C$4127, 3, FALSE))</f>
        <v/>
      </c>
      <c r="AE86" s="270"/>
      <c r="AF86" s="265">
        <f t="shared" si="9"/>
        <v>0</v>
      </c>
      <c r="AG86" s="246"/>
      <c r="AH86" s="228">
        <f t="shared" ref="AH86" si="292">IF(ISBLANK(I86), 1, IFERROR(MATCH(I86, INDEX(Use,,1), 0), IFERROR(MATCH(I86, INDEX(Use,,2), 0), MATCH(I86, INDEX(Use,,3), 0))))</f>
        <v>1</v>
      </c>
      <c r="AI86" s="228">
        <f t="shared" ref="AI86" si="293">IF(ISBLANK(H86), 1, IFERROR(MATCH(H86, INDEX(Loc,,1), 0), IFERROR(MATCH(H86, INDEX(Loc,,2), 0), MATCH(H86, INDEX(Loc,,3), 0))))</f>
        <v>1</v>
      </c>
      <c r="AJ86" s="228">
        <f t="shared" ref="AJ86" si="294">_xlfn.IFNA(IF(IFERROR(MATCH(J86, INDEX(Medium,,1), 0), IFERROR(MATCH(J86, INDEX(Medium,,2), 0), MATCH(J86, INDEX(Medium,,3), 0))) = 2, 1, 0), 0)</f>
        <v>0</v>
      </c>
      <c r="AK86" s="228">
        <v>0</v>
      </c>
      <c r="AL86" s="228">
        <v>0</v>
      </c>
      <c r="AM86" s="228">
        <f t="shared" ref="AM86:AM121" si="295">IF(AND(K86="x", AH86=5), 11, IF(AND(K86="x", AH86=6), 19, -100))</f>
        <v>-100</v>
      </c>
      <c r="AN86" s="228" cm="1">
        <f t="array" ref="AN86">IF(ISBLANK(G86), 1, IFERROR(MATCH(G86, INDEX(Kat,,1), 0), IFERROR(MATCH(Kat, INDEX(Use,,2), 0), MATCH(Kat, INDEX(Use,,3), 0))))</f>
        <v>1</v>
      </c>
      <c r="AO86" s="246"/>
      <c r="AP86" s="228" cm="1">
        <f t="array" ref="AP86">IF(W86&gt;0, INDEX(Kat, AN86,4), 0)</f>
        <v>0</v>
      </c>
      <c r="AQ86" s="228">
        <f t="shared" ref="AQ86" si="296">IF(ISBLANK(Y86), 0, IFERROR(MATCH(Y86, INDEX(Month,,1), 0), IFERROR(MATCH(Y86, INDEX(Month,,2), 0), MATCH(Y86, INDEX(Month,,3), 0))))</f>
        <v>0</v>
      </c>
      <c r="AR86" s="228" cm="1">
        <f t="array" ref="AR86">IF(X86&gt;0, INDEX(Kat, $AN86, 4+AQ86), 0)</f>
        <v>0</v>
      </c>
      <c r="AS86" s="228" cm="1">
        <f t="array" ref="AS86">IF(X86&gt;0, INDEX(Kat, $AN86, 9+AQ86), 0)</f>
        <v>0</v>
      </c>
      <c r="AT86" s="246"/>
      <c r="AU86" s="262"/>
      <c r="AV86" s="262"/>
      <c r="AW86" s="262"/>
      <c r="AX86" s="262"/>
      <c r="AY86" s="263"/>
      <c r="AZ86" s="263"/>
      <c r="BA86" s="263"/>
      <c r="BB86" s="263"/>
      <c r="BC86" s="263"/>
      <c r="BD86" s="263"/>
      <c r="BE86" s="263"/>
      <c r="BF86" s="263"/>
      <c r="BG86" s="263"/>
      <c r="BH86" s="210"/>
      <c r="BI86" s="228" cm="1">
        <f t="array" ref="BI86">INDEX(Use, $AH86, 4)</f>
        <v>7</v>
      </c>
      <c r="BJ86" s="228">
        <f t="shared" si="14"/>
        <v>32</v>
      </c>
      <c r="BK86" s="228">
        <f t="shared" si="15"/>
        <v>13</v>
      </c>
      <c r="BL86" s="228">
        <f t="shared" si="16"/>
        <v>0</v>
      </c>
      <c r="BM86" s="233" cm="1">
        <f t="array" ref="BM86">L86/IF($M86&gt;0, INDEX($AY$22:$BE$76, $M86+20, $AH86), 1)</f>
        <v>0</v>
      </c>
      <c r="BN86" s="229">
        <f t="shared" si="17"/>
        <v>0</v>
      </c>
      <c r="BO86" s="228">
        <v>35</v>
      </c>
      <c r="BP86" s="229">
        <f t="shared" si="18"/>
        <v>48</v>
      </c>
      <c r="BQ86" s="234">
        <f t="shared" si="19"/>
        <v>3.0748170731707316</v>
      </c>
      <c r="BR86" s="234" cm="1">
        <f t="array" ref="BR86">$BM86 * SUMPRODUCT(INDEX($AV$76:$AX$81,,$AI86),INDEX($AY$76:$BE$81,,$AH86), N($AU$76:$AU$81&gt;$AM86)) / BQ86 / 1000</f>
        <v>0</v>
      </c>
      <c r="BS86" s="231">
        <f t="shared" si="20"/>
        <v>30</v>
      </c>
      <c r="BT86" s="229">
        <f t="shared" si="21"/>
        <v>43</v>
      </c>
      <c r="BU86" s="234">
        <f t="shared" si="22"/>
        <v>3.5018750000000001</v>
      </c>
      <c r="BV86" s="234" cm="1">
        <f t="array" ref="BV86">$BM86 * IF($AH86&lt;=2,
SUMPRODUCT(INDEX($AV$71:$AX$75,,$AI86), INDEX($AY$71:$BE$75,,$AH86), 1 / ($BF$71:$BF$75*BU86 + (1-$BF$71:$BF$75)*BQ86), N($AU$71:$AU$75&gt;$AM86)),
SUMPRODUCT(INDEX($AV$66:$AX$75,,$AI86), INDEX($AY$66:$BE$75,,$AH86), 1 / ($BG$66:$BG$75*BU86 + (1-$BG$66:$BG$75)*BQ86), N($AU$66:$AU$75&gt;$AM86))
) / 1000</f>
        <v>0</v>
      </c>
      <c r="BW86" s="231">
        <f t="shared" si="23"/>
        <v>25</v>
      </c>
      <c r="BX86" s="229">
        <f t="shared" si="24"/>
        <v>38</v>
      </c>
      <c r="BY86" s="234">
        <f t="shared" si="25"/>
        <v>4.0666935483870965</v>
      </c>
      <c r="BZ86" s="234" cm="1">
        <f t="array" ref="BZ86">$BM86 * IF($AH86&lt;=2,
SUMPRODUCT(INDEX($AV$66:$AX$70,,$AI86), INDEX($AY$66:$BE$70,,$AH86), 1 / ($BF$66:$BF$70*BY86 + (1-$BF$66:$BF$70)*BU86), N($AU$66:$AU$70&gt;$AM86)),
SUMPRODUCT(INDEX($AV$56:$AX$65,,$AI86), INDEX($AY$56:$BE$65,,$AH86), 1 / ($BG$56:$BG$65*BY86 + (1-$BG$56:$BG$65)*BU86), N($AU$56:$AU$65&gt;$AM86))
) / 1000</f>
        <v>0</v>
      </c>
      <c r="CA86" s="231">
        <f t="shared" si="26"/>
        <v>20</v>
      </c>
      <c r="CB86" s="229">
        <f t="shared" si="27"/>
        <v>33</v>
      </c>
      <c r="CC86" s="234">
        <f t="shared" si="28"/>
        <v>4.8487499999999999</v>
      </c>
      <c r="CD86" s="234" cm="1">
        <f t="array" ref="CD86">$BM86 * IF($AH86&lt;=2,
SUMPRODUCT(INDEX($AV$61:$AX$65,,$AI86), INDEX($AY$61:$BE$65,,$AH86), 1 / ($BF$61:$BF$65*CC86 + (1-$BF$61:$BF$65)*BY86), N($AU$61:$AU$65&gt;$AM86)),
SUMPRODUCT(INDEX($AV$46:$AX$55,,$AI86), INDEX($AY$46:$BE$55,,$AH86), 1 / ($BG$46:$BG$55*CC86 + (1-$BG$46:$BG$55)*BY86), N($AU$46:$AU$55&gt;$AM86))
) / 1000</f>
        <v>0</v>
      </c>
      <c r="CE86" s="234" cm="1">
        <f t="array" ref="CE86">$BM86 * IF($AH86&lt;=2,
SUMPRODUCT(INDEX($AV$22:$AX$60,,$AI86), INDEX($AY$22:$BE$60,,$AH86), 1 / ($BF$22:$BF$60*CC86), N($AU$22:$AU$60&gt;$AM86)),
SUMPRODUCT(INDEX($AV$22:$AX$45,,$AI86), INDEX($AY$22:$BE$45,,$AH86), 1 / ($BG$22:$BG$45*CC86), N($AU$22:$AU$45&gt;$AM86))
) / 1000</f>
        <v>0</v>
      </c>
      <c r="CF86" s="229">
        <f t="shared" si="29"/>
        <v>0</v>
      </c>
      <c r="CG86" s="246"/>
      <c r="CH86" s="229">
        <f t="shared" si="30"/>
        <v>0</v>
      </c>
      <c r="CI86" s="228">
        <v>35</v>
      </c>
      <c r="CJ86" s="229">
        <f t="shared" si="31"/>
        <v>48</v>
      </c>
      <c r="CK86" s="234">
        <f t="shared" si="32"/>
        <v>3.0748170731707316</v>
      </c>
      <c r="CL86" s="234" cm="1">
        <f t="array" ref="CL86">$BM86 * SUMPRODUCT(INDEX($AV$76:$AX$81,,$AI86),INDEX($AY$76:$BE$81,,$AH86), N($AU$76:$AU$81&gt;$AM86)) / CK86 / 1000</f>
        <v>0</v>
      </c>
      <c r="CM86" s="231">
        <f t="shared" si="33"/>
        <v>30</v>
      </c>
      <c r="CN86" s="229">
        <f t="shared" si="34"/>
        <v>43</v>
      </c>
      <c r="CO86" s="234">
        <f t="shared" si="35"/>
        <v>3.5018750000000001</v>
      </c>
      <c r="CP86" s="234" cm="1">
        <f t="array" ref="CP86">$BM86 * IF($AH86&lt;=2,
SUMPRODUCT(INDEX($AV$71:$AX$75,,$AI86), INDEX($AY$71:$BE$75,,$AH86), 1 / ($BF$71:$BF$75*CO86 + (1-$BF$71:$BF$75)*CK86), N($AU$71:$AU$75&gt;$AM86)),
SUMPRODUCT(INDEX($AV$66:$AX$75,,$AI86), INDEX($AY$66:$BE$75,,$AH86), 1 / ($BG$66:$BG$75*CO86 + (1-$BG$66:$BG$75)*CK86), N($AU$66:$AU$75&gt;$AM86))
) / 1000</f>
        <v>0</v>
      </c>
      <c r="CQ86" s="231">
        <f t="shared" si="36"/>
        <v>25</v>
      </c>
      <c r="CR86" s="229">
        <f t="shared" si="37"/>
        <v>38</v>
      </c>
      <c r="CS86" s="234">
        <f t="shared" si="38"/>
        <v>4.0666935483870965</v>
      </c>
      <c r="CT86" s="234" cm="1">
        <f t="array" ref="CT86">$BM86 * IF($AH86&lt;=2,
SUMPRODUCT(INDEX($AV$66:$AX$70,,$AI86), INDEX($AY$66:$BE$70,,$AH86), 1 / ($BF$66:$BF$70*CS86 + (1-$BF$66:$BF$70)*CO86), N($AU$66:$AU$70&gt;$AM86)),
SUMPRODUCT(INDEX($AV$56:$AX$65,,$AI86), INDEX($AY$56:$BE$65,,$AH86), 1 / ($BG$56:$BG$65*CS86 + (1-$BG$56:$BG$65)*CO86), N($AU$56:$AU$65&gt;$AM86))
) / 1000</f>
        <v>0</v>
      </c>
      <c r="CU86" s="231">
        <f t="shared" si="39"/>
        <v>20</v>
      </c>
      <c r="CV86" s="229">
        <f t="shared" si="40"/>
        <v>33</v>
      </c>
      <c r="CW86" s="234">
        <f t="shared" si="41"/>
        <v>4.8487499999999999</v>
      </c>
      <c r="CX86" s="234" cm="1">
        <f t="array" ref="CX86">$BM86 * IF($AH86&lt;=2,
SUMPRODUCT(INDEX($AV$61:$AX$65,,$AI86), INDEX($AY$61:$BE$65,,$AH86), 1 / ($BF$61:$BF$65*CW86 + (1-$BF$61:$BF$65)*CS86), N($AU$61:$AU$65&gt;$AM86)),
SUMPRODUCT(INDEX($AV$46:$AX$55,,$AI86), INDEX($AY$46:$BE$55,,$AH86), 1 / ($BG$46:$BG$55*CW86 + (1-$BG$46:$BG$55)*CS86), N($AU$46:$AU$55&gt;$AM86))
) / 1000</f>
        <v>0</v>
      </c>
      <c r="CY86" s="234" cm="1">
        <f t="array" ref="CY86">$BM86 * IF($AH86&lt;=2,
SUMPRODUCT(INDEX($AV$22:$AX$60,,$AI86), INDEX($AY$22:$BE$60,,$AH86), 1 / ($BF$22:$BF$60*CW86), N($AU$22:$AU$60&gt;$AM86)),
SUMPRODUCT(INDEX($AV$22:$AX$45,,$AI86), INDEX($AY$22:$BE$45,,$AH86), 1 / ($BG$22:$BG$45*CW86), N($AU$22:$AU$45&gt;$AM86))
) / 1000</f>
        <v>0</v>
      </c>
      <c r="CZ86" s="229">
        <f t="shared" si="42"/>
        <v>0</v>
      </c>
      <c r="DA86" s="246"/>
    </row>
    <row r="87" spans="1:105" s="75" customFormat="1" ht="14.25" customHeight="1" x14ac:dyDescent="0.25">
      <c r="A87" s="230" t="b">
        <f t="shared" si="291"/>
        <v>0</v>
      </c>
      <c r="B87" s="253">
        <v>66</v>
      </c>
      <c r="C87" s="266"/>
      <c r="D87" s="266"/>
      <c r="E87" s="254"/>
      <c r="F87" s="255" t="str">
        <f>IF(ISBLANK(E87), "", VLOOKUP(E87, Z!$A$2:$C$4127, 3, FALSE))</f>
        <v/>
      </c>
      <c r="G87" s="256"/>
      <c r="H87" s="256"/>
      <c r="I87" s="256"/>
      <c r="J87" s="257"/>
      <c r="K87" s="258"/>
      <c r="L87" s="267"/>
      <c r="M87" s="268"/>
      <c r="N87" s="259" t="str" cm="1">
        <f t="array" ref="N87">IF($L87&gt;0, INDEX(Clean,1+AK87,$D$1), "")</f>
        <v/>
      </c>
      <c r="O87" s="260"/>
      <c r="P87" s="260"/>
      <c r="Q87" s="261"/>
      <c r="R87" s="264">
        <f t="shared" ref="R87:R121" si="297">CF87*1000</f>
        <v>0</v>
      </c>
      <c r="S87" s="259" t="str" cm="1">
        <f t="array" ref="S87">IF($L87&gt;0, INDEX(Clean,1+AL87,$D$1), "")</f>
        <v/>
      </c>
      <c r="T87" s="260"/>
      <c r="U87" s="260"/>
      <c r="V87" s="261"/>
      <c r="W87" s="267"/>
      <c r="X87" s="267"/>
      <c r="Y87" s="257"/>
      <c r="Z87" s="264">
        <f t="shared" ref="Z87:Z121" si="298">(CZ87 - IF(W87&gt;0, CZ87*(W87/7)*AP87, 0) - IF(X87&gt;0, CZ87*(X87*AR87*AS87), 0))*1000</f>
        <v>0</v>
      </c>
      <c r="AA87" s="269"/>
      <c r="AB87" s="266"/>
      <c r="AC87" s="254"/>
      <c r="AD87" s="255" t="str">
        <f>IF(ISBLANK(AC87), "", VLOOKUP(AC87, Z!$A$2:$C$4127, 3, FALSE))</f>
        <v/>
      </c>
      <c r="AE87" s="270"/>
      <c r="AF87" s="265">
        <f t="shared" ref="AF87:AF121" si="299">0.75*AO$22*(R87-Z87)</f>
        <v>0</v>
      </c>
      <c r="AG87" s="246"/>
      <c r="AH87" s="228">
        <f t="shared" ref="AH87" si="300">IF(ISBLANK(I87), 1, IFERROR(MATCH(I87, INDEX(Use,,1), 0), IFERROR(MATCH(I87, INDEX(Use,,2), 0), MATCH(I87, INDEX(Use,,3), 0))))</f>
        <v>1</v>
      </c>
      <c r="AI87" s="228">
        <f t="shared" ref="AI87" si="301">IF(ISBLANK(H87), 1, IFERROR(MATCH(H87, INDEX(Loc,,1), 0), IFERROR(MATCH(H87, INDEX(Loc,,2), 0), MATCH(H87, INDEX(Loc,,3), 0))))</f>
        <v>1</v>
      </c>
      <c r="AJ87" s="228">
        <f t="shared" ref="AJ87" si="302">_xlfn.IFNA(IF(IFERROR(MATCH(J87, INDEX(Medium,,1), 0), IFERROR(MATCH(J87, INDEX(Medium,,2), 0), MATCH(J87, INDEX(Medium,,3), 0))) = 2, 1, 0), 0)</f>
        <v>0</v>
      </c>
      <c r="AK87" s="228">
        <v>0</v>
      </c>
      <c r="AL87" s="228">
        <v>0</v>
      </c>
      <c r="AM87" s="228">
        <f t="shared" si="295"/>
        <v>-100</v>
      </c>
      <c r="AN87" s="228" cm="1">
        <f t="array" ref="AN87">IF(ISBLANK(G87), 1, IFERROR(MATCH(G87, INDEX(Kat,,1), 0), IFERROR(MATCH(Kat, INDEX(Use,,2), 0), MATCH(Kat, INDEX(Use,,3), 0))))</f>
        <v>1</v>
      </c>
      <c r="AO87" s="246"/>
      <c r="AP87" s="228" cm="1">
        <f t="array" ref="AP87">IF(W87&gt;0, INDEX(Kat, AN87,4), 0)</f>
        <v>0</v>
      </c>
      <c r="AQ87" s="228">
        <f t="shared" ref="AQ87" si="303">IF(ISBLANK(Y87), 0, IFERROR(MATCH(Y87, INDEX(Month,,1), 0), IFERROR(MATCH(Y87, INDEX(Month,,2), 0), MATCH(Y87, INDEX(Month,,3), 0))))</f>
        <v>0</v>
      </c>
      <c r="AR87" s="228" cm="1">
        <f t="array" ref="AR87">IF(X87&gt;0, INDEX(Kat, $AN87, 4+AQ87), 0)</f>
        <v>0</v>
      </c>
      <c r="AS87" s="228" cm="1">
        <f t="array" ref="AS87">IF(X87&gt;0, INDEX(Kat, $AN87, 9+AQ87), 0)</f>
        <v>0</v>
      </c>
      <c r="AT87" s="246"/>
      <c r="AU87" s="262"/>
      <c r="AV87" s="262"/>
      <c r="AW87" s="262"/>
      <c r="AX87" s="262"/>
      <c r="AY87" s="263"/>
      <c r="AZ87" s="263"/>
      <c r="BA87" s="263"/>
      <c r="BB87" s="263"/>
      <c r="BC87" s="263"/>
      <c r="BD87" s="263"/>
      <c r="BE87" s="263"/>
      <c r="BF87" s="263"/>
      <c r="BG87" s="263"/>
      <c r="BH87" s="210"/>
      <c r="BI87" s="228" cm="1">
        <f t="array" ref="BI87">INDEX(Use, $AH87, 4)</f>
        <v>7</v>
      </c>
      <c r="BJ87" s="228">
        <f t="shared" ref="BJ87:BJ121" si="304">MAX(25, BI87+25)</f>
        <v>32</v>
      </c>
      <c r="BK87" s="228">
        <f t="shared" ref="BK87:BK341" si="305">IF($AJ87=1, 6, IF($AH87=4, 10, 13))</f>
        <v>13</v>
      </c>
      <c r="BL87" s="228">
        <f t="shared" ref="BL87:BL341" si="306">IF($AJ87=1, 9, 0)</f>
        <v>0</v>
      </c>
      <c r="BM87" s="233" cm="1">
        <f t="array" ref="BM87">L87/IF($M87&gt;0, INDEX($AY$22:$BE$76, $M87+20, $AH87), 1)</f>
        <v>0</v>
      </c>
      <c r="BN87" s="229">
        <f t="shared" ref="BN87:BN121" si="307">Q87 /  IF(AH87&lt;=2, 0.7 + 0.3 * (P87-20)/(35-20), 0.4 + 0.6 * (P87-5)/(35-5))</f>
        <v>0</v>
      </c>
      <c r="BO87" s="228">
        <v>35</v>
      </c>
      <c r="BP87" s="229">
        <f t="shared" ref="BP87:BP121" si="308">MAX($O87, MAX($BJ87, $BO87 + $BK87 + $BL87 + 0.35*$AK87*$BK87 + BN87))</f>
        <v>48</v>
      </c>
      <c r="BQ87" s="234">
        <f t="shared" ref="BQ87:BQ121" si="309">0.45*($BI87+273.15)/(BP87-$BI87)</f>
        <v>3.0748170731707316</v>
      </c>
      <c r="BR87" s="234" cm="1">
        <f t="array" ref="BR87">$BM87 * SUMPRODUCT(INDEX($AV$76:$AX$81,,$AI87),INDEX($AY$76:$BE$81,,$AH87), N($AU$76:$AU$81&gt;$AM87)) / BQ87 / 1000</f>
        <v>0</v>
      </c>
      <c r="BS87" s="231">
        <f t="shared" ref="BS87:BS341" si="310">IF($AH87&lt;=2, 30, 25)</f>
        <v>30</v>
      </c>
      <c r="BT87" s="229">
        <f t="shared" ref="BT87:BT121" si="311">MAX($O87, MAX($BJ87, BS87 + $BK87 + $BL87 + IF($AH87&lt;=2, (BS87-20)/(35-20), 0.6+0.4*(BS87-5)/(35-5))*0.35*$AK87*$BK87) + IF($AH87&lt;=2,0.9,0.8)*$BN87)</f>
        <v>43</v>
      </c>
      <c r="BU87" s="234">
        <f t="shared" ref="BU87:BU121" si="312">0.45*($BI87+273.15)/(BT87-$BI87)</f>
        <v>3.5018750000000001</v>
      </c>
      <c r="BV87" s="234" cm="1">
        <f t="array" ref="BV87">$BM87 * IF($AH87&lt;=2,
SUMPRODUCT(INDEX($AV$71:$AX$75,,$AI87), INDEX($AY$71:$BE$75,,$AH87), 1 / ($BF$71:$BF$75*BU87 + (1-$BF$71:$BF$75)*BQ87), N($AU$71:$AU$75&gt;$AM87)),
SUMPRODUCT(INDEX($AV$66:$AX$75,,$AI87), INDEX($AY$66:$BE$75,,$AH87), 1 / ($BG$66:$BG$75*BU87 + (1-$BG$66:$BG$75)*BQ87), N($AU$66:$AU$75&gt;$AM87))
) / 1000</f>
        <v>0</v>
      </c>
      <c r="BW87" s="231">
        <f t="shared" ref="BW87:BW341" si="313">IF($AH87&lt;=2, 25, 15)</f>
        <v>25</v>
      </c>
      <c r="BX87" s="229">
        <f t="shared" ref="BX87:BX121" si="314">MAX($O87, MAX($BJ87, BW87 + $BK87 + $BL87 + IF($AH87&lt;=2, (BW87-20)/(35-20), 0.6+0.4*(BW87-5)/(35-5))*0.35*$AK87*$BK87) + IF($AH87&lt;=2,0.8,0.6)*$BN87)</f>
        <v>38</v>
      </c>
      <c r="BY87" s="234">
        <f t="shared" ref="BY87:BY121" si="315">0.45*($BI87+273.15)/(BX87-$BI87)</f>
        <v>4.0666935483870965</v>
      </c>
      <c r="BZ87" s="234" cm="1">
        <f t="array" ref="BZ87">$BM87 * IF($AH87&lt;=2,
SUMPRODUCT(INDEX($AV$66:$AX$70,,$AI87), INDEX($AY$66:$BE$70,,$AH87), 1 / ($BF$66:$BF$70*BY87 + (1-$BF$66:$BF$70)*BU87), N($AU$66:$AU$70&gt;$AM87)),
SUMPRODUCT(INDEX($AV$56:$AX$65,,$AI87), INDEX($AY$56:$BE$65,,$AH87), 1 / ($BG$56:$BG$65*BY87 + (1-$BG$56:$BG$65)*BU87), N($AU$56:$AU$65&gt;$AM87))
) / 1000</f>
        <v>0</v>
      </c>
      <c r="CA87" s="231">
        <f t="shared" ref="CA87:CA341" si="316">IF($AH87&lt;=2, 20, 5)</f>
        <v>20</v>
      </c>
      <c r="CB87" s="229">
        <f t="shared" ref="CB87:CB121" si="317">MAX($O87, MAX($BJ87, CA87 + $BK87 + $BL87 + IF($AH87&lt;=2, (CA87-20)/(35-20), 0.6+0.4*(CA87-5)/(35-5))*0.35*$AK87*$BK87) + IF($AH87&lt;=2,0.7,0.4)*$BN87)</f>
        <v>33</v>
      </c>
      <c r="CC87" s="234">
        <f t="shared" ref="CC87:CC121" si="318">0.45*($BI87+273.15)/(CB87-$BI87)</f>
        <v>4.8487499999999999</v>
      </c>
      <c r="CD87" s="234" cm="1">
        <f t="array" ref="CD87">$BM87 * IF($AH87&lt;=2,
SUMPRODUCT(INDEX($AV$61:$AX$65,,$AI87), INDEX($AY$61:$BE$65,,$AH87), 1 / ($BF$61:$BF$65*CC87 + (1-$BF$61:$BF$65)*BY87), N($AU$61:$AU$65&gt;$AM87)),
SUMPRODUCT(INDEX($AV$46:$AX$55,,$AI87), INDEX($AY$46:$BE$55,,$AH87), 1 / ($BG$46:$BG$55*CC87 + (1-$BG$46:$BG$55)*BY87), N($AU$46:$AU$55&gt;$AM87))
) / 1000</f>
        <v>0</v>
      </c>
      <c r="CE87" s="234" cm="1">
        <f t="array" ref="CE87">$BM87 * IF($AH87&lt;=2,
SUMPRODUCT(INDEX($AV$22:$AX$60,,$AI87), INDEX($AY$22:$BE$60,,$AH87), 1 / ($BF$22:$BF$60*CC87), N($AU$22:$AU$60&gt;$AM87)),
SUMPRODUCT(INDEX($AV$22:$AX$45,,$AI87), INDEX($AY$22:$BE$45,,$AH87), 1 / ($BG$22:$BG$45*CC87), N($AU$22:$AU$45&gt;$AM87))
) / 1000</f>
        <v>0</v>
      </c>
      <c r="CF87" s="229">
        <f t="shared" ref="CF87:CF121" si="319">BR87+BV87+BZ87+CD87+CE87</f>
        <v>0</v>
      </c>
      <c r="CG87" s="246"/>
      <c r="CH87" s="229">
        <f t="shared" ref="CH87:CH121" si="320">V87 /  IF(AH87&lt;=2, 0.7 + 0.3 * (U87-20)/(35-20), 0.4 + 0.6 * (U87-5)/(35-5))</f>
        <v>0</v>
      </c>
      <c r="CI87" s="228">
        <v>35</v>
      </c>
      <c r="CJ87" s="229">
        <f t="shared" ref="CJ87:CJ121" si="321">MAX($T87, MAX($BJ87, $BO87 + $BK87 + $BL87 + 0.35*$AL87*$BK87 + CH87))</f>
        <v>48</v>
      </c>
      <c r="CK87" s="234">
        <f t="shared" ref="CK87:CK121" si="322">0.45*($BI87+273.15)/(CJ87-$BI87)</f>
        <v>3.0748170731707316</v>
      </c>
      <c r="CL87" s="234" cm="1">
        <f t="array" ref="CL87">$BM87 * SUMPRODUCT(INDEX($AV$76:$AX$81,,$AI87),INDEX($AY$76:$BE$81,,$AH87), N($AU$76:$AU$81&gt;$AM87)) / CK87 / 1000</f>
        <v>0</v>
      </c>
      <c r="CM87" s="231">
        <f t="shared" ref="CM87:CM341" si="323">IF($AH87&lt;=2, 30, 25)</f>
        <v>30</v>
      </c>
      <c r="CN87" s="229">
        <f t="shared" ref="CN87:CN121" si="324">MAX($T87, MAX($BJ87, CM87 + $BK87 + $BL87 + IF($AH87&lt;=2, (CM87-20)/(35-20), 0.6+0.4*(CM87-5)/(35-5))*0.35*$AL87*$BK87) + IF($AH87&lt;=2,0.9,0.8)*$CH87)</f>
        <v>43</v>
      </c>
      <c r="CO87" s="234">
        <f t="shared" ref="CO87:CO121" si="325">0.45*($BI87+273.15)/(CN87-$BI87)</f>
        <v>3.5018750000000001</v>
      </c>
      <c r="CP87" s="234" cm="1">
        <f t="array" ref="CP87">$BM87 * IF($AH87&lt;=2,
SUMPRODUCT(INDEX($AV$71:$AX$75,,$AI87), INDEX($AY$71:$BE$75,,$AH87), 1 / ($BF$71:$BF$75*CO87 + (1-$BF$71:$BF$75)*CK87), N($AU$71:$AU$75&gt;$AM87)),
SUMPRODUCT(INDEX($AV$66:$AX$75,,$AI87), INDEX($AY$66:$BE$75,,$AH87), 1 / ($BG$66:$BG$75*CO87 + (1-$BG$66:$BG$75)*CK87), N($AU$66:$AU$75&gt;$AM87))
) / 1000</f>
        <v>0</v>
      </c>
      <c r="CQ87" s="231">
        <f t="shared" ref="CQ87:CQ341" si="326">IF($AH87&lt;=2, 25, 15)</f>
        <v>25</v>
      </c>
      <c r="CR87" s="229">
        <f t="shared" ref="CR87:CR121" si="327">MAX($T87, MAX($BJ87, CQ87 + $BK87 + $BL87 + IF($AH87&lt;=2, (CQ87-20)/(35-20), 0.6+0.4*(CQ87-5)/(35-5))*0.35*$AL87*$BK87) + IF($AH87&lt;=2,0.8,0.6)*$CH87)</f>
        <v>38</v>
      </c>
      <c r="CS87" s="234">
        <f t="shared" ref="CS87:CS121" si="328">0.45*($BI87+273.15)/(CR87-$BI87)</f>
        <v>4.0666935483870965</v>
      </c>
      <c r="CT87" s="234" cm="1">
        <f t="array" ref="CT87">$BM87 * IF($AH87&lt;=2,
SUMPRODUCT(INDEX($AV$66:$AX$70,,$AI87), INDEX($AY$66:$BE$70,,$AH87), 1 / ($BF$66:$BF$70*CS87 + (1-$BF$66:$BF$70)*CO87), N($AU$66:$AU$70&gt;$AM87)),
SUMPRODUCT(INDEX($AV$56:$AX$65,,$AI87), INDEX($AY$56:$BE$65,,$AH87), 1 / ($BG$56:$BG$65*CS87 + (1-$BG$56:$BG$65)*CO87), N($AU$56:$AU$65&gt;$AM87))
) / 1000</f>
        <v>0</v>
      </c>
      <c r="CU87" s="231">
        <f t="shared" ref="CU87:CU341" si="329">IF($AH87&lt;=2, 20, 5)</f>
        <v>20</v>
      </c>
      <c r="CV87" s="229">
        <f t="shared" ref="CV87:CV121" si="330">MAX($T87, MAX($BJ87, CU87 + $BK87 + $BL87 + IF($AH87&lt;=2, (CU87-20)/(35-20), 0.6+0.4*(CU87-5)/(35-5))*0.35*$AL87*$BK87) + IF($AH87&lt;=2,0.7,0.4)*$CH87)</f>
        <v>33</v>
      </c>
      <c r="CW87" s="234">
        <f t="shared" ref="CW87:CW121" si="331">0.45*($BI87+273.15)/(CV87-$BI87)</f>
        <v>4.8487499999999999</v>
      </c>
      <c r="CX87" s="234" cm="1">
        <f t="array" ref="CX87">$BM87 * IF($AH87&lt;=2,
SUMPRODUCT(INDEX($AV$61:$AX$65,,$AI87), INDEX($AY$61:$BE$65,,$AH87), 1 / ($BF$61:$BF$65*CW87 + (1-$BF$61:$BF$65)*CS87), N($AU$61:$AU$65&gt;$AM87)),
SUMPRODUCT(INDEX($AV$46:$AX$55,,$AI87), INDEX($AY$46:$BE$55,,$AH87), 1 / ($BG$46:$BG$55*CW87 + (1-$BG$46:$BG$55)*CS87), N($AU$46:$AU$55&gt;$AM87))
) / 1000</f>
        <v>0</v>
      </c>
      <c r="CY87" s="234" cm="1">
        <f t="array" ref="CY87">$BM87 * IF($AH87&lt;=2,
SUMPRODUCT(INDEX($AV$22:$AX$60,,$AI87), INDEX($AY$22:$BE$60,,$AH87), 1 / ($BF$22:$BF$60*CW87), N($AU$22:$AU$60&gt;$AM87)),
SUMPRODUCT(INDEX($AV$22:$AX$45,,$AI87), INDEX($AY$22:$BE$45,,$AH87), 1 / ($BG$22:$BG$45*CW87), N($AU$22:$AU$45&gt;$AM87))
) / 1000</f>
        <v>0</v>
      </c>
      <c r="CZ87" s="229">
        <f t="shared" ref="CZ87:CZ121" si="332">CL87+CP87+CT87+CX87+CY87</f>
        <v>0</v>
      </c>
      <c r="DA87" s="246"/>
    </row>
    <row r="88" spans="1:105" s="75" customFormat="1" ht="14.25" customHeight="1" x14ac:dyDescent="0.25">
      <c r="A88" s="230" t="b">
        <f t="shared" si="291"/>
        <v>0</v>
      </c>
      <c r="B88" s="253">
        <v>67</v>
      </c>
      <c r="C88" s="266"/>
      <c r="D88" s="266"/>
      <c r="E88" s="254"/>
      <c r="F88" s="255" t="str">
        <f>IF(ISBLANK(E88), "", VLOOKUP(E88, Z!$A$2:$C$4127, 3, FALSE))</f>
        <v/>
      </c>
      <c r="G88" s="256"/>
      <c r="H88" s="256"/>
      <c r="I88" s="256"/>
      <c r="J88" s="257"/>
      <c r="K88" s="258"/>
      <c r="L88" s="267"/>
      <c r="M88" s="268"/>
      <c r="N88" s="259" t="str" cm="1">
        <f t="array" ref="N88">IF($L88&gt;0, INDEX(Clean,1+AK88,$D$1), "")</f>
        <v/>
      </c>
      <c r="O88" s="260"/>
      <c r="P88" s="260"/>
      <c r="Q88" s="261"/>
      <c r="R88" s="264">
        <f t="shared" si="297"/>
        <v>0</v>
      </c>
      <c r="S88" s="259" t="str" cm="1">
        <f t="array" ref="S88">IF($L88&gt;0, INDEX(Clean,1+AL88,$D$1), "")</f>
        <v/>
      </c>
      <c r="T88" s="260"/>
      <c r="U88" s="260"/>
      <c r="V88" s="261"/>
      <c r="W88" s="267"/>
      <c r="X88" s="267"/>
      <c r="Y88" s="257"/>
      <c r="Z88" s="264">
        <f t="shared" si="298"/>
        <v>0</v>
      </c>
      <c r="AA88" s="269"/>
      <c r="AB88" s="266"/>
      <c r="AC88" s="254"/>
      <c r="AD88" s="255" t="str">
        <f>IF(ISBLANK(AC88), "", VLOOKUP(AC88, Z!$A$2:$C$4127, 3, FALSE))</f>
        <v/>
      </c>
      <c r="AE88" s="270"/>
      <c r="AF88" s="265">
        <f t="shared" si="299"/>
        <v>0</v>
      </c>
      <c r="AG88" s="246"/>
      <c r="AH88" s="228">
        <f t="shared" ref="AH88" si="333">IF(ISBLANK(I88), 1, IFERROR(MATCH(I88, INDEX(Use,,1), 0), IFERROR(MATCH(I88, INDEX(Use,,2), 0), MATCH(I88, INDEX(Use,,3), 0))))</f>
        <v>1</v>
      </c>
      <c r="AI88" s="228">
        <f t="shared" ref="AI88" si="334">IF(ISBLANK(H88), 1, IFERROR(MATCH(H88, INDEX(Loc,,1), 0), IFERROR(MATCH(H88, INDEX(Loc,,2), 0), MATCH(H88, INDEX(Loc,,3), 0))))</f>
        <v>1</v>
      </c>
      <c r="AJ88" s="228">
        <f t="shared" ref="AJ88" si="335">_xlfn.IFNA(IF(IFERROR(MATCH(J88, INDEX(Medium,,1), 0), IFERROR(MATCH(J88, INDEX(Medium,,2), 0), MATCH(J88, INDEX(Medium,,3), 0))) = 2, 1, 0), 0)</f>
        <v>0</v>
      </c>
      <c r="AK88" s="228">
        <v>0</v>
      </c>
      <c r="AL88" s="228">
        <v>0</v>
      </c>
      <c r="AM88" s="228">
        <f t="shared" si="295"/>
        <v>-100</v>
      </c>
      <c r="AN88" s="228" cm="1">
        <f t="array" ref="AN88">IF(ISBLANK(G88), 1, IFERROR(MATCH(G88, INDEX(Kat,,1), 0), IFERROR(MATCH(Kat, INDEX(Use,,2), 0), MATCH(Kat, INDEX(Use,,3), 0))))</f>
        <v>1</v>
      </c>
      <c r="AO88" s="246"/>
      <c r="AP88" s="228" cm="1">
        <f t="array" ref="AP88">IF(W88&gt;0, INDEX(Kat, AN88,4), 0)</f>
        <v>0</v>
      </c>
      <c r="AQ88" s="228">
        <f t="shared" ref="AQ88" si="336">IF(ISBLANK(Y88), 0, IFERROR(MATCH(Y88, INDEX(Month,,1), 0), IFERROR(MATCH(Y88, INDEX(Month,,2), 0), MATCH(Y88, INDEX(Month,,3), 0))))</f>
        <v>0</v>
      </c>
      <c r="AR88" s="228" cm="1">
        <f t="array" ref="AR88">IF(X88&gt;0, INDEX(Kat, $AN88, 4+AQ88), 0)</f>
        <v>0</v>
      </c>
      <c r="AS88" s="228" cm="1">
        <f t="array" ref="AS88">IF(X88&gt;0, INDEX(Kat, $AN88, 9+AQ88), 0)</f>
        <v>0</v>
      </c>
      <c r="AT88" s="246"/>
      <c r="AU88" s="262"/>
      <c r="AV88" s="262"/>
      <c r="AW88" s="263"/>
      <c r="AX88" s="263"/>
      <c r="AY88" s="263"/>
      <c r="AZ88" s="263"/>
      <c r="BA88" s="263"/>
      <c r="BB88" s="263"/>
      <c r="BC88" s="263"/>
      <c r="BD88" s="263"/>
      <c r="BE88" s="263"/>
      <c r="BF88" s="263"/>
      <c r="BG88" s="263"/>
      <c r="BH88" s="210"/>
      <c r="BI88" s="228" cm="1">
        <f t="array" ref="BI88">INDEX(Use, $AH88, 4)</f>
        <v>7</v>
      </c>
      <c r="BJ88" s="228">
        <f t="shared" si="304"/>
        <v>32</v>
      </c>
      <c r="BK88" s="228">
        <f t="shared" si="305"/>
        <v>13</v>
      </c>
      <c r="BL88" s="228">
        <f t="shared" si="306"/>
        <v>0</v>
      </c>
      <c r="BM88" s="233" cm="1">
        <f t="array" ref="BM88">L88/IF($M88&gt;0, INDEX($AY$22:$BE$76, $M88+20, $AH88), 1)</f>
        <v>0</v>
      </c>
      <c r="BN88" s="229">
        <f t="shared" si="307"/>
        <v>0</v>
      </c>
      <c r="BO88" s="228">
        <v>35</v>
      </c>
      <c r="BP88" s="229">
        <f t="shared" si="308"/>
        <v>48</v>
      </c>
      <c r="BQ88" s="234">
        <f t="shared" si="309"/>
        <v>3.0748170731707316</v>
      </c>
      <c r="BR88" s="234" cm="1">
        <f t="array" ref="BR88">$BM88 * SUMPRODUCT(INDEX($AV$76:$AX$81,,$AI88),INDEX($AY$76:$BE$81,,$AH88), N($AU$76:$AU$81&gt;$AM88)) / BQ88 / 1000</f>
        <v>0</v>
      </c>
      <c r="BS88" s="231">
        <f t="shared" si="310"/>
        <v>30</v>
      </c>
      <c r="BT88" s="229">
        <f t="shared" si="311"/>
        <v>43</v>
      </c>
      <c r="BU88" s="234">
        <f t="shared" si="312"/>
        <v>3.5018750000000001</v>
      </c>
      <c r="BV88" s="234" cm="1">
        <f t="array" ref="BV88">$BM88 * IF($AH88&lt;=2,
SUMPRODUCT(INDEX($AV$71:$AX$75,,$AI88), INDEX($AY$71:$BE$75,,$AH88), 1 / ($BF$71:$BF$75*BU88 + (1-$BF$71:$BF$75)*BQ88), N($AU$71:$AU$75&gt;$AM88)),
SUMPRODUCT(INDEX($AV$66:$AX$75,,$AI88), INDEX($AY$66:$BE$75,,$AH88), 1 / ($BG$66:$BG$75*BU88 + (1-$BG$66:$BG$75)*BQ88), N($AU$66:$AU$75&gt;$AM88))
) / 1000</f>
        <v>0</v>
      </c>
      <c r="BW88" s="231">
        <f t="shared" si="313"/>
        <v>25</v>
      </c>
      <c r="BX88" s="229">
        <f t="shared" si="314"/>
        <v>38</v>
      </c>
      <c r="BY88" s="234">
        <f t="shared" si="315"/>
        <v>4.0666935483870965</v>
      </c>
      <c r="BZ88" s="234" cm="1">
        <f t="array" ref="BZ88">$BM88 * IF($AH88&lt;=2,
SUMPRODUCT(INDEX($AV$66:$AX$70,,$AI88), INDEX($AY$66:$BE$70,,$AH88), 1 / ($BF$66:$BF$70*BY88 + (1-$BF$66:$BF$70)*BU88), N($AU$66:$AU$70&gt;$AM88)),
SUMPRODUCT(INDEX($AV$56:$AX$65,,$AI88), INDEX($AY$56:$BE$65,,$AH88), 1 / ($BG$56:$BG$65*BY88 + (1-$BG$56:$BG$65)*BU88), N($AU$56:$AU$65&gt;$AM88))
) / 1000</f>
        <v>0</v>
      </c>
      <c r="CA88" s="231">
        <f t="shared" si="316"/>
        <v>20</v>
      </c>
      <c r="CB88" s="229">
        <f t="shared" si="317"/>
        <v>33</v>
      </c>
      <c r="CC88" s="234">
        <f t="shared" si="318"/>
        <v>4.8487499999999999</v>
      </c>
      <c r="CD88" s="234" cm="1">
        <f t="array" ref="CD88">$BM88 * IF($AH88&lt;=2,
SUMPRODUCT(INDEX($AV$61:$AX$65,,$AI88), INDEX($AY$61:$BE$65,,$AH88), 1 / ($BF$61:$BF$65*CC88 + (1-$BF$61:$BF$65)*BY88), N($AU$61:$AU$65&gt;$AM88)),
SUMPRODUCT(INDEX($AV$46:$AX$55,,$AI88), INDEX($AY$46:$BE$55,,$AH88), 1 / ($BG$46:$BG$55*CC88 + (1-$BG$46:$BG$55)*BY88), N($AU$46:$AU$55&gt;$AM88))
) / 1000</f>
        <v>0</v>
      </c>
      <c r="CE88" s="234" cm="1">
        <f t="array" ref="CE88">$BM88 * IF($AH88&lt;=2,
SUMPRODUCT(INDEX($AV$22:$AX$60,,$AI88), INDEX($AY$22:$BE$60,,$AH88), 1 / ($BF$22:$BF$60*CC88), N($AU$22:$AU$60&gt;$AM88)),
SUMPRODUCT(INDEX($AV$22:$AX$45,,$AI88), INDEX($AY$22:$BE$45,,$AH88), 1 / ($BG$22:$BG$45*CC88), N($AU$22:$AU$45&gt;$AM88))
) / 1000</f>
        <v>0</v>
      </c>
      <c r="CF88" s="229">
        <f t="shared" si="319"/>
        <v>0</v>
      </c>
      <c r="CG88" s="246"/>
      <c r="CH88" s="229">
        <f t="shared" si="320"/>
        <v>0</v>
      </c>
      <c r="CI88" s="228">
        <v>35</v>
      </c>
      <c r="CJ88" s="229">
        <f t="shared" si="321"/>
        <v>48</v>
      </c>
      <c r="CK88" s="234">
        <f t="shared" si="322"/>
        <v>3.0748170731707316</v>
      </c>
      <c r="CL88" s="234" cm="1">
        <f t="array" ref="CL88">$BM88 * SUMPRODUCT(INDEX($AV$76:$AX$81,,$AI88),INDEX($AY$76:$BE$81,,$AH88), N($AU$76:$AU$81&gt;$AM88)) / CK88 / 1000</f>
        <v>0</v>
      </c>
      <c r="CM88" s="231">
        <f t="shared" si="323"/>
        <v>30</v>
      </c>
      <c r="CN88" s="229">
        <f t="shared" si="324"/>
        <v>43</v>
      </c>
      <c r="CO88" s="234">
        <f t="shared" si="325"/>
        <v>3.5018750000000001</v>
      </c>
      <c r="CP88" s="234" cm="1">
        <f t="array" ref="CP88">$BM88 * IF($AH88&lt;=2,
SUMPRODUCT(INDEX($AV$71:$AX$75,,$AI88), INDEX($AY$71:$BE$75,,$AH88), 1 / ($BF$71:$BF$75*CO88 + (1-$BF$71:$BF$75)*CK88), N($AU$71:$AU$75&gt;$AM88)),
SUMPRODUCT(INDEX($AV$66:$AX$75,,$AI88), INDEX($AY$66:$BE$75,,$AH88), 1 / ($BG$66:$BG$75*CO88 + (1-$BG$66:$BG$75)*CK88), N($AU$66:$AU$75&gt;$AM88))
) / 1000</f>
        <v>0</v>
      </c>
      <c r="CQ88" s="231">
        <f t="shared" si="326"/>
        <v>25</v>
      </c>
      <c r="CR88" s="229">
        <f t="shared" si="327"/>
        <v>38</v>
      </c>
      <c r="CS88" s="234">
        <f t="shared" si="328"/>
        <v>4.0666935483870965</v>
      </c>
      <c r="CT88" s="234" cm="1">
        <f t="array" ref="CT88">$BM88 * IF($AH88&lt;=2,
SUMPRODUCT(INDEX($AV$66:$AX$70,,$AI88), INDEX($AY$66:$BE$70,,$AH88), 1 / ($BF$66:$BF$70*CS88 + (1-$BF$66:$BF$70)*CO88), N($AU$66:$AU$70&gt;$AM88)),
SUMPRODUCT(INDEX($AV$56:$AX$65,,$AI88), INDEX($AY$56:$BE$65,,$AH88), 1 / ($BG$56:$BG$65*CS88 + (1-$BG$56:$BG$65)*CO88), N($AU$56:$AU$65&gt;$AM88))
) / 1000</f>
        <v>0</v>
      </c>
      <c r="CU88" s="231">
        <f t="shared" si="329"/>
        <v>20</v>
      </c>
      <c r="CV88" s="229">
        <f t="shared" si="330"/>
        <v>33</v>
      </c>
      <c r="CW88" s="234">
        <f t="shared" si="331"/>
        <v>4.8487499999999999</v>
      </c>
      <c r="CX88" s="234" cm="1">
        <f t="array" ref="CX88">$BM88 * IF($AH88&lt;=2,
SUMPRODUCT(INDEX($AV$61:$AX$65,,$AI88), INDEX($AY$61:$BE$65,,$AH88), 1 / ($BF$61:$BF$65*CW88 + (1-$BF$61:$BF$65)*CS88), N($AU$61:$AU$65&gt;$AM88)),
SUMPRODUCT(INDEX($AV$46:$AX$55,,$AI88), INDEX($AY$46:$BE$55,,$AH88), 1 / ($BG$46:$BG$55*CW88 + (1-$BG$46:$BG$55)*CS88), N($AU$46:$AU$55&gt;$AM88))
) / 1000</f>
        <v>0</v>
      </c>
      <c r="CY88" s="234" cm="1">
        <f t="array" ref="CY88">$BM88 * IF($AH88&lt;=2,
SUMPRODUCT(INDEX($AV$22:$AX$60,,$AI88), INDEX($AY$22:$BE$60,,$AH88), 1 / ($BF$22:$BF$60*CW88), N($AU$22:$AU$60&gt;$AM88)),
SUMPRODUCT(INDEX($AV$22:$AX$45,,$AI88), INDEX($AY$22:$BE$45,,$AH88), 1 / ($BG$22:$BG$45*CW88), N($AU$22:$AU$45&gt;$AM88))
) / 1000</f>
        <v>0</v>
      </c>
      <c r="CZ88" s="229">
        <f t="shared" si="332"/>
        <v>0</v>
      </c>
      <c r="DA88" s="246"/>
    </row>
    <row r="89" spans="1:105" s="75" customFormat="1" ht="14.25" customHeight="1" x14ac:dyDescent="0.25">
      <c r="A89" s="230" t="b">
        <f t="shared" si="291"/>
        <v>0</v>
      </c>
      <c r="B89" s="253">
        <v>68</v>
      </c>
      <c r="C89" s="266"/>
      <c r="D89" s="266"/>
      <c r="E89" s="254"/>
      <c r="F89" s="255" t="str">
        <f>IF(ISBLANK(E89), "", VLOOKUP(E89, Z!$A$2:$C$4127, 3, FALSE))</f>
        <v/>
      </c>
      <c r="G89" s="256"/>
      <c r="H89" s="256"/>
      <c r="I89" s="256"/>
      <c r="J89" s="257"/>
      <c r="K89" s="258"/>
      <c r="L89" s="267"/>
      <c r="M89" s="268"/>
      <c r="N89" s="259" t="str" cm="1">
        <f t="array" ref="N89">IF($L89&gt;0, INDEX(Clean,1+AK89,$D$1), "")</f>
        <v/>
      </c>
      <c r="O89" s="260"/>
      <c r="P89" s="260"/>
      <c r="Q89" s="261"/>
      <c r="R89" s="264">
        <f t="shared" si="297"/>
        <v>0</v>
      </c>
      <c r="S89" s="259" t="str" cm="1">
        <f t="array" ref="S89">IF($L89&gt;0, INDEX(Clean,1+AL89,$D$1), "")</f>
        <v/>
      </c>
      <c r="T89" s="260"/>
      <c r="U89" s="260"/>
      <c r="V89" s="261"/>
      <c r="W89" s="267"/>
      <c r="X89" s="267"/>
      <c r="Y89" s="257"/>
      <c r="Z89" s="264">
        <f t="shared" si="298"/>
        <v>0</v>
      </c>
      <c r="AA89" s="269"/>
      <c r="AB89" s="266"/>
      <c r="AC89" s="254"/>
      <c r="AD89" s="255" t="str">
        <f>IF(ISBLANK(AC89), "", VLOOKUP(AC89, Z!$A$2:$C$4127, 3, FALSE))</f>
        <v/>
      </c>
      <c r="AE89" s="270"/>
      <c r="AF89" s="265">
        <f t="shared" si="299"/>
        <v>0</v>
      </c>
      <c r="AG89" s="246"/>
      <c r="AH89" s="228">
        <f t="shared" ref="AH89" si="337">IF(ISBLANK(I89), 1, IFERROR(MATCH(I89, INDEX(Use,,1), 0), IFERROR(MATCH(I89, INDEX(Use,,2), 0), MATCH(I89, INDEX(Use,,3), 0))))</f>
        <v>1</v>
      </c>
      <c r="AI89" s="228">
        <f t="shared" ref="AI89" si="338">IF(ISBLANK(H89), 1, IFERROR(MATCH(H89, INDEX(Loc,,1), 0), IFERROR(MATCH(H89, INDEX(Loc,,2), 0), MATCH(H89, INDEX(Loc,,3), 0))))</f>
        <v>1</v>
      </c>
      <c r="AJ89" s="228">
        <f t="shared" ref="AJ89" si="339">_xlfn.IFNA(IF(IFERROR(MATCH(J89, INDEX(Medium,,1), 0), IFERROR(MATCH(J89, INDEX(Medium,,2), 0), MATCH(J89, INDEX(Medium,,3), 0))) = 2, 1, 0), 0)</f>
        <v>0</v>
      </c>
      <c r="AK89" s="228">
        <v>0</v>
      </c>
      <c r="AL89" s="228">
        <v>0</v>
      </c>
      <c r="AM89" s="228">
        <f t="shared" si="295"/>
        <v>-100</v>
      </c>
      <c r="AN89" s="228" cm="1">
        <f t="array" ref="AN89">IF(ISBLANK(G89), 1, IFERROR(MATCH(G89, INDEX(Kat,,1), 0), IFERROR(MATCH(Kat, INDEX(Use,,2), 0), MATCH(Kat, INDEX(Use,,3), 0))))</f>
        <v>1</v>
      </c>
      <c r="AO89" s="246"/>
      <c r="AP89" s="228" cm="1">
        <f t="array" ref="AP89">IF(W89&gt;0, INDEX(Kat, AN89,4), 0)</f>
        <v>0</v>
      </c>
      <c r="AQ89" s="228">
        <f t="shared" ref="AQ89" si="340">IF(ISBLANK(Y89), 0, IFERROR(MATCH(Y89, INDEX(Month,,1), 0), IFERROR(MATCH(Y89, INDEX(Month,,2), 0), MATCH(Y89, INDEX(Month,,3), 0))))</f>
        <v>0</v>
      </c>
      <c r="AR89" s="228" cm="1">
        <f t="array" ref="AR89">IF(X89&gt;0, INDEX(Kat, $AN89, 4+AQ89), 0)</f>
        <v>0</v>
      </c>
      <c r="AS89" s="228" cm="1">
        <f t="array" ref="AS89">IF(X89&gt;0, INDEX(Kat, $AN89, 9+AQ89), 0)</f>
        <v>0</v>
      </c>
      <c r="AT89" s="246"/>
      <c r="AU89" s="262"/>
      <c r="AV89" s="262"/>
      <c r="AW89" s="263"/>
      <c r="AX89" s="263"/>
      <c r="AY89" s="263"/>
      <c r="AZ89" s="263"/>
      <c r="BA89" s="263"/>
      <c r="BB89" s="263"/>
      <c r="BC89" s="263"/>
      <c r="BD89" s="263"/>
      <c r="BE89" s="263"/>
      <c r="BF89" s="263"/>
      <c r="BG89" s="263"/>
      <c r="BH89" s="210"/>
      <c r="BI89" s="228" cm="1">
        <f t="array" ref="BI89">INDEX(Use, $AH89, 4)</f>
        <v>7</v>
      </c>
      <c r="BJ89" s="228">
        <f t="shared" si="304"/>
        <v>32</v>
      </c>
      <c r="BK89" s="228">
        <f t="shared" si="305"/>
        <v>13</v>
      </c>
      <c r="BL89" s="228">
        <f t="shared" si="306"/>
        <v>0</v>
      </c>
      <c r="BM89" s="233" cm="1">
        <f t="array" ref="BM89">L89/IF($M89&gt;0, INDEX($AY$22:$BE$76, $M89+20, $AH89), 1)</f>
        <v>0</v>
      </c>
      <c r="BN89" s="229">
        <f t="shared" si="307"/>
        <v>0</v>
      </c>
      <c r="BO89" s="228">
        <v>35</v>
      </c>
      <c r="BP89" s="229">
        <f t="shared" si="308"/>
        <v>48</v>
      </c>
      <c r="BQ89" s="234">
        <f t="shared" si="309"/>
        <v>3.0748170731707316</v>
      </c>
      <c r="BR89" s="234" cm="1">
        <f t="array" ref="BR89">$BM89 * SUMPRODUCT(INDEX($AV$76:$AX$81,,$AI89),INDEX($AY$76:$BE$81,,$AH89), N($AU$76:$AU$81&gt;$AM89)) / BQ89 / 1000</f>
        <v>0</v>
      </c>
      <c r="BS89" s="231">
        <f t="shared" si="310"/>
        <v>30</v>
      </c>
      <c r="BT89" s="229">
        <f t="shared" si="311"/>
        <v>43</v>
      </c>
      <c r="BU89" s="234">
        <f t="shared" si="312"/>
        <v>3.5018750000000001</v>
      </c>
      <c r="BV89" s="234" cm="1">
        <f t="array" ref="BV89">$BM89 * IF($AH89&lt;=2,
SUMPRODUCT(INDEX($AV$71:$AX$75,,$AI89), INDEX($AY$71:$BE$75,,$AH89), 1 / ($BF$71:$BF$75*BU89 + (1-$BF$71:$BF$75)*BQ89), N($AU$71:$AU$75&gt;$AM89)),
SUMPRODUCT(INDEX($AV$66:$AX$75,,$AI89), INDEX($AY$66:$BE$75,,$AH89), 1 / ($BG$66:$BG$75*BU89 + (1-$BG$66:$BG$75)*BQ89), N($AU$66:$AU$75&gt;$AM89))
) / 1000</f>
        <v>0</v>
      </c>
      <c r="BW89" s="231">
        <f t="shared" si="313"/>
        <v>25</v>
      </c>
      <c r="BX89" s="229">
        <f t="shared" si="314"/>
        <v>38</v>
      </c>
      <c r="BY89" s="234">
        <f t="shared" si="315"/>
        <v>4.0666935483870965</v>
      </c>
      <c r="BZ89" s="234" cm="1">
        <f t="array" ref="BZ89">$BM89 * IF($AH89&lt;=2,
SUMPRODUCT(INDEX($AV$66:$AX$70,,$AI89), INDEX($AY$66:$BE$70,,$AH89), 1 / ($BF$66:$BF$70*BY89 + (1-$BF$66:$BF$70)*BU89), N($AU$66:$AU$70&gt;$AM89)),
SUMPRODUCT(INDEX($AV$56:$AX$65,,$AI89), INDEX($AY$56:$BE$65,,$AH89), 1 / ($BG$56:$BG$65*BY89 + (1-$BG$56:$BG$65)*BU89), N($AU$56:$AU$65&gt;$AM89))
) / 1000</f>
        <v>0</v>
      </c>
      <c r="CA89" s="231">
        <f t="shared" si="316"/>
        <v>20</v>
      </c>
      <c r="CB89" s="229">
        <f t="shared" si="317"/>
        <v>33</v>
      </c>
      <c r="CC89" s="234">
        <f t="shared" si="318"/>
        <v>4.8487499999999999</v>
      </c>
      <c r="CD89" s="234" cm="1">
        <f t="array" ref="CD89">$BM89 * IF($AH89&lt;=2,
SUMPRODUCT(INDEX($AV$61:$AX$65,,$AI89), INDEX($AY$61:$BE$65,,$AH89), 1 / ($BF$61:$BF$65*CC89 + (1-$BF$61:$BF$65)*BY89), N($AU$61:$AU$65&gt;$AM89)),
SUMPRODUCT(INDEX($AV$46:$AX$55,,$AI89), INDEX($AY$46:$BE$55,,$AH89), 1 / ($BG$46:$BG$55*CC89 + (1-$BG$46:$BG$55)*BY89), N($AU$46:$AU$55&gt;$AM89))
) / 1000</f>
        <v>0</v>
      </c>
      <c r="CE89" s="234" cm="1">
        <f t="array" ref="CE89">$BM89 * IF($AH89&lt;=2,
SUMPRODUCT(INDEX($AV$22:$AX$60,,$AI89), INDEX($AY$22:$BE$60,,$AH89), 1 / ($BF$22:$BF$60*CC89), N($AU$22:$AU$60&gt;$AM89)),
SUMPRODUCT(INDEX($AV$22:$AX$45,,$AI89), INDEX($AY$22:$BE$45,,$AH89), 1 / ($BG$22:$BG$45*CC89), N($AU$22:$AU$45&gt;$AM89))
) / 1000</f>
        <v>0</v>
      </c>
      <c r="CF89" s="229">
        <f t="shared" si="319"/>
        <v>0</v>
      </c>
      <c r="CG89" s="246"/>
      <c r="CH89" s="229">
        <f t="shared" si="320"/>
        <v>0</v>
      </c>
      <c r="CI89" s="228">
        <v>35</v>
      </c>
      <c r="CJ89" s="229">
        <f t="shared" si="321"/>
        <v>48</v>
      </c>
      <c r="CK89" s="234">
        <f t="shared" si="322"/>
        <v>3.0748170731707316</v>
      </c>
      <c r="CL89" s="234" cm="1">
        <f t="array" ref="CL89">$BM89 * SUMPRODUCT(INDEX($AV$76:$AX$81,,$AI89),INDEX($AY$76:$BE$81,,$AH89), N($AU$76:$AU$81&gt;$AM89)) / CK89 / 1000</f>
        <v>0</v>
      </c>
      <c r="CM89" s="231">
        <f t="shared" si="323"/>
        <v>30</v>
      </c>
      <c r="CN89" s="229">
        <f t="shared" si="324"/>
        <v>43</v>
      </c>
      <c r="CO89" s="234">
        <f t="shared" si="325"/>
        <v>3.5018750000000001</v>
      </c>
      <c r="CP89" s="234" cm="1">
        <f t="array" ref="CP89">$BM89 * IF($AH89&lt;=2,
SUMPRODUCT(INDEX($AV$71:$AX$75,,$AI89), INDEX($AY$71:$BE$75,,$AH89), 1 / ($BF$71:$BF$75*CO89 + (1-$BF$71:$BF$75)*CK89), N($AU$71:$AU$75&gt;$AM89)),
SUMPRODUCT(INDEX($AV$66:$AX$75,,$AI89), INDEX($AY$66:$BE$75,,$AH89), 1 / ($BG$66:$BG$75*CO89 + (1-$BG$66:$BG$75)*CK89), N($AU$66:$AU$75&gt;$AM89))
) / 1000</f>
        <v>0</v>
      </c>
      <c r="CQ89" s="231">
        <f t="shared" si="326"/>
        <v>25</v>
      </c>
      <c r="CR89" s="229">
        <f t="shared" si="327"/>
        <v>38</v>
      </c>
      <c r="CS89" s="234">
        <f t="shared" si="328"/>
        <v>4.0666935483870965</v>
      </c>
      <c r="CT89" s="234" cm="1">
        <f t="array" ref="CT89">$BM89 * IF($AH89&lt;=2,
SUMPRODUCT(INDEX($AV$66:$AX$70,,$AI89), INDEX($AY$66:$BE$70,,$AH89), 1 / ($BF$66:$BF$70*CS89 + (1-$BF$66:$BF$70)*CO89), N($AU$66:$AU$70&gt;$AM89)),
SUMPRODUCT(INDEX($AV$56:$AX$65,,$AI89), INDEX($AY$56:$BE$65,,$AH89), 1 / ($BG$56:$BG$65*CS89 + (1-$BG$56:$BG$65)*CO89), N($AU$56:$AU$65&gt;$AM89))
) / 1000</f>
        <v>0</v>
      </c>
      <c r="CU89" s="231">
        <f t="shared" si="329"/>
        <v>20</v>
      </c>
      <c r="CV89" s="229">
        <f t="shared" si="330"/>
        <v>33</v>
      </c>
      <c r="CW89" s="234">
        <f t="shared" si="331"/>
        <v>4.8487499999999999</v>
      </c>
      <c r="CX89" s="234" cm="1">
        <f t="array" ref="CX89">$BM89 * IF($AH89&lt;=2,
SUMPRODUCT(INDEX($AV$61:$AX$65,,$AI89), INDEX($AY$61:$BE$65,,$AH89), 1 / ($BF$61:$BF$65*CW89 + (1-$BF$61:$BF$65)*CS89), N($AU$61:$AU$65&gt;$AM89)),
SUMPRODUCT(INDEX($AV$46:$AX$55,,$AI89), INDEX($AY$46:$BE$55,,$AH89), 1 / ($BG$46:$BG$55*CW89 + (1-$BG$46:$BG$55)*CS89), N($AU$46:$AU$55&gt;$AM89))
) / 1000</f>
        <v>0</v>
      </c>
      <c r="CY89" s="234" cm="1">
        <f t="array" ref="CY89">$BM89 * IF($AH89&lt;=2,
SUMPRODUCT(INDEX($AV$22:$AX$60,,$AI89), INDEX($AY$22:$BE$60,,$AH89), 1 / ($BF$22:$BF$60*CW89), N($AU$22:$AU$60&gt;$AM89)),
SUMPRODUCT(INDEX($AV$22:$AX$45,,$AI89), INDEX($AY$22:$BE$45,,$AH89), 1 / ($BG$22:$BG$45*CW89), N($AU$22:$AU$45&gt;$AM89))
) / 1000</f>
        <v>0</v>
      </c>
      <c r="CZ89" s="229">
        <f t="shared" si="332"/>
        <v>0</v>
      </c>
      <c r="DA89" s="246"/>
    </row>
    <row r="90" spans="1:105" s="75" customFormat="1" ht="14.25" customHeight="1" x14ac:dyDescent="0.25">
      <c r="A90" s="230" t="b">
        <f t="shared" si="291"/>
        <v>0</v>
      </c>
      <c r="B90" s="253">
        <v>69</v>
      </c>
      <c r="C90" s="266"/>
      <c r="D90" s="266"/>
      <c r="E90" s="254"/>
      <c r="F90" s="255" t="str">
        <f>IF(ISBLANK(E90), "", VLOOKUP(E90, Z!$A$2:$C$4127, 3, FALSE))</f>
        <v/>
      </c>
      <c r="G90" s="256"/>
      <c r="H90" s="256"/>
      <c r="I90" s="256"/>
      <c r="J90" s="257"/>
      <c r="K90" s="258"/>
      <c r="L90" s="267"/>
      <c r="M90" s="268"/>
      <c r="N90" s="259" t="str" cm="1">
        <f t="array" ref="N90">IF($L90&gt;0, INDEX(Clean,1+AK90,$D$1), "")</f>
        <v/>
      </c>
      <c r="O90" s="260"/>
      <c r="P90" s="260"/>
      <c r="Q90" s="261"/>
      <c r="R90" s="264">
        <f t="shared" si="297"/>
        <v>0</v>
      </c>
      <c r="S90" s="259" t="str" cm="1">
        <f t="array" ref="S90">IF($L90&gt;0, INDEX(Clean,1+AL90,$D$1), "")</f>
        <v/>
      </c>
      <c r="T90" s="260"/>
      <c r="U90" s="260"/>
      <c r="V90" s="261"/>
      <c r="W90" s="267"/>
      <c r="X90" s="267"/>
      <c r="Y90" s="257"/>
      <c r="Z90" s="264">
        <f t="shared" si="298"/>
        <v>0</v>
      </c>
      <c r="AA90" s="269"/>
      <c r="AB90" s="266"/>
      <c r="AC90" s="254"/>
      <c r="AD90" s="255" t="str">
        <f>IF(ISBLANK(AC90), "", VLOOKUP(AC90, Z!$A$2:$C$4127, 3, FALSE))</f>
        <v/>
      </c>
      <c r="AE90" s="270"/>
      <c r="AF90" s="265">
        <f t="shared" si="299"/>
        <v>0</v>
      </c>
      <c r="AG90" s="246"/>
      <c r="AH90" s="228">
        <f t="shared" ref="AH90" si="341">IF(ISBLANK(I90), 1, IFERROR(MATCH(I90, INDEX(Use,,1), 0), IFERROR(MATCH(I90, INDEX(Use,,2), 0), MATCH(I90, INDEX(Use,,3), 0))))</f>
        <v>1</v>
      </c>
      <c r="AI90" s="228">
        <f t="shared" ref="AI90" si="342">IF(ISBLANK(H90), 1, IFERROR(MATCH(H90, INDEX(Loc,,1), 0), IFERROR(MATCH(H90, INDEX(Loc,,2), 0), MATCH(H90, INDEX(Loc,,3), 0))))</f>
        <v>1</v>
      </c>
      <c r="AJ90" s="228">
        <f t="shared" ref="AJ90" si="343">_xlfn.IFNA(IF(IFERROR(MATCH(J90, INDEX(Medium,,1), 0), IFERROR(MATCH(J90, INDEX(Medium,,2), 0), MATCH(J90, INDEX(Medium,,3), 0))) = 2, 1, 0), 0)</f>
        <v>0</v>
      </c>
      <c r="AK90" s="228">
        <v>0</v>
      </c>
      <c r="AL90" s="228">
        <v>0</v>
      </c>
      <c r="AM90" s="228">
        <f t="shared" si="295"/>
        <v>-100</v>
      </c>
      <c r="AN90" s="228" cm="1">
        <f t="array" ref="AN90">IF(ISBLANK(G90), 1, IFERROR(MATCH(G90, INDEX(Kat,,1), 0), IFERROR(MATCH(Kat, INDEX(Use,,2), 0), MATCH(Kat, INDEX(Use,,3), 0))))</f>
        <v>1</v>
      </c>
      <c r="AO90" s="246"/>
      <c r="AP90" s="228" cm="1">
        <f t="array" ref="AP90">IF(W90&gt;0, INDEX(Kat, AN90,4), 0)</f>
        <v>0</v>
      </c>
      <c r="AQ90" s="228">
        <f t="shared" ref="AQ90" si="344">IF(ISBLANK(Y90), 0, IFERROR(MATCH(Y90, INDEX(Month,,1), 0), IFERROR(MATCH(Y90, INDEX(Month,,2), 0), MATCH(Y90, INDEX(Month,,3), 0))))</f>
        <v>0</v>
      </c>
      <c r="AR90" s="228" cm="1">
        <f t="array" ref="AR90">IF(X90&gt;0, INDEX(Kat, $AN90, 4+AQ90), 0)</f>
        <v>0</v>
      </c>
      <c r="AS90" s="228" cm="1">
        <f t="array" ref="AS90">IF(X90&gt;0, INDEX(Kat, $AN90, 9+AQ90), 0)</f>
        <v>0</v>
      </c>
      <c r="AT90" s="246"/>
      <c r="AU90" s="262"/>
      <c r="AV90" s="262"/>
      <c r="AW90" s="263"/>
      <c r="AX90" s="263"/>
      <c r="AY90" s="263"/>
      <c r="AZ90" s="263"/>
      <c r="BA90" s="263"/>
      <c r="BB90" s="263"/>
      <c r="BC90" s="263"/>
      <c r="BD90" s="263"/>
      <c r="BE90" s="263"/>
      <c r="BF90" s="263"/>
      <c r="BG90" s="263"/>
      <c r="BH90" s="210"/>
      <c r="BI90" s="228" cm="1">
        <f t="array" ref="BI90">INDEX(Use, $AH90, 4)</f>
        <v>7</v>
      </c>
      <c r="BJ90" s="228">
        <f t="shared" si="304"/>
        <v>32</v>
      </c>
      <c r="BK90" s="228">
        <f t="shared" si="305"/>
        <v>13</v>
      </c>
      <c r="BL90" s="228">
        <f t="shared" si="306"/>
        <v>0</v>
      </c>
      <c r="BM90" s="233" cm="1">
        <f t="array" ref="BM90">L90/IF($M90&gt;0, INDEX($AY$22:$BE$76, $M90+20, $AH90), 1)</f>
        <v>0</v>
      </c>
      <c r="BN90" s="229">
        <f t="shared" si="307"/>
        <v>0</v>
      </c>
      <c r="BO90" s="228">
        <v>35</v>
      </c>
      <c r="BP90" s="229">
        <f t="shared" si="308"/>
        <v>48</v>
      </c>
      <c r="BQ90" s="234">
        <f t="shared" si="309"/>
        <v>3.0748170731707316</v>
      </c>
      <c r="BR90" s="234" cm="1">
        <f t="array" ref="BR90">$BM90 * SUMPRODUCT(INDEX($AV$76:$AX$81,,$AI90),INDEX($AY$76:$BE$81,,$AH90), N($AU$76:$AU$81&gt;$AM90)) / BQ90 / 1000</f>
        <v>0</v>
      </c>
      <c r="BS90" s="231">
        <f t="shared" si="310"/>
        <v>30</v>
      </c>
      <c r="BT90" s="229">
        <f t="shared" si="311"/>
        <v>43</v>
      </c>
      <c r="BU90" s="234">
        <f t="shared" si="312"/>
        <v>3.5018750000000001</v>
      </c>
      <c r="BV90" s="234" cm="1">
        <f t="array" ref="BV90">$BM90 * IF($AH90&lt;=2,
SUMPRODUCT(INDEX($AV$71:$AX$75,,$AI90), INDEX($AY$71:$BE$75,,$AH90), 1 / ($BF$71:$BF$75*BU90 + (1-$BF$71:$BF$75)*BQ90), N($AU$71:$AU$75&gt;$AM90)),
SUMPRODUCT(INDEX($AV$66:$AX$75,,$AI90), INDEX($AY$66:$BE$75,,$AH90), 1 / ($BG$66:$BG$75*BU90 + (1-$BG$66:$BG$75)*BQ90), N($AU$66:$AU$75&gt;$AM90))
) / 1000</f>
        <v>0</v>
      </c>
      <c r="BW90" s="231">
        <f t="shared" si="313"/>
        <v>25</v>
      </c>
      <c r="BX90" s="229">
        <f t="shared" si="314"/>
        <v>38</v>
      </c>
      <c r="BY90" s="234">
        <f t="shared" si="315"/>
        <v>4.0666935483870965</v>
      </c>
      <c r="BZ90" s="234" cm="1">
        <f t="array" ref="BZ90">$BM90 * IF($AH90&lt;=2,
SUMPRODUCT(INDEX($AV$66:$AX$70,,$AI90), INDEX($AY$66:$BE$70,,$AH90), 1 / ($BF$66:$BF$70*BY90 + (1-$BF$66:$BF$70)*BU90), N($AU$66:$AU$70&gt;$AM90)),
SUMPRODUCT(INDEX($AV$56:$AX$65,,$AI90), INDEX($AY$56:$BE$65,,$AH90), 1 / ($BG$56:$BG$65*BY90 + (1-$BG$56:$BG$65)*BU90), N($AU$56:$AU$65&gt;$AM90))
) / 1000</f>
        <v>0</v>
      </c>
      <c r="CA90" s="231">
        <f t="shared" si="316"/>
        <v>20</v>
      </c>
      <c r="CB90" s="229">
        <f t="shared" si="317"/>
        <v>33</v>
      </c>
      <c r="CC90" s="234">
        <f t="shared" si="318"/>
        <v>4.8487499999999999</v>
      </c>
      <c r="CD90" s="234" cm="1">
        <f t="array" ref="CD90">$BM90 * IF($AH90&lt;=2,
SUMPRODUCT(INDEX($AV$61:$AX$65,,$AI90), INDEX($AY$61:$BE$65,,$AH90), 1 / ($BF$61:$BF$65*CC90 + (1-$BF$61:$BF$65)*BY90), N($AU$61:$AU$65&gt;$AM90)),
SUMPRODUCT(INDEX($AV$46:$AX$55,,$AI90), INDEX($AY$46:$BE$55,,$AH90), 1 / ($BG$46:$BG$55*CC90 + (1-$BG$46:$BG$55)*BY90), N($AU$46:$AU$55&gt;$AM90))
) / 1000</f>
        <v>0</v>
      </c>
      <c r="CE90" s="234" cm="1">
        <f t="array" ref="CE90">$BM90 * IF($AH90&lt;=2,
SUMPRODUCT(INDEX($AV$22:$AX$60,,$AI90), INDEX($AY$22:$BE$60,,$AH90), 1 / ($BF$22:$BF$60*CC90), N($AU$22:$AU$60&gt;$AM90)),
SUMPRODUCT(INDEX($AV$22:$AX$45,,$AI90), INDEX($AY$22:$BE$45,,$AH90), 1 / ($BG$22:$BG$45*CC90), N($AU$22:$AU$45&gt;$AM90))
) / 1000</f>
        <v>0</v>
      </c>
      <c r="CF90" s="229">
        <f t="shared" si="319"/>
        <v>0</v>
      </c>
      <c r="CG90" s="246"/>
      <c r="CH90" s="229">
        <f t="shared" si="320"/>
        <v>0</v>
      </c>
      <c r="CI90" s="228">
        <v>35</v>
      </c>
      <c r="CJ90" s="229">
        <f t="shared" si="321"/>
        <v>48</v>
      </c>
      <c r="CK90" s="234">
        <f t="shared" si="322"/>
        <v>3.0748170731707316</v>
      </c>
      <c r="CL90" s="234" cm="1">
        <f t="array" ref="CL90">$BM90 * SUMPRODUCT(INDEX($AV$76:$AX$81,,$AI90),INDEX($AY$76:$BE$81,,$AH90), N($AU$76:$AU$81&gt;$AM90)) / CK90 / 1000</f>
        <v>0</v>
      </c>
      <c r="CM90" s="231">
        <f t="shared" si="323"/>
        <v>30</v>
      </c>
      <c r="CN90" s="229">
        <f t="shared" si="324"/>
        <v>43</v>
      </c>
      <c r="CO90" s="234">
        <f t="shared" si="325"/>
        <v>3.5018750000000001</v>
      </c>
      <c r="CP90" s="234" cm="1">
        <f t="array" ref="CP90">$BM90 * IF($AH90&lt;=2,
SUMPRODUCT(INDEX($AV$71:$AX$75,,$AI90), INDEX($AY$71:$BE$75,,$AH90), 1 / ($BF$71:$BF$75*CO90 + (1-$BF$71:$BF$75)*CK90), N($AU$71:$AU$75&gt;$AM90)),
SUMPRODUCT(INDEX($AV$66:$AX$75,,$AI90), INDEX($AY$66:$BE$75,,$AH90), 1 / ($BG$66:$BG$75*CO90 + (1-$BG$66:$BG$75)*CK90), N($AU$66:$AU$75&gt;$AM90))
) / 1000</f>
        <v>0</v>
      </c>
      <c r="CQ90" s="231">
        <f t="shared" si="326"/>
        <v>25</v>
      </c>
      <c r="CR90" s="229">
        <f t="shared" si="327"/>
        <v>38</v>
      </c>
      <c r="CS90" s="234">
        <f t="shared" si="328"/>
        <v>4.0666935483870965</v>
      </c>
      <c r="CT90" s="234" cm="1">
        <f t="array" ref="CT90">$BM90 * IF($AH90&lt;=2,
SUMPRODUCT(INDEX($AV$66:$AX$70,,$AI90), INDEX($AY$66:$BE$70,,$AH90), 1 / ($BF$66:$BF$70*CS90 + (1-$BF$66:$BF$70)*CO90), N($AU$66:$AU$70&gt;$AM90)),
SUMPRODUCT(INDEX($AV$56:$AX$65,,$AI90), INDEX($AY$56:$BE$65,,$AH90), 1 / ($BG$56:$BG$65*CS90 + (1-$BG$56:$BG$65)*CO90), N($AU$56:$AU$65&gt;$AM90))
) / 1000</f>
        <v>0</v>
      </c>
      <c r="CU90" s="231">
        <f t="shared" si="329"/>
        <v>20</v>
      </c>
      <c r="CV90" s="229">
        <f t="shared" si="330"/>
        <v>33</v>
      </c>
      <c r="CW90" s="234">
        <f t="shared" si="331"/>
        <v>4.8487499999999999</v>
      </c>
      <c r="CX90" s="234" cm="1">
        <f t="array" ref="CX90">$BM90 * IF($AH90&lt;=2,
SUMPRODUCT(INDEX($AV$61:$AX$65,,$AI90), INDEX($AY$61:$BE$65,,$AH90), 1 / ($BF$61:$BF$65*CW90 + (1-$BF$61:$BF$65)*CS90), N($AU$61:$AU$65&gt;$AM90)),
SUMPRODUCT(INDEX($AV$46:$AX$55,,$AI90), INDEX($AY$46:$BE$55,,$AH90), 1 / ($BG$46:$BG$55*CW90 + (1-$BG$46:$BG$55)*CS90), N($AU$46:$AU$55&gt;$AM90))
) / 1000</f>
        <v>0</v>
      </c>
      <c r="CY90" s="234" cm="1">
        <f t="array" ref="CY90">$BM90 * IF($AH90&lt;=2,
SUMPRODUCT(INDEX($AV$22:$AX$60,,$AI90), INDEX($AY$22:$BE$60,,$AH90), 1 / ($BF$22:$BF$60*CW90), N($AU$22:$AU$60&gt;$AM90)),
SUMPRODUCT(INDEX($AV$22:$AX$45,,$AI90), INDEX($AY$22:$BE$45,,$AH90), 1 / ($BG$22:$BG$45*CW90), N($AU$22:$AU$45&gt;$AM90))
) / 1000</f>
        <v>0</v>
      </c>
      <c r="CZ90" s="229">
        <f t="shared" si="332"/>
        <v>0</v>
      </c>
      <c r="DA90" s="246"/>
    </row>
    <row r="91" spans="1:105" s="75" customFormat="1" ht="14.25" customHeight="1" x14ac:dyDescent="0.25">
      <c r="A91" s="230" t="b">
        <f t="shared" si="291"/>
        <v>0</v>
      </c>
      <c r="B91" s="253">
        <v>70</v>
      </c>
      <c r="C91" s="266"/>
      <c r="D91" s="266"/>
      <c r="E91" s="254"/>
      <c r="F91" s="255" t="str">
        <f>IF(ISBLANK(E91), "", VLOOKUP(E91, Z!$A$2:$C$4127, 3, FALSE))</f>
        <v/>
      </c>
      <c r="G91" s="256"/>
      <c r="H91" s="256"/>
      <c r="I91" s="256"/>
      <c r="J91" s="257"/>
      <c r="K91" s="258"/>
      <c r="L91" s="267"/>
      <c r="M91" s="268"/>
      <c r="N91" s="259" t="str" cm="1">
        <f t="array" ref="N91">IF($L91&gt;0, INDEX(Clean,1+AK91,$D$1), "")</f>
        <v/>
      </c>
      <c r="O91" s="260"/>
      <c r="P91" s="260"/>
      <c r="Q91" s="261"/>
      <c r="R91" s="264">
        <f t="shared" si="297"/>
        <v>0</v>
      </c>
      <c r="S91" s="259" t="str" cm="1">
        <f t="array" ref="S91">IF($L91&gt;0, INDEX(Clean,1+AL91,$D$1), "")</f>
        <v/>
      </c>
      <c r="T91" s="260"/>
      <c r="U91" s="260"/>
      <c r="V91" s="261"/>
      <c r="W91" s="267"/>
      <c r="X91" s="267"/>
      <c r="Y91" s="257"/>
      <c r="Z91" s="264">
        <f t="shared" si="298"/>
        <v>0</v>
      </c>
      <c r="AA91" s="269"/>
      <c r="AB91" s="266"/>
      <c r="AC91" s="254"/>
      <c r="AD91" s="255" t="str">
        <f>IF(ISBLANK(AC91), "", VLOOKUP(AC91, Z!$A$2:$C$4127, 3, FALSE))</f>
        <v/>
      </c>
      <c r="AE91" s="270"/>
      <c r="AF91" s="265">
        <f t="shared" si="299"/>
        <v>0</v>
      </c>
      <c r="AG91" s="246"/>
      <c r="AH91" s="228">
        <f t="shared" ref="AH91" si="345">IF(ISBLANK(I91), 1, IFERROR(MATCH(I91, INDEX(Use,,1), 0), IFERROR(MATCH(I91, INDEX(Use,,2), 0), MATCH(I91, INDEX(Use,,3), 0))))</f>
        <v>1</v>
      </c>
      <c r="AI91" s="228">
        <f t="shared" ref="AI91" si="346">IF(ISBLANK(H91), 1, IFERROR(MATCH(H91, INDEX(Loc,,1), 0), IFERROR(MATCH(H91, INDEX(Loc,,2), 0), MATCH(H91, INDEX(Loc,,3), 0))))</f>
        <v>1</v>
      </c>
      <c r="AJ91" s="228">
        <f t="shared" ref="AJ91" si="347">_xlfn.IFNA(IF(IFERROR(MATCH(J91, INDEX(Medium,,1), 0), IFERROR(MATCH(J91, INDEX(Medium,,2), 0), MATCH(J91, INDEX(Medium,,3), 0))) = 2, 1, 0), 0)</f>
        <v>0</v>
      </c>
      <c r="AK91" s="228">
        <v>0</v>
      </c>
      <c r="AL91" s="228">
        <v>0</v>
      </c>
      <c r="AM91" s="228">
        <f t="shared" si="295"/>
        <v>-100</v>
      </c>
      <c r="AN91" s="228" cm="1">
        <f t="array" ref="AN91">IF(ISBLANK(G91), 1, IFERROR(MATCH(G91, INDEX(Kat,,1), 0), IFERROR(MATCH(Kat, INDEX(Use,,2), 0), MATCH(Kat, INDEX(Use,,3), 0))))</f>
        <v>1</v>
      </c>
      <c r="AO91" s="246"/>
      <c r="AP91" s="228" cm="1">
        <f t="array" ref="AP91">IF(W91&gt;0, INDEX(Kat, AN91,4), 0)</f>
        <v>0</v>
      </c>
      <c r="AQ91" s="228">
        <f t="shared" ref="AQ91" si="348">IF(ISBLANK(Y91), 0, IFERROR(MATCH(Y91, INDEX(Month,,1), 0), IFERROR(MATCH(Y91, INDEX(Month,,2), 0), MATCH(Y91, INDEX(Month,,3), 0))))</f>
        <v>0</v>
      </c>
      <c r="AR91" s="228" cm="1">
        <f t="array" ref="AR91">IF(X91&gt;0, INDEX(Kat, $AN91, 4+AQ91), 0)</f>
        <v>0</v>
      </c>
      <c r="AS91" s="228" cm="1">
        <f t="array" ref="AS91">IF(X91&gt;0, INDEX(Kat, $AN91, 9+AQ91), 0)</f>
        <v>0</v>
      </c>
      <c r="AT91" s="246"/>
      <c r="AU91" s="262"/>
      <c r="AV91" s="262"/>
      <c r="AW91" s="263"/>
      <c r="AX91" s="263"/>
      <c r="AY91" s="263"/>
      <c r="AZ91" s="263"/>
      <c r="BA91" s="263"/>
      <c r="BB91" s="263"/>
      <c r="BC91" s="263"/>
      <c r="BD91" s="263"/>
      <c r="BE91" s="263"/>
      <c r="BF91" s="263"/>
      <c r="BG91" s="263"/>
      <c r="BH91" s="210"/>
      <c r="BI91" s="228" cm="1">
        <f t="array" ref="BI91">INDEX(Use, $AH91, 4)</f>
        <v>7</v>
      </c>
      <c r="BJ91" s="228">
        <f t="shared" si="304"/>
        <v>32</v>
      </c>
      <c r="BK91" s="228">
        <f t="shared" si="305"/>
        <v>13</v>
      </c>
      <c r="BL91" s="228">
        <f t="shared" si="306"/>
        <v>0</v>
      </c>
      <c r="BM91" s="233" cm="1">
        <f t="array" ref="BM91">L91/IF($M91&gt;0, INDEX($AY$22:$BE$76, $M91+20, $AH91), 1)</f>
        <v>0</v>
      </c>
      <c r="BN91" s="229">
        <f t="shared" si="307"/>
        <v>0</v>
      </c>
      <c r="BO91" s="228">
        <v>35</v>
      </c>
      <c r="BP91" s="229">
        <f t="shared" si="308"/>
        <v>48</v>
      </c>
      <c r="BQ91" s="234">
        <f t="shared" si="309"/>
        <v>3.0748170731707316</v>
      </c>
      <c r="BR91" s="234" cm="1">
        <f t="array" ref="BR91">$BM91 * SUMPRODUCT(INDEX($AV$76:$AX$81,,$AI91),INDEX($AY$76:$BE$81,,$AH91), N($AU$76:$AU$81&gt;$AM91)) / BQ91 / 1000</f>
        <v>0</v>
      </c>
      <c r="BS91" s="231">
        <f t="shared" si="310"/>
        <v>30</v>
      </c>
      <c r="BT91" s="229">
        <f t="shared" si="311"/>
        <v>43</v>
      </c>
      <c r="BU91" s="234">
        <f t="shared" si="312"/>
        <v>3.5018750000000001</v>
      </c>
      <c r="BV91" s="234" cm="1">
        <f t="array" ref="BV91">$BM91 * IF($AH91&lt;=2,
SUMPRODUCT(INDEX($AV$71:$AX$75,,$AI91), INDEX($AY$71:$BE$75,,$AH91), 1 / ($BF$71:$BF$75*BU91 + (1-$BF$71:$BF$75)*BQ91), N($AU$71:$AU$75&gt;$AM91)),
SUMPRODUCT(INDEX($AV$66:$AX$75,,$AI91), INDEX($AY$66:$BE$75,,$AH91), 1 / ($BG$66:$BG$75*BU91 + (1-$BG$66:$BG$75)*BQ91), N($AU$66:$AU$75&gt;$AM91))
) / 1000</f>
        <v>0</v>
      </c>
      <c r="BW91" s="231">
        <f t="shared" si="313"/>
        <v>25</v>
      </c>
      <c r="BX91" s="229">
        <f t="shared" si="314"/>
        <v>38</v>
      </c>
      <c r="BY91" s="234">
        <f t="shared" si="315"/>
        <v>4.0666935483870965</v>
      </c>
      <c r="BZ91" s="234" cm="1">
        <f t="array" ref="BZ91">$BM91 * IF($AH91&lt;=2,
SUMPRODUCT(INDEX($AV$66:$AX$70,,$AI91), INDEX($AY$66:$BE$70,,$AH91), 1 / ($BF$66:$BF$70*BY91 + (1-$BF$66:$BF$70)*BU91), N($AU$66:$AU$70&gt;$AM91)),
SUMPRODUCT(INDEX($AV$56:$AX$65,,$AI91), INDEX($AY$56:$BE$65,,$AH91), 1 / ($BG$56:$BG$65*BY91 + (1-$BG$56:$BG$65)*BU91), N($AU$56:$AU$65&gt;$AM91))
) / 1000</f>
        <v>0</v>
      </c>
      <c r="CA91" s="231">
        <f t="shared" si="316"/>
        <v>20</v>
      </c>
      <c r="CB91" s="229">
        <f t="shared" si="317"/>
        <v>33</v>
      </c>
      <c r="CC91" s="234">
        <f t="shared" si="318"/>
        <v>4.8487499999999999</v>
      </c>
      <c r="CD91" s="234" cm="1">
        <f t="array" ref="CD91">$BM91 * IF($AH91&lt;=2,
SUMPRODUCT(INDEX($AV$61:$AX$65,,$AI91), INDEX($AY$61:$BE$65,,$AH91), 1 / ($BF$61:$BF$65*CC91 + (1-$BF$61:$BF$65)*BY91), N($AU$61:$AU$65&gt;$AM91)),
SUMPRODUCT(INDEX($AV$46:$AX$55,,$AI91), INDEX($AY$46:$BE$55,,$AH91), 1 / ($BG$46:$BG$55*CC91 + (1-$BG$46:$BG$55)*BY91), N($AU$46:$AU$55&gt;$AM91))
) / 1000</f>
        <v>0</v>
      </c>
      <c r="CE91" s="234" cm="1">
        <f t="array" ref="CE91">$BM91 * IF($AH91&lt;=2,
SUMPRODUCT(INDEX($AV$22:$AX$60,,$AI91), INDEX($AY$22:$BE$60,,$AH91), 1 / ($BF$22:$BF$60*CC91), N($AU$22:$AU$60&gt;$AM91)),
SUMPRODUCT(INDEX($AV$22:$AX$45,,$AI91), INDEX($AY$22:$BE$45,,$AH91), 1 / ($BG$22:$BG$45*CC91), N($AU$22:$AU$45&gt;$AM91))
) / 1000</f>
        <v>0</v>
      </c>
      <c r="CF91" s="229">
        <f t="shared" si="319"/>
        <v>0</v>
      </c>
      <c r="CG91" s="246"/>
      <c r="CH91" s="229">
        <f t="shared" si="320"/>
        <v>0</v>
      </c>
      <c r="CI91" s="228">
        <v>35</v>
      </c>
      <c r="CJ91" s="229">
        <f t="shared" si="321"/>
        <v>48</v>
      </c>
      <c r="CK91" s="234">
        <f t="shared" si="322"/>
        <v>3.0748170731707316</v>
      </c>
      <c r="CL91" s="234" cm="1">
        <f t="array" ref="CL91">$BM91 * SUMPRODUCT(INDEX($AV$76:$AX$81,,$AI91),INDEX($AY$76:$BE$81,,$AH91), N($AU$76:$AU$81&gt;$AM91)) / CK91 / 1000</f>
        <v>0</v>
      </c>
      <c r="CM91" s="231">
        <f t="shared" si="323"/>
        <v>30</v>
      </c>
      <c r="CN91" s="229">
        <f t="shared" si="324"/>
        <v>43</v>
      </c>
      <c r="CO91" s="234">
        <f t="shared" si="325"/>
        <v>3.5018750000000001</v>
      </c>
      <c r="CP91" s="234" cm="1">
        <f t="array" ref="CP91">$BM91 * IF($AH91&lt;=2,
SUMPRODUCT(INDEX($AV$71:$AX$75,,$AI91), INDEX($AY$71:$BE$75,,$AH91), 1 / ($BF$71:$BF$75*CO91 + (1-$BF$71:$BF$75)*CK91), N($AU$71:$AU$75&gt;$AM91)),
SUMPRODUCT(INDEX($AV$66:$AX$75,,$AI91), INDEX($AY$66:$BE$75,,$AH91), 1 / ($BG$66:$BG$75*CO91 + (1-$BG$66:$BG$75)*CK91), N($AU$66:$AU$75&gt;$AM91))
) / 1000</f>
        <v>0</v>
      </c>
      <c r="CQ91" s="231">
        <f t="shared" si="326"/>
        <v>25</v>
      </c>
      <c r="CR91" s="229">
        <f t="shared" si="327"/>
        <v>38</v>
      </c>
      <c r="CS91" s="234">
        <f t="shared" si="328"/>
        <v>4.0666935483870965</v>
      </c>
      <c r="CT91" s="234" cm="1">
        <f t="array" ref="CT91">$BM91 * IF($AH91&lt;=2,
SUMPRODUCT(INDEX($AV$66:$AX$70,,$AI91), INDEX($AY$66:$BE$70,,$AH91), 1 / ($BF$66:$BF$70*CS91 + (1-$BF$66:$BF$70)*CO91), N($AU$66:$AU$70&gt;$AM91)),
SUMPRODUCT(INDEX($AV$56:$AX$65,,$AI91), INDEX($AY$56:$BE$65,,$AH91), 1 / ($BG$56:$BG$65*CS91 + (1-$BG$56:$BG$65)*CO91), N($AU$56:$AU$65&gt;$AM91))
) / 1000</f>
        <v>0</v>
      </c>
      <c r="CU91" s="231">
        <f t="shared" si="329"/>
        <v>20</v>
      </c>
      <c r="CV91" s="229">
        <f t="shared" si="330"/>
        <v>33</v>
      </c>
      <c r="CW91" s="234">
        <f t="shared" si="331"/>
        <v>4.8487499999999999</v>
      </c>
      <c r="CX91" s="234" cm="1">
        <f t="array" ref="CX91">$BM91 * IF($AH91&lt;=2,
SUMPRODUCT(INDEX($AV$61:$AX$65,,$AI91), INDEX($AY$61:$BE$65,,$AH91), 1 / ($BF$61:$BF$65*CW91 + (1-$BF$61:$BF$65)*CS91), N($AU$61:$AU$65&gt;$AM91)),
SUMPRODUCT(INDEX($AV$46:$AX$55,,$AI91), INDEX($AY$46:$BE$55,,$AH91), 1 / ($BG$46:$BG$55*CW91 + (1-$BG$46:$BG$55)*CS91), N($AU$46:$AU$55&gt;$AM91))
) / 1000</f>
        <v>0</v>
      </c>
      <c r="CY91" s="234" cm="1">
        <f t="array" ref="CY91">$BM91 * IF($AH91&lt;=2,
SUMPRODUCT(INDEX($AV$22:$AX$60,,$AI91), INDEX($AY$22:$BE$60,,$AH91), 1 / ($BF$22:$BF$60*CW91), N($AU$22:$AU$60&gt;$AM91)),
SUMPRODUCT(INDEX($AV$22:$AX$45,,$AI91), INDEX($AY$22:$BE$45,,$AH91), 1 / ($BG$22:$BG$45*CW91), N($AU$22:$AU$45&gt;$AM91))
) / 1000</f>
        <v>0</v>
      </c>
      <c r="CZ91" s="229">
        <f t="shared" si="332"/>
        <v>0</v>
      </c>
      <c r="DA91" s="246"/>
    </row>
    <row r="92" spans="1:105" s="75" customFormat="1" ht="14.25" customHeight="1" x14ac:dyDescent="0.25">
      <c r="A92" s="230" t="b">
        <f t="shared" si="291"/>
        <v>0</v>
      </c>
      <c r="B92" s="253">
        <v>71</v>
      </c>
      <c r="C92" s="266"/>
      <c r="D92" s="266"/>
      <c r="E92" s="254"/>
      <c r="F92" s="255" t="str">
        <f>IF(ISBLANK(E92), "", VLOOKUP(E92, Z!$A$2:$C$4127, 3, FALSE))</f>
        <v/>
      </c>
      <c r="G92" s="256"/>
      <c r="H92" s="256"/>
      <c r="I92" s="256"/>
      <c r="J92" s="257"/>
      <c r="K92" s="258"/>
      <c r="L92" s="267"/>
      <c r="M92" s="268"/>
      <c r="N92" s="259" t="str" cm="1">
        <f t="array" ref="N92">IF($L92&gt;0, INDEX(Clean,1+AK92,$D$1), "")</f>
        <v/>
      </c>
      <c r="O92" s="260"/>
      <c r="P92" s="260"/>
      <c r="Q92" s="261"/>
      <c r="R92" s="264">
        <f t="shared" si="297"/>
        <v>0</v>
      </c>
      <c r="S92" s="259" t="str" cm="1">
        <f t="array" ref="S92">IF($L92&gt;0, INDEX(Clean,1+AL92,$D$1), "")</f>
        <v/>
      </c>
      <c r="T92" s="260"/>
      <c r="U92" s="260"/>
      <c r="V92" s="261"/>
      <c r="W92" s="267"/>
      <c r="X92" s="267"/>
      <c r="Y92" s="257"/>
      <c r="Z92" s="264">
        <f t="shared" si="298"/>
        <v>0</v>
      </c>
      <c r="AA92" s="269"/>
      <c r="AB92" s="266"/>
      <c r="AC92" s="254"/>
      <c r="AD92" s="255" t="str">
        <f>IF(ISBLANK(AC92), "", VLOOKUP(AC92, Z!$A$2:$C$4127, 3, FALSE))</f>
        <v/>
      </c>
      <c r="AE92" s="270"/>
      <c r="AF92" s="265">
        <f t="shared" si="299"/>
        <v>0</v>
      </c>
      <c r="AG92" s="246"/>
      <c r="AH92" s="228">
        <f t="shared" ref="AH92" si="349">IF(ISBLANK(I92), 1, IFERROR(MATCH(I92, INDEX(Use,,1), 0), IFERROR(MATCH(I92, INDEX(Use,,2), 0), MATCH(I92, INDEX(Use,,3), 0))))</f>
        <v>1</v>
      </c>
      <c r="AI92" s="228">
        <f t="shared" ref="AI92" si="350">IF(ISBLANK(H92), 1, IFERROR(MATCH(H92, INDEX(Loc,,1), 0), IFERROR(MATCH(H92, INDEX(Loc,,2), 0), MATCH(H92, INDEX(Loc,,3), 0))))</f>
        <v>1</v>
      </c>
      <c r="AJ92" s="228">
        <f t="shared" ref="AJ92" si="351">_xlfn.IFNA(IF(IFERROR(MATCH(J92, INDEX(Medium,,1), 0), IFERROR(MATCH(J92, INDEX(Medium,,2), 0), MATCH(J92, INDEX(Medium,,3), 0))) = 2, 1, 0), 0)</f>
        <v>0</v>
      </c>
      <c r="AK92" s="228">
        <v>0</v>
      </c>
      <c r="AL92" s="228">
        <v>0</v>
      </c>
      <c r="AM92" s="228">
        <f t="shared" si="295"/>
        <v>-100</v>
      </c>
      <c r="AN92" s="228" cm="1">
        <f t="array" ref="AN92">IF(ISBLANK(G92), 1, IFERROR(MATCH(G92, INDEX(Kat,,1), 0), IFERROR(MATCH(Kat, INDEX(Use,,2), 0), MATCH(Kat, INDEX(Use,,3), 0))))</f>
        <v>1</v>
      </c>
      <c r="AO92" s="246"/>
      <c r="AP92" s="228" cm="1">
        <f t="array" ref="AP92">IF(W92&gt;0, INDEX(Kat, AN92,4), 0)</f>
        <v>0</v>
      </c>
      <c r="AQ92" s="228">
        <f t="shared" ref="AQ92" si="352">IF(ISBLANK(Y92), 0, IFERROR(MATCH(Y92, INDEX(Month,,1), 0), IFERROR(MATCH(Y92, INDEX(Month,,2), 0), MATCH(Y92, INDEX(Month,,3), 0))))</f>
        <v>0</v>
      </c>
      <c r="AR92" s="228" cm="1">
        <f t="array" ref="AR92">IF(X92&gt;0, INDEX(Kat, $AN92, 4+AQ92), 0)</f>
        <v>0</v>
      </c>
      <c r="AS92" s="228" cm="1">
        <f t="array" ref="AS92">IF(X92&gt;0, INDEX(Kat, $AN92, 9+AQ92), 0)</f>
        <v>0</v>
      </c>
      <c r="AT92" s="246"/>
      <c r="AU92" s="262"/>
      <c r="AV92" s="262"/>
      <c r="AW92" s="263"/>
      <c r="AX92" s="263"/>
      <c r="AY92" s="263"/>
      <c r="AZ92" s="263"/>
      <c r="BA92" s="263"/>
      <c r="BB92" s="263"/>
      <c r="BC92" s="263"/>
      <c r="BD92" s="263"/>
      <c r="BE92" s="263"/>
      <c r="BF92" s="263"/>
      <c r="BG92" s="263"/>
      <c r="BH92" s="210"/>
      <c r="BI92" s="228" cm="1">
        <f t="array" ref="BI92">INDEX(Use, $AH92, 4)</f>
        <v>7</v>
      </c>
      <c r="BJ92" s="228">
        <f t="shared" si="304"/>
        <v>32</v>
      </c>
      <c r="BK92" s="228">
        <f t="shared" si="305"/>
        <v>13</v>
      </c>
      <c r="BL92" s="228">
        <f t="shared" si="306"/>
        <v>0</v>
      </c>
      <c r="BM92" s="233" cm="1">
        <f t="array" ref="BM92">L92/IF($M92&gt;0, INDEX($AY$22:$BE$76, $M92+20, $AH92), 1)</f>
        <v>0</v>
      </c>
      <c r="BN92" s="229">
        <f t="shared" si="307"/>
        <v>0</v>
      </c>
      <c r="BO92" s="228">
        <v>35</v>
      </c>
      <c r="BP92" s="229">
        <f t="shared" si="308"/>
        <v>48</v>
      </c>
      <c r="BQ92" s="234">
        <f t="shared" si="309"/>
        <v>3.0748170731707316</v>
      </c>
      <c r="BR92" s="234" cm="1">
        <f t="array" ref="BR92">$BM92 * SUMPRODUCT(INDEX($AV$76:$AX$81,,$AI92),INDEX($AY$76:$BE$81,,$AH92), N($AU$76:$AU$81&gt;$AM92)) / BQ92 / 1000</f>
        <v>0</v>
      </c>
      <c r="BS92" s="231">
        <f t="shared" si="310"/>
        <v>30</v>
      </c>
      <c r="BT92" s="229">
        <f t="shared" si="311"/>
        <v>43</v>
      </c>
      <c r="BU92" s="234">
        <f t="shared" si="312"/>
        <v>3.5018750000000001</v>
      </c>
      <c r="BV92" s="234" cm="1">
        <f t="array" ref="BV92">$BM92 * IF($AH92&lt;=2,
SUMPRODUCT(INDEX($AV$71:$AX$75,,$AI92), INDEX($AY$71:$BE$75,,$AH92), 1 / ($BF$71:$BF$75*BU92 + (1-$BF$71:$BF$75)*BQ92), N($AU$71:$AU$75&gt;$AM92)),
SUMPRODUCT(INDEX($AV$66:$AX$75,,$AI92), INDEX($AY$66:$BE$75,,$AH92), 1 / ($BG$66:$BG$75*BU92 + (1-$BG$66:$BG$75)*BQ92), N($AU$66:$AU$75&gt;$AM92))
) / 1000</f>
        <v>0</v>
      </c>
      <c r="BW92" s="231">
        <f t="shared" si="313"/>
        <v>25</v>
      </c>
      <c r="BX92" s="229">
        <f t="shared" si="314"/>
        <v>38</v>
      </c>
      <c r="BY92" s="234">
        <f t="shared" si="315"/>
        <v>4.0666935483870965</v>
      </c>
      <c r="BZ92" s="234" cm="1">
        <f t="array" ref="BZ92">$BM92 * IF($AH92&lt;=2,
SUMPRODUCT(INDEX($AV$66:$AX$70,,$AI92), INDEX($AY$66:$BE$70,,$AH92), 1 / ($BF$66:$BF$70*BY92 + (1-$BF$66:$BF$70)*BU92), N($AU$66:$AU$70&gt;$AM92)),
SUMPRODUCT(INDEX($AV$56:$AX$65,,$AI92), INDEX($AY$56:$BE$65,,$AH92), 1 / ($BG$56:$BG$65*BY92 + (1-$BG$56:$BG$65)*BU92), N($AU$56:$AU$65&gt;$AM92))
) / 1000</f>
        <v>0</v>
      </c>
      <c r="CA92" s="231">
        <f t="shared" si="316"/>
        <v>20</v>
      </c>
      <c r="CB92" s="229">
        <f t="shared" si="317"/>
        <v>33</v>
      </c>
      <c r="CC92" s="234">
        <f t="shared" si="318"/>
        <v>4.8487499999999999</v>
      </c>
      <c r="CD92" s="234" cm="1">
        <f t="array" ref="CD92">$BM92 * IF($AH92&lt;=2,
SUMPRODUCT(INDEX($AV$61:$AX$65,,$AI92), INDEX($AY$61:$BE$65,,$AH92), 1 / ($BF$61:$BF$65*CC92 + (1-$BF$61:$BF$65)*BY92), N($AU$61:$AU$65&gt;$AM92)),
SUMPRODUCT(INDEX($AV$46:$AX$55,,$AI92), INDEX($AY$46:$BE$55,,$AH92), 1 / ($BG$46:$BG$55*CC92 + (1-$BG$46:$BG$55)*BY92), N($AU$46:$AU$55&gt;$AM92))
) / 1000</f>
        <v>0</v>
      </c>
      <c r="CE92" s="234" cm="1">
        <f t="array" ref="CE92">$BM92 * IF($AH92&lt;=2,
SUMPRODUCT(INDEX($AV$22:$AX$60,,$AI92), INDEX($AY$22:$BE$60,,$AH92), 1 / ($BF$22:$BF$60*CC92), N($AU$22:$AU$60&gt;$AM92)),
SUMPRODUCT(INDEX($AV$22:$AX$45,,$AI92), INDEX($AY$22:$BE$45,,$AH92), 1 / ($BG$22:$BG$45*CC92), N($AU$22:$AU$45&gt;$AM92))
) / 1000</f>
        <v>0</v>
      </c>
      <c r="CF92" s="229">
        <f t="shared" si="319"/>
        <v>0</v>
      </c>
      <c r="CG92" s="246"/>
      <c r="CH92" s="229">
        <f t="shared" si="320"/>
        <v>0</v>
      </c>
      <c r="CI92" s="228">
        <v>35</v>
      </c>
      <c r="CJ92" s="229">
        <f t="shared" si="321"/>
        <v>48</v>
      </c>
      <c r="CK92" s="234">
        <f t="shared" si="322"/>
        <v>3.0748170731707316</v>
      </c>
      <c r="CL92" s="234" cm="1">
        <f t="array" ref="CL92">$BM92 * SUMPRODUCT(INDEX($AV$76:$AX$81,,$AI92),INDEX($AY$76:$BE$81,,$AH92), N($AU$76:$AU$81&gt;$AM92)) / CK92 / 1000</f>
        <v>0</v>
      </c>
      <c r="CM92" s="231">
        <f t="shared" si="323"/>
        <v>30</v>
      </c>
      <c r="CN92" s="229">
        <f t="shared" si="324"/>
        <v>43</v>
      </c>
      <c r="CO92" s="234">
        <f t="shared" si="325"/>
        <v>3.5018750000000001</v>
      </c>
      <c r="CP92" s="234" cm="1">
        <f t="array" ref="CP92">$BM92 * IF($AH92&lt;=2,
SUMPRODUCT(INDEX($AV$71:$AX$75,,$AI92), INDEX($AY$71:$BE$75,,$AH92), 1 / ($BF$71:$BF$75*CO92 + (1-$BF$71:$BF$75)*CK92), N($AU$71:$AU$75&gt;$AM92)),
SUMPRODUCT(INDEX($AV$66:$AX$75,,$AI92), INDEX($AY$66:$BE$75,,$AH92), 1 / ($BG$66:$BG$75*CO92 + (1-$BG$66:$BG$75)*CK92), N($AU$66:$AU$75&gt;$AM92))
) / 1000</f>
        <v>0</v>
      </c>
      <c r="CQ92" s="231">
        <f t="shared" si="326"/>
        <v>25</v>
      </c>
      <c r="CR92" s="229">
        <f t="shared" si="327"/>
        <v>38</v>
      </c>
      <c r="CS92" s="234">
        <f t="shared" si="328"/>
        <v>4.0666935483870965</v>
      </c>
      <c r="CT92" s="234" cm="1">
        <f t="array" ref="CT92">$BM92 * IF($AH92&lt;=2,
SUMPRODUCT(INDEX($AV$66:$AX$70,,$AI92), INDEX($AY$66:$BE$70,,$AH92), 1 / ($BF$66:$BF$70*CS92 + (1-$BF$66:$BF$70)*CO92), N($AU$66:$AU$70&gt;$AM92)),
SUMPRODUCT(INDEX($AV$56:$AX$65,,$AI92), INDEX($AY$56:$BE$65,,$AH92), 1 / ($BG$56:$BG$65*CS92 + (1-$BG$56:$BG$65)*CO92), N($AU$56:$AU$65&gt;$AM92))
) / 1000</f>
        <v>0</v>
      </c>
      <c r="CU92" s="231">
        <f t="shared" si="329"/>
        <v>20</v>
      </c>
      <c r="CV92" s="229">
        <f t="shared" si="330"/>
        <v>33</v>
      </c>
      <c r="CW92" s="234">
        <f t="shared" si="331"/>
        <v>4.8487499999999999</v>
      </c>
      <c r="CX92" s="234" cm="1">
        <f t="array" ref="CX92">$BM92 * IF($AH92&lt;=2,
SUMPRODUCT(INDEX($AV$61:$AX$65,,$AI92), INDEX($AY$61:$BE$65,,$AH92), 1 / ($BF$61:$BF$65*CW92 + (1-$BF$61:$BF$65)*CS92), N($AU$61:$AU$65&gt;$AM92)),
SUMPRODUCT(INDEX($AV$46:$AX$55,,$AI92), INDEX($AY$46:$BE$55,,$AH92), 1 / ($BG$46:$BG$55*CW92 + (1-$BG$46:$BG$55)*CS92), N($AU$46:$AU$55&gt;$AM92))
) / 1000</f>
        <v>0</v>
      </c>
      <c r="CY92" s="234" cm="1">
        <f t="array" ref="CY92">$BM92 * IF($AH92&lt;=2,
SUMPRODUCT(INDEX($AV$22:$AX$60,,$AI92), INDEX($AY$22:$BE$60,,$AH92), 1 / ($BF$22:$BF$60*CW92), N($AU$22:$AU$60&gt;$AM92)),
SUMPRODUCT(INDEX($AV$22:$AX$45,,$AI92), INDEX($AY$22:$BE$45,,$AH92), 1 / ($BG$22:$BG$45*CW92), N($AU$22:$AU$45&gt;$AM92))
) / 1000</f>
        <v>0</v>
      </c>
      <c r="CZ92" s="229">
        <f t="shared" si="332"/>
        <v>0</v>
      </c>
      <c r="DA92" s="246"/>
    </row>
    <row r="93" spans="1:105" s="75" customFormat="1" ht="14.25" customHeight="1" x14ac:dyDescent="0.25">
      <c r="A93" s="230" t="b">
        <f t="shared" si="291"/>
        <v>0</v>
      </c>
      <c r="B93" s="253">
        <v>72</v>
      </c>
      <c r="C93" s="266"/>
      <c r="D93" s="266"/>
      <c r="E93" s="254"/>
      <c r="F93" s="255" t="str">
        <f>IF(ISBLANK(E93), "", VLOOKUP(E93, Z!$A$2:$C$4127, 3, FALSE))</f>
        <v/>
      </c>
      <c r="G93" s="256"/>
      <c r="H93" s="256"/>
      <c r="I93" s="256"/>
      <c r="J93" s="257"/>
      <c r="K93" s="258"/>
      <c r="L93" s="267"/>
      <c r="M93" s="268"/>
      <c r="N93" s="259" t="str" cm="1">
        <f t="array" ref="N93">IF($L93&gt;0, INDEX(Clean,1+AK93,$D$1), "")</f>
        <v/>
      </c>
      <c r="O93" s="260"/>
      <c r="P93" s="260"/>
      <c r="Q93" s="261"/>
      <c r="R93" s="264">
        <f t="shared" si="297"/>
        <v>0</v>
      </c>
      <c r="S93" s="259" t="str" cm="1">
        <f t="array" ref="S93">IF($L93&gt;0, INDEX(Clean,1+AL93,$D$1), "")</f>
        <v/>
      </c>
      <c r="T93" s="260"/>
      <c r="U93" s="260"/>
      <c r="V93" s="261"/>
      <c r="W93" s="267"/>
      <c r="X93" s="267"/>
      <c r="Y93" s="257"/>
      <c r="Z93" s="264">
        <f t="shared" si="298"/>
        <v>0</v>
      </c>
      <c r="AA93" s="269"/>
      <c r="AB93" s="266"/>
      <c r="AC93" s="254"/>
      <c r="AD93" s="255" t="str">
        <f>IF(ISBLANK(AC93), "", VLOOKUP(AC93, Z!$A$2:$C$4127, 3, FALSE))</f>
        <v/>
      </c>
      <c r="AE93" s="270"/>
      <c r="AF93" s="265">
        <f t="shared" si="299"/>
        <v>0</v>
      </c>
      <c r="AG93" s="246"/>
      <c r="AH93" s="228">
        <f t="shared" ref="AH93" si="353">IF(ISBLANK(I93), 1, IFERROR(MATCH(I93, INDEX(Use,,1), 0), IFERROR(MATCH(I93, INDEX(Use,,2), 0), MATCH(I93, INDEX(Use,,3), 0))))</f>
        <v>1</v>
      </c>
      <c r="AI93" s="228">
        <f t="shared" ref="AI93" si="354">IF(ISBLANK(H93), 1, IFERROR(MATCH(H93, INDEX(Loc,,1), 0), IFERROR(MATCH(H93, INDEX(Loc,,2), 0), MATCH(H93, INDEX(Loc,,3), 0))))</f>
        <v>1</v>
      </c>
      <c r="AJ93" s="228">
        <f t="shared" ref="AJ93" si="355">_xlfn.IFNA(IF(IFERROR(MATCH(J93, INDEX(Medium,,1), 0), IFERROR(MATCH(J93, INDEX(Medium,,2), 0), MATCH(J93, INDEX(Medium,,3), 0))) = 2, 1, 0), 0)</f>
        <v>0</v>
      </c>
      <c r="AK93" s="228">
        <v>0</v>
      </c>
      <c r="AL93" s="228">
        <v>0</v>
      </c>
      <c r="AM93" s="228">
        <f t="shared" si="295"/>
        <v>-100</v>
      </c>
      <c r="AN93" s="228" cm="1">
        <f t="array" ref="AN93">IF(ISBLANK(G93), 1, IFERROR(MATCH(G93, INDEX(Kat,,1), 0), IFERROR(MATCH(Kat, INDEX(Use,,2), 0), MATCH(Kat, INDEX(Use,,3), 0))))</f>
        <v>1</v>
      </c>
      <c r="AO93" s="246"/>
      <c r="AP93" s="228" cm="1">
        <f t="array" ref="AP93">IF(W93&gt;0, INDEX(Kat, AN93,4), 0)</f>
        <v>0</v>
      </c>
      <c r="AQ93" s="228">
        <f t="shared" ref="AQ93" si="356">IF(ISBLANK(Y93), 0, IFERROR(MATCH(Y93, INDEX(Month,,1), 0), IFERROR(MATCH(Y93, INDEX(Month,,2), 0), MATCH(Y93, INDEX(Month,,3), 0))))</f>
        <v>0</v>
      </c>
      <c r="AR93" s="228" cm="1">
        <f t="array" ref="AR93">IF(X93&gt;0, INDEX(Kat, $AN93, 4+AQ93), 0)</f>
        <v>0</v>
      </c>
      <c r="AS93" s="228" cm="1">
        <f t="array" ref="AS93">IF(X93&gt;0, INDEX(Kat, $AN93, 9+AQ93), 0)</f>
        <v>0</v>
      </c>
      <c r="AT93" s="246"/>
      <c r="AU93" s="262"/>
      <c r="AV93" s="262"/>
      <c r="AW93" s="263"/>
      <c r="AX93" s="263"/>
      <c r="AY93" s="263"/>
      <c r="AZ93" s="263"/>
      <c r="BA93" s="263"/>
      <c r="BB93" s="263"/>
      <c r="BC93" s="263"/>
      <c r="BD93" s="263"/>
      <c r="BE93" s="263"/>
      <c r="BF93" s="263"/>
      <c r="BG93" s="263"/>
      <c r="BH93" s="210"/>
      <c r="BI93" s="228" cm="1">
        <f t="array" ref="BI93">INDEX(Use, $AH93, 4)</f>
        <v>7</v>
      </c>
      <c r="BJ93" s="228">
        <f t="shared" si="304"/>
        <v>32</v>
      </c>
      <c r="BK93" s="228">
        <f t="shared" si="305"/>
        <v>13</v>
      </c>
      <c r="BL93" s="228">
        <f t="shared" si="306"/>
        <v>0</v>
      </c>
      <c r="BM93" s="233" cm="1">
        <f t="array" ref="BM93">L93/IF($M93&gt;0, INDEX($AY$22:$BE$76, $M93+20, $AH93), 1)</f>
        <v>0</v>
      </c>
      <c r="BN93" s="229">
        <f t="shared" si="307"/>
        <v>0</v>
      </c>
      <c r="BO93" s="228">
        <v>35</v>
      </c>
      <c r="BP93" s="229">
        <f t="shared" si="308"/>
        <v>48</v>
      </c>
      <c r="BQ93" s="234">
        <f t="shared" si="309"/>
        <v>3.0748170731707316</v>
      </c>
      <c r="BR93" s="234" cm="1">
        <f t="array" ref="BR93">$BM93 * SUMPRODUCT(INDEX($AV$76:$AX$81,,$AI93),INDEX($AY$76:$BE$81,,$AH93), N($AU$76:$AU$81&gt;$AM93)) / BQ93 / 1000</f>
        <v>0</v>
      </c>
      <c r="BS93" s="231">
        <f t="shared" si="310"/>
        <v>30</v>
      </c>
      <c r="BT93" s="229">
        <f t="shared" si="311"/>
        <v>43</v>
      </c>
      <c r="BU93" s="234">
        <f t="shared" si="312"/>
        <v>3.5018750000000001</v>
      </c>
      <c r="BV93" s="234" cm="1">
        <f t="array" ref="BV93">$BM93 * IF($AH93&lt;=2,
SUMPRODUCT(INDEX($AV$71:$AX$75,,$AI93), INDEX($AY$71:$BE$75,,$AH93), 1 / ($BF$71:$BF$75*BU93 + (1-$BF$71:$BF$75)*BQ93), N($AU$71:$AU$75&gt;$AM93)),
SUMPRODUCT(INDEX($AV$66:$AX$75,,$AI93), INDEX($AY$66:$BE$75,,$AH93), 1 / ($BG$66:$BG$75*BU93 + (1-$BG$66:$BG$75)*BQ93), N($AU$66:$AU$75&gt;$AM93))
) / 1000</f>
        <v>0</v>
      </c>
      <c r="BW93" s="231">
        <f t="shared" si="313"/>
        <v>25</v>
      </c>
      <c r="BX93" s="229">
        <f t="shared" si="314"/>
        <v>38</v>
      </c>
      <c r="BY93" s="234">
        <f t="shared" si="315"/>
        <v>4.0666935483870965</v>
      </c>
      <c r="BZ93" s="234" cm="1">
        <f t="array" ref="BZ93">$BM93 * IF($AH93&lt;=2,
SUMPRODUCT(INDEX($AV$66:$AX$70,,$AI93), INDEX($AY$66:$BE$70,,$AH93), 1 / ($BF$66:$BF$70*BY93 + (1-$BF$66:$BF$70)*BU93), N($AU$66:$AU$70&gt;$AM93)),
SUMPRODUCT(INDEX($AV$56:$AX$65,,$AI93), INDEX($AY$56:$BE$65,,$AH93), 1 / ($BG$56:$BG$65*BY93 + (1-$BG$56:$BG$65)*BU93), N($AU$56:$AU$65&gt;$AM93))
) / 1000</f>
        <v>0</v>
      </c>
      <c r="CA93" s="231">
        <f t="shared" si="316"/>
        <v>20</v>
      </c>
      <c r="CB93" s="229">
        <f t="shared" si="317"/>
        <v>33</v>
      </c>
      <c r="CC93" s="234">
        <f t="shared" si="318"/>
        <v>4.8487499999999999</v>
      </c>
      <c r="CD93" s="234" cm="1">
        <f t="array" ref="CD93">$BM93 * IF($AH93&lt;=2,
SUMPRODUCT(INDEX($AV$61:$AX$65,,$AI93), INDEX($AY$61:$BE$65,,$AH93), 1 / ($BF$61:$BF$65*CC93 + (1-$BF$61:$BF$65)*BY93), N($AU$61:$AU$65&gt;$AM93)),
SUMPRODUCT(INDEX($AV$46:$AX$55,,$AI93), INDEX($AY$46:$BE$55,,$AH93), 1 / ($BG$46:$BG$55*CC93 + (1-$BG$46:$BG$55)*BY93), N($AU$46:$AU$55&gt;$AM93))
) / 1000</f>
        <v>0</v>
      </c>
      <c r="CE93" s="234" cm="1">
        <f t="array" ref="CE93">$BM93 * IF($AH93&lt;=2,
SUMPRODUCT(INDEX($AV$22:$AX$60,,$AI93), INDEX($AY$22:$BE$60,,$AH93), 1 / ($BF$22:$BF$60*CC93), N($AU$22:$AU$60&gt;$AM93)),
SUMPRODUCT(INDEX($AV$22:$AX$45,,$AI93), INDEX($AY$22:$BE$45,,$AH93), 1 / ($BG$22:$BG$45*CC93), N($AU$22:$AU$45&gt;$AM93))
) / 1000</f>
        <v>0</v>
      </c>
      <c r="CF93" s="229">
        <f t="shared" si="319"/>
        <v>0</v>
      </c>
      <c r="CG93" s="246"/>
      <c r="CH93" s="229">
        <f t="shared" si="320"/>
        <v>0</v>
      </c>
      <c r="CI93" s="228">
        <v>35</v>
      </c>
      <c r="CJ93" s="229">
        <f t="shared" si="321"/>
        <v>48</v>
      </c>
      <c r="CK93" s="234">
        <f t="shared" si="322"/>
        <v>3.0748170731707316</v>
      </c>
      <c r="CL93" s="234" cm="1">
        <f t="array" ref="CL93">$BM93 * SUMPRODUCT(INDEX($AV$76:$AX$81,,$AI93),INDEX($AY$76:$BE$81,,$AH93), N($AU$76:$AU$81&gt;$AM93)) / CK93 / 1000</f>
        <v>0</v>
      </c>
      <c r="CM93" s="231">
        <f t="shared" si="323"/>
        <v>30</v>
      </c>
      <c r="CN93" s="229">
        <f t="shared" si="324"/>
        <v>43</v>
      </c>
      <c r="CO93" s="234">
        <f t="shared" si="325"/>
        <v>3.5018750000000001</v>
      </c>
      <c r="CP93" s="234" cm="1">
        <f t="array" ref="CP93">$BM93 * IF($AH93&lt;=2,
SUMPRODUCT(INDEX($AV$71:$AX$75,,$AI93), INDEX($AY$71:$BE$75,,$AH93), 1 / ($BF$71:$BF$75*CO93 + (1-$BF$71:$BF$75)*CK93), N($AU$71:$AU$75&gt;$AM93)),
SUMPRODUCT(INDEX($AV$66:$AX$75,,$AI93), INDEX($AY$66:$BE$75,,$AH93), 1 / ($BG$66:$BG$75*CO93 + (1-$BG$66:$BG$75)*CK93), N($AU$66:$AU$75&gt;$AM93))
) / 1000</f>
        <v>0</v>
      </c>
      <c r="CQ93" s="231">
        <f t="shared" si="326"/>
        <v>25</v>
      </c>
      <c r="CR93" s="229">
        <f t="shared" si="327"/>
        <v>38</v>
      </c>
      <c r="CS93" s="234">
        <f t="shared" si="328"/>
        <v>4.0666935483870965</v>
      </c>
      <c r="CT93" s="234" cm="1">
        <f t="array" ref="CT93">$BM93 * IF($AH93&lt;=2,
SUMPRODUCT(INDEX($AV$66:$AX$70,,$AI93), INDEX($AY$66:$BE$70,,$AH93), 1 / ($BF$66:$BF$70*CS93 + (1-$BF$66:$BF$70)*CO93), N($AU$66:$AU$70&gt;$AM93)),
SUMPRODUCT(INDEX($AV$56:$AX$65,,$AI93), INDEX($AY$56:$BE$65,,$AH93), 1 / ($BG$56:$BG$65*CS93 + (1-$BG$56:$BG$65)*CO93), N($AU$56:$AU$65&gt;$AM93))
) / 1000</f>
        <v>0</v>
      </c>
      <c r="CU93" s="231">
        <f t="shared" si="329"/>
        <v>20</v>
      </c>
      <c r="CV93" s="229">
        <f t="shared" si="330"/>
        <v>33</v>
      </c>
      <c r="CW93" s="234">
        <f t="shared" si="331"/>
        <v>4.8487499999999999</v>
      </c>
      <c r="CX93" s="234" cm="1">
        <f t="array" ref="CX93">$BM93 * IF($AH93&lt;=2,
SUMPRODUCT(INDEX($AV$61:$AX$65,,$AI93), INDEX($AY$61:$BE$65,,$AH93), 1 / ($BF$61:$BF$65*CW93 + (1-$BF$61:$BF$65)*CS93), N($AU$61:$AU$65&gt;$AM93)),
SUMPRODUCT(INDEX($AV$46:$AX$55,,$AI93), INDEX($AY$46:$BE$55,,$AH93), 1 / ($BG$46:$BG$55*CW93 + (1-$BG$46:$BG$55)*CS93), N($AU$46:$AU$55&gt;$AM93))
) / 1000</f>
        <v>0</v>
      </c>
      <c r="CY93" s="234" cm="1">
        <f t="array" ref="CY93">$BM93 * IF($AH93&lt;=2,
SUMPRODUCT(INDEX($AV$22:$AX$60,,$AI93), INDEX($AY$22:$BE$60,,$AH93), 1 / ($BF$22:$BF$60*CW93), N($AU$22:$AU$60&gt;$AM93)),
SUMPRODUCT(INDEX($AV$22:$AX$45,,$AI93), INDEX($AY$22:$BE$45,,$AH93), 1 / ($BG$22:$BG$45*CW93), N($AU$22:$AU$45&gt;$AM93))
) / 1000</f>
        <v>0</v>
      </c>
      <c r="CZ93" s="229">
        <f t="shared" si="332"/>
        <v>0</v>
      </c>
      <c r="DA93" s="246"/>
    </row>
    <row r="94" spans="1:105" s="75" customFormat="1" ht="14.25" customHeight="1" x14ac:dyDescent="0.25">
      <c r="A94" s="230" t="b">
        <f t="shared" si="291"/>
        <v>0</v>
      </c>
      <c r="B94" s="253">
        <v>73</v>
      </c>
      <c r="C94" s="266"/>
      <c r="D94" s="266"/>
      <c r="E94" s="254"/>
      <c r="F94" s="255" t="str">
        <f>IF(ISBLANK(E94), "", VLOOKUP(E94, Z!$A$2:$C$4127, 3, FALSE))</f>
        <v/>
      </c>
      <c r="G94" s="256"/>
      <c r="H94" s="256"/>
      <c r="I94" s="256"/>
      <c r="J94" s="257"/>
      <c r="K94" s="258"/>
      <c r="L94" s="267"/>
      <c r="M94" s="268"/>
      <c r="N94" s="259" t="str" cm="1">
        <f t="array" ref="N94">IF($L94&gt;0, INDEX(Clean,1+AK94,$D$1), "")</f>
        <v/>
      </c>
      <c r="O94" s="260"/>
      <c r="P94" s="260"/>
      <c r="Q94" s="261"/>
      <c r="R94" s="264">
        <f t="shared" si="297"/>
        <v>0</v>
      </c>
      <c r="S94" s="259" t="str" cm="1">
        <f t="array" ref="S94">IF($L94&gt;0, INDEX(Clean,1+AL94,$D$1), "")</f>
        <v/>
      </c>
      <c r="T94" s="260"/>
      <c r="U94" s="260"/>
      <c r="V94" s="261"/>
      <c r="W94" s="267"/>
      <c r="X94" s="267"/>
      <c r="Y94" s="257"/>
      <c r="Z94" s="264">
        <f t="shared" si="298"/>
        <v>0</v>
      </c>
      <c r="AA94" s="269"/>
      <c r="AB94" s="266"/>
      <c r="AC94" s="254"/>
      <c r="AD94" s="255" t="str">
        <f>IF(ISBLANK(AC94), "", VLOOKUP(AC94, Z!$A$2:$C$4127, 3, FALSE))</f>
        <v/>
      </c>
      <c r="AE94" s="270"/>
      <c r="AF94" s="265">
        <f t="shared" si="299"/>
        <v>0</v>
      </c>
      <c r="AG94" s="246"/>
      <c r="AH94" s="228">
        <f t="shared" ref="AH94" si="357">IF(ISBLANK(I94), 1, IFERROR(MATCH(I94, INDEX(Use,,1), 0), IFERROR(MATCH(I94, INDEX(Use,,2), 0), MATCH(I94, INDEX(Use,,3), 0))))</f>
        <v>1</v>
      </c>
      <c r="AI94" s="228">
        <f t="shared" ref="AI94" si="358">IF(ISBLANK(H94), 1, IFERROR(MATCH(H94, INDEX(Loc,,1), 0), IFERROR(MATCH(H94, INDEX(Loc,,2), 0), MATCH(H94, INDEX(Loc,,3), 0))))</f>
        <v>1</v>
      </c>
      <c r="AJ94" s="228">
        <f t="shared" ref="AJ94" si="359">_xlfn.IFNA(IF(IFERROR(MATCH(J94, INDEX(Medium,,1), 0), IFERROR(MATCH(J94, INDEX(Medium,,2), 0), MATCH(J94, INDEX(Medium,,3), 0))) = 2, 1, 0), 0)</f>
        <v>0</v>
      </c>
      <c r="AK94" s="228">
        <v>0</v>
      </c>
      <c r="AL94" s="228">
        <v>0</v>
      </c>
      <c r="AM94" s="228">
        <f t="shared" si="295"/>
        <v>-100</v>
      </c>
      <c r="AN94" s="228" cm="1">
        <f t="array" ref="AN94">IF(ISBLANK(G94), 1, IFERROR(MATCH(G94, INDEX(Kat,,1), 0), IFERROR(MATCH(Kat, INDEX(Use,,2), 0), MATCH(Kat, INDEX(Use,,3), 0))))</f>
        <v>1</v>
      </c>
      <c r="AO94" s="246"/>
      <c r="AP94" s="228" cm="1">
        <f t="array" ref="AP94">IF(W94&gt;0, INDEX(Kat, AN94,4), 0)</f>
        <v>0</v>
      </c>
      <c r="AQ94" s="228">
        <f t="shared" ref="AQ94" si="360">IF(ISBLANK(Y94), 0, IFERROR(MATCH(Y94, INDEX(Month,,1), 0), IFERROR(MATCH(Y94, INDEX(Month,,2), 0), MATCH(Y94, INDEX(Month,,3), 0))))</f>
        <v>0</v>
      </c>
      <c r="AR94" s="228" cm="1">
        <f t="array" ref="AR94">IF(X94&gt;0, INDEX(Kat, $AN94, 4+AQ94), 0)</f>
        <v>0</v>
      </c>
      <c r="AS94" s="228" cm="1">
        <f t="array" ref="AS94">IF(X94&gt;0, INDEX(Kat, $AN94, 9+AQ94), 0)</f>
        <v>0</v>
      </c>
      <c r="AT94" s="246"/>
      <c r="AU94" s="262"/>
      <c r="AV94" s="262"/>
      <c r="AW94" s="263"/>
      <c r="AX94" s="263"/>
      <c r="AY94" s="263"/>
      <c r="AZ94" s="263"/>
      <c r="BA94" s="263"/>
      <c r="BB94" s="263"/>
      <c r="BC94" s="263"/>
      <c r="BD94" s="263"/>
      <c r="BE94" s="263"/>
      <c r="BF94" s="263"/>
      <c r="BG94" s="263"/>
      <c r="BH94" s="210"/>
      <c r="BI94" s="228" cm="1">
        <f t="array" ref="BI94">INDEX(Use, $AH94, 4)</f>
        <v>7</v>
      </c>
      <c r="BJ94" s="228">
        <f t="shared" si="304"/>
        <v>32</v>
      </c>
      <c r="BK94" s="228">
        <f t="shared" si="305"/>
        <v>13</v>
      </c>
      <c r="BL94" s="228">
        <f t="shared" si="306"/>
        <v>0</v>
      </c>
      <c r="BM94" s="233" cm="1">
        <f t="array" ref="BM94">L94/IF($M94&gt;0, INDEX($AY$22:$BE$76, $M94+20, $AH94), 1)</f>
        <v>0</v>
      </c>
      <c r="BN94" s="229">
        <f t="shared" si="307"/>
        <v>0</v>
      </c>
      <c r="BO94" s="228">
        <v>35</v>
      </c>
      <c r="BP94" s="229">
        <f t="shared" si="308"/>
        <v>48</v>
      </c>
      <c r="BQ94" s="234">
        <f t="shared" si="309"/>
        <v>3.0748170731707316</v>
      </c>
      <c r="BR94" s="234" cm="1">
        <f t="array" ref="BR94">$BM94 * SUMPRODUCT(INDEX($AV$76:$AX$81,,$AI94),INDEX($AY$76:$BE$81,,$AH94), N($AU$76:$AU$81&gt;$AM94)) / BQ94 / 1000</f>
        <v>0</v>
      </c>
      <c r="BS94" s="231">
        <f t="shared" si="310"/>
        <v>30</v>
      </c>
      <c r="BT94" s="229">
        <f t="shared" si="311"/>
        <v>43</v>
      </c>
      <c r="BU94" s="234">
        <f t="shared" si="312"/>
        <v>3.5018750000000001</v>
      </c>
      <c r="BV94" s="234" cm="1">
        <f t="array" ref="BV94">$BM94 * IF($AH94&lt;=2,
SUMPRODUCT(INDEX($AV$71:$AX$75,,$AI94), INDEX($AY$71:$BE$75,,$AH94), 1 / ($BF$71:$BF$75*BU94 + (1-$BF$71:$BF$75)*BQ94), N($AU$71:$AU$75&gt;$AM94)),
SUMPRODUCT(INDEX($AV$66:$AX$75,,$AI94), INDEX($AY$66:$BE$75,,$AH94), 1 / ($BG$66:$BG$75*BU94 + (1-$BG$66:$BG$75)*BQ94), N($AU$66:$AU$75&gt;$AM94))
) / 1000</f>
        <v>0</v>
      </c>
      <c r="BW94" s="231">
        <f t="shared" si="313"/>
        <v>25</v>
      </c>
      <c r="BX94" s="229">
        <f t="shared" si="314"/>
        <v>38</v>
      </c>
      <c r="BY94" s="234">
        <f t="shared" si="315"/>
        <v>4.0666935483870965</v>
      </c>
      <c r="BZ94" s="234" cm="1">
        <f t="array" ref="BZ94">$BM94 * IF($AH94&lt;=2,
SUMPRODUCT(INDEX($AV$66:$AX$70,,$AI94), INDEX($AY$66:$BE$70,,$AH94), 1 / ($BF$66:$BF$70*BY94 + (1-$BF$66:$BF$70)*BU94), N($AU$66:$AU$70&gt;$AM94)),
SUMPRODUCT(INDEX($AV$56:$AX$65,,$AI94), INDEX($AY$56:$BE$65,,$AH94), 1 / ($BG$56:$BG$65*BY94 + (1-$BG$56:$BG$65)*BU94), N($AU$56:$AU$65&gt;$AM94))
) / 1000</f>
        <v>0</v>
      </c>
      <c r="CA94" s="231">
        <f t="shared" si="316"/>
        <v>20</v>
      </c>
      <c r="CB94" s="229">
        <f t="shared" si="317"/>
        <v>33</v>
      </c>
      <c r="CC94" s="234">
        <f t="shared" si="318"/>
        <v>4.8487499999999999</v>
      </c>
      <c r="CD94" s="234" cm="1">
        <f t="array" ref="CD94">$BM94 * IF($AH94&lt;=2,
SUMPRODUCT(INDEX($AV$61:$AX$65,,$AI94), INDEX($AY$61:$BE$65,,$AH94), 1 / ($BF$61:$BF$65*CC94 + (1-$BF$61:$BF$65)*BY94), N($AU$61:$AU$65&gt;$AM94)),
SUMPRODUCT(INDEX($AV$46:$AX$55,,$AI94), INDEX($AY$46:$BE$55,,$AH94), 1 / ($BG$46:$BG$55*CC94 + (1-$BG$46:$BG$55)*BY94), N($AU$46:$AU$55&gt;$AM94))
) / 1000</f>
        <v>0</v>
      </c>
      <c r="CE94" s="234" cm="1">
        <f t="array" ref="CE94">$BM94 * IF($AH94&lt;=2,
SUMPRODUCT(INDEX($AV$22:$AX$60,,$AI94), INDEX($AY$22:$BE$60,,$AH94), 1 / ($BF$22:$BF$60*CC94), N($AU$22:$AU$60&gt;$AM94)),
SUMPRODUCT(INDEX($AV$22:$AX$45,,$AI94), INDEX($AY$22:$BE$45,,$AH94), 1 / ($BG$22:$BG$45*CC94), N($AU$22:$AU$45&gt;$AM94))
) / 1000</f>
        <v>0</v>
      </c>
      <c r="CF94" s="229">
        <f t="shared" si="319"/>
        <v>0</v>
      </c>
      <c r="CG94" s="246"/>
      <c r="CH94" s="229">
        <f t="shared" si="320"/>
        <v>0</v>
      </c>
      <c r="CI94" s="228">
        <v>35</v>
      </c>
      <c r="CJ94" s="229">
        <f t="shared" si="321"/>
        <v>48</v>
      </c>
      <c r="CK94" s="234">
        <f t="shared" si="322"/>
        <v>3.0748170731707316</v>
      </c>
      <c r="CL94" s="234" cm="1">
        <f t="array" ref="CL94">$BM94 * SUMPRODUCT(INDEX($AV$76:$AX$81,,$AI94),INDEX($AY$76:$BE$81,,$AH94), N($AU$76:$AU$81&gt;$AM94)) / CK94 / 1000</f>
        <v>0</v>
      </c>
      <c r="CM94" s="231">
        <f t="shared" si="323"/>
        <v>30</v>
      </c>
      <c r="CN94" s="229">
        <f t="shared" si="324"/>
        <v>43</v>
      </c>
      <c r="CO94" s="234">
        <f t="shared" si="325"/>
        <v>3.5018750000000001</v>
      </c>
      <c r="CP94" s="234" cm="1">
        <f t="array" ref="CP94">$BM94 * IF($AH94&lt;=2,
SUMPRODUCT(INDEX($AV$71:$AX$75,,$AI94), INDEX($AY$71:$BE$75,,$AH94), 1 / ($BF$71:$BF$75*CO94 + (1-$BF$71:$BF$75)*CK94), N($AU$71:$AU$75&gt;$AM94)),
SUMPRODUCT(INDEX($AV$66:$AX$75,,$AI94), INDEX($AY$66:$BE$75,,$AH94), 1 / ($BG$66:$BG$75*CO94 + (1-$BG$66:$BG$75)*CK94), N($AU$66:$AU$75&gt;$AM94))
) / 1000</f>
        <v>0</v>
      </c>
      <c r="CQ94" s="231">
        <f t="shared" si="326"/>
        <v>25</v>
      </c>
      <c r="CR94" s="229">
        <f t="shared" si="327"/>
        <v>38</v>
      </c>
      <c r="CS94" s="234">
        <f t="shared" si="328"/>
        <v>4.0666935483870965</v>
      </c>
      <c r="CT94" s="234" cm="1">
        <f t="array" ref="CT94">$BM94 * IF($AH94&lt;=2,
SUMPRODUCT(INDEX($AV$66:$AX$70,,$AI94), INDEX($AY$66:$BE$70,,$AH94), 1 / ($BF$66:$BF$70*CS94 + (1-$BF$66:$BF$70)*CO94), N($AU$66:$AU$70&gt;$AM94)),
SUMPRODUCT(INDEX($AV$56:$AX$65,,$AI94), INDEX($AY$56:$BE$65,,$AH94), 1 / ($BG$56:$BG$65*CS94 + (1-$BG$56:$BG$65)*CO94), N($AU$56:$AU$65&gt;$AM94))
) / 1000</f>
        <v>0</v>
      </c>
      <c r="CU94" s="231">
        <f t="shared" si="329"/>
        <v>20</v>
      </c>
      <c r="CV94" s="229">
        <f t="shared" si="330"/>
        <v>33</v>
      </c>
      <c r="CW94" s="234">
        <f t="shared" si="331"/>
        <v>4.8487499999999999</v>
      </c>
      <c r="CX94" s="234" cm="1">
        <f t="array" ref="CX94">$BM94 * IF($AH94&lt;=2,
SUMPRODUCT(INDEX($AV$61:$AX$65,,$AI94), INDEX($AY$61:$BE$65,,$AH94), 1 / ($BF$61:$BF$65*CW94 + (1-$BF$61:$BF$65)*CS94), N($AU$61:$AU$65&gt;$AM94)),
SUMPRODUCT(INDEX($AV$46:$AX$55,,$AI94), INDEX($AY$46:$BE$55,,$AH94), 1 / ($BG$46:$BG$55*CW94 + (1-$BG$46:$BG$55)*CS94), N($AU$46:$AU$55&gt;$AM94))
) / 1000</f>
        <v>0</v>
      </c>
      <c r="CY94" s="234" cm="1">
        <f t="array" ref="CY94">$BM94 * IF($AH94&lt;=2,
SUMPRODUCT(INDEX($AV$22:$AX$60,,$AI94), INDEX($AY$22:$BE$60,,$AH94), 1 / ($BF$22:$BF$60*CW94), N($AU$22:$AU$60&gt;$AM94)),
SUMPRODUCT(INDEX($AV$22:$AX$45,,$AI94), INDEX($AY$22:$BE$45,,$AH94), 1 / ($BG$22:$BG$45*CW94), N($AU$22:$AU$45&gt;$AM94))
) / 1000</f>
        <v>0</v>
      </c>
      <c r="CZ94" s="229">
        <f t="shared" si="332"/>
        <v>0</v>
      </c>
      <c r="DA94" s="246"/>
    </row>
    <row r="95" spans="1:105" s="75" customFormat="1" ht="14.25" customHeight="1" x14ac:dyDescent="0.25">
      <c r="A95" s="230" t="b">
        <f t="shared" si="291"/>
        <v>0</v>
      </c>
      <c r="B95" s="253">
        <v>74</v>
      </c>
      <c r="C95" s="266"/>
      <c r="D95" s="266"/>
      <c r="E95" s="254"/>
      <c r="F95" s="255" t="str">
        <f>IF(ISBLANK(E95), "", VLOOKUP(E95, Z!$A$2:$C$4127, 3, FALSE))</f>
        <v/>
      </c>
      <c r="G95" s="256"/>
      <c r="H95" s="256"/>
      <c r="I95" s="256"/>
      <c r="J95" s="257"/>
      <c r="K95" s="258"/>
      <c r="L95" s="267"/>
      <c r="M95" s="268"/>
      <c r="N95" s="259" t="str" cm="1">
        <f t="array" ref="N95">IF($L95&gt;0, INDEX(Clean,1+AK95,$D$1), "")</f>
        <v/>
      </c>
      <c r="O95" s="260"/>
      <c r="P95" s="260"/>
      <c r="Q95" s="261"/>
      <c r="R95" s="264">
        <f t="shared" si="297"/>
        <v>0</v>
      </c>
      <c r="S95" s="259" t="str" cm="1">
        <f t="array" ref="S95">IF($L95&gt;0, INDEX(Clean,1+AL95,$D$1), "")</f>
        <v/>
      </c>
      <c r="T95" s="260"/>
      <c r="U95" s="260"/>
      <c r="V95" s="261"/>
      <c r="W95" s="267"/>
      <c r="X95" s="267"/>
      <c r="Y95" s="257"/>
      <c r="Z95" s="264">
        <f t="shared" si="298"/>
        <v>0</v>
      </c>
      <c r="AA95" s="269"/>
      <c r="AB95" s="266"/>
      <c r="AC95" s="254"/>
      <c r="AD95" s="255" t="str">
        <f>IF(ISBLANK(AC95), "", VLOOKUP(AC95, Z!$A$2:$C$4127, 3, FALSE))</f>
        <v/>
      </c>
      <c r="AE95" s="270"/>
      <c r="AF95" s="265">
        <f t="shared" si="299"/>
        <v>0</v>
      </c>
      <c r="AG95" s="246"/>
      <c r="AH95" s="228">
        <f t="shared" ref="AH95" si="361">IF(ISBLANK(I95), 1, IFERROR(MATCH(I95, INDEX(Use,,1), 0), IFERROR(MATCH(I95, INDEX(Use,,2), 0), MATCH(I95, INDEX(Use,,3), 0))))</f>
        <v>1</v>
      </c>
      <c r="AI95" s="228">
        <f t="shared" ref="AI95" si="362">IF(ISBLANK(H95), 1, IFERROR(MATCH(H95, INDEX(Loc,,1), 0), IFERROR(MATCH(H95, INDEX(Loc,,2), 0), MATCH(H95, INDEX(Loc,,3), 0))))</f>
        <v>1</v>
      </c>
      <c r="AJ95" s="228">
        <f t="shared" ref="AJ95" si="363">_xlfn.IFNA(IF(IFERROR(MATCH(J95, INDEX(Medium,,1), 0), IFERROR(MATCH(J95, INDEX(Medium,,2), 0), MATCH(J95, INDEX(Medium,,3), 0))) = 2, 1, 0), 0)</f>
        <v>0</v>
      </c>
      <c r="AK95" s="228">
        <v>0</v>
      </c>
      <c r="AL95" s="228">
        <v>0</v>
      </c>
      <c r="AM95" s="228">
        <f t="shared" si="295"/>
        <v>-100</v>
      </c>
      <c r="AN95" s="228" cm="1">
        <f t="array" ref="AN95">IF(ISBLANK(G95), 1, IFERROR(MATCH(G95, INDEX(Kat,,1), 0), IFERROR(MATCH(Kat, INDEX(Use,,2), 0), MATCH(Kat, INDEX(Use,,3), 0))))</f>
        <v>1</v>
      </c>
      <c r="AO95" s="246"/>
      <c r="AP95" s="228" cm="1">
        <f t="array" ref="AP95">IF(W95&gt;0, INDEX(Kat, AN95,4), 0)</f>
        <v>0</v>
      </c>
      <c r="AQ95" s="228">
        <f t="shared" ref="AQ95" si="364">IF(ISBLANK(Y95), 0, IFERROR(MATCH(Y95, INDEX(Month,,1), 0), IFERROR(MATCH(Y95, INDEX(Month,,2), 0), MATCH(Y95, INDEX(Month,,3), 0))))</f>
        <v>0</v>
      </c>
      <c r="AR95" s="228" cm="1">
        <f t="array" ref="AR95">IF(X95&gt;0, INDEX(Kat, $AN95, 4+AQ95), 0)</f>
        <v>0</v>
      </c>
      <c r="AS95" s="228" cm="1">
        <f t="array" ref="AS95">IF(X95&gt;0, INDEX(Kat, $AN95, 9+AQ95), 0)</f>
        <v>0</v>
      </c>
      <c r="AT95" s="246"/>
      <c r="AU95" s="262"/>
      <c r="AV95" s="262"/>
      <c r="AW95" s="263"/>
      <c r="AX95" s="263"/>
      <c r="AY95" s="263"/>
      <c r="AZ95" s="263"/>
      <c r="BA95" s="263"/>
      <c r="BB95" s="263"/>
      <c r="BC95" s="263"/>
      <c r="BD95" s="263"/>
      <c r="BE95" s="263"/>
      <c r="BF95" s="263"/>
      <c r="BG95" s="263"/>
      <c r="BH95" s="210"/>
      <c r="BI95" s="228" cm="1">
        <f t="array" ref="BI95">INDEX(Use, $AH95, 4)</f>
        <v>7</v>
      </c>
      <c r="BJ95" s="228">
        <f t="shared" si="304"/>
        <v>32</v>
      </c>
      <c r="BK95" s="228">
        <f t="shared" si="305"/>
        <v>13</v>
      </c>
      <c r="BL95" s="228">
        <f t="shared" si="306"/>
        <v>0</v>
      </c>
      <c r="BM95" s="233" cm="1">
        <f t="array" ref="BM95">L95/IF($M95&gt;0, INDEX($AY$22:$BE$76, $M95+20, $AH95), 1)</f>
        <v>0</v>
      </c>
      <c r="BN95" s="229">
        <f t="shared" si="307"/>
        <v>0</v>
      </c>
      <c r="BO95" s="228">
        <v>35</v>
      </c>
      <c r="BP95" s="229">
        <f t="shared" si="308"/>
        <v>48</v>
      </c>
      <c r="BQ95" s="234">
        <f t="shared" si="309"/>
        <v>3.0748170731707316</v>
      </c>
      <c r="BR95" s="234" cm="1">
        <f t="array" ref="BR95">$BM95 * SUMPRODUCT(INDEX($AV$76:$AX$81,,$AI95),INDEX($AY$76:$BE$81,,$AH95), N($AU$76:$AU$81&gt;$AM95)) / BQ95 / 1000</f>
        <v>0</v>
      </c>
      <c r="BS95" s="231">
        <f t="shared" si="310"/>
        <v>30</v>
      </c>
      <c r="BT95" s="229">
        <f t="shared" si="311"/>
        <v>43</v>
      </c>
      <c r="BU95" s="234">
        <f t="shared" si="312"/>
        <v>3.5018750000000001</v>
      </c>
      <c r="BV95" s="234" cm="1">
        <f t="array" ref="BV95">$BM95 * IF($AH95&lt;=2,
SUMPRODUCT(INDEX($AV$71:$AX$75,,$AI95), INDEX($AY$71:$BE$75,,$AH95), 1 / ($BF$71:$BF$75*BU95 + (1-$BF$71:$BF$75)*BQ95), N($AU$71:$AU$75&gt;$AM95)),
SUMPRODUCT(INDEX($AV$66:$AX$75,,$AI95), INDEX($AY$66:$BE$75,,$AH95), 1 / ($BG$66:$BG$75*BU95 + (1-$BG$66:$BG$75)*BQ95), N($AU$66:$AU$75&gt;$AM95))
) / 1000</f>
        <v>0</v>
      </c>
      <c r="BW95" s="231">
        <f t="shared" si="313"/>
        <v>25</v>
      </c>
      <c r="BX95" s="229">
        <f t="shared" si="314"/>
        <v>38</v>
      </c>
      <c r="BY95" s="234">
        <f t="shared" si="315"/>
        <v>4.0666935483870965</v>
      </c>
      <c r="BZ95" s="234" cm="1">
        <f t="array" ref="BZ95">$BM95 * IF($AH95&lt;=2,
SUMPRODUCT(INDEX($AV$66:$AX$70,,$AI95), INDEX($AY$66:$BE$70,,$AH95), 1 / ($BF$66:$BF$70*BY95 + (1-$BF$66:$BF$70)*BU95), N($AU$66:$AU$70&gt;$AM95)),
SUMPRODUCT(INDEX($AV$56:$AX$65,,$AI95), INDEX($AY$56:$BE$65,,$AH95), 1 / ($BG$56:$BG$65*BY95 + (1-$BG$56:$BG$65)*BU95), N($AU$56:$AU$65&gt;$AM95))
) / 1000</f>
        <v>0</v>
      </c>
      <c r="CA95" s="231">
        <f t="shared" si="316"/>
        <v>20</v>
      </c>
      <c r="CB95" s="229">
        <f t="shared" si="317"/>
        <v>33</v>
      </c>
      <c r="CC95" s="234">
        <f t="shared" si="318"/>
        <v>4.8487499999999999</v>
      </c>
      <c r="CD95" s="234" cm="1">
        <f t="array" ref="CD95">$BM95 * IF($AH95&lt;=2,
SUMPRODUCT(INDEX($AV$61:$AX$65,,$AI95), INDEX($AY$61:$BE$65,,$AH95), 1 / ($BF$61:$BF$65*CC95 + (1-$BF$61:$BF$65)*BY95), N($AU$61:$AU$65&gt;$AM95)),
SUMPRODUCT(INDEX($AV$46:$AX$55,,$AI95), INDEX($AY$46:$BE$55,,$AH95), 1 / ($BG$46:$BG$55*CC95 + (1-$BG$46:$BG$55)*BY95), N($AU$46:$AU$55&gt;$AM95))
) / 1000</f>
        <v>0</v>
      </c>
      <c r="CE95" s="234" cm="1">
        <f t="array" ref="CE95">$BM95 * IF($AH95&lt;=2,
SUMPRODUCT(INDEX($AV$22:$AX$60,,$AI95), INDEX($AY$22:$BE$60,,$AH95), 1 / ($BF$22:$BF$60*CC95), N($AU$22:$AU$60&gt;$AM95)),
SUMPRODUCT(INDEX($AV$22:$AX$45,,$AI95), INDEX($AY$22:$BE$45,,$AH95), 1 / ($BG$22:$BG$45*CC95), N($AU$22:$AU$45&gt;$AM95))
) / 1000</f>
        <v>0</v>
      </c>
      <c r="CF95" s="229">
        <f t="shared" si="319"/>
        <v>0</v>
      </c>
      <c r="CG95" s="246"/>
      <c r="CH95" s="229">
        <f t="shared" si="320"/>
        <v>0</v>
      </c>
      <c r="CI95" s="228">
        <v>35</v>
      </c>
      <c r="CJ95" s="229">
        <f t="shared" si="321"/>
        <v>48</v>
      </c>
      <c r="CK95" s="234">
        <f t="shared" si="322"/>
        <v>3.0748170731707316</v>
      </c>
      <c r="CL95" s="234" cm="1">
        <f t="array" ref="CL95">$BM95 * SUMPRODUCT(INDEX($AV$76:$AX$81,,$AI95),INDEX($AY$76:$BE$81,,$AH95), N($AU$76:$AU$81&gt;$AM95)) / CK95 / 1000</f>
        <v>0</v>
      </c>
      <c r="CM95" s="231">
        <f t="shared" si="323"/>
        <v>30</v>
      </c>
      <c r="CN95" s="229">
        <f t="shared" si="324"/>
        <v>43</v>
      </c>
      <c r="CO95" s="234">
        <f t="shared" si="325"/>
        <v>3.5018750000000001</v>
      </c>
      <c r="CP95" s="234" cm="1">
        <f t="array" ref="CP95">$BM95 * IF($AH95&lt;=2,
SUMPRODUCT(INDEX($AV$71:$AX$75,,$AI95), INDEX($AY$71:$BE$75,,$AH95), 1 / ($BF$71:$BF$75*CO95 + (1-$BF$71:$BF$75)*CK95), N($AU$71:$AU$75&gt;$AM95)),
SUMPRODUCT(INDEX($AV$66:$AX$75,,$AI95), INDEX($AY$66:$BE$75,,$AH95), 1 / ($BG$66:$BG$75*CO95 + (1-$BG$66:$BG$75)*CK95), N($AU$66:$AU$75&gt;$AM95))
) / 1000</f>
        <v>0</v>
      </c>
      <c r="CQ95" s="231">
        <f t="shared" si="326"/>
        <v>25</v>
      </c>
      <c r="CR95" s="229">
        <f t="shared" si="327"/>
        <v>38</v>
      </c>
      <c r="CS95" s="234">
        <f t="shared" si="328"/>
        <v>4.0666935483870965</v>
      </c>
      <c r="CT95" s="234" cm="1">
        <f t="array" ref="CT95">$BM95 * IF($AH95&lt;=2,
SUMPRODUCT(INDEX($AV$66:$AX$70,,$AI95), INDEX($AY$66:$BE$70,,$AH95), 1 / ($BF$66:$BF$70*CS95 + (1-$BF$66:$BF$70)*CO95), N($AU$66:$AU$70&gt;$AM95)),
SUMPRODUCT(INDEX($AV$56:$AX$65,,$AI95), INDEX($AY$56:$BE$65,,$AH95), 1 / ($BG$56:$BG$65*CS95 + (1-$BG$56:$BG$65)*CO95), N($AU$56:$AU$65&gt;$AM95))
) / 1000</f>
        <v>0</v>
      </c>
      <c r="CU95" s="231">
        <f t="shared" si="329"/>
        <v>20</v>
      </c>
      <c r="CV95" s="229">
        <f t="shared" si="330"/>
        <v>33</v>
      </c>
      <c r="CW95" s="234">
        <f t="shared" si="331"/>
        <v>4.8487499999999999</v>
      </c>
      <c r="CX95" s="234" cm="1">
        <f t="array" ref="CX95">$BM95 * IF($AH95&lt;=2,
SUMPRODUCT(INDEX($AV$61:$AX$65,,$AI95), INDEX($AY$61:$BE$65,,$AH95), 1 / ($BF$61:$BF$65*CW95 + (1-$BF$61:$BF$65)*CS95), N($AU$61:$AU$65&gt;$AM95)),
SUMPRODUCT(INDEX($AV$46:$AX$55,,$AI95), INDEX($AY$46:$BE$55,,$AH95), 1 / ($BG$46:$BG$55*CW95 + (1-$BG$46:$BG$55)*CS95), N($AU$46:$AU$55&gt;$AM95))
) / 1000</f>
        <v>0</v>
      </c>
      <c r="CY95" s="234" cm="1">
        <f t="array" ref="CY95">$BM95 * IF($AH95&lt;=2,
SUMPRODUCT(INDEX($AV$22:$AX$60,,$AI95), INDEX($AY$22:$BE$60,,$AH95), 1 / ($BF$22:$BF$60*CW95), N($AU$22:$AU$60&gt;$AM95)),
SUMPRODUCT(INDEX($AV$22:$AX$45,,$AI95), INDEX($AY$22:$BE$45,,$AH95), 1 / ($BG$22:$BG$45*CW95), N($AU$22:$AU$45&gt;$AM95))
) / 1000</f>
        <v>0</v>
      </c>
      <c r="CZ95" s="229">
        <f t="shared" si="332"/>
        <v>0</v>
      </c>
      <c r="DA95" s="246"/>
    </row>
    <row r="96" spans="1:105" s="75" customFormat="1" ht="14.25" customHeight="1" x14ac:dyDescent="0.25">
      <c r="A96" s="230" t="b">
        <f t="shared" si="291"/>
        <v>0</v>
      </c>
      <c r="B96" s="253">
        <v>75</v>
      </c>
      <c r="C96" s="266"/>
      <c r="D96" s="266"/>
      <c r="E96" s="254"/>
      <c r="F96" s="255" t="str">
        <f>IF(ISBLANK(E96), "", VLOOKUP(E96, Z!$A$2:$C$4127, 3, FALSE))</f>
        <v/>
      </c>
      <c r="G96" s="256"/>
      <c r="H96" s="256"/>
      <c r="I96" s="256"/>
      <c r="J96" s="257"/>
      <c r="K96" s="258"/>
      <c r="L96" s="267"/>
      <c r="M96" s="268"/>
      <c r="N96" s="259" t="str" cm="1">
        <f t="array" ref="N96">IF($L96&gt;0, INDEX(Clean,1+AK96,$D$1), "")</f>
        <v/>
      </c>
      <c r="O96" s="260"/>
      <c r="P96" s="260"/>
      <c r="Q96" s="261"/>
      <c r="R96" s="264">
        <f t="shared" si="297"/>
        <v>0</v>
      </c>
      <c r="S96" s="259" t="str" cm="1">
        <f t="array" ref="S96">IF($L96&gt;0, INDEX(Clean,1+AL96,$D$1), "")</f>
        <v/>
      </c>
      <c r="T96" s="260"/>
      <c r="U96" s="260"/>
      <c r="V96" s="261"/>
      <c r="W96" s="267"/>
      <c r="X96" s="267"/>
      <c r="Y96" s="257"/>
      <c r="Z96" s="264">
        <f t="shared" si="298"/>
        <v>0</v>
      </c>
      <c r="AA96" s="269"/>
      <c r="AB96" s="266"/>
      <c r="AC96" s="254"/>
      <c r="AD96" s="255" t="str">
        <f>IF(ISBLANK(AC96), "", VLOOKUP(AC96, Z!$A$2:$C$4127, 3, FALSE))</f>
        <v/>
      </c>
      <c r="AE96" s="270"/>
      <c r="AF96" s="265">
        <f t="shared" si="299"/>
        <v>0</v>
      </c>
      <c r="AG96" s="246"/>
      <c r="AH96" s="228">
        <f t="shared" ref="AH96" si="365">IF(ISBLANK(I96), 1, IFERROR(MATCH(I96, INDEX(Use,,1), 0), IFERROR(MATCH(I96, INDEX(Use,,2), 0), MATCH(I96, INDEX(Use,,3), 0))))</f>
        <v>1</v>
      </c>
      <c r="AI96" s="228">
        <f t="shared" ref="AI96" si="366">IF(ISBLANK(H96), 1, IFERROR(MATCH(H96, INDEX(Loc,,1), 0), IFERROR(MATCH(H96, INDEX(Loc,,2), 0), MATCH(H96, INDEX(Loc,,3), 0))))</f>
        <v>1</v>
      </c>
      <c r="AJ96" s="228">
        <f t="shared" ref="AJ96" si="367">_xlfn.IFNA(IF(IFERROR(MATCH(J96, INDEX(Medium,,1), 0), IFERROR(MATCH(J96, INDEX(Medium,,2), 0), MATCH(J96, INDEX(Medium,,3), 0))) = 2, 1, 0), 0)</f>
        <v>0</v>
      </c>
      <c r="AK96" s="228">
        <v>0</v>
      </c>
      <c r="AL96" s="228">
        <v>0</v>
      </c>
      <c r="AM96" s="228">
        <f t="shared" si="295"/>
        <v>-100</v>
      </c>
      <c r="AN96" s="228" cm="1">
        <f t="array" ref="AN96">IF(ISBLANK(G96), 1, IFERROR(MATCH(G96, INDEX(Kat,,1), 0), IFERROR(MATCH(Kat, INDEX(Use,,2), 0), MATCH(Kat, INDEX(Use,,3), 0))))</f>
        <v>1</v>
      </c>
      <c r="AO96" s="246"/>
      <c r="AP96" s="228" cm="1">
        <f t="array" ref="AP96">IF(W96&gt;0, INDEX(Kat, AN96,4), 0)</f>
        <v>0</v>
      </c>
      <c r="AQ96" s="228">
        <f t="shared" ref="AQ96" si="368">IF(ISBLANK(Y96), 0, IFERROR(MATCH(Y96, INDEX(Month,,1), 0), IFERROR(MATCH(Y96, INDEX(Month,,2), 0), MATCH(Y96, INDEX(Month,,3), 0))))</f>
        <v>0</v>
      </c>
      <c r="AR96" s="228" cm="1">
        <f t="array" ref="AR96">IF(X96&gt;0, INDEX(Kat, $AN96, 4+AQ96), 0)</f>
        <v>0</v>
      </c>
      <c r="AS96" s="228" cm="1">
        <f t="array" ref="AS96">IF(X96&gt;0, INDEX(Kat, $AN96, 9+AQ96), 0)</f>
        <v>0</v>
      </c>
      <c r="AT96" s="246"/>
      <c r="AU96" s="262"/>
      <c r="AV96" s="262"/>
      <c r="AW96" s="263"/>
      <c r="AX96" s="263"/>
      <c r="AY96" s="263"/>
      <c r="AZ96" s="263"/>
      <c r="BA96" s="263"/>
      <c r="BB96" s="263"/>
      <c r="BC96" s="263"/>
      <c r="BD96" s="263"/>
      <c r="BE96" s="263"/>
      <c r="BF96" s="263"/>
      <c r="BG96" s="263"/>
      <c r="BH96" s="210"/>
      <c r="BI96" s="228" cm="1">
        <f t="array" ref="BI96">INDEX(Use, $AH96, 4)</f>
        <v>7</v>
      </c>
      <c r="BJ96" s="228">
        <f t="shared" si="304"/>
        <v>32</v>
      </c>
      <c r="BK96" s="228">
        <f t="shared" si="305"/>
        <v>13</v>
      </c>
      <c r="BL96" s="228">
        <f t="shared" si="306"/>
        <v>0</v>
      </c>
      <c r="BM96" s="233" cm="1">
        <f t="array" ref="BM96">L96/IF($M96&gt;0, INDEX($AY$22:$BE$76, $M96+20, $AH96), 1)</f>
        <v>0</v>
      </c>
      <c r="BN96" s="229">
        <f t="shared" si="307"/>
        <v>0</v>
      </c>
      <c r="BO96" s="228">
        <v>35</v>
      </c>
      <c r="BP96" s="229">
        <f t="shared" si="308"/>
        <v>48</v>
      </c>
      <c r="BQ96" s="234">
        <f t="shared" si="309"/>
        <v>3.0748170731707316</v>
      </c>
      <c r="BR96" s="234" cm="1">
        <f t="array" ref="BR96">$BM96 * SUMPRODUCT(INDEX($AV$76:$AX$81,,$AI96),INDEX($AY$76:$BE$81,,$AH96), N($AU$76:$AU$81&gt;$AM96)) / BQ96 / 1000</f>
        <v>0</v>
      </c>
      <c r="BS96" s="231">
        <f t="shared" si="310"/>
        <v>30</v>
      </c>
      <c r="BT96" s="229">
        <f t="shared" si="311"/>
        <v>43</v>
      </c>
      <c r="BU96" s="234">
        <f t="shared" si="312"/>
        <v>3.5018750000000001</v>
      </c>
      <c r="BV96" s="234" cm="1">
        <f t="array" ref="BV96">$BM96 * IF($AH96&lt;=2,
SUMPRODUCT(INDEX($AV$71:$AX$75,,$AI96), INDEX($AY$71:$BE$75,,$AH96), 1 / ($BF$71:$BF$75*BU96 + (1-$BF$71:$BF$75)*BQ96), N($AU$71:$AU$75&gt;$AM96)),
SUMPRODUCT(INDEX($AV$66:$AX$75,,$AI96), INDEX($AY$66:$BE$75,,$AH96), 1 / ($BG$66:$BG$75*BU96 + (1-$BG$66:$BG$75)*BQ96), N($AU$66:$AU$75&gt;$AM96))
) / 1000</f>
        <v>0</v>
      </c>
      <c r="BW96" s="231">
        <f t="shared" si="313"/>
        <v>25</v>
      </c>
      <c r="BX96" s="229">
        <f t="shared" si="314"/>
        <v>38</v>
      </c>
      <c r="BY96" s="234">
        <f t="shared" si="315"/>
        <v>4.0666935483870965</v>
      </c>
      <c r="BZ96" s="234" cm="1">
        <f t="array" ref="BZ96">$BM96 * IF($AH96&lt;=2,
SUMPRODUCT(INDEX($AV$66:$AX$70,,$AI96), INDEX($AY$66:$BE$70,,$AH96), 1 / ($BF$66:$BF$70*BY96 + (1-$BF$66:$BF$70)*BU96), N($AU$66:$AU$70&gt;$AM96)),
SUMPRODUCT(INDEX($AV$56:$AX$65,,$AI96), INDEX($AY$56:$BE$65,,$AH96), 1 / ($BG$56:$BG$65*BY96 + (1-$BG$56:$BG$65)*BU96), N($AU$56:$AU$65&gt;$AM96))
) / 1000</f>
        <v>0</v>
      </c>
      <c r="CA96" s="231">
        <f t="shared" si="316"/>
        <v>20</v>
      </c>
      <c r="CB96" s="229">
        <f t="shared" si="317"/>
        <v>33</v>
      </c>
      <c r="CC96" s="234">
        <f t="shared" si="318"/>
        <v>4.8487499999999999</v>
      </c>
      <c r="CD96" s="234" cm="1">
        <f t="array" ref="CD96">$BM96 * IF($AH96&lt;=2,
SUMPRODUCT(INDEX($AV$61:$AX$65,,$AI96), INDEX($AY$61:$BE$65,,$AH96), 1 / ($BF$61:$BF$65*CC96 + (1-$BF$61:$BF$65)*BY96), N($AU$61:$AU$65&gt;$AM96)),
SUMPRODUCT(INDEX($AV$46:$AX$55,,$AI96), INDEX($AY$46:$BE$55,,$AH96), 1 / ($BG$46:$BG$55*CC96 + (1-$BG$46:$BG$55)*BY96), N($AU$46:$AU$55&gt;$AM96))
) / 1000</f>
        <v>0</v>
      </c>
      <c r="CE96" s="234" cm="1">
        <f t="array" ref="CE96">$BM96 * IF($AH96&lt;=2,
SUMPRODUCT(INDEX($AV$22:$AX$60,,$AI96), INDEX($AY$22:$BE$60,,$AH96), 1 / ($BF$22:$BF$60*CC96), N($AU$22:$AU$60&gt;$AM96)),
SUMPRODUCT(INDEX($AV$22:$AX$45,,$AI96), INDEX($AY$22:$BE$45,,$AH96), 1 / ($BG$22:$BG$45*CC96), N($AU$22:$AU$45&gt;$AM96))
) / 1000</f>
        <v>0</v>
      </c>
      <c r="CF96" s="229">
        <f t="shared" si="319"/>
        <v>0</v>
      </c>
      <c r="CG96" s="246"/>
      <c r="CH96" s="229">
        <f t="shared" si="320"/>
        <v>0</v>
      </c>
      <c r="CI96" s="228">
        <v>35</v>
      </c>
      <c r="CJ96" s="229">
        <f t="shared" si="321"/>
        <v>48</v>
      </c>
      <c r="CK96" s="234">
        <f t="shared" si="322"/>
        <v>3.0748170731707316</v>
      </c>
      <c r="CL96" s="234" cm="1">
        <f t="array" ref="CL96">$BM96 * SUMPRODUCT(INDEX($AV$76:$AX$81,,$AI96),INDEX($AY$76:$BE$81,,$AH96), N($AU$76:$AU$81&gt;$AM96)) / CK96 / 1000</f>
        <v>0</v>
      </c>
      <c r="CM96" s="231">
        <f t="shared" si="323"/>
        <v>30</v>
      </c>
      <c r="CN96" s="229">
        <f t="shared" si="324"/>
        <v>43</v>
      </c>
      <c r="CO96" s="234">
        <f t="shared" si="325"/>
        <v>3.5018750000000001</v>
      </c>
      <c r="CP96" s="234" cm="1">
        <f t="array" ref="CP96">$BM96 * IF($AH96&lt;=2,
SUMPRODUCT(INDEX($AV$71:$AX$75,,$AI96), INDEX($AY$71:$BE$75,,$AH96), 1 / ($BF$71:$BF$75*CO96 + (1-$BF$71:$BF$75)*CK96), N($AU$71:$AU$75&gt;$AM96)),
SUMPRODUCT(INDEX($AV$66:$AX$75,,$AI96), INDEX($AY$66:$BE$75,,$AH96), 1 / ($BG$66:$BG$75*CO96 + (1-$BG$66:$BG$75)*CK96), N($AU$66:$AU$75&gt;$AM96))
) / 1000</f>
        <v>0</v>
      </c>
      <c r="CQ96" s="231">
        <f t="shared" si="326"/>
        <v>25</v>
      </c>
      <c r="CR96" s="229">
        <f t="shared" si="327"/>
        <v>38</v>
      </c>
      <c r="CS96" s="234">
        <f t="shared" si="328"/>
        <v>4.0666935483870965</v>
      </c>
      <c r="CT96" s="234" cm="1">
        <f t="array" ref="CT96">$BM96 * IF($AH96&lt;=2,
SUMPRODUCT(INDEX($AV$66:$AX$70,,$AI96), INDEX($AY$66:$BE$70,,$AH96), 1 / ($BF$66:$BF$70*CS96 + (1-$BF$66:$BF$70)*CO96), N($AU$66:$AU$70&gt;$AM96)),
SUMPRODUCT(INDEX($AV$56:$AX$65,,$AI96), INDEX($AY$56:$BE$65,,$AH96), 1 / ($BG$56:$BG$65*CS96 + (1-$BG$56:$BG$65)*CO96), N($AU$56:$AU$65&gt;$AM96))
) / 1000</f>
        <v>0</v>
      </c>
      <c r="CU96" s="231">
        <f t="shared" si="329"/>
        <v>20</v>
      </c>
      <c r="CV96" s="229">
        <f t="shared" si="330"/>
        <v>33</v>
      </c>
      <c r="CW96" s="234">
        <f t="shared" si="331"/>
        <v>4.8487499999999999</v>
      </c>
      <c r="CX96" s="234" cm="1">
        <f t="array" ref="CX96">$BM96 * IF($AH96&lt;=2,
SUMPRODUCT(INDEX($AV$61:$AX$65,,$AI96), INDEX($AY$61:$BE$65,,$AH96), 1 / ($BF$61:$BF$65*CW96 + (1-$BF$61:$BF$65)*CS96), N($AU$61:$AU$65&gt;$AM96)),
SUMPRODUCT(INDEX($AV$46:$AX$55,,$AI96), INDEX($AY$46:$BE$55,,$AH96), 1 / ($BG$46:$BG$55*CW96 + (1-$BG$46:$BG$55)*CS96), N($AU$46:$AU$55&gt;$AM96))
) / 1000</f>
        <v>0</v>
      </c>
      <c r="CY96" s="234" cm="1">
        <f t="array" ref="CY96">$BM96 * IF($AH96&lt;=2,
SUMPRODUCT(INDEX($AV$22:$AX$60,,$AI96), INDEX($AY$22:$BE$60,,$AH96), 1 / ($BF$22:$BF$60*CW96), N($AU$22:$AU$60&gt;$AM96)),
SUMPRODUCT(INDEX($AV$22:$AX$45,,$AI96), INDEX($AY$22:$BE$45,,$AH96), 1 / ($BG$22:$BG$45*CW96), N($AU$22:$AU$45&gt;$AM96))
) / 1000</f>
        <v>0</v>
      </c>
      <c r="CZ96" s="229">
        <f t="shared" si="332"/>
        <v>0</v>
      </c>
      <c r="DA96" s="246"/>
    </row>
    <row r="97" spans="1:105" s="75" customFormat="1" ht="14.25" customHeight="1" x14ac:dyDescent="0.25">
      <c r="A97" s="230" t="b">
        <f t="shared" si="291"/>
        <v>0</v>
      </c>
      <c r="B97" s="253">
        <v>76</v>
      </c>
      <c r="C97" s="266"/>
      <c r="D97" s="266"/>
      <c r="E97" s="254"/>
      <c r="F97" s="255" t="str">
        <f>IF(ISBLANK(E97), "", VLOOKUP(E97, Z!$A$2:$C$4127, 3, FALSE))</f>
        <v/>
      </c>
      <c r="G97" s="256"/>
      <c r="H97" s="256"/>
      <c r="I97" s="256"/>
      <c r="J97" s="257"/>
      <c r="K97" s="258"/>
      <c r="L97" s="267"/>
      <c r="M97" s="268"/>
      <c r="N97" s="259" t="str" cm="1">
        <f t="array" ref="N97">IF($L97&gt;0, INDEX(Clean,1+AK97,$D$1), "")</f>
        <v/>
      </c>
      <c r="O97" s="260"/>
      <c r="P97" s="260"/>
      <c r="Q97" s="261"/>
      <c r="R97" s="264">
        <f t="shared" si="297"/>
        <v>0</v>
      </c>
      <c r="S97" s="259" t="str" cm="1">
        <f t="array" ref="S97">IF($L97&gt;0, INDEX(Clean,1+AL97,$D$1), "")</f>
        <v/>
      </c>
      <c r="T97" s="260"/>
      <c r="U97" s="260"/>
      <c r="V97" s="261"/>
      <c r="W97" s="267"/>
      <c r="X97" s="267"/>
      <c r="Y97" s="257"/>
      <c r="Z97" s="264">
        <f t="shared" si="298"/>
        <v>0</v>
      </c>
      <c r="AA97" s="269"/>
      <c r="AB97" s="266"/>
      <c r="AC97" s="254"/>
      <c r="AD97" s="255" t="str">
        <f>IF(ISBLANK(AC97), "", VLOOKUP(AC97, Z!$A$2:$C$4127, 3, FALSE))</f>
        <v/>
      </c>
      <c r="AE97" s="270"/>
      <c r="AF97" s="265">
        <f t="shared" si="299"/>
        <v>0</v>
      </c>
      <c r="AG97" s="246"/>
      <c r="AH97" s="228">
        <f t="shared" ref="AH97" si="369">IF(ISBLANK(I97), 1, IFERROR(MATCH(I97, INDEX(Use,,1), 0), IFERROR(MATCH(I97, INDEX(Use,,2), 0), MATCH(I97, INDEX(Use,,3), 0))))</f>
        <v>1</v>
      </c>
      <c r="AI97" s="228">
        <f t="shared" ref="AI97" si="370">IF(ISBLANK(H97), 1, IFERROR(MATCH(H97, INDEX(Loc,,1), 0), IFERROR(MATCH(H97, INDEX(Loc,,2), 0), MATCH(H97, INDEX(Loc,,3), 0))))</f>
        <v>1</v>
      </c>
      <c r="AJ97" s="228">
        <f t="shared" ref="AJ97" si="371">_xlfn.IFNA(IF(IFERROR(MATCH(J97, INDEX(Medium,,1), 0), IFERROR(MATCH(J97, INDEX(Medium,,2), 0), MATCH(J97, INDEX(Medium,,3), 0))) = 2, 1, 0), 0)</f>
        <v>0</v>
      </c>
      <c r="AK97" s="228">
        <v>0</v>
      </c>
      <c r="AL97" s="228">
        <v>0</v>
      </c>
      <c r="AM97" s="228">
        <f t="shared" si="295"/>
        <v>-100</v>
      </c>
      <c r="AN97" s="228" cm="1">
        <f t="array" ref="AN97">IF(ISBLANK(G97), 1, IFERROR(MATCH(G97, INDEX(Kat,,1), 0), IFERROR(MATCH(Kat, INDEX(Use,,2), 0), MATCH(Kat, INDEX(Use,,3), 0))))</f>
        <v>1</v>
      </c>
      <c r="AO97" s="246"/>
      <c r="AP97" s="228" cm="1">
        <f t="array" ref="AP97">IF(W97&gt;0, INDEX(Kat, AN97,4), 0)</f>
        <v>0</v>
      </c>
      <c r="AQ97" s="228">
        <f t="shared" ref="AQ97" si="372">IF(ISBLANK(Y97), 0, IFERROR(MATCH(Y97, INDEX(Month,,1), 0), IFERROR(MATCH(Y97, INDEX(Month,,2), 0), MATCH(Y97, INDEX(Month,,3), 0))))</f>
        <v>0</v>
      </c>
      <c r="AR97" s="228" cm="1">
        <f t="array" ref="AR97">IF(X97&gt;0, INDEX(Kat, $AN97, 4+AQ97), 0)</f>
        <v>0</v>
      </c>
      <c r="AS97" s="228" cm="1">
        <f t="array" ref="AS97">IF(X97&gt;0, INDEX(Kat, $AN97, 9+AQ97), 0)</f>
        <v>0</v>
      </c>
      <c r="AT97" s="246"/>
      <c r="AU97" s="262"/>
      <c r="AV97" s="262"/>
      <c r="AW97" s="263"/>
      <c r="AX97" s="263"/>
      <c r="AY97" s="263"/>
      <c r="AZ97" s="263"/>
      <c r="BA97" s="263"/>
      <c r="BB97" s="263"/>
      <c r="BC97" s="263"/>
      <c r="BD97" s="263"/>
      <c r="BE97" s="263"/>
      <c r="BF97" s="263"/>
      <c r="BG97" s="263"/>
      <c r="BH97" s="210"/>
      <c r="BI97" s="228" cm="1">
        <f t="array" ref="BI97">INDEX(Use, $AH97, 4)</f>
        <v>7</v>
      </c>
      <c r="BJ97" s="228">
        <f t="shared" si="304"/>
        <v>32</v>
      </c>
      <c r="BK97" s="228">
        <f t="shared" si="305"/>
        <v>13</v>
      </c>
      <c r="BL97" s="228">
        <f t="shared" si="306"/>
        <v>0</v>
      </c>
      <c r="BM97" s="233" cm="1">
        <f t="array" ref="BM97">L97/IF($M97&gt;0, INDEX($AY$22:$BE$76, $M97+20, $AH97), 1)</f>
        <v>0</v>
      </c>
      <c r="BN97" s="229">
        <f t="shared" si="307"/>
        <v>0</v>
      </c>
      <c r="BO97" s="228">
        <v>35</v>
      </c>
      <c r="BP97" s="229">
        <f t="shared" si="308"/>
        <v>48</v>
      </c>
      <c r="BQ97" s="234">
        <f t="shared" si="309"/>
        <v>3.0748170731707316</v>
      </c>
      <c r="BR97" s="234" cm="1">
        <f t="array" ref="BR97">$BM97 * SUMPRODUCT(INDEX($AV$76:$AX$81,,$AI97),INDEX($AY$76:$BE$81,,$AH97), N($AU$76:$AU$81&gt;$AM97)) / BQ97 / 1000</f>
        <v>0</v>
      </c>
      <c r="BS97" s="231">
        <f t="shared" si="310"/>
        <v>30</v>
      </c>
      <c r="BT97" s="229">
        <f t="shared" si="311"/>
        <v>43</v>
      </c>
      <c r="BU97" s="234">
        <f t="shared" si="312"/>
        <v>3.5018750000000001</v>
      </c>
      <c r="BV97" s="234" cm="1">
        <f t="array" ref="BV97">$BM97 * IF($AH97&lt;=2,
SUMPRODUCT(INDEX($AV$71:$AX$75,,$AI97), INDEX($AY$71:$BE$75,,$AH97), 1 / ($BF$71:$BF$75*BU97 + (1-$BF$71:$BF$75)*BQ97), N($AU$71:$AU$75&gt;$AM97)),
SUMPRODUCT(INDEX($AV$66:$AX$75,,$AI97), INDEX($AY$66:$BE$75,,$AH97), 1 / ($BG$66:$BG$75*BU97 + (1-$BG$66:$BG$75)*BQ97), N($AU$66:$AU$75&gt;$AM97))
) / 1000</f>
        <v>0</v>
      </c>
      <c r="BW97" s="231">
        <f t="shared" si="313"/>
        <v>25</v>
      </c>
      <c r="BX97" s="229">
        <f t="shared" si="314"/>
        <v>38</v>
      </c>
      <c r="BY97" s="234">
        <f t="shared" si="315"/>
        <v>4.0666935483870965</v>
      </c>
      <c r="BZ97" s="234" cm="1">
        <f t="array" ref="BZ97">$BM97 * IF($AH97&lt;=2,
SUMPRODUCT(INDEX($AV$66:$AX$70,,$AI97), INDEX($AY$66:$BE$70,,$AH97), 1 / ($BF$66:$BF$70*BY97 + (1-$BF$66:$BF$70)*BU97), N($AU$66:$AU$70&gt;$AM97)),
SUMPRODUCT(INDEX($AV$56:$AX$65,,$AI97), INDEX($AY$56:$BE$65,,$AH97), 1 / ($BG$56:$BG$65*BY97 + (1-$BG$56:$BG$65)*BU97), N($AU$56:$AU$65&gt;$AM97))
) / 1000</f>
        <v>0</v>
      </c>
      <c r="CA97" s="231">
        <f t="shared" si="316"/>
        <v>20</v>
      </c>
      <c r="CB97" s="229">
        <f t="shared" si="317"/>
        <v>33</v>
      </c>
      <c r="CC97" s="234">
        <f t="shared" si="318"/>
        <v>4.8487499999999999</v>
      </c>
      <c r="CD97" s="234" cm="1">
        <f t="array" ref="CD97">$BM97 * IF($AH97&lt;=2,
SUMPRODUCT(INDEX($AV$61:$AX$65,,$AI97), INDEX($AY$61:$BE$65,,$AH97), 1 / ($BF$61:$BF$65*CC97 + (1-$BF$61:$BF$65)*BY97), N($AU$61:$AU$65&gt;$AM97)),
SUMPRODUCT(INDEX($AV$46:$AX$55,,$AI97), INDEX($AY$46:$BE$55,,$AH97), 1 / ($BG$46:$BG$55*CC97 + (1-$BG$46:$BG$55)*BY97), N($AU$46:$AU$55&gt;$AM97))
) / 1000</f>
        <v>0</v>
      </c>
      <c r="CE97" s="234" cm="1">
        <f t="array" ref="CE97">$BM97 * IF($AH97&lt;=2,
SUMPRODUCT(INDEX($AV$22:$AX$60,,$AI97), INDEX($AY$22:$BE$60,,$AH97), 1 / ($BF$22:$BF$60*CC97), N($AU$22:$AU$60&gt;$AM97)),
SUMPRODUCT(INDEX($AV$22:$AX$45,,$AI97), INDEX($AY$22:$BE$45,,$AH97), 1 / ($BG$22:$BG$45*CC97), N($AU$22:$AU$45&gt;$AM97))
) / 1000</f>
        <v>0</v>
      </c>
      <c r="CF97" s="229">
        <f t="shared" si="319"/>
        <v>0</v>
      </c>
      <c r="CG97" s="246"/>
      <c r="CH97" s="229">
        <f t="shared" si="320"/>
        <v>0</v>
      </c>
      <c r="CI97" s="228">
        <v>35</v>
      </c>
      <c r="CJ97" s="229">
        <f t="shared" si="321"/>
        <v>48</v>
      </c>
      <c r="CK97" s="234">
        <f t="shared" si="322"/>
        <v>3.0748170731707316</v>
      </c>
      <c r="CL97" s="234" cm="1">
        <f t="array" ref="CL97">$BM97 * SUMPRODUCT(INDEX($AV$76:$AX$81,,$AI97),INDEX($AY$76:$BE$81,,$AH97), N($AU$76:$AU$81&gt;$AM97)) / CK97 / 1000</f>
        <v>0</v>
      </c>
      <c r="CM97" s="231">
        <f t="shared" si="323"/>
        <v>30</v>
      </c>
      <c r="CN97" s="229">
        <f t="shared" si="324"/>
        <v>43</v>
      </c>
      <c r="CO97" s="234">
        <f t="shared" si="325"/>
        <v>3.5018750000000001</v>
      </c>
      <c r="CP97" s="234" cm="1">
        <f t="array" ref="CP97">$BM97 * IF($AH97&lt;=2,
SUMPRODUCT(INDEX($AV$71:$AX$75,,$AI97), INDEX($AY$71:$BE$75,,$AH97), 1 / ($BF$71:$BF$75*CO97 + (1-$BF$71:$BF$75)*CK97), N($AU$71:$AU$75&gt;$AM97)),
SUMPRODUCT(INDEX($AV$66:$AX$75,,$AI97), INDEX($AY$66:$BE$75,,$AH97), 1 / ($BG$66:$BG$75*CO97 + (1-$BG$66:$BG$75)*CK97), N($AU$66:$AU$75&gt;$AM97))
) / 1000</f>
        <v>0</v>
      </c>
      <c r="CQ97" s="231">
        <f t="shared" si="326"/>
        <v>25</v>
      </c>
      <c r="CR97" s="229">
        <f t="shared" si="327"/>
        <v>38</v>
      </c>
      <c r="CS97" s="234">
        <f t="shared" si="328"/>
        <v>4.0666935483870965</v>
      </c>
      <c r="CT97" s="234" cm="1">
        <f t="array" ref="CT97">$BM97 * IF($AH97&lt;=2,
SUMPRODUCT(INDEX($AV$66:$AX$70,,$AI97), INDEX($AY$66:$BE$70,,$AH97), 1 / ($BF$66:$BF$70*CS97 + (1-$BF$66:$BF$70)*CO97), N($AU$66:$AU$70&gt;$AM97)),
SUMPRODUCT(INDEX($AV$56:$AX$65,,$AI97), INDEX($AY$56:$BE$65,,$AH97), 1 / ($BG$56:$BG$65*CS97 + (1-$BG$56:$BG$65)*CO97), N($AU$56:$AU$65&gt;$AM97))
) / 1000</f>
        <v>0</v>
      </c>
      <c r="CU97" s="231">
        <f t="shared" si="329"/>
        <v>20</v>
      </c>
      <c r="CV97" s="229">
        <f t="shared" si="330"/>
        <v>33</v>
      </c>
      <c r="CW97" s="234">
        <f t="shared" si="331"/>
        <v>4.8487499999999999</v>
      </c>
      <c r="CX97" s="234" cm="1">
        <f t="array" ref="CX97">$BM97 * IF($AH97&lt;=2,
SUMPRODUCT(INDEX($AV$61:$AX$65,,$AI97), INDEX($AY$61:$BE$65,,$AH97), 1 / ($BF$61:$BF$65*CW97 + (1-$BF$61:$BF$65)*CS97), N($AU$61:$AU$65&gt;$AM97)),
SUMPRODUCT(INDEX($AV$46:$AX$55,,$AI97), INDEX($AY$46:$BE$55,,$AH97), 1 / ($BG$46:$BG$55*CW97 + (1-$BG$46:$BG$55)*CS97), N($AU$46:$AU$55&gt;$AM97))
) / 1000</f>
        <v>0</v>
      </c>
      <c r="CY97" s="234" cm="1">
        <f t="array" ref="CY97">$BM97 * IF($AH97&lt;=2,
SUMPRODUCT(INDEX($AV$22:$AX$60,,$AI97), INDEX($AY$22:$BE$60,,$AH97), 1 / ($BF$22:$BF$60*CW97), N($AU$22:$AU$60&gt;$AM97)),
SUMPRODUCT(INDEX($AV$22:$AX$45,,$AI97), INDEX($AY$22:$BE$45,,$AH97), 1 / ($BG$22:$BG$45*CW97), N($AU$22:$AU$45&gt;$AM97))
) / 1000</f>
        <v>0</v>
      </c>
      <c r="CZ97" s="229">
        <f t="shared" si="332"/>
        <v>0</v>
      </c>
      <c r="DA97" s="246"/>
    </row>
    <row r="98" spans="1:105" s="75" customFormat="1" ht="14.25" customHeight="1" x14ac:dyDescent="0.25">
      <c r="A98" s="230" t="b">
        <f t="shared" si="291"/>
        <v>0</v>
      </c>
      <c r="B98" s="253">
        <v>77</v>
      </c>
      <c r="C98" s="266"/>
      <c r="D98" s="266"/>
      <c r="E98" s="254"/>
      <c r="F98" s="255" t="str">
        <f>IF(ISBLANK(E98), "", VLOOKUP(E98, Z!$A$2:$C$4127, 3, FALSE))</f>
        <v/>
      </c>
      <c r="G98" s="256"/>
      <c r="H98" s="256"/>
      <c r="I98" s="256"/>
      <c r="J98" s="257"/>
      <c r="K98" s="258"/>
      <c r="L98" s="267"/>
      <c r="M98" s="268"/>
      <c r="N98" s="259" t="str" cm="1">
        <f t="array" ref="N98">IF($L98&gt;0, INDEX(Clean,1+AK98,$D$1), "")</f>
        <v/>
      </c>
      <c r="O98" s="260"/>
      <c r="P98" s="260"/>
      <c r="Q98" s="261"/>
      <c r="R98" s="264">
        <f t="shared" si="297"/>
        <v>0</v>
      </c>
      <c r="S98" s="259" t="str" cm="1">
        <f t="array" ref="S98">IF($L98&gt;0, INDEX(Clean,1+AL98,$D$1), "")</f>
        <v/>
      </c>
      <c r="T98" s="260"/>
      <c r="U98" s="260"/>
      <c r="V98" s="261"/>
      <c r="W98" s="267"/>
      <c r="X98" s="267"/>
      <c r="Y98" s="257"/>
      <c r="Z98" s="264">
        <f t="shared" si="298"/>
        <v>0</v>
      </c>
      <c r="AA98" s="269"/>
      <c r="AB98" s="266"/>
      <c r="AC98" s="254"/>
      <c r="AD98" s="255" t="str">
        <f>IF(ISBLANK(AC98), "", VLOOKUP(AC98, Z!$A$2:$C$4127, 3, FALSE))</f>
        <v/>
      </c>
      <c r="AE98" s="270"/>
      <c r="AF98" s="265">
        <f t="shared" si="299"/>
        <v>0</v>
      </c>
      <c r="AG98" s="246"/>
      <c r="AH98" s="228">
        <f t="shared" ref="AH98" si="373">IF(ISBLANK(I98), 1, IFERROR(MATCH(I98, INDEX(Use,,1), 0), IFERROR(MATCH(I98, INDEX(Use,,2), 0), MATCH(I98, INDEX(Use,,3), 0))))</f>
        <v>1</v>
      </c>
      <c r="AI98" s="228">
        <f t="shared" ref="AI98" si="374">IF(ISBLANK(H98), 1, IFERROR(MATCH(H98, INDEX(Loc,,1), 0), IFERROR(MATCH(H98, INDEX(Loc,,2), 0), MATCH(H98, INDEX(Loc,,3), 0))))</f>
        <v>1</v>
      </c>
      <c r="AJ98" s="228">
        <f t="shared" ref="AJ98" si="375">_xlfn.IFNA(IF(IFERROR(MATCH(J98, INDEX(Medium,,1), 0), IFERROR(MATCH(J98, INDEX(Medium,,2), 0), MATCH(J98, INDEX(Medium,,3), 0))) = 2, 1, 0), 0)</f>
        <v>0</v>
      </c>
      <c r="AK98" s="228">
        <v>0</v>
      </c>
      <c r="AL98" s="228">
        <v>0</v>
      </c>
      <c r="AM98" s="228">
        <f t="shared" si="295"/>
        <v>-100</v>
      </c>
      <c r="AN98" s="228" cm="1">
        <f t="array" ref="AN98">IF(ISBLANK(G98), 1, IFERROR(MATCH(G98, INDEX(Kat,,1), 0), IFERROR(MATCH(Kat, INDEX(Use,,2), 0), MATCH(Kat, INDEX(Use,,3), 0))))</f>
        <v>1</v>
      </c>
      <c r="AO98" s="246"/>
      <c r="AP98" s="228" cm="1">
        <f t="array" ref="AP98">IF(W98&gt;0, INDEX(Kat, AN98,4), 0)</f>
        <v>0</v>
      </c>
      <c r="AQ98" s="228">
        <f t="shared" ref="AQ98" si="376">IF(ISBLANK(Y98), 0, IFERROR(MATCH(Y98, INDEX(Month,,1), 0), IFERROR(MATCH(Y98, INDEX(Month,,2), 0), MATCH(Y98, INDEX(Month,,3), 0))))</f>
        <v>0</v>
      </c>
      <c r="AR98" s="228" cm="1">
        <f t="array" ref="AR98">IF(X98&gt;0, INDEX(Kat, $AN98, 4+AQ98), 0)</f>
        <v>0</v>
      </c>
      <c r="AS98" s="228" cm="1">
        <f t="array" ref="AS98">IF(X98&gt;0, INDEX(Kat, $AN98, 9+AQ98), 0)</f>
        <v>0</v>
      </c>
      <c r="AT98" s="246"/>
      <c r="AU98" s="262"/>
      <c r="AV98" s="262"/>
      <c r="AW98" s="263"/>
      <c r="AX98" s="263"/>
      <c r="AY98" s="263"/>
      <c r="AZ98" s="263"/>
      <c r="BA98" s="263"/>
      <c r="BB98" s="263"/>
      <c r="BC98" s="263"/>
      <c r="BD98" s="263"/>
      <c r="BE98" s="263"/>
      <c r="BF98" s="263"/>
      <c r="BG98" s="263"/>
      <c r="BH98" s="210"/>
      <c r="BI98" s="228" cm="1">
        <f t="array" ref="BI98">INDEX(Use, $AH98, 4)</f>
        <v>7</v>
      </c>
      <c r="BJ98" s="228">
        <f t="shared" si="304"/>
        <v>32</v>
      </c>
      <c r="BK98" s="228">
        <f t="shared" si="305"/>
        <v>13</v>
      </c>
      <c r="BL98" s="228">
        <f t="shared" si="306"/>
        <v>0</v>
      </c>
      <c r="BM98" s="233" cm="1">
        <f t="array" ref="BM98">L98/IF($M98&gt;0, INDEX($AY$22:$BE$76, $M98+20, $AH98), 1)</f>
        <v>0</v>
      </c>
      <c r="BN98" s="229">
        <f t="shared" si="307"/>
        <v>0</v>
      </c>
      <c r="BO98" s="228">
        <v>35</v>
      </c>
      <c r="BP98" s="229">
        <f t="shared" si="308"/>
        <v>48</v>
      </c>
      <c r="BQ98" s="234">
        <f t="shared" si="309"/>
        <v>3.0748170731707316</v>
      </c>
      <c r="BR98" s="234" cm="1">
        <f t="array" ref="BR98">$BM98 * SUMPRODUCT(INDEX($AV$76:$AX$81,,$AI98),INDEX($AY$76:$BE$81,,$AH98), N($AU$76:$AU$81&gt;$AM98)) / BQ98 / 1000</f>
        <v>0</v>
      </c>
      <c r="BS98" s="231">
        <f t="shared" si="310"/>
        <v>30</v>
      </c>
      <c r="BT98" s="229">
        <f t="shared" si="311"/>
        <v>43</v>
      </c>
      <c r="BU98" s="234">
        <f t="shared" si="312"/>
        <v>3.5018750000000001</v>
      </c>
      <c r="BV98" s="234" cm="1">
        <f t="array" ref="BV98">$BM98 * IF($AH98&lt;=2,
SUMPRODUCT(INDEX($AV$71:$AX$75,,$AI98), INDEX($AY$71:$BE$75,,$AH98), 1 / ($BF$71:$BF$75*BU98 + (1-$BF$71:$BF$75)*BQ98), N($AU$71:$AU$75&gt;$AM98)),
SUMPRODUCT(INDEX($AV$66:$AX$75,,$AI98), INDEX($AY$66:$BE$75,,$AH98), 1 / ($BG$66:$BG$75*BU98 + (1-$BG$66:$BG$75)*BQ98), N($AU$66:$AU$75&gt;$AM98))
) / 1000</f>
        <v>0</v>
      </c>
      <c r="BW98" s="231">
        <f t="shared" si="313"/>
        <v>25</v>
      </c>
      <c r="BX98" s="229">
        <f t="shared" si="314"/>
        <v>38</v>
      </c>
      <c r="BY98" s="234">
        <f t="shared" si="315"/>
        <v>4.0666935483870965</v>
      </c>
      <c r="BZ98" s="234" cm="1">
        <f t="array" ref="BZ98">$BM98 * IF($AH98&lt;=2,
SUMPRODUCT(INDEX($AV$66:$AX$70,,$AI98), INDEX($AY$66:$BE$70,,$AH98), 1 / ($BF$66:$BF$70*BY98 + (1-$BF$66:$BF$70)*BU98), N($AU$66:$AU$70&gt;$AM98)),
SUMPRODUCT(INDEX($AV$56:$AX$65,,$AI98), INDEX($AY$56:$BE$65,,$AH98), 1 / ($BG$56:$BG$65*BY98 + (1-$BG$56:$BG$65)*BU98), N($AU$56:$AU$65&gt;$AM98))
) / 1000</f>
        <v>0</v>
      </c>
      <c r="CA98" s="231">
        <f t="shared" si="316"/>
        <v>20</v>
      </c>
      <c r="CB98" s="229">
        <f t="shared" si="317"/>
        <v>33</v>
      </c>
      <c r="CC98" s="234">
        <f t="shared" si="318"/>
        <v>4.8487499999999999</v>
      </c>
      <c r="CD98" s="234" cm="1">
        <f t="array" ref="CD98">$BM98 * IF($AH98&lt;=2,
SUMPRODUCT(INDEX($AV$61:$AX$65,,$AI98), INDEX($AY$61:$BE$65,,$AH98), 1 / ($BF$61:$BF$65*CC98 + (1-$BF$61:$BF$65)*BY98), N($AU$61:$AU$65&gt;$AM98)),
SUMPRODUCT(INDEX($AV$46:$AX$55,,$AI98), INDEX($AY$46:$BE$55,,$AH98), 1 / ($BG$46:$BG$55*CC98 + (1-$BG$46:$BG$55)*BY98), N($AU$46:$AU$55&gt;$AM98))
) / 1000</f>
        <v>0</v>
      </c>
      <c r="CE98" s="234" cm="1">
        <f t="array" ref="CE98">$BM98 * IF($AH98&lt;=2,
SUMPRODUCT(INDEX($AV$22:$AX$60,,$AI98), INDEX($AY$22:$BE$60,,$AH98), 1 / ($BF$22:$BF$60*CC98), N($AU$22:$AU$60&gt;$AM98)),
SUMPRODUCT(INDEX($AV$22:$AX$45,,$AI98), INDEX($AY$22:$BE$45,,$AH98), 1 / ($BG$22:$BG$45*CC98), N($AU$22:$AU$45&gt;$AM98))
) / 1000</f>
        <v>0</v>
      </c>
      <c r="CF98" s="229">
        <f t="shared" si="319"/>
        <v>0</v>
      </c>
      <c r="CG98" s="246"/>
      <c r="CH98" s="229">
        <f t="shared" si="320"/>
        <v>0</v>
      </c>
      <c r="CI98" s="228">
        <v>35</v>
      </c>
      <c r="CJ98" s="229">
        <f t="shared" si="321"/>
        <v>48</v>
      </c>
      <c r="CK98" s="234">
        <f t="shared" si="322"/>
        <v>3.0748170731707316</v>
      </c>
      <c r="CL98" s="234" cm="1">
        <f t="array" ref="CL98">$BM98 * SUMPRODUCT(INDEX($AV$76:$AX$81,,$AI98),INDEX($AY$76:$BE$81,,$AH98), N($AU$76:$AU$81&gt;$AM98)) / CK98 / 1000</f>
        <v>0</v>
      </c>
      <c r="CM98" s="231">
        <f t="shared" si="323"/>
        <v>30</v>
      </c>
      <c r="CN98" s="229">
        <f t="shared" si="324"/>
        <v>43</v>
      </c>
      <c r="CO98" s="234">
        <f t="shared" si="325"/>
        <v>3.5018750000000001</v>
      </c>
      <c r="CP98" s="234" cm="1">
        <f t="array" ref="CP98">$BM98 * IF($AH98&lt;=2,
SUMPRODUCT(INDEX($AV$71:$AX$75,,$AI98), INDEX($AY$71:$BE$75,,$AH98), 1 / ($BF$71:$BF$75*CO98 + (1-$BF$71:$BF$75)*CK98), N($AU$71:$AU$75&gt;$AM98)),
SUMPRODUCT(INDEX($AV$66:$AX$75,,$AI98), INDEX($AY$66:$BE$75,,$AH98), 1 / ($BG$66:$BG$75*CO98 + (1-$BG$66:$BG$75)*CK98), N($AU$66:$AU$75&gt;$AM98))
) / 1000</f>
        <v>0</v>
      </c>
      <c r="CQ98" s="231">
        <f t="shared" si="326"/>
        <v>25</v>
      </c>
      <c r="CR98" s="229">
        <f t="shared" si="327"/>
        <v>38</v>
      </c>
      <c r="CS98" s="234">
        <f t="shared" si="328"/>
        <v>4.0666935483870965</v>
      </c>
      <c r="CT98" s="234" cm="1">
        <f t="array" ref="CT98">$BM98 * IF($AH98&lt;=2,
SUMPRODUCT(INDEX($AV$66:$AX$70,,$AI98), INDEX($AY$66:$BE$70,,$AH98), 1 / ($BF$66:$BF$70*CS98 + (1-$BF$66:$BF$70)*CO98), N($AU$66:$AU$70&gt;$AM98)),
SUMPRODUCT(INDEX($AV$56:$AX$65,,$AI98), INDEX($AY$56:$BE$65,,$AH98), 1 / ($BG$56:$BG$65*CS98 + (1-$BG$56:$BG$65)*CO98), N($AU$56:$AU$65&gt;$AM98))
) / 1000</f>
        <v>0</v>
      </c>
      <c r="CU98" s="231">
        <f t="shared" si="329"/>
        <v>20</v>
      </c>
      <c r="CV98" s="229">
        <f t="shared" si="330"/>
        <v>33</v>
      </c>
      <c r="CW98" s="234">
        <f t="shared" si="331"/>
        <v>4.8487499999999999</v>
      </c>
      <c r="CX98" s="234" cm="1">
        <f t="array" ref="CX98">$BM98 * IF($AH98&lt;=2,
SUMPRODUCT(INDEX($AV$61:$AX$65,,$AI98), INDEX($AY$61:$BE$65,,$AH98), 1 / ($BF$61:$BF$65*CW98 + (1-$BF$61:$BF$65)*CS98), N($AU$61:$AU$65&gt;$AM98)),
SUMPRODUCT(INDEX($AV$46:$AX$55,,$AI98), INDEX($AY$46:$BE$55,,$AH98), 1 / ($BG$46:$BG$55*CW98 + (1-$BG$46:$BG$55)*CS98), N($AU$46:$AU$55&gt;$AM98))
) / 1000</f>
        <v>0</v>
      </c>
      <c r="CY98" s="234" cm="1">
        <f t="array" ref="CY98">$BM98 * IF($AH98&lt;=2,
SUMPRODUCT(INDEX($AV$22:$AX$60,,$AI98), INDEX($AY$22:$BE$60,,$AH98), 1 / ($BF$22:$BF$60*CW98), N($AU$22:$AU$60&gt;$AM98)),
SUMPRODUCT(INDEX($AV$22:$AX$45,,$AI98), INDEX($AY$22:$BE$45,,$AH98), 1 / ($BG$22:$BG$45*CW98), N($AU$22:$AU$45&gt;$AM98))
) / 1000</f>
        <v>0</v>
      </c>
      <c r="CZ98" s="229">
        <f t="shared" si="332"/>
        <v>0</v>
      </c>
      <c r="DA98" s="246"/>
    </row>
    <row r="99" spans="1:105" s="75" customFormat="1" ht="14.25" customHeight="1" x14ac:dyDescent="0.25">
      <c r="A99" s="230" t="b">
        <f t="shared" si="291"/>
        <v>0</v>
      </c>
      <c r="B99" s="253">
        <v>78</v>
      </c>
      <c r="C99" s="266"/>
      <c r="D99" s="266"/>
      <c r="E99" s="254"/>
      <c r="F99" s="255" t="str">
        <f>IF(ISBLANK(E99), "", VLOOKUP(E99, Z!$A$2:$C$4127, 3, FALSE))</f>
        <v/>
      </c>
      <c r="G99" s="256"/>
      <c r="H99" s="256"/>
      <c r="I99" s="256"/>
      <c r="J99" s="257"/>
      <c r="K99" s="258"/>
      <c r="L99" s="267"/>
      <c r="M99" s="268"/>
      <c r="N99" s="259" t="str" cm="1">
        <f t="array" ref="N99">IF($L99&gt;0, INDEX(Clean,1+AK99,$D$1), "")</f>
        <v/>
      </c>
      <c r="O99" s="260"/>
      <c r="P99" s="260"/>
      <c r="Q99" s="261"/>
      <c r="R99" s="264">
        <f t="shared" si="297"/>
        <v>0</v>
      </c>
      <c r="S99" s="259" t="str" cm="1">
        <f t="array" ref="S99">IF($L99&gt;0, INDEX(Clean,1+AL99,$D$1), "")</f>
        <v/>
      </c>
      <c r="T99" s="260"/>
      <c r="U99" s="260"/>
      <c r="V99" s="261"/>
      <c r="W99" s="267"/>
      <c r="X99" s="267"/>
      <c r="Y99" s="257"/>
      <c r="Z99" s="264">
        <f t="shared" si="298"/>
        <v>0</v>
      </c>
      <c r="AA99" s="269"/>
      <c r="AB99" s="266"/>
      <c r="AC99" s="254"/>
      <c r="AD99" s="255" t="str">
        <f>IF(ISBLANK(AC99), "", VLOOKUP(AC99, Z!$A$2:$C$4127, 3, FALSE))</f>
        <v/>
      </c>
      <c r="AE99" s="270"/>
      <c r="AF99" s="265">
        <f t="shared" si="299"/>
        <v>0</v>
      </c>
      <c r="AG99" s="246"/>
      <c r="AH99" s="228">
        <f t="shared" ref="AH99" si="377">IF(ISBLANK(I99), 1, IFERROR(MATCH(I99, INDEX(Use,,1), 0), IFERROR(MATCH(I99, INDEX(Use,,2), 0), MATCH(I99, INDEX(Use,,3), 0))))</f>
        <v>1</v>
      </c>
      <c r="AI99" s="228">
        <f t="shared" ref="AI99" si="378">IF(ISBLANK(H99), 1, IFERROR(MATCH(H99, INDEX(Loc,,1), 0), IFERROR(MATCH(H99, INDEX(Loc,,2), 0), MATCH(H99, INDEX(Loc,,3), 0))))</f>
        <v>1</v>
      </c>
      <c r="AJ99" s="228">
        <f t="shared" ref="AJ99" si="379">_xlfn.IFNA(IF(IFERROR(MATCH(J99, INDEX(Medium,,1), 0), IFERROR(MATCH(J99, INDEX(Medium,,2), 0), MATCH(J99, INDEX(Medium,,3), 0))) = 2, 1, 0), 0)</f>
        <v>0</v>
      </c>
      <c r="AK99" s="228">
        <v>0</v>
      </c>
      <c r="AL99" s="228">
        <v>0</v>
      </c>
      <c r="AM99" s="228">
        <f t="shared" si="295"/>
        <v>-100</v>
      </c>
      <c r="AN99" s="228" cm="1">
        <f t="array" ref="AN99">IF(ISBLANK(G99), 1, IFERROR(MATCH(G99, INDEX(Kat,,1), 0), IFERROR(MATCH(Kat, INDEX(Use,,2), 0), MATCH(Kat, INDEX(Use,,3), 0))))</f>
        <v>1</v>
      </c>
      <c r="AO99" s="246"/>
      <c r="AP99" s="228" cm="1">
        <f t="array" ref="AP99">IF(W99&gt;0, INDEX(Kat, AN99,4), 0)</f>
        <v>0</v>
      </c>
      <c r="AQ99" s="228">
        <f t="shared" ref="AQ99" si="380">IF(ISBLANK(Y99), 0, IFERROR(MATCH(Y99, INDEX(Month,,1), 0), IFERROR(MATCH(Y99, INDEX(Month,,2), 0), MATCH(Y99, INDEX(Month,,3), 0))))</f>
        <v>0</v>
      </c>
      <c r="AR99" s="228" cm="1">
        <f t="array" ref="AR99">IF(X99&gt;0, INDEX(Kat, $AN99, 4+AQ99), 0)</f>
        <v>0</v>
      </c>
      <c r="AS99" s="228" cm="1">
        <f t="array" ref="AS99">IF(X99&gt;0, INDEX(Kat, $AN99, 9+AQ99), 0)</f>
        <v>0</v>
      </c>
      <c r="AT99" s="246"/>
      <c r="AU99" s="262"/>
      <c r="AV99" s="262"/>
      <c r="AW99" s="263"/>
      <c r="AX99" s="263"/>
      <c r="AY99" s="263"/>
      <c r="AZ99" s="263"/>
      <c r="BA99" s="263"/>
      <c r="BB99" s="263"/>
      <c r="BC99" s="263"/>
      <c r="BD99" s="263"/>
      <c r="BE99" s="263"/>
      <c r="BF99" s="263"/>
      <c r="BG99" s="263"/>
      <c r="BH99" s="210"/>
      <c r="BI99" s="228" cm="1">
        <f t="array" ref="BI99">INDEX(Use, $AH99, 4)</f>
        <v>7</v>
      </c>
      <c r="BJ99" s="228">
        <f t="shared" si="304"/>
        <v>32</v>
      </c>
      <c r="BK99" s="228">
        <f t="shared" si="305"/>
        <v>13</v>
      </c>
      <c r="BL99" s="228">
        <f t="shared" si="306"/>
        <v>0</v>
      </c>
      <c r="BM99" s="233" cm="1">
        <f t="array" ref="BM99">L99/IF($M99&gt;0, INDEX($AY$22:$BE$76, $M99+20, $AH99), 1)</f>
        <v>0</v>
      </c>
      <c r="BN99" s="229">
        <f t="shared" si="307"/>
        <v>0</v>
      </c>
      <c r="BO99" s="228">
        <v>35</v>
      </c>
      <c r="BP99" s="229">
        <f t="shared" si="308"/>
        <v>48</v>
      </c>
      <c r="BQ99" s="234">
        <f t="shared" si="309"/>
        <v>3.0748170731707316</v>
      </c>
      <c r="BR99" s="234" cm="1">
        <f t="array" ref="BR99">$BM99 * SUMPRODUCT(INDEX($AV$76:$AX$81,,$AI99),INDEX($AY$76:$BE$81,,$AH99), N($AU$76:$AU$81&gt;$AM99)) / BQ99 / 1000</f>
        <v>0</v>
      </c>
      <c r="BS99" s="231">
        <f t="shared" si="310"/>
        <v>30</v>
      </c>
      <c r="BT99" s="229">
        <f t="shared" si="311"/>
        <v>43</v>
      </c>
      <c r="BU99" s="234">
        <f t="shared" si="312"/>
        <v>3.5018750000000001</v>
      </c>
      <c r="BV99" s="234" cm="1">
        <f t="array" ref="BV99">$BM99 * IF($AH99&lt;=2,
SUMPRODUCT(INDEX($AV$71:$AX$75,,$AI99), INDEX($AY$71:$BE$75,,$AH99), 1 / ($BF$71:$BF$75*BU99 + (1-$BF$71:$BF$75)*BQ99), N($AU$71:$AU$75&gt;$AM99)),
SUMPRODUCT(INDEX($AV$66:$AX$75,,$AI99), INDEX($AY$66:$BE$75,,$AH99), 1 / ($BG$66:$BG$75*BU99 + (1-$BG$66:$BG$75)*BQ99), N($AU$66:$AU$75&gt;$AM99))
) / 1000</f>
        <v>0</v>
      </c>
      <c r="BW99" s="231">
        <f t="shared" si="313"/>
        <v>25</v>
      </c>
      <c r="BX99" s="229">
        <f t="shared" si="314"/>
        <v>38</v>
      </c>
      <c r="BY99" s="234">
        <f t="shared" si="315"/>
        <v>4.0666935483870965</v>
      </c>
      <c r="BZ99" s="234" cm="1">
        <f t="array" ref="BZ99">$BM99 * IF($AH99&lt;=2,
SUMPRODUCT(INDEX($AV$66:$AX$70,,$AI99), INDEX($AY$66:$BE$70,,$AH99), 1 / ($BF$66:$BF$70*BY99 + (1-$BF$66:$BF$70)*BU99), N($AU$66:$AU$70&gt;$AM99)),
SUMPRODUCT(INDEX($AV$56:$AX$65,,$AI99), INDEX($AY$56:$BE$65,,$AH99), 1 / ($BG$56:$BG$65*BY99 + (1-$BG$56:$BG$65)*BU99), N($AU$56:$AU$65&gt;$AM99))
) / 1000</f>
        <v>0</v>
      </c>
      <c r="CA99" s="231">
        <f t="shared" si="316"/>
        <v>20</v>
      </c>
      <c r="CB99" s="229">
        <f t="shared" si="317"/>
        <v>33</v>
      </c>
      <c r="CC99" s="234">
        <f t="shared" si="318"/>
        <v>4.8487499999999999</v>
      </c>
      <c r="CD99" s="234" cm="1">
        <f t="array" ref="CD99">$BM99 * IF($AH99&lt;=2,
SUMPRODUCT(INDEX($AV$61:$AX$65,,$AI99), INDEX($AY$61:$BE$65,,$AH99), 1 / ($BF$61:$BF$65*CC99 + (1-$BF$61:$BF$65)*BY99), N($AU$61:$AU$65&gt;$AM99)),
SUMPRODUCT(INDEX($AV$46:$AX$55,,$AI99), INDEX($AY$46:$BE$55,,$AH99), 1 / ($BG$46:$BG$55*CC99 + (1-$BG$46:$BG$55)*BY99), N($AU$46:$AU$55&gt;$AM99))
) / 1000</f>
        <v>0</v>
      </c>
      <c r="CE99" s="234" cm="1">
        <f t="array" ref="CE99">$BM99 * IF($AH99&lt;=2,
SUMPRODUCT(INDEX($AV$22:$AX$60,,$AI99), INDEX($AY$22:$BE$60,,$AH99), 1 / ($BF$22:$BF$60*CC99), N($AU$22:$AU$60&gt;$AM99)),
SUMPRODUCT(INDEX($AV$22:$AX$45,,$AI99), INDEX($AY$22:$BE$45,,$AH99), 1 / ($BG$22:$BG$45*CC99), N($AU$22:$AU$45&gt;$AM99))
) / 1000</f>
        <v>0</v>
      </c>
      <c r="CF99" s="229">
        <f t="shared" si="319"/>
        <v>0</v>
      </c>
      <c r="CG99" s="246"/>
      <c r="CH99" s="229">
        <f t="shared" si="320"/>
        <v>0</v>
      </c>
      <c r="CI99" s="228">
        <v>35</v>
      </c>
      <c r="CJ99" s="229">
        <f t="shared" si="321"/>
        <v>48</v>
      </c>
      <c r="CK99" s="234">
        <f t="shared" si="322"/>
        <v>3.0748170731707316</v>
      </c>
      <c r="CL99" s="234" cm="1">
        <f t="array" ref="CL99">$BM99 * SUMPRODUCT(INDEX($AV$76:$AX$81,,$AI99),INDEX($AY$76:$BE$81,,$AH99), N($AU$76:$AU$81&gt;$AM99)) / CK99 / 1000</f>
        <v>0</v>
      </c>
      <c r="CM99" s="231">
        <f t="shared" si="323"/>
        <v>30</v>
      </c>
      <c r="CN99" s="229">
        <f t="shared" si="324"/>
        <v>43</v>
      </c>
      <c r="CO99" s="234">
        <f t="shared" si="325"/>
        <v>3.5018750000000001</v>
      </c>
      <c r="CP99" s="234" cm="1">
        <f t="array" ref="CP99">$BM99 * IF($AH99&lt;=2,
SUMPRODUCT(INDEX($AV$71:$AX$75,,$AI99), INDEX($AY$71:$BE$75,,$AH99), 1 / ($BF$71:$BF$75*CO99 + (1-$BF$71:$BF$75)*CK99), N($AU$71:$AU$75&gt;$AM99)),
SUMPRODUCT(INDEX($AV$66:$AX$75,,$AI99), INDEX($AY$66:$BE$75,,$AH99), 1 / ($BG$66:$BG$75*CO99 + (1-$BG$66:$BG$75)*CK99), N($AU$66:$AU$75&gt;$AM99))
) / 1000</f>
        <v>0</v>
      </c>
      <c r="CQ99" s="231">
        <f t="shared" si="326"/>
        <v>25</v>
      </c>
      <c r="CR99" s="229">
        <f t="shared" si="327"/>
        <v>38</v>
      </c>
      <c r="CS99" s="234">
        <f t="shared" si="328"/>
        <v>4.0666935483870965</v>
      </c>
      <c r="CT99" s="234" cm="1">
        <f t="array" ref="CT99">$BM99 * IF($AH99&lt;=2,
SUMPRODUCT(INDEX($AV$66:$AX$70,,$AI99), INDEX($AY$66:$BE$70,,$AH99), 1 / ($BF$66:$BF$70*CS99 + (1-$BF$66:$BF$70)*CO99), N($AU$66:$AU$70&gt;$AM99)),
SUMPRODUCT(INDEX($AV$56:$AX$65,,$AI99), INDEX($AY$56:$BE$65,,$AH99), 1 / ($BG$56:$BG$65*CS99 + (1-$BG$56:$BG$65)*CO99), N($AU$56:$AU$65&gt;$AM99))
) / 1000</f>
        <v>0</v>
      </c>
      <c r="CU99" s="231">
        <f t="shared" si="329"/>
        <v>20</v>
      </c>
      <c r="CV99" s="229">
        <f t="shared" si="330"/>
        <v>33</v>
      </c>
      <c r="CW99" s="234">
        <f t="shared" si="331"/>
        <v>4.8487499999999999</v>
      </c>
      <c r="CX99" s="234" cm="1">
        <f t="array" ref="CX99">$BM99 * IF($AH99&lt;=2,
SUMPRODUCT(INDEX($AV$61:$AX$65,,$AI99), INDEX($AY$61:$BE$65,,$AH99), 1 / ($BF$61:$BF$65*CW99 + (1-$BF$61:$BF$65)*CS99), N($AU$61:$AU$65&gt;$AM99)),
SUMPRODUCT(INDEX($AV$46:$AX$55,,$AI99), INDEX($AY$46:$BE$55,,$AH99), 1 / ($BG$46:$BG$55*CW99 + (1-$BG$46:$BG$55)*CS99), N($AU$46:$AU$55&gt;$AM99))
) / 1000</f>
        <v>0</v>
      </c>
      <c r="CY99" s="234" cm="1">
        <f t="array" ref="CY99">$BM99 * IF($AH99&lt;=2,
SUMPRODUCT(INDEX($AV$22:$AX$60,,$AI99), INDEX($AY$22:$BE$60,,$AH99), 1 / ($BF$22:$BF$60*CW99), N($AU$22:$AU$60&gt;$AM99)),
SUMPRODUCT(INDEX($AV$22:$AX$45,,$AI99), INDEX($AY$22:$BE$45,,$AH99), 1 / ($BG$22:$BG$45*CW99), N($AU$22:$AU$45&gt;$AM99))
) / 1000</f>
        <v>0</v>
      </c>
      <c r="CZ99" s="229">
        <f t="shared" si="332"/>
        <v>0</v>
      </c>
      <c r="DA99" s="246"/>
    </row>
    <row r="100" spans="1:105" s="75" customFormat="1" ht="14.25" customHeight="1" x14ac:dyDescent="0.25">
      <c r="A100" s="230" t="b">
        <f t="shared" si="291"/>
        <v>0</v>
      </c>
      <c r="B100" s="253">
        <v>79</v>
      </c>
      <c r="C100" s="266"/>
      <c r="D100" s="266"/>
      <c r="E100" s="254"/>
      <c r="F100" s="255" t="str">
        <f>IF(ISBLANK(E100), "", VLOOKUP(E100, Z!$A$2:$C$4127, 3, FALSE))</f>
        <v/>
      </c>
      <c r="G100" s="256"/>
      <c r="H100" s="256"/>
      <c r="I100" s="256"/>
      <c r="J100" s="257"/>
      <c r="K100" s="258"/>
      <c r="L100" s="267"/>
      <c r="M100" s="268"/>
      <c r="N100" s="259" t="str" cm="1">
        <f t="array" ref="N100">IF($L100&gt;0, INDEX(Clean,1+AK100,$D$1), "")</f>
        <v/>
      </c>
      <c r="O100" s="260"/>
      <c r="P100" s="260"/>
      <c r="Q100" s="261"/>
      <c r="R100" s="264">
        <f t="shared" si="297"/>
        <v>0</v>
      </c>
      <c r="S100" s="259" t="str" cm="1">
        <f t="array" ref="S100">IF($L100&gt;0, INDEX(Clean,1+AL100,$D$1), "")</f>
        <v/>
      </c>
      <c r="T100" s="260"/>
      <c r="U100" s="260"/>
      <c r="V100" s="261"/>
      <c r="W100" s="267"/>
      <c r="X100" s="267"/>
      <c r="Y100" s="257"/>
      <c r="Z100" s="264">
        <f t="shared" si="298"/>
        <v>0</v>
      </c>
      <c r="AA100" s="269"/>
      <c r="AB100" s="266"/>
      <c r="AC100" s="254"/>
      <c r="AD100" s="255" t="str">
        <f>IF(ISBLANK(AC100), "", VLOOKUP(AC100, Z!$A$2:$C$4127, 3, FALSE))</f>
        <v/>
      </c>
      <c r="AE100" s="270"/>
      <c r="AF100" s="265">
        <f t="shared" si="299"/>
        <v>0</v>
      </c>
      <c r="AG100" s="246"/>
      <c r="AH100" s="228">
        <f t="shared" ref="AH100" si="381">IF(ISBLANK(I100), 1, IFERROR(MATCH(I100, INDEX(Use,,1), 0), IFERROR(MATCH(I100, INDEX(Use,,2), 0), MATCH(I100, INDEX(Use,,3), 0))))</f>
        <v>1</v>
      </c>
      <c r="AI100" s="228">
        <f t="shared" ref="AI100" si="382">IF(ISBLANK(H100), 1, IFERROR(MATCH(H100, INDEX(Loc,,1), 0), IFERROR(MATCH(H100, INDEX(Loc,,2), 0), MATCH(H100, INDEX(Loc,,3), 0))))</f>
        <v>1</v>
      </c>
      <c r="AJ100" s="228">
        <f t="shared" ref="AJ100" si="383">_xlfn.IFNA(IF(IFERROR(MATCH(J100, INDEX(Medium,,1), 0), IFERROR(MATCH(J100, INDEX(Medium,,2), 0), MATCH(J100, INDEX(Medium,,3), 0))) = 2, 1, 0), 0)</f>
        <v>0</v>
      </c>
      <c r="AK100" s="228">
        <v>0</v>
      </c>
      <c r="AL100" s="228">
        <v>0</v>
      </c>
      <c r="AM100" s="228">
        <f t="shared" si="295"/>
        <v>-100</v>
      </c>
      <c r="AN100" s="228" cm="1">
        <f t="array" ref="AN100">IF(ISBLANK(G100), 1, IFERROR(MATCH(G100, INDEX(Kat,,1), 0), IFERROR(MATCH(Kat, INDEX(Use,,2), 0), MATCH(Kat, INDEX(Use,,3), 0))))</f>
        <v>1</v>
      </c>
      <c r="AO100" s="246"/>
      <c r="AP100" s="228" cm="1">
        <f t="array" ref="AP100">IF(W100&gt;0, INDEX(Kat, AN100,4), 0)</f>
        <v>0</v>
      </c>
      <c r="AQ100" s="228">
        <f t="shared" ref="AQ100" si="384">IF(ISBLANK(Y100), 0, IFERROR(MATCH(Y100, INDEX(Month,,1), 0), IFERROR(MATCH(Y100, INDEX(Month,,2), 0), MATCH(Y100, INDEX(Month,,3), 0))))</f>
        <v>0</v>
      </c>
      <c r="AR100" s="228" cm="1">
        <f t="array" ref="AR100">IF(X100&gt;0, INDEX(Kat, $AN100, 4+AQ100), 0)</f>
        <v>0</v>
      </c>
      <c r="AS100" s="228" cm="1">
        <f t="array" ref="AS100">IF(X100&gt;0, INDEX(Kat, $AN100, 9+AQ100), 0)</f>
        <v>0</v>
      </c>
      <c r="AT100" s="246"/>
      <c r="AU100" s="262"/>
      <c r="AV100" s="262"/>
      <c r="AW100" s="263"/>
      <c r="AX100" s="263"/>
      <c r="AY100" s="263"/>
      <c r="AZ100" s="263"/>
      <c r="BA100" s="263"/>
      <c r="BB100" s="263"/>
      <c r="BC100" s="263"/>
      <c r="BD100" s="263"/>
      <c r="BE100" s="263"/>
      <c r="BF100" s="263"/>
      <c r="BG100" s="263"/>
      <c r="BH100" s="210"/>
      <c r="BI100" s="228" cm="1">
        <f t="array" ref="BI100">INDEX(Use, $AH100, 4)</f>
        <v>7</v>
      </c>
      <c r="BJ100" s="228">
        <f t="shared" si="304"/>
        <v>32</v>
      </c>
      <c r="BK100" s="228">
        <f t="shared" si="305"/>
        <v>13</v>
      </c>
      <c r="BL100" s="228">
        <f t="shared" si="306"/>
        <v>0</v>
      </c>
      <c r="BM100" s="233" cm="1">
        <f t="array" ref="BM100">L100/IF($M100&gt;0, INDEX($AY$22:$BE$76, $M100+20, $AH100), 1)</f>
        <v>0</v>
      </c>
      <c r="BN100" s="229">
        <f t="shared" si="307"/>
        <v>0</v>
      </c>
      <c r="BO100" s="228">
        <v>35</v>
      </c>
      <c r="BP100" s="229">
        <f t="shared" si="308"/>
        <v>48</v>
      </c>
      <c r="BQ100" s="234">
        <f t="shared" si="309"/>
        <v>3.0748170731707316</v>
      </c>
      <c r="BR100" s="234" cm="1">
        <f t="array" ref="BR100">$BM100 * SUMPRODUCT(INDEX($AV$76:$AX$81,,$AI100),INDEX($AY$76:$BE$81,,$AH100), N($AU$76:$AU$81&gt;$AM100)) / BQ100 / 1000</f>
        <v>0</v>
      </c>
      <c r="BS100" s="231">
        <f t="shared" si="310"/>
        <v>30</v>
      </c>
      <c r="BT100" s="229">
        <f t="shared" si="311"/>
        <v>43</v>
      </c>
      <c r="BU100" s="234">
        <f t="shared" si="312"/>
        <v>3.5018750000000001</v>
      </c>
      <c r="BV100" s="234" cm="1">
        <f t="array" ref="BV100">$BM100 * IF($AH100&lt;=2,
SUMPRODUCT(INDEX($AV$71:$AX$75,,$AI100), INDEX($AY$71:$BE$75,,$AH100), 1 / ($BF$71:$BF$75*BU100 + (1-$BF$71:$BF$75)*BQ100), N($AU$71:$AU$75&gt;$AM100)),
SUMPRODUCT(INDEX($AV$66:$AX$75,,$AI100), INDEX($AY$66:$BE$75,,$AH100), 1 / ($BG$66:$BG$75*BU100 + (1-$BG$66:$BG$75)*BQ100), N($AU$66:$AU$75&gt;$AM100))
) / 1000</f>
        <v>0</v>
      </c>
      <c r="BW100" s="231">
        <f t="shared" si="313"/>
        <v>25</v>
      </c>
      <c r="BX100" s="229">
        <f t="shared" si="314"/>
        <v>38</v>
      </c>
      <c r="BY100" s="234">
        <f t="shared" si="315"/>
        <v>4.0666935483870965</v>
      </c>
      <c r="BZ100" s="234" cm="1">
        <f t="array" ref="BZ100">$BM100 * IF($AH100&lt;=2,
SUMPRODUCT(INDEX($AV$66:$AX$70,,$AI100), INDEX($AY$66:$BE$70,,$AH100), 1 / ($BF$66:$BF$70*BY100 + (1-$BF$66:$BF$70)*BU100), N($AU$66:$AU$70&gt;$AM100)),
SUMPRODUCT(INDEX($AV$56:$AX$65,,$AI100), INDEX($AY$56:$BE$65,,$AH100), 1 / ($BG$56:$BG$65*BY100 + (1-$BG$56:$BG$65)*BU100), N($AU$56:$AU$65&gt;$AM100))
) / 1000</f>
        <v>0</v>
      </c>
      <c r="CA100" s="231">
        <f t="shared" si="316"/>
        <v>20</v>
      </c>
      <c r="CB100" s="229">
        <f t="shared" si="317"/>
        <v>33</v>
      </c>
      <c r="CC100" s="234">
        <f t="shared" si="318"/>
        <v>4.8487499999999999</v>
      </c>
      <c r="CD100" s="234" cm="1">
        <f t="array" ref="CD100">$BM100 * IF($AH100&lt;=2,
SUMPRODUCT(INDEX($AV$61:$AX$65,,$AI100), INDEX($AY$61:$BE$65,,$AH100), 1 / ($BF$61:$BF$65*CC100 + (1-$BF$61:$BF$65)*BY100), N($AU$61:$AU$65&gt;$AM100)),
SUMPRODUCT(INDEX($AV$46:$AX$55,,$AI100), INDEX($AY$46:$BE$55,,$AH100), 1 / ($BG$46:$BG$55*CC100 + (1-$BG$46:$BG$55)*BY100), N($AU$46:$AU$55&gt;$AM100))
) / 1000</f>
        <v>0</v>
      </c>
      <c r="CE100" s="234" cm="1">
        <f t="array" ref="CE100">$BM100 * IF($AH100&lt;=2,
SUMPRODUCT(INDEX($AV$22:$AX$60,,$AI100), INDEX($AY$22:$BE$60,,$AH100), 1 / ($BF$22:$BF$60*CC100), N($AU$22:$AU$60&gt;$AM100)),
SUMPRODUCT(INDEX($AV$22:$AX$45,,$AI100), INDEX($AY$22:$BE$45,,$AH100), 1 / ($BG$22:$BG$45*CC100), N($AU$22:$AU$45&gt;$AM100))
) / 1000</f>
        <v>0</v>
      </c>
      <c r="CF100" s="229">
        <f t="shared" si="319"/>
        <v>0</v>
      </c>
      <c r="CG100" s="246"/>
      <c r="CH100" s="229">
        <f t="shared" si="320"/>
        <v>0</v>
      </c>
      <c r="CI100" s="228">
        <v>35</v>
      </c>
      <c r="CJ100" s="229">
        <f t="shared" si="321"/>
        <v>48</v>
      </c>
      <c r="CK100" s="234">
        <f t="shared" si="322"/>
        <v>3.0748170731707316</v>
      </c>
      <c r="CL100" s="234" cm="1">
        <f t="array" ref="CL100">$BM100 * SUMPRODUCT(INDEX($AV$76:$AX$81,,$AI100),INDEX($AY$76:$BE$81,,$AH100), N($AU$76:$AU$81&gt;$AM100)) / CK100 / 1000</f>
        <v>0</v>
      </c>
      <c r="CM100" s="231">
        <f t="shared" si="323"/>
        <v>30</v>
      </c>
      <c r="CN100" s="229">
        <f t="shared" si="324"/>
        <v>43</v>
      </c>
      <c r="CO100" s="234">
        <f t="shared" si="325"/>
        <v>3.5018750000000001</v>
      </c>
      <c r="CP100" s="234" cm="1">
        <f t="array" ref="CP100">$BM100 * IF($AH100&lt;=2,
SUMPRODUCT(INDEX($AV$71:$AX$75,,$AI100), INDEX($AY$71:$BE$75,,$AH100), 1 / ($BF$71:$BF$75*CO100 + (1-$BF$71:$BF$75)*CK100), N($AU$71:$AU$75&gt;$AM100)),
SUMPRODUCT(INDEX($AV$66:$AX$75,,$AI100), INDEX($AY$66:$BE$75,,$AH100), 1 / ($BG$66:$BG$75*CO100 + (1-$BG$66:$BG$75)*CK100), N($AU$66:$AU$75&gt;$AM100))
) / 1000</f>
        <v>0</v>
      </c>
      <c r="CQ100" s="231">
        <f t="shared" si="326"/>
        <v>25</v>
      </c>
      <c r="CR100" s="229">
        <f t="shared" si="327"/>
        <v>38</v>
      </c>
      <c r="CS100" s="234">
        <f t="shared" si="328"/>
        <v>4.0666935483870965</v>
      </c>
      <c r="CT100" s="234" cm="1">
        <f t="array" ref="CT100">$BM100 * IF($AH100&lt;=2,
SUMPRODUCT(INDEX($AV$66:$AX$70,,$AI100), INDEX($AY$66:$BE$70,,$AH100), 1 / ($BF$66:$BF$70*CS100 + (1-$BF$66:$BF$70)*CO100), N($AU$66:$AU$70&gt;$AM100)),
SUMPRODUCT(INDEX($AV$56:$AX$65,,$AI100), INDEX($AY$56:$BE$65,,$AH100), 1 / ($BG$56:$BG$65*CS100 + (1-$BG$56:$BG$65)*CO100), N($AU$56:$AU$65&gt;$AM100))
) / 1000</f>
        <v>0</v>
      </c>
      <c r="CU100" s="231">
        <f t="shared" si="329"/>
        <v>20</v>
      </c>
      <c r="CV100" s="229">
        <f t="shared" si="330"/>
        <v>33</v>
      </c>
      <c r="CW100" s="234">
        <f t="shared" si="331"/>
        <v>4.8487499999999999</v>
      </c>
      <c r="CX100" s="234" cm="1">
        <f t="array" ref="CX100">$BM100 * IF($AH100&lt;=2,
SUMPRODUCT(INDEX($AV$61:$AX$65,,$AI100), INDEX($AY$61:$BE$65,,$AH100), 1 / ($BF$61:$BF$65*CW100 + (1-$BF$61:$BF$65)*CS100), N($AU$61:$AU$65&gt;$AM100)),
SUMPRODUCT(INDEX($AV$46:$AX$55,,$AI100), INDEX($AY$46:$BE$55,,$AH100), 1 / ($BG$46:$BG$55*CW100 + (1-$BG$46:$BG$55)*CS100), N($AU$46:$AU$55&gt;$AM100))
) / 1000</f>
        <v>0</v>
      </c>
      <c r="CY100" s="234" cm="1">
        <f t="array" ref="CY100">$BM100 * IF($AH100&lt;=2,
SUMPRODUCT(INDEX($AV$22:$AX$60,,$AI100), INDEX($AY$22:$BE$60,,$AH100), 1 / ($BF$22:$BF$60*CW100), N($AU$22:$AU$60&gt;$AM100)),
SUMPRODUCT(INDEX($AV$22:$AX$45,,$AI100), INDEX($AY$22:$BE$45,,$AH100), 1 / ($BG$22:$BG$45*CW100), N($AU$22:$AU$45&gt;$AM100))
) / 1000</f>
        <v>0</v>
      </c>
      <c r="CZ100" s="229">
        <f t="shared" si="332"/>
        <v>0</v>
      </c>
      <c r="DA100" s="246"/>
    </row>
    <row r="101" spans="1:105" s="75" customFormat="1" ht="14.25" customHeight="1" x14ac:dyDescent="0.25">
      <c r="A101" s="230" t="b">
        <f t="shared" si="291"/>
        <v>0</v>
      </c>
      <c r="B101" s="253">
        <v>80</v>
      </c>
      <c r="C101" s="266"/>
      <c r="D101" s="266"/>
      <c r="E101" s="254"/>
      <c r="F101" s="255" t="str">
        <f>IF(ISBLANK(E101), "", VLOOKUP(E101, Z!$A$2:$C$4127, 3, FALSE))</f>
        <v/>
      </c>
      <c r="G101" s="256"/>
      <c r="H101" s="256"/>
      <c r="I101" s="256"/>
      <c r="J101" s="257"/>
      <c r="K101" s="258"/>
      <c r="L101" s="267"/>
      <c r="M101" s="268"/>
      <c r="N101" s="259" t="str" cm="1">
        <f t="array" ref="N101">IF($L101&gt;0, INDEX(Clean,1+AK101,$D$1), "")</f>
        <v/>
      </c>
      <c r="O101" s="260"/>
      <c r="P101" s="260"/>
      <c r="Q101" s="261"/>
      <c r="R101" s="264">
        <f t="shared" si="297"/>
        <v>0</v>
      </c>
      <c r="S101" s="259" t="str" cm="1">
        <f t="array" ref="S101">IF($L101&gt;0, INDEX(Clean,1+AL101,$D$1), "")</f>
        <v/>
      </c>
      <c r="T101" s="260"/>
      <c r="U101" s="260"/>
      <c r="V101" s="261"/>
      <c r="W101" s="267"/>
      <c r="X101" s="267"/>
      <c r="Y101" s="257"/>
      <c r="Z101" s="264">
        <f t="shared" si="298"/>
        <v>0</v>
      </c>
      <c r="AA101" s="269"/>
      <c r="AB101" s="266"/>
      <c r="AC101" s="254"/>
      <c r="AD101" s="255" t="str">
        <f>IF(ISBLANK(AC101), "", VLOOKUP(AC101, Z!$A$2:$C$4127, 3, FALSE))</f>
        <v/>
      </c>
      <c r="AE101" s="270"/>
      <c r="AF101" s="265">
        <f t="shared" si="299"/>
        <v>0</v>
      </c>
      <c r="AG101" s="246"/>
      <c r="AH101" s="228">
        <f t="shared" ref="AH101" si="385">IF(ISBLANK(I101), 1, IFERROR(MATCH(I101, INDEX(Use,,1), 0), IFERROR(MATCH(I101, INDEX(Use,,2), 0), MATCH(I101, INDEX(Use,,3), 0))))</f>
        <v>1</v>
      </c>
      <c r="AI101" s="228">
        <f t="shared" ref="AI101" si="386">IF(ISBLANK(H101), 1, IFERROR(MATCH(H101, INDEX(Loc,,1), 0), IFERROR(MATCH(H101, INDEX(Loc,,2), 0), MATCH(H101, INDEX(Loc,,3), 0))))</f>
        <v>1</v>
      </c>
      <c r="AJ101" s="228">
        <f t="shared" ref="AJ101" si="387">_xlfn.IFNA(IF(IFERROR(MATCH(J101, INDEX(Medium,,1), 0), IFERROR(MATCH(J101, INDEX(Medium,,2), 0), MATCH(J101, INDEX(Medium,,3), 0))) = 2, 1, 0), 0)</f>
        <v>0</v>
      </c>
      <c r="AK101" s="228">
        <v>0</v>
      </c>
      <c r="AL101" s="228">
        <v>0</v>
      </c>
      <c r="AM101" s="228">
        <f t="shared" si="295"/>
        <v>-100</v>
      </c>
      <c r="AN101" s="228" cm="1">
        <f t="array" ref="AN101">IF(ISBLANK(G101), 1, IFERROR(MATCH(G101, INDEX(Kat,,1), 0), IFERROR(MATCH(Kat, INDEX(Use,,2), 0), MATCH(Kat, INDEX(Use,,3), 0))))</f>
        <v>1</v>
      </c>
      <c r="AO101" s="246"/>
      <c r="AP101" s="228" cm="1">
        <f t="array" ref="AP101">IF(W101&gt;0, INDEX(Kat, AN101,4), 0)</f>
        <v>0</v>
      </c>
      <c r="AQ101" s="228">
        <f t="shared" ref="AQ101" si="388">IF(ISBLANK(Y101), 0, IFERROR(MATCH(Y101, INDEX(Month,,1), 0), IFERROR(MATCH(Y101, INDEX(Month,,2), 0), MATCH(Y101, INDEX(Month,,3), 0))))</f>
        <v>0</v>
      </c>
      <c r="AR101" s="228" cm="1">
        <f t="array" ref="AR101">IF(X101&gt;0, INDEX(Kat, $AN101, 4+AQ101), 0)</f>
        <v>0</v>
      </c>
      <c r="AS101" s="228" cm="1">
        <f t="array" ref="AS101">IF(X101&gt;0, INDEX(Kat, $AN101, 9+AQ101), 0)</f>
        <v>0</v>
      </c>
      <c r="AT101" s="246"/>
      <c r="AU101" s="262"/>
      <c r="AV101" s="262"/>
      <c r="AW101" s="263"/>
      <c r="AX101" s="263"/>
      <c r="AY101" s="263"/>
      <c r="AZ101" s="263"/>
      <c r="BA101" s="263"/>
      <c r="BB101" s="263"/>
      <c r="BC101" s="263"/>
      <c r="BD101" s="263"/>
      <c r="BE101" s="263"/>
      <c r="BF101" s="263"/>
      <c r="BG101" s="263"/>
      <c r="BH101" s="210"/>
      <c r="BI101" s="228" cm="1">
        <f t="array" ref="BI101">INDEX(Use, $AH101, 4)</f>
        <v>7</v>
      </c>
      <c r="BJ101" s="228">
        <f t="shared" si="304"/>
        <v>32</v>
      </c>
      <c r="BK101" s="228">
        <f t="shared" si="305"/>
        <v>13</v>
      </c>
      <c r="BL101" s="228">
        <f t="shared" si="306"/>
        <v>0</v>
      </c>
      <c r="BM101" s="233" cm="1">
        <f t="array" ref="BM101">L101/IF($M101&gt;0, INDEX($AY$22:$BE$76, $M101+20, $AH101), 1)</f>
        <v>0</v>
      </c>
      <c r="BN101" s="229">
        <f t="shared" si="307"/>
        <v>0</v>
      </c>
      <c r="BO101" s="228">
        <v>35</v>
      </c>
      <c r="BP101" s="229">
        <f t="shared" si="308"/>
        <v>48</v>
      </c>
      <c r="BQ101" s="234">
        <f t="shared" si="309"/>
        <v>3.0748170731707316</v>
      </c>
      <c r="BR101" s="234" cm="1">
        <f t="array" ref="BR101">$BM101 * SUMPRODUCT(INDEX($AV$76:$AX$81,,$AI101),INDEX($AY$76:$BE$81,,$AH101), N($AU$76:$AU$81&gt;$AM101)) / BQ101 / 1000</f>
        <v>0</v>
      </c>
      <c r="BS101" s="231">
        <f t="shared" si="310"/>
        <v>30</v>
      </c>
      <c r="BT101" s="229">
        <f t="shared" si="311"/>
        <v>43</v>
      </c>
      <c r="BU101" s="234">
        <f t="shared" si="312"/>
        <v>3.5018750000000001</v>
      </c>
      <c r="BV101" s="234" cm="1">
        <f t="array" ref="BV101">$BM101 * IF($AH101&lt;=2,
SUMPRODUCT(INDEX($AV$71:$AX$75,,$AI101), INDEX($AY$71:$BE$75,,$AH101), 1 / ($BF$71:$BF$75*BU101 + (1-$BF$71:$BF$75)*BQ101), N($AU$71:$AU$75&gt;$AM101)),
SUMPRODUCT(INDEX($AV$66:$AX$75,,$AI101), INDEX($AY$66:$BE$75,,$AH101), 1 / ($BG$66:$BG$75*BU101 + (1-$BG$66:$BG$75)*BQ101), N($AU$66:$AU$75&gt;$AM101))
) / 1000</f>
        <v>0</v>
      </c>
      <c r="BW101" s="231">
        <f t="shared" si="313"/>
        <v>25</v>
      </c>
      <c r="BX101" s="229">
        <f t="shared" si="314"/>
        <v>38</v>
      </c>
      <c r="BY101" s="234">
        <f t="shared" si="315"/>
        <v>4.0666935483870965</v>
      </c>
      <c r="BZ101" s="234" cm="1">
        <f t="array" ref="BZ101">$BM101 * IF($AH101&lt;=2,
SUMPRODUCT(INDEX($AV$66:$AX$70,,$AI101), INDEX($AY$66:$BE$70,,$AH101), 1 / ($BF$66:$BF$70*BY101 + (1-$BF$66:$BF$70)*BU101), N($AU$66:$AU$70&gt;$AM101)),
SUMPRODUCT(INDEX($AV$56:$AX$65,,$AI101), INDEX($AY$56:$BE$65,,$AH101), 1 / ($BG$56:$BG$65*BY101 + (1-$BG$56:$BG$65)*BU101), N($AU$56:$AU$65&gt;$AM101))
) / 1000</f>
        <v>0</v>
      </c>
      <c r="CA101" s="231">
        <f t="shared" si="316"/>
        <v>20</v>
      </c>
      <c r="CB101" s="229">
        <f t="shared" si="317"/>
        <v>33</v>
      </c>
      <c r="CC101" s="234">
        <f t="shared" si="318"/>
        <v>4.8487499999999999</v>
      </c>
      <c r="CD101" s="234" cm="1">
        <f t="array" ref="CD101">$BM101 * IF($AH101&lt;=2,
SUMPRODUCT(INDEX($AV$61:$AX$65,,$AI101), INDEX($AY$61:$BE$65,,$AH101), 1 / ($BF$61:$BF$65*CC101 + (1-$BF$61:$BF$65)*BY101), N($AU$61:$AU$65&gt;$AM101)),
SUMPRODUCT(INDEX($AV$46:$AX$55,,$AI101), INDEX($AY$46:$BE$55,,$AH101), 1 / ($BG$46:$BG$55*CC101 + (1-$BG$46:$BG$55)*BY101), N($AU$46:$AU$55&gt;$AM101))
) / 1000</f>
        <v>0</v>
      </c>
      <c r="CE101" s="234" cm="1">
        <f t="array" ref="CE101">$BM101 * IF($AH101&lt;=2,
SUMPRODUCT(INDEX($AV$22:$AX$60,,$AI101), INDEX($AY$22:$BE$60,,$AH101), 1 / ($BF$22:$BF$60*CC101), N($AU$22:$AU$60&gt;$AM101)),
SUMPRODUCT(INDEX($AV$22:$AX$45,,$AI101), INDEX($AY$22:$BE$45,,$AH101), 1 / ($BG$22:$BG$45*CC101), N($AU$22:$AU$45&gt;$AM101))
) / 1000</f>
        <v>0</v>
      </c>
      <c r="CF101" s="229">
        <f t="shared" si="319"/>
        <v>0</v>
      </c>
      <c r="CG101" s="246"/>
      <c r="CH101" s="229">
        <f t="shared" si="320"/>
        <v>0</v>
      </c>
      <c r="CI101" s="228">
        <v>35</v>
      </c>
      <c r="CJ101" s="229">
        <f t="shared" si="321"/>
        <v>48</v>
      </c>
      <c r="CK101" s="234">
        <f t="shared" si="322"/>
        <v>3.0748170731707316</v>
      </c>
      <c r="CL101" s="234" cm="1">
        <f t="array" ref="CL101">$BM101 * SUMPRODUCT(INDEX($AV$76:$AX$81,,$AI101),INDEX($AY$76:$BE$81,,$AH101), N($AU$76:$AU$81&gt;$AM101)) / CK101 / 1000</f>
        <v>0</v>
      </c>
      <c r="CM101" s="231">
        <f t="shared" si="323"/>
        <v>30</v>
      </c>
      <c r="CN101" s="229">
        <f t="shared" si="324"/>
        <v>43</v>
      </c>
      <c r="CO101" s="234">
        <f t="shared" si="325"/>
        <v>3.5018750000000001</v>
      </c>
      <c r="CP101" s="234" cm="1">
        <f t="array" ref="CP101">$BM101 * IF($AH101&lt;=2,
SUMPRODUCT(INDEX($AV$71:$AX$75,,$AI101), INDEX($AY$71:$BE$75,,$AH101), 1 / ($BF$71:$BF$75*CO101 + (1-$BF$71:$BF$75)*CK101), N($AU$71:$AU$75&gt;$AM101)),
SUMPRODUCT(INDEX($AV$66:$AX$75,,$AI101), INDEX($AY$66:$BE$75,,$AH101), 1 / ($BG$66:$BG$75*CO101 + (1-$BG$66:$BG$75)*CK101), N($AU$66:$AU$75&gt;$AM101))
) / 1000</f>
        <v>0</v>
      </c>
      <c r="CQ101" s="231">
        <f t="shared" si="326"/>
        <v>25</v>
      </c>
      <c r="CR101" s="229">
        <f t="shared" si="327"/>
        <v>38</v>
      </c>
      <c r="CS101" s="234">
        <f t="shared" si="328"/>
        <v>4.0666935483870965</v>
      </c>
      <c r="CT101" s="234" cm="1">
        <f t="array" ref="CT101">$BM101 * IF($AH101&lt;=2,
SUMPRODUCT(INDEX($AV$66:$AX$70,,$AI101), INDEX($AY$66:$BE$70,,$AH101), 1 / ($BF$66:$BF$70*CS101 + (1-$BF$66:$BF$70)*CO101), N($AU$66:$AU$70&gt;$AM101)),
SUMPRODUCT(INDEX($AV$56:$AX$65,,$AI101), INDEX($AY$56:$BE$65,,$AH101), 1 / ($BG$56:$BG$65*CS101 + (1-$BG$56:$BG$65)*CO101), N($AU$56:$AU$65&gt;$AM101))
) / 1000</f>
        <v>0</v>
      </c>
      <c r="CU101" s="231">
        <f t="shared" si="329"/>
        <v>20</v>
      </c>
      <c r="CV101" s="229">
        <f t="shared" si="330"/>
        <v>33</v>
      </c>
      <c r="CW101" s="234">
        <f t="shared" si="331"/>
        <v>4.8487499999999999</v>
      </c>
      <c r="CX101" s="234" cm="1">
        <f t="array" ref="CX101">$BM101 * IF($AH101&lt;=2,
SUMPRODUCT(INDEX($AV$61:$AX$65,,$AI101), INDEX($AY$61:$BE$65,,$AH101), 1 / ($BF$61:$BF$65*CW101 + (1-$BF$61:$BF$65)*CS101), N($AU$61:$AU$65&gt;$AM101)),
SUMPRODUCT(INDEX($AV$46:$AX$55,,$AI101), INDEX($AY$46:$BE$55,,$AH101), 1 / ($BG$46:$BG$55*CW101 + (1-$BG$46:$BG$55)*CS101), N($AU$46:$AU$55&gt;$AM101))
) / 1000</f>
        <v>0</v>
      </c>
      <c r="CY101" s="234" cm="1">
        <f t="array" ref="CY101">$BM101 * IF($AH101&lt;=2,
SUMPRODUCT(INDEX($AV$22:$AX$60,,$AI101), INDEX($AY$22:$BE$60,,$AH101), 1 / ($BF$22:$BF$60*CW101), N($AU$22:$AU$60&gt;$AM101)),
SUMPRODUCT(INDEX($AV$22:$AX$45,,$AI101), INDEX($AY$22:$BE$45,,$AH101), 1 / ($BG$22:$BG$45*CW101), N($AU$22:$AU$45&gt;$AM101))
) / 1000</f>
        <v>0</v>
      </c>
      <c r="CZ101" s="229">
        <f t="shared" si="332"/>
        <v>0</v>
      </c>
      <c r="DA101" s="246"/>
    </row>
    <row r="102" spans="1:105" s="75" customFormat="1" ht="14.25" customHeight="1" x14ac:dyDescent="0.2">
      <c r="A102" s="230" t="b">
        <f t="shared" si="291"/>
        <v>0</v>
      </c>
      <c r="B102" s="253">
        <v>81</v>
      </c>
      <c r="C102" s="266"/>
      <c r="D102" s="266"/>
      <c r="E102" s="254"/>
      <c r="F102" s="255" t="str">
        <f>IF(ISBLANK(E102), "", VLOOKUP(E102, Z!$A$2:$C$4127, 3, FALSE))</f>
        <v/>
      </c>
      <c r="G102" s="256"/>
      <c r="H102" s="256"/>
      <c r="I102" s="256"/>
      <c r="J102" s="257"/>
      <c r="K102" s="258"/>
      <c r="L102" s="267"/>
      <c r="M102" s="268"/>
      <c r="N102" s="259" t="str" cm="1">
        <f t="array" ref="N102">IF($L102&gt;0, INDEX(Clean,1+AK102,$D$1), "")</f>
        <v/>
      </c>
      <c r="O102" s="260"/>
      <c r="P102" s="260"/>
      <c r="Q102" s="261"/>
      <c r="R102" s="264">
        <f t="shared" si="297"/>
        <v>0</v>
      </c>
      <c r="S102" s="259" t="str" cm="1">
        <f t="array" ref="S102">IF($L102&gt;0, INDEX(Clean,1+AL102,$D$1), "")</f>
        <v/>
      </c>
      <c r="T102" s="260"/>
      <c r="U102" s="260"/>
      <c r="V102" s="261"/>
      <c r="W102" s="267"/>
      <c r="X102" s="267"/>
      <c r="Y102" s="257"/>
      <c r="Z102" s="264">
        <f t="shared" si="298"/>
        <v>0</v>
      </c>
      <c r="AA102" s="269"/>
      <c r="AB102" s="266"/>
      <c r="AC102" s="254"/>
      <c r="AD102" s="255" t="str">
        <f>IF(ISBLANK(AC102), "", VLOOKUP(AC102, Z!$A$2:$C$4127, 3, FALSE))</f>
        <v/>
      </c>
      <c r="AE102" s="270"/>
      <c r="AF102" s="265">
        <f t="shared" si="299"/>
        <v>0</v>
      </c>
      <c r="AG102" s="246"/>
      <c r="AH102" s="228">
        <f t="shared" ref="AH102" si="389">IF(ISBLANK(I102), 1, IFERROR(MATCH(I102, INDEX(Use,,1), 0), IFERROR(MATCH(I102, INDEX(Use,,2), 0), MATCH(I102, INDEX(Use,,3), 0))))</f>
        <v>1</v>
      </c>
      <c r="AI102" s="228">
        <f t="shared" ref="AI102" si="390">IF(ISBLANK(H102), 1, IFERROR(MATCH(H102, INDEX(Loc,,1), 0), IFERROR(MATCH(H102, INDEX(Loc,,2), 0), MATCH(H102, INDEX(Loc,,3), 0))))</f>
        <v>1</v>
      </c>
      <c r="AJ102" s="228">
        <f t="shared" ref="AJ102" si="391">_xlfn.IFNA(IF(IFERROR(MATCH(J102, INDEX(Medium,,1), 0), IFERROR(MATCH(J102, INDEX(Medium,,2), 0), MATCH(J102, INDEX(Medium,,3), 0))) = 2, 1, 0), 0)</f>
        <v>0</v>
      </c>
      <c r="AK102" s="228">
        <v>0</v>
      </c>
      <c r="AL102" s="228">
        <v>0</v>
      </c>
      <c r="AM102" s="228">
        <f t="shared" si="295"/>
        <v>-100</v>
      </c>
      <c r="AN102" s="228" cm="1">
        <f t="array" ref="AN102">IF(ISBLANK(G102), 1, IFERROR(MATCH(G102, INDEX(Kat,,1), 0), IFERROR(MATCH(Kat, INDEX(Use,,2), 0), MATCH(Kat, INDEX(Use,,3), 0))))</f>
        <v>1</v>
      </c>
      <c r="AO102" s="246"/>
      <c r="AP102" s="228" cm="1">
        <f t="array" ref="AP102">IF(W102&gt;0, INDEX(Kat, AN102,4), 0)</f>
        <v>0</v>
      </c>
      <c r="AQ102" s="228">
        <f t="shared" ref="AQ102" si="392">IF(ISBLANK(Y102), 0, IFERROR(MATCH(Y102, INDEX(Month,,1), 0), IFERROR(MATCH(Y102, INDEX(Month,,2), 0), MATCH(Y102, INDEX(Month,,3), 0))))</f>
        <v>0</v>
      </c>
      <c r="AR102" s="228" cm="1">
        <f t="array" ref="AR102">IF(X102&gt;0, INDEX(Kat, $AN102, 4+AQ102), 0)</f>
        <v>0</v>
      </c>
      <c r="AS102" s="228" cm="1">
        <f t="array" ref="AS102">IF(X102&gt;0, INDEX(Kat, $AN102, 9+AQ102), 0)</f>
        <v>0</v>
      </c>
      <c r="AT102" s="246"/>
      <c r="AU102" s="262"/>
      <c r="AV102" s="262"/>
      <c r="AW102" s="263"/>
      <c r="AX102" s="263"/>
      <c r="AY102" s="263"/>
      <c r="AZ102" s="263"/>
      <c r="BA102" s="263"/>
      <c r="BB102" s="263"/>
      <c r="BC102" s="263"/>
      <c r="BD102" s="263"/>
      <c r="BE102" s="263"/>
      <c r="BF102" s="263"/>
      <c r="BG102" s="263"/>
      <c r="BH102" s="246"/>
      <c r="BI102" s="228" cm="1">
        <f t="array" ref="BI102">INDEX(Use, $AH102, 4)</f>
        <v>7</v>
      </c>
      <c r="BJ102" s="228">
        <f t="shared" si="304"/>
        <v>32</v>
      </c>
      <c r="BK102" s="228">
        <f t="shared" si="305"/>
        <v>13</v>
      </c>
      <c r="BL102" s="228">
        <f t="shared" si="306"/>
        <v>0</v>
      </c>
      <c r="BM102" s="233" cm="1">
        <f t="array" ref="BM102">L102/IF($M102&gt;0, INDEX($AY$22:$BE$76, $M102+20, $AH102), 1)</f>
        <v>0</v>
      </c>
      <c r="BN102" s="229">
        <f t="shared" si="307"/>
        <v>0</v>
      </c>
      <c r="BO102" s="228">
        <v>35</v>
      </c>
      <c r="BP102" s="229">
        <f t="shared" si="308"/>
        <v>48</v>
      </c>
      <c r="BQ102" s="234">
        <f t="shared" si="309"/>
        <v>3.0748170731707316</v>
      </c>
      <c r="BR102" s="234" cm="1">
        <f t="array" ref="BR102">$BM102 * SUMPRODUCT(INDEX($AV$76:$AX$81,,$AI102),INDEX($AY$76:$BE$81,,$AH102), N($AU$76:$AU$81&gt;$AM102)) / BQ102 / 1000</f>
        <v>0</v>
      </c>
      <c r="BS102" s="231">
        <f t="shared" si="310"/>
        <v>30</v>
      </c>
      <c r="BT102" s="229">
        <f t="shared" si="311"/>
        <v>43</v>
      </c>
      <c r="BU102" s="234">
        <f t="shared" si="312"/>
        <v>3.5018750000000001</v>
      </c>
      <c r="BV102" s="234" cm="1">
        <f t="array" ref="BV102">$BM102 * IF($AH102&lt;=2,
SUMPRODUCT(INDEX($AV$71:$AX$75,,$AI102), INDEX($AY$71:$BE$75,,$AH102), 1 / ($BF$71:$BF$75*BU102 + (1-$BF$71:$BF$75)*BQ102), N($AU$71:$AU$75&gt;$AM102)),
SUMPRODUCT(INDEX($AV$66:$AX$75,,$AI102), INDEX($AY$66:$BE$75,,$AH102), 1 / ($BG$66:$BG$75*BU102 + (1-$BG$66:$BG$75)*BQ102), N($AU$66:$AU$75&gt;$AM102))
) / 1000</f>
        <v>0</v>
      </c>
      <c r="BW102" s="231">
        <f t="shared" si="313"/>
        <v>25</v>
      </c>
      <c r="BX102" s="229">
        <f t="shared" si="314"/>
        <v>38</v>
      </c>
      <c r="BY102" s="234">
        <f t="shared" si="315"/>
        <v>4.0666935483870965</v>
      </c>
      <c r="BZ102" s="234" cm="1">
        <f t="array" ref="BZ102">$BM102 * IF($AH102&lt;=2,
SUMPRODUCT(INDEX($AV$66:$AX$70,,$AI102), INDEX($AY$66:$BE$70,,$AH102), 1 / ($BF$66:$BF$70*BY102 + (1-$BF$66:$BF$70)*BU102), N($AU$66:$AU$70&gt;$AM102)),
SUMPRODUCT(INDEX($AV$56:$AX$65,,$AI102), INDEX($AY$56:$BE$65,,$AH102), 1 / ($BG$56:$BG$65*BY102 + (1-$BG$56:$BG$65)*BU102), N($AU$56:$AU$65&gt;$AM102))
) / 1000</f>
        <v>0</v>
      </c>
      <c r="CA102" s="231">
        <f t="shared" si="316"/>
        <v>20</v>
      </c>
      <c r="CB102" s="229">
        <f t="shared" si="317"/>
        <v>33</v>
      </c>
      <c r="CC102" s="234">
        <f t="shared" si="318"/>
        <v>4.8487499999999999</v>
      </c>
      <c r="CD102" s="234" cm="1">
        <f t="array" ref="CD102">$BM102 * IF($AH102&lt;=2,
SUMPRODUCT(INDEX($AV$61:$AX$65,,$AI102), INDEX($AY$61:$BE$65,,$AH102), 1 / ($BF$61:$BF$65*CC102 + (1-$BF$61:$BF$65)*BY102), N($AU$61:$AU$65&gt;$AM102)),
SUMPRODUCT(INDEX($AV$46:$AX$55,,$AI102), INDEX($AY$46:$BE$55,,$AH102), 1 / ($BG$46:$BG$55*CC102 + (1-$BG$46:$BG$55)*BY102), N($AU$46:$AU$55&gt;$AM102))
) / 1000</f>
        <v>0</v>
      </c>
      <c r="CE102" s="234" cm="1">
        <f t="array" ref="CE102">$BM102 * IF($AH102&lt;=2,
SUMPRODUCT(INDEX($AV$22:$AX$60,,$AI102), INDEX($AY$22:$BE$60,,$AH102), 1 / ($BF$22:$BF$60*CC102), N($AU$22:$AU$60&gt;$AM102)),
SUMPRODUCT(INDEX($AV$22:$AX$45,,$AI102), INDEX($AY$22:$BE$45,,$AH102), 1 / ($BG$22:$BG$45*CC102), N($AU$22:$AU$45&gt;$AM102))
) / 1000</f>
        <v>0</v>
      </c>
      <c r="CF102" s="229">
        <f t="shared" si="319"/>
        <v>0</v>
      </c>
      <c r="CG102" s="246"/>
      <c r="CH102" s="229">
        <f t="shared" si="320"/>
        <v>0</v>
      </c>
      <c r="CI102" s="228">
        <v>35</v>
      </c>
      <c r="CJ102" s="229">
        <f t="shared" si="321"/>
        <v>48</v>
      </c>
      <c r="CK102" s="234">
        <f t="shared" si="322"/>
        <v>3.0748170731707316</v>
      </c>
      <c r="CL102" s="234" cm="1">
        <f t="array" ref="CL102">$BM102 * SUMPRODUCT(INDEX($AV$76:$AX$81,,$AI102),INDEX($AY$76:$BE$81,,$AH102), N($AU$76:$AU$81&gt;$AM102)) / CK102 / 1000</f>
        <v>0</v>
      </c>
      <c r="CM102" s="231">
        <f t="shared" si="323"/>
        <v>30</v>
      </c>
      <c r="CN102" s="229">
        <f t="shared" si="324"/>
        <v>43</v>
      </c>
      <c r="CO102" s="234">
        <f t="shared" si="325"/>
        <v>3.5018750000000001</v>
      </c>
      <c r="CP102" s="234" cm="1">
        <f t="array" ref="CP102">$BM102 * IF($AH102&lt;=2,
SUMPRODUCT(INDEX($AV$71:$AX$75,,$AI102), INDEX($AY$71:$BE$75,,$AH102), 1 / ($BF$71:$BF$75*CO102 + (1-$BF$71:$BF$75)*CK102), N($AU$71:$AU$75&gt;$AM102)),
SUMPRODUCT(INDEX($AV$66:$AX$75,,$AI102), INDEX($AY$66:$BE$75,,$AH102), 1 / ($BG$66:$BG$75*CO102 + (1-$BG$66:$BG$75)*CK102), N($AU$66:$AU$75&gt;$AM102))
) / 1000</f>
        <v>0</v>
      </c>
      <c r="CQ102" s="231">
        <f t="shared" si="326"/>
        <v>25</v>
      </c>
      <c r="CR102" s="229">
        <f t="shared" si="327"/>
        <v>38</v>
      </c>
      <c r="CS102" s="234">
        <f t="shared" si="328"/>
        <v>4.0666935483870965</v>
      </c>
      <c r="CT102" s="234" cm="1">
        <f t="array" ref="CT102">$BM102 * IF($AH102&lt;=2,
SUMPRODUCT(INDEX($AV$66:$AX$70,,$AI102), INDEX($AY$66:$BE$70,,$AH102), 1 / ($BF$66:$BF$70*CS102 + (1-$BF$66:$BF$70)*CO102), N($AU$66:$AU$70&gt;$AM102)),
SUMPRODUCT(INDEX($AV$56:$AX$65,,$AI102), INDEX($AY$56:$BE$65,,$AH102), 1 / ($BG$56:$BG$65*CS102 + (1-$BG$56:$BG$65)*CO102), N($AU$56:$AU$65&gt;$AM102))
) / 1000</f>
        <v>0</v>
      </c>
      <c r="CU102" s="231">
        <f t="shared" si="329"/>
        <v>20</v>
      </c>
      <c r="CV102" s="229">
        <f t="shared" si="330"/>
        <v>33</v>
      </c>
      <c r="CW102" s="234">
        <f t="shared" si="331"/>
        <v>4.8487499999999999</v>
      </c>
      <c r="CX102" s="234" cm="1">
        <f t="array" ref="CX102">$BM102 * IF($AH102&lt;=2,
SUMPRODUCT(INDEX($AV$61:$AX$65,,$AI102), INDEX($AY$61:$BE$65,,$AH102), 1 / ($BF$61:$BF$65*CW102 + (1-$BF$61:$BF$65)*CS102), N($AU$61:$AU$65&gt;$AM102)),
SUMPRODUCT(INDEX($AV$46:$AX$55,,$AI102), INDEX($AY$46:$BE$55,,$AH102), 1 / ($BG$46:$BG$55*CW102 + (1-$BG$46:$BG$55)*CS102), N($AU$46:$AU$55&gt;$AM102))
) / 1000</f>
        <v>0</v>
      </c>
      <c r="CY102" s="234" cm="1">
        <f t="array" ref="CY102">$BM102 * IF($AH102&lt;=2,
SUMPRODUCT(INDEX($AV$22:$AX$60,,$AI102), INDEX($AY$22:$BE$60,,$AH102), 1 / ($BF$22:$BF$60*CW102), N($AU$22:$AU$60&gt;$AM102)),
SUMPRODUCT(INDEX($AV$22:$AX$45,,$AI102), INDEX($AY$22:$BE$45,,$AH102), 1 / ($BG$22:$BG$45*CW102), N($AU$22:$AU$45&gt;$AM102))
) / 1000</f>
        <v>0</v>
      </c>
      <c r="CZ102" s="229">
        <f t="shared" si="332"/>
        <v>0</v>
      </c>
      <c r="DA102" s="246"/>
    </row>
    <row r="103" spans="1:105" s="75" customFormat="1" ht="14.25" customHeight="1" x14ac:dyDescent="0.2">
      <c r="A103" s="230" t="b">
        <f t="shared" si="291"/>
        <v>0</v>
      </c>
      <c r="B103" s="253">
        <v>82</v>
      </c>
      <c r="C103" s="266"/>
      <c r="D103" s="266"/>
      <c r="E103" s="254"/>
      <c r="F103" s="255" t="str">
        <f>IF(ISBLANK(E103), "", VLOOKUP(E103, Z!$A$2:$C$4127, 3, FALSE))</f>
        <v/>
      </c>
      <c r="G103" s="256"/>
      <c r="H103" s="256"/>
      <c r="I103" s="256"/>
      <c r="J103" s="257"/>
      <c r="K103" s="258"/>
      <c r="L103" s="267"/>
      <c r="M103" s="268"/>
      <c r="N103" s="259" t="str" cm="1">
        <f t="array" ref="N103">IF($L103&gt;0, INDEX(Clean,1+AK103,$D$1), "")</f>
        <v/>
      </c>
      <c r="O103" s="260"/>
      <c r="P103" s="260"/>
      <c r="Q103" s="261"/>
      <c r="R103" s="264">
        <f t="shared" si="297"/>
        <v>0</v>
      </c>
      <c r="S103" s="259" t="str" cm="1">
        <f t="array" ref="S103">IF($L103&gt;0, INDEX(Clean,1+AL103,$D$1), "")</f>
        <v/>
      </c>
      <c r="T103" s="260"/>
      <c r="U103" s="260"/>
      <c r="V103" s="261"/>
      <c r="W103" s="267"/>
      <c r="X103" s="267"/>
      <c r="Y103" s="257"/>
      <c r="Z103" s="264">
        <f t="shared" si="298"/>
        <v>0</v>
      </c>
      <c r="AA103" s="269"/>
      <c r="AB103" s="266"/>
      <c r="AC103" s="254"/>
      <c r="AD103" s="255" t="str">
        <f>IF(ISBLANK(AC103), "", VLOOKUP(AC103, Z!$A$2:$C$4127, 3, FALSE))</f>
        <v/>
      </c>
      <c r="AE103" s="270"/>
      <c r="AF103" s="265">
        <f t="shared" si="299"/>
        <v>0</v>
      </c>
      <c r="AG103" s="246"/>
      <c r="AH103" s="228">
        <f t="shared" ref="AH103" si="393">IF(ISBLANK(I103), 1, IFERROR(MATCH(I103, INDEX(Use,,1), 0), IFERROR(MATCH(I103, INDEX(Use,,2), 0), MATCH(I103, INDEX(Use,,3), 0))))</f>
        <v>1</v>
      </c>
      <c r="AI103" s="228">
        <f t="shared" ref="AI103" si="394">IF(ISBLANK(H103), 1, IFERROR(MATCH(H103, INDEX(Loc,,1), 0), IFERROR(MATCH(H103, INDEX(Loc,,2), 0), MATCH(H103, INDEX(Loc,,3), 0))))</f>
        <v>1</v>
      </c>
      <c r="AJ103" s="228">
        <f t="shared" ref="AJ103" si="395">_xlfn.IFNA(IF(IFERROR(MATCH(J103, INDEX(Medium,,1), 0), IFERROR(MATCH(J103, INDEX(Medium,,2), 0), MATCH(J103, INDEX(Medium,,3), 0))) = 2, 1, 0), 0)</f>
        <v>0</v>
      </c>
      <c r="AK103" s="228">
        <v>0</v>
      </c>
      <c r="AL103" s="228">
        <v>0</v>
      </c>
      <c r="AM103" s="228">
        <f t="shared" si="295"/>
        <v>-100</v>
      </c>
      <c r="AN103" s="228" cm="1">
        <f t="array" ref="AN103">IF(ISBLANK(G103), 1, IFERROR(MATCH(G103, INDEX(Kat,,1), 0), IFERROR(MATCH(Kat, INDEX(Use,,2), 0), MATCH(Kat, INDEX(Use,,3), 0))))</f>
        <v>1</v>
      </c>
      <c r="AO103" s="246"/>
      <c r="AP103" s="228" cm="1">
        <f t="array" ref="AP103">IF(W103&gt;0, INDEX(Kat, AN103,4), 0)</f>
        <v>0</v>
      </c>
      <c r="AQ103" s="228">
        <f t="shared" ref="AQ103" si="396">IF(ISBLANK(Y103), 0, IFERROR(MATCH(Y103, INDEX(Month,,1), 0), IFERROR(MATCH(Y103, INDEX(Month,,2), 0), MATCH(Y103, INDEX(Month,,3), 0))))</f>
        <v>0</v>
      </c>
      <c r="AR103" s="228" cm="1">
        <f t="array" ref="AR103">IF(X103&gt;0, INDEX(Kat, $AN103, 4+AQ103), 0)</f>
        <v>0</v>
      </c>
      <c r="AS103" s="228" cm="1">
        <f t="array" ref="AS103">IF(X103&gt;0, INDEX(Kat, $AN103, 9+AQ103), 0)</f>
        <v>0</v>
      </c>
      <c r="AT103" s="246"/>
      <c r="AU103" s="262"/>
      <c r="AV103" s="262"/>
      <c r="AW103" s="263"/>
      <c r="AX103" s="263"/>
      <c r="AY103" s="263"/>
      <c r="AZ103" s="263"/>
      <c r="BA103" s="263"/>
      <c r="BB103" s="263"/>
      <c r="BC103" s="263"/>
      <c r="BD103" s="263"/>
      <c r="BE103" s="263"/>
      <c r="BF103" s="263"/>
      <c r="BG103" s="263"/>
      <c r="BH103" s="246"/>
      <c r="BI103" s="228" cm="1">
        <f t="array" ref="BI103">INDEX(Use, $AH103, 4)</f>
        <v>7</v>
      </c>
      <c r="BJ103" s="228">
        <f t="shared" si="304"/>
        <v>32</v>
      </c>
      <c r="BK103" s="228">
        <f t="shared" si="305"/>
        <v>13</v>
      </c>
      <c r="BL103" s="228">
        <f t="shared" si="306"/>
        <v>0</v>
      </c>
      <c r="BM103" s="233" cm="1">
        <f t="array" ref="BM103">L103/IF($M103&gt;0, INDEX($AY$22:$BE$76, $M103+20, $AH103), 1)</f>
        <v>0</v>
      </c>
      <c r="BN103" s="229">
        <f t="shared" si="307"/>
        <v>0</v>
      </c>
      <c r="BO103" s="228">
        <v>35</v>
      </c>
      <c r="BP103" s="229">
        <f t="shared" si="308"/>
        <v>48</v>
      </c>
      <c r="BQ103" s="234">
        <f t="shared" si="309"/>
        <v>3.0748170731707316</v>
      </c>
      <c r="BR103" s="234" cm="1">
        <f t="array" ref="BR103">$BM103 * SUMPRODUCT(INDEX($AV$76:$AX$81,,$AI103),INDEX($AY$76:$BE$81,,$AH103), N($AU$76:$AU$81&gt;$AM103)) / BQ103 / 1000</f>
        <v>0</v>
      </c>
      <c r="BS103" s="231">
        <f t="shared" si="310"/>
        <v>30</v>
      </c>
      <c r="BT103" s="229">
        <f t="shared" si="311"/>
        <v>43</v>
      </c>
      <c r="BU103" s="234">
        <f t="shared" si="312"/>
        <v>3.5018750000000001</v>
      </c>
      <c r="BV103" s="234" cm="1">
        <f t="array" ref="BV103">$BM103 * IF($AH103&lt;=2,
SUMPRODUCT(INDEX($AV$71:$AX$75,,$AI103), INDEX($AY$71:$BE$75,,$AH103), 1 / ($BF$71:$BF$75*BU103 + (1-$BF$71:$BF$75)*BQ103), N($AU$71:$AU$75&gt;$AM103)),
SUMPRODUCT(INDEX($AV$66:$AX$75,,$AI103), INDEX($AY$66:$BE$75,,$AH103), 1 / ($BG$66:$BG$75*BU103 + (1-$BG$66:$BG$75)*BQ103), N($AU$66:$AU$75&gt;$AM103))
) / 1000</f>
        <v>0</v>
      </c>
      <c r="BW103" s="231">
        <f t="shared" si="313"/>
        <v>25</v>
      </c>
      <c r="BX103" s="229">
        <f t="shared" si="314"/>
        <v>38</v>
      </c>
      <c r="BY103" s="234">
        <f t="shared" si="315"/>
        <v>4.0666935483870965</v>
      </c>
      <c r="BZ103" s="234" cm="1">
        <f t="array" ref="BZ103">$BM103 * IF($AH103&lt;=2,
SUMPRODUCT(INDEX($AV$66:$AX$70,,$AI103), INDEX($AY$66:$BE$70,,$AH103), 1 / ($BF$66:$BF$70*BY103 + (1-$BF$66:$BF$70)*BU103), N($AU$66:$AU$70&gt;$AM103)),
SUMPRODUCT(INDEX($AV$56:$AX$65,,$AI103), INDEX($AY$56:$BE$65,,$AH103), 1 / ($BG$56:$BG$65*BY103 + (1-$BG$56:$BG$65)*BU103), N($AU$56:$AU$65&gt;$AM103))
) / 1000</f>
        <v>0</v>
      </c>
      <c r="CA103" s="231">
        <f t="shared" si="316"/>
        <v>20</v>
      </c>
      <c r="CB103" s="229">
        <f t="shared" si="317"/>
        <v>33</v>
      </c>
      <c r="CC103" s="234">
        <f t="shared" si="318"/>
        <v>4.8487499999999999</v>
      </c>
      <c r="CD103" s="234" cm="1">
        <f t="array" ref="CD103">$BM103 * IF($AH103&lt;=2,
SUMPRODUCT(INDEX($AV$61:$AX$65,,$AI103), INDEX($AY$61:$BE$65,,$AH103), 1 / ($BF$61:$BF$65*CC103 + (1-$BF$61:$BF$65)*BY103), N($AU$61:$AU$65&gt;$AM103)),
SUMPRODUCT(INDEX($AV$46:$AX$55,,$AI103), INDEX($AY$46:$BE$55,,$AH103), 1 / ($BG$46:$BG$55*CC103 + (1-$BG$46:$BG$55)*BY103), N($AU$46:$AU$55&gt;$AM103))
) / 1000</f>
        <v>0</v>
      </c>
      <c r="CE103" s="234" cm="1">
        <f t="array" ref="CE103">$BM103 * IF($AH103&lt;=2,
SUMPRODUCT(INDEX($AV$22:$AX$60,,$AI103), INDEX($AY$22:$BE$60,,$AH103), 1 / ($BF$22:$BF$60*CC103), N($AU$22:$AU$60&gt;$AM103)),
SUMPRODUCT(INDEX($AV$22:$AX$45,,$AI103), INDEX($AY$22:$BE$45,,$AH103), 1 / ($BG$22:$BG$45*CC103), N($AU$22:$AU$45&gt;$AM103))
) / 1000</f>
        <v>0</v>
      </c>
      <c r="CF103" s="229">
        <f t="shared" si="319"/>
        <v>0</v>
      </c>
      <c r="CG103" s="246"/>
      <c r="CH103" s="229">
        <f t="shared" si="320"/>
        <v>0</v>
      </c>
      <c r="CI103" s="228">
        <v>35</v>
      </c>
      <c r="CJ103" s="229">
        <f t="shared" si="321"/>
        <v>48</v>
      </c>
      <c r="CK103" s="234">
        <f t="shared" si="322"/>
        <v>3.0748170731707316</v>
      </c>
      <c r="CL103" s="234" cm="1">
        <f t="array" ref="CL103">$BM103 * SUMPRODUCT(INDEX($AV$76:$AX$81,,$AI103),INDEX($AY$76:$BE$81,,$AH103), N($AU$76:$AU$81&gt;$AM103)) / CK103 / 1000</f>
        <v>0</v>
      </c>
      <c r="CM103" s="231">
        <f t="shared" si="323"/>
        <v>30</v>
      </c>
      <c r="CN103" s="229">
        <f t="shared" si="324"/>
        <v>43</v>
      </c>
      <c r="CO103" s="234">
        <f t="shared" si="325"/>
        <v>3.5018750000000001</v>
      </c>
      <c r="CP103" s="234" cm="1">
        <f t="array" ref="CP103">$BM103 * IF($AH103&lt;=2,
SUMPRODUCT(INDEX($AV$71:$AX$75,,$AI103), INDEX($AY$71:$BE$75,,$AH103), 1 / ($BF$71:$BF$75*CO103 + (1-$BF$71:$BF$75)*CK103), N($AU$71:$AU$75&gt;$AM103)),
SUMPRODUCT(INDEX($AV$66:$AX$75,,$AI103), INDEX($AY$66:$BE$75,,$AH103), 1 / ($BG$66:$BG$75*CO103 + (1-$BG$66:$BG$75)*CK103), N($AU$66:$AU$75&gt;$AM103))
) / 1000</f>
        <v>0</v>
      </c>
      <c r="CQ103" s="231">
        <f t="shared" si="326"/>
        <v>25</v>
      </c>
      <c r="CR103" s="229">
        <f t="shared" si="327"/>
        <v>38</v>
      </c>
      <c r="CS103" s="234">
        <f t="shared" si="328"/>
        <v>4.0666935483870965</v>
      </c>
      <c r="CT103" s="234" cm="1">
        <f t="array" ref="CT103">$BM103 * IF($AH103&lt;=2,
SUMPRODUCT(INDEX($AV$66:$AX$70,,$AI103), INDEX($AY$66:$BE$70,,$AH103), 1 / ($BF$66:$BF$70*CS103 + (1-$BF$66:$BF$70)*CO103), N($AU$66:$AU$70&gt;$AM103)),
SUMPRODUCT(INDEX($AV$56:$AX$65,,$AI103), INDEX($AY$56:$BE$65,,$AH103), 1 / ($BG$56:$BG$65*CS103 + (1-$BG$56:$BG$65)*CO103), N($AU$56:$AU$65&gt;$AM103))
) / 1000</f>
        <v>0</v>
      </c>
      <c r="CU103" s="231">
        <f t="shared" si="329"/>
        <v>20</v>
      </c>
      <c r="CV103" s="229">
        <f t="shared" si="330"/>
        <v>33</v>
      </c>
      <c r="CW103" s="234">
        <f t="shared" si="331"/>
        <v>4.8487499999999999</v>
      </c>
      <c r="CX103" s="234" cm="1">
        <f t="array" ref="CX103">$BM103 * IF($AH103&lt;=2,
SUMPRODUCT(INDEX($AV$61:$AX$65,,$AI103), INDEX($AY$61:$BE$65,,$AH103), 1 / ($BF$61:$BF$65*CW103 + (1-$BF$61:$BF$65)*CS103), N($AU$61:$AU$65&gt;$AM103)),
SUMPRODUCT(INDEX($AV$46:$AX$55,,$AI103), INDEX($AY$46:$BE$55,,$AH103), 1 / ($BG$46:$BG$55*CW103 + (1-$BG$46:$BG$55)*CS103), N($AU$46:$AU$55&gt;$AM103))
) / 1000</f>
        <v>0</v>
      </c>
      <c r="CY103" s="234" cm="1">
        <f t="array" ref="CY103">$BM103 * IF($AH103&lt;=2,
SUMPRODUCT(INDEX($AV$22:$AX$60,,$AI103), INDEX($AY$22:$BE$60,,$AH103), 1 / ($BF$22:$BF$60*CW103), N($AU$22:$AU$60&gt;$AM103)),
SUMPRODUCT(INDEX($AV$22:$AX$45,,$AI103), INDEX($AY$22:$BE$45,,$AH103), 1 / ($BG$22:$BG$45*CW103), N($AU$22:$AU$45&gt;$AM103))
) / 1000</f>
        <v>0</v>
      </c>
      <c r="CZ103" s="229">
        <f t="shared" si="332"/>
        <v>0</v>
      </c>
      <c r="DA103" s="246"/>
    </row>
    <row r="104" spans="1:105" s="75" customFormat="1" ht="14.25" customHeight="1" x14ac:dyDescent="0.2">
      <c r="A104" s="230" t="b">
        <f t="shared" si="291"/>
        <v>0</v>
      </c>
      <c r="B104" s="253">
        <v>83</v>
      </c>
      <c r="C104" s="266"/>
      <c r="D104" s="266"/>
      <c r="E104" s="254"/>
      <c r="F104" s="255" t="str">
        <f>IF(ISBLANK(E104), "", VLOOKUP(E104, Z!$A$2:$C$4127, 3, FALSE))</f>
        <v/>
      </c>
      <c r="G104" s="256"/>
      <c r="H104" s="256"/>
      <c r="I104" s="256"/>
      <c r="J104" s="257"/>
      <c r="K104" s="258"/>
      <c r="L104" s="267"/>
      <c r="M104" s="268"/>
      <c r="N104" s="259" t="str" cm="1">
        <f t="array" ref="N104">IF($L104&gt;0, INDEX(Clean,1+AK104,$D$1), "")</f>
        <v/>
      </c>
      <c r="O104" s="260"/>
      <c r="P104" s="260"/>
      <c r="Q104" s="261"/>
      <c r="R104" s="264">
        <f t="shared" si="297"/>
        <v>0</v>
      </c>
      <c r="S104" s="259" t="str" cm="1">
        <f t="array" ref="S104">IF($L104&gt;0, INDEX(Clean,1+AL104,$D$1), "")</f>
        <v/>
      </c>
      <c r="T104" s="260"/>
      <c r="U104" s="260"/>
      <c r="V104" s="261"/>
      <c r="W104" s="267"/>
      <c r="X104" s="267"/>
      <c r="Y104" s="257"/>
      <c r="Z104" s="264">
        <f t="shared" si="298"/>
        <v>0</v>
      </c>
      <c r="AA104" s="269"/>
      <c r="AB104" s="266"/>
      <c r="AC104" s="254"/>
      <c r="AD104" s="255" t="str">
        <f>IF(ISBLANK(AC104), "", VLOOKUP(AC104, Z!$A$2:$C$4127, 3, FALSE))</f>
        <v/>
      </c>
      <c r="AE104" s="270"/>
      <c r="AF104" s="265">
        <f t="shared" si="299"/>
        <v>0</v>
      </c>
      <c r="AG104" s="246"/>
      <c r="AH104" s="228">
        <f t="shared" ref="AH104" si="397">IF(ISBLANK(I104), 1, IFERROR(MATCH(I104, INDEX(Use,,1), 0), IFERROR(MATCH(I104, INDEX(Use,,2), 0), MATCH(I104, INDEX(Use,,3), 0))))</f>
        <v>1</v>
      </c>
      <c r="AI104" s="228">
        <f t="shared" ref="AI104" si="398">IF(ISBLANK(H104), 1, IFERROR(MATCH(H104, INDEX(Loc,,1), 0), IFERROR(MATCH(H104, INDEX(Loc,,2), 0), MATCH(H104, INDEX(Loc,,3), 0))))</f>
        <v>1</v>
      </c>
      <c r="AJ104" s="228">
        <f t="shared" ref="AJ104" si="399">_xlfn.IFNA(IF(IFERROR(MATCH(J104, INDEX(Medium,,1), 0), IFERROR(MATCH(J104, INDEX(Medium,,2), 0), MATCH(J104, INDEX(Medium,,3), 0))) = 2, 1, 0), 0)</f>
        <v>0</v>
      </c>
      <c r="AK104" s="228">
        <v>0</v>
      </c>
      <c r="AL104" s="228">
        <v>0</v>
      </c>
      <c r="AM104" s="228">
        <f t="shared" si="295"/>
        <v>-100</v>
      </c>
      <c r="AN104" s="228" cm="1">
        <f t="array" ref="AN104">IF(ISBLANK(G104), 1, IFERROR(MATCH(G104, INDEX(Kat,,1), 0), IFERROR(MATCH(Kat, INDEX(Use,,2), 0), MATCH(Kat, INDEX(Use,,3), 0))))</f>
        <v>1</v>
      </c>
      <c r="AO104" s="246"/>
      <c r="AP104" s="228" cm="1">
        <f t="array" ref="AP104">IF(W104&gt;0, INDEX(Kat, AN104,4), 0)</f>
        <v>0</v>
      </c>
      <c r="AQ104" s="228">
        <f t="shared" ref="AQ104" si="400">IF(ISBLANK(Y104), 0, IFERROR(MATCH(Y104, INDEX(Month,,1), 0), IFERROR(MATCH(Y104, INDEX(Month,,2), 0), MATCH(Y104, INDEX(Month,,3), 0))))</f>
        <v>0</v>
      </c>
      <c r="AR104" s="228" cm="1">
        <f t="array" ref="AR104">IF(X104&gt;0, INDEX(Kat, $AN104, 4+AQ104), 0)</f>
        <v>0</v>
      </c>
      <c r="AS104" s="228" cm="1">
        <f t="array" ref="AS104">IF(X104&gt;0, INDEX(Kat, $AN104, 9+AQ104), 0)</f>
        <v>0</v>
      </c>
      <c r="AT104" s="246"/>
      <c r="AU104" s="262"/>
      <c r="AV104" s="262"/>
      <c r="AW104" s="263"/>
      <c r="AX104" s="263"/>
      <c r="AY104" s="263"/>
      <c r="AZ104" s="263"/>
      <c r="BA104" s="263"/>
      <c r="BB104" s="263"/>
      <c r="BC104" s="263"/>
      <c r="BD104" s="263"/>
      <c r="BE104" s="263"/>
      <c r="BF104" s="263"/>
      <c r="BG104" s="263"/>
      <c r="BH104" s="246"/>
      <c r="BI104" s="228" cm="1">
        <f t="array" ref="BI104">INDEX(Use, $AH104, 4)</f>
        <v>7</v>
      </c>
      <c r="BJ104" s="228">
        <f t="shared" si="304"/>
        <v>32</v>
      </c>
      <c r="BK104" s="228">
        <f t="shared" si="305"/>
        <v>13</v>
      </c>
      <c r="BL104" s="228">
        <f t="shared" si="306"/>
        <v>0</v>
      </c>
      <c r="BM104" s="233" cm="1">
        <f t="array" ref="BM104">L104/IF($M104&gt;0, INDEX($AY$22:$BE$76, $M104+20, $AH104), 1)</f>
        <v>0</v>
      </c>
      <c r="BN104" s="229">
        <f t="shared" si="307"/>
        <v>0</v>
      </c>
      <c r="BO104" s="228">
        <v>35</v>
      </c>
      <c r="BP104" s="229">
        <f t="shared" si="308"/>
        <v>48</v>
      </c>
      <c r="BQ104" s="234">
        <f t="shared" si="309"/>
        <v>3.0748170731707316</v>
      </c>
      <c r="BR104" s="234" cm="1">
        <f t="array" ref="BR104">$BM104 * SUMPRODUCT(INDEX($AV$76:$AX$81,,$AI104),INDEX($AY$76:$BE$81,,$AH104), N($AU$76:$AU$81&gt;$AM104)) / BQ104 / 1000</f>
        <v>0</v>
      </c>
      <c r="BS104" s="231">
        <f t="shared" si="310"/>
        <v>30</v>
      </c>
      <c r="BT104" s="229">
        <f t="shared" si="311"/>
        <v>43</v>
      </c>
      <c r="BU104" s="234">
        <f t="shared" si="312"/>
        <v>3.5018750000000001</v>
      </c>
      <c r="BV104" s="234" cm="1">
        <f t="array" ref="BV104">$BM104 * IF($AH104&lt;=2,
SUMPRODUCT(INDEX($AV$71:$AX$75,,$AI104), INDEX($AY$71:$BE$75,,$AH104), 1 / ($BF$71:$BF$75*BU104 + (1-$BF$71:$BF$75)*BQ104), N($AU$71:$AU$75&gt;$AM104)),
SUMPRODUCT(INDEX($AV$66:$AX$75,,$AI104), INDEX($AY$66:$BE$75,,$AH104), 1 / ($BG$66:$BG$75*BU104 + (1-$BG$66:$BG$75)*BQ104), N($AU$66:$AU$75&gt;$AM104))
) / 1000</f>
        <v>0</v>
      </c>
      <c r="BW104" s="231">
        <f t="shared" si="313"/>
        <v>25</v>
      </c>
      <c r="BX104" s="229">
        <f t="shared" si="314"/>
        <v>38</v>
      </c>
      <c r="BY104" s="234">
        <f t="shared" si="315"/>
        <v>4.0666935483870965</v>
      </c>
      <c r="BZ104" s="234" cm="1">
        <f t="array" ref="BZ104">$BM104 * IF($AH104&lt;=2,
SUMPRODUCT(INDEX($AV$66:$AX$70,,$AI104), INDEX($AY$66:$BE$70,,$AH104), 1 / ($BF$66:$BF$70*BY104 + (1-$BF$66:$BF$70)*BU104), N($AU$66:$AU$70&gt;$AM104)),
SUMPRODUCT(INDEX($AV$56:$AX$65,,$AI104), INDEX($AY$56:$BE$65,,$AH104), 1 / ($BG$56:$BG$65*BY104 + (1-$BG$56:$BG$65)*BU104), N($AU$56:$AU$65&gt;$AM104))
) / 1000</f>
        <v>0</v>
      </c>
      <c r="CA104" s="231">
        <f t="shared" si="316"/>
        <v>20</v>
      </c>
      <c r="CB104" s="229">
        <f t="shared" si="317"/>
        <v>33</v>
      </c>
      <c r="CC104" s="234">
        <f t="shared" si="318"/>
        <v>4.8487499999999999</v>
      </c>
      <c r="CD104" s="234" cm="1">
        <f t="array" ref="CD104">$BM104 * IF($AH104&lt;=2,
SUMPRODUCT(INDEX($AV$61:$AX$65,,$AI104), INDEX($AY$61:$BE$65,,$AH104), 1 / ($BF$61:$BF$65*CC104 + (1-$BF$61:$BF$65)*BY104), N($AU$61:$AU$65&gt;$AM104)),
SUMPRODUCT(INDEX($AV$46:$AX$55,,$AI104), INDEX($AY$46:$BE$55,,$AH104), 1 / ($BG$46:$BG$55*CC104 + (1-$BG$46:$BG$55)*BY104), N($AU$46:$AU$55&gt;$AM104))
) / 1000</f>
        <v>0</v>
      </c>
      <c r="CE104" s="234" cm="1">
        <f t="array" ref="CE104">$BM104 * IF($AH104&lt;=2,
SUMPRODUCT(INDEX($AV$22:$AX$60,,$AI104), INDEX($AY$22:$BE$60,,$AH104), 1 / ($BF$22:$BF$60*CC104), N($AU$22:$AU$60&gt;$AM104)),
SUMPRODUCT(INDEX($AV$22:$AX$45,,$AI104), INDEX($AY$22:$BE$45,,$AH104), 1 / ($BG$22:$BG$45*CC104), N($AU$22:$AU$45&gt;$AM104))
) / 1000</f>
        <v>0</v>
      </c>
      <c r="CF104" s="229">
        <f t="shared" si="319"/>
        <v>0</v>
      </c>
      <c r="CG104" s="246"/>
      <c r="CH104" s="229">
        <f t="shared" si="320"/>
        <v>0</v>
      </c>
      <c r="CI104" s="228">
        <v>35</v>
      </c>
      <c r="CJ104" s="229">
        <f t="shared" si="321"/>
        <v>48</v>
      </c>
      <c r="CK104" s="234">
        <f t="shared" si="322"/>
        <v>3.0748170731707316</v>
      </c>
      <c r="CL104" s="234" cm="1">
        <f t="array" ref="CL104">$BM104 * SUMPRODUCT(INDEX($AV$76:$AX$81,,$AI104),INDEX($AY$76:$BE$81,,$AH104), N($AU$76:$AU$81&gt;$AM104)) / CK104 / 1000</f>
        <v>0</v>
      </c>
      <c r="CM104" s="231">
        <f t="shared" si="323"/>
        <v>30</v>
      </c>
      <c r="CN104" s="229">
        <f t="shared" si="324"/>
        <v>43</v>
      </c>
      <c r="CO104" s="234">
        <f t="shared" si="325"/>
        <v>3.5018750000000001</v>
      </c>
      <c r="CP104" s="234" cm="1">
        <f t="array" ref="CP104">$BM104 * IF($AH104&lt;=2,
SUMPRODUCT(INDEX($AV$71:$AX$75,,$AI104), INDEX($AY$71:$BE$75,,$AH104), 1 / ($BF$71:$BF$75*CO104 + (1-$BF$71:$BF$75)*CK104), N($AU$71:$AU$75&gt;$AM104)),
SUMPRODUCT(INDEX($AV$66:$AX$75,,$AI104), INDEX($AY$66:$BE$75,,$AH104), 1 / ($BG$66:$BG$75*CO104 + (1-$BG$66:$BG$75)*CK104), N($AU$66:$AU$75&gt;$AM104))
) / 1000</f>
        <v>0</v>
      </c>
      <c r="CQ104" s="231">
        <f t="shared" si="326"/>
        <v>25</v>
      </c>
      <c r="CR104" s="229">
        <f t="shared" si="327"/>
        <v>38</v>
      </c>
      <c r="CS104" s="234">
        <f t="shared" si="328"/>
        <v>4.0666935483870965</v>
      </c>
      <c r="CT104" s="234" cm="1">
        <f t="array" ref="CT104">$BM104 * IF($AH104&lt;=2,
SUMPRODUCT(INDEX($AV$66:$AX$70,,$AI104), INDEX($AY$66:$BE$70,,$AH104), 1 / ($BF$66:$BF$70*CS104 + (1-$BF$66:$BF$70)*CO104), N($AU$66:$AU$70&gt;$AM104)),
SUMPRODUCT(INDEX($AV$56:$AX$65,,$AI104), INDEX($AY$56:$BE$65,,$AH104), 1 / ($BG$56:$BG$65*CS104 + (1-$BG$56:$BG$65)*CO104), N($AU$56:$AU$65&gt;$AM104))
) / 1000</f>
        <v>0</v>
      </c>
      <c r="CU104" s="231">
        <f t="shared" si="329"/>
        <v>20</v>
      </c>
      <c r="CV104" s="229">
        <f t="shared" si="330"/>
        <v>33</v>
      </c>
      <c r="CW104" s="234">
        <f t="shared" si="331"/>
        <v>4.8487499999999999</v>
      </c>
      <c r="CX104" s="234" cm="1">
        <f t="array" ref="CX104">$BM104 * IF($AH104&lt;=2,
SUMPRODUCT(INDEX($AV$61:$AX$65,,$AI104), INDEX($AY$61:$BE$65,,$AH104), 1 / ($BF$61:$BF$65*CW104 + (1-$BF$61:$BF$65)*CS104), N($AU$61:$AU$65&gt;$AM104)),
SUMPRODUCT(INDEX($AV$46:$AX$55,,$AI104), INDEX($AY$46:$BE$55,,$AH104), 1 / ($BG$46:$BG$55*CW104 + (1-$BG$46:$BG$55)*CS104), N($AU$46:$AU$55&gt;$AM104))
) / 1000</f>
        <v>0</v>
      </c>
      <c r="CY104" s="234" cm="1">
        <f t="array" ref="CY104">$BM104 * IF($AH104&lt;=2,
SUMPRODUCT(INDEX($AV$22:$AX$60,,$AI104), INDEX($AY$22:$BE$60,,$AH104), 1 / ($BF$22:$BF$60*CW104), N($AU$22:$AU$60&gt;$AM104)),
SUMPRODUCT(INDEX($AV$22:$AX$45,,$AI104), INDEX($AY$22:$BE$45,,$AH104), 1 / ($BG$22:$BG$45*CW104), N($AU$22:$AU$45&gt;$AM104))
) / 1000</f>
        <v>0</v>
      </c>
      <c r="CZ104" s="229">
        <f t="shared" si="332"/>
        <v>0</v>
      </c>
      <c r="DA104" s="246"/>
    </row>
    <row r="105" spans="1:105" s="75" customFormat="1" ht="14.25" customHeight="1" x14ac:dyDescent="0.2">
      <c r="A105" s="230" t="b">
        <f t="shared" si="291"/>
        <v>0</v>
      </c>
      <c r="B105" s="253">
        <v>84</v>
      </c>
      <c r="C105" s="266"/>
      <c r="D105" s="266"/>
      <c r="E105" s="254"/>
      <c r="F105" s="255" t="str">
        <f>IF(ISBLANK(E105), "", VLOOKUP(E105, Z!$A$2:$C$4127, 3, FALSE))</f>
        <v/>
      </c>
      <c r="G105" s="256"/>
      <c r="H105" s="256"/>
      <c r="I105" s="256"/>
      <c r="J105" s="257"/>
      <c r="K105" s="258"/>
      <c r="L105" s="267"/>
      <c r="M105" s="268"/>
      <c r="N105" s="259" t="str" cm="1">
        <f t="array" ref="N105">IF($L105&gt;0, INDEX(Clean,1+AK105,$D$1), "")</f>
        <v/>
      </c>
      <c r="O105" s="260"/>
      <c r="P105" s="260"/>
      <c r="Q105" s="261"/>
      <c r="R105" s="264">
        <f t="shared" si="297"/>
        <v>0</v>
      </c>
      <c r="S105" s="259" t="str" cm="1">
        <f t="array" ref="S105">IF($L105&gt;0, INDEX(Clean,1+AL105,$D$1), "")</f>
        <v/>
      </c>
      <c r="T105" s="260"/>
      <c r="U105" s="260"/>
      <c r="V105" s="261"/>
      <c r="W105" s="267"/>
      <c r="X105" s="267"/>
      <c r="Y105" s="257"/>
      <c r="Z105" s="264">
        <f t="shared" si="298"/>
        <v>0</v>
      </c>
      <c r="AA105" s="269"/>
      <c r="AB105" s="266"/>
      <c r="AC105" s="254"/>
      <c r="AD105" s="255" t="str">
        <f>IF(ISBLANK(AC105), "", VLOOKUP(AC105, Z!$A$2:$C$4127, 3, FALSE))</f>
        <v/>
      </c>
      <c r="AE105" s="270"/>
      <c r="AF105" s="265">
        <f t="shared" si="299"/>
        <v>0</v>
      </c>
      <c r="AG105" s="246"/>
      <c r="AH105" s="228">
        <f t="shared" ref="AH105" si="401">IF(ISBLANK(I105), 1, IFERROR(MATCH(I105, INDEX(Use,,1), 0), IFERROR(MATCH(I105, INDEX(Use,,2), 0), MATCH(I105, INDEX(Use,,3), 0))))</f>
        <v>1</v>
      </c>
      <c r="AI105" s="228">
        <f t="shared" ref="AI105" si="402">IF(ISBLANK(H105), 1, IFERROR(MATCH(H105, INDEX(Loc,,1), 0), IFERROR(MATCH(H105, INDEX(Loc,,2), 0), MATCH(H105, INDEX(Loc,,3), 0))))</f>
        <v>1</v>
      </c>
      <c r="AJ105" s="228">
        <f t="shared" ref="AJ105" si="403">_xlfn.IFNA(IF(IFERROR(MATCH(J105, INDEX(Medium,,1), 0), IFERROR(MATCH(J105, INDEX(Medium,,2), 0), MATCH(J105, INDEX(Medium,,3), 0))) = 2, 1, 0), 0)</f>
        <v>0</v>
      </c>
      <c r="AK105" s="228">
        <v>0</v>
      </c>
      <c r="AL105" s="228">
        <v>0</v>
      </c>
      <c r="AM105" s="228">
        <f t="shared" si="295"/>
        <v>-100</v>
      </c>
      <c r="AN105" s="228" cm="1">
        <f t="array" ref="AN105">IF(ISBLANK(G105), 1, IFERROR(MATCH(G105, INDEX(Kat,,1), 0), IFERROR(MATCH(Kat, INDEX(Use,,2), 0), MATCH(Kat, INDEX(Use,,3), 0))))</f>
        <v>1</v>
      </c>
      <c r="AO105" s="246"/>
      <c r="AP105" s="228" cm="1">
        <f t="array" ref="AP105">IF(W105&gt;0, INDEX(Kat, AN105,4), 0)</f>
        <v>0</v>
      </c>
      <c r="AQ105" s="228">
        <f t="shared" ref="AQ105" si="404">IF(ISBLANK(Y105), 0, IFERROR(MATCH(Y105, INDEX(Month,,1), 0), IFERROR(MATCH(Y105, INDEX(Month,,2), 0), MATCH(Y105, INDEX(Month,,3), 0))))</f>
        <v>0</v>
      </c>
      <c r="AR105" s="228" cm="1">
        <f t="array" ref="AR105">IF(X105&gt;0, INDEX(Kat, $AN105, 4+AQ105), 0)</f>
        <v>0</v>
      </c>
      <c r="AS105" s="228" cm="1">
        <f t="array" ref="AS105">IF(X105&gt;0, INDEX(Kat, $AN105, 9+AQ105), 0)</f>
        <v>0</v>
      </c>
      <c r="AT105" s="246"/>
      <c r="AU105" s="262"/>
      <c r="AV105" s="262"/>
      <c r="AW105" s="263"/>
      <c r="AX105" s="263"/>
      <c r="AY105" s="263"/>
      <c r="AZ105" s="263"/>
      <c r="BA105" s="263"/>
      <c r="BB105" s="263"/>
      <c r="BC105" s="263"/>
      <c r="BD105" s="263"/>
      <c r="BE105" s="263"/>
      <c r="BF105" s="263"/>
      <c r="BG105" s="263"/>
      <c r="BH105" s="246"/>
      <c r="BI105" s="228" cm="1">
        <f t="array" ref="BI105">INDEX(Use, $AH105, 4)</f>
        <v>7</v>
      </c>
      <c r="BJ105" s="228">
        <f t="shared" si="304"/>
        <v>32</v>
      </c>
      <c r="BK105" s="228">
        <f t="shared" si="305"/>
        <v>13</v>
      </c>
      <c r="BL105" s="228">
        <f t="shared" si="306"/>
        <v>0</v>
      </c>
      <c r="BM105" s="233" cm="1">
        <f t="array" ref="BM105">L105/IF($M105&gt;0, INDEX($AY$22:$BE$76, $M105+20, $AH105), 1)</f>
        <v>0</v>
      </c>
      <c r="BN105" s="229">
        <f t="shared" si="307"/>
        <v>0</v>
      </c>
      <c r="BO105" s="228">
        <v>35</v>
      </c>
      <c r="BP105" s="229">
        <f t="shared" si="308"/>
        <v>48</v>
      </c>
      <c r="BQ105" s="234">
        <f t="shared" si="309"/>
        <v>3.0748170731707316</v>
      </c>
      <c r="BR105" s="234" cm="1">
        <f t="array" ref="BR105">$BM105 * SUMPRODUCT(INDEX($AV$76:$AX$81,,$AI105),INDEX($AY$76:$BE$81,,$AH105), N($AU$76:$AU$81&gt;$AM105)) / BQ105 / 1000</f>
        <v>0</v>
      </c>
      <c r="BS105" s="231">
        <f t="shared" si="310"/>
        <v>30</v>
      </c>
      <c r="BT105" s="229">
        <f t="shared" si="311"/>
        <v>43</v>
      </c>
      <c r="BU105" s="234">
        <f t="shared" si="312"/>
        <v>3.5018750000000001</v>
      </c>
      <c r="BV105" s="234" cm="1">
        <f t="array" ref="BV105">$BM105 * IF($AH105&lt;=2,
SUMPRODUCT(INDEX($AV$71:$AX$75,,$AI105), INDEX($AY$71:$BE$75,,$AH105), 1 / ($BF$71:$BF$75*BU105 + (1-$BF$71:$BF$75)*BQ105), N($AU$71:$AU$75&gt;$AM105)),
SUMPRODUCT(INDEX($AV$66:$AX$75,,$AI105), INDEX($AY$66:$BE$75,,$AH105), 1 / ($BG$66:$BG$75*BU105 + (1-$BG$66:$BG$75)*BQ105), N($AU$66:$AU$75&gt;$AM105))
) / 1000</f>
        <v>0</v>
      </c>
      <c r="BW105" s="231">
        <f t="shared" si="313"/>
        <v>25</v>
      </c>
      <c r="BX105" s="229">
        <f t="shared" si="314"/>
        <v>38</v>
      </c>
      <c r="BY105" s="234">
        <f t="shared" si="315"/>
        <v>4.0666935483870965</v>
      </c>
      <c r="BZ105" s="234" cm="1">
        <f t="array" ref="BZ105">$BM105 * IF($AH105&lt;=2,
SUMPRODUCT(INDEX($AV$66:$AX$70,,$AI105), INDEX($AY$66:$BE$70,,$AH105), 1 / ($BF$66:$BF$70*BY105 + (1-$BF$66:$BF$70)*BU105), N($AU$66:$AU$70&gt;$AM105)),
SUMPRODUCT(INDEX($AV$56:$AX$65,,$AI105), INDEX($AY$56:$BE$65,,$AH105), 1 / ($BG$56:$BG$65*BY105 + (1-$BG$56:$BG$65)*BU105), N($AU$56:$AU$65&gt;$AM105))
) / 1000</f>
        <v>0</v>
      </c>
      <c r="CA105" s="231">
        <f t="shared" si="316"/>
        <v>20</v>
      </c>
      <c r="CB105" s="229">
        <f t="shared" si="317"/>
        <v>33</v>
      </c>
      <c r="CC105" s="234">
        <f t="shared" si="318"/>
        <v>4.8487499999999999</v>
      </c>
      <c r="CD105" s="234" cm="1">
        <f t="array" ref="CD105">$BM105 * IF($AH105&lt;=2,
SUMPRODUCT(INDEX($AV$61:$AX$65,,$AI105), INDEX($AY$61:$BE$65,,$AH105), 1 / ($BF$61:$BF$65*CC105 + (1-$BF$61:$BF$65)*BY105), N($AU$61:$AU$65&gt;$AM105)),
SUMPRODUCT(INDEX($AV$46:$AX$55,,$AI105), INDEX($AY$46:$BE$55,,$AH105), 1 / ($BG$46:$BG$55*CC105 + (1-$BG$46:$BG$55)*BY105), N($AU$46:$AU$55&gt;$AM105))
) / 1000</f>
        <v>0</v>
      </c>
      <c r="CE105" s="234" cm="1">
        <f t="array" ref="CE105">$BM105 * IF($AH105&lt;=2,
SUMPRODUCT(INDEX($AV$22:$AX$60,,$AI105), INDEX($AY$22:$BE$60,,$AH105), 1 / ($BF$22:$BF$60*CC105), N($AU$22:$AU$60&gt;$AM105)),
SUMPRODUCT(INDEX($AV$22:$AX$45,,$AI105), INDEX($AY$22:$BE$45,,$AH105), 1 / ($BG$22:$BG$45*CC105), N($AU$22:$AU$45&gt;$AM105))
) / 1000</f>
        <v>0</v>
      </c>
      <c r="CF105" s="229">
        <f t="shared" si="319"/>
        <v>0</v>
      </c>
      <c r="CG105" s="246"/>
      <c r="CH105" s="229">
        <f t="shared" si="320"/>
        <v>0</v>
      </c>
      <c r="CI105" s="228">
        <v>35</v>
      </c>
      <c r="CJ105" s="229">
        <f t="shared" si="321"/>
        <v>48</v>
      </c>
      <c r="CK105" s="234">
        <f t="shared" si="322"/>
        <v>3.0748170731707316</v>
      </c>
      <c r="CL105" s="234" cm="1">
        <f t="array" ref="CL105">$BM105 * SUMPRODUCT(INDEX($AV$76:$AX$81,,$AI105),INDEX($AY$76:$BE$81,,$AH105), N($AU$76:$AU$81&gt;$AM105)) / CK105 / 1000</f>
        <v>0</v>
      </c>
      <c r="CM105" s="231">
        <f t="shared" si="323"/>
        <v>30</v>
      </c>
      <c r="CN105" s="229">
        <f t="shared" si="324"/>
        <v>43</v>
      </c>
      <c r="CO105" s="234">
        <f t="shared" si="325"/>
        <v>3.5018750000000001</v>
      </c>
      <c r="CP105" s="234" cm="1">
        <f t="array" ref="CP105">$BM105 * IF($AH105&lt;=2,
SUMPRODUCT(INDEX($AV$71:$AX$75,,$AI105), INDEX($AY$71:$BE$75,,$AH105), 1 / ($BF$71:$BF$75*CO105 + (1-$BF$71:$BF$75)*CK105), N($AU$71:$AU$75&gt;$AM105)),
SUMPRODUCT(INDEX($AV$66:$AX$75,,$AI105), INDEX($AY$66:$BE$75,,$AH105), 1 / ($BG$66:$BG$75*CO105 + (1-$BG$66:$BG$75)*CK105), N($AU$66:$AU$75&gt;$AM105))
) / 1000</f>
        <v>0</v>
      </c>
      <c r="CQ105" s="231">
        <f t="shared" si="326"/>
        <v>25</v>
      </c>
      <c r="CR105" s="229">
        <f t="shared" si="327"/>
        <v>38</v>
      </c>
      <c r="CS105" s="234">
        <f t="shared" si="328"/>
        <v>4.0666935483870965</v>
      </c>
      <c r="CT105" s="234" cm="1">
        <f t="array" ref="CT105">$BM105 * IF($AH105&lt;=2,
SUMPRODUCT(INDEX($AV$66:$AX$70,,$AI105), INDEX($AY$66:$BE$70,,$AH105), 1 / ($BF$66:$BF$70*CS105 + (1-$BF$66:$BF$70)*CO105), N($AU$66:$AU$70&gt;$AM105)),
SUMPRODUCT(INDEX($AV$56:$AX$65,,$AI105), INDEX($AY$56:$BE$65,,$AH105), 1 / ($BG$56:$BG$65*CS105 + (1-$BG$56:$BG$65)*CO105), N($AU$56:$AU$65&gt;$AM105))
) / 1000</f>
        <v>0</v>
      </c>
      <c r="CU105" s="231">
        <f t="shared" si="329"/>
        <v>20</v>
      </c>
      <c r="CV105" s="229">
        <f t="shared" si="330"/>
        <v>33</v>
      </c>
      <c r="CW105" s="234">
        <f t="shared" si="331"/>
        <v>4.8487499999999999</v>
      </c>
      <c r="CX105" s="234" cm="1">
        <f t="array" ref="CX105">$BM105 * IF($AH105&lt;=2,
SUMPRODUCT(INDEX($AV$61:$AX$65,,$AI105), INDEX($AY$61:$BE$65,,$AH105), 1 / ($BF$61:$BF$65*CW105 + (1-$BF$61:$BF$65)*CS105), N($AU$61:$AU$65&gt;$AM105)),
SUMPRODUCT(INDEX($AV$46:$AX$55,,$AI105), INDEX($AY$46:$BE$55,,$AH105), 1 / ($BG$46:$BG$55*CW105 + (1-$BG$46:$BG$55)*CS105), N($AU$46:$AU$55&gt;$AM105))
) / 1000</f>
        <v>0</v>
      </c>
      <c r="CY105" s="234" cm="1">
        <f t="array" ref="CY105">$BM105 * IF($AH105&lt;=2,
SUMPRODUCT(INDEX($AV$22:$AX$60,,$AI105), INDEX($AY$22:$BE$60,,$AH105), 1 / ($BF$22:$BF$60*CW105), N($AU$22:$AU$60&gt;$AM105)),
SUMPRODUCT(INDEX($AV$22:$AX$45,,$AI105), INDEX($AY$22:$BE$45,,$AH105), 1 / ($BG$22:$BG$45*CW105), N($AU$22:$AU$45&gt;$AM105))
) / 1000</f>
        <v>0</v>
      </c>
      <c r="CZ105" s="229">
        <f t="shared" si="332"/>
        <v>0</v>
      </c>
      <c r="DA105" s="246"/>
    </row>
    <row r="106" spans="1:105" s="75" customFormat="1" ht="14.25" customHeight="1" x14ac:dyDescent="0.2">
      <c r="A106" s="230" t="b">
        <f t="shared" si="291"/>
        <v>0</v>
      </c>
      <c r="B106" s="253">
        <v>85</v>
      </c>
      <c r="C106" s="266"/>
      <c r="D106" s="266"/>
      <c r="E106" s="254"/>
      <c r="F106" s="255" t="str">
        <f>IF(ISBLANK(E106), "", VLOOKUP(E106, Z!$A$2:$C$4127, 3, FALSE))</f>
        <v/>
      </c>
      <c r="G106" s="256"/>
      <c r="H106" s="256"/>
      <c r="I106" s="256"/>
      <c r="J106" s="257"/>
      <c r="K106" s="258"/>
      <c r="L106" s="267"/>
      <c r="M106" s="268"/>
      <c r="N106" s="259" t="str" cm="1">
        <f t="array" ref="N106">IF($L106&gt;0, INDEX(Clean,1+AK106,$D$1), "")</f>
        <v/>
      </c>
      <c r="O106" s="260"/>
      <c r="P106" s="260"/>
      <c r="Q106" s="261"/>
      <c r="R106" s="264">
        <f t="shared" si="297"/>
        <v>0</v>
      </c>
      <c r="S106" s="259" t="str" cm="1">
        <f t="array" ref="S106">IF($L106&gt;0, INDEX(Clean,1+AL106,$D$1), "")</f>
        <v/>
      </c>
      <c r="T106" s="260"/>
      <c r="U106" s="260"/>
      <c r="V106" s="261"/>
      <c r="W106" s="267"/>
      <c r="X106" s="267"/>
      <c r="Y106" s="257"/>
      <c r="Z106" s="264">
        <f t="shared" si="298"/>
        <v>0</v>
      </c>
      <c r="AA106" s="269"/>
      <c r="AB106" s="266"/>
      <c r="AC106" s="254"/>
      <c r="AD106" s="255" t="str">
        <f>IF(ISBLANK(AC106), "", VLOOKUP(AC106, Z!$A$2:$C$4127, 3, FALSE))</f>
        <v/>
      </c>
      <c r="AE106" s="270"/>
      <c r="AF106" s="265">
        <f t="shared" si="299"/>
        <v>0</v>
      </c>
      <c r="AG106" s="246"/>
      <c r="AH106" s="228">
        <f t="shared" ref="AH106" si="405">IF(ISBLANK(I106), 1, IFERROR(MATCH(I106, INDEX(Use,,1), 0), IFERROR(MATCH(I106, INDEX(Use,,2), 0), MATCH(I106, INDEX(Use,,3), 0))))</f>
        <v>1</v>
      </c>
      <c r="AI106" s="228">
        <f t="shared" ref="AI106" si="406">IF(ISBLANK(H106), 1, IFERROR(MATCH(H106, INDEX(Loc,,1), 0), IFERROR(MATCH(H106, INDEX(Loc,,2), 0), MATCH(H106, INDEX(Loc,,3), 0))))</f>
        <v>1</v>
      </c>
      <c r="AJ106" s="228">
        <f t="shared" ref="AJ106" si="407">_xlfn.IFNA(IF(IFERROR(MATCH(J106, INDEX(Medium,,1), 0), IFERROR(MATCH(J106, INDEX(Medium,,2), 0), MATCH(J106, INDEX(Medium,,3), 0))) = 2, 1, 0), 0)</f>
        <v>0</v>
      </c>
      <c r="AK106" s="228">
        <v>0</v>
      </c>
      <c r="AL106" s="228">
        <v>0</v>
      </c>
      <c r="AM106" s="228">
        <f t="shared" si="295"/>
        <v>-100</v>
      </c>
      <c r="AN106" s="228" cm="1">
        <f t="array" ref="AN106">IF(ISBLANK(G106), 1, IFERROR(MATCH(G106, INDEX(Kat,,1), 0), IFERROR(MATCH(Kat, INDEX(Use,,2), 0), MATCH(Kat, INDEX(Use,,3), 0))))</f>
        <v>1</v>
      </c>
      <c r="AO106" s="246"/>
      <c r="AP106" s="228" cm="1">
        <f t="array" ref="AP106">IF(W106&gt;0, INDEX(Kat, AN106,4), 0)</f>
        <v>0</v>
      </c>
      <c r="AQ106" s="228">
        <f t="shared" ref="AQ106" si="408">IF(ISBLANK(Y106), 0, IFERROR(MATCH(Y106, INDEX(Month,,1), 0), IFERROR(MATCH(Y106, INDEX(Month,,2), 0), MATCH(Y106, INDEX(Month,,3), 0))))</f>
        <v>0</v>
      </c>
      <c r="AR106" s="228" cm="1">
        <f t="array" ref="AR106">IF(X106&gt;0, INDEX(Kat, $AN106, 4+AQ106), 0)</f>
        <v>0</v>
      </c>
      <c r="AS106" s="228" cm="1">
        <f t="array" ref="AS106">IF(X106&gt;0, INDEX(Kat, $AN106, 9+AQ106), 0)</f>
        <v>0</v>
      </c>
      <c r="AT106" s="246"/>
      <c r="AU106" s="262"/>
      <c r="AV106" s="262"/>
      <c r="AW106" s="263"/>
      <c r="AX106" s="263"/>
      <c r="AY106" s="263"/>
      <c r="AZ106" s="263"/>
      <c r="BA106" s="263"/>
      <c r="BB106" s="263"/>
      <c r="BC106" s="263"/>
      <c r="BD106" s="263"/>
      <c r="BE106" s="263"/>
      <c r="BF106" s="263"/>
      <c r="BG106" s="263"/>
      <c r="BH106" s="246"/>
      <c r="BI106" s="228" cm="1">
        <f t="array" ref="BI106">INDEX(Use, $AH106, 4)</f>
        <v>7</v>
      </c>
      <c r="BJ106" s="228">
        <f t="shared" si="304"/>
        <v>32</v>
      </c>
      <c r="BK106" s="228">
        <f t="shared" si="305"/>
        <v>13</v>
      </c>
      <c r="BL106" s="228">
        <f t="shared" si="306"/>
        <v>0</v>
      </c>
      <c r="BM106" s="233" cm="1">
        <f t="array" ref="BM106">L106/IF($M106&gt;0, INDEX($AY$22:$BE$76, $M106+20, $AH106), 1)</f>
        <v>0</v>
      </c>
      <c r="BN106" s="229">
        <f t="shared" si="307"/>
        <v>0</v>
      </c>
      <c r="BO106" s="228">
        <v>35</v>
      </c>
      <c r="BP106" s="229">
        <f t="shared" si="308"/>
        <v>48</v>
      </c>
      <c r="BQ106" s="234">
        <f t="shared" si="309"/>
        <v>3.0748170731707316</v>
      </c>
      <c r="BR106" s="234" cm="1">
        <f t="array" ref="BR106">$BM106 * SUMPRODUCT(INDEX($AV$76:$AX$81,,$AI106),INDEX($AY$76:$BE$81,,$AH106), N($AU$76:$AU$81&gt;$AM106)) / BQ106 / 1000</f>
        <v>0</v>
      </c>
      <c r="BS106" s="231">
        <f t="shared" si="310"/>
        <v>30</v>
      </c>
      <c r="BT106" s="229">
        <f t="shared" si="311"/>
        <v>43</v>
      </c>
      <c r="BU106" s="234">
        <f t="shared" si="312"/>
        <v>3.5018750000000001</v>
      </c>
      <c r="BV106" s="234" cm="1">
        <f t="array" ref="BV106">$BM106 * IF($AH106&lt;=2,
SUMPRODUCT(INDEX($AV$71:$AX$75,,$AI106), INDEX($AY$71:$BE$75,,$AH106), 1 / ($BF$71:$BF$75*BU106 + (1-$BF$71:$BF$75)*BQ106), N($AU$71:$AU$75&gt;$AM106)),
SUMPRODUCT(INDEX($AV$66:$AX$75,,$AI106), INDEX($AY$66:$BE$75,,$AH106), 1 / ($BG$66:$BG$75*BU106 + (1-$BG$66:$BG$75)*BQ106), N($AU$66:$AU$75&gt;$AM106))
) / 1000</f>
        <v>0</v>
      </c>
      <c r="BW106" s="231">
        <f t="shared" si="313"/>
        <v>25</v>
      </c>
      <c r="BX106" s="229">
        <f t="shared" si="314"/>
        <v>38</v>
      </c>
      <c r="BY106" s="234">
        <f t="shared" si="315"/>
        <v>4.0666935483870965</v>
      </c>
      <c r="BZ106" s="234" cm="1">
        <f t="array" ref="BZ106">$BM106 * IF($AH106&lt;=2,
SUMPRODUCT(INDEX($AV$66:$AX$70,,$AI106), INDEX($AY$66:$BE$70,,$AH106), 1 / ($BF$66:$BF$70*BY106 + (1-$BF$66:$BF$70)*BU106), N($AU$66:$AU$70&gt;$AM106)),
SUMPRODUCT(INDEX($AV$56:$AX$65,,$AI106), INDEX($AY$56:$BE$65,,$AH106), 1 / ($BG$56:$BG$65*BY106 + (1-$BG$56:$BG$65)*BU106), N($AU$56:$AU$65&gt;$AM106))
) / 1000</f>
        <v>0</v>
      </c>
      <c r="CA106" s="231">
        <f t="shared" si="316"/>
        <v>20</v>
      </c>
      <c r="CB106" s="229">
        <f t="shared" si="317"/>
        <v>33</v>
      </c>
      <c r="CC106" s="234">
        <f t="shared" si="318"/>
        <v>4.8487499999999999</v>
      </c>
      <c r="CD106" s="234" cm="1">
        <f t="array" ref="CD106">$BM106 * IF($AH106&lt;=2,
SUMPRODUCT(INDEX($AV$61:$AX$65,,$AI106), INDEX($AY$61:$BE$65,,$AH106), 1 / ($BF$61:$BF$65*CC106 + (1-$BF$61:$BF$65)*BY106), N($AU$61:$AU$65&gt;$AM106)),
SUMPRODUCT(INDEX($AV$46:$AX$55,,$AI106), INDEX($AY$46:$BE$55,,$AH106), 1 / ($BG$46:$BG$55*CC106 + (1-$BG$46:$BG$55)*BY106), N($AU$46:$AU$55&gt;$AM106))
) / 1000</f>
        <v>0</v>
      </c>
      <c r="CE106" s="234" cm="1">
        <f t="array" ref="CE106">$BM106 * IF($AH106&lt;=2,
SUMPRODUCT(INDEX($AV$22:$AX$60,,$AI106), INDEX($AY$22:$BE$60,,$AH106), 1 / ($BF$22:$BF$60*CC106), N($AU$22:$AU$60&gt;$AM106)),
SUMPRODUCT(INDEX($AV$22:$AX$45,,$AI106), INDEX($AY$22:$BE$45,,$AH106), 1 / ($BG$22:$BG$45*CC106), N($AU$22:$AU$45&gt;$AM106))
) / 1000</f>
        <v>0</v>
      </c>
      <c r="CF106" s="229">
        <f t="shared" si="319"/>
        <v>0</v>
      </c>
      <c r="CG106" s="246"/>
      <c r="CH106" s="229">
        <f t="shared" si="320"/>
        <v>0</v>
      </c>
      <c r="CI106" s="228">
        <v>35</v>
      </c>
      <c r="CJ106" s="229">
        <f t="shared" si="321"/>
        <v>48</v>
      </c>
      <c r="CK106" s="234">
        <f t="shared" si="322"/>
        <v>3.0748170731707316</v>
      </c>
      <c r="CL106" s="234" cm="1">
        <f t="array" ref="CL106">$BM106 * SUMPRODUCT(INDEX($AV$76:$AX$81,,$AI106),INDEX($AY$76:$BE$81,,$AH106), N($AU$76:$AU$81&gt;$AM106)) / CK106 / 1000</f>
        <v>0</v>
      </c>
      <c r="CM106" s="231">
        <f t="shared" si="323"/>
        <v>30</v>
      </c>
      <c r="CN106" s="229">
        <f t="shared" si="324"/>
        <v>43</v>
      </c>
      <c r="CO106" s="234">
        <f t="shared" si="325"/>
        <v>3.5018750000000001</v>
      </c>
      <c r="CP106" s="234" cm="1">
        <f t="array" ref="CP106">$BM106 * IF($AH106&lt;=2,
SUMPRODUCT(INDEX($AV$71:$AX$75,,$AI106), INDEX($AY$71:$BE$75,,$AH106), 1 / ($BF$71:$BF$75*CO106 + (1-$BF$71:$BF$75)*CK106), N($AU$71:$AU$75&gt;$AM106)),
SUMPRODUCT(INDEX($AV$66:$AX$75,,$AI106), INDEX($AY$66:$BE$75,,$AH106), 1 / ($BG$66:$BG$75*CO106 + (1-$BG$66:$BG$75)*CK106), N($AU$66:$AU$75&gt;$AM106))
) / 1000</f>
        <v>0</v>
      </c>
      <c r="CQ106" s="231">
        <f t="shared" si="326"/>
        <v>25</v>
      </c>
      <c r="CR106" s="229">
        <f t="shared" si="327"/>
        <v>38</v>
      </c>
      <c r="CS106" s="234">
        <f t="shared" si="328"/>
        <v>4.0666935483870965</v>
      </c>
      <c r="CT106" s="234" cm="1">
        <f t="array" ref="CT106">$BM106 * IF($AH106&lt;=2,
SUMPRODUCT(INDEX($AV$66:$AX$70,,$AI106), INDEX($AY$66:$BE$70,,$AH106), 1 / ($BF$66:$BF$70*CS106 + (1-$BF$66:$BF$70)*CO106), N($AU$66:$AU$70&gt;$AM106)),
SUMPRODUCT(INDEX($AV$56:$AX$65,,$AI106), INDEX($AY$56:$BE$65,,$AH106), 1 / ($BG$56:$BG$65*CS106 + (1-$BG$56:$BG$65)*CO106), N($AU$56:$AU$65&gt;$AM106))
) / 1000</f>
        <v>0</v>
      </c>
      <c r="CU106" s="231">
        <f t="shared" si="329"/>
        <v>20</v>
      </c>
      <c r="CV106" s="229">
        <f t="shared" si="330"/>
        <v>33</v>
      </c>
      <c r="CW106" s="234">
        <f t="shared" si="331"/>
        <v>4.8487499999999999</v>
      </c>
      <c r="CX106" s="234" cm="1">
        <f t="array" ref="CX106">$BM106 * IF($AH106&lt;=2,
SUMPRODUCT(INDEX($AV$61:$AX$65,,$AI106), INDEX($AY$61:$BE$65,,$AH106), 1 / ($BF$61:$BF$65*CW106 + (1-$BF$61:$BF$65)*CS106), N($AU$61:$AU$65&gt;$AM106)),
SUMPRODUCT(INDEX($AV$46:$AX$55,,$AI106), INDEX($AY$46:$BE$55,,$AH106), 1 / ($BG$46:$BG$55*CW106 + (1-$BG$46:$BG$55)*CS106), N($AU$46:$AU$55&gt;$AM106))
) / 1000</f>
        <v>0</v>
      </c>
      <c r="CY106" s="234" cm="1">
        <f t="array" ref="CY106">$BM106 * IF($AH106&lt;=2,
SUMPRODUCT(INDEX($AV$22:$AX$60,,$AI106), INDEX($AY$22:$BE$60,,$AH106), 1 / ($BF$22:$BF$60*CW106), N($AU$22:$AU$60&gt;$AM106)),
SUMPRODUCT(INDEX($AV$22:$AX$45,,$AI106), INDEX($AY$22:$BE$45,,$AH106), 1 / ($BG$22:$BG$45*CW106), N($AU$22:$AU$45&gt;$AM106))
) / 1000</f>
        <v>0</v>
      </c>
      <c r="CZ106" s="229">
        <f t="shared" si="332"/>
        <v>0</v>
      </c>
      <c r="DA106" s="246"/>
    </row>
    <row r="107" spans="1:105" s="75" customFormat="1" ht="14.25" customHeight="1" x14ac:dyDescent="0.2">
      <c r="A107" s="230" t="b">
        <f t="shared" si="291"/>
        <v>0</v>
      </c>
      <c r="B107" s="253">
        <v>86</v>
      </c>
      <c r="C107" s="266"/>
      <c r="D107" s="266"/>
      <c r="E107" s="254"/>
      <c r="F107" s="255" t="str">
        <f>IF(ISBLANK(E107), "", VLOOKUP(E107, Z!$A$2:$C$4127, 3, FALSE))</f>
        <v/>
      </c>
      <c r="G107" s="256"/>
      <c r="H107" s="256"/>
      <c r="I107" s="256"/>
      <c r="J107" s="257"/>
      <c r="K107" s="258"/>
      <c r="L107" s="267"/>
      <c r="M107" s="268"/>
      <c r="N107" s="259" t="str" cm="1">
        <f t="array" ref="N107">IF($L107&gt;0, INDEX(Clean,1+AK107,$D$1), "")</f>
        <v/>
      </c>
      <c r="O107" s="260"/>
      <c r="P107" s="260"/>
      <c r="Q107" s="261"/>
      <c r="R107" s="264">
        <f t="shared" si="297"/>
        <v>0</v>
      </c>
      <c r="S107" s="259" t="str" cm="1">
        <f t="array" ref="S107">IF($L107&gt;0, INDEX(Clean,1+AL107,$D$1), "")</f>
        <v/>
      </c>
      <c r="T107" s="260"/>
      <c r="U107" s="260"/>
      <c r="V107" s="261"/>
      <c r="W107" s="267"/>
      <c r="X107" s="267"/>
      <c r="Y107" s="257"/>
      <c r="Z107" s="264">
        <f t="shared" si="298"/>
        <v>0</v>
      </c>
      <c r="AA107" s="269"/>
      <c r="AB107" s="266"/>
      <c r="AC107" s="254"/>
      <c r="AD107" s="255" t="str">
        <f>IF(ISBLANK(AC107), "", VLOOKUP(AC107, Z!$A$2:$C$4127, 3, FALSE))</f>
        <v/>
      </c>
      <c r="AE107" s="270"/>
      <c r="AF107" s="265">
        <f t="shared" si="299"/>
        <v>0</v>
      </c>
      <c r="AG107" s="246"/>
      <c r="AH107" s="228">
        <f t="shared" ref="AH107" si="409">IF(ISBLANK(I107), 1, IFERROR(MATCH(I107, INDEX(Use,,1), 0), IFERROR(MATCH(I107, INDEX(Use,,2), 0), MATCH(I107, INDEX(Use,,3), 0))))</f>
        <v>1</v>
      </c>
      <c r="AI107" s="228">
        <f t="shared" ref="AI107" si="410">IF(ISBLANK(H107), 1, IFERROR(MATCH(H107, INDEX(Loc,,1), 0), IFERROR(MATCH(H107, INDEX(Loc,,2), 0), MATCH(H107, INDEX(Loc,,3), 0))))</f>
        <v>1</v>
      </c>
      <c r="AJ107" s="228">
        <f t="shared" ref="AJ107" si="411">_xlfn.IFNA(IF(IFERROR(MATCH(J107, INDEX(Medium,,1), 0), IFERROR(MATCH(J107, INDEX(Medium,,2), 0), MATCH(J107, INDEX(Medium,,3), 0))) = 2, 1, 0), 0)</f>
        <v>0</v>
      </c>
      <c r="AK107" s="228">
        <v>0</v>
      </c>
      <c r="AL107" s="228">
        <v>0</v>
      </c>
      <c r="AM107" s="228">
        <f t="shared" si="295"/>
        <v>-100</v>
      </c>
      <c r="AN107" s="228" cm="1">
        <f t="array" ref="AN107">IF(ISBLANK(G107), 1, IFERROR(MATCH(G107, INDEX(Kat,,1), 0), IFERROR(MATCH(Kat, INDEX(Use,,2), 0), MATCH(Kat, INDEX(Use,,3), 0))))</f>
        <v>1</v>
      </c>
      <c r="AO107" s="246"/>
      <c r="AP107" s="228" cm="1">
        <f t="array" ref="AP107">IF(W107&gt;0, INDEX(Kat, AN107,4), 0)</f>
        <v>0</v>
      </c>
      <c r="AQ107" s="228">
        <f t="shared" ref="AQ107" si="412">IF(ISBLANK(Y107), 0, IFERROR(MATCH(Y107, INDEX(Month,,1), 0), IFERROR(MATCH(Y107, INDEX(Month,,2), 0), MATCH(Y107, INDEX(Month,,3), 0))))</f>
        <v>0</v>
      </c>
      <c r="AR107" s="228" cm="1">
        <f t="array" ref="AR107">IF(X107&gt;0, INDEX(Kat, $AN107, 4+AQ107), 0)</f>
        <v>0</v>
      </c>
      <c r="AS107" s="228" cm="1">
        <f t="array" ref="AS107">IF(X107&gt;0, INDEX(Kat, $AN107, 9+AQ107), 0)</f>
        <v>0</v>
      </c>
      <c r="AT107" s="246"/>
      <c r="AU107" s="262"/>
      <c r="AV107" s="262"/>
      <c r="AW107" s="263"/>
      <c r="AX107" s="263"/>
      <c r="AY107" s="263"/>
      <c r="AZ107" s="263"/>
      <c r="BA107" s="263"/>
      <c r="BB107" s="263"/>
      <c r="BC107" s="263"/>
      <c r="BD107" s="263"/>
      <c r="BE107" s="263"/>
      <c r="BF107" s="263"/>
      <c r="BG107" s="263"/>
      <c r="BH107" s="246"/>
      <c r="BI107" s="228" cm="1">
        <f t="array" ref="BI107">INDEX(Use, $AH107, 4)</f>
        <v>7</v>
      </c>
      <c r="BJ107" s="228">
        <f t="shared" si="304"/>
        <v>32</v>
      </c>
      <c r="BK107" s="228">
        <f t="shared" si="305"/>
        <v>13</v>
      </c>
      <c r="BL107" s="228">
        <f t="shared" si="306"/>
        <v>0</v>
      </c>
      <c r="BM107" s="233" cm="1">
        <f t="array" ref="BM107">L107/IF($M107&gt;0, INDEX($AY$22:$BE$76, $M107+20, $AH107), 1)</f>
        <v>0</v>
      </c>
      <c r="BN107" s="229">
        <f t="shared" si="307"/>
        <v>0</v>
      </c>
      <c r="BO107" s="228">
        <v>35</v>
      </c>
      <c r="BP107" s="229">
        <f t="shared" si="308"/>
        <v>48</v>
      </c>
      <c r="BQ107" s="234">
        <f t="shared" si="309"/>
        <v>3.0748170731707316</v>
      </c>
      <c r="BR107" s="234" cm="1">
        <f t="array" ref="BR107">$BM107 * SUMPRODUCT(INDEX($AV$76:$AX$81,,$AI107),INDEX($AY$76:$BE$81,,$AH107), N($AU$76:$AU$81&gt;$AM107)) / BQ107 / 1000</f>
        <v>0</v>
      </c>
      <c r="BS107" s="231">
        <f t="shared" si="310"/>
        <v>30</v>
      </c>
      <c r="BT107" s="229">
        <f t="shared" si="311"/>
        <v>43</v>
      </c>
      <c r="BU107" s="234">
        <f t="shared" si="312"/>
        <v>3.5018750000000001</v>
      </c>
      <c r="BV107" s="234" cm="1">
        <f t="array" ref="BV107">$BM107 * IF($AH107&lt;=2,
SUMPRODUCT(INDEX($AV$71:$AX$75,,$AI107), INDEX($AY$71:$BE$75,,$AH107), 1 / ($BF$71:$BF$75*BU107 + (1-$BF$71:$BF$75)*BQ107), N($AU$71:$AU$75&gt;$AM107)),
SUMPRODUCT(INDEX($AV$66:$AX$75,,$AI107), INDEX($AY$66:$BE$75,,$AH107), 1 / ($BG$66:$BG$75*BU107 + (1-$BG$66:$BG$75)*BQ107), N($AU$66:$AU$75&gt;$AM107))
) / 1000</f>
        <v>0</v>
      </c>
      <c r="BW107" s="231">
        <f t="shared" si="313"/>
        <v>25</v>
      </c>
      <c r="BX107" s="229">
        <f t="shared" si="314"/>
        <v>38</v>
      </c>
      <c r="BY107" s="234">
        <f t="shared" si="315"/>
        <v>4.0666935483870965</v>
      </c>
      <c r="BZ107" s="234" cm="1">
        <f t="array" ref="BZ107">$BM107 * IF($AH107&lt;=2,
SUMPRODUCT(INDEX($AV$66:$AX$70,,$AI107), INDEX($AY$66:$BE$70,,$AH107), 1 / ($BF$66:$BF$70*BY107 + (1-$BF$66:$BF$70)*BU107), N($AU$66:$AU$70&gt;$AM107)),
SUMPRODUCT(INDEX($AV$56:$AX$65,,$AI107), INDEX($AY$56:$BE$65,,$AH107), 1 / ($BG$56:$BG$65*BY107 + (1-$BG$56:$BG$65)*BU107), N($AU$56:$AU$65&gt;$AM107))
) / 1000</f>
        <v>0</v>
      </c>
      <c r="CA107" s="231">
        <f t="shared" si="316"/>
        <v>20</v>
      </c>
      <c r="CB107" s="229">
        <f t="shared" si="317"/>
        <v>33</v>
      </c>
      <c r="CC107" s="234">
        <f t="shared" si="318"/>
        <v>4.8487499999999999</v>
      </c>
      <c r="CD107" s="234" cm="1">
        <f t="array" ref="CD107">$BM107 * IF($AH107&lt;=2,
SUMPRODUCT(INDEX($AV$61:$AX$65,,$AI107), INDEX($AY$61:$BE$65,,$AH107), 1 / ($BF$61:$BF$65*CC107 + (1-$BF$61:$BF$65)*BY107), N($AU$61:$AU$65&gt;$AM107)),
SUMPRODUCT(INDEX($AV$46:$AX$55,,$AI107), INDEX($AY$46:$BE$55,,$AH107), 1 / ($BG$46:$BG$55*CC107 + (1-$BG$46:$BG$55)*BY107), N($AU$46:$AU$55&gt;$AM107))
) / 1000</f>
        <v>0</v>
      </c>
      <c r="CE107" s="234" cm="1">
        <f t="array" ref="CE107">$BM107 * IF($AH107&lt;=2,
SUMPRODUCT(INDEX($AV$22:$AX$60,,$AI107), INDEX($AY$22:$BE$60,,$AH107), 1 / ($BF$22:$BF$60*CC107), N($AU$22:$AU$60&gt;$AM107)),
SUMPRODUCT(INDEX($AV$22:$AX$45,,$AI107), INDEX($AY$22:$BE$45,,$AH107), 1 / ($BG$22:$BG$45*CC107), N($AU$22:$AU$45&gt;$AM107))
) / 1000</f>
        <v>0</v>
      </c>
      <c r="CF107" s="229">
        <f t="shared" si="319"/>
        <v>0</v>
      </c>
      <c r="CG107" s="246"/>
      <c r="CH107" s="229">
        <f t="shared" si="320"/>
        <v>0</v>
      </c>
      <c r="CI107" s="228">
        <v>35</v>
      </c>
      <c r="CJ107" s="229">
        <f t="shared" si="321"/>
        <v>48</v>
      </c>
      <c r="CK107" s="234">
        <f t="shared" si="322"/>
        <v>3.0748170731707316</v>
      </c>
      <c r="CL107" s="234" cm="1">
        <f t="array" ref="CL107">$BM107 * SUMPRODUCT(INDEX($AV$76:$AX$81,,$AI107),INDEX($AY$76:$BE$81,,$AH107), N($AU$76:$AU$81&gt;$AM107)) / CK107 / 1000</f>
        <v>0</v>
      </c>
      <c r="CM107" s="231">
        <f t="shared" si="323"/>
        <v>30</v>
      </c>
      <c r="CN107" s="229">
        <f t="shared" si="324"/>
        <v>43</v>
      </c>
      <c r="CO107" s="234">
        <f t="shared" si="325"/>
        <v>3.5018750000000001</v>
      </c>
      <c r="CP107" s="234" cm="1">
        <f t="array" ref="CP107">$BM107 * IF($AH107&lt;=2,
SUMPRODUCT(INDEX($AV$71:$AX$75,,$AI107), INDEX($AY$71:$BE$75,,$AH107), 1 / ($BF$71:$BF$75*CO107 + (1-$BF$71:$BF$75)*CK107), N($AU$71:$AU$75&gt;$AM107)),
SUMPRODUCT(INDEX($AV$66:$AX$75,,$AI107), INDEX($AY$66:$BE$75,,$AH107), 1 / ($BG$66:$BG$75*CO107 + (1-$BG$66:$BG$75)*CK107), N($AU$66:$AU$75&gt;$AM107))
) / 1000</f>
        <v>0</v>
      </c>
      <c r="CQ107" s="231">
        <f t="shared" si="326"/>
        <v>25</v>
      </c>
      <c r="CR107" s="229">
        <f t="shared" si="327"/>
        <v>38</v>
      </c>
      <c r="CS107" s="234">
        <f t="shared" si="328"/>
        <v>4.0666935483870965</v>
      </c>
      <c r="CT107" s="234" cm="1">
        <f t="array" ref="CT107">$BM107 * IF($AH107&lt;=2,
SUMPRODUCT(INDEX($AV$66:$AX$70,,$AI107), INDEX($AY$66:$BE$70,,$AH107), 1 / ($BF$66:$BF$70*CS107 + (1-$BF$66:$BF$70)*CO107), N($AU$66:$AU$70&gt;$AM107)),
SUMPRODUCT(INDEX($AV$56:$AX$65,,$AI107), INDEX($AY$56:$BE$65,,$AH107), 1 / ($BG$56:$BG$65*CS107 + (1-$BG$56:$BG$65)*CO107), N($AU$56:$AU$65&gt;$AM107))
) / 1000</f>
        <v>0</v>
      </c>
      <c r="CU107" s="231">
        <f t="shared" si="329"/>
        <v>20</v>
      </c>
      <c r="CV107" s="229">
        <f t="shared" si="330"/>
        <v>33</v>
      </c>
      <c r="CW107" s="234">
        <f t="shared" si="331"/>
        <v>4.8487499999999999</v>
      </c>
      <c r="CX107" s="234" cm="1">
        <f t="array" ref="CX107">$BM107 * IF($AH107&lt;=2,
SUMPRODUCT(INDEX($AV$61:$AX$65,,$AI107), INDEX($AY$61:$BE$65,,$AH107), 1 / ($BF$61:$BF$65*CW107 + (1-$BF$61:$BF$65)*CS107), N($AU$61:$AU$65&gt;$AM107)),
SUMPRODUCT(INDEX($AV$46:$AX$55,,$AI107), INDEX($AY$46:$BE$55,,$AH107), 1 / ($BG$46:$BG$55*CW107 + (1-$BG$46:$BG$55)*CS107), N($AU$46:$AU$55&gt;$AM107))
) / 1000</f>
        <v>0</v>
      </c>
      <c r="CY107" s="234" cm="1">
        <f t="array" ref="CY107">$BM107 * IF($AH107&lt;=2,
SUMPRODUCT(INDEX($AV$22:$AX$60,,$AI107), INDEX($AY$22:$BE$60,,$AH107), 1 / ($BF$22:$BF$60*CW107), N($AU$22:$AU$60&gt;$AM107)),
SUMPRODUCT(INDEX($AV$22:$AX$45,,$AI107), INDEX($AY$22:$BE$45,,$AH107), 1 / ($BG$22:$BG$45*CW107), N($AU$22:$AU$45&gt;$AM107))
) / 1000</f>
        <v>0</v>
      </c>
      <c r="CZ107" s="229">
        <f t="shared" si="332"/>
        <v>0</v>
      </c>
      <c r="DA107" s="246"/>
    </row>
    <row r="108" spans="1:105" s="75" customFormat="1" ht="14.25" customHeight="1" x14ac:dyDescent="0.2">
      <c r="A108" s="230" t="b">
        <f t="shared" si="291"/>
        <v>0</v>
      </c>
      <c r="B108" s="253">
        <v>87</v>
      </c>
      <c r="C108" s="266"/>
      <c r="D108" s="266"/>
      <c r="E108" s="254"/>
      <c r="F108" s="255" t="str">
        <f>IF(ISBLANK(E108), "", VLOOKUP(E108, Z!$A$2:$C$4127, 3, FALSE))</f>
        <v/>
      </c>
      <c r="G108" s="256"/>
      <c r="H108" s="256"/>
      <c r="I108" s="256"/>
      <c r="J108" s="257"/>
      <c r="K108" s="258"/>
      <c r="L108" s="267"/>
      <c r="M108" s="268"/>
      <c r="N108" s="259" t="str" cm="1">
        <f t="array" ref="N108">IF($L108&gt;0, INDEX(Clean,1+AK108,$D$1), "")</f>
        <v/>
      </c>
      <c r="O108" s="260"/>
      <c r="P108" s="260"/>
      <c r="Q108" s="261"/>
      <c r="R108" s="264">
        <f t="shared" si="297"/>
        <v>0</v>
      </c>
      <c r="S108" s="259" t="str" cm="1">
        <f t="array" ref="S108">IF($L108&gt;0, INDEX(Clean,1+AL108,$D$1), "")</f>
        <v/>
      </c>
      <c r="T108" s="260"/>
      <c r="U108" s="260"/>
      <c r="V108" s="261"/>
      <c r="W108" s="267"/>
      <c r="X108" s="267"/>
      <c r="Y108" s="257"/>
      <c r="Z108" s="264">
        <f t="shared" si="298"/>
        <v>0</v>
      </c>
      <c r="AA108" s="269"/>
      <c r="AB108" s="266"/>
      <c r="AC108" s="254"/>
      <c r="AD108" s="255" t="str">
        <f>IF(ISBLANK(AC108), "", VLOOKUP(AC108, Z!$A$2:$C$4127, 3, FALSE))</f>
        <v/>
      </c>
      <c r="AE108" s="270"/>
      <c r="AF108" s="265">
        <f t="shared" si="299"/>
        <v>0</v>
      </c>
      <c r="AG108" s="246"/>
      <c r="AH108" s="228">
        <f t="shared" ref="AH108" si="413">IF(ISBLANK(I108), 1, IFERROR(MATCH(I108, INDEX(Use,,1), 0), IFERROR(MATCH(I108, INDEX(Use,,2), 0), MATCH(I108, INDEX(Use,,3), 0))))</f>
        <v>1</v>
      </c>
      <c r="AI108" s="228">
        <f t="shared" ref="AI108" si="414">IF(ISBLANK(H108), 1, IFERROR(MATCH(H108, INDEX(Loc,,1), 0), IFERROR(MATCH(H108, INDEX(Loc,,2), 0), MATCH(H108, INDEX(Loc,,3), 0))))</f>
        <v>1</v>
      </c>
      <c r="AJ108" s="228">
        <f t="shared" ref="AJ108" si="415">_xlfn.IFNA(IF(IFERROR(MATCH(J108, INDEX(Medium,,1), 0), IFERROR(MATCH(J108, INDEX(Medium,,2), 0), MATCH(J108, INDEX(Medium,,3), 0))) = 2, 1, 0), 0)</f>
        <v>0</v>
      </c>
      <c r="AK108" s="228">
        <v>0</v>
      </c>
      <c r="AL108" s="228">
        <v>0</v>
      </c>
      <c r="AM108" s="228">
        <f t="shared" si="295"/>
        <v>-100</v>
      </c>
      <c r="AN108" s="228" cm="1">
        <f t="array" ref="AN108">IF(ISBLANK(G108), 1, IFERROR(MATCH(G108, INDEX(Kat,,1), 0), IFERROR(MATCH(Kat, INDEX(Use,,2), 0), MATCH(Kat, INDEX(Use,,3), 0))))</f>
        <v>1</v>
      </c>
      <c r="AO108" s="246"/>
      <c r="AP108" s="228" cm="1">
        <f t="array" ref="AP108">IF(W108&gt;0, INDEX(Kat, AN108,4), 0)</f>
        <v>0</v>
      </c>
      <c r="AQ108" s="228">
        <f t="shared" ref="AQ108" si="416">IF(ISBLANK(Y108), 0, IFERROR(MATCH(Y108, INDEX(Month,,1), 0), IFERROR(MATCH(Y108, INDEX(Month,,2), 0), MATCH(Y108, INDEX(Month,,3), 0))))</f>
        <v>0</v>
      </c>
      <c r="AR108" s="228" cm="1">
        <f t="array" ref="AR108">IF(X108&gt;0, INDEX(Kat, $AN108, 4+AQ108), 0)</f>
        <v>0</v>
      </c>
      <c r="AS108" s="228" cm="1">
        <f t="array" ref="AS108">IF(X108&gt;0, INDEX(Kat, $AN108, 9+AQ108), 0)</f>
        <v>0</v>
      </c>
      <c r="AT108" s="246"/>
      <c r="AU108" s="262"/>
      <c r="AV108" s="262"/>
      <c r="AW108" s="263"/>
      <c r="AX108" s="263"/>
      <c r="AY108" s="263"/>
      <c r="AZ108" s="263"/>
      <c r="BA108" s="263"/>
      <c r="BB108" s="263"/>
      <c r="BC108" s="263"/>
      <c r="BD108" s="263"/>
      <c r="BE108" s="263"/>
      <c r="BF108" s="263"/>
      <c r="BG108" s="263"/>
      <c r="BH108" s="246"/>
      <c r="BI108" s="228" cm="1">
        <f t="array" ref="BI108">INDEX(Use, $AH108, 4)</f>
        <v>7</v>
      </c>
      <c r="BJ108" s="228">
        <f t="shared" si="304"/>
        <v>32</v>
      </c>
      <c r="BK108" s="228">
        <f t="shared" si="305"/>
        <v>13</v>
      </c>
      <c r="BL108" s="228">
        <f t="shared" si="306"/>
        <v>0</v>
      </c>
      <c r="BM108" s="233" cm="1">
        <f t="array" ref="BM108">L108/IF($M108&gt;0, INDEX($AY$22:$BE$76, $M108+20, $AH108), 1)</f>
        <v>0</v>
      </c>
      <c r="BN108" s="229">
        <f t="shared" si="307"/>
        <v>0</v>
      </c>
      <c r="BO108" s="228">
        <v>35</v>
      </c>
      <c r="BP108" s="229">
        <f t="shared" si="308"/>
        <v>48</v>
      </c>
      <c r="BQ108" s="234">
        <f t="shared" si="309"/>
        <v>3.0748170731707316</v>
      </c>
      <c r="BR108" s="234" cm="1">
        <f t="array" ref="BR108">$BM108 * SUMPRODUCT(INDEX($AV$76:$AX$81,,$AI108),INDEX($AY$76:$BE$81,,$AH108), N($AU$76:$AU$81&gt;$AM108)) / BQ108 / 1000</f>
        <v>0</v>
      </c>
      <c r="BS108" s="231">
        <f t="shared" si="310"/>
        <v>30</v>
      </c>
      <c r="BT108" s="229">
        <f t="shared" si="311"/>
        <v>43</v>
      </c>
      <c r="BU108" s="234">
        <f t="shared" si="312"/>
        <v>3.5018750000000001</v>
      </c>
      <c r="BV108" s="234" cm="1">
        <f t="array" ref="BV108">$BM108 * IF($AH108&lt;=2,
SUMPRODUCT(INDEX($AV$71:$AX$75,,$AI108), INDEX($AY$71:$BE$75,,$AH108), 1 / ($BF$71:$BF$75*BU108 + (1-$BF$71:$BF$75)*BQ108), N($AU$71:$AU$75&gt;$AM108)),
SUMPRODUCT(INDEX($AV$66:$AX$75,,$AI108), INDEX($AY$66:$BE$75,,$AH108), 1 / ($BG$66:$BG$75*BU108 + (1-$BG$66:$BG$75)*BQ108), N($AU$66:$AU$75&gt;$AM108))
) / 1000</f>
        <v>0</v>
      </c>
      <c r="BW108" s="231">
        <f t="shared" si="313"/>
        <v>25</v>
      </c>
      <c r="BX108" s="229">
        <f t="shared" si="314"/>
        <v>38</v>
      </c>
      <c r="BY108" s="234">
        <f t="shared" si="315"/>
        <v>4.0666935483870965</v>
      </c>
      <c r="BZ108" s="234" cm="1">
        <f t="array" ref="BZ108">$BM108 * IF($AH108&lt;=2,
SUMPRODUCT(INDEX($AV$66:$AX$70,,$AI108), INDEX($AY$66:$BE$70,,$AH108), 1 / ($BF$66:$BF$70*BY108 + (1-$BF$66:$BF$70)*BU108), N($AU$66:$AU$70&gt;$AM108)),
SUMPRODUCT(INDEX($AV$56:$AX$65,,$AI108), INDEX($AY$56:$BE$65,,$AH108), 1 / ($BG$56:$BG$65*BY108 + (1-$BG$56:$BG$65)*BU108), N($AU$56:$AU$65&gt;$AM108))
) / 1000</f>
        <v>0</v>
      </c>
      <c r="CA108" s="231">
        <f t="shared" si="316"/>
        <v>20</v>
      </c>
      <c r="CB108" s="229">
        <f t="shared" si="317"/>
        <v>33</v>
      </c>
      <c r="CC108" s="234">
        <f t="shared" si="318"/>
        <v>4.8487499999999999</v>
      </c>
      <c r="CD108" s="234" cm="1">
        <f t="array" ref="CD108">$BM108 * IF($AH108&lt;=2,
SUMPRODUCT(INDEX($AV$61:$AX$65,,$AI108), INDEX($AY$61:$BE$65,,$AH108), 1 / ($BF$61:$BF$65*CC108 + (1-$BF$61:$BF$65)*BY108), N($AU$61:$AU$65&gt;$AM108)),
SUMPRODUCT(INDEX($AV$46:$AX$55,,$AI108), INDEX($AY$46:$BE$55,,$AH108), 1 / ($BG$46:$BG$55*CC108 + (1-$BG$46:$BG$55)*BY108), N($AU$46:$AU$55&gt;$AM108))
) / 1000</f>
        <v>0</v>
      </c>
      <c r="CE108" s="234" cm="1">
        <f t="array" ref="CE108">$BM108 * IF($AH108&lt;=2,
SUMPRODUCT(INDEX($AV$22:$AX$60,,$AI108), INDEX($AY$22:$BE$60,,$AH108), 1 / ($BF$22:$BF$60*CC108), N($AU$22:$AU$60&gt;$AM108)),
SUMPRODUCT(INDEX($AV$22:$AX$45,,$AI108), INDEX($AY$22:$BE$45,,$AH108), 1 / ($BG$22:$BG$45*CC108), N($AU$22:$AU$45&gt;$AM108))
) / 1000</f>
        <v>0</v>
      </c>
      <c r="CF108" s="229">
        <f t="shared" si="319"/>
        <v>0</v>
      </c>
      <c r="CG108" s="246"/>
      <c r="CH108" s="229">
        <f t="shared" si="320"/>
        <v>0</v>
      </c>
      <c r="CI108" s="228">
        <v>35</v>
      </c>
      <c r="CJ108" s="229">
        <f t="shared" si="321"/>
        <v>48</v>
      </c>
      <c r="CK108" s="234">
        <f t="shared" si="322"/>
        <v>3.0748170731707316</v>
      </c>
      <c r="CL108" s="234" cm="1">
        <f t="array" ref="CL108">$BM108 * SUMPRODUCT(INDEX($AV$76:$AX$81,,$AI108),INDEX($AY$76:$BE$81,,$AH108), N($AU$76:$AU$81&gt;$AM108)) / CK108 / 1000</f>
        <v>0</v>
      </c>
      <c r="CM108" s="231">
        <f t="shared" si="323"/>
        <v>30</v>
      </c>
      <c r="CN108" s="229">
        <f t="shared" si="324"/>
        <v>43</v>
      </c>
      <c r="CO108" s="234">
        <f t="shared" si="325"/>
        <v>3.5018750000000001</v>
      </c>
      <c r="CP108" s="234" cm="1">
        <f t="array" ref="CP108">$BM108 * IF($AH108&lt;=2,
SUMPRODUCT(INDEX($AV$71:$AX$75,,$AI108), INDEX($AY$71:$BE$75,,$AH108), 1 / ($BF$71:$BF$75*CO108 + (1-$BF$71:$BF$75)*CK108), N($AU$71:$AU$75&gt;$AM108)),
SUMPRODUCT(INDEX($AV$66:$AX$75,,$AI108), INDEX($AY$66:$BE$75,,$AH108), 1 / ($BG$66:$BG$75*CO108 + (1-$BG$66:$BG$75)*CK108), N($AU$66:$AU$75&gt;$AM108))
) / 1000</f>
        <v>0</v>
      </c>
      <c r="CQ108" s="231">
        <f t="shared" si="326"/>
        <v>25</v>
      </c>
      <c r="CR108" s="229">
        <f t="shared" si="327"/>
        <v>38</v>
      </c>
      <c r="CS108" s="234">
        <f t="shared" si="328"/>
        <v>4.0666935483870965</v>
      </c>
      <c r="CT108" s="234" cm="1">
        <f t="array" ref="CT108">$BM108 * IF($AH108&lt;=2,
SUMPRODUCT(INDEX($AV$66:$AX$70,,$AI108), INDEX($AY$66:$BE$70,,$AH108), 1 / ($BF$66:$BF$70*CS108 + (1-$BF$66:$BF$70)*CO108), N($AU$66:$AU$70&gt;$AM108)),
SUMPRODUCT(INDEX($AV$56:$AX$65,,$AI108), INDEX($AY$56:$BE$65,,$AH108), 1 / ($BG$56:$BG$65*CS108 + (1-$BG$56:$BG$65)*CO108), N($AU$56:$AU$65&gt;$AM108))
) / 1000</f>
        <v>0</v>
      </c>
      <c r="CU108" s="231">
        <f t="shared" si="329"/>
        <v>20</v>
      </c>
      <c r="CV108" s="229">
        <f t="shared" si="330"/>
        <v>33</v>
      </c>
      <c r="CW108" s="234">
        <f t="shared" si="331"/>
        <v>4.8487499999999999</v>
      </c>
      <c r="CX108" s="234" cm="1">
        <f t="array" ref="CX108">$BM108 * IF($AH108&lt;=2,
SUMPRODUCT(INDEX($AV$61:$AX$65,,$AI108), INDEX($AY$61:$BE$65,,$AH108), 1 / ($BF$61:$BF$65*CW108 + (1-$BF$61:$BF$65)*CS108), N($AU$61:$AU$65&gt;$AM108)),
SUMPRODUCT(INDEX($AV$46:$AX$55,,$AI108), INDEX($AY$46:$BE$55,,$AH108), 1 / ($BG$46:$BG$55*CW108 + (1-$BG$46:$BG$55)*CS108), N($AU$46:$AU$55&gt;$AM108))
) / 1000</f>
        <v>0</v>
      </c>
      <c r="CY108" s="234" cm="1">
        <f t="array" ref="CY108">$BM108 * IF($AH108&lt;=2,
SUMPRODUCT(INDEX($AV$22:$AX$60,,$AI108), INDEX($AY$22:$BE$60,,$AH108), 1 / ($BF$22:$BF$60*CW108), N($AU$22:$AU$60&gt;$AM108)),
SUMPRODUCT(INDEX($AV$22:$AX$45,,$AI108), INDEX($AY$22:$BE$45,,$AH108), 1 / ($BG$22:$BG$45*CW108), N($AU$22:$AU$45&gt;$AM108))
) / 1000</f>
        <v>0</v>
      </c>
      <c r="CZ108" s="229">
        <f t="shared" si="332"/>
        <v>0</v>
      </c>
      <c r="DA108" s="246"/>
    </row>
    <row r="109" spans="1:105" s="75" customFormat="1" ht="14.25" customHeight="1" x14ac:dyDescent="0.2">
      <c r="A109" s="230" t="b">
        <f t="shared" si="291"/>
        <v>0</v>
      </c>
      <c r="B109" s="253">
        <v>88</v>
      </c>
      <c r="C109" s="266"/>
      <c r="D109" s="266"/>
      <c r="E109" s="254"/>
      <c r="F109" s="255" t="str">
        <f>IF(ISBLANK(E109), "", VLOOKUP(E109, Z!$A$2:$C$4127, 3, FALSE))</f>
        <v/>
      </c>
      <c r="G109" s="256"/>
      <c r="H109" s="256"/>
      <c r="I109" s="256"/>
      <c r="J109" s="257"/>
      <c r="K109" s="258"/>
      <c r="L109" s="267"/>
      <c r="M109" s="268"/>
      <c r="N109" s="259" t="str" cm="1">
        <f t="array" ref="N109">IF($L109&gt;0, INDEX(Clean,1+AK109,$D$1), "")</f>
        <v/>
      </c>
      <c r="O109" s="260"/>
      <c r="P109" s="260"/>
      <c r="Q109" s="261"/>
      <c r="R109" s="264">
        <f t="shared" si="297"/>
        <v>0</v>
      </c>
      <c r="S109" s="259" t="str" cm="1">
        <f t="array" ref="S109">IF($L109&gt;0, INDEX(Clean,1+AL109,$D$1), "")</f>
        <v/>
      </c>
      <c r="T109" s="260"/>
      <c r="U109" s="260"/>
      <c r="V109" s="261"/>
      <c r="W109" s="267"/>
      <c r="X109" s="267"/>
      <c r="Y109" s="257"/>
      <c r="Z109" s="264">
        <f t="shared" si="298"/>
        <v>0</v>
      </c>
      <c r="AA109" s="269"/>
      <c r="AB109" s="266"/>
      <c r="AC109" s="254"/>
      <c r="AD109" s="255" t="str">
        <f>IF(ISBLANK(AC109), "", VLOOKUP(AC109, Z!$A$2:$C$4127, 3, FALSE))</f>
        <v/>
      </c>
      <c r="AE109" s="270"/>
      <c r="AF109" s="265">
        <f t="shared" si="299"/>
        <v>0</v>
      </c>
      <c r="AG109" s="246"/>
      <c r="AH109" s="228">
        <f t="shared" ref="AH109" si="417">IF(ISBLANK(I109), 1, IFERROR(MATCH(I109, INDEX(Use,,1), 0), IFERROR(MATCH(I109, INDEX(Use,,2), 0), MATCH(I109, INDEX(Use,,3), 0))))</f>
        <v>1</v>
      </c>
      <c r="AI109" s="228">
        <f t="shared" ref="AI109" si="418">IF(ISBLANK(H109), 1, IFERROR(MATCH(H109, INDEX(Loc,,1), 0), IFERROR(MATCH(H109, INDEX(Loc,,2), 0), MATCH(H109, INDEX(Loc,,3), 0))))</f>
        <v>1</v>
      </c>
      <c r="AJ109" s="228">
        <f t="shared" ref="AJ109" si="419">_xlfn.IFNA(IF(IFERROR(MATCH(J109, INDEX(Medium,,1), 0), IFERROR(MATCH(J109, INDEX(Medium,,2), 0), MATCH(J109, INDEX(Medium,,3), 0))) = 2, 1, 0), 0)</f>
        <v>0</v>
      </c>
      <c r="AK109" s="228">
        <v>0</v>
      </c>
      <c r="AL109" s="228">
        <v>0</v>
      </c>
      <c r="AM109" s="228">
        <f t="shared" si="295"/>
        <v>-100</v>
      </c>
      <c r="AN109" s="228" cm="1">
        <f t="array" ref="AN109">IF(ISBLANK(G109), 1, IFERROR(MATCH(G109, INDEX(Kat,,1), 0), IFERROR(MATCH(Kat, INDEX(Use,,2), 0), MATCH(Kat, INDEX(Use,,3), 0))))</f>
        <v>1</v>
      </c>
      <c r="AO109" s="246"/>
      <c r="AP109" s="228" cm="1">
        <f t="array" ref="AP109">IF(W109&gt;0, INDEX(Kat, AN109,4), 0)</f>
        <v>0</v>
      </c>
      <c r="AQ109" s="228">
        <f t="shared" ref="AQ109" si="420">IF(ISBLANK(Y109), 0, IFERROR(MATCH(Y109, INDEX(Month,,1), 0), IFERROR(MATCH(Y109, INDEX(Month,,2), 0), MATCH(Y109, INDEX(Month,,3), 0))))</f>
        <v>0</v>
      </c>
      <c r="AR109" s="228" cm="1">
        <f t="array" ref="AR109">IF(X109&gt;0, INDEX(Kat, $AN109, 4+AQ109), 0)</f>
        <v>0</v>
      </c>
      <c r="AS109" s="228" cm="1">
        <f t="array" ref="AS109">IF(X109&gt;0, INDEX(Kat, $AN109, 9+AQ109), 0)</f>
        <v>0</v>
      </c>
      <c r="AT109" s="246"/>
      <c r="AU109" s="262"/>
      <c r="AV109" s="262"/>
      <c r="AW109" s="263"/>
      <c r="AX109" s="263"/>
      <c r="AY109" s="263"/>
      <c r="AZ109" s="263"/>
      <c r="BA109" s="263"/>
      <c r="BB109" s="263"/>
      <c r="BC109" s="263"/>
      <c r="BD109" s="263"/>
      <c r="BE109" s="263"/>
      <c r="BF109" s="263"/>
      <c r="BG109" s="263"/>
      <c r="BH109" s="246"/>
      <c r="BI109" s="228" cm="1">
        <f t="array" ref="BI109">INDEX(Use, $AH109, 4)</f>
        <v>7</v>
      </c>
      <c r="BJ109" s="228">
        <f t="shared" si="304"/>
        <v>32</v>
      </c>
      <c r="BK109" s="228">
        <f t="shared" si="305"/>
        <v>13</v>
      </c>
      <c r="BL109" s="228">
        <f t="shared" si="306"/>
        <v>0</v>
      </c>
      <c r="BM109" s="233" cm="1">
        <f t="array" ref="BM109">L109/IF($M109&gt;0, INDEX($AY$22:$BE$76, $M109+20, $AH109), 1)</f>
        <v>0</v>
      </c>
      <c r="BN109" s="229">
        <f t="shared" si="307"/>
        <v>0</v>
      </c>
      <c r="BO109" s="228">
        <v>35</v>
      </c>
      <c r="BP109" s="229">
        <f t="shared" si="308"/>
        <v>48</v>
      </c>
      <c r="BQ109" s="234">
        <f t="shared" si="309"/>
        <v>3.0748170731707316</v>
      </c>
      <c r="BR109" s="234" cm="1">
        <f t="array" ref="BR109">$BM109 * SUMPRODUCT(INDEX($AV$76:$AX$81,,$AI109),INDEX($AY$76:$BE$81,,$AH109), N($AU$76:$AU$81&gt;$AM109)) / BQ109 / 1000</f>
        <v>0</v>
      </c>
      <c r="BS109" s="231">
        <f t="shared" si="310"/>
        <v>30</v>
      </c>
      <c r="BT109" s="229">
        <f t="shared" si="311"/>
        <v>43</v>
      </c>
      <c r="BU109" s="234">
        <f t="shared" si="312"/>
        <v>3.5018750000000001</v>
      </c>
      <c r="BV109" s="234" cm="1">
        <f t="array" ref="BV109">$BM109 * IF($AH109&lt;=2,
SUMPRODUCT(INDEX($AV$71:$AX$75,,$AI109), INDEX($AY$71:$BE$75,,$AH109), 1 / ($BF$71:$BF$75*BU109 + (1-$BF$71:$BF$75)*BQ109), N($AU$71:$AU$75&gt;$AM109)),
SUMPRODUCT(INDEX($AV$66:$AX$75,,$AI109), INDEX($AY$66:$BE$75,,$AH109), 1 / ($BG$66:$BG$75*BU109 + (1-$BG$66:$BG$75)*BQ109), N($AU$66:$AU$75&gt;$AM109))
) / 1000</f>
        <v>0</v>
      </c>
      <c r="BW109" s="231">
        <f t="shared" si="313"/>
        <v>25</v>
      </c>
      <c r="BX109" s="229">
        <f t="shared" si="314"/>
        <v>38</v>
      </c>
      <c r="BY109" s="234">
        <f t="shared" si="315"/>
        <v>4.0666935483870965</v>
      </c>
      <c r="BZ109" s="234" cm="1">
        <f t="array" ref="BZ109">$BM109 * IF($AH109&lt;=2,
SUMPRODUCT(INDEX($AV$66:$AX$70,,$AI109), INDEX($AY$66:$BE$70,,$AH109), 1 / ($BF$66:$BF$70*BY109 + (1-$BF$66:$BF$70)*BU109), N($AU$66:$AU$70&gt;$AM109)),
SUMPRODUCT(INDEX($AV$56:$AX$65,,$AI109), INDEX($AY$56:$BE$65,,$AH109), 1 / ($BG$56:$BG$65*BY109 + (1-$BG$56:$BG$65)*BU109), N($AU$56:$AU$65&gt;$AM109))
) / 1000</f>
        <v>0</v>
      </c>
      <c r="CA109" s="231">
        <f t="shared" si="316"/>
        <v>20</v>
      </c>
      <c r="CB109" s="229">
        <f t="shared" si="317"/>
        <v>33</v>
      </c>
      <c r="CC109" s="234">
        <f t="shared" si="318"/>
        <v>4.8487499999999999</v>
      </c>
      <c r="CD109" s="234" cm="1">
        <f t="array" ref="CD109">$BM109 * IF($AH109&lt;=2,
SUMPRODUCT(INDEX($AV$61:$AX$65,,$AI109), INDEX($AY$61:$BE$65,,$AH109), 1 / ($BF$61:$BF$65*CC109 + (1-$BF$61:$BF$65)*BY109), N($AU$61:$AU$65&gt;$AM109)),
SUMPRODUCT(INDEX($AV$46:$AX$55,,$AI109), INDEX($AY$46:$BE$55,,$AH109), 1 / ($BG$46:$BG$55*CC109 + (1-$BG$46:$BG$55)*BY109), N($AU$46:$AU$55&gt;$AM109))
) / 1000</f>
        <v>0</v>
      </c>
      <c r="CE109" s="234" cm="1">
        <f t="array" ref="CE109">$BM109 * IF($AH109&lt;=2,
SUMPRODUCT(INDEX($AV$22:$AX$60,,$AI109), INDEX($AY$22:$BE$60,,$AH109), 1 / ($BF$22:$BF$60*CC109), N($AU$22:$AU$60&gt;$AM109)),
SUMPRODUCT(INDEX($AV$22:$AX$45,,$AI109), INDEX($AY$22:$BE$45,,$AH109), 1 / ($BG$22:$BG$45*CC109), N($AU$22:$AU$45&gt;$AM109))
) / 1000</f>
        <v>0</v>
      </c>
      <c r="CF109" s="229">
        <f t="shared" si="319"/>
        <v>0</v>
      </c>
      <c r="CG109" s="246"/>
      <c r="CH109" s="229">
        <f t="shared" si="320"/>
        <v>0</v>
      </c>
      <c r="CI109" s="228">
        <v>35</v>
      </c>
      <c r="CJ109" s="229">
        <f t="shared" si="321"/>
        <v>48</v>
      </c>
      <c r="CK109" s="234">
        <f t="shared" si="322"/>
        <v>3.0748170731707316</v>
      </c>
      <c r="CL109" s="234" cm="1">
        <f t="array" ref="CL109">$BM109 * SUMPRODUCT(INDEX($AV$76:$AX$81,,$AI109),INDEX($AY$76:$BE$81,,$AH109), N($AU$76:$AU$81&gt;$AM109)) / CK109 / 1000</f>
        <v>0</v>
      </c>
      <c r="CM109" s="231">
        <f t="shared" si="323"/>
        <v>30</v>
      </c>
      <c r="CN109" s="229">
        <f t="shared" si="324"/>
        <v>43</v>
      </c>
      <c r="CO109" s="234">
        <f t="shared" si="325"/>
        <v>3.5018750000000001</v>
      </c>
      <c r="CP109" s="234" cm="1">
        <f t="array" ref="CP109">$BM109 * IF($AH109&lt;=2,
SUMPRODUCT(INDEX($AV$71:$AX$75,,$AI109), INDEX($AY$71:$BE$75,,$AH109), 1 / ($BF$71:$BF$75*CO109 + (1-$BF$71:$BF$75)*CK109), N($AU$71:$AU$75&gt;$AM109)),
SUMPRODUCT(INDEX($AV$66:$AX$75,,$AI109), INDEX($AY$66:$BE$75,,$AH109), 1 / ($BG$66:$BG$75*CO109 + (1-$BG$66:$BG$75)*CK109), N($AU$66:$AU$75&gt;$AM109))
) / 1000</f>
        <v>0</v>
      </c>
      <c r="CQ109" s="231">
        <f t="shared" si="326"/>
        <v>25</v>
      </c>
      <c r="CR109" s="229">
        <f t="shared" si="327"/>
        <v>38</v>
      </c>
      <c r="CS109" s="234">
        <f t="shared" si="328"/>
        <v>4.0666935483870965</v>
      </c>
      <c r="CT109" s="234" cm="1">
        <f t="array" ref="CT109">$BM109 * IF($AH109&lt;=2,
SUMPRODUCT(INDEX($AV$66:$AX$70,,$AI109), INDEX($AY$66:$BE$70,,$AH109), 1 / ($BF$66:$BF$70*CS109 + (1-$BF$66:$BF$70)*CO109), N($AU$66:$AU$70&gt;$AM109)),
SUMPRODUCT(INDEX($AV$56:$AX$65,,$AI109), INDEX($AY$56:$BE$65,,$AH109), 1 / ($BG$56:$BG$65*CS109 + (1-$BG$56:$BG$65)*CO109), N($AU$56:$AU$65&gt;$AM109))
) / 1000</f>
        <v>0</v>
      </c>
      <c r="CU109" s="231">
        <f t="shared" si="329"/>
        <v>20</v>
      </c>
      <c r="CV109" s="229">
        <f t="shared" si="330"/>
        <v>33</v>
      </c>
      <c r="CW109" s="234">
        <f t="shared" si="331"/>
        <v>4.8487499999999999</v>
      </c>
      <c r="CX109" s="234" cm="1">
        <f t="array" ref="CX109">$BM109 * IF($AH109&lt;=2,
SUMPRODUCT(INDEX($AV$61:$AX$65,,$AI109), INDEX($AY$61:$BE$65,,$AH109), 1 / ($BF$61:$BF$65*CW109 + (1-$BF$61:$BF$65)*CS109), N($AU$61:$AU$65&gt;$AM109)),
SUMPRODUCT(INDEX($AV$46:$AX$55,,$AI109), INDEX($AY$46:$BE$55,,$AH109), 1 / ($BG$46:$BG$55*CW109 + (1-$BG$46:$BG$55)*CS109), N($AU$46:$AU$55&gt;$AM109))
) / 1000</f>
        <v>0</v>
      </c>
      <c r="CY109" s="234" cm="1">
        <f t="array" ref="CY109">$BM109 * IF($AH109&lt;=2,
SUMPRODUCT(INDEX($AV$22:$AX$60,,$AI109), INDEX($AY$22:$BE$60,,$AH109), 1 / ($BF$22:$BF$60*CW109), N($AU$22:$AU$60&gt;$AM109)),
SUMPRODUCT(INDEX($AV$22:$AX$45,,$AI109), INDEX($AY$22:$BE$45,,$AH109), 1 / ($BG$22:$BG$45*CW109), N($AU$22:$AU$45&gt;$AM109))
) / 1000</f>
        <v>0</v>
      </c>
      <c r="CZ109" s="229">
        <f t="shared" si="332"/>
        <v>0</v>
      </c>
      <c r="DA109" s="246"/>
    </row>
    <row r="110" spans="1:105" s="75" customFormat="1" ht="14.25" customHeight="1" x14ac:dyDescent="0.2">
      <c r="A110" s="230" t="b">
        <f t="shared" si="291"/>
        <v>0</v>
      </c>
      <c r="B110" s="253">
        <v>89</v>
      </c>
      <c r="C110" s="266"/>
      <c r="D110" s="266"/>
      <c r="E110" s="254"/>
      <c r="F110" s="255" t="str">
        <f>IF(ISBLANK(E110), "", VLOOKUP(E110, Z!$A$2:$C$4127, 3, FALSE))</f>
        <v/>
      </c>
      <c r="G110" s="256"/>
      <c r="H110" s="256"/>
      <c r="I110" s="256"/>
      <c r="J110" s="257"/>
      <c r="K110" s="258"/>
      <c r="L110" s="267"/>
      <c r="M110" s="268"/>
      <c r="N110" s="259" t="str" cm="1">
        <f t="array" ref="N110">IF($L110&gt;0, INDEX(Clean,1+AK110,$D$1), "")</f>
        <v/>
      </c>
      <c r="O110" s="260"/>
      <c r="P110" s="260"/>
      <c r="Q110" s="261"/>
      <c r="R110" s="264">
        <f t="shared" si="297"/>
        <v>0</v>
      </c>
      <c r="S110" s="259" t="str" cm="1">
        <f t="array" ref="S110">IF($L110&gt;0, INDEX(Clean,1+AL110,$D$1), "")</f>
        <v/>
      </c>
      <c r="T110" s="260"/>
      <c r="U110" s="260"/>
      <c r="V110" s="261"/>
      <c r="W110" s="267"/>
      <c r="X110" s="267"/>
      <c r="Y110" s="257"/>
      <c r="Z110" s="264">
        <f t="shared" si="298"/>
        <v>0</v>
      </c>
      <c r="AA110" s="269"/>
      <c r="AB110" s="266"/>
      <c r="AC110" s="254"/>
      <c r="AD110" s="255" t="str">
        <f>IF(ISBLANK(AC110), "", VLOOKUP(AC110, Z!$A$2:$C$4127, 3, FALSE))</f>
        <v/>
      </c>
      <c r="AE110" s="270"/>
      <c r="AF110" s="265">
        <f t="shared" si="299"/>
        <v>0</v>
      </c>
      <c r="AG110" s="246"/>
      <c r="AH110" s="228">
        <f t="shared" ref="AH110" si="421">IF(ISBLANK(I110), 1, IFERROR(MATCH(I110, INDEX(Use,,1), 0), IFERROR(MATCH(I110, INDEX(Use,,2), 0), MATCH(I110, INDEX(Use,,3), 0))))</f>
        <v>1</v>
      </c>
      <c r="AI110" s="228">
        <f t="shared" ref="AI110" si="422">IF(ISBLANK(H110), 1, IFERROR(MATCH(H110, INDEX(Loc,,1), 0), IFERROR(MATCH(H110, INDEX(Loc,,2), 0), MATCH(H110, INDEX(Loc,,3), 0))))</f>
        <v>1</v>
      </c>
      <c r="AJ110" s="228">
        <f t="shared" ref="AJ110" si="423">_xlfn.IFNA(IF(IFERROR(MATCH(J110, INDEX(Medium,,1), 0), IFERROR(MATCH(J110, INDEX(Medium,,2), 0), MATCH(J110, INDEX(Medium,,3), 0))) = 2, 1, 0), 0)</f>
        <v>0</v>
      </c>
      <c r="AK110" s="228">
        <v>0</v>
      </c>
      <c r="AL110" s="228">
        <v>0</v>
      </c>
      <c r="AM110" s="228">
        <f t="shared" si="295"/>
        <v>-100</v>
      </c>
      <c r="AN110" s="228" cm="1">
        <f t="array" ref="AN110">IF(ISBLANK(G110), 1, IFERROR(MATCH(G110, INDEX(Kat,,1), 0), IFERROR(MATCH(Kat, INDEX(Use,,2), 0), MATCH(Kat, INDEX(Use,,3), 0))))</f>
        <v>1</v>
      </c>
      <c r="AO110" s="246"/>
      <c r="AP110" s="228" cm="1">
        <f t="array" ref="AP110">IF(W110&gt;0, INDEX(Kat, AN110,4), 0)</f>
        <v>0</v>
      </c>
      <c r="AQ110" s="228">
        <f t="shared" ref="AQ110" si="424">IF(ISBLANK(Y110), 0, IFERROR(MATCH(Y110, INDEX(Month,,1), 0), IFERROR(MATCH(Y110, INDEX(Month,,2), 0), MATCH(Y110, INDEX(Month,,3), 0))))</f>
        <v>0</v>
      </c>
      <c r="AR110" s="228" cm="1">
        <f t="array" ref="AR110">IF(X110&gt;0, INDEX(Kat, $AN110, 4+AQ110), 0)</f>
        <v>0</v>
      </c>
      <c r="AS110" s="228" cm="1">
        <f t="array" ref="AS110">IF(X110&gt;0, INDEX(Kat, $AN110, 9+AQ110), 0)</f>
        <v>0</v>
      </c>
      <c r="AT110" s="246"/>
      <c r="AU110" s="262"/>
      <c r="AV110" s="262"/>
      <c r="AW110" s="263"/>
      <c r="AX110" s="263"/>
      <c r="AY110" s="263"/>
      <c r="AZ110" s="263"/>
      <c r="BA110" s="263"/>
      <c r="BB110" s="263"/>
      <c r="BC110" s="263"/>
      <c r="BD110" s="263"/>
      <c r="BE110" s="263"/>
      <c r="BF110" s="263"/>
      <c r="BG110" s="263"/>
      <c r="BH110" s="246"/>
      <c r="BI110" s="228" cm="1">
        <f t="array" ref="BI110">INDEX(Use, $AH110, 4)</f>
        <v>7</v>
      </c>
      <c r="BJ110" s="228">
        <f t="shared" si="304"/>
        <v>32</v>
      </c>
      <c r="BK110" s="228">
        <f t="shared" si="305"/>
        <v>13</v>
      </c>
      <c r="BL110" s="228">
        <f t="shared" si="306"/>
        <v>0</v>
      </c>
      <c r="BM110" s="233" cm="1">
        <f t="array" ref="BM110">L110/IF($M110&gt;0, INDEX($AY$22:$BE$76, $M110+20, $AH110), 1)</f>
        <v>0</v>
      </c>
      <c r="BN110" s="229">
        <f t="shared" si="307"/>
        <v>0</v>
      </c>
      <c r="BO110" s="228">
        <v>35</v>
      </c>
      <c r="BP110" s="229">
        <f t="shared" si="308"/>
        <v>48</v>
      </c>
      <c r="BQ110" s="234">
        <f t="shared" si="309"/>
        <v>3.0748170731707316</v>
      </c>
      <c r="BR110" s="234" cm="1">
        <f t="array" ref="BR110">$BM110 * SUMPRODUCT(INDEX($AV$76:$AX$81,,$AI110),INDEX($AY$76:$BE$81,,$AH110), N($AU$76:$AU$81&gt;$AM110)) / BQ110 / 1000</f>
        <v>0</v>
      </c>
      <c r="BS110" s="231">
        <f t="shared" si="310"/>
        <v>30</v>
      </c>
      <c r="BT110" s="229">
        <f t="shared" si="311"/>
        <v>43</v>
      </c>
      <c r="BU110" s="234">
        <f t="shared" si="312"/>
        <v>3.5018750000000001</v>
      </c>
      <c r="BV110" s="234" cm="1">
        <f t="array" ref="BV110">$BM110 * IF($AH110&lt;=2,
SUMPRODUCT(INDEX($AV$71:$AX$75,,$AI110), INDEX($AY$71:$BE$75,,$AH110), 1 / ($BF$71:$BF$75*BU110 + (1-$BF$71:$BF$75)*BQ110), N($AU$71:$AU$75&gt;$AM110)),
SUMPRODUCT(INDEX($AV$66:$AX$75,,$AI110), INDEX($AY$66:$BE$75,,$AH110), 1 / ($BG$66:$BG$75*BU110 + (1-$BG$66:$BG$75)*BQ110), N($AU$66:$AU$75&gt;$AM110))
) / 1000</f>
        <v>0</v>
      </c>
      <c r="BW110" s="231">
        <f t="shared" si="313"/>
        <v>25</v>
      </c>
      <c r="BX110" s="229">
        <f t="shared" si="314"/>
        <v>38</v>
      </c>
      <c r="BY110" s="234">
        <f t="shared" si="315"/>
        <v>4.0666935483870965</v>
      </c>
      <c r="BZ110" s="234" cm="1">
        <f t="array" ref="BZ110">$BM110 * IF($AH110&lt;=2,
SUMPRODUCT(INDEX($AV$66:$AX$70,,$AI110), INDEX($AY$66:$BE$70,,$AH110), 1 / ($BF$66:$BF$70*BY110 + (1-$BF$66:$BF$70)*BU110), N($AU$66:$AU$70&gt;$AM110)),
SUMPRODUCT(INDEX($AV$56:$AX$65,,$AI110), INDEX($AY$56:$BE$65,,$AH110), 1 / ($BG$56:$BG$65*BY110 + (1-$BG$56:$BG$65)*BU110), N($AU$56:$AU$65&gt;$AM110))
) / 1000</f>
        <v>0</v>
      </c>
      <c r="CA110" s="231">
        <f t="shared" si="316"/>
        <v>20</v>
      </c>
      <c r="CB110" s="229">
        <f t="shared" si="317"/>
        <v>33</v>
      </c>
      <c r="CC110" s="234">
        <f t="shared" si="318"/>
        <v>4.8487499999999999</v>
      </c>
      <c r="CD110" s="234" cm="1">
        <f t="array" ref="CD110">$BM110 * IF($AH110&lt;=2,
SUMPRODUCT(INDEX($AV$61:$AX$65,,$AI110), INDEX($AY$61:$BE$65,,$AH110), 1 / ($BF$61:$BF$65*CC110 + (1-$BF$61:$BF$65)*BY110), N($AU$61:$AU$65&gt;$AM110)),
SUMPRODUCT(INDEX($AV$46:$AX$55,,$AI110), INDEX($AY$46:$BE$55,,$AH110), 1 / ($BG$46:$BG$55*CC110 + (1-$BG$46:$BG$55)*BY110), N($AU$46:$AU$55&gt;$AM110))
) / 1000</f>
        <v>0</v>
      </c>
      <c r="CE110" s="234" cm="1">
        <f t="array" ref="CE110">$BM110 * IF($AH110&lt;=2,
SUMPRODUCT(INDEX($AV$22:$AX$60,,$AI110), INDEX($AY$22:$BE$60,,$AH110), 1 / ($BF$22:$BF$60*CC110), N($AU$22:$AU$60&gt;$AM110)),
SUMPRODUCT(INDEX($AV$22:$AX$45,,$AI110), INDEX($AY$22:$BE$45,,$AH110), 1 / ($BG$22:$BG$45*CC110), N($AU$22:$AU$45&gt;$AM110))
) / 1000</f>
        <v>0</v>
      </c>
      <c r="CF110" s="229">
        <f t="shared" si="319"/>
        <v>0</v>
      </c>
      <c r="CG110" s="246"/>
      <c r="CH110" s="229">
        <f t="shared" si="320"/>
        <v>0</v>
      </c>
      <c r="CI110" s="228">
        <v>35</v>
      </c>
      <c r="CJ110" s="229">
        <f t="shared" si="321"/>
        <v>48</v>
      </c>
      <c r="CK110" s="234">
        <f t="shared" si="322"/>
        <v>3.0748170731707316</v>
      </c>
      <c r="CL110" s="234" cm="1">
        <f t="array" ref="CL110">$BM110 * SUMPRODUCT(INDEX($AV$76:$AX$81,,$AI110),INDEX($AY$76:$BE$81,,$AH110), N($AU$76:$AU$81&gt;$AM110)) / CK110 / 1000</f>
        <v>0</v>
      </c>
      <c r="CM110" s="231">
        <f t="shared" si="323"/>
        <v>30</v>
      </c>
      <c r="CN110" s="229">
        <f t="shared" si="324"/>
        <v>43</v>
      </c>
      <c r="CO110" s="234">
        <f t="shared" si="325"/>
        <v>3.5018750000000001</v>
      </c>
      <c r="CP110" s="234" cm="1">
        <f t="array" ref="CP110">$BM110 * IF($AH110&lt;=2,
SUMPRODUCT(INDEX($AV$71:$AX$75,,$AI110), INDEX($AY$71:$BE$75,,$AH110), 1 / ($BF$71:$BF$75*CO110 + (1-$BF$71:$BF$75)*CK110), N($AU$71:$AU$75&gt;$AM110)),
SUMPRODUCT(INDEX($AV$66:$AX$75,,$AI110), INDEX($AY$66:$BE$75,,$AH110), 1 / ($BG$66:$BG$75*CO110 + (1-$BG$66:$BG$75)*CK110), N($AU$66:$AU$75&gt;$AM110))
) / 1000</f>
        <v>0</v>
      </c>
      <c r="CQ110" s="231">
        <f t="shared" si="326"/>
        <v>25</v>
      </c>
      <c r="CR110" s="229">
        <f t="shared" si="327"/>
        <v>38</v>
      </c>
      <c r="CS110" s="234">
        <f t="shared" si="328"/>
        <v>4.0666935483870965</v>
      </c>
      <c r="CT110" s="234" cm="1">
        <f t="array" ref="CT110">$BM110 * IF($AH110&lt;=2,
SUMPRODUCT(INDEX($AV$66:$AX$70,,$AI110), INDEX($AY$66:$BE$70,,$AH110), 1 / ($BF$66:$BF$70*CS110 + (1-$BF$66:$BF$70)*CO110), N($AU$66:$AU$70&gt;$AM110)),
SUMPRODUCT(INDEX($AV$56:$AX$65,,$AI110), INDEX($AY$56:$BE$65,,$AH110), 1 / ($BG$56:$BG$65*CS110 + (1-$BG$56:$BG$65)*CO110), N($AU$56:$AU$65&gt;$AM110))
) / 1000</f>
        <v>0</v>
      </c>
      <c r="CU110" s="231">
        <f t="shared" si="329"/>
        <v>20</v>
      </c>
      <c r="CV110" s="229">
        <f t="shared" si="330"/>
        <v>33</v>
      </c>
      <c r="CW110" s="234">
        <f t="shared" si="331"/>
        <v>4.8487499999999999</v>
      </c>
      <c r="CX110" s="234" cm="1">
        <f t="array" ref="CX110">$BM110 * IF($AH110&lt;=2,
SUMPRODUCT(INDEX($AV$61:$AX$65,,$AI110), INDEX($AY$61:$BE$65,,$AH110), 1 / ($BF$61:$BF$65*CW110 + (1-$BF$61:$BF$65)*CS110), N($AU$61:$AU$65&gt;$AM110)),
SUMPRODUCT(INDEX($AV$46:$AX$55,,$AI110), INDEX($AY$46:$BE$55,,$AH110), 1 / ($BG$46:$BG$55*CW110 + (1-$BG$46:$BG$55)*CS110), N($AU$46:$AU$55&gt;$AM110))
) / 1000</f>
        <v>0</v>
      </c>
      <c r="CY110" s="234" cm="1">
        <f t="array" ref="CY110">$BM110 * IF($AH110&lt;=2,
SUMPRODUCT(INDEX($AV$22:$AX$60,,$AI110), INDEX($AY$22:$BE$60,,$AH110), 1 / ($BF$22:$BF$60*CW110), N($AU$22:$AU$60&gt;$AM110)),
SUMPRODUCT(INDEX($AV$22:$AX$45,,$AI110), INDEX($AY$22:$BE$45,,$AH110), 1 / ($BG$22:$BG$45*CW110), N($AU$22:$AU$45&gt;$AM110))
) / 1000</f>
        <v>0</v>
      </c>
      <c r="CZ110" s="229">
        <f t="shared" si="332"/>
        <v>0</v>
      </c>
      <c r="DA110" s="246"/>
    </row>
    <row r="111" spans="1:105" s="75" customFormat="1" ht="14.25" customHeight="1" x14ac:dyDescent="0.2">
      <c r="A111" s="230" t="b">
        <f t="shared" si="291"/>
        <v>0</v>
      </c>
      <c r="B111" s="253">
        <v>90</v>
      </c>
      <c r="C111" s="266"/>
      <c r="D111" s="266"/>
      <c r="E111" s="254"/>
      <c r="F111" s="255" t="str">
        <f>IF(ISBLANK(E111), "", VLOOKUP(E111, Z!$A$2:$C$4127, 3, FALSE))</f>
        <v/>
      </c>
      <c r="G111" s="256"/>
      <c r="H111" s="256"/>
      <c r="I111" s="256"/>
      <c r="J111" s="257"/>
      <c r="K111" s="258"/>
      <c r="L111" s="267"/>
      <c r="M111" s="268"/>
      <c r="N111" s="259" t="str" cm="1">
        <f t="array" ref="N111">IF($L111&gt;0, INDEX(Clean,1+AK111,$D$1), "")</f>
        <v/>
      </c>
      <c r="O111" s="260"/>
      <c r="P111" s="260"/>
      <c r="Q111" s="261"/>
      <c r="R111" s="264">
        <f t="shared" si="297"/>
        <v>0</v>
      </c>
      <c r="S111" s="259" t="str" cm="1">
        <f t="array" ref="S111">IF($L111&gt;0, INDEX(Clean,1+AL111,$D$1), "")</f>
        <v/>
      </c>
      <c r="T111" s="260"/>
      <c r="U111" s="260"/>
      <c r="V111" s="261"/>
      <c r="W111" s="267"/>
      <c r="X111" s="267"/>
      <c r="Y111" s="257"/>
      <c r="Z111" s="264">
        <f t="shared" si="298"/>
        <v>0</v>
      </c>
      <c r="AA111" s="269"/>
      <c r="AB111" s="266"/>
      <c r="AC111" s="254"/>
      <c r="AD111" s="255" t="str">
        <f>IF(ISBLANK(AC111), "", VLOOKUP(AC111, Z!$A$2:$C$4127, 3, FALSE))</f>
        <v/>
      </c>
      <c r="AE111" s="270"/>
      <c r="AF111" s="265">
        <f t="shared" si="299"/>
        <v>0</v>
      </c>
      <c r="AG111" s="246"/>
      <c r="AH111" s="228">
        <f t="shared" ref="AH111" si="425">IF(ISBLANK(I111), 1, IFERROR(MATCH(I111, INDEX(Use,,1), 0), IFERROR(MATCH(I111, INDEX(Use,,2), 0), MATCH(I111, INDEX(Use,,3), 0))))</f>
        <v>1</v>
      </c>
      <c r="AI111" s="228">
        <f t="shared" ref="AI111" si="426">IF(ISBLANK(H111), 1, IFERROR(MATCH(H111, INDEX(Loc,,1), 0), IFERROR(MATCH(H111, INDEX(Loc,,2), 0), MATCH(H111, INDEX(Loc,,3), 0))))</f>
        <v>1</v>
      </c>
      <c r="AJ111" s="228">
        <f t="shared" ref="AJ111" si="427">_xlfn.IFNA(IF(IFERROR(MATCH(J111, INDEX(Medium,,1), 0), IFERROR(MATCH(J111, INDEX(Medium,,2), 0), MATCH(J111, INDEX(Medium,,3), 0))) = 2, 1, 0), 0)</f>
        <v>0</v>
      </c>
      <c r="AK111" s="228">
        <v>0</v>
      </c>
      <c r="AL111" s="228">
        <v>0</v>
      </c>
      <c r="AM111" s="228">
        <f t="shared" si="295"/>
        <v>-100</v>
      </c>
      <c r="AN111" s="228" cm="1">
        <f t="array" ref="AN111">IF(ISBLANK(G111), 1, IFERROR(MATCH(G111, INDEX(Kat,,1), 0), IFERROR(MATCH(Kat, INDEX(Use,,2), 0), MATCH(Kat, INDEX(Use,,3), 0))))</f>
        <v>1</v>
      </c>
      <c r="AO111" s="246"/>
      <c r="AP111" s="228" cm="1">
        <f t="array" ref="AP111">IF(W111&gt;0, INDEX(Kat, AN111,4), 0)</f>
        <v>0</v>
      </c>
      <c r="AQ111" s="228">
        <f t="shared" ref="AQ111" si="428">IF(ISBLANK(Y111), 0, IFERROR(MATCH(Y111, INDEX(Month,,1), 0), IFERROR(MATCH(Y111, INDEX(Month,,2), 0), MATCH(Y111, INDEX(Month,,3), 0))))</f>
        <v>0</v>
      </c>
      <c r="AR111" s="228" cm="1">
        <f t="array" ref="AR111">IF(X111&gt;0, INDEX(Kat, $AN111, 4+AQ111), 0)</f>
        <v>0</v>
      </c>
      <c r="AS111" s="228" cm="1">
        <f t="array" ref="AS111">IF(X111&gt;0, INDEX(Kat, $AN111, 9+AQ111), 0)</f>
        <v>0</v>
      </c>
      <c r="AT111" s="246"/>
      <c r="AU111" s="262"/>
      <c r="AV111" s="262"/>
      <c r="AW111" s="263"/>
      <c r="AX111" s="263"/>
      <c r="AY111" s="263"/>
      <c r="AZ111" s="263"/>
      <c r="BA111" s="263"/>
      <c r="BB111" s="263"/>
      <c r="BC111" s="263"/>
      <c r="BD111" s="263"/>
      <c r="BE111" s="263"/>
      <c r="BF111" s="263"/>
      <c r="BG111" s="263"/>
      <c r="BH111" s="246"/>
      <c r="BI111" s="228" cm="1">
        <f t="array" ref="BI111">INDEX(Use, $AH111, 4)</f>
        <v>7</v>
      </c>
      <c r="BJ111" s="228">
        <f t="shared" si="304"/>
        <v>32</v>
      </c>
      <c r="BK111" s="228">
        <f t="shared" si="305"/>
        <v>13</v>
      </c>
      <c r="BL111" s="228">
        <f t="shared" si="306"/>
        <v>0</v>
      </c>
      <c r="BM111" s="233" cm="1">
        <f t="array" ref="BM111">L111/IF($M111&gt;0, INDEX($AY$22:$BE$76, $M111+20, $AH111), 1)</f>
        <v>0</v>
      </c>
      <c r="BN111" s="229">
        <f t="shared" si="307"/>
        <v>0</v>
      </c>
      <c r="BO111" s="228">
        <v>35</v>
      </c>
      <c r="BP111" s="229">
        <f t="shared" si="308"/>
        <v>48</v>
      </c>
      <c r="BQ111" s="234">
        <f t="shared" si="309"/>
        <v>3.0748170731707316</v>
      </c>
      <c r="BR111" s="234" cm="1">
        <f t="array" ref="BR111">$BM111 * SUMPRODUCT(INDEX($AV$76:$AX$81,,$AI111),INDEX($AY$76:$BE$81,,$AH111), N($AU$76:$AU$81&gt;$AM111)) / BQ111 / 1000</f>
        <v>0</v>
      </c>
      <c r="BS111" s="231">
        <f t="shared" si="310"/>
        <v>30</v>
      </c>
      <c r="BT111" s="229">
        <f t="shared" si="311"/>
        <v>43</v>
      </c>
      <c r="BU111" s="234">
        <f t="shared" si="312"/>
        <v>3.5018750000000001</v>
      </c>
      <c r="BV111" s="234" cm="1">
        <f t="array" ref="BV111">$BM111 * IF($AH111&lt;=2,
SUMPRODUCT(INDEX($AV$71:$AX$75,,$AI111), INDEX($AY$71:$BE$75,,$AH111), 1 / ($BF$71:$BF$75*BU111 + (1-$BF$71:$BF$75)*BQ111), N($AU$71:$AU$75&gt;$AM111)),
SUMPRODUCT(INDEX($AV$66:$AX$75,,$AI111), INDEX($AY$66:$BE$75,,$AH111), 1 / ($BG$66:$BG$75*BU111 + (1-$BG$66:$BG$75)*BQ111), N($AU$66:$AU$75&gt;$AM111))
) / 1000</f>
        <v>0</v>
      </c>
      <c r="BW111" s="231">
        <f t="shared" si="313"/>
        <v>25</v>
      </c>
      <c r="BX111" s="229">
        <f t="shared" si="314"/>
        <v>38</v>
      </c>
      <c r="BY111" s="234">
        <f t="shared" si="315"/>
        <v>4.0666935483870965</v>
      </c>
      <c r="BZ111" s="234" cm="1">
        <f t="array" ref="BZ111">$BM111 * IF($AH111&lt;=2,
SUMPRODUCT(INDEX($AV$66:$AX$70,,$AI111), INDEX($AY$66:$BE$70,,$AH111), 1 / ($BF$66:$BF$70*BY111 + (1-$BF$66:$BF$70)*BU111), N($AU$66:$AU$70&gt;$AM111)),
SUMPRODUCT(INDEX($AV$56:$AX$65,,$AI111), INDEX($AY$56:$BE$65,,$AH111), 1 / ($BG$56:$BG$65*BY111 + (1-$BG$56:$BG$65)*BU111), N($AU$56:$AU$65&gt;$AM111))
) / 1000</f>
        <v>0</v>
      </c>
      <c r="CA111" s="231">
        <f t="shared" si="316"/>
        <v>20</v>
      </c>
      <c r="CB111" s="229">
        <f t="shared" si="317"/>
        <v>33</v>
      </c>
      <c r="CC111" s="234">
        <f t="shared" si="318"/>
        <v>4.8487499999999999</v>
      </c>
      <c r="CD111" s="234" cm="1">
        <f t="array" ref="CD111">$BM111 * IF($AH111&lt;=2,
SUMPRODUCT(INDEX($AV$61:$AX$65,,$AI111), INDEX($AY$61:$BE$65,,$AH111), 1 / ($BF$61:$BF$65*CC111 + (1-$BF$61:$BF$65)*BY111), N($AU$61:$AU$65&gt;$AM111)),
SUMPRODUCT(INDEX($AV$46:$AX$55,,$AI111), INDEX($AY$46:$BE$55,,$AH111), 1 / ($BG$46:$BG$55*CC111 + (1-$BG$46:$BG$55)*BY111), N($AU$46:$AU$55&gt;$AM111))
) / 1000</f>
        <v>0</v>
      </c>
      <c r="CE111" s="234" cm="1">
        <f t="array" ref="CE111">$BM111 * IF($AH111&lt;=2,
SUMPRODUCT(INDEX($AV$22:$AX$60,,$AI111), INDEX($AY$22:$BE$60,,$AH111), 1 / ($BF$22:$BF$60*CC111), N($AU$22:$AU$60&gt;$AM111)),
SUMPRODUCT(INDEX($AV$22:$AX$45,,$AI111), INDEX($AY$22:$BE$45,,$AH111), 1 / ($BG$22:$BG$45*CC111), N($AU$22:$AU$45&gt;$AM111))
) / 1000</f>
        <v>0</v>
      </c>
      <c r="CF111" s="229">
        <f t="shared" si="319"/>
        <v>0</v>
      </c>
      <c r="CG111" s="246"/>
      <c r="CH111" s="229">
        <f t="shared" si="320"/>
        <v>0</v>
      </c>
      <c r="CI111" s="228">
        <v>35</v>
      </c>
      <c r="CJ111" s="229">
        <f t="shared" si="321"/>
        <v>48</v>
      </c>
      <c r="CK111" s="234">
        <f t="shared" si="322"/>
        <v>3.0748170731707316</v>
      </c>
      <c r="CL111" s="234" cm="1">
        <f t="array" ref="CL111">$BM111 * SUMPRODUCT(INDEX($AV$76:$AX$81,,$AI111),INDEX($AY$76:$BE$81,,$AH111), N($AU$76:$AU$81&gt;$AM111)) / CK111 / 1000</f>
        <v>0</v>
      </c>
      <c r="CM111" s="231">
        <f t="shared" si="323"/>
        <v>30</v>
      </c>
      <c r="CN111" s="229">
        <f t="shared" si="324"/>
        <v>43</v>
      </c>
      <c r="CO111" s="234">
        <f t="shared" si="325"/>
        <v>3.5018750000000001</v>
      </c>
      <c r="CP111" s="234" cm="1">
        <f t="array" ref="CP111">$BM111 * IF($AH111&lt;=2,
SUMPRODUCT(INDEX($AV$71:$AX$75,,$AI111), INDEX($AY$71:$BE$75,,$AH111), 1 / ($BF$71:$BF$75*CO111 + (1-$BF$71:$BF$75)*CK111), N($AU$71:$AU$75&gt;$AM111)),
SUMPRODUCT(INDEX($AV$66:$AX$75,,$AI111), INDEX($AY$66:$BE$75,,$AH111), 1 / ($BG$66:$BG$75*CO111 + (1-$BG$66:$BG$75)*CK111), N($AU$66:$AU$75&gt;$AM111))
) / 1000</f>
        <v>0</v>
      </c>
      <c r="CQ111" s="231">
        <f t="shared" si="326"/>
        <v>25</v>
      </c>
      <c r="CR111" s="229">
        <f t="shared" si="327"/>
        <v>38</v>
      </c>
      <c r="CS111" s="234">
        <f t="shared" si="328"/>
        <v>4.0666935483870965</v>
      </c>
      <c r="CT111" s="234" cm="1">
        <f t="array" ref="CT111">$BM111 * IF($AH111&lt;=2,
SUMPRODUCT(INDEX($AV$66:$AX$70,,$AI111), INDEX($AY$66:$BE$70,,$AH111), 1 / ($BF$66:$BF$70*CS111 + (1-$BF$66:$BF$70)*CO111), N($AU$66:$AU$70&gt;$AM111)),
SUMPRODUCT(INDEX($AV$56:$AX$65,,$AI111), INDEX($AY$56:$BE$65,,$AH111), 1 / ($BG$56:$BG$65*CS111 + (1-$BG$56:$BG$65)*CO111), N($AU$56:$AU$65&gt;$AM111))
) / 1000</f>
        <v>0</v>
      </c>
      <c r="CU111" s="231">
        <f t="shared" si="329"/>
        <v>20</v>
      </c>
      <c r="CV111" s="229">
        <f t="shared" si="330"/>
        <v>33</v>
      </c>
      <c r="CW111" s="234">
        <f t="shared" si="331"/>
        <v>4.8487499999999999</v>
      </c>
      <c r="CX111" s="234" cm="1">
        <f t="array" ref="CX111">$BM111 * IF($AH111&lt;=2,
SUMPRODUCT(INDEX($AV$61:$AX$65,,$AI111), INDEX($AY$61:$BE$65,,$AH111), 1 / ($BF$61:$BF$65*CW111 + (1-$BF$61:$BF$65)*CS111), N($AU$61:$AU$65&gt;$AM111)),
SUMPRODUCT(INDEX($AV$46:$AX$55,,$AI111), INDEX($AY$46:$BE$55,,$AH111), 1 / ($BG$46:$BG$55*CW111 + (1-$BG$46:$BG$55)*CS111), N($AU$46:$AU$55&gt;$AM111))
) / 1000</f>
        <v>0</v>
      </c>
      <c r="CY111" s="234" cm="1">
        <f t="array" ref="CY111">$BM111 * IF($AH111&lt;=2,
SUMPRODUCT(INDEX($AV$22:$AX$60,,$AI111), INDEX($AY$22:$BE$60,,$AH111), 1 / ($BF$22:$BF$60*CW111), N($AU$22:$AU$60&gt;$AM111)),
SUMPRODUCT(INDEX($AV$22:$AX$45,,$AI111), INDEX($AY$22:$BE$45,,$AH111), 1 / ($BG$22:$BG$45*CW111), N($AU$22:$AU$45&gt;$AM111))
) / 1000</f>
        <v>0</v>
      </c>
      <c r="CZ111" s="229">
        <f t="shared" si="332"/>
        <v>0</v>
      </c>
      <c r="DA111" s="246"/>
    </row>
    <row r="112" spans="1:105" s="75" customFormat="1" ht="14.25" customHeight="1" x14ac:dyDescent="0.2">
      <c r="A112" s="230" t="b">
        <f t="shared" si="291"/>
        <v>0</v>
      </c>
      <c r="B112" s="253">
        <v>91</v>
      </c>
      <c r="C112" s="266"/>
      <c r="D112" s="266"/>
      <c r="E112" s="254"/>
      <c r="F112" s="255" t="str">
        <f>IF(ISBLANK(E112), "", VLOOKUP(E112, Z!$A$2:$C$4127, 3, FALSE))</f>
        <v/>
      </c>
      <c r="G112" s="256"/>
      <c r="H112" s="256"/>
      <c r="I112" s="256"/>
      <c r="J112" s="257"/>
      <c r="K112" s="258"/>
      <c r="L112" s="267"/>
      <c r="M112" s="268"/>
      <c r="N112" s="259" t="str" cm="1">
        <f t="array" ref="N112">IF($L112&gt;0, INDEX(Clean,1+AK112,$D$1), "")</f>
        <v/>
      </c>
      <c r="O112" s="260"/>
      <c r="P112" s="260"/>
      <c r="Q112" s="261"/>
      <c r="R112" s="264">
        <f t="shared" si="297"/>
        <v>0</v>
      </c>
      <c r="S112" s="259" t="str" cm="1">
        <f t="array" ref="S112">IF($L112&gt;0, INDEX(Clean,1+AL112,$D$1), "")</f>
        <v/>
      </c>
      <c r="T112" s="260"/>
      <c r="U112" s="260"/>
      <c r="V112" s="261"/>
      <c r="W112" s="267"/>
      <c r="X112" s="267"/>
      <c r="Y112" s="257"/>
      <c r="Z112" s="264">
        <f t="shared" si="298"/>
        <v>0</v>
      </c>
      <c r="AA112" s="269"/>
      <c r="AB112" s="266"/>
      <c r="AC112" s="254"/>
      <c r="AD112" s="255" t="str">
        <f>IF(ISBLANK(AC112), "", VLOOKUP(AC112, Z!$A$2:$C$4127, 3, FALSE))</f>
        <v/>
      </c>
      <c r="AE112" s="270"/>
      <c r="AF112" s="265">
        <f t="shared" si="299"/>
        <v>0</v>
      </c>
      <c r="AG112" s="246"/>
      <c r="AH112" s="228">
        <f t="shared" ref="AH112" si="429">IF(ISBLANK(I112), 1, IFERROR(MATCH(I112, INDEX(Use,,1), 0), IFERROR(MATCH(I112, INDEX(Use,,2), 0), MATCH(I112, INDEX(Use,,3), 0))))</f>
        <v>1</v>
      </c>
      <c r="AI112" s="228">
        <f t="shared" ref="AI112" si="430">IF(ISBLANK(H112), 1, IFERROR(MATCH(H112, INDEX(Loc,,1), 0), IFERROR(MATCH(H112, INDEX(Loc,,2), 0), MATCH(H112, INDEX(Loc,,3), 0))))</f>
        <v>1</v>
      </c>
      <c r="AJ112" s="228">
        <f t="shared" ref="AJ112" si="431">_xlfn.IFNA(IF(IFERROR(MATCH(J112, INDEX(Medium,,1), 0), IFERROR(MATCH(J112, INDEX(Medium,,2), 0), MATCH(J112, INDEX(Medium,,3), 0))) = 2, 1, 0), 0)</f>
        <v>0</v>
      </c>
      <c r="AK112" s="228">
        <v>0</v>
      </c>
      <c r="AL112" s="228">
        <v>0</v>
      </c>
      <c r="AM112" s="228">
        <f t="shared" si="295"/>
        <v>-100</v>
      </c>
      <c r="AN112" s="228" cm="1">
        <f t="array" ref="AN112">IF(ISBLANK(G112), 1, IFERROR(MATCH(G112, INDEX(Kat,,1), 0), IFERROR(MATCH(Kat, INDEX(Use,,2), 0), MATCH(Kat, INDEX(Use,,3), 0))))</f>
        <v>1</v>
      </c>
      <c r="AO112" s="246"/>
      <c r="AP112" s="228" cm="1">
        <f t="array" ref="AP112">IF(W112&gt;0, INDEX(Kat, AN112,4), 0)</f>
        <v>0</v>
      </c>
      <c r="AQ112" s="228">
        <f t="shared" ref="AQ112" si="432">IF(ISBLANK(Y112), 0, IFERROR(MATCH(Y112, INDEX(Month,,1), 0), IFERROR(MATCH(Y112, INDEX(Month,,2), 0), MATCH(Y112, INDEX(Month,,3), 0))))</f>
        <v>0</v>
      </c>
      <c r="AR112" s="228" cm="1">
        <f t="array" ref="AR112">IF(X112&gt;0, INDEX(Kat, $AN112, 4+AQ112), 0)</f>
        <v>0</v>
      </c>
      <c r="AS112" s="228" cm="1">
        <f t="array" ref="AS112">IF(X112&gt;0, INDEX(Kat, $AN112, 9+AQ112), 0)</f>
        <v>0</v>
      </c>
      <c r="AT112" s="246"/>
      <c r="AU112" s="262"/>
      <c r="AV112" s="262"/>
      <c r="AW112" s="263"/>
      <c r="AX112" s="263"/>
      <c r="AY112" s="263"/>
      <c r="AZ112" s="263"/>
      <c r="BA112" s="263"/>
      <c r="BB112" s="263"/>
      <c r="BC112" s="263"/>
      <c r="BD112" s="263"/>
      <c r="BE112" s="263"/>
      <c r="BF112" s="263"/>
      <c r="BG112" s="263"/>
      <c r="BH112" s="246"/>
      <c r="BI112" s="228" cm="1">
        <f t="array" ref="BI112">INDEX(Use, $AH112, 4)</f>
        <v>7</v>
      </c>
      <c r="BJ112" s="228">
        <f t="shared" si="304"/>
        <v>32</v>
      </c>
      <c r="BK112" s="228">
        <f t="shared" si="305"/>
        <v>13</v>
      </c>
      <c r="BL112" s="228">
        <f t="shared" si="306"/>
        <v>0</v>
      </c>
      <c r="BM112" s="233" cm="1">
        <f t="array" ref="BM112">L112/IF($M112&gt;0, INDEX($AY$22:$BE$76, $M112+20, $AH112), 1)</f>
        <v>0</v>
      </c>
      <c r="BN112" s="229">
        <f t="shared" si="307"/>
        <v>0</v>
      </c>
      <c r="BO112" s="228">
        <v>35</v>
      </c>
      <c r="BP112" s="229">
        <f t="shared" si="308"/>
        <v>48</v>
      </c>
      <c r="BQ112" s="234">
        <f t="shared" si="309"/>
        <v>3.0748170731707316</v>
      </c>
      <c r="BR112" s="234" cm="1">
        <f t="array" ref="BR112">$BM112 * SUMPRODUCT(INDEX($AV$76:$AX$81,,$AI112),INDEX($AY$76:$BE$81,,$AH112), N($AU$76:$AU$81&gt;$AM112)) / BQ112 / 1000</f>
        <v>0</v>
      </c>
      <c r="BS112" s="231">
        <f t="shared" si="310"/>
        <v>30</v>
      </c>
      <c r="BT112" s="229">
        <f t="shared" si="311"/>
        <v>43</v>
      </c>
      <c r="BU112" s="234">
        <f t="shared" si="312"/>
        <v>3.5018750000000001</v>
      </c>
      <c r="BV112" s="234" cm="1">
        <f t="array" ref="BV112">$BM112 * IF($AH112&lt;=2,
SUMPRODUCT(INDEX($AV$71:$AX$75,,$AI112), INDEX($AY$71:$BE$75,,$AH112), 1 / ($BF$71:$BF$75*BU112 + (1-$BF$71:$BF$75)*BQ112), N($AU$71:$AU$75&gt;$AM112)),
SUMPRODUCT(INDEX($AV$66:$AX$75,,$AI112), INDEX($AY$66:$BE$75,,$AH112), 1 / ($BG$66:$BG$75*BU112 + (1-$BG$66:$BG$75)*BQ112), N($AU$66:$AU$75&gt;$AM112))
) / 1000</f>
        <v>0</v>
      </c>
      <c r="BW112" s="231">
        <f t="shared" si="313"/>
        <v>25</v>
      </c>
      <c r="BX112" s="229">
        <f t="shared" si="314"/>
        <v>38</v>
      </c>
      <c r="BY112" s="234">
        <f t="shared" si="315"/>
        <v>4.0666935483870965</v>
      </c>
      <c r="BZ112" s="234" cm="1">
        <f t="array" ref="BZ112">$BM112 * IF($AH112&lt;=2,
SUMPRODUCT(INDEX($AV$66:$AX$70,,$AI112), INDEX($AY$66:$BE$70,,$AH112), 1 / ($BF$66:$BF$70*BY112 + (1-$BF$66:$BF$70)*BU112), N($AU$66:$AU$70&gt;$AM112)),
SUMPRODUCT(INDEX($AV$56:$AX$65,,$AI112), INDEX($AY$56:$BE$65,,$AH112), 1 / ($BG$56:$BG$65*BY112 + (1-$BG$56:$BG$65)*BU112), N($AU$56:$AU$65&gt;$AM112))
) / 1000</f>
        <v>0</v>
      </c>
      <c r="CA112" s="231">
        <f t="shared" si="316"/>
        <v>20</v>
      </c>
      <c r="CB112" s="229">
        <f t="shared" si="317"/>
        <v>33</v>
      </c>
      <c r="CC112" s="234">
        <f t="shared" si="318"/>
        <v>4.8487499999999999</v>
      </c>
      <c r="CD112" s="234" cm="1">
        <f t="array" ref="CD112">$BM112 * IF($AH112&lt;=2,
SUMPRODUCT(INDEX($AV$61:$AX$65,,$AI112), INDEX($AY$61:$BE$65,,$AH112), 1 / ($BF$61:$BF$65*CC112 + (1-$BF$61:$BF$65)*BY112), N($AU$61:$AU$65&gt;$AM112)),
SUMPRODUCT(INDEX($AV$46:$AX$55,,$AI112), INDEX($AY$46:$BE$55,,$AH112), 1 / ($BG$46:$BG$55*CC112 + (1-$BG$46:$BG$55)*BY112), N($AU$46:$AU$55&gt;$AM112))
) / 1000</f>
        <v>0</v>
      </c>
      <c r="CE112" s="234" cm="1">
        <f t="array" ref="CE112">$BM112 * IF($AH112&lt;=2,
SUMPRODUCT(INDEX($AV$22:$AX$60,,$AI112), INDEX($AY$22:$BE$60,,$AH112), 1 / ($BF$22:$BF$60*CC112), N($AU$22:$AU$60&gt;$AM112)),
SUMPRODUCT(INDEX($AV$22:$AX$45,,$AI112), INDEX($AY$22:$BE$45,,$AH112), 1 / ($BG$22:$BG$45*CC112), N($AU$22:$AU$45&gt;$AM112))
) / 1000</f>
        <v>0</v>
      </c>
      <c r="CF112" s="229">
        <f t="shared" si="319"/>
        <v>0</v>
      </c>
      <c r="CG112" s="246"/>
      <c r="CH112" s="229">
        <f t="shared" si="320"/>
        <v>0</v>
      </c>
      <c r="CI112" s="228">
        <v>35</v>
      </c>
      <c r="CJ112" s="229">
        <f t="shared" si="321"/>
        <v>48</v>
      </c>
      <c r="CK112" s="234">
        <f t="shared" si="322"/>
        <v>3.0748170731707316</v>
      </c>
      <c r="CL112" s="234" cm="1">
        <f t="array" ref="CL112">$BM112 * SUMPRODUCT(INDEX($AV$76:$AX$81,,$AI112),INDEX($AY$76:$BE$81,,$AH112), N($AU$76:$AU$81&gt;$AM112)) / CK112 / 1000</f>
        <v>0</v>
      </c>
      <c r="CM112" s="231">
        <f t="shared" si="323"/>
        <v>30</v>
      </c>
      <c r="CN112" s="229">
        <f t="shared" si="324"/>
        <v>43</v>
      </c>
      <c r="CO112" s="234">
        <f t="shared" si="325"/>
        <v>3.5018750000000001</v>
      </c>
      <c r="CP112" s="234" cm="1">
        <f t="array" ref="CP112">$BM112 * IF($AH112&lt;=2,
SUMPRODUCT(INDEX($AV$71:$AX$75,,$AI112), INDEX($AY$71:$BE$75,,$AH112), 1 / ($BF$71:$BF$75*CO112 + (1-$BF$71:$BF$75)*CK112), N($AU$71:$AU$75&gt;$AM112)),
SUMPRODUCT(INDEX($AV$66:$AX$75,,$AI112), INDEX($AY$66:$BE$75,,$AH112), 1 / ($BG$66:$BG$75*CO112 + (1-$BG$66:$BG$75)*CK112), N($AU$66:$AU$75&gt;$AM112))
) / 1000</f>
        <v>0</v>
      </c>
      <c r="CQ112" s="231">
        <f t="shared" si="326"/>
        <v>25</v>
      </c>
      <c r="CR112" s="229">
        <f t="shared" si="327"/>
        <v>38</v>
      </c>
      <c r="CS112" s="234">
        <f t="shared" si="328"/>
        <v>4.0666935483870965</v>
      </c>
      <c r="CT112" s="234" cm="1">
        <f t="array" ref="CT112">$BM112 * IF($AH112&lt;=2,
SUMPRODUCT(INDEX($AV$66:$AX$70,,$AI112), INDEX($AY$66:$BE$70,,$AH112), 1 / ($BF$66:$BF$70*CS112 + (1-$BF$66:$BF$70)*CO112), N($AU$66:$AU$70&gt;$AM112)),
SUMPRODUCT(INDEX($AV$56:$AX$65,,$AI112), INDEX($AY$56:$BE$65,,$AH112), 1 / ($BG$56:$BG$65*CS112 + (1-$BG$56:$BG$65)*CO112), N($AU$56:$AU$65&gt;$AM112))
) / 1000</f>
        <v>0</v>
      </c>
      <c r="CU112" s="231">
        <f t="shared" si="329"/>
        <v>20</v>
      </c>
      <c r="CV112" s="229">
        <f t="shared" si="330"/>
        <v>33</v>
      </c>
      <c r="CW112" s="234">
        <f t="shared" si="331"/>
        <v>4.8487499999999999</v>
      </c>
      <c r="CX112" s="234" cm="1">
        <f t="array" ref="CX112">$BM112 * IF($AH112&lt;=2,
SUMPRODUCT(INDEX($AV$61:$AX$65,,$AI112), INDEX($AY$61:$BE$65,,$AH112), 1 / ($BF$61:$BF$65*CW112 + (1-$BF$61:$BF$65)*CS112), N($AU$61:$AU$65&gt;$AM112)),
SUMPRODUCT(INDEX($AV$46:$AX$55,,$AI112), INDEX($AY$46:$BE$55,,$AH112), 1 / ($BG$46:$BG$55*CW112 + (1-$BG$46:$BG$55)*CS112), N($AU$46:$AU$55&gt;$AM112))
) / 1000</f>
        <v>0</v>
      </c>
      <c r="CY112" s="234" cm="1">
        <f t="array" ref="CY112">$BM112 * IF($AH112&lt;=2,
SUMPRODUCT(INDEX($AV$22:$AX$60,,$AI112), INDEX($AY$22:$BE$60,,$AH112), 1 / ($BF$22:$BF$60*CW112), N($AU$22:$AU$60&gt;$AM112)),
SUMPRODUCT(INDEX($AV$22:$AX$45,,$AI112), INDEX($AY$22:$BE$45,,$AH112), 1 / ($BG$22:$BG$45*CW112), N($AU$22:$AU$45&gt;$AM112))
) / 1000</f>
        <v>0</v>
      </c>
      <c r="CZ112" s="229">
        <f t="shared" si="332"/>
        <v>0</v>
      </c>
      <c r="DA112" s="246"/>
    </row>
    <row r="113" spans="1:105" s="75" customFormat="1" ht="14.25" customHeight="1" x14ac:dyDescent="0.2">
      <c r="A113" s="230" t="b">
        <f t="shared" si="291"/>
        <v>0</v>
      </c>
      <c r="B113" s="253">
        <v>92</v>
      </c>
      <c r="C113" s="266"/>
      <c r="D113" s="266"/>
      <c r="E113" s="254"/>
      <c r="F113" s="255" t="str">
        <f>IF(ISBLANK(E113), "", VLOOKUP(E113, Z!$A$2:$C$4127, 3, FALSE))</f>
        <v/>
      </c>
      <c r="G113" s="256"/>
      <c r="H113" s="256"/>
      <c r="I113" s="256"/>
      <c r="J113" s="257"/>
      <c r="K113" s="258"/>
      <c r="L113" s="267"/>
      <c r="M113" s="268"/>
      <c r="N113" s="259" t="str" cm="1">
        <f t="array" ref="N113">IF($L113&gt;0, INDEX(Clean,1+AK113,$D$1), "")</f>
        <v/>
      </c>
      <c r="O113" s="260"/>
      <c r="P113" s="260"/>
      <c r="Q113" s="261"/>
      <c r="R113" s="264">
        <f t="shared" si="297"/>
        <v>0</v>
      </c>
      <c r="S113" s="259" t="str" cm="1">
        <f t="array" ref="S113">IF($L113&gt;0, INDEX(Clean,1+AL113,$D$1), "")</f>
        <v/>
      </c>
      <c r="T113" s="260"/>
      <c r="U113" s="260"/>
      <c r="V113" s="261"/>
      <c r="W113" s="267"/>
      <c r="X113" s="267"/>
      <c r="Y113" s="257"/>
      <c r="Z113" s="264">
        <f t="shared" si="298"/>
        <v>0</v>
      </c>
      <c r="AA113" s="269"/>
      <c r="AB113" s="266"/>
      <c r="AC113" s="254"/>
      <c r="AD113" s="255" t="str">
        <f>IF(ISBLANK(AC113), "", VLOOKUP(AC113, Z!$A$2:$C$4127, 3, FALSE))</f>
        <v/>
      </c>
      <c r="AE113" s="270"/>
      <c r="AF113" s="265">
        <f t="shared" si="299"/>
        <v>0</v>
      </c>
      <c r="AG113" s="246"/>
      <c r="AH113" s="228">
        <f t="shared" ref="AH113" si="433">IF(ISBLANK(I113), 1, IFERROR(MATCH(I113, INDEX(Use,,1), 0), IFERROR(MATCH(I113, INDEX(Use,,2), 0), MATCH(I113, INDEX(Use,,3), 0))))</f>
        <v>1</v>
      </c>
      <c r="AI113" s="228">
        <f t="shared" ref="AI113" si="434">IF(ISBLANK(H113), 1, IFERROR(MATCH(H113, INDEX(Loc,,1), 0), IFERROR(MATCH(H113, INDEX(Loc,,2), 0), MATCH(H113, INDEX(Loc,,3), 0))))</f>
        <v>1</v>
      </c>
      <c r="AJ113" s="228">
        <f t="shared" ref="AJ113" si="435">_xlfn.IFNA(IF(IFERROR(MATCH(J113, INDEX(Medium,,1), 0), IFERROR(MATCH(J113, INDEX(Medium,,2), 0), MATCH(J113, INDEX(Medium,,3), 0))) = 2, 1, 0), 0)</f>
        <v>0</v>
      </c>
      <c r="AK113" s="228">
        <v>0</v>
      </c>
      <c r="AL113" s="228">
        <v>0</v>
      </c>
      <c r="AM113" s="228">
        <f t="shared" si="295"/>
        <v>-100</v>
      </c>
      <c r="AN113" s="228" cm="1">
        <f t="array" ref="AN113">IF(ISBLANK(G113), 1, IFERROR(MATCH(G113, INDEX(Kat,,1), 0), IFERROR(MATCH(Kat, INDEX(Use,,2), 0), MATCH(Kat, INDEX(Use,,3), 0))))</f>
        <v>1</v>
      </c>
      <c r="AO113" s="246"/>
      <c r="AP113" s="228" cm="1">
        <f t="array" ref="AP113">IF(W113&gt;0, INDEX(Kat, AN113,4), 0)</f>
        <v>0</v>
      </c>
      <c r="AQ113" s="228">
        <f t="shared" ref="AQ113" si="436">IF(ISBLANK(Y113), 0, IFERROR(MATCH(Y113, INDEX(Month,,1), 0), IFERROR(MATCH(Y113, INDEX(Month,,2), 0), MATCH(Y113, INDEX(Month,,3), 0))))</f>
        <v>0</v>
      </c>
      <c r="AR113" s="228" cm="1">
        <f t="array" ref="AR113">IF(X113&gt;0, INDEX(Kat, $AN113, 4+AQ113), 0)</f>
        <v>0</v>
      </c>
      <c r="AS113" s="228" cm="1">
        <f t="array" ref="AS113">IF(X113&gt;0, INDEX(Kat, $AN113, 9+AQ113), 0)</f>
        <v>0</v>
      </c>
      <c r="AT113" s="246"/>
      <c r="AU113" s="262"/>
      <c r="AV113" s="262"/>
      <c r="AW113" s="263"/>
      <c r="AX113" s="263"/>
      <c r="AY113" s="263"/>
      <c r="AZ113" s="263"/>
      <c r="BA113" s="263"/>
      <c r="BB113" s="263"/>
      <c r="BC113" s="263"/>
      <c r="BD113" s="263"/>
      <c r="BE113" s="263"/>
      <c r="BF113" s="263"/>
      <c r="BG113" s="263"/>
      <c r="BH113" s="246"/>
      <c r="BI113" s="228" cm="1">
        <f t="array" ref="BI113">INDEX(Use, $AH113, 4)</f>
        <v>7</v>
      </c>
      <c r="BJ113" s="228">
        <f t="shared" si="304"/>
        <v>32</v>
      </c>
      <c r="BK113" s="228">
        <f t="shared" si="305"/>
        <v>13</v>
      </c>
      <c r="BL113" s="228">
        <f t="shared" si="306"/>
        <v>0</v>
      </c>
      <c r="BM113" s="233" cm="1">
        <f t="array" ref="BM113">L113/IF($M113&gt;0, INDEX($AY$22:$BE$76, $M113+20, $AH113), 1)</f>
        <v>0</v>
      </c>
      <c r="BN113" s="229">
        <f t="shared" si="307"/>
        <v>0</v>
      </c>
      <c r="BO113" s="228">
        <v>35</v>
      </c>
      <c r="BP113" s="229">
        <f t="shared" si="308"/>
        <v>48</v>
      </c>
      <c r="BQ113" s="234">
        <f t="shared" si="309"/>
        <v>3.0748170731707316</v>
      </c>
      <c r="BR113" s="234" cm="1">
        <f t="array" ref="BR113">$BM113 * SUMPRODUCT(INDEX($AV$76:$AX$81,,$AI113),INDEX($AY$76:$BE$81,,$AH113), N($AU$76:$AU$81&gt;$AM113)) / BQ113 / 1000</f>
        <v>0</v>
      </c>
      <c r="BS113" s="231">
        <f t="shared" si="310"/>
        <v>30</v>
      </c>
      <c r="BT113" s="229">
        <f t="shared" si="311"/>
        <v>43</v>
      </c>
      <c r="BU113" s="234">
        <f t="shared" si="312"/>
        <v>3.5018750000000001</v>
      </c>
      <c r="BV113" s="234" cm="1">
        <f t="array" ref="BV113">$BM113 * IF($AH113&lt;=2,
SUMPRODUCT(INDEX($AV$71:$AX$75,,$AI113), INDEX($AY$71:$BE$75,,$AH113), 1 / ($BF$71:$BF$75*BU113 + (1-$BF$71:$BF$75)*BQ113), N($AU$71:$AU$75&gt;$AM113)),
SUMPRODUCT(INDEX($AV$66:$AX$75,,$AI113), INDEX($AY$66:$BE$75,,$AH113), 1 / ($BG$66:$BG$75*BU113 + (1-$BG$66:$BG$75)*BQ113), N($AU$66:$AU$75&gt;$AM113))
) / 1000</f>
        <v>0</v>
      </c>
      <c r="BW113" s="231">
        <f t="shared" si="313"/>
        <v>25</v>
      </c>
      <c r="BX113" s="229">
        <f t="shared" si="314"/>
        <v>38</v>
      </c>
      <c r="BY113" s="234">
        <f t="shared" si="315"/>
        <v>4.0666935483870965</v>
      </c>
      <c r="BZ113" s="234" cm="1">
        <f t="array" ref="BZ113">$BM113 * IF($AH113&lt;=2,
SUMPRODUCT(INDEX($AV$66:$AX$70,,$AI113), INDEX($AY$66:$BE$70,,$AH113), 1 / ($BF$66:$BF$70*BY113 + (1-$BF$66:$BF$70)*BU113), N($AU$66:$AU$70&gt;$AM113)),
SUMPRODUCT(INDEX($AV$56:$AX$65,,$AI113), INDEX($AY$56:$BE$65,,$AH113), 1 / ($BG$56:$BG$65*BY113 + (1-$BG$56:$BG$65)*BU113), N($AU$56:$AU$65&gt;$AM113))
) / 1000</f>
        <v>0</v>
      </c>
      <c r="CA113" s="231">
        <f t="shared" si="316"/>
        <v>20</v>
      </c>
      <c r="CB113" s="229">
        <f t="shared" si="317"/>
        <v>33</v>
      </c>
      <c r="CC113" s="234">
        <f t="shared" si="318"/>
        <v>4.8487499999999999</v>
      </c>
      <c r="CD113" s="234" cm="1">
        <f t="array" ref="CD113">$BM113 * IF($AH113&lt;=2,
SUMPRODUCT(INDEX($AV$61:$AX$65,,$AI113), INDEX($AY$61:$BE$65,,$AH113), 1 / ($BF$61:$BF$65*CC113 + (1-$BF$61:$BF$65)*BY113), N($AU$61:$AU$65&gt;$AM113)),
SUMPRODUCT(INDEX($AV$46:$AX$55,,$AI113), INDEX($AY$46:$BE$55,,$AH113), 1 / ($BG$46:$BG$55*CC113 + (1-$BG$46:$BG$55)*BY113), N($AU$46:$AU$55&gt;$AM113))
) / 1000</f>
        <v>0</v>
      </c>
      <c r="CE113" s="234" cm="1">
        <f t="array" ref="CE113">$BM113 * IF($AH113&lt;=2,
SUMPRODUCT(INDEX($AV$22:$AX$60,,$AI113), INDEX($AY$22:$BE$60,,$AH113), 1 / ($BF$22:$BF$60*CC113), N($AU$22:$AU$60&gt;$AM113)),
SUMPRODUCT(INDEX($AV$22:$AX$45,,$AI113), INDEX($AY$22:$BE$45,,$AH113), 1 / ($BG$22:$BG$45*CC113), N($AU$22:$AU$45&gt;$AM113))
) / 1000</f>
        <v>0</v>
      </c>
      <c r="CF113" s="229">
        <f t="shared" si="319"/>
        <v>0</v>
      </c>
      <c r="CG113" s="246"/>
      <c r="CH113" s="229">
        <f t="shared" si="320"/>
        <v>0</v>
      </c>
      <c r="CI113" s="228">
        <v>35</v>
      </c>
      <c r="CJ113" s="229">
        <f t="shared" si="321"/>
        <v>48</v>
      </c>
      <c r="CK113" s="234">
        <f t="shared" si="322"/>
        <v>3.0748170731707316</v>
      </c>
      <c r="CL113" s="234" cm="1">
        <f t="array" ref="CL113">$BM113 * SUMPRODUCT(INDEX($AV$76:$AX$81,,$AI113),INDEX($AY$76:$BE$81,,$AH113), N($AU$76:$AU$81&gt;$AM113)) / CK113 / 1000</f>
        <v>0</v>
      </c>
      <c r="CM113" s="231">
        <f t="shared" si="323"/>
        <v>30</v>
      </c>
      <c r="CN113" s="229">
        <f t="shared" si="324"/>
        <v>43</v>
      </c>
      <c r="CO113" s="234">
        <f t="shared" si="325"/>
        <v>3.5018750000000001</v>
      </c>
      <c r="CP113" s="234" cm="1">
        <f t="array" ref="CP113">$BM113 * IF($AH113&lt;=2,
SUMPRODUCT(INDEX($AV$71:$AX$75,,$AI113), INDEX($AY$71:$BE$75,,$AH113), 1 / ($BF$71:$BF$75*CO113 + (1-$BF$71:$BF$75)*CK113), N($AU$71:$AU$75&gt;$AM113)),
SUMPRODUCT(INDEX($AV$66:$AX$75,,$AI113), INDEX($AY$66:$BE$75,,$AH113), 1 / ($BG$66:$BG$75*CO113 + (1-$BG$66:$BG$75)*CK113), N($AU$66:$AU$75&gt;$AM113))
) / 1000</f>
        <v>0</v>
      </c>
      <c r="CQ113" s="231">
        <f t="shared" si="326"/>
        <v>25</v>
      </c>
      <c r="CR113" s="229">
        <f t="shared" si="327"/>
        <v>38</v>
      </c>
      <c r="CS113" s="234">
        <f t="shared" si="328"/>
        <v>4.0666935483870965</v>
      </c>
      <c r="CT113" s="234" cm="1">
        <f t="array" ref="CT113">$BM113 * IF($AH113&lt;=2,
SUMPRODUCT(INDEX($AV$66:$AX$70,,$AI113), INDEX($AY$66:$BE$70,,$AH113), 1 / ($BF$66:$BF$70*CS113 + (1-$BF$66:$BF$70)*CO113), N($AU$66:$AU$70&gt;$AM113)),
SUMPRODUCT(INDEX($AV$56:$AX$65,,$AI113), INDEX($AY$56:$BE$65,,$AH113), 1 / ($BG$56:$BG$65*CS113 + (1-$BG$56:$BG$65)*CO113), N($AU$56:$AU$65&gt;$AM113))
) / 1000</f>
        <v>0</v>
      </c>
      <c r="CU113" s="231">
        <f t="shared" si="329"/>
        <v>20</v>
      </c>
      <c r="CV113" s="229">
        <f t="shared" si="330"/>
        <v>33</v>
      </c>
      <c r="CW113" s="234">
        <f t="shared" si="331"/>
        <v>4.8487499999999999</v>
      </c>
      <c r="CX113" s="234" cm="1">
        <f t="array" ref="CX113">$BM113 * IF($AH113&lt;=2,
SUMPRODUCT(INDEX($AV$61:$AX$65,,$AI113), INDEX($AY$61:$BE$65,,$AH113), 1 / ($BF$61:$BF$65*CW113 + (1-$BF$61:$BF$65)*CS113), N($AU$61:$AU$65&gt;$AM113)),
SUMPRODUCT(INDEX($AV$46:$AX$55,,$AI113), INDEX($AY$46:$BE$55,,$AH113), 1 / ($BG$46:$BG$55*CW113 + (1-$BG$46:$BG$55)*CS113), N($AU$46:$AU$55&gt;$AM113))
) / 1000</f>
        <v>0</v>
      </c>
      <c r="CY113" s="234" cm="1">
        <f t="array" ref="CY113">$BM113 * IF($AH113&lt;=2,
SUMPRODUCT(INDEX($AV$22:$AX$60,,$AI113), INDEX($AY$22:$BE$60,,$AH113), 1 / ($BF$22:$BF$60*CW113), N($AU$22:$AU$60&gt;$AM113)),
SUMPRODUCT(INDEX($AV$22:$AX$45,,$AI113), INDEX($AY$22:$BE$45,,$AH113), 1 / ($BG$22:$BG$45*CW113), N($AU$22:$AU$45&gt;$AM113))
) / 1000</f>
        <v>0</v>
      </c>
      <c r="CZ113" s="229">
        <f t="shared" si="332"/>
        <v>0</v>
      </c>
      <c r="DA113" s="246"/>
    </row>
    <row r="114" spans="1:105" s="75" customFormat="1" ht="14.25" customHeight="1" x14ac:dyDescent="0.2">
      <c r="A114" s="230" t="b">
        <f t="shared" si="291"/>
        <v>0</v>
      </c>
      <c r="B114" s="253">
        <v>93</v>
      </c>
      <c r="C114" s="266"/>
      <c r="D114" s="266"/>
      <c r="E114" s="254"/>
      <c r="F114" s="255" t="str">
        <f>IF(ISBLANK(E114), "", VLOOKUP(E114, Z!$A$2:$C$4127, 3, FALSE))</f>
        <v/>
      </c>
      <c r="G114" s="256"/>
      <c r="H114" s="256"/>
      <c r="I114" s="256"/>
      <c r="J114" s="257"/>
      <c r="K114" s="258"/>
      <c r="L114" s="267"/>
      <c r="M114" s="268"/>
      <c r="N114" s="259" t="str" cm="1">
        <f t="array" ref="N114">IF($L114&gt;0, INDEX(Clean,1+AK114,$D$1), "")</f>
        <v/>
      </c>
      <c r="O114" s="260"/>
      <c r="P114" s="260"/>
      <c r="Q114" s="261"/>
      <c r="R114" s="264">
        <f t="shared" si="297"/>
        <v>0</v>
      </c>
      <c r="S114" s="259" t="str" cm="1">
        <f t="array" ref="S114">IF($L114&gt;0, INDEX(Clean,1+AL114,$D$1), "")</f>
        <v/>
      </c>
      <c r="T114" s="260"/>
      <c r="U114" s="260"/>
      <c r="V114" s="261"/>
      <c r="W114" s="267"/>
      <c r="X114" s="267"/>
      <c r="Y114" s="257"/>
      <c r="Z114" s="264">
        <f t="shared" si="298"/>
        <v>0</v>
      </c>
      <c r="AA114" s="269"/>
      <c r="AB114" s="266"/>
      <c r="AC114" s="254"/>
      <c r="AD114" s="255" t="str">
        <f>IF(ISBLANK(AC114), "", VLOOKUP(AC114, Z!$A$2:$C$4127, 3, FALSE))</f>
        <v/>
      </c>
      <c r="AE114" s="270"/>
      <c r="AF114" s="265">
        <f t="shared" si="299"/>
        <v>0</v>
      </c>
      <c r="AG114" s="246"/>
      <c r="AH114" s="228">
        <f t="shared" ref="AH114" si="437">IF(ISBLANK(I114), 1, IFERROR(MATCH(I114, INDEX(Use,,1), 0), IFERROR(MATCH(I114, INDEX(Use,,2), 0), MATCH(I114, INDEX(Use,,3), 0))))</f>
        <v>1</v>
      </c>
      <c r="AI114" s="228">
        <f t="shared" ref="AI114" si="438">IF(ISBLANK(H114), 1, IFERROR(MATCH(H114, INDEX(Loc,,1), 0), IFERROR(MATCH(H114, INDEX(Loc,,2), 0), MATCH(H114, INDEX(Loc,,3), 0))))</f>
        <v>1</v>
      </c>
      <c r="AJ114" s="228">
        <f t="shared" ref="AJ114" si="439">_xlfn.IFNA(IF(IFERROR(MATCH(J114, INDEX(Medium,,1), 0), IFERROR(MATCH(J114, INDEX(Medium,,2), 0), MATCH(J114, INDEX(Medium,,3), 0))) = 2, 1, 0), 0)</f>
        <v>0</v>
      </c>
      <c r="AK114" s="228">
        <v>0</v>
      </c>
      <c r="AL114" s="228">
        <v>0</v>
      </c>
      <c r="AM114" s="228">
        <f t="shared" si="295"/>
        <v>-100</v>
      </c>
      <c r="AN114" s="228" cm="1">
        <f t="array" ref="AN114">IF(ISBLANK(G114), 1, IFERROR(MATCH(G114, INDEX(Kat,,1), 0), IFERROR(MATCH(Kat, INDEX(Use,,2), 0), MATCH(Kat, INDEX(Use,,3), 0))))</f>
        <v>1</v>
      </c>
      <c r="AO114" s="246"/>
      <c r="AP114" s="228" cm="1">
        <f t="array" ref="AP114">IF(W114&gt;0, INDEX(Kat, AN114,4), 0)</f>
        <v>0</v>
      </c>
      <c r="AQ114" s="228">
        <f t="shared" ref="AQ114" si="440">IF(ISBLANK(Y114), 0, IFERROR(MATCH(Y114, INDEX(Month,,1), 0), IFERROR(MATCH(Y114, INDEX(Month,,2), 0), MATCH(Y114, INDEX(Month,,3), 0))))</f>
        <v>0</v>
      </c>
      <c r="AR114" s="228" cm="1">
        <f t="array" ref="AR114">IF(X114&gt;0, INDEX(Kat, $AN114, 4+AQ114), 0)</f>
        <v>0</v>
      </c>
      <c r="AS114" s="228" cm="1">
        <f t="array" ref="AS114">IF(X114&gt;0, INDEX(Kat, $AN114, 9+AQ114), 0)</f>
        <v>0</v>
      </c>
      <c r="AT114" s="246"/>
      <c r="AU114" s="262"/>
      <c r="AV114" s="262"/>
      <c r="AW114" s="263"/>
      <c r="AX114" s="263"/>
      <c r="AY114" s="263"/>
      <c r="AZ114" s="263"/>
      <c r="BA114" s="263"/>
      <c r="BB114" s="263"/>
      <c r="BC114" s="263"/>
      <c r="BD114" s="263"/>
      <c r="BE114" s="263"/>
      <c r="BF114" s="263"/>
      <c r="BG114" s="263"/>
      <c r="BH114" s="246"/>
      <c r="BI114" s="228" cm="1">
        <f t="array" ref="BI114">INDEX(Use, $AH114, 4)</f>
        <v>7</v>
      </c>
      <c r="BJ114" s="228">
        <f t="shared" si="304"/>
        <v>32</v>
      </c>
      <c r="BK114" s="228">
        <f t="shared" si="305"/>
        <v>13</v>
      </c>
      <c r="BL114" s="228">
        <f t="shared" si="306"/>
        <v>0</v>
      </c>
      <c r="BM114" s="233" cm="1">
        <f t="array" ref="BM114">L114/IF($M114&gt;0, INDEX($AY$22:$BE$76, $M114+20, $AH114), 1)</f>
        <v>0</v>
      </c>
      <c r="BN114" s="229">
        <f t="shared" si="307"/>
        <v>0</v>
      </c>
      <c r="BO114" s="228">
        <v>35</v>
      </c>
      <c r="BP114" s="229">
        <f t="shared" si="308"/>
        <v>48</v>
      </c>
      <c r="BQ114" s="234">
        <f t="shared" si="309"/>
        <v>3.0748170731707316</v>
      </c>
      <c r="BR114" s="234" cm="1">
        <f t="array" ref="BR114">$BM114 * SUMPRODUCT(INDEX($AV$76:$AX$81,,$AI114),INDEX($AY$76:$BE$81,,$AH114), N($AU$76:$AU$81&gt;$AM114)) / BQ114 / 1000</f>
        <v>0</v>
      </c>
      <c r="BS114" s="231">
        <f t="shared" si="310"/>
        <v>30</v>
      </c>
      <c r="BT114" s="229">
        <f t="shared" si="311"/>
        <v>43</v>
      </c>
      <c r="BU114" s="234">
        <f t="shared" si="312"/>
        <v>3.5018750000000001</v>
      </c>
      <c r="BV114" s="234" cm="1">
        <f t="array" ref="BV114">$BM114 * IF($AH114&lt;=2,
SUMPRODUCT(INDEX($AV$71:$AX$75,,$AI114), INDEX($AY$71:$BE$75,,$AH114), 1 / ($BF$71:$BF$75*BU114 + (1-$BF$71:$BF$75)*BQ114), N($AU$71:$AU$75&gt;$AM114)),
SUMPRODUCT(INDEX($AV$66:$AX$75,,$AI114), INDEX($AY$66:$BE$75,,$AH114), 1 / ($BG$66:$BG$75*BU114 + (1-$BG$66:$BG$75)*BQ114), N($AU$66:$AU$75&gt;$AM114))
) / 1000</f>
        <v>0</v>
      </c>
      <c r="BW114" s="231">
        <f t="shared" si="313"/>
        <v>25</v>
      </c>
      <c r="BX114" s="229">
        <f t="shared" si="314"/>
        <v>38</v>
      </c>
      <c r="BY114" s="234">
        <f t="shared" si="315"/>
        <v>4.0666935483870965</v>
      </c>
      <c r="BZ114" s="234" cm="1">
        <f t="array" ref="BZ114">$BM114 * IF($AH114&lt;=2,
SUMPRODUCT(INDEX($AV$66:$AX$70,,$AI114), INDEX($AY$66:$BE$70,,$AH114), 1 / ($BF$66:$BF$70*BY114 + (1-$BF$66:$BF$70)*BU114), N($AU$66:$AU$70&gt;$AM114)),
SUMPRODUCT(INDEX($AV$56:$AX$65,,$AI114), INDEX($AY$56:$BE$65,,$AH114), 1 / ($BG$56:$BG$65*BY114 + (1-$BG$56:$BG$65)*BU114), N($AU$56:$AU$65&gt;$AM114))
) / 1000</f>
        <v>0</v>
      </c>
      <c r="CA114" s="231">
        <f t="shared" si="316"/>
        <v>20</v>
      </c>
      <c r="CB114" s="229">
        <f t="shared" si="317"/>
        <v>33</v>
      </c>
      <c r="CC114" s="234">
        <f t="shared" si="318"/>
        <v>4.8487499999999999</v>
      </c>
      <c r="CD114" s="234" cm="1">
        <f t="array" ref="CD114">$BM114 * IF($AH114&lt;=2,
SUMPRODUCT(INDEX($AV$61:$AX$65,,$AI114), INDEX($AY$61:$BE$65,,$AH114), 1 / ($BF$61:$BF$65*CC114 + (1-$BF$61:$BF$65)*BY114), N($AU$61:$AU$65&gt;$AM114)),
SUMPRODUCT(INDEX($AV$46:$AX$55,,$AI114), INDEX($AY$46:$BE$55,,$AH114), 1 / ($BG$46:$BG$55*CC114 + (1-$BG$46:$BG$55)*BY114), N($AU$46:$AU$55&gt;$AM114))
) / 1000</f>
        <v>0</v>
      </c>
      <c r="CE114" s="234" cm="1">
        <f t="array" ref="CE114">$BM114 * IF($AH114&lt;=2,
SUMPRODUCT(INDEX($AV$22:$AX$60,,$AI114), INDEX($AY$22:$BE$60,,$AH114), 1 / ($BF$22:$BF$60*CC114), N($AU$22:$AU$60&gt;$AM114)),
SUMPRODUCT(INDEX($AV$22:$AX$45,,$AI114), INDEX($AY$22:$BE$45,,$AH114), 1 / ($BG$22:$BG$45*CC114), N($AU$22:$AU$45&gt;$AM114))
) / 1000</f>
        <v>0</v>
      </c>
      <c r="CF114" s="229">
        <f t="shared" si="319"/>
        <v>0</v>
      </c>
      <c r="CG114" s="246"/>
      <c r="CH114" s="229">
        <f t="shared" si="320"/>
        <v>0</v>
      </c>
      <c r="CI114" s="228">
        <v>35</v>
      </c>
      <c r="CJ114" s="229">
        <f t="shared" si="321"/>
        <v>48</v>
      </c>
      <c r="CK114" s="234">
        <f t="shared" si="322"/>
        <v>3.0748170731707316</v>
      </c>
      <c r="CL114" s="234" cm="1">
        <f t="array" ref="CL114">$BM114 * SUMPRODUCT(INDEX($AV$76:$AX$81,,$AI114),INDEX($AY$76:$BE$81,,$AH114), N($AU$76:$AU$81&gt;$AM114)) / CK114 / 1000</f>
        <v>0</v>
      </c>
      <c r="CM114" s="231">
        <f t="shared" si="323"/>
        <v>30</v>
      </c>
      <c r="CN114" s="229">
        <f t="shared" si="324"/>
        <v>43</v>
      </c>
      <c r="CO114" s="234">
        <f t="shared" si="325"/>
        <v>3.5018750000000001</v>
      </c>
      <c r="CP114" s="234" cm="1">
        <f t="array" ref="CP114">$BM114 * IF($AH114&lt;=2,
SUMPRODUCT(INDEX($AV$71:$AX$75,,$AI114), INDEX($AY$71:$BE$75,,$AH114), 1 / ($BF$71:$BF$75*CO114 + (1-$BF$71:$BF$75)*CK114), N($AU$71:$AU$75&gt;$AM114)),
SUMPRODUCT(INDEX($AV$66:$AX$75,,$AI114), INDEX($AY$66:$BE$75,,$AH114), 1 / ($BG$66:$BG$75*CO114 + (1-$BG$66:$BG$75)*CK114), N($AU$66:$AU$75&gt;$AM114))
) / 1000</f>
        <v>0</v>
      </c>
      <c r="CQ114" s="231">
        <f t="shared" si="326"/>
        <v>25</v>
      </c>
      <c r="CR114" s="229">
        <f t="shared" si="327"/>
        <v>38</v>
      </c>
      <c r="CS114" s="234">
        <f t="shared" si="328"/>
        <v>4.0666935483870965</v>
      </c>
      <c r="CT114" s="234" cm="1">
        <f t="array" ref="CT114">$BM114 * IF($AH114&lt;=2,
SUMPRODUCT(INDEX($AV$66:$AX$70,,$AI114), INDEX($AY$66:$BE$70,,$AH114), 1 / ($BF$66:$BF$70*CS114 + (1-$BF$66:$BF$70)*CO114), N($AU$66:$AU$70&gt;$AM114)),
SUMPRODUCT(INDEX($AV$56:$AX$65,,$AI114), INDEX($AY$56:$BE$65,,$AH114), 1 / ($BG$56:$BG$65*CS114 + (1-$BG$56:$BG$65)*CO114), N($AU$56:$AU$65&gt;$AM114))
) / 1000</f>
        <v>0</v>
      </c>
      <c r="CU114" s="231">
        <f t="shared" si="329"/>
        <v>20</v>
      </c>
      <c r="CV114" s="229">
        <f t="shared" si="330"/>
        <v>33</v>
      </c>
      <c r="CW114" s="234">
        <f t="shared" si="331"/>
        <v>4.8487499999999999</v>
      </c>
      <c r="CX114" s="234" cm="1">
        <f t="array" ref="CX114">$BM114 * IF($AH114&lt;=2,
SUMPRODUCT(INDEX($AV$61:$AX$65,,$AI114), INDEX($AY$61:$BE$65,,$AH114), 1 / ($BF$61:$BF$65*CW114 + (1-$BF$61:$BF$65)*CS114), N($AU$61:$AU$65&gt;$AM114)),
SUMPRODUCT(INDEX($AV$46:$AX$55,,$AI114), INDEX($AY$46:$BE$55,,$AH114), 1 / ($BG$46:$BG$55*CW114 + (1-$BG$46:$BG$55)*CS114), N($AU$46:$AU$55&gt;$AM114))
) / 1000</f>
        <v>0</v>
      </c>
      <c r="CY114" s="234" cm="1">
        <f t="array" ref="CY114">$BM114 * IF($AH114&lt;=2,
SUMPRODUCT(INDEX($AV$22:$AX$60,,$AI114), INDEX($AY$22:$BE$60,,$AH114), 1 / ($BF$22:$BF$60*CW114), N($AU$22:$AU$60&gt;$AM114)),
SUMPRODUCT(INDEX($AV$22:$AX$45,,$AI114), INDEX($AY$22:$BE$45,,$AH114), 1 / ($BG$22:$BG$45*CW114), N($AU$22:$AU$45&gt;$AM114))
) / 1000</f>
        <v>0</v>
      </c>
      <c r="CZ114" s="229">
        <f t="shared" si="332"/>
        <v>0</v>
      </c>
      <c r="DA114" s="246"/>
    </row>
    <row r="115" spans="1:105" s="75" customFormat="1" ht="14.25" customHeight="1" x14ac:dyDescent="0.2">
      <c r="A115" s="230" t="b">
        <f t="shared" si="291"/>
        <v>0</v>
      </c>
      <c r="B115" s="253">
        <v>94</v>
      </c>
      <c r="C115" s="266"/>
      <c r="D115" s="266"/>
      <c r="E115" s="254"/>
      <c r="F115" s="255" t="str">
        <f>IF(ISBLANK(E115), "", VLOOKUP(E115, Z!$A$2:$C$4127, 3, FALSE))</f>
        <v/>
      </c>
      <c r="G115" s="256"/>
      <c r="H115" s="256"/>
      <c r="I115" s="256"/>
      <c r="J115" s="257"/>
      <c r="K115" s="258"/>
      <c r="L115" s="267"/>
      <c r="M115" s="268"/>
      <c r="N115" s="259" t="str" cm="1">
        <f t="array" ref="N115">IF($L115&gt;0, INDEX(Clean,1+AK115,$D$1), "")</f>
        <v/>
      </c>
      <c r="O115" s="260"/>
      <c r="P115" s="260"/>
      <c r="Q115" s="261"/>
      <c r="R115" s="264">
        <f t="shared" si="297"/>
        <v>0</v>
      </c>
      <c r="S115" s="259" t="str" cm="1">
        <f t="array" ref="S115">IF($L115&gt;0, INDEX(Clean,1+AL115,$D$1), "")</f>
        <v/>
      </c>
      <c r="T115" s="260"/>
      <c r="U115" s="260"/>
      <c r="V115" s="261"/>
      <c r="W115" s="267"/>
      <c r="X115" s="267"/>
      <c r="Y115" s="257"/>
      <c r="Z115" s="264">
        <f t="shared" si="298"/>
        <v>0</v>
      </c>
      <c r="AA115" s="269"/>
      <c r="AB115" s="266"/>
      <c r="AC115" s="254"/>
      <c r="AD115" s="255" t="str">
        <f>IF(ISBLANK(AC115), "", VLOOKUP(AC115, Z!$A$2:$C$4127, 3, FALSE))</f>
        <v/>
      </c>
      <c r="AE115" s="270"/>
      <c r="AF115" s="265">
        <f t="shared" si="299"/>
        <v>0</v>
      </c>
      <c r="AG115" s="246"/>
      <c r="AH115" s="228">
        <f t="shared" ref="AH115" si="441">IF(ISBLANK(I115), 1, IFERROR(MATCH(I115, INDEX(Use,,1), 0), IFERROR(MATCH(I115, INDEX(Use,,2), 0), MATCH(I115, INDEX(Use,,3), 0))))</f>
        <v>1</v>
      </c>
      <c r="AI115" s="228">
        <f t="shared" ref="AI115" si="442">IF(ISBLANK(H115), 1, IFERROR(MATCH(H115, INDEX(Loc,,1), 0), IFERROR(MATCH(H115, INDEX(Loc,,2), 0), MATCH(H115, INDEX(Loc,,3), 0))))</f>
        <v>1</v>
      </c>
      <c r="AJ115" s="228">
        <f t="shared" ref="AJ115" si="443">_xlfn.IFNA(IF(IFERROR(MATCH(J115, INDEX(Medium,,1), 0), IFERROR(MATCH(J115, INDEX(Medium,,2), 0), MATCH(J115, INDEX(Medium,,3), 0))) = 2, 1, 0), 0)</f>
        <v>0</v>
      </c>
      <c r="AK115" s="228">
        <v>0</v>
      </c>
      <c r="AL115" s="228">
        <v>0</v>
      </c>
      <c r="AM115" s="228">
        <f t="shared" si="295"/>
        <v>-100</v>
      </c>
      <c r="AN115" s="228" cm="1">
        <f t="array" ref="AN115">IF(ISBLANK(G115), 1, IFERROR(MATCH(G115, INDEX(Kat,,1), 0), IFERROR(MATCH(Kat, INDEX(Use,,2), 0), MATCH(Kat, INDEX(Use,,3), 0))))</f>
        <v>1</v>
      </c>
      <c r="AO115" s="246"/>
      <c r="AP115" s="228" cm="1">
        <f t="array" ref="AP115">IF(W115&gt;0, INDEX(Kat, AN115,4), 0)</f>
        <v>0</v>
      </c>
      <c r="AQ115" s="228">
        <f t="shared" ref="AQ115" si="444">IF(ISBLANK(Y115), 0, IFERROR(MATCH(Y115, INDEX(Month,,1), 0), IFERROR(MATCH(Y115, INDEX(Month,,2), 0), MATCH(Y115, INDEX(Month,,3), 0))))</f>
        <v>0</v>
      </c>
      <c r="AR115" s="228" cm="1">
        <f t="array" ref="AR115">IF(X115&gt;0, INDEX(Kat, $AN115, 4+AQ115), 0)</f>
        <v>0</v>
      </c>
      <c r="AS115" s="228" cm="1">
        <f t="array" ref="AS115">IF(X115&gt;0, INDEX(Kat, $AN115, 9+AQ115), 0)</f>
        <v>0</v>
      </c>
      <c r="AT115" s="246"/>
      <c r="AU115" s="262"/>
      <c r="AV115" s="262"/>
      <c r="AW115" s="263"/>
      <c r="AX115" s="263"/>
      <c r="AY115" s="263"/>
      <c r="AZ115" s="263"/>
      <c r="BA115" s="263"/>
      <c r="BB115" s="263"/>
      <c r="BC115" s="263"/>
      <c r="BD115" s="263"/>
      <c r="BE115" s="263"/>
      <c r="BF115" s="263"/>
      <c r="BG115" s="263"/>
      <c r="BH115" s="246"/>
      <c r="BI115" s="228" cm="1">
        <f t="array" ref="BI115">INDEX(Use, $AH115, 4)</f>
        <v>7</v>
      </c>
      <c r="BJ115" s="228">
        <f t="shared" si="304"/>
        <v>32</v>
      </c>
      <c r="BK115" s="228">
        <f t="shared" si="305"/>
        <v>13</v>
      </c>
      <c r="BL115" s="228">
        <f t="shared" si="306"/>
        <v>0</v>
      </c>
      <c r="BM115" s="233" cm="1">
        <f t="array" ref="BM115">L115/IF($M115&gt;0, INDEX($AY$22:$BE$76, $M115+20, $AH115), 1)</f>
        <v>0</v>
      </c>
      <c r="BN115" s="229">
        <f t="shared" si="307"/>
        <v>0</v>
      </c>
      <c r="BO115" s="228">
        <v>35</v>
      </c>
      <c r="BP115" s="229">
        <f t="shared" si="308"/>
        <v>48</v>
      </c>
      <c r="BQ115" s="234">
        <f t="shared" si="309"/>
        <v>3.0748170731707316</v>
      </c>
      <c r="BR115" s="234" cm="1">
        <f t="array" ref="BR115">$BM115 * SUMPRODUCT(INDEX($AV$76:$AX$81,,$AI115),INDEX($AY$76:$BE$81,,$AH115), N($AU$76:$AU$81&gt;$AM115)) / BQ115 / 1000</f>
        <v>0</v>
      </c>
      <c r="BS115" s="231">
        <f t="shared" si="310"/>
        <v>30</v>
      </c>
      <c r="BT115" s="229">
        <f t="shared" si="311"/>
        <v>43</v>
      </c>
      <c r="BU115" s="234">
        <f t="shared" si="312"/>
        <v>3.5018750000000001</v>
      </c>
      <c r="BV115" s="234" cm="1">
        <f t="array" ref="BV115">$BM115 * IF($AH115&lt;=2,
SUMPRODUCT(INDEX($AV$71:$AX$75,,$AI115), INDEX($AY$71:$BE$75,,$AH115), 1 / ($BF$71:$BF$75*BU115 + (1-$BF$71:$BF$75)*BQ115), N($AU$71:$AU$75&gt;$AM115)),
SUMPRODUCT(INDEX($AV$66:$AX$75,,$AI115), INDEX($AY$66:$BE$75,,$AH115), 1 / ($BG$66:$BG$75*BU115 + (1-$BG$66:$BG$75)*BQ115), N($AU$66:$AU$75&gt;$AM115))
) / 1000</f>
        <v>0</v>
      </c>
      <c r="BW115" s="231">
        <f t="shared" si="313"/>
        <v>25</v>
      </c>
      <c r="BX115" s="229">
        <f t="shared" si="314"/>
        <v>38</v>
      </c>
      <c r="BY115" s="234">
        <f t="shared" si="315"/>
        <v>4.0666935483870965</v>
      </c>
      <c r="BZ115" s="234" cm="1">
        <f t="array" ref="BZ115">$BM115 * IF($AH115&lt;=2,
SUMPRODUCT(INDEX($AV$66:$AX$70,,$AI115), INDEX($AY$66:$BE$70,,$AH115), 1 / ($BF$66:$BF$70*BY115 + (1-$BF$66:$BF$70)*BU115), N($AU$66:$AU$70&gt;$AM115)),
SUMPRODUCT(INDEX($AV$56:$AX$65,,$AI115), INDEX($AY$56:$BE$65,,$AH115), 1 / ($BG$56:$BG$65*BY115 + (1-$BG$56:$BG$65)*BU115), N($AU$56:$AU$65&gt;$AM115))
) / 1000</f>
        <v>0</v>
      </c>
      <c r="CA115" s="231">
        <f t="shared" si="316"/>
        <v>20</v>
      </c>
      <c r="CB115" s="229">
        <f t="shared" si="317"/>
        <v>33</v>
      </c>
      <c r="CC115" s="234">
        <f t="shared" si="318"/>
        <v>4.8487499999999999</v>
      </c>
      <c r="CD115" s="234" cm="1">
        <f t="array" ref="CD115">$BM115 * IF($AH115&lt;=2,
SUMPRODUCT(INDEX($AV$61:$AX$65,,$AI115), INDEX($AY$61:$BE$65,,$AH115), 1 / ($BF$61:$BF$65*CC115 + (1-$BF$61:$BF$65)*BY115), N($AU$61:$AU$65&gt;$AM115)),
SUMPRODUCT(INDEX($AV$46:$AX$55,,$AI115), INDEX($AY$46:$BE$55,,$AH115), 1 / ($BG$46:$BG$55*CC115 + (1-$BG$46:$BG$55)*BY115), N($AU$46:$AU$55&gt;$AM115))
) / 1000</f>
        <v>0</v>
      </c>
      <c r="CE115" s="234" cm="1">
        <f t="array" ref="CE115">$BM115 * IF($AH115&lt;=2,
SUMPRODUCT(INDEX($AV$22:$AX$60,,$AI115), INDEX($AY$22:$BE$60,,$AH115), 1 / ($BF$22:$BF$60*CC115), N($AU$22:$AU$60&gt;$AM115)),
SUMPRODUCT(INDEX($AV$22:$AX$45,,$AI115), INDEX($AY$22:$BE$45,,$AH115), 1 / ($BG$22:$BG$45*CC115), N($AU$22:$AU$45&gt;$AM115))
) / 1000</f>
        <v>0</v>
      </c>
      <c r="CF115" s="229">
        <f t="shared" si="319"/>
        <v>0</v>
      </c>
      <c r="CG115" s="246"/>
      <c r="CH115" s="229">
        <f t="shared" si="320"/>
        <v>0</v>
      </c>
      <c r="CI115" s="228">
        <v>35</v>
      </c>
      <c r="CJ115" s="229">
        <f t="shared" si="321"/>
        <v>48</v>
      </c>
      <c r="CK115" s="234">
        <f t="shared" si="322"/>
        <v>3.0748170731707316</v>
      </c>
      <c r="CL115" s="234" cm="1">
        <f t="array" ref="CL115">$BM115 * SUMPRODUCT(INDEX($AV$76:$AX$81,,$AI115),INDEX($AY$76:$BE$81,,$AH115), N($AU$76:$AU$81&gt;$AM115)) / CK115 / 1000</f>
        <v>0</v>
      </c>
      <c r="CM115" s="231">
        <f t="shared" si="323"/>
        <v>30</v>
      </c>
      <c r="CN115" s="229">
        <f t="shared" si="324"/>
        <v>43</v>
      </c>
      <c r="CO115" s="234">
        <f t="shared" si="325"/>
        <v>3.5018750000000001</v>
      </c>
      <c r="CP115" s="234" cm="1">
        <f t="array" ref="CP115">$BM115 * IF($AH115&lt;=2,
SUMPRODUCT(INDEX($AV$71:$AX$75,,$AI115), INDEX($AY$71:$BE$75,,$AH115), 1 / ($BF$71:$BF$75*CO115 + (1-$BF$71:$BF$75)*CK115), N($AU$71:$AU$75&gt;$AM115)),
SUMPRODUCT(INDEX($AV$66:$AX$75,,$AI115), INDEX($AY$66:$BE$75,,$AH115), 1 / ($BG$66:$BG$75*CO115 + (1-$BG$66:$BG$75)*CK115), N($AU$66:$AU$75&gt;$AM115))
) / 1000</f>
        <v>0</v>
      </c>
      <c r="CQ115" s="231">
        <f t="shared" si="326"/>
        <v>25</v>
      </c>
      <c r="CR115" s="229">
        <f t="shared" si="327"/>
        <v>38</v>
      </c>
      <c r="CS115" s="234">
        <f t="shared" si="328"/>
        <v>4.0666935483870965</v>
      </c>
      <c r="CT115" s="234" cm="1">
        <f t="array" ref="CT115">$BM115 * IF($AH115&lt;=2,
SUMPRODUCT(INDEX($AV$66:$AX$70,,$AI115), INDEX($AY$66:$BE$70,,$AH115), 1 / ($BF$66:$BF$70*CS115 + (1-$BF$66:$BF$70)*CO115), N($AU$66:$AU$70&gt;$AM115)),
SUMPRODUCT(INDEX($AV$56:$AX$65,,$AI115), INDEX($AY$56:$BE$65,,$AH115), 1 / ($BG$56:$BG$65*CS115 + (1-$BG$56:$BG$65)*CO115), N($AU$56:$AU$65&gt;$AM115))
) / 1000</f>
        <v>0</v>
      </c>
      <c r="CU115" s="231">
        <f t="shared" si="329"/>
        <v>20</v>
      </c>
      <c r="CV115" s="229">
        <f t="shared" si="330"/>
        <v>33</v>
      </c>
      <c r="CW115" s="234">
        <f t="shared" si="331"/>
        <v>4.8487499999999999</v>
      </c>
      <c r="CX115" s="234" cm="1">
        <f t="array" ref="CX115">$BM115 * IF($AH115&lt;=2,
SUMPRODUCT(INDEX($AV$61:$AX$65,,$AI115), INDEX($AY$61:$BE$65,,$AH115), 1 / ($BF$61:$BF$65*CW115 + (1-$BF$61:$BF$65)*CS115), N($AU$61:$AU$65&gt;$AM115)),
SUMPRODUCT(INDEX($AV$46:$AX$55,,$AI115), INDEX($AY$46:$BE$55,,$AH115), 1 / ($BG$46:$BG$55*CW115 + (1-$BG$46:$BG$55)*CS115), N($AU$46:$AU$55&gt;$AM115))
) / 1000</f>
        <v>0</v>
      </c>
      <c r="CY115" s="234" cm="1">
        <f t="array" ref="CY115">$BM115 * IF($AH115&lt;=2,
SUMPRODUCT(INDEX($AV$22:$AX$60,,$AI115), INDEX($AY$22:$BE$60,,$AH115), 1 / ($BF$22:$BF$60*CW115), N($AU$22:$AU$60&gt;$AM115)),
SUMPRODUCT(INDEX($AV$22:$AX$45,,$AI115), INDEX($AY$22:$BE$45,,$AH115), 1 / ($BG$22:$BG$45*CW115), N($AU$22:$AU$45&gt;$AM115))
) / 1000</f>
        <v>0</v>
      </c>
      <c r="CZ115" s="229">
        <f t="shared" si="332"/>
        <v>0</v>
      </c>
      <c r="DA115" s="246"/>
    </row>
    <row r="116" spans="1:105" s="75" customFormat="1" ht="14.25" customHeight="1" x14ac:dyDescent="0.2">
      <c r="A116" s="230" t="b">
        <f t="shared" si="291"/>
        <v>0</v>
      </c>
      <c r="B116" s="253">
        <v>95</v>
      </c>
      <c r="C116" s="266"/>
      <c r="D116" s="266"/>
      <c r="E116" s="254"/>
      <c r="F116" s="255" t="str">
        <f>IF(ISBLANK(E116), "", VLOOKUP(E116, Z!$A$2:$C$4127, 3, FALSE))</f>
        <v/>
      </c>
      <c r="G116" s="256"/>
      <c r="H116" s="256"/>
      <c r="I116" s="256"/>
      <c r="J116" s="257"/>
      <c r="K116" s="258"/>
      <c r="L116" s="267"/>
      <c r="M116" s="268"/>
      <c r="N116" s="259" t="str" cm="1">
        <f t="array" ref="N116">IF($L116&gt;0, INDEX(Clean,1+AK116,$D$1), "")</f>
        <v/>
      </c>
      <c r="O116" s="260"/>
      <c r="P116" s="260"/>
      <c r="Q116" s="261"/>
      <c r="R116" s="264">
        <f t="shared" si="297"/>
        <v>0</v>
      </c>
      <c r="S116" s="259" t="str" cm="1">
        <f t="array" ref="S116">IF($L116&gt;0, INDEX(Clean,1+AL116,$D$1), "")</f>
        <v/>
      </c>
      <c r="T116" s="260"/>
      <c r="U116" s="260"/>
      <c r="V116" s="261"/>
      <c r="W116" s="267"/>
      <c r="X116" s="267"/>
      <c r="Y116" s="257"/>
      <c r="Z116" s="264">
        <f t="shared" si="298"/>
        <v>0</v>
      </c>
      <c r="AA116" s="269"/>
      <c r="AB116" s="266"/>
      <c r="AC116" s="254"/>
      <c r="AD116" s="255" t="str">
        <f>IF(ISBLANK(AC116), "", VLOOKUP(AC116, Z!$A$2:$C$4127, 3, FALSE))</f>
        <v/>
      </c>
      <c r="AE116" s="270"/>
      <c r="AF116" s="265">
        <f t="shared" si="299"/>
        <v>0</v>
      </c>
      <c r="AG116" s="246"/>
      <c r="AH116" s="228">
        <f t="shared" ref="AH116" si="445">IF(ISBLANK(I116), 1, IFERROR(MATCH(I116, INDEX(Use,,1), 0), IFERROR(MATCH(I116, INDEX(Use,,2), 0), MATCH(I116, INDEX(Use,,3), 0))))</f>
        <v>1</v>
      </c>
      <c r="AI116" s="228">
        <f t="shared" ref="AI116" si="446">IF(ISBLANK(H116), 1, IFERROR(MATCH(H116, INDEX(Loc,,1), 0), IFERROR(MATCH(H116, INDEX(Loc,,2), 0), MATCH(H116, INDEX(Loc,,3), 0))))</f>
        <v>1</v>
      </c>
      <c r="AJ116" s="228">
        <f t="shared" ref="AJ116" si="447">_xlfn.IFNA(IF(IFERROR(MATCH(J116, INDEX(Medium,,1), 0), IFERROR(MATCH(J116, INDEX(Medium,,2), 0), MATCH(J116, INDEX(Medium,,3), 0))) = 2, 1, 0), 0)</f>
        <v>0</v>
      </c>
      <c r="AK116" s="228">
        <v>0</v>
      </c>
      <c r="AL116" s="228">
        <v>0</v>
      </c>
      <c r="AM116" s="228">
        <f t="shared" si="295"/>
        <v>-100</v>
      </c>
      <c r="AN116" s="228" cm="1">
        <f t="array" ref="AN116">IF(ISBLANK(G116), 1, IFERROR(MATCH(G116, INDEX(Kat,,1), 0), IFERROR(MATCH(Kat, INDEX(Use,,2), 0), MATCH(Kat, INDEX(Use,,3), 0))))</f>
        <v>1</v>
      </c>
      <c r="AO116" s="246"/>
      <c r="AP116" s="228" cm="1">
        <f t="array" ref="AP116">IF(W116&gt;0, INDEX(Kat, AN116,4), 0)</f>
        <v>0</v>
      </c>
      <c r="AQ116" s="228">
        <f t="shared" ref="AQ116" si="448">IF(ISBLANK(Y116), 0, IFERROR(MATCH(Y116, INDEX(Month,,1), 0), IFERROR(MATCH(Y116, INDEX(Month,,2), 0), MATCH(Y116, INDEX(Month,,3), 0))))</f>
        <v>0</v>
      </c>
      <c r="AR116" s="228" cm="1">
        <f t="array" ref="AR116">IF(X116&gt;0, INDEX(Kat, $AN116, 4+AQ116), 0)</f>
        <v>0</v>
      </c>
      <c r="AS116" s="228" cm="1">
        <f t="array" ref="AS116">IF(X116&gt;0, INDEX(Kat, $AN116, 9+AQ116), 0)</f>
        <v>0</v>
      </c>
      <c r="AT116" s="246"/>
      <c r="AU116" s="262"/>
      <c r="AV116" s="262"/>
      <c r="AW116" s="263"/>
      <c r="AX116" s="263"/>
      <c r="AY116" s="263"/>
      <c r="AZ116" s="263"/>
      <c r="BA116" s="263"/>
      <c r="BB116" s="263"/>
      <c r="BC116" s="263"/>
      <c r="BD116" s="263"/>
      <c r="BE116" s="263"/>
      <c r="BF116" s="263"/>
      <c r="BG116" s="263"/>
      <c r="BH116" s="246"/>
      <c r="BI116" s="228" cm="1">
        <f t="array" ref="BI116">INDEX(Use, $AH116, 4)</f>
        <v>7</v>
      </c>
      <c r="BJ116" s="228">
        <f t="shared" si="304"/>
        <v>32</v>
      </c>
      <c r="BK116" s="228">
        <f t="shared" si="305"/>
        <v>13</v>
      </c>
      <c r="BL116" s="228">
        <f t="shared" si="306"/>
        <v>0</v>
      </c>
      <c r="BM116" s="233" cm="1">
        <f t="array" ref="BM116">L116/IF($M116&gt;0, INDEX($AY$22:$BE$76, $M116+20, $AH116), 1)</f>
        <v>0</v>
      </c>
      <c r="BN116" s="229">
        <f t="shared" si="307"/>
        <v>0</v>
      </c>
      <c r="BO116" s="228">
        <v>35</v>
      </c>
      <c r="BP116" s="229">
        <f t="shared" si="308"/>
        <v>48</v>
      </c>
      <c r="BQ116" s="234">
        <f t="shared" si="309"/>
        <v>3.0748170731707316</v>
      </c>
      <c r="BR116" s="234" cm="1">
        <f t="array" ref="BR116">$BM116 * SUMPRODUCT(INDEX($AV$76:$AX$81,,$AI116),INDEX($AY$76:$BE$81,,$AH116), N($AU$76:$AU$81&gt;$AM116)) / BQ116 / 1000</f>
        <v>0</v>
      </c>
      <c r="BS116" s="231">
        <f t="shared" si="310"/>
        <v>30</v>
      </c>
      <c r="BT116" s="229">
        <f t="shared" si="311"/>
        <v>43</v>
      </c>
      <c r="BU116" s="234">
        <f t="shared" si="312"/>
        <v>3.5018750000000001</v>
      </c>
      <c r="BV116" s="234" cm="1">
        <f t="array" ref="BV116">$BM116 * IF($AH116&lt;=2,
SUMPRODUCT(INDEX($AV$71:$AX$75,,$AI116), INDEX($AY$71:$BE$75,,$AH116), 1 / ($BF$71:$BF$75*BU116 + (1-$BF$71:$BF$75)*BQ116), N($AU$71:$AU$75&gt;$AM116)),
SUMPRODUCT(INDEX($AV$66:$AX$75,,$AI116), INDEX($AY$66:$BE$75,,$AH116), 1 / ($BG$66:$BG$75*BU116 + (1-$BG$66:$BG$75)*BQ116), N($AU$66:$AU$75&gt;$AM116))
) / 1000</f>
        <v>0</v>
      </c>
      <c r="BW116" s="231">
        <f t="shared" si="313"/>
        <v>25</v>
      </c>
      <c r="BX116" s="229">
        <f t="shared" si="314"/>
        <v>38</v>
      </c>
      <c r="BY116" s="234">
        <f t="shared" si="315"/>
        <v>4.0666935483870965</v>
      </c>
      <c r="BZ116" s="234" cm="1">
        <f t="array" ref="BZ116">$BM116 * IF($AH116&lt;=2,
SUMPRODUCT(INDEX($AV$66:$AX$70,,$AI116), INDEX($AY$66:$BE$70,,$AH116), 1 / ($BF$66:$BF$70*BY116 + (1-$BF$66:$BF$70)*BU116), N($AU$66:$AU$70&gt;$AM116)),
SUMPRODUCT(INDEX($AV$56:$AX$65,,$AI116), INDEX($AY$56:$BE$65,,$AH116), 1 / ($BG$56:$BG$65*BY116 + (1-$BG$56:$BG$65)*BU116), N($AU$56:$AU$65&gt;$AM116))
) / 1000</f>
        <v>0</v>
      </c>
      <c r="CA116" s="231">
        <f t="shared" si="316"/>
        <v>20</v>
      </c>
      <c r="CB116" s="229">
        <f t="shared" si="317"/>
        <v>33</v>
      </c>
      <c r="CC116" s="234">
        <f t="shared" si="318"/>
        <v>4.8487499999999999</v>
      </c>
      <c r="CD116" s="234" cm="1">
        <f t="array" ref="CD116">$BM116 * IF($AH116&lt;=2,
SUMPRODUCT(INDEX($AV$61:$AX$65,,$AI116), INDEX($AY$61:$BE$65,,$AH116), 1 / ($BF$61:$BF$65*CC116 + (1-$BF$61:$BF$65)*BY116), N($AU$61:$AU$65&gt;$AM116)),
SUMPRODUCT(INDEX($AV$46:$AX$55,,$AI116), INDEX($AY$46:$BE$55,,$AH116), 1 / ($BG$46:$BG$55*CC116 + (1-$BG$46:$BG$55)*BY116), N($AU$46:$AU$55&gt;$AM116))
) / 1000</f>
        <v>0</v>
      </c>
      <c r="CE116" s="234" cm="1">
        <f t="array" ref="CE116">$BM116 * IF($AH116&lt;=2,
SUMPRODUCT(INDEX($AV$22:$AX$60,,$AI116), INDEX($AY$22:$BE$60,,$AH116), 1 / ($BF$22:$BF$60*CC116), N($AU$22:$AU$60&gt;$AM116)),
SUMPRODUCT(INDEX($AV$22:$AX$45,,$AI116), INDEX($AY$22:$BE$45,,$AH116), 1 / ($BG$22:$BG$45*CC116), N($AU$22:$AU$45&gt;$AM116))
) / 1000</f>
        <v>0</v>
      </c>
      <c r="CF116" s="229">
        <f t="shared" si="319"/>
        <v>0</v>
      </c>
      <c r="CG116" s="246"/>
      <c r="CH116" s="229">
        <f t="shared" si="320"/>
        <v>0</v>
      </c>
      <c r="CI116" s="228">
        <v>35</v>
      </c>
      <c r="CJ116" s="229">
        <f t="shared" si="321"/>
        <v>48</v>
      </c>
      <c r="CK116" s="234">
        <f t="shared" si="322"/>
        <v>3.0748170731707316</v>
      </c>
      <c r="CL116" s="234" cm="1">
        <f t="array" ref="CL116">$BM116 * SUMPRODUCT(INDEX($AV$76:$AX$81,,$AI116),INDEX($AY$76:$BE$81,,$AH116), N($AU$76:$AU$81&gt;$AM116)) / CK116 / 1000</f>
        <v>0</v>
      </c>
      <c r="CM116" s="231">
        <f t="shared" si="323"/>
        <v>30</v>
      </c>
      <c r="CN116" s="229">
        <f t="shared" si="324"/>
        <v>43</v>
      </c>
      <c r="CO116" s="234">
        <f t="shared" si="325"/>
        <v>3.5018750000000001</v>
      </c>
      <c r="CP116" s="234" cm="1">
        <f t="array" ref="CP116">$BM116 * IF($AH116&lt;=2,
SUMPRODUCT(INDEX($AV$71:$AX$75,,$AI116), INDEX($AY$71:$BE$75,,$AH116), 1 / ($BF$71:$BF$75*CO116 + (1-$BF$71:$BF$75)*CK116), N($AU$71:$AU$75&gt;$AM116)),
SUMPRODUCT(INDEX($AV$66:$AX$75,,$AI116), INDEX($AY$66:$BE$75,,$AH116), 1 / ($BG$66:$BG$75*CO116 + (1-$BG$66:$BG$75)*CK116), N($AU$66:$AU$75&gt;$AM116))
) / 1000</f>
        <v>0</v>
      </c>
      <c r="CQ116" s="231">
        <f t="shared" si="326"/>
        <v>25</v>
      </c>
      <c r="CR116" s="229">
        <f t="shared" si="327"/>
        <v>38</v>
      </c>
      <c r="CS116" s="234">
        <f t="shared" si="328"/>
        <v>4.0666935483870965</v>
      </c>
      <c r="CT116" s="234" cm="1">
        <f t="array" ref="CT116">$BM116 * IF($AH116&lt;=2,
SUMPRODUCT(INDEX($AV$66:$AX$70,,$AI116), INDEX($AY$66:$BE$70,,$AH116), 1 / ($BF$66:$BF$70*CS116 + (1-$BF$66:$BF$70)*CO116), N($AU$66:$AU$70&gt;$AM116)),
SUMPRODUCT(INDEX($AV$56:$AX$65,,$AI116), INDEX($AY$56:$BE$65,,$AH116), 1 / ($BG$56:$BG$65*CS116 + (1-$BG$56:$BG$65)*CO116), N($AU$56:$AU$65&gt;$AM116))
) / 1000</f>
        <v>0</v>
      </c>
      <c r="CU116" s="231">
        <f t="shared" si="329"/>
        <v>20</v>
      </c>
      <c r="CV116" s="229">
        <f t="shared" si="330"/>
        <v>33</v>
      </c>
      <c r="CW116" s="234">
        <f t="shared" si="331"/>
        <v>4.8487499999999999</v>
      </c>
      <c r="CX116" s="234" cm="1">
        <f t="array" ref="CX116">$BM116 * IF($AH116&lt;=2,
SUMPRODUCT(INDEX($AV$61:$AX$65,,$AI116), INDEX($AY$61:$BE$65,,$AH116), 1 / ($BF$61:$BF$65*CW116 + (1-$BF$61:$BF$65)*CS116), N($AU$61:$AU$65&gt;$AM116)),
SUMPRODUCT(INDEX($AV$46:$AX$55,,$AI116), INDEX($AY$46:$BE$55,,$AH116), 1 / ($BG$46:$BG$55*CW116 + (1-$BG$46:$BG$55)*CS116), N($AU$46:$AU$55&gt;$AM116))
) / 1000</f>
        <v>0</v>
      </c>
      <c r="CY116" s="234" cm="1">
        <f t="array" ref="CY116">$BM116 * IF($AH116&lt;=2,
SUMPRODUCT(INDEX($AV$22:$AX$60,,$AI116), INDEX($AY$22:$BE$60,,$AH116), 1 / ($BF$22:$BF$60*CW116), N($AU$22:$AU$60&gt;$AM116)),
SUMPRODUCT(INDEX($AV$22:$AX$45,,$AI116), INDEX($AY$22:$BE$45,,$AH116), 1 / ($BG$22:$BG$45*CW116), N($AU$22:$AU$45&gt;$AM116))
) / 1000</f>
        <v>0</v>
      </c>
      <c r="CZ116" s="229">
        <f t="shared" si="332"/>
        <v>0</v>
      </c>
      <c r="DA116" s="246"/>
    </row>
    <row r="117" spans="1:105" s="75" customFormat="1" ht="14.25" customHeight="1" x14ac:dyDescent="0.2">
      <c r="A117" s="230" t="b">
        <f t="shared" si="291"/>
        <v>0</v>
      </c>
      <c r="B117" s="253">
        <v>96</v>
      </c>
      <c r="C117" s="266"/>
      <c r="D117" s="266"/>
      <c r="E117" s="254"/>
      <c r="F117" s="255" t="str">
        <f>IF(ISBLANK(E117), "", VLOOKUP(E117, Z!$A$2:$C$4127, 3, FALSE))</f>
        <v/>
      </c>
      <c r="G117" s="256"/>
      <c r="H117" s="256"/>
      <c r="I117" s="256"/>
      <c r="J117" s="257"/>
      <c r="K117" s="258"/>
      <c r="L117" s="267"/>
      <c r="M117" s="268"/>
      <c r="N117" s="259" t="str" cm="1">
        <f t="array" ref="N117">IF($L117&gt;0, INDEX(Clean,1+AK117,$D$1), "")</f>
        <v/>
      </c>
      <c r="O117" s="260"/>
      <c r="P117" s="260"/>
      <c r="Q117" s="261"/>
      <c r="R117" s="264">
        <f t="shared" si="297"/>
        <v>0</v>
      </c>
      <c r="S117" s="259" t="str" cm="1">
        <f t="array" ref="S117">IF($L117&gt;0, INDEX(Clean,1+AL117,$D$1), "")</f>
        <v/>
      </c>
      <c r="T117" s="260"/>
      <c r="U117" s="260"/>
      <c r="V117" s="261"/>
      <c r="W117" s="267"/>
      <c r="X117" s="267"/>
      <c r="Y117" s="257"/>
      <c r="Z117" s="264">
        <f t="shared" si="298"/>
        <v>0</v>
      </c>
      <c r="AA117" s="269"/>
      <c r="AB117" s="266"/>
      <c r="AC117" s="254"/>
      <c r="AD117" s="255" t="str">
        <f>IF(ISBLANK(AC117), "", VLOOKUP(AC117, Z!$A$2:$C$4127, 3, FALSE))</f>
        <v/>
      </c>
      <c r="AE117" s="270"/>
      <c r="AF117" s="265">
        <f t="shared" si="299"/>
        <v>0</v>
      </c>
      <c r="AG117" s="246"/>
      <c r="AH117" s="228">
        <f t="shared" ref="AH117" si="449">IF(ISBLANK(I117), 1, IFERROR(MATCH(I117, INDEX(Use,,1), 0), IFERROR(MATCH(I117, INDEX(Use,,2), 0), MATCH(I117, INDEX(Use,,3), 0))))</f>
        <v>1</v>
      </c>
      <c r="AI117" s="228">
        <f t="shared" ref="AI117" si="450">IF(ISBLANK(H117), 1, IFERROR(MATCH(H117, INDEX(Loc,,1), 0), IFERROR(MATCH(H117, INDEX(Loc,,2), 0), MATCH(H117, INDEX(Loc,,3), 0))))</f>
        <v>1</v>
      </c>
      <c r="AJ117" s="228">
        <f t="shared" ref="AJ117" si="451">_xlfn.IFNA(IF(IFERROR(MATCH(J117, INDEX(Medium,,1), 0), IFERROR(MATCH(J117, INDEX(Medium,,2), 0), MATCH(J117, INDEX(Medium,,3), 0))) = 2, 1, 0), 0)</f>
        <v>0</v>
      </c>
      <c r="AK117" s="228">
        <v>0</v>
      </c>
      <c r="AL117" s="228">
        <v>0</v>
      </c>
      <c r="AM117" s="228">
        <f t="shared" si="295"/>
        <v>-100</v>
      </c>
      <c r="AN117" s="228" cm="1">
        <f t="array" ref="AN117">IF(ISBLANK(G117), 1, IFERROR(MATCH(G117, INDEX(Kat,,1), 0), IFERROR(MATCH(Kat, INDEX(Use,,2), 0), MATCH(Kat, INDEX(Use,,3), 0))))</f>
        <v>1</v>
      </c>
      <c r="AO117" s="246"/>
      <c r="AP117" s="228" cm="1">
        <f t="array" ref="AP117">IF(W117&gt;0, INDEX(Kat, AN117,4), 0)</f>
        <v>0</v>
      </c>
      <c r="AQ117" s="228">
        <f t="shared" ref="AQ117" si="452">IF(ISBLANK(Y117), 0, IFERROR(MATCH(Y117, INDEX(Month,,1), 0), IFERROR(MATCH(Y117, INDEX(Month,,2), 0), MATCH(Y117, INDEX(Month,,3), 0))))</f>
        <v>0</v>
      </c>
      <c r="AR117" s="228" cm="1">
        <f t="array" ref="AR117">IF(X117&gt;0, INDEX(Kat, $AN117, 4+AQ117), 0)</f>
        <v>0</v>
      </c>
      <c r="AS117" s="228" cm="1">
        <f t="array" ref="AS117">IF(X117&gt;0, INDEX(Kat, $AN117, 9+AQ117), 0)</f>
        <v>0</v>
      </c>
      <c r="AT117" s="246"/>
      <c r="AU117" s="262"/>
      <c r="AV117" s="262"/>
      <c r="AW117" s="263"/>
      <c r="AX117" s="263"/>
      <c r="AY117" s="263"/>
      <c r="AZ117" s="263"/>
      <c r="BA117" s="263"/>
      <c r="BB117" s="263"/>
      <c r="BC117" s="263"/>
      <c r="BD117" s="263"/>
      <c r="BE117" s="263"/>
      <c r="BF117" s="263"/>
      <c r="BG117" s="263"/>
      <c r="BH117" s="246"/>
      <c r="BI117" s="228" cm="1">
        <f t="array" ref="BI117">INDEX(Use, $AH117, 4)</f>
        <v>7</v>
      </c>
      <c r="BJ117" s="228">
        <f t="shared" si="304"/>
        <v>32</v>
      </c>
      <c r="BK117" s="228">
        <f t="shared" si="305"/>
        <v>13</v>
      </c>
      <c r="BL117" s="228">
        <f t="shared" si="306"/>
        <v>0</v>
      </c>
      <c r="BM117" s="233" cm="1">
        <f t="array" ref="BM117">L117/IF($M117&gt;0, INDEX($AY$22:$BE$76, $M117+20, $AH117), 1)</f>
        <v>0</v>
      </c>
      <c r="BN117" s="229">
        <f t="shared" si="307"/>
        <v>0</v>
      </c>
      <c r="BO117" s="228">
        <v>35</v>
      </c>
      <c r="BP117" s="229">
        <f t="shared" si="308"/>
        <v>48</v>
      </c>
      <c r="BQ117" s="234">
        <f t="shared" si="309"/>
        <v>3.0748170731707316</v>
      </c>
      <c r="BR117" s="234" cm="1">
        <f t="array" ref="BR117">$BM117 * SUMPRODUCT(INDEX($AV$76:$AX$81,,$AI117),INDEX($AY$76:$BE$81,,$AH117), N($AU$76:$AU$81&gt;$AM117)) / BQ117 / 1000</f>
        <v>0</v>
      </c>
      <c r="BS117" s="231">
        <f t="shared" si="310"/>
        <v>30</v>
      </c>
      <c r="BT117" s="229">
        <f t="shared" si="311"/>
        <v>43</v>
      </c>
      <c r="BU117" s="234">
        <f t="shared" si="312"/>
        <v>3.5018750000000001</v>
      </c>
      <c r="BV117" s="234" cm="1">
        <f t="array" ref="BV117">$BM117 * IF($AH117&lt;=2,
SUMPRODUCT(INDEX($AV$71:$AX$75,,$AI117), INDEX($AY$71:$BE$75,,$AH117), 1 / ($BF$71:$BF$75*BU117 + (1-$BF$71:$BF$75)*BQ117), N($AU$71:$AU$75&gt;$AM117)),
SUMPRODUCT(INDEX($AV$66:$AX$75,,$AI117), INDEX($AY$66:$BE$75,,$AH117), 1 / ($BG$66:$BG$75*BU117 + (1-$BG$66:$BG$75)*BQ117), N($AU$66:$AU$75&gt;$AM117))
) / 1000</f>
        <v>0</v>
      </c>
      <c r="BW117" s="231">
        <f t="shared" si="313"/>
        <v>25</v>
      </c>
      <c r="BX117" s="229">
        <f t="shared" si="314"/>
        <v>38</v>
      </c>
      <c r="BY117" s="234">
        <f t="shared" si="315"/>
        <v>4.0666935483870965</v>
      </c>
      <c r="BZ117" s="234" cm="1">
        <f t="array" ref="BZ117">$BM117 * IF($AH117&lt;=2,
SUMPRODUCT(INDEX($AV$66:$AX$70,,$AI117), INDEX($AY$66:$BE$70,,$AH117), 1 / ($BF$66:$BF$70*BY117 + (1-$BF$66:$BF$70)*BU117), N($AU$66:$AU$70&gt;$AM117)),
SUMPRODUCT(INDEX($AV$56:$AX$65,,$AI117), INDEX($AY$56:$BE$65,,$AH117), 1 / ($BG$56:$BG$65*BY117 + (1-$BG$56:$BG$65)*BU117), N($AU$56:$AU$65&gt;$AM117))
) / 1000</f>
        <v>0</v>
      </c>
      <c r="CA117" s="231">
        <f t="shared" si="316"/>
        <v>20</v>
      </c>
      <c r="CB117" s="229">
        <f t="shared" si="317"/>
        <v>33</v>
      </c>
      <c r="CC117" s="234">
        <f t="shared" si="318"/>
        <v>4.8487499999999999</v>
      </c>
      <c r="CD117" s="234" cm="1">
        <f t="array" ref="CD117">$BM117 * IF($AH117&lt;=2,
SUMPRODUCT(INDEX($AV$61:$AX$65,,$AI117), INDEX($AY$61:$BE$65,,$AH117), 1 / ($BF$61:$BF$65*CC117 + (1-$BF$61:$BF$65)*BY117), N($AU$61:$AU$65&gt;$AM117)),
SUMPRODUCT(INDEX($AV$46:$AX$55,,$AI117), INDEX($AY$46:$BE$55,,$AH117), 1 / ($BG$46:$BG$55*CC117 + (1-$BG$46:$BG$55)*BY117), N($AU$46:$AU$55&gt;$AM117))
) / 1000</f>
        <v>0</v>
      </c>
      <c r="CE117" s="234" cm="1">
        <f t="array" ref="CE117">$BM117 * IF($AH117&lt;=2,
SUMPRODUCT(INDEX($AV$22:$AX$60,,$AI117), INDEX($AY$22:$BE$60,,$AH117), 1 / ($BF$22:$BF$60*CC117), N($AU$22:$AU$60&gt;$AM117)),
SUMPRODUCT(INDEX($AV$22:$AX$45,,$AI117), INDEX($AY$22:$BE$45,,$AH117), 1 / ($BG$22:$BG$45*CC117), N($AU$22:$AU$45&gt;$AM117))
) / 1000</f>
        <v>0</v>
      </c>
      <c r="CF117" s="229">
        <f t="shared" si="319"/>
        <v>0</v>
      </c>
      <c r="CG117" s="246"/>
      <c r="CH117" s="229">
        <f t="shared" si="320"/>
        <v>0</v>
      </c>
      <c r="CI117" s="228">
        <v>35</v>
      </c>
      <c r="CJ117" s="229">
        <f t="shared" si="321"/>
        <v>48</v>
      </c>
      <c r="CK117" s="234">
        <f t="shared" si="322"/>
        <v>3.0748170731707316</v>
      </c>
      <c r="CL117" s="234" cm="1">
        <f t="array" ref="CL117">$BM117 * SUMPRODUCT(INDEX($AV$76:$AX$81,,$AI117),INDEX($AY$76:$BE$81,,$AH117), N($AU$76:$AU$81&gt;$AM117)) / CK117 / 1000</f>
        <v>0</v>
      </c>
      <c r="CM117" s="231">
        <f t="shared" si="323"/>
        <v>30</v>
      </c>
      <c r="CN117" s="229">
        <f t="shared" si="324"/>
        <v>43</v>
      </c>
      <c r="CO117" s="234">
        <f t="shared" si="325"/>
        <v>3.5018750000000001</v>
      </c>
      <c r="CP117" s="234" cm="1">
        <f t="array" ref="CP117">$BM117 * IF($AH117&lt;=2,
SUMPRODUCT(INDEX($AV$71:$AX$75,,$AI117), INDEX($AY$71:$BE$75,,$AH117), 1 / ($BF$71:$BF$75*CO117 + (1-$BF$71:$BF$75)*CK117), N($AU$71:$AU$75&gt;$AM117)),
SUMPRODUCT(INDEX($AV$66:$AX$75,,$AI117), INDEX($AY$66:$BE$75,,$AH117), 1 / ($BG$66:$BG$75*CO117 + (1-$BG$66:$BG$75)*CK117), N($AU$66:$AU$75&gt;$AM117))
) / 1000</f>
        <v>0</v>
      </c>
      <c r="CQ117" s="231">
        <f t="shared" si="326"/>
        <v>25</v>
      </c>
      <c r="CR117" s="229">
        <f t="shared" si="327"/>
        <v>38</v>
      </c>
      <c r="CS117" s="234">
        <f t="shared" si="328"/>
        <v>4.0666935483870965</v>
      </c>
      <c r="CT117" s="234" cm="1">
        <f t="array" ref="CT117">$BM117 * IF($AH117&lt;=2,
SUMPRODUCT(INDEX($AV$66:$AX$70,,$AI117), INDEX($AY$66:$BE$70,,$AH117), 1 / ($BF$66:$BF$70*CS117 + (1-$BF$66:$BF$70)*CO117), N($AU$66:$AU$70&gt;$AM117)),
SUMPRODUCT(INDEX($AV$56:$AX$65,,$AI117), INDEX($AY$56:$BE$65,,$AH117), 1 / ($BG$56:$BG$65*CS117 + (1-$BG$56:$BG$65)*CO117), N($AU$56:$AU$65&gt;$AM117))
) / 1000</f>
        <v>0</v>
      </c>
      <c r="CU117" s="231">
        <f t="shared" si="329"/>
        <v>20</v>
      </c>
      <c r="CV117" s="229">
        <f t="shared" si="330"/>
        <v>33</v>
      </c>
      <c r="CW117" s="234">
        <f t="shared" si="331"/>
        <v>4.8487499999999999</v>
      </c>
      <c r="CX117" s="234" cm="1">
        <f t="array" ref="CX117">$BM117 * IF($AH117&lt;=2,
SUMPRODUCT(INDEX($AV$61:$AX$65,,$AI117), INDEX($AY$61:$BE$65,,$AH117), 1 / ($BF$61:$BF$65*CW117 + (1-$BF$61:$BF$65)*CS117), N($AU$61:$AU$65&gt;$AM117)),
SUMPRODUCT(INDEX($AV$46:$AX$55,,$AI117), INDEX($AY$46:$BE$55,,$AH117), 1 / ($BG$46:$BG$55*CW117 + (1-$BG$46:$BG$55)*CS117), N($AU$46:$AU$55&gt;$AM117))
) / 1000</f>
        <v>0</v>
      </c>
      <c r="CY117" s="234" cm="1">
        <f t="array" ref="CY117">$BM117 * IF($AH117&lt;=2,
SUMPRODUCT(INDEX($AV$22:$AX$60,,$AI117), INDEX($AY$22:$BE$60,,$AH117), 1 / ($BF$22:$BF$60*CW117), N($AU$22:$AU$60&gt;$AM117)),
SUMPRODUCT(INDEX($AV$22:$AX$45,,$AI117), INDEX($AY$22:$BE$45,,$AH117), 1 / ($BG$22:$BG$45*CW117), N($AU$22:$AU$45&gt;$AM117))
) / 1000</f>
        <v>0</v>
      </c>
      <c r="CZ117" s="229">
        <f t="shared" si="332"/>
        <v>0</v>
      </c>
      <c r="DA117" s="246"/>
    </row>
    <row r="118" spans="1:105" s="75" customFormat="1" ht="14.25" customHeight="1" x14ac:dyDescent="0.2">
      <c r="A118" s="230" t="b">
        <f t="shared" si="291"/>
        <v>0</v>
      </c>
      <c r="B118" s="253">
        <v>97</v>
      </c>
      <c r="C118" s="266"/>
      <c r="D118" s="266"/>
      <c r="E118" s="254"/>
      <c r="F118" s="255" t="str">
        <f>IF(ISBLANK(E118), "", VLOOKUP(E118, Z!$A$2:$C$4127, 3, FALSE))</f>
        <v/>
      </c>
      <c r="G118" s="256"/>
      <c r="H118" s="256"/>
      <c r="I118" s="256"/>
      <c r="J118" s="257"/>
      <c r="K118" s="258"/>
      <c r="L118" s="267"/>
      <c r="M118" s="268"/>
      <c r="N118" s="259" t="str" cm="1">
        <f t="array" ref="N118">IF($L118&gt;0, INDEX(Clean,1+AK118,$D$1), "")</f>
        <v/>
      </c>
      <c r="O118" s="260"/>
      <c r="P118" s="260"/>
      <c r="Q118" s="261"/>
      <c r="R118" s="264">
        <f t="shared" si="297"/>
        <v>0</v>
      </c>
      <c r="S118" s="259" t="str" cm="1">
        <f t="array" ref="S118">IF($L118&gt;0, INDEX(Clean,1+AL118,$D$1), "")</f>
        <v/>
      </c>
      <c r="T118" s="260"/>
      <c r="U118" s="260"/>
      <c r="V118" s="261"/>
      <c r="W118" s="267"/>
      <c r="X118" s="267"/>
      <c r="Y118" s="257"/>
      <c r="Z118" s="264">
        <f t="shared" si="298"/>
        <v>0</v>
      </c>
      <c r="AA118" s="269"/>
      <c r="AB118" s="266"/>
      <c r="AC118" s="254"/>
      <c r="AD118" s="255" t="str">
        <f>IF(ISBLANK(AC118), "", VLOOKUP(AC118, Z!$A$2:$C$4127, 3, FALSE))</f>
        <v/>
      </c>
      <c r="AE118" s="270"/>
      <c r="AF118" s="265">
        <f t="shared" si="299"/>
        <v>0</v>
      </c>
      <c r="AG118" s="246"/>
      <c r="AH118" s="228">
        <f t="shared" ref="AH118" si="453">IF(ISBLANK(I118), 1, IFERROR(MATCH(I118, INDEX(Use,,1), 0), IFERROR(MATCH(I118, INDEX(Use,,2), 0), MATCH(I118, INDEX(Use,,3), 0))))</f>
        <v>1</v>
      </c>
      <c r="AI118" s="228">
        <f t="shared" ref="AI118" si="454">IF(ISBLANK(H118), 1, IFERROR(MATCH(H118, INDEX(Loc,,1), 0), IFERROR(MATCH(H118, INDEX(Loc,,2), 0), MATCH(H118, INDEX(Loc,,3), 0))))</f>
        <v>1</v>
      </c>
      <c r="AJ118" s="228">
        <f t="shared" ref="AJ118" si="455">_xlfn.IFNA(IF(IFERROR(MATCH(J118, INDEX(Medium,,1), 0), IFERROR(MATCH(J118, INDEX(Medium,,2), 0), MATCH(J118, INDEX(Medium,,3), 0))) = 2, 1, 0), 0)</f>
        <v>0</v>
      </c>
      <c r="AK118" s="228">
        <v>0</v>
      </c>
      <c r="AL118" s="228">
        <v>0</v>
      </c>
      <c r="AM118" s="228">
        <f t="shared" si="295"/>
        <v>-100</v>
      </c>
      <c r="AN118" s="228" cm="1">
        <f t="array" ref="AN118">IF(ISBLANK(G118), 1, IFERROR(MATCH(G118, INDEX(Kat,,1), 0), IFERROR(MATCH(Kat, INDEX(Use,,2), 0), MATCH(Kat, INDEX(Use,,3), 0))))</f>
        <v>1</v>
      </c>
      <c r="AO118" s="246"/>
      <c r="AP118" s="228" cm="1">
        <f t="array" ref="AP118">IF(W118&gt;0, INDEX(Kat, AN118,4), 0)</f>
        <v>0</v>
      </c>
      <c r="AQ118" s="228">
        <f t="shared" ref="AQ118" si="456">IF(ISBLANK(Y118), 0, IFERROR(MATCH(Y118, INDEX(Month,,1), 0), IFERROR(MATCH(Y118, INDEX(Month,,2), 0), MATCH(Y118, INDEX(Month,,3), 0))))</f>
        <v>0</v>
      </c>
      <c r="AR118" s="228" cm="1">
        <f t="array" ref="AR118">IF(X118&gt;0, INDEX(Kat, $AN118, 4+AQ118), 0)</f>
        <v>0</v>
      </c>
      <c r="AS118" s="228" cm="1">
        <f t="array" ref="AS118">IF(X118&gt;0, INDEX(Kat, $AN118, 9+AQ118), 0)</f>
        <v>0</v>
      </c>
      <c r="AT118" s="246"/>
      <c r="AU118" s="262"/>
      <c r="AV118" s="262"/>
      <c r="AW118" s="263"/>
      <c r="AX118" s="263"/>
      <c r="AY118" s="263"/>
      <c r="AZ118" s="263"/>
      <c r="BA118" s="263"/>
      <c r="BB118" s="263"/>
      <c r="BC118" s="263"/>
      <c r="BD118" s="263"/>
      <c r="BE118" s="263"/>
      <c r="BF118" s="263"/>
      <c r="BG118" s="263"/>
      <c r="BH118" s="246"/>
      <c r="BI118" s="228" cm="1">
        <f t="array" ref="BI118">INDEX(Use, $AH118, 4)</f>
        <v>7</v>
      </c>
      <c r="BJ118" s="228">
        <f t="shared" si="304"/>
        <v>32</v>
      </c>
      <c r="BK118" s="228">
        <f t="shared" si="305"/>
        <v>13</v>
      </c>
      <c r="BL118" s="228">
        <f t="shared" si="306"/>
        <v>0</v>
      </c>
      <c r="BM118" s="233" cm="1">
        <f t="array" ref="BM118">L118/IF($M118&gt;0, INDEX($AY$22:$BE$76, $M118+20, $AH118), 1)</f>
        <v>0</v>
      </c>
      <c r="BN118" s="229">
        <f t="shared" si="307"/>
        <v>0</v>
      </c>
      <c r="BO118" s="228">
        <v>35</v>
      </c>
      <c r="BP118" s="229">
        <f t="shared" si="308"/>
        <v>48</v>
      </c>
      <c r="BQ118" s="234">
        <f t="shared" si="309"/>
        <v>3.0748170731707316</v>
      </c>
      <c r="BR118" s="234" cm="1">
        <f t="array" ref="BR118">$BM118 * SUMPRODUCT(INDEX($AV$76:$AX$81,,$AI118),INDEX($AY$76:$BE$81,,$AH118), N($AU$76:$AU$81&gt;$AM118)) / BQ118 / 1000</f>
        <v>0</v>
      </c>
      <c r="BS118" s="231">
        <f t="shared" si="310"/>
        <v>30</v>
      </c>
      <c r="BT118" s="229">
        <f t="shared" si="311"/>
        <v>43</v>
      </c>
      <c r="BU118" s="234">
        <f t="shared" si="312"/>
        <v>3.5018750000000001</v>
      </c>
      <c r="BV118" s="234" cm="1">
        <f t="array" ref="BV118">$BM118 * IF($AH118&lt;=2,
SUMPRODUCT(INDEX($AV$71:$AX$75,,$AI118), INDEX($AY$71:$BE$75,,$AH118), 1 / ($BF$71:$BF$75*BU118 + (1-$BF$71:$BF$75)*BQ118), N($AU$71:$AU$75&gt;$AM118)),
SUMPRODUCT(INDEX($AV$66:$AX$75,,$AI118), INDEX($AY$66:$BE$75,,$AH118), 1 / ($BG$66:$BG$75*BU118 + (1-$BG$66:$BG$75)*BQ118), N($AU$66:$AU$75&gt;$AM118))
) / 1000</f>
        <v>0</v>
      </c>
      <c r="BW118" s="231">
        <f t="shared" si="313"/>
        <v>25</v>
      </c>
      <c r="BX118" s="229">
        <f t="shared" si="314"/>
        <v>38</v>
      </c>
      <c r="BY118" s="234">
        <f t="shared" si="315"/>
        <v>4.0666935483870965</v>
      </c>
      <c r="BZ118" s="234" cm="1">
        <f t="array" ref="BZ118">$BM118 * IF($AH118&lt;=2,
SUMPRODUCT(INDEX($AV$66:$AX$70,,$AI118), INDEX($AY$66:$BE$70,,$AH118), 1 / ($BF$66:$BF$70*BY118 + (1-$BF$66:$BF$70)*BU118), N($AU$66:$AU$70&gt;$AM118)),
SUMPRODUCT(INDEX($AV$56:$AX$65,,$AI118), INDEX($AY$56:$BE$65,,$AH118), 1 / ($BG$56:$BG$65*BY118 + (1-$BG$56:$BG$65)*BU118), N($AU$56:$AU$65&gt;$AM118))
) / 1000</f>
        <v>0</v>
      </c>
      <c r="CA118" s="231">
        <f t="shared" si="316"/>
        <v>20</v>
      </c>
      <c r="CB118" s="229">
        <f t="shared" si="317"/>
        <v>33</v>
      </c>
      <c r="CC118" s="234">
        <f t="shared" si="318"/>
        <v>4.8487499999999999</v>
      </c>
      <c r="CD118" s="234" cm="1">
        <f t="array" ref="CD118">$BM118 * IF($AH118&lt;=2,
SUMPRODUCT(INDEX($AV$61:$AX$65,,$AI118), INDEX($AY$61:$BE$65,,$AH118), 1 / ($BF$61:$BF$65*CC118 + (1-$BF$61:$BF$65)*BY118), N($AU$61:$AU$65&gt;$AM118)),
SUMPRODUCT(INDEX($AV$46:$AX$55,,$AI118), INDEX($AY$46:$BE$55,,$AH118), 1 / ($BG$46:$BG$55*CC118 + (1-$BG$46:$BG$55)*BY118), N($AU$46:$AU$55&gt;$AM118))
) / 1000</f>
        <v>0</v>
      </c>
      <c r="CE118" s="234" cm="1">
        <f t="array" ref="CE118">$BM118 * IF($AH118&lt;=2,
SUMPRODUCT(INDEX($AV$22:$AX$60,,$AI118), INDEX($AY$22:$BE$60,,$AH118), 1 / ($BF$22:$BF$60*CC118), N($AU$22:$AU$60&gt;$AM118)),
SUMPRODUCT(INDEX($AV$22:$AX$45,,$AI118), INDEX($AY$22:$BE$45,,$AH118), 1 / ($BG$22:$BG$45*CC118), N($AU$22:$AU$45&gt;$AM118))
) / 1000</f>
        <v>0</v>
      </c>
      <c r="CF118" s="229">
        <f t="shared" si="319"/>
        <v>0</v>
      </c>
      <c r="CG118" s="246"/>
      <c r="CH118" s="229">
        <f t="shared" si="320"/>
        <v>0</v>
      </c>
      <c r="CI118" s="228">
        <v>35</v>
      </c>
      <c r="CJ118" s="229">
        <f t="shared" si="321"/>
        <v>48</v>
      </c>
      <c r="CK118" s="234">
        <f t="shared" si="322"/>
        <v>3.0748170731707316</v>
      </c>
      <c r="CL118" s="234" cm="1">
        <f t="array" ref="CL118">$BM118 * SUMPRODUCT(INDEX($AV$76:$AX$81,,$AI118),INDEX($AY$76:$BE$81,,$AH118), N($AU$76:$AU$81&gt;$AM118)) / CK118 / 1000</f>
        <v>0</v>
      </c>
      <c r="CM118" s="231">
        <f t="shared" si="323"/>
        <v>30</v>
      </c>
      <c r="CN118" s="229">
        <f t="shared" si="324"/>
        <v>43</v>
      </c>
      <c r="CO118" s="234">
        <f t="shared" si="325"/>
        <v>3.5018750000000001</v>
      </c>
      <c r="CP118" s="234" cm="1">
        <f t="array" ref="CP118">$BM118 * IF($AH118&lt;=2,
SUMPRODUCT(INDEX($AV$71:$AX$75,,$AI118), INDEX($AY$71:$BE$75,,$AH118), 1 / ($BF$71:$BF$75*CO118 + (1-$BF$71:$BF$75)*CK118), N($AU$71:$AU$75&gt;$AM118)),
SUMPRODUCT(INDEX($AV$66:$AX$75,,$AI118), INDEX($AY$66:$BE$75,,$AH118), 1 / ($BG$66:$BG$75*CO118 + (1-$BG$66:$BG$75)*CK118), N($AU$66:$AU$75&gt;$AM118))
) / 1000</f>
        <v>0</v>
      </c>
      <c r="CQ118" s="231">
        <f t="shared" si="326"/>
        <v>25</v>
      </c>
      <c r="CR118" s="229">
        <f t="shared" si="327"/>
        <v>38</v>
      </c>
      <c r="CS118" s="234">
        <f t="shared" si="328"/>
        <v>4.0666935483870965</v>
      </c>
      <c r="CT118" s="234" cm="1">
        <f t="array" ref="CT118">$BM118 * IF($AH118&lt;=2,
SUMPRODUCT(INDEX($AV$66:$AX$70,,$AI118), INDEX($AY$66:$BE$70,,$AH118), 1 / ($BF$66:$BF$70*CS118 + (1-$BF$66:$BF$70)*CO118), N($AU$66:$AU$70&gt;$AM118)),
SUMPRODUCT(INDEX($AV$56:$AX$65,,$AI118), INDEX($AY$56:$BE$65,,$AH118), 1 / ($BG$56:$BG$65*CS118 + (1-$BG$56:$BG$65)*CO118), N($AU$56:$AU$65&gt;$AM118))
) / 1000</f>
        <v>0</v>
      </c>
      <c r="CU118" s="231">
        <f t="shared" si="329"/>
        <v>20</v>
      </c>
      <c r="CV118" s="229">
        <f t="shared" si="330"/>
        <v>33</v>
      </c>
      <c r="CW118" s="234">
        <f t="shared" si="331"/>
        <v>4.8487499999999999</v>
      </c>
      <c r="CX118" s="234" cm="1">
        <f t="array" ref="CX118">$BM118 * IF($AH118&lt;=2,
SUMPRODUCT(INDEX($AV$61:$AX$65,,$AI118), INDEX($AY$61:$BE$65,,$AH118), 1 / ($BF$61:$BF$65*CW118 + (1-$BF$61:$BF$65)*CS118), N($AU$61:$AU$65&gt;$AM118)),
SUMPRODUCT(INDEX($AV$46:$AX$55,,$AI118), INDEX($AY$46:$BE$55,,$AH118), 1 / ($BG$46:$BG$55*CW118 + (1-$BG$46:$BG$55)*CS118), N($AU$46:$AU$55&gt;$AM118))
) / 1000</f>
        <v>0</v>
      </c>
      <c r="CY118" s="234" cm="1">
        <f t="array" ref="CY118">$BM118 * IF($AH118&lt;=2,
SUMPRODUCT(INDEX($AV$22:$AX$60,,$AI118), INDEX($AY$22:$BE$60,,$AH118), 1 / ($BF$22:$BF$60*CW118), N($AU$22:$AU$60&gt;$AM118)),
SUMPRODUCT(INDEX($AV$22:$AX$45,,$AI118), INDEX($AY$22:$BE$45,,$AH118), 1 / ($BG$22:$BG$45*CW118), N($AU$22:$AU$45&gt;$AM118))
) / 1000</f>
        <v>0</v>
      </c>
      <c r="CZ118" s="229">
        <f t="shared" si="332"/>
        <v>0</v>
      </c>
      <c r="DA118" s="246"/>
    </row>
    <row r="119" spans="1:105" s="75" customFormat="1" ht="14.25" customHeight="1" x14ac:dyDescent="0.2">
      <c r="A119" s="230" t="b">
        <f t="shared" si="291"/>
        <v>0</v>
      </c>
      <c r="B119" s="253">
        <v>98</v>
      </c>
      <c r="C119" s="266"/>
      <c r="D119" s="266"/>
      <c r="E119" s="254"/>
      <c r="F119" s="255" t="str">
        <f>IF(ISBLANK(E119), "", VLOOKUP(E119, Z!$A$2:$C$4127, 3, FALSE))</f>
        <v/>
      </c>
      <c r="G119" s="256"/>
      <c r="H119" s="256"/>
      <c r="I119" s="256"/>
      <c r="J119" s="257"/>
      <c r="K119" s="258"/>
      <c r="L119" s="267"/>
      <c r="M119" s="268"/>
      <c r="N119" s="259" t="str" cm="1">
        <f t="array" ref="N119">IF($L119&gt;0, INDEX(Clean,1+AK119,$D$1), "")</f>
        <v/>
      </c>
      <c r="O119" s="260"/>
      <c r="P119" s="260"/>
      <c r="Q119" s="261"/>
      <c r="R119" s="264">
        <f t="shared" si="297"/>
        <v>0</v>
      </c>
      <c r="S119" s="259" t="str" cm="1">
        <f t="array" ref="S119">IF($L119&gt;0, INDEX(Clean,1+AL119,$D$1), "")</f>
        <v/>
      </c>
      <c r="T119" s="260"/>
      <c r="U119" s="260"/>
      <c r="V119" s="261"/>
      <c r="W119" s="267"/>
      <c r="X119" s="267"/>
      <c r="Y119" s="257"/>
      <c r="Z119" s="264">
        <f t="shared" si="298"/>
        <v>0</v>
      </c>
      <c r="AA119" s="269"/>
      <c r="AB119" s="266"/>
      <c r="AC119" s="254"/>
      <c r="AD119" s="255" t="str">
        <f>IF(ISBLANK(AC119), "", VLOOKUP(AC119, Z!$A$2:$C$4127, 3, FALSE))</f>
        <v/>
      </c>
      <c r="AE119" s="270"/>
      <c r="AF119" s="265">
        <f t="shared" si="299"/>
        <v>0</v>
      </c>
      <c r="AG119" s="246"/>
      <c r="AH119" s="228">
        <f t="shared" ref="AH119" si="457">IF(ISBLANK(I119), 1, IFERROR(MATCH(I119, INDEX(Use,,1), 0), IFERROR(MATCH(I119, INDEX(Use,,2), 0), MATCH(I119, INDEX(Use,,3), 0))))</f>
        <v>1</v>
      </c>
      <c r="AI119" s="228">
        <f t="shared" ref="AI119" si="458">IF(ISBLANK(H119), 1, IFERROR(MATCH(H119, INDEX(Loc,,1), 0), IFERROR(MATCH(H119, INDEX(Loc,,2), 0), MATCH(H119, INDEX(Loc,,3), 0))))</f>
        <v>1</v>
      </c>
      <c r="AJ119" s="228">
        <f t="shared" ref="AJ119" si="459">_xlfn.IFNA(IF(IFERROR(MATCH(J119, INDEX(Medium,,1), 0), IFERROR(MATCH(J119, INDEX(Medium,,2), 0), MATCH(J119, INDEX(Medium,,3), 0))) = 2, 1, 0), 0)</f>
        <v>0</v>
      </c>
      <c r="AK119" s="228">
        <v>0</v>
      </c>
      <c r="AL119" s="228">
        <v>0</v>
      </c>
      <c r="AM119" s="228">
        <f t="shared" si="295"/>
        <v>-100</v>
      </c>
      <c r="AN119" s="228" cm="1">
        <f t="array" ref="AN119">IF(ISBLANK(G119), 1, IFERROR(MATCH(G119, INDEX(Kat,,1), 0), IFERROR(MATCH(Kat, INDEX(Use,,2), 0), MATCH(Kat, INDEX(Use,,3), 0))))</f>
        <v>1</v>
      </c>
      <c r="AO119" s="246"/>
      <c r="AP119" s="228" cm="1">
        <f t="array" ref="AP119">IF(W119&gt;0, INDEX(Kat, AN119,4), 0)</f>
        <v>0</v>
      </c>
      <c r="AQ119" s="228">
        <f t="shared" ref="AQ119" si="460">IF(ISBLANK(Y119), 0, IFERROR(MATCH(Y119, INDEX(Month,,1), 0), IFERROR(MATCH(Y119, INDEX(Month,,2), 0), MATCH(Y119, INDEX(Month,,3), 0))))</f>
        <v>0</v>
      </c>
      <c r="AR119" s="228" cm="1">
        <f t="array" ref="AR119">IF(X119&gt;0, INDEX(Kat, $AN119, 4+AQ119), 0)</f>
        <v>0</v>
      </c>
      <c r="AS119" s="228" cm="1">
        <f t="array" ref="AS119">IF(X119&gt;0, INDEX(Kat, $AN119, 9+AQ119), 0)</f>
        <v>0</v>
      </c>
      <c r="AT119" s="246"/>
      <c r="AU119" s="262"/>
      <c r="AV119" s="262"/>
      <c r="AW119" s="263"/>
      <c r="AX119" s="263"/>
      <c r="AY119" s="263"/>
      <c r="AZ119" s="263"/>
      <c r="BA119" s="263"/>
      <c r="BB119" s="263"/>
      <c r="BC119" s="263"/>
      <c r="BD119" s="263"/>
      <c r="BE119" s="263"/>
      <c r="BF119" s="263"/>
      <c r="BG119" s="263"/>
      <c r="BH119" s="246"/>
      <c r="BI119" s="228" cm="1">
        <f t="array" ref="BI119">INDEX(Use, $AH119, 4)</f>
        <v>7</v>
      </c>
      <c r="BJ119" s="228">
        <f t="shared" si="304"/>
        <v>32</v>
      </c>
      <c r="BK119" s="228">
        <f t="shared" si="305"/>
        <v>13</v>
      </c>
      <c r="BL119" s="228">
        <f t="shared" si="306"/>
        <v>0</v>
      </c>
      <c r="BM119" s="233" cm="1">
        <f t="array" ref="BM119">L119/IF($M119&gt;0, INDEX($AY$22:$BE$76, $M119+20, $AH119), 1)</f>
        <v>0</v>
      </c>
      <c r="BN119" s="229">
        <f t="shared" si="307"/>
        <v>0</v>
      </c>
      <c r="BO119" s="228">
        <v>35</v>
      </c>
      <c r="BP119" s="229">
        <f t="shared" si="308"/>
        <v>48</v>
      </c>
      <c r="BQ119" s="234">
        <f t="shared" si="309"/>
        <v>3.0748170731707316</v>
      </c>
      <c r="BR119" s="234" cm="1">
        <f t="array" ref="BR119">$BM119 * SUMPRODUCT(INDEX($AV$76:$AX$81,,$AI119),INDEX($AY$76:$BE$81,,$AH119), N($AU$76:$AU$81&gt;$AM119)) / BQ119 / 1000</f>
        <v>0</v>
      </c>
      <c r="BS119" s="231">
        <f t="shared" si="310"/>
        <v>30</v>
      </c>
      <c r="BT119" s="229">
        <f t="shared" si="311"/>
        <v>43</v>
      </c>
      <c r="BU119" s="234">
        <f t="shared" si="312"/>
        <v>3.5018750000000001</v>
      </c>
      <c r="BV119" s="234" cm="1">
        <f t="array" ref="BV119">$BM119 * IF($AH119&lt;=2,
SUMPRODUCT(INDEX($AV$71:$AX$75,,$AI119), INDEX($AY$71:$BE$75,,$AH119), 1 / ($BF$71:$BF$75*BU119 + (1-$BF$71:$BF$75)*BQ119), N($AU$71:$AU$75&gt;$AM119)),
SUMPRODUCT(INDEX($AV$66:$AX$75,,$AI119), INDEX($AY$66:$BE$75,,$AH119), 1 / ($BG$66:$BG$75*BU119 + (1-$BG$66:$BG$75)*BQ119), N($AU$66:$AU$75&gt;$AM119))
) / 1000</f>
        <v>0</v>
      </c>
      <c r="BW119" s="231">
        <f t="shared" si="313"/>
        <v>25</v>
      </c>
      <c r="BX119" s="229">
        <f t="shared" si="314"/>
        <v>38</v>
      </c>
      <c r="BY119" s="234">
        <f t="shared" si="315"/>
        <v>4.0666935483870965</v>
      </c>
      <c r="BZ119" s="234" cm="1">
        <f t="array" ref="BZ119">$BM119 * IF($AH119&lt;=2,
SUMPRODUCT(INDEX($AV$66:$AX$70,,$AI119), INDEX($AY$66:$BE$70,,$AH119), 1 / ($BF$66:$BF$70*BY119 + (1-$BF$66:$BF$70)*BU119), N($AU$66:$AU$70&gt;$AM119)),
SUMPRODUCT(INDEX($AV$56:$AX$65,,$AI119), INDEX($AY$56:$BE$65,,$AH119), 1 / ($BG$56:$BG$65*BY119 + (1-$BG$56:$BG$65)*BU119), N($AU$56:$AU$65&gt;$AM119))
) / 1000</f>
        <v>0</v>
      </c>
      <c r="CA119" s="231">
        <f t="shared" si="316"/>
        <v>20</v>
      </c>
      <c r="CB119" s="229">
        <f t="shared" si="317"/>
        <v>33</v>
      </c>
      <c r="CC119" s="234">
        <f t="shared" si="318"/>
        <v>4.8487499999999999</v>
      </c>
      <c r="CD119" s="234" cm="1">
        <f t="array" ref="CD119">$BM119 * IF($AH119&lt;=2,
SUMPRODUCT(INDEX($AV$61:$AX$65,,$AI119), INDEX($AY$61:$BE$65,,$AH119), 1 / ($BF$61:$BF$65*CC119 + (1-$BF$61:$BF$65)*BY119), N($AU$61:$AU$65&gt;$AM119)),
SUMPRODUCT(INDEX($AV$46:$AX$55,,$AI119), INDEX($AY$46:$BE$55,,$AH119), 1 / ($BG$46:$BG$55*CC119 + (1-$BG$46:$BG$55)*BY119), N($AU$46:$AU$55&gt;$AM119))
) / 1000</f>
        <v>0</v>
      </c>
      <c r="CE119" s="234" cm="1">
        <f t="array" ref="CE119">$BM119 * IF($AH119&lt;=2,
SUMPRODUCT(INDEX($AV$22:$AX$60,,$AI119), INDEX($AY$22:$BE$60,,$AH119), 1 / ($BF$22:$BF$60*CC119), N($AU$22:$AU$60&gt;$AM119)),
SUMPRODUCT(INDEX($AV$22:$AX$45,,$AI119), INDEX($AY$22:$BE$45,,$AH119), 1 / ($BG$22:$BG$45*CC119), N($AU$22:$AU$45&gt;$AM119))
) / 1000</f>
        <v>0</v>
      </c>
      <c r="CF119" s="229">
        <f t="shared" si="319"/>
        <v>0</v>
      </c>
      <c r="CG119" s="246"/>
      <c r="CH119" s="229">
        <f t="shared" si="320"/>
        <v>0</v>
      </c>
      <c r="CI119" s="228">
        <v>35</v>
      </c>
      <c r="CJ119" s="229">
        <f t="shared" si="321"/>
        <v>48</v>
      </c>
      <c r="CK119" s="234">
        <f t="shared" si="322"/>
        <v>3.0748170731707316</v>
      </c>
      <c r="CL119" s="234" cm="1">
        <f t="array" ref="CL119">$BM119 * SUMPRODUCT(INDEX($AV$76:$AX$81,,$AI119),INDEX($AY$76:$BE$81,,$AH119), N($AU$76:$AU$81&gt;$AM119)) / CK119 / 1000</f>
        <v>0</v>
      </c>
      <c r="CM119" s="231">
        <f t="shared" si="323"/>
        <v>30</v>
      </c>
      <c r="CN119" s="229">
        <f t="shared" si="324"/>
        <v>43</v>
      </c>
      <c r="CO119" s="234">
        <f t="shared" si="325"/>
        <v>3.5018750000000001</v>
      </c>
      <c r="CP119" s="234" cm="1">
        <f t="array" ref="CP119">$BM119 * IF($AH119&lt;=2,
SUMPRODUCT(INDEX($AV$71:$AX$75,,$AI119), INDEX($AY$71:$BE$75,,$AH119), 1 / ($BF$71:$BF$75*CO119 + (1-$BF$71:$BF$75)*CK119), N($AU$71:$AU$75&gt;$AM119)),
SUMPRODUCT(INDEX($AV$66:$AX$75,,$AI119), INDEX($AY$66:$BE$75,,$AH119), 1 / ($BG$66:$BG$75*CO119 + (1-$BG$66:$BG$75)*CK119), N($AU$66:$AU$75&gt;$AM119))
) / 1000</f>
        <v>0</v>
      </c>
      <c r="CQ119" s="231">
        <f t="shared" si="326"/>
        <v>25</v>
      </c>
      <c r="CR119" s="229">
        <f t="shared" si="327"/>
        <v>38</v>
      </c>
      <c r="CS119" s="234">
        <f t="shared" si="328"/>
        <v>4.0666935483870965</v>
      </c>
      <c r="CT119" s="234" cm="1">
        <f t="array" ref="CT119">$BM119 * IF($AH119&lt;=2,
SUMPRODUCT(INDEX($AV$66:$AX$70,,$AI119), INDEX($AY$66:$BE$70,,$AH119), 1 / ($BF$66:$BF$70*CS119 + (1-$BF$66:$BF$70)*CO119), N($AU$66:$AU$70&gt;$AM119)),
SUMPRODUCT(INDEX($AV$56:$AX$65,,$AI119), INDEX($AY$56:$BE$65,,$AH119), 1 / ($BG$56:$BG$65*CS119 + (1-$BG$56:$BG$65)*CO119), N($AU$56:$AU$65&gt;$AM119))
) / 1000</f>
        <v>0</v>
      </c>
      <c r="CU119" s="231">
        <f t="shared" si="329"/>
        <v>20</v>
      </c>
      <c r="CV119" s="229">
        <f t="shared" si="330"/>
        <v>33</v>
      </c>
      <c r="CW119" s="234">
        <f t="shared" si="331"/>
        <v>4.8487499999999999</v>
      </c>
      <c r="CX119" s="234" cm="1">
        <f t="array" ref="CX119">$BM119 * IF($AH119&lt;=2,
SUMPRODUCT(INDEX($AV$61:$AX$65,,$AI119), INDEX($AY$61:$BE$65,,$AH119), 1 / ($BF$61:$BF$65*CW119 + (1-$BF$61:$BF$65)*CS119), N($AU$61:$AU$65&gt;$AM119)),
SUMPRODUCT(INDEX($AV$46:$AX$55,,$AI119), INDEX($AY$46:$BE$55,,$AH119), 1 / ($BG$46:$BG$55*CW119 + (1-$BG$46:$BG$55)*CS119), N($AU$46:$AU$55&gt;$AM119))
) / 1000</f>
        <v>0</v>
      </c>
      <c r="CY119" s="234" cm="1">
        <f t="array" ref="CY119">$BM119 * IF($AH119&lt;=2,
SUMPRODUCT(INDEX($AV$22:$AX$60,,$AI119), INDEX($AY$22:$BE$60,,$AH119), 1 / ($BF$22:$BF$60*CW119), N($AU$22:$AU$60&gt;$AM119)),
SUMPRODUCT(INDEX($AV$22:$AX$45,,$AI119), INDEX($AY$22:$BE$45,,$AH119), 1 / ($BG$22:$BG$45*CW119), N($AU$22:$AU$45&gt;$AM119))
) / 1000</f>
        <v>0</v>
      </c>
      <c r="CZ119" s="229">
        <f t="shared" si="332"/>
        <v>0</v>
      </c>
      <c r="DA119" s="246"/>
    </row>
    <row r="120" spans="1:105" s="75" customFormat="1" ht="14.25" customHeight="1" x14ac:dyDescent="0.2">
      <c r="A120" s="230" t="b">
        <f t="shared" si="291"/>
        <v>0</v>
      </c>
      <c r="B120" s="253">
        <v>99</v>
      </c>
      <c r="C120" s="266"/>
      <c r="D120" s="266"/>
      <c r="E120" s="254"/>
      <c r="F120" s="255" t="str">
        <f>IF(ISBLANK(E120), "", VLOOKUP(E120, Z!$A$2:$C$4127, 3, FALSE))</f>
        <v/>
      </c>
      <c r="G120" s="256"/>
      <c r="H120" s="256"/>
      <c r="I120" s="256"/>
      <c r="J120" s="257"/>
      <c r="K120" s="258"/>
      <c r="L120" s="267"/>
      <c r="M120" s="268"/>
      <c r="N120" s="259" t="str" cm="1">
        <f t="array" ref="N120">IF($L120&gt;0, INDEX(Clean,1+AK120,$D$1), "")</f>
        <v/>
      </c>
      <c r="O120" s="260"/>
      <c r="P120" s="260"/>
      <c r="Q120" s="261"/>
      <c r="R120" s="264">
        <f t="shared" si="297"/>
        <v>0</v>
      </c>
      <c r="S120" s="259" t="str" cm="1">
        <f t="array" ref="S120">IF($L120&gt;0, INDEX(Clean,1+AL120,$D$1), "")</f>
        <v/>
      </c>
      <c r="T120" s="260"/>
      <c r="U120" s="260"/>
      <c r="V120" s="261"/>
      <c r="W120" s="267"/>
      <c r="X120" s="267"/>
      <c r="Y120" s="257"/>
      <c r="Z120" s="264">
        <f t="shared" si="298"/>
        <v>0</v>
      </c>
      <c r="AA120" s="269"/>
      <c r="AB120" s="266"/>
      <c r="AC120" s="254"/>
      <c r="AD120" s="255" t="str">
        <f>IF(ISBLANK(AC120), "", VLOOKUP(AC120, Z!$A$2:$C$4127, 3, FALSE))</f>
        <v/>
      </c>
      <c r="AE120" s="270"/>
      <c r="AF120" s="265">
        <f t="shared" si="299"/>
        <v>0</v>
      </c>
      <c r="AG120" s="246"/>
      <c r="AH120" s="228">
        <f t="shared" ref="AH120" si="461">IF(ISBLANK(I120), 1, IFERROR(MATCH(I120, INDEX(Use,,1), 0), IFERROR(MATCH(I120, INDEX(Use,,2), 0), MATCH(I120, INDEX(Use,,3), 0))))</f>
        <v>1</v>
      </c>
      <c r="AI120" s="228">
        <f t="shared" ref="AI120" si="462">IF(ISBLANK(H120), 1, IFERROR(MATCH(H120, INDEX(Loc,,1), 0), IFERROR(MATCH(H120, INDEX(Loc,,2), 0), MATCH(H120, INDEX(Loc,,3), 0))))</f>
        <v>1</v>
      </c>
      <c r="AJ120" s="228">
        <f t="shared" ref="AJ120" si="463">_xlfn.IFNA(IF(IFERROR(MATCH(J120, INDEX(Medium,,1), 0), IFERROR(MATCH(J120, INDEX(Medium,,2), 0), MATCH(J120, INDEX(Medium,,3), 0))) = 2, 1, 0), 0)</f>
        <v>0</v>
      </c>
      <c r="AK120" s="228">
        <v>0</v>
      </c>
      <c r="AL120" s="228">
        <v>0</v>
      </c>
      <c r="AM120" s="228">
        <f t="shared" si="295"/>
        <v>-100</v>
      </c>
      <c r="AN120" s="228" cm="1">
        <f t="array" ref="AN120">IF(ISBLANK(G120), 1, IFERROR(MATCH(G120, INDEX(Kat,,1), 0), IFERROR(MATCH(Kat, INDEX(Use,,2), 0), MATCH(Kat, INDEX(Use,,3), 0))))</f>
        <v>1</v>
      </c>
      <c r="AO120" s="246"/>
      <c r="AP120" s="228" cm="1">
        <f t="array" ref="AP120">IF(W120&gt;0, INDEX(Kat, AN120,4), 0)</f>
        <v>0</v>
      </c>
      <c r="AQ120" s="228">
        <f t="shared" ref="AQ120" si="464">IF(ISBLANK(Y120), 0, IFERROR(MATCH(Y120, INDEX(Month,,1), 0), IFERROR(MATCH(Y120, INDEX(Month,,2), 0), MATCH(Y120, INDEX(Month,,3), 0))))</f>
        <v>0</v>
      </c>
      <c r="AR120" s="228" cm="1">
        <f t="array" ref="AR120">IF(X120&gt;0, INDEX(Kat, $AN120, 4+AQ120), 0)</f>
        <v>0</v>
      </c>
      <c r="AS120" s="228" cm="1">
        <f t="array" ref="AS120">IF(X120&gt;0, INDEX(Kat, $AN120, 9+AQ120), 0)</f>
        <v>0</v>
      </c>
      <c r="AT120" s="246"/>
      <c r="AU120" s="262"/>
      <c r="AV120" s="262"/>
      <c r="AW120" s="263"/>
      <c r="AX120" s="263"/>
      <c r="AY120" s="263"/>
      <c r="AZ120" s="263"/>
      <c r="BA120" s="263"/>
      <c r="BB120" s="263"/>
      <c r="BC120" s="263"/>
      <c r="BD120" s="263"/>
      <c r="BE120" s="263"/>
      <c r="BF120" s="263"/>
      <c r="BG120" s="263"/>
      <c r="BH120" s="246"/>
      <c r="BI120" s="228" cm="1">
        <f t="array" ref="BI120">INDEX(Use, $AH120, 4)</f>
        <v>7</v>
      </c>
      <c r="BJ120" s="228">
        <f t="shared" si="304"/>
        <v>32</v>
      </c>
      <c r="BK120" s="228">
        <f t="shared" si="305"/>
        <v>13</v>
      </c>
      <c r="BL120" s="228">
        <f t="shared" si="306"/>
        <v>0</v>
      </c>
      <c r="BM120" s="233" cm="1">
        <f t="array" ref="BM120">L120/IF($M120&gt;0, INDEX($AY$22:$BE$76, $M120+20, $AH120), 1)</f>
        <v>0</v>
      </c>
      <c r="BN120" s="229">
        <f t="shared" si="307"/>
        <v>0</v>
      </c>
      <c r="BO120" s="228">
        <v>35</v>
      </c>
      <c r="BP120" s="229">
        <f t="shared" si="308"/>
        <v>48</v>
      </c>
      <c r="BQ120" s="234">
        <f t="shared" si="309"/>
        <v>3.0748170731707316</v>
      </c>
      <c r="BR120" s="234" cm="1">
        <f t="array" ref="BR120">$BM120 * SUMPRODUCT(INDEX($AV$76:$AX$81,,$AI120),INDEX($AY$76:$BE$81,,$AH120), N($AU$76:$AU$81&gt;$AM120)) / BQ120 / 1000</f>
        <v>0</v>
      </c>
      <c r="BS120" s="231">
        <f t="shared" si="310"/>
        <v>30</v>
      </c>
      <c r="BT120" s="229">
        <f t="shared" si="311"/>
        <v>43</v>
      </c>
      <c r="BU120" s="234">
        <f t="shared" si="312"/>
        <v>3.5018750000000001</v>
      </c>
      <c r="BV120" s="234" cm="1">
        <f t="array" ref="BV120">$BM120 * IF($AH120&lt;=2,
SUMPRODUCT(INDEX($AV$71:$AX$75,,$AI120), INDEX($AY$71:$BE$75,,$AH120), 1 / ($BF$71:$BF$75*BU120 + (1-$BF$71:$BF$75)*BQ120), N($AU$71:$AU$75&gt;$AM120)),
SUMPRODUCT(INDEX($AV$66:$AX$75,,$AI120), INDEX($AY$66:$BE$75,,$AH120), 1 / ($BG$66:$BG$75*BU120 + (1-$BG$66:$BG$75)*BQ120), N($AU$66:$AU$75&gt;$AM120))
) / 1000</f>
        <v>0</v>
      </c>
      <c r="BW120" s="231">
        <f t="shared" si="313"/>
        <v>25</v>
      </c>
      <c r="BX120" s="229">
        <f t="shared" si="314"/>
        <v>38</v>
      </c>
      <c r="BY120" s="234">
        <f t="shared" si="315"/>
        <v>4.0666935483870965</v>
      </c>
      <c r="BZ120" s="234" cm="1">
        <f t="array" ref="BZ120">$BM120 * IF($AH120&lt;=2,
SUMPRODUCT(INDEX($AV$66:$AX$70,,$AI120), INDEX($AY$66:$BE$70,,$AH120), 1 / ($BF$66:$BF$70*BY120 + (1-$BF$66:$BF$70)*BU120), N($AU$66:$AU$70&gt;$AM120)),
SUMPRODUCT(INDEX($AV$56:$AX$65,,$AI120), INDEX($AY$56:$BE$65,,$AH120), 1 / ($BG$56:$BG$65*BY120 + (1-$BG$56:$BG$65)*BU120), N($AU$56:$AU$65&gt;$AM120))
) / 1000</f>
        <v>0</v>
      </c>
      <c r="CA120" s="231">
        <f t="shared" si="316"/>
        <v>20</v>
      </c>
      <c r="CB120" s="229">
        <f t="shared" si="317"/>
        <v>33</v>
      </c>
      <c r="CC120" s="234">
        <f t="shared" si="318"/>
        <v>4.8487499999999999</v>
      </c>
      <c r="CD120" s="234" cm="1">
        <f t="array" ref="CD120">$BM120 * IF($AH120&lt;=2,
SUMPRODUCT(INDEX($AV$61:$AX$65,,$AI120), INDEX($AY$61:$BE$65,,$AH120), 1 / ($BF$61:$BF$65*CC120 + (1-$BF$61:$BF$65)*BY120), N($AU$61:$AU$65&gt;$AM120)),
SUMPRODUCT(INDEX($AV$46:$AX$55,,$AI120), INDEX($AY$46:$BE$55,,$AH120), 1 / ($BG$46:$BG$55*CC120 + (1-$BG$46:$BG$55)*BY120), N($AU$46:$AU$55&gt;$AM120))
) / 1000</f>
        <v>0</v>
      </c>
      <c r="CE120" s="234" cm="1">
        <f t="array" ref="CE120">$BM120 * IF($AH120&lt;=2,
SUMPRODUCT(INDEX($AV$22:$AX$60,,$AI120), INDEX($AY$22:$BE$60,,$AH120), 1 / ($BF$22:$BF$60*CC120), N($AU$22:$AU$60&gt;$AM120)),
SUMPRODUCT(INDEX($AV$22:$AX$45,,$AI120), INDEX($AY$22:$BE$45,,$AH120), 1 / ($BG$22:$BG$45*CC120), N($AU$22:$AU$45&gt;$AM120))
) / 1000</f>
        <v>0</v>
      </c>
      <c r="CF120" s="229">
        <f t="shared" si="319"/>
        <v>0</v>
      </c>
      <c r="CG120" s="246"/>
      <c r="CH120" s="229">
        <f t="shared" si="320"/>
        <v>0</v>
      </c>
      <c r="CI120" s="228">
        <v>35</v>
      </c>
      <c r="CJ120" s="229">
        <f t="shared" si="321"/>
        <v>48</v>
      </c>
      <c r="CK120" s="234">
        <f t="shared" si="322"/>
        <v>3.0748170731707316</v>
      </c>
      <c r="CL120" s="234" cm="1">
        <f t="array" ref="CL120">$BM120 * SUMPRODUCT(INDEX($AV$76:$AX$81,,$AI120),INDEX($AY$76:$BE$81,,$AH120), N($AU$76:$AU$81&gt;$AM120)) / CK120 / 1000</f>
        <v>0</v>
      </c>
      <c r="CM120" s="231">
        <f t="shared" si="323"/>
        <v>30</v>
      </c>
      <c r="CN120" s="229">
        <f t="shared" si="324"/>
        <v>43</v>
      </c>
      <c r="CO120" s="234">
        <f t="shared" si="325"/>
        <v>3.5018750000000001</v>
      </c>
      <c r="CP120" s="234" cm="1">
        <f t="array" ref="CP120">$BM120 * IF($AH120&lt;=2,
SUMPRODUCT(INDEX($AV$71:$AX$75,,$AI120), INDEX($AY$71:$BE$75,,$AH120), 1 / ($BF$71:$BF$75*CO120 + (1-$BF$71:$BF$75)*CK120), N($AU$71:$AU$75&gt;$AM120)),
SUMPRODUCT(INDEX($AV$66:$AX$75,,$AI120), INDEX($AY$66:$BE$75,,$AH120), 1 / ($BG$66:$BG$75*CO120 + (1-$BG$66:$BG$75)*CK120), N($AU$66:$AU$75&gt;$AM120))
) / 1000</f>
        <v>0</v>
      </c>
      <c r="CQ120" s="231">
        <f t="shared" si="326"/>
        <v>25</v>
      </c>
      <c r="CR120" s="229">
        <f t="shared" si="327"/>
        <v>38</v>
      </c>
      <c r="CS120" s="234">
        <f t="shared" si="328"/>
        <v>4.0666935483870965</v>
      </c>
      <c r="CT120" s="234" cm="1">
        <f t="array" ref="CT120">$BM120 * IF($AH120&lt;=2,
SUMPRODUCT(INDEX($AV$66:$AX$70,,$AI120), INDEX($AY$66:$BE$70,,$AH120), 1 / ($BF$66:$BF$70*CS120 + (1-$BF$66:$BF$70)*CO120), N($AU$66:$AU$70&gt;$AM120)),
SUMPRODUCT(INDEX($AV$56:$AX$65,,$AI120), INDEX($AY$56:$BE$65,,$AH120), 1 / ($BG$56:$BG$65*CS120 + (1-$BG$56:$BG$65)*CO120), N($AU$56:$AU$65&gt;$AM120))
) / 1000</f>
        <v>0</v>
      </c>
      <c r="CU120" s="231">
        <f t="shared" si="329"/>
        <v>20</v>
      </c>
      <c r="CV120" s="229">
        <f t="shared" si="330"/>
        <v>33</v>
      </c>
      <c r="CW120" s="234">
        <f t="shared" si="331"/>
        <v>4.8487499999999999</v>
      </c>
      <c r="CX120" s="234" cm="1">
        <f t="array" ref="CX120">$BM120 * IF($AH120&lt;=2,
SUMPRODUCT(INDEX($AV$61:$AX$65,,$AI120), INDEX($AY$61:$BE$65,,$AH120), 1 / ($BF$61:$BF$65*CW120 + (1-$BF$61:$BF$65)*CS120), N($AU$61:$AU$65&gt;$AM120)),
SUMPRODUCT(INDEX($AV$46:$AX$55,,$AI120), INDEX($AY$46:$BE$55,,$AH120), 1 / ($BG$46:$BG$55*CW120 + (1-$BG$46:$BG$55)*CS120), N($AU$46:$AU$55&gt;$AM120))
) / 1000</f>
        <v>0</v>
      </c>
      <c r="CY120" s="234" cm="1">
        <f t="array" ref="CY120">$BM120 * IF($AH120&lt;=2,
SUMPRODUCT(INDEX($AV$22:$AX$60,,$AI120), INDEX($AY$22:$BE$60,,$AH120), 1 / ($BF$22:$BF$60*CW120), N($AU$22:$AU$60&gt;$AM120)),
SUMPRODUCT(INDEX($AV$22:$AX$45,,$AI120), INDEX($AY$22:$BE$45,,$AH120), 1 / ($BG$22:$BG$45*CW120), N($AU$22:$AU$45&gt;$AM120))
) / 1000</f>
        <v>0</v>
      </c>
      <c r="CZ120" s="229">
        <f t="shared" si="332"/>
        <v>0</v>
      </c>
      <c r="DA120" s="246"/>
    </row>
    <row r="121" spans="1:105" s="75" customFormat="1" ht="14.25" customHeight="1" x14ac:dyDescent="0.2">
      <c r="A121" s="230" t="b">
        <f t="shared" si="291"/>
        <v>0</v>
      </c>
      <c r="B121" s="253">
        <v>100</v>
      </c>
      <c r="C121" s="266"/>
      <c r="D121" s="266"/>
      <c r="E121" s="254"/>
      <c r="F121" s="255" t="str">
        <f>IF(ISBLANK(E121), "", VLOOKUP(E121, Z!$A$2:$C$4127, 3, FALSE))</f>
        <v/>
      </c>
      <c r="G121" s="256"/>
      <c r="H121" s="256"/>
      <c r="I121" s="256"/>
      <c r="J121" s="257"/>
      <c r="K121" s="258"/>
      <c r="L121" s="267"/>
      <c r="M121" s="268"/>
      <c r="N121" s="259" t="str" cm="1">
        <f t="array" ref="N121">IF($L121&gt;0, INDEX(Clean,1+AK121,$D$1), "")</f>
        <v/>
      </c>
      <c r="O121" s="260"/>
      <c r="P121" s="260"/>
      <c r="Q121" s="261"/>
      <c r="R121" s="264">
        <f t="shared" si="297"/>
        <v>0</v>
      </c>
      <c r="S121" s="259" t="str" cm="1">
        <f t="array" ref="S121">IF($L121&gt;0, INDEX(Clean,1+AL121,$D$1), "")</f>
        <v/>
      </c>
      <c r="T121" s="260"/>
      <c r="U121" s="260"/>
      <c r="V121" s="261"/>
      <c r="W121" s="267"/>
      <c r="X121" s="267"/>
      <c r="Y121" s="257"/>
      <c r="Z121" s="264">
        <f t="shared" si="298"/>
        <v>0</v>
      </c>
      <c r="AA121" s="269"/>
      <c r="AB121" s="266"/>
      <c r="AC121" s="254"/>
      <c r="AD121" s="255" t="str">
        <f>IF(ISBLANK(AC121), "", VLOOKUP(AC121, Z!$A$2:$C$4127, 3, FALSE))</f>
        <v/>
      </c>
      <c r="AE121" s="270"/>
      <c r="AF121" s="265">
        <f t="shared" si="299"/>
        <v>0</v>
      </c>
      <c r="AG121" s="246"/>
      <c r="AH121" s="228">
        <f t="shared" ref="AH121:AH122" si="465">IF(ISBLANK(I121), 1, IFERROR(MATCH(I121, INDEX(Use,,1), 0), IFERROR(MATCH(I121, INDEX(Use,,2), 0), MATCH(I121, INDEX(Use,,3), 0))))</f>
        <v>1</v>
      </c>
      <c r="AI121" s="228">
        <f t="shared" ref="AI121:AI122" si="466">IF(ISBLANK(H121), 1, IFERROR(MATCH(H121, INDEX(Loc,,1), 0), IFERROR(MATCH(H121, INDEX(Loc,,2), 0), MATCH(H121, INDEX(Loc,,3), 0))))</f>
        <v>1</v>
      </c>
      <c r="AJ121" s="228">
        <f t="shared" ref="AJ121:AJ122" si="467">_xlfn.IFNA(IF(IFERROR(MATCH(J121, INDEX(Medium,,1), 0), IFERROR(MATCH(J121, INDEX(Medium,,2), 0), MATCH(J121, INDEX(Medium,,3), 0))) = 2, 1, 0), 0)</f>
        <v>0</v>
      </c>
      <c r="AK121" s="228">
        <v>0</v>
      </c>
      <c r="AL121" s="228">
        <v>0</v>
      </c>
      <c r="AM121" s="228">
        <f t="shared" si="295"/>
        <v>-100</v>
      </c>
      <c r="AN121" s="228" cm="1">
        <f t="array" ref="AN121">IF(ISBLANK(G121), 1, IFERROR(MATCH(G121, INDEX(Kat,,1), 0), IFERROR(MATCH(Kat, INDEX(Use,,2), 0), MATCH(Kat, INDEX(Use,,3), 0))))</f>
        <v>1</v>
      </c>
      <c r="AO121" s="246"/>
      <c r="AP121" s="228" cm="1">
        <f t="array" ref="AP121">IF(W121&gt;0, INDEX(Kat, AN121,4), 0)</f>
        <v>0</v>
      </c>
      <c r="AQ121" s="228">
        <f t="shared" ref="AQ121:AQ122" si="468">IF(ISBLANK(Y121), 0, IFERROR(MATCH(Y121, INDEX(Month,,1), 0), IFERROR(MATCH(Y121, INDEX(Month,,2), 0), MATCH(Y121, INDEX(Month,,3), 0))))</f>
        <v>0</v>
      </c>
      <c r="AR121" s="228" cm="1">
        <f t="array" ref="AR121">IF(X121&gt;0, INDEX(Kat, $AN121, 4+AQ121), 0)</f>
        <v>0</v>
      </c>
      <c r="AS121" s="228" cm="1">
        <f t="array" ref="AS121">IF(X121&gt;0, INDEX(Kat, $AN121, 9+AQ121), 0)</f>
        <v>0</v>
      </c>
      <c r="AT121" s="246"/>
      <c r="AU121" s="262"/>
      <c r="AV121" s="262"/>
      <c r="AW121" s="263"/>
      <c r="AX121" s="263"/>
      <c r="AY121" s="263"/>
      <c r="AZ121" s="263"/>
      <c r="BA121" s="263"/>
      <c r="BB121" s="263"/>
      <c r="BC121" s="263"/>
      <c r="BD121" s="263"/>
      <c r="BE121" s="263"/>
      <c r="BF121" s="263"/>
      <c r="BG121" s="263"/>
      <c r="BH121" s="246"/>
      <c r="BI121" s="228" cm="1">
        <f t="array" ref="BI121">INDEX(Use, $AH121, 4)</f>
        <v>7</v>
      </c>
      <c r="BJ121" s="228">
        <f t="shared" si="304"/>
        <v>32</v>
      </c>
      <c r="BK121" s="228">
        <f t="shared" si="305"/>
        <v>13</v>
      </c>
      <c r="BL121" s="228">
        <f t="shared" si="306"/>
        <v>0</v>
      </c>
      <c r="BM121" s="233" cm="1">
        <f t="array" ref="BM121">L121/IF($M121&gt;0, INDEX($AY$22:$BE$76, $M121+20, $AH121), 1)</f>
        <v>0</v>
      </c>
      <c r="BN121" s="229">
        <f t="shared" si="307"/>
        <v>0</v>
      </c>
      <c r="BO121" s="228">
        <v>35</v>
      </c>
      <c r="BP121" s="229">
        <f t="shared" si="308"/>
        <v>48</v>
      </c>
      <c r="BQ121" s="234">
        <f t="shared" si="309"/>
        <v>3.0748170731707316</v>
      </c>
      <c r="BR121" s="234" cm="1">
        <f t="array" ref="BR121">$BM121 * SUMPRODUCT(INDEX($AV$76:$AX$81,,$AI121),INDEX($AY$76:$BE$81,,$AH121), N($AU$76:$AU$81&gt;$AM121)) / BQ121 / 1000</f>
        <v>0</v>
      </c>
      <c r="BS121" s="231">
        <f t="shared" si="310"/>
        <v>30</v>
      </c>
      <c r="BT121" s="229">
        <f t="shared" si="311"/>
        <v>43</v>
      </c>
      <c r="BU121" s="234">
        <f t="shared" si="312"/>
        <v>3.5018750000000001</v>
      </c>
      <c r="BV121" s="234" cm="1">
        <f t="array" ref="BV121">$BM121 * IF($AH121&lt;=2,
SUMPRODUCT(INDEX($AV$71:$AX$75,,$AI121), INDEX($AY$71:$BE$75,,$AH121), 1 / ($BF$71:$BF$75*BU121 + (1-$BF$71:$BF$75)*BQ121), N($AU$71:$AU$75&gt;$AM121)),
SUMPRODUCT(INDEX($AV$66:$AX$75,,$AI121), INDEX($AY$66:$BE$75,,$AH121), 1 / ($BG$66:$BG$75*BU121 + (1-$BG$66:$BG$75)*BQ121), N($AU$66:$AU$75&gt;$AM121))
) / 1000</f>
        <v>0</v>
      </c>
      <c r="BW121" s="231">
        <f t="shared" si="313"/>
        <v>25</v>
      </c>
      <c r="BX121" s="229">
        <f t="shared" si="314"/>
        <v>38</v>
      </c>
      <c r="BY121" s="234">
        <f t="shared" si="315"/>
        <v>4.0666935483870965</v>
      </c>
      <c r="BZ121" s="234" cm="1">
        <f t="array" ref="BZ121">$BM121 * IF($AH121&lt;=2,
SUMPRODUCT(INDEX($AV$66:$AX$70,,$AI121), INDEX($AY$66:$BE$70,,$AH121), 1 / ($BF$66:$BF$70*BY121 + (1-$BF$66:$BF$70)*BU121), N($AU$66:$AU$70&gt;$AM121)),
SUMPRODUCT(INDEX($AV$56:$AX$65,,$AI121), INDEX($AY$56:$BE$65,,$AH121), 1 / ($BG$56:$BG$65*BY121 + (1-$BG$56:$BG$65)*BU121), N($AU$56:$AU$65&gt;$AM121))
) / 1000</f>
        <v>0</v>
      </c>
      <c r="CA121" s="231">
        <f t="shared" si="316"/>
        <v>20</v>
      </c>
      <c r="CB121" s="229">
        <f t="shared" si="317"/>
        <v>33</v>
      </c>
      <c r="CC121" s="234">
        <f t="shared" si="318"/>
        <v>4.8487499999999999</v>
      </c>
      <c r="CD121" s="234" cm="1">
        <f t="array" ref="CD121">$BM121 * IF($AH121&lt;=2,
SUMPRODUCT(INDEX($AV$61:$AX$65,,$AI121), INDEX($AY$61:$BE$65,,$AH121), 1 / ($BF$61:$BF$65*CC121 + (1-$BF$61:$BF$65)*BY121), N($AU$61:$AU$65&gt;$AM121)),
SUMPRODUCT(INDEX($AV$46:$AX$55,,$AI121), INDEX($AY$46:$BE$55,,$AH121), 1 / ($BG$46:$BG$55*CC121 + (1-$BG$46:$BG$55)*BY121), N($AU$46:$AU$55&gt;$AM121))
) / 1000</f>
        <v>0</v>
      </c>
      <c r="CE121" s="234" cm="1">
        <f t="array" ref="CE121">$BM121 * IF($AH121&lt;=2,
SUMPRODUCT(INDEX($AV$22:$AX$60,,$AI121), INDEX($AY$22:$BE$60,,$AH121), 1 / ($BF$22:$BF$60*CC121), N($AU$22:$AU$60&gt;$AM121)),
SUMPRODUCT(INDEX($AV$22:$AX$45,,$AI121), INDEX($AY$22:$BE$45,,$AH121), 1 / ($BG$22:$BG$45*CC121), N($AU$22:$AU$45&gt;$AM121))
) / 1000</f>
        <v>0</v>
      </c>
      <c r="CF121" s="229">
        <f t="shared" si="319"/>
        <v>0</v>
      </c>
      <c r="CG121" s="246"/>
      <c r="CH121" s="229">
        <f t="shared" si="320"/>
        <v>0</v>
      </c>
      <c r="CI121" s="228">
        <v>35</v>
      </c>
      <c r="CJ121" s="229">
        <f t="shared" si="321"/>
        <v>48</v>
      </c>
      <c r="CK121" s="234">
        <f t="shared" si="322"/>
        <v>3.0748170731707316</v>
      </c>
      <c r="CL121" s="234" cm="1">
        <f t="array" ref="CL121">$BM121 * SUMPRODUCT(INDEX($AV$76:$AX$81,,$AI121),INDEX($AY$76:$BE$81,,$AH121), N($AU$76:$AU$81&gt;$AM121)) / CK121 / 1000</f>
        <v>0</v>
      </c>
      <c r="CM121" s="231">
        <f t="shared" si="323"/>
        <v>30</v>
      </c>
      <c r="CN121" s="229">
        <f t="shared" si="324"/>
        <v>43</v>
      </c>
      <c r="CO121" s="234">
        <f t="shared" si="325"/>
        <v>3.5018750000000001</v>
      </c>
      <c r="CP121" s="234" cm="1">
        <f t="array" ref="CP121">$BM121 * IF($AH121&lt;=2,
SUMPRODUCT(INDEX($AV$71:$AX$75,,$AI121), INDEX($AY$71:$BE$75,,$AH121), 1 / ($BF$71:$BF$75*CO121 + (1-$BF$71:$BF$75)*CK121), N($AU$71:$AU$75&gt;$AM121)),
SUMPRODUCT(INDEX($AV$66:$AX$75,,$AI121), INDEX($AY$66:$BE$75,,$AH121), 1 / ($BG$66:$BG$75*CO121 + (1-$BG$66:$BG$75)*CK121), N($AU$66:$AU$75&gt;$AM121))
) / 1000</f>
        <v>0</v>
      </c>
      <c r="CQ121" s="231">
        <f t="shared" si="326"/>
        <v>25</v>
      </c>
      <c r="CR121" s="229">
        <f t="shared" si="327"/>
        <v>38</v>
      </c>
      <c r="CS121" s="234">
        <f t="shared" si="328"/>
        <v>4.0666935483870965</v>
      </c>
      <c r="CT121" s="234" cm="1">
        <f t="array" ref="CT121">$BM121 * IF($AH121&lt;=2,
SUMPRODUCT(INDEX($AV$66:$AX$70,,$AI121), INDEX($AY$66:$BE$70,,$AH121), 1 / ($BF$66:$BF$70*CS121 + (1-$BF$66:$BF$70)*CO121), N($AU$66:$AU$70&gt;$AM121)),
SUMPRODUCT(INDEX($AV$56:$AX$65,,$AI121), INDEX($AY$56:$BE$65,,$AH121), 1 / ($BG$56:$BG$65*CS121 + (1-$BG$56:$BG$65)*CO121), N($AU$56:$AU$65&gt;$AM121))
) / 1000</f>
        <v>0</v>
      </c>
      <c r="CU121" s="231">
        <f t="shared" si="329"/>
        <v>20</v>
      </c>
      <c r="CV121" s="229">
        <f t="shared" si="330"/>
        <v>33</v>
      </c>
      <c r="CW121" s="234">
        <f t="shared" si="331"/>
        <v>4.8487499999999999</v>
      </c>
      <c r="CX121" s="234" cm="1">
        <f t="array" ref="CX121">$BM121 * IF($AH121&lt;=2,
SUMPRODUCT(INDEX($AV$61:$AX$65,,$AI121), INDEX($AY$61:$BE$65,,$AH121), 1 / ($BF$61:$BF$65*CW121 + (1-$BF$61:$BF$65)*CS121), N($AU$61:$AU$65&gt;$AM121)),
SUMPRODUCT(INDEX($AV$46:$AX$55,,$AI121), INDEX($AY$46:$BE$55,,$AH121), 1 / ($BG$46:$BG$55*CW121 + (1-$BG$46:$BG$55)*CS121), N($AU$46:$AU$55&gt;$AM121))
) / 1000</f>
        <v>0</v>
      </c>
      <c r="CY121" s="234" cm="1">
        <f t="array" ref="CY121">$BM121 * IF($AH121&lt;=2,
SUMPRODUCT(INDEX($AV$22:$AX$60,,$AI121), INDEX($AY$22:$BE$60,,$AH121), 1 / ($BF$22:$BF$60*CW121), N($AU$22:$AU$60&gt;$AM121)),
SUMPRODUCT(INDEX($AV$22:$AX$45,,$AI121), INDEX($AY$22:$BE$45,,$AH121), 1 / ($BG$22:$BG$45*CW121), N($AU$22:$AU$45&gt;$AM121))
) / 1000</f>
        <v>0</v>
      </c>
      <c r="CZ121" s="229">
        <f t="shared" si="332"/>
        <v>0</v>
      </c>
      <c r="DA121" s="246"/>
    </row>
    <row r="122" spans="1:105" s="75" customFormat="1" ht="14.25" customHeight="1" x14ac:dyDescent="0.2">
      <c r="A122" s="230" t="b">
        <f t="shared" si="291"/>
        <v>0</v>
      </c>
      <c r="B122" s="253">
        <v>101</v>
      </c>
      <c r="C122" s="266"/>
      <c r="D122" s="266"/>
      <c r="E122" s="254"/>
      <c r="F122" s="255" t="str">
        <f>IF(ISBLANK(E122), "", VLOOKUP(E122, Z!$A$2:$C$4127, 3, FALSE))</f>
        <v/>
      </c>
      <c r="G122" s="256"/>
      <c r="H122" s="256"/>
      <c r="I122" s="256"/>
      <c r="J122" s="257"/>
      <c r="K122" s="258"/>
      <c r="L122" s="267"/>
      <c r="M122" s="268"/>
      <c r="N122" s="259" t="str" cm="1">
        <f t="array" ref="N122">IF($L122&gt;0, INDEX(Clean,1+AK122,$D$1), "")</f>
        <v/>
      </c>
      <c r="O122" s="260"/>
      <c r="P122" s="260"/>
      <c r="Q122" s="261"/>
      <c r="R122" s="264">
        <f t="shared" ref="R122:R185" si="469">CF122*1000</f>
        <v>0</v>
      </c>
      <c r="S122" s="259" t="str" cm="1">
        <f t="array" ref="S122">IF($L122&gt;0, INDEX(Clean,1+AL122,$D$1), "")</f>
        <v/>
      </c>
      <c r="T122" s="260"/>
      <c r="U122" s="260"/>
      <c r="V122" s="261"/>
      <c r="W122" s="267"/>
      <c r="X122" s="267"/>
      <c r="Y122" s="257"/>
      <c r="Z122" s="264">
        <f t="shared" ref="Z122:Z185" si="470">(CZ122 - IF(W122&gt;0, CZ122*(W122/7)*AP122, 0) - IF(X122&gt;0, CZ122*(X122*AR122*AS122), 0))*1000</f>
        <v>0</v>
      </c>
      <c r="AA122" s="269"/>
      <c r="AB122" s="266"/>
      <c r="AC122" s="254"/>
      <c r="AD122" s="255" t="str">
        <f>IF(ISBLANK(AC122), "", VLOOKUP(AC122, Z!$A$2:$C$4127, 3, FALSE))</f>
        <v/>
      </c>
      <c r="AE122" s="270"/>
      <c r="AF122" s="265">
        <f t="shared" ref="AF122:AF185" si="471">0.75*AO$22*(R122-Z122)</f>
        <v>0</v>
      </c>
      <c r="AG122" s="246"/>
      <c r="AH122" s="228">
        <f t="shared" si="465"/>
        <v>1</v>
      </c>
      <c r="AI122" s="228">
        <f t="shared" si="466"/>
        <v>1</v>
      </c>
      <c r="AJ122" s="228">
        <f t="shared" si="467"/>
        <v>0</v>
      </c>
      <c r="AK122" s="228">
        <v>0</v>
      </c>
      <c r="AL122" s="228">
        <v>0</v>
      </c>
      <c r="AM122" s="228">
        <f t="shared" ref="AM122:AM185" si="472">IF(AND(K122="x", AH122=5), 11, IF(AND(K122="x", AH122=6), 19, -100))</f>
        <v>-100</v>
      </c>
      <c r="AN122" s="228" cm="1">
        <f t="array" ref="AN122">IF(ISBLANK(G122), 1, IFERROR(MATCH(G122, INDEX(Kat,,1), 0), IFERROR(MATCH(Kat, INDEX(Use,,2), 0), MATCH(Kat, INDEX(Use,,3), 0))))</f>
        <v>1</v>
      </c>
      <c r="AO122" s="246"/>
      <c r="AP122" s="228" cm="1">
        <f t="array" ref="AP122">IF(W122&gt;0, INDEX(Kat, AN122,4), 0)</f>
        <v>0</v>
      </c>
      <c r="AQ122" s="228">
        <f t="shared" si="468"/>
        <v>0</v>
      </c>
      <c r="AR122" s="228" cm="1">
        <f t="array" ref="AR122">IF(X122&gt;0, INDEX(Kat, $AN122, 4+AQ122), 0)</f>
        <v>0</v>
      </c>
      <c r="AS122" s="228" cm="1">
        <f t="array" ref="AS122">IF(X122&gt;0, INDEX(Kat, $AN122, 9+AQ122), 0)</f>
        <v>0</v>
      </c>
      <c r="AT122" s="246"/>
      <c r="AU122" s="262"/>
      <c r="AV122" s="262"/>
      <c r="AW122" s="263"/>
      <c r="AX122" s="263"/>
      <c r="AY122" s="263"/>
      <c r="AZ122" s="263"/>
      <c r="BA122" s="263"/>
      <c r="BB122" s="263"/>
      <c r="BC122" s="263"/>
      <c r="BD122" s="263"/>
      <c r="BE122" s="263"/>
      <c r="BF122" s="263"/>
      <c r="BG122" s="263"/>
      <c r="BH122" s="246"/>
      <c r="BI122" s="228" cm="1">
        <f t="array" ref="BI122">INDEX(Use, $AH122, 4)</f>
        <v>7</v>
      </c>
      <c r="BJ122" s="228">
        <f t="shared" ref="BJ122:BJ185" si="473">MAX(25, BI122+25)</f>
        <v>32</v>
      </c>
      <c r="BK122" s="228">
        <f t="shared" si="305"/>
        <v>13</v>
      </c>
      <c r="BL122" s="228">
        <f t="shared" si="306"/>
        <v>0</v>
      </c>
      <c r="BM122" s="233" cm="1">
        <f t="array" ref="BM122">L122/IF($M122&gt;0, INDEX($AY$22:$BE$76, $M122+20, $AH122), 1)</f>
        <v>0</v>
      </c>
      <c r="BN122" s="229">
        <f t="shared" ref="BN122:BN185" si="474">Q122 /  IF(AH122&lt;=2, 0.7 + 0.3 * (P122-20)/(35-20), 0.4 + 0.6 * (P122-5)/(35-5))</f>
        <v>0</v>
      </c>
      <c r="BO122" s="228">
        <v>35</v>
      </c>
      <c r="BP122" s="229">
        <f t="shared" ref="BP122:BP185" si="475">MAX($O122, MAX($BJ122, $BO122 + $BK122 + $BL122 + 0.35*$AK122*$BK122 + BN122))</f>
        <v>48</v>
      </c>
      <c r="BQ122" s="234">
        <f t="shared" ref="BQ122:BQ185" si="476">0.45*($BI122+273.15)/(BP122-$BI122)</f>
        <v>3.0748170731707316</v>
      </c>
      <c r="BR122" s="234" cm="1">
        <f t="array" ref="BR122">$BM122 * SUMPRODUCT(INDEX($AV$76:$AX$81,,$AI122),INDEX($AY$76:$BE$81,,$AH122), N($AU$76:$AU$81&gt;$AM122)) / BQ122 / 1000</f>
        <v>0</v>
      </c>
      <c r="BS122" s="231">
        <f t="shared" si="310"/>
        <v>30</v>
      </c>
      <c r="BT122" s="229">
        <f t="shared" ref="BT122:BT185" si="477">MAX($O122, MAX($BJ122, BS122 + $BK122 + $BL122 + IF($AH122&lt;=2, (BS122-20)/(35-20), 0.6+0.4*(BS122-5)/(35-5))*0.35*$AK122*$BK122) + IF($AH122&lt;=2,0.9,0.8)*$BN122)</f>
        <v>43</v>
      </c>
      <c r="BU122" s="234">
        <f t="shared" ref="BU122:BU185" si="478">0.45*($BI122+273.15)/(BT122-$BI122)</f>
        <v>3.5018750000000001</v>
      </c>
      <c r="BV122" s="234" cm="1">
        <f t="array" ref="BV122">$BM122 * IF($AH122&lt;=2,
SUMPRODUCT(INDEX($AV$71:$AX$75,,$AI122), INDEX($AY$71:$BE$75,,$AH122), 1 / ($BF$71:$BF$75*BU122 + (1-$BF$71:$BF$75)*BQ122), N($AU$71:$AU$75&gt;$AM122)),
SUMPRODUCT(INDEX($AV$66:$AX$75,,$AI122), INDEX($AY$66:$BE$75,,$AH122), 1 / ($BG$66:$BG$75*BU122 + (1-$BG$66:$BG$75)*BQ122), N($AU$66:$AU$75&gt;$AM122))
) / 1000</f>
        <v>0</v>
      </c>
      <c r="BW122" s="231">
        <f t="shared" si="313"/>
        <v>25</v>
      </c>
      <c r="BX122" s="229">
        <f t="shared" ref="BX122:BX185" si="479">MAX($O122, MAX($BJ122, BW122 + $BK122 + $BL122 + IF($AH122&lt;=2, (BW122-20)/(35-20), 0.6+0.4*(BW122-5)/(35-5))*0.35*$AK122*$BK122) + IF($AH122&lt;=2,0.8,0.6)*$BN122)</f>
        <v>38</v>
      </c>
      <c r="BY122" s="234">
        <f t="shared" ref="BY122:BY185" si="480">0.45*($BI122+273.15)/(BX122-$BI122)</f>
        <v>4.0666935483870965</v>
      </c>
      <c r="BZ122" s="234" cm="1">
        <f t="array" ref="BZ122">$BM122 * IF($AH122&lt;=2,
SUMPRODUCT(INDEX($AV$66:$AX$70,,$AI122), INDEX($AY$66:$BE$70,,$AH122), 1 / ($BF$66:$BF$70*BY122 + (1-$BF$66:$BF$70)*BU122), N($AU$66:$AU$70&gt;$AM122)),
SUMPRODUCT(INDEX($AV$56:$AX$65,,$AI122), INDEX($AY$56:$BE$65,,$AH122), 1 / ($BG$56:$BG$65*BY122 + (1-$BG$56:$BG$65)*BU122), N($AU$56:$AU$65&gt;$AM122))
) / 1000</f>
        <v>0</v>
      </c>
      <c r="CA122" s="231">
        <f t="shared" si="316"/>
        <v>20</v>
      </c>
      <c r="CB122" s="229">
        <f t="shared" ref="CB122:CB185" si="481">MAX($O122, MAX($BJ122, CA122 + $BK122 + $BL122 + IF($AH122&lt;=2, (CA122-20)/(35-20), 0.6+0.4*(CA122-5)/(35-5))*0.35*$AK122*$BK122) + IF($AH122&lt;=2,0.7,0.4)*$BN122)</f>
        <v>33</v>
      </c>
      <c r="CC122" s="234">
        <f t="shared" ref="CC122:CC185" si="482">0.45*($BI122+273.15)/(CB122-$BI122)</f>
        <v>4.8487499999999999</v>
      </c>
      <c r="CD122" s="234" cm="1">
        <f t="array" ref="CD122">$BM122 * IF($AH122&lt;=2,
SUMPRODUCT(INDEX($AV$61:$AX$65,,$AI122), INDEX($AY$61:$BE$65,,$AH122), 1 / ($BF$61:$BF$65*CC122 + (1-$BF$61:$BF$65)*BY122), N($AU$61:$AU$65&gt;$AM122)),
SUMPRODUCT(INDEX($AV$46:$AX$55,,$AI122), INDEX($AY$46:$BE$55,,$AH122), 1 / ($BG$46:$BG$55*CC122 + (1-$BG$46:$BG$55)*BY122), N($AU$46:$AU$55&gt;$AM122))
) / 1000</f>
        <v>0</v>
      </c>
      <c r="CE122" s="234" cm="1">
        <f t="array" ref="CE122">$BM122 * IF($AH122&lt;=2,
SUMPRODUCT(INDEX($AV$22:$AX$60,,$AI122), INDEX($AY$22:$BE$60,,$AH122), 1 / ($BF$22:$BF$60*CC122), N($AU$22:$AU$60&gt;$AM122)),
SUMPRODUCT(INDEX($AV$22:$AX$45,,$AI122), INDEX($AY$22:$BE$45,,$AH122), 1 / ($BG$22:$BG$45*CC122), N($AU$22:$AU$45&gt;$AM122))
) / 1000</f>
        <v>0</v>
      </c>
      <c r="CF122" s="229">
        <f t="shared" ref="CF122:CF185" si="483">BR122+BV122+BZ122+CD122+CE122</f>
        <v>0</v>
      </c>
      <c r="CG122" s="246"/>
      <c r="CH122" s="229">
        <f t="shared" ref="CH122:CH185" si="484">V122 /  IF(AH122&lt;=2, 0.7 + 0.3 * (U122-20)/(35-20), 0.4 + 0.6 * (U122-5)/(35-5))</f>
        <v>0</v>
      </c>
      <c r="CI122" s="228">
        <v>35</v>
      </c>
      <c r="CJ122" s="229">
        <f t="shared" ref="CJ122:CJ185" si="485">MAX($T122, MAX($BJ122, $BO122 + $BK122 + $BL122 + 0.35*$AL122*$BK122 + CH122))</f>
        <v>48</v>
      </c>
      <c r="CK122" s="234">
        <f t="shared" ref="CK122:CK185" si="486">0.45*($BI122+273.15)/(CJ122-$BI122)</f>
        <v>3.0748170731707316</v>
      </c>
      <c r="CL122" s="234" cm="1">
        <f t="array" ref="CL122">$BM122 * SUMPRODUCT(INDEX($AV$76:$AX$81,,$AI122),INDEX($AY$76:$BE$81,,$AH122), N($AU$76:$AU$81&gt;$AM122)) / CK122 / 1000</f>
        <v>0</v>
      </c>
      <c r="CM122" s="231">
        <f t="shared" si="323"/>
        <v>30</v>
      </c>
      <c r="CN122" s="229">
        <f t="shared" ref="CN122:CN185" si="487">MAX($T122, MAX($BJ122, CM122 + $BK122 + $BL122 + IF($AH122&lt;=2, (CM122-20)/(35-20), 0.6+0.4*(CM122-5)/(35-5))*0.35*$AL122*$BK122) + IF($AH122&lt;=2,0.9,0.8)*$CH122)</f>
        <v>43</v>
      </c>
      <c r="CO122" s="234">
        <f t="shared" ref="CO122:CO185" si="488">0.45*($BI122+273.15)/(CN122-$BI122)</f>
        <v>3.5018750000000001</v>
      </c>
      <c r="CP122" s="234" cm="1">
        <f t="array" ref="CP122">$BM122 * IF($AH122&lt;=2,
SUMPRODUCT(INDEX($AV$71:$AX$75,,$AI122), INDEX($AY$71:$BE$75,,$AH122), 1 / ($BF$71:$BF$75*CO122 + (1-$BF$71:$BF$75)*CK122), N($AU$71:$AU$75&gt;$AM122)),
SUMPRODUCT(INDEX($AV$66:$AX$75,,$AI122), INDEX($AY$66:$BE$75,,$AH122), 1 / ($BG$66:$BG$75*CO122 + (1-$BG$66:$BG$75)*CK122), N($AU$66:$AU$75&gt;$AM122))
) / 1000</f>
        <v>0</v>
      </c>
      <c r="CQ122" s="231">
        <f t="shared" si="326"/>
        <v>25</v>
      </c>
      <c r="CR122" s="229">
        <f t="shared" ref="CR122:CR185" si="489">MAX($T122, MAX($BJ122, CQ122 + $BK122 + $BL122 + IF($AH122&lt;=2, (CQ122-20)/(35-20), 0.6+0.4*(CQ122-5)/(35-5))*0.35*$AL122*$BK122) + IF($AH122&lt;=2,0.8,0.6)*$CH122)</f>
        <v>38</v>
      </c>
      <c r="CS122" s="234">
        <f t="shared" ref="CS122:CS185" si="490">0.45*($BI122+273.15)/(CR122-$BI122)</f>
        <v>4.0666935483870965</v>
      </c>
      <c r="CT122" s="234" cm="1">
        <f t="array" ref="CT122">$BM122 * IF($AH122&lt;=2,
SUMPRODUCT(INDEX($AV$66:$AX$70,,$AI122), INDEX($AY$66:$BE$70,,$AH122), 1 / ($BF$66:$BF$70*CS122 + (1-$BF$66:$BF$70)*CO122), N($AU$66:$AU$70&gt;$AM122)),
SUMPRODUCT(INDEX($AV$56:$AX$65,,$AI122), INDEX($AY$56:$BE$65,,$AH122), 1 / ($BG$56:$BG$65*CS122 + (1-$BG$56:$BG$65)*CO122), N($AU$56:$AU$65&gt;$AM122))
) / 1000</f>
        <v>0</v>
      </c>
      <c r="CU122" s="231">
        <f t="shared" si="329"/>
        <v>20</v>
      </c>
      <c r="CV122" s="229">
        <f t="shared" ref="CV122:CV185" si="491">MAX($T122, MAX($BJ122, CU122 + $BK122 + $BL122 + IF($AH122&lt;=2, (CU122-20)/(35-20), 0.6+0.4*(CU122-5)/(35-5))*0.35*$AL122*$BK122) + IF($AH122&lt;=2,0.7,0.4)*$CH122)</f>
        <v>33</v>
      </c>
      <c r="CW122" s="234">
        <f t="shared" ref="CW122:CW185" si="492">0.45*($BI122+273.15)/(CV122-$BI122)</f>
        <v>4.8487499999999999</v>
      </c>
      <c r="CX122" s="234" cm="1">
        <f t="array" ref="CX122">$BM122 * IF($AH122&lt;=2,
SUMPRODUCT(INDEX($AV$61:$AX$65,,$AI122), INDEX($AY$61:$BE$65,,$AH122), 1 / ($BF$61:$BF$65*CW122 + (1-$BF$61:$BF$65)*CS122), N($AU$61:$AU$65&gt;$AM122)),
SUMPRODUCT(INDEX($AV$46:$AX$55,,$AI122), INDEX($AY$46:$BE$55,,$AH122), 1 / ($BG$46:$BG$55*CW122 + (1-$BG$46:$BG$55)*CS122), N($AU$46:$AU$55&gt;$AM122))
) / 1000</f>
        <v>0</v>
      </c>
      <c r="CY122" s="234" cm="1">
        <f t="array" ref="CY122">$BM122 * IF($AH122&lt;=2,
SUMPRODUCT(INDEX($AV$22:$AX$60,,$AI122), INDEX($AY$22:$BE$60,,$AH122), 1 / ($BF$22:$BF$60*CW122), N($AU$22:$AU$60&gt;$AM122)),
SUMPRODUCT(INDEX($AV$22:$AX$45,,$AI122), INDEX($AY$22:$BE$45,,$AH122), 1 / ($BG$22:$BG$45*CW122), N($AU$22:$AU$45&gt;$AM122))
) / 1000</f>
        <v>0</v>
      </c>
      <c r="CZ122" s="229">
        <f t="shared" ref="CZ122:CZ185" si="493">CL122+CP122+CT122+CX122+CY122</f>
        <v>0</v>
      </c>
      <c r="DA122" s="246"/>
    </row>
    <row r="123" spans="1:105" s="75" customFormat="1" ht="14.25" customHeight="1" x14ac:dyDescent="0.2">
      <c r="A123" s="230" t="b">
        <f t="shared" si="291"/>
        <v>0</v>
      </c>
      <c r="B123" s="253">
        <v>102</v>
      </c>
      <c r="C123" s="266"/>
      <c r="D123" s="266"/>
      <c r="E123" s="254"/>
      <c r="F123" s="255" t="str">
        <f>IF(ISBLANK(E123), "", VLOOKUP(E123, Z!$A$2:$C$4127, 3, FALSE))</f>
        <v/>
      </c>
      <c r="G123" s="256"/>
      <c r="H123" s="256"/>
      <c r="I123" s="256"/>
      <c r="J123" s="257"/>
      <c r="K123" s="258"/>
      <c r="L123" s="267"/>
      <c r="M123" s="268"/>
      <c r="N123" s="259" t="str" cm="1">
        <f t="array" ref="N123">IF($L123&gt;0, INDEX(Clean,1+AK123,$D$1), "")</f>
        <v/>
      </c>
      <c r="O123" s="260"/>
      <c r="P123" s="260"/>
      <c r="Q123" s="261"/>
      <c r="R123" s="264">
        <f t="shared" si="469"/>
        <v>0</v>
      </c>
      <c r="S123" s="259" t="str" cm="1">
        <f t="array" ref="S123">IF($L123&gt;0, INDEX(Clean,1+AL123,$D$1), "")</f>
        <v/>
      </c>
      <c r="T123" s="260"/>
      <c r="U123" s="260"/>
      <c r="V123" s="261"/>
      <c r="W123" s="267"/>
      <c r="X123" s="267"/>
      <c r="Y123" s="257"/>
      <c r="Z123" s="264">
        <f t="shared" si="470"/>
        <v>0</v>
      </c>
      <c r="AA123" s="269"/>
      <c r="AB123" s="266"/>
      <c r="AC123" s="254"/>
      <c r="AD123" s="255" t="str">
        <f>IF(ISBLANK(AC123), "", VLOOKUP(AC123, Z!$A$2:$C$4127, 3, FALSE))</f>
        <v/>
      </c>
      <c r="AE123" s="270"/>
      <c r="AF123" s="265">
        <f t="shared" si="471"/>
        <v>0</v>
      </c>
      <c r="AG123" s="246"/>
      <c r="AH123" s="228">
        <f t="shared" ref="AH123:AH186" si="494">IF(ISBLANK(I123), 1, IFERROR(MATCH(I123, INDEX(Use,,1), 0), IFERROR(MATCH(I123, INDEX(Use,,2), 0), MATCH(I123, INDEX(Use,,3), 0))))</f>
        <v>1</v>
      </c>
      <c r="AI123" s="228">
        <f t="shared" ref="AI123:AI186" si="495">IF(ISBLANK(H123), 1, IFERROR(MATCH(H123, INDEX(Loc,,1), 0), IFERROR(MATCH(H123, INDEX(Loc,,2), 0), MATCH(H123, INDEX(Loc,,3), 0))))</f>
        <v>1</v>
      </c>
      <c r="AJ123" s="228">
        <f t="shared" ref="AJ123:AJ186" si="496">_xlfn.IFNA(IF(IFERROR(MATCH(J123, INDEX(Medium,,1), 0), IFERROR(MATCH(J123, INDEX(Medium,,2), 0), MATCH(J123, INDEX(Medium,,3), 0))) = 2, 1, 0), 0)</f>
        <v>0</v>
      </c>
      <c r="AK123" s="228">
        <v>0</v>
      </c>
      <c r="AL123" s="228">
        <v>0</v>
      </c>
      <c r="AM123" s="228">
        <f t="shared" si="472"/>
        <v>-100</v>
      </c>
      <c r="AN123" s="228" cm="1">
        <f t="array" ref="AN123">IF(ISBLANK(G123), 1, IFERROR(MATCH(G123, INDEX(Kat,,1), 0), IFERROR(MATCH(Kat, INDEX(Use,,2), 0), MATCH(Kat, INDEX(Use,,3), 0))))</f>
        <v>1</v>
      </c>
      <c r="AO123" s="246"/>
      <c r="AP123" s="228" cm="1">
        <f t="array" ref="AP123">IF(W123&gt;0, INDEX(Kat, AN123,4), 0)</f>
        <v>0</v>
      </c>
      <c r="AQ123" s="228">
        <f t="shared" ref="AQ123:AQ186" si="497">IF(ISBLANK(Y123), 0, IFERROR(MATCH(Y123, INDEX(Month,,1), 0), IFERROR(MATCH(Y123, INDEX(Month,,2), 0), MATCH(Y123, INDEX(Month,,3), 0))))</f>
        <v>0</v>
      </c>
      <c r="AR123" s="228" cm="1">
        <f t="array" ref="AR123">IF(X123&gt;0, INDEX(Kat, $AN123, 4+AQ123), 0)</f>
        <v>0</v>
      </c>
      <c r="AS123" s="228" cm="1">
        <f t="array" ref="AS123">IF(X123&gt;0, INDEX(Kat, $AN123, 9+AQ123), 0)</f>
        <v>0</v>
      </c>
      <c r="AT123" s="246"/>
      <c r="AU123" s="262"/>
      <c r="AV123" s="262"/>
      <c r="AW123" s="263"/>
      <c r="AX123" s="263"/>
      <c r="AY123" s="263"/>
      <c r="AZ123" s="263"/>
      <c r="BA123" s="263"/>
      <c r="BB123" s="263"/>
      <c r="BC123" s="263"/>
      <c r="BD123" s="263"/>
      <c r="BE123" s="263"/>
      <c r="BF123" s="263"/>
      <c r="BG123" s="263"/>
      <c r="BH123" s="246"/>
      <c r="BI123" s="228" cm="1">
        <f t="array" ref="BI123">INDEX(Use, $AH123, 4)</f>
        <v>7</v>
      </c>
      <c r="BJ123" s="228">
        <f t="shared" si="473"/>
        <v>32</v>
      </c>
      <c r="BK123" s="228">
        <f t="shared" si="305"/>
        <v>13</v>
      </c>
      <c r="BL123" s="228">
        <f t="shared" si="306"/>
        <v>0</v>
      </c>
      <c r="BM123" s="233" cm="1">
        <f t="array" ref="BM123">L123/IF($M123&gt;0, INDEX($AY$22:$BE$76, $M123+20, $AH123), 1)</f>
        <v>0</v>
      </c>
      <c r="BN123" s="229">
        <f t="shared" si="474"/>
        <v>0</v>
      </c>
      <c r="BO123" s="228">
        <v>35</v>
      </c>
      <c r="BP123" s="229">
        <f t="shared" si="475"/>
        <v>48</v>
      </c>
      <c r="BQ123" s="234">
        <f t="shared" si="476"/>
        <v>3.0748170731707316</v>
      </c>
      <c r="BR123" s="234" cm="1">
        <f t="array" ref="BR123">$BM123 * SUMPRODUCT(INDEX($AV$76:$AX$81,,$AI123),INDEX($AY$76:$BE$81,,$AH123), N($AU$76:$AU$81&gt;$AM123)) / BQ123 / 1000</f>
        <v>0</v>
      </c>
      <c r="BS123" s="231">
        <f t="shared" si="310"/>
        <v>30</v>
      </c>
      <c r="BT123" s="229">
        <f t="shared" si="477"/>
        <v>43</v>
      </c>
      <c r="BU123" s="234">
        <f t="shared" si="478"/>
        <v>3.5018750000000001</v>
      </c>
      <c r="BV123" s="234" cm="1">
        <f t="array" ref="BV123">$BM123 * IF($AH123&lt;=2,
SUMPRODUCT(INDEX($AV$71:$AX$75,,$AI123), INDEX($AY$71:$BE$75,,$AH123), 1 / ($BF$71:$BF$75*BU123 + (1-$BF$71:$BF$75)*BQ123), N($AU$71:$AU$75&gt;$AM123)),
SUMPRODUCT(INDEX($AV$66:$AX$75,,$AI123), INDEX($AY$66:$BE$75,,$AH123), 1 / ($BG$66:$BG$75*BU123 + (1-$BG$66:$BG$75)*BQ123), N($AU$66:$AU$75&gt;$AM123))
) / 1000</f>
        <v>0</v>
      </c>
      <c r="BW123" s="231">
        <f t="shared" si="313"/>
        <v>25</v>
      </c>
      <c r="BX123" s="229">
        <f t="shared" si="479"/>
        <v>38</v>
      </c>
      <c r="BY123" s="234">
        <f t="shared" si="480"/>
        <v>4.0666935483870965</v>
      </c>
      <c r="BZ123" s="234" cm="1">
        <f t="array" ref="BZ123">$BM123 * IF($AH123&lt;=2,
SUMPRODUCT(INDEX($AV$66:$AX$70,,$AI123), INDEX($AY$66:$BE$70,,$AH123), 1 / ($BF$66:$BF$70*BY123 + (1-$BF$66:$BF$70)*BU123), N($AU$66:$AU$70&gt;$AM123)),
SUMPRODUCT(INDEX($AV$56:$AX$65,,$AI123), INDEX($AY$56:$BE$65,,$AH123), 1 / ($BG$56:$BG$65*BY123 + (1-$BG$56:$BG$65)*BU123), N($AU$56:$AU$65&gt;$AM123))
) / 1000</f>
        <v>0</v>
      </c>
      <c r="CA123" s="231">
        <f t="shared" si="316"/>
        <v>20</v>
      </c>
      <c r="CB123" s="229">
        <f t="shared" si="481"/>
        <v>33</v>
      </c>
      <c r="CC123" s="234">
        <f t="shared" si="482"/>
        <v>4.8487499999999999</v>
      </c>
      <c r="CD123" s="234" cm="1">
        <f t="array" ref="CD123">$BM123 * IF($AH123&lt;=2,
SUMPRODUCT(INDEX($AV$61:$AX$65,,$AI123), INDEX($AY$61:$BE$65,,$AH123), 1 / ($BF$61:$BF$65*CC123 + (1-$BF$61:$BF$65)*BY123), N($AU$61:$AU$65&gt;$AM123)),
SUMPRODUCT(INDEX($AV$46:$AX$55,,$AI123), INDEX($AY$46:$BE$55,,$AH123), 1 / ($BG$46:$BG$55*CC123 + (1-$BG$46:$BG$55)*BY123), N($AU$46:$AU$55&gt;$AM123))
) / 1000</f>
        <v>0</v>
      </c>
      <c r="CE123" s="234" cm="1">
        <f t="array" ref="CE123">$BM123 * IF($AH123&lt;=2,
SUMPRODUCT(INDEX($AV$22:$AX$60,,$AI123), INDEX($AY$22:$BE$60,,$AH123), 1 / ($BF$22:$BF$60*CC123), N($AU$22:$AU$60&gt;$AM123)),
SUMPRODUCT(INDEX($AV$22:$AX$45,,$AI123), INDEX($AY$22:$BE$45,,$AH123), 1 / ($BG$22:$BG$45*CC123), N($AU$22:$AU$45&gt;$AM123))
) / 1000</f>
        <v>0</v>
      </c>
      <c r="CF123" s="229">
        <f t="shared" si="483"/>
        <v>0</v>
      </c>
      <c r="CG123" s="246"/>
      <c r="CH123" s="229">
        <f t="shared" si="484"/>
        <v>0</v>
      </c>
      <c r="CI123" s="228">
        <v>35</v>
      </c>
      <c r="CJ123" s="229">
        <f t="shared" si="485"/>
        <v>48</v>
      </c>
      <c r="CK123" s="234">
        <f t="shared" si="486"/>
        <v>3.0748170731707316</v>
      </c>
      <c r="CL123" s="234" cm="1">
        <f t="array" ref="CL123">$BM123 * SUMPRODUCT(INDEX($AV$76:$AX$81,,$AI123),INDEX($AY$76:$BE$81,,$AH123), N($AU$76:$AU$81&gt;$AM123)) / CK123 / 1000</f>
        <v>0</v>
      </c>
      <c r="CM123" s="231">
        <f t="shared" si="323"/>
        <v>30</v>
      </c>
      <c r="CN123" s="229">
        <f t="shared" si="487"/>
        <v>43</v>
      </c>
      <c r="CO123" s="234">
        <f t="shared" si="488"/>
        <v>3.5018750000000001</v>
      </c>
      <c r="CP123" s="234" cm="1">
        <f t="array" ref="CP123">$BM123 * IF($AH123&lt;=2,
SUMPRODUCT(INDEX($AV$71:$AX$75,,$AI123), INDEX($AY$71:$BE$75,,$AH123), 1 / ($BF$71:$BF$75*CO123 + (1-$BF$71:$BF$75)*CK123), N($AU$71:$AU$75&gt;$AM123)),
SUMPRODUCT(INDEX($AV$66:$AX$75,,$AI123), INDEX($AY$66:$BE$75,,$AH123), 1 / ($BG$66:$BG$75*CO123 + (1-$BG$66:$BG$75)*CK123), N($AU$66:$AU$75&gt;$AM123))
) / 1000</f>
        <v>0</v>
      </c>
      <c r="CQ123" s="231">
        <f t="shared" si="326"/>
        <v>25</v>
      </c>
      <c r="CR123" s="229">
        <f t="shared" si="489"/>
        <v>38</v>
      </c>
      <c r="CS123" s="234">
        <f t="shared" si="490"/>
        <v>4.0666935483870965</v>
      </c>
      <c r="CT123" s="234" cm="1">
        <f t="array" ref="CT123">$BM123 * IF($AH123&lt;=2,
SUMPRODUCT(INDEX($AV$66:$AX$70,,$AI123), INDEX($AY$66:$BE$70,,$AH123), 1 / ($BF$66:$BF$70*CS123 + (1-$BF$66:$BF$70)*CO123), N($AU$66:$AU$70&gt;$AM123)),
SUMPRODUCT(INDEX($AV$56:$AX$65,,$AI123), INDEX($AY$56:$BE$65,,$AH123), 1 / ($BG$56:$BG$65*CS123 + (1-$BG$56:$BG$65)*CO123), N($AU$56:$AU$65&gt;$AM123))
) / 1000</f>
        <v>0</v>
      </c>
      <c r="CU123" s="231">
        <f t="shared" si="329"/>
        <v>20</v>
      </c>
      <c r="CV123" s="229">
        <f t="shared" si="491"/>
        <v>33</v>
      </c>
      <c r="CW123" s="234">
        <f t="shared" si="492"/>
        <v>4.8487499999999999</v>
      </c>
      <c r="CX123" s="234" cm="1">
        <f t="array" ref="CX123">$BM123 * IF($AH123&lt;=2,
SUMPRODUCT(INDEX($AV$61:$AX$65,,$AI123), INDEX($AY$61:$BE$65,,$AH123), 1 / ($BF$61:$BF$65*CW123 + (1-$BF$61:$BF$65)*CS123), N($AU$61:$AU$65&gt;$AM123)),
SUMPRODUCT(INDEX($AV$46:$AX$55,,$AI123), INDEX($AY$46:$BE$55,,$AH123), 1 / ($BG$46:$BG$55*CW123 + (1-$BG$46:$BG$55)*CS123), N($AU$46:$AU$55&gt;$AM123))
) / 1000</f>
        <v>0</v>
      </c>
      <c r="CY123" s="234" cm="1">
        <f t="array" ref="CY123">$BM123 * IF($AH123&lt;=2,
SUMPRODUCT(INDEX($AV$22:$AX$60,,$AI123), INDEX($AY$22:$BE$60,,$AH123), 1 / ($BF$22:$BF$60*CW123), N($AU$22:$AU$60&gt;$AM123)),
SUMPRODUCT(INDEX($AV$22:$AX$45,,$AI123), INDEX($AY$22:$BE$45,,$AH123), 1 / ($BG$22:$BG$45*CW123), N($AU$22:$AU$45&gt;$AM123))
) / 1000</f>
        <v>0</v>
      </c>
      <c r="CZ123" s="229">
        <f t="shared" si="493"/>
        <v>0</v>
      </c>
      <c r="DA123" s="246"/>
    </row>
    <row r="124" spans="1:105" s="75" customFormat="1" ht="14.25" customHeight="1" x14ac:dyDescent="0.2">
      <c r="A124" s="230" t="b">
        <f t="shared" si="291"/>
        <v>0</v>
      </c>
      <c r="B124" s="253">
        <v>103</v>
      </c>
      <c r="C124" s="266"/>
      <c r="D124" s="266"/>
      <c r="E124" s="254"/>
      <c r="F124" s="255" t="str">
        <f>IF(ISBLANK(E124), "", VLOOKUP(E124, Z!$A$2:$C$4127, 3, FALSE))</f>
        <v/>
      </c>
      <c r="G124" s="256"/>
      <c r="H124" s="256"/>
      <c r="I124" s="256"/>
      <c r="J124" s="257"/>
      <c r="K124" s="258"/>
      <c r="L124" s="267"/>
      <c r="M124" s="268"/>
      <c r="N124" s="259" t="str" cm="1">
        <f t="array" ref="N124">IF($L124&gt;0, INDEX(Clean,1+AK124,$D$1), "")</f>
        <v/>
      </c>
      <c r="O124" s="260"/>
      <c r="P124" s="260"/>
      <c r="Q124" s="261"/>
      <c r="R124" s="264">
        <f t="shared" si="469"/>
        <v>0</v>
      </c>
      <c r="S124" s="259" t="str" cm="1">
        <f t="array" ref="S124">IF($L124&gt;0, INDEX(Clean,1+AL124,$D$1), "")</f>
        <v/>
      </c>
      <c r="T124" s="260"/>
      <c r="U124" s="260"/>
      <c r="V124" s="261"/>
      <c r="W124" s="267"/>
      <c r="X124" s="267"/>
      <c r="Y124" s="257"/>
      <c r="Z124" s="264">
        <f t="shared" si="470"/>
        <v>0</v>
      </c>
      <c r="AA124" s="269"/>
      <c r="AB124" s="266"/>
      <c r="AC124" s="254"/>
      <c r="AD124" s="255" t="str">
        <f>IF(ISBLANK(AC124), "", VLOOKUP(AC124, Z!$A$2:$C$4127, 3, FALSE))</f>
        <v/>
      </c>
      <c r="AE124" s="270"/>
      <c r="AF124" s="265">
        <f t="shared" si="471"/>
        <v>0</v>
      </c>
      <c r="AG124" s="246"/>
      <c r="AH124" s="228">
        <f t="shared" si="494"/>
        <v>1</v>
      </c>
      <c r="AI124" s="228">
        <f t="shared" si="495"/>
        <v>1</v>
      </c>
      <c r="AJ124" s="228">
        <f t="shared" si="496"/>
        <v>0</v>
      </c>
      <c r="AK124" s="228">
        <v>0</v>
      </c>
      <c r="AL124" s="228">
        <v>0</v>
      </c>
      <c r="AM124" s="228">
        <f t="shared" si="472"/>
        <v>-100</v>
      </c>
      <c r="AN124" s="228" cm="1">
        <f t="array" ref="AN124">IF(ISBLANK(G124), 1, IFERROR(MATCH(G124, INDEX(Kat,,1), 0), IFERROR(MATCH(Kat, INDEX(Use,,2), 0), MATCH(Kat, INDEX(Use,,3), 0))))</f>
        <v>1</v>
      </c>
      <c r="AO124" s="246"/>
      <c r="AP124" s="228" cm="1">
        <f t="array" ref="AP124">IF(W124&gt;0, INDEX(Kat, AN124,4), 0)</f>
        <v>0</v>
      </c>
      <c r="AQ124" s="228">
        <f t="shared" si="497"/>
        <v>0</v>
      </c>
      <c r="AR124" s="228" cm="1">
        <f t="array" ref="AR124">IF(X124&gt;0, INDEX(Kat, $AN124, 4+AQ124), 0)</f>
        <v>0</v>
      </c>
      <c r="AS124" s="228" cm="1">
        <f t="array" ref="AS124">IF(X124&gt;0, INDEX(Kat, $AN124, 9+AQ124), 0)</f>
        <v>0</v>
      </c>
      <c r="AT124" s="246"/>
      <c r="AU124" s="262"/>
      <c r="AV124" s="262"/>
      <c r="AW124" s="263"/>
      <c r="AX124" s="263"/>
      <c r="AY124" s="263"/>
      <c r="AZ124" s="263"/>
      <c r="BA124" s="263"/>
      <c r="BB124" s="263"/>
      <c r="BC124" s="263"/>
      <c r="BD124" s="263"/>
      <c r="BE124" s="263"/>
      <c r="BF124" s="263"/>
      <c r="BG124" s="263"/>
      <c r="BH124" s="246"/>
      <c r="BI124" s="228" cm="1">
        <f t="array" ref="BI124">INDEX(Use, $AH124, 4)</f>
        <v>7</v>
      </c>
      <c r="BJ124" s="228">
        <f t="shared" si="473"/>
        <v>32</v>
      </c>
      <c r="BK124" s="228">
        <f t="shared" si="305"/>
        <v>13</v>
      </c>
      <c r="BL124" s="228">
        <f t="shared" si="306"/>
        <v>0</v>
      </c>
      <c r="BM124" s="233" cm="1">
        <f t="array" ref="BM124">L124/IF($M124&gt;0, INDEX($AY$22:$BE$76, $M124+20, $AH124), 1)</f>
        <v>0</v>
      </c>
      <c r="BN124" s="229">
        <f t="shared" si="474"/>
        <v>0</v>
      </c>
      <c r="BO124" s="228">
        <v>35</v>
      </c>
      <c r="BP124" s="229">
        <f t="shared" si="475"/>
        <v>48</v>
      </c>
      <c r="BQ124" s="234">
        <f t="shared" si="476"/>
        <v>3.0748170731707316</v>
      </c>
      <c r="BR124" s="234" cm="1">
        <f t="array" ref="BR124">$BM124 * SUMPRODUCT(INDEX($AV$76:$AX$81,,$AI124),INDEX($AY$76:$BE$81,,$AH124), N($AU$76:$AU$81&gt;$AM124)) / BQ124 / 1000</f>
        <v>0</v>
      </c>
      <c r="BS124" s="231">
        <f t="shared" si="310"/>
        <v>30</v>
      </c>
      <c r="BT124" s="229">
        <f t="shared" si="477"/>
        <v>43</v>
      </c>
      <c r="BU124" s="234">
        <f t="shared" si="478"/>
        <v>3.5018750000000001</v>
      </c>
      <c r="BV124" s="234" cm="1">
        <f t="array" ref="BV124">$BM124 * IF($AH124&lt;=2,
SUMPRODUCT(INDEX($AV$71:$AX$75,,$AI124), INDEX($AY$71:$BE$75,,$AH124), 1 / ($BF$71:$BF$75*BU124 + (1-$BF$71:$BF$75)*BQ124), N($AU$71:$AU$75&gt;$AM124)),
SUMPRODUCT(INDEX($AV$66:$AX$75,,$AI124), INDEX($AY$66:$BE$75,,$AH124), 1 / ($BG$66:$BG$75*BU124 + (1-$BG$66:$BG$75)*BQ124), N($AU$66:$AU$75&gt;$AM124))
) / 1000</f>
        <v>0</v>
      </c>
      <c r="BW124" s="231">
        <f t="shared" si="313"/>
        <v>25</v>
      </c>
      <c r="BX124" s="229">
        <f t="shared" si="479"/>
        <v>38</v>
      </c>
      <c r="BY124" s="234">
        <f t="shared" si="480"/>
        <v>4.0666935483870965</v>
      </c>
      <c r="BZ124" s="234" cm="1">
        <f t="array" ref="BZ124">$BM124 * IF($AH124&lt;=2,
SUMPRODUCT(INDEX($AV$66:$AX$70,,$AI124), INDEX($AY$66:$BE$70,,$AH124), 1 / ($BF$66:$BF$70*BY124 + (1-$BF$66:$BF$70)*BU124), N($AU$66:$AU$70&gt;$AM124)),
SUMPRODUCT(INDEX($AV$56:$AX$65,,$AI124), INDEX($AY$56:$BE$65,,$AH124), 1 / ($BG$56:$BG$65*BY124 + (1-$BG$56:$BG$65)*BU124), N($AU$56:$AU$65&gt;$AM124))
) / 1000</f>
        <v>0</v>
      </c>
      <c r="CA124" s="231">
        <f t="shared" si="316"/>
        <v>20</v>
      </c>
      <c r="CB124" s="229">
        <f t="shared" si="481"/>
        <v>33</v>
      </c>
      <c r="CC124" s="234">
        <f t="shared" si="482"/>
        <v>4.8487499999999999</v>
      </c>
      <c r="CD124" s="234" cm="1">
        <f t="array" ref="CD124">$BM124 * IF($AH124&lt;=2,
SUMPRODUCT(INDEX($AV$61:$AX$65,,$AI124), INDEX($AY$61:$BE$65,,$AH124), 1 / ($BF$61:$BF$65*CC124 + (1-$BF$61:$BF$65)*BY124), N($AU$61:$AU$65&gt;$AM124)),
SUMPRODUCT(INDEX($AV$46:$AX$55,,$AI124), INDEX($AY$46:$BE$55,,$AH124), 1 / ($BG$46:$BG$55*CC124 + (1-$BG$46:$BG$55)*BY124), N($AU$46:$AU$55&gt;$AM124))
) / 1000</f>
        <v>0</v>
      </c>
      <c r="CE124" s="234" cm="1">
        <f t="array" ref="CE124">$BM124 * IF($AH124&lt;=2,
SUMPRODUCT(INDEX($AV$22:$AX$60,,$AI124), INDEX($AY$22:$BE$60,,$AH124), 1 / ($BF$22:$BF$60*CC124), N($AU$22:$AU$60&gt;$AM124)),
SUMPRODUCT(INDEX($AV$22:$AX$45,,$AI124), INDEX($AY$22:$BE$45,,$AH124), 1 / ($BG$22:$BG$45*CC124), N($AU$22:$AU$45&gt;$AM124))
) / 1000</f>
        <v>0</v>
      </c>
      <c r="CF124" s="229">
        <f t="shared" si="483"/>
        <v>0</v>
      </c>
      <c r="CG124" s="246"/>
      <c r="CH124" s="229">
        <f t="shared" si="484"/>
        <v>0</v>
      </c>
      <c r="CI124" s="228">
        <v>35</v>
      </c>
      <c r="CJ124" s="229">
        <f t="shared" si="485"/>
        <v>48</v>
      </c>
      <c r="CK124" s="234">
        <f t="shared" si="486"/>
        <v>3.0748170731707316</v>
      </c>
      <c r="CL124" s="234" cm="1">
        <f t="array" ref="CL124">$BM124 * SUMPRODUCT(INDEX($AV$76:$AX$81,,$AI124),INDEX($AY$76:$BE$81,,$AH124), N($AU$76:$AU$81&gt;$AM124)) / CK124 / 1000</f>
        <v>0</v>
      </c>
      <c r="CM124" s="231">
        <f t="shared" si="323"/>
        <v>30</v>
      </c>
      <c r="CN124" s="229">
        <f t="shared" si="487"/>
        <v>43</v>
      </c>
      <c r="CO124" s="234">
        <f t="shared" si="488"/>
        <v>3.5018750000000001</v>
      </c>
      <c r="CP124" s="234" cm="1">
        <f t="array" ref="CP124">$BM124 * IF($AH124&lt;=2,
SUMPRODUCT(INDEX($AV$71:$AX$75,,$AI124), INDEX($AY$71:$BE$75,,$AH124), 1 / ($BF$71:$BF$75*CO124 + (1-$BF$71:$BF$75)*CK124), N($AU$71:$AU$75&gt;$AM124)),
SUMPRODUCT(INDEX($AV$66:$AX$75,,$AI124), INDEX($AY$66:$BE$75,,$AH124), 1 / ($BG$66:$BG$75*CO124 + (1-$BG$66:$BG$75)*CK124), N($AU$66:$AU$75&gt;$AM124))
) / 1000</f>
        <v>0</v>
      </c>
      <c r="CQ124" s="231">
        <f t="shared" si="326"/>
        <v>25</v>
      </c>
      <c r="CR124" s="229">
        <f t="shared" si="489"/>
        <v>38</v>
      </c>
      <c r="CS124" s="234">
        <f t="shared" si="490"/>
        <v>4.0666935483870965</v>
      </c>
      <c r="CT124" s="234" cm="1">
        <f t="array" ref="CT124">$BM124 * IF($AH124&lt;=2,
SUMPRODUCT(INDEX($AV$66:$AX$70,,$AI124), INDEX($AY$66:$BE$70,,$AH124), 1 / ($BF$66:$BF$70*CS124 + (1-$BF$66:$BF$70)*CO124), N($AU$66:$AU$70&gt;$AM124)),
SUMPRODUCT(INDEX($AV$56:$AX$65,,$AI124), INDEX($AY$56:$BE$65,,$AH124), 1 / ($BG$56:$BG$65*CS124 + (1-$BG$56:$BG$65)*CO124), N($AU$56:$AU$65&gt;$AM124))
) / 1000</f>
        <v>0</v>
      </c>
      <c r="CU124" s="231">
        <f t="shared" si="329"/>
        <v>20</v>
      </c>
      <c r="CV124" s="229">
        <f t="shared" si="491"/>
        <v>33</v>
      </c>
      <c r="CW124" s="234">
        <f t="shared" si="492"/>
        <v>4.8487499999999999</v>
      </c>
      <c r="CX124" s="234" cm="1">
        <f t="array" ref="CX124">$BM124 * IF($AH124&lt;=2,
SUMPRODUCT(INDEX($AV$61:$AX$65,,$AI124), INDEX($AY$61:$BE$65,,$AH124), 1 / ($BF$61:$BF$65*CW124 + (1-$BF$61:$BF$65)*CS124), N($AU$61:$AU$65&gt;$AM124)),
SUMPRODUCT(INDEX($AV$46:$AX$55,,$AI124), INDEX($AY$46:$BE$55,,$AH124), 1 / ($BG$46:$BG$55*CW124 + (1-$BG$46:$BG$55)*CS124), N($AU$46:$AU$55&gt;$AM124))
) / 1000</f>
        <v>0</v>
      </c>
      <c r="CY124" s="234" cm="1">
        <f t="array" ref="CY124">$BM124 * IF($AH124&lt;=2,
SUMPRODUCT(INDEX($AV$22:$AX$60,,$AI124), INDEX($AY$22:$BE$60,,$AH124), 1 / ($BF$22:$BF$60*CW124), N($AU$22:$AU$60&gt;$AM124)),
SUMPRODUCT(INDEX($AV$22:$AX$45,,$AI124), INDEX($AY$22:$BE$45,,$AH124), 1 / ($BG$22:$BG$45*CW124), N($AU$22:$AU$45&gt;$AM124))
) / 1000</f>
        <v>0</v>
      </c>
      <c r="CZ124" s="229">
        <f t="shared" si="493"/>
        <v>0</v>
      </c>
      <c r="DA124" s="246"/>
    </row>
    <row r="125" spans="1:105" s="75" customFormat="1" ht="14.25" customHeight="1" x14ac:dyDescent="0.2">
      <c r="A125" s="230" t="b">
        <f t="shared" si="291"/>
        <v>0</v>
      </c>
      <c r="B125" s="253">
        <v>104</v>
      </c>
      <c r="C125" s="266"/>
      <c r="D125" s="266"/>
      <c r="E125" s="254"/>
      <c r="F125" s="255" t="str">
        <f>IF(ISBLANK(E125), "", VLOOKUP(E125, Z!$A$2:$C$4127, 3, FALSE))</f>
        <v/>
      </c>
      <c r="G125" s="256"/>
      <c r="H125" s="256"/>
      <c r="I125" s="256"/>
      <c r="J125" s="257"/>
      <c r="K125" s="258"/>
      <c r="L125" s="267"/>
      <c r="M125" s="268"/>
      <c r="N125" s="259" t="str" cm="1">
        <f t="array" ref="N125">IF($L125&gt;0, INDEX(Clean,1+AK125,$D$1), "")</f>
        <v/>
      </c>
      <c r="O125" s="260"/>
      <c r="P125" s="260"/>
      <c r="Q125" s="261"/>
      <c r="R125" s="264">
        <f t="shared" si="469"/>
        <v>0</v>
      </c>
      <c r="S125" s="259" t="str" cm="1">
        <f t="array" ref="S125">IF($L125&gt;0, INDEX(Clean,1+AL125,$D$1), "")</f>
        <v/>
      </c>
      <c r="T125" s="260"/>
      <c r="U125" s="260"/>
      <c r="V125" s="261"/>
      <c r="W125" s="267"/>
      <c r="X125" s="267"/>
      <c r="Y125" s="257"/>
      <c r="Z125" s="264">
        <f t="shared" si="470"/>
        <v>0</v>
      </c>
      <c r="AA125" s="269"/>
      <c r="AB125" s="266"/>
      <c r="AC125" s="254"/>
      <c r="AD125" s="255" t="str">
        <f>IF(ISBLANK(AC125), "", VLOOKUP(AC125, Z!$A$2:$C$4127, 3, FALSE))</f>
        <v/>
      </c>
      <c r="AE125" s="270"/>
      <c r="AF125" s="265">
        <f t="shared" si="471"/>
        <v>0</v>
      </c>
      <c r="AG125" s="246"/>
      <c r="AH125" s="228">
        <f t="shared" si="494"/>
        <v>1</v>
      </c>
      <c r="AI125" s="228">
        <f t="shared" si="495"/>
        <v>1</v>
      </c>
      <c r="AJ125" s="228">
        <f t="shared" si="496"/>
        <v>0</v>
      </c>
      <c r="AK125" s="228">
        <v>0</v>
      </c>
      <c r="AL125" s="228">
        <v>0</v>
      </c>
      <c r="AM125" s="228">
        <f t="shared" si="472"/>
        <v>-100</v>
      </c>
      <c r="AN125" s="228" cm="1">
        <f t="array" ref="AN125">IF(ISBLANK(G125), 1, IFERROR(MATCH(G125, INDEX(Kat,,1), 0), IFERROR(MATCH(Kat, INDEX(Use,,2), 0), MATCH(Kat, INDEX(Use,,3), 0))))</f>
        <v>1</v>
      </c>
      <c r="AO125" s="246"/>
      <c r="AP125" s="228" cm="1">
        <f t="array" ref="AP125">IF(W125&gt;0, INDEX(Kat, AN125,4), 0)</f>
        <v>0</v>
      </c>
      <c r="AQ125" s="228">
        <f t="shared" si="497"/>
        <v>0</v>
      </c>
      <c r="AR125" s="228" cm="1">
        <f t="array" ref="AR125">IF(X125&gt;0, INDEX(Kat, $AN125, 4+AQ125), 0)</f>
        <v>0</v>
      </c>
      <c r="AS125" s="228" cm="1">
        <f t="array" ref="AS125">IF(X125&gt;0, INDEX(Kat, $AN125, 9+AQ125), 0)</f>
        <v>0</v>
      </c>
      <c r="AT125" s="246"/>
      <c r="AU125" s="262"/>
      <c r="AV125" s="262"/>
      <c r="AW125" s="263"/>
      <c r="AX125" s="263"/>
      <c r="AY125" s="263"/>
      <c r="AZ125" s="263"/>
      <c r="BA125" s="263"/>
      <c r="BB125" s="263"/>
      <c r="BC125" s="263"/>
      <c r="BD125" s="263"/>
      <c r="BE125" s="263"/>
      <c r="BF125" s="263"/>
      <c r="BG125" s="263"/>
      <c r="BH125" s="246"/>
      <c r="BI125" s="228" cm="1">
        <f t="array" ref="BI125">INDEX(Use, $AH125, 4)</f>
        <v>7</v>
      </c>
      <c r="BJ125" s="228">
        <f t="shared" si="473"/>
        <v>32</v>
      </c>
      <c r="BK125" s="228">
        <f t="shared" si="305"/>
        <v>13</v>
      </c>
      <c r="BL125" s="228">
        <f t="shared" si="306"/>
        <v>0</v>
      </c>
      <c r="BM125" s="233" cm="1">
        <f t="array" ref="BM125">L125/IF($M125&gt;0, INDEX($AY$22:$BE$76, $M125+20, $AH125), 1)</f>
        <v>0</v>
      </c>
      <c r="BN125" s="229">
        <f t="shared" si="474"/>
        <v>0</v>
      </c>
      <c r="BO125" s="228">
        <v>35</v>
      </c>
      <c r="BP125" s="229">
        <f t="shared" si="475"/>
        <v>48</v>
      </c>
      <c r="BQ125" s="234">
        <f t="shared" si="476"/>
        <v>3.0748170731707316</v>
      </c>
      <c r="BR125" s="234" cm="1">
        <f t="array" ref="BR125">$BM125 * SUMPRODUCT(INDEX($AV$76:$AX$81,,$AI125),INDEX($AY$76:$BE$81,,$AH125), N($AU$76:$AU$81&gt;$AM125)) / BQ125 / 1000</f>
        <v>0</v>
      </c>
      <c r="BS125" s="231">
        <f t="shared" si="310"/>
        <v>30</v>
      </c>
      <c r="BT125" s="229">
        <f t="shared" si="477"/>
        <v>43</v>
      </c>
      <c r="BU125" s="234">
        <f t="shared" si="478"/>
        <v>3.5018750000000001</v>
      </c>
      <c r="BV125" s="234" cm="1">
        <f t="array" ref="BV125">$BM125 * IF($AH125&lt;=2,
SUMPRODUCT(INDEX($AV$71:$AX$75,,$AI125), INDEX($AY$71:$BE$75,,$AH125), 1 / ($BF$71:$BF$75*BU125 + (1-$BF$71:$BF$75)*BQ125), N($AU$71:$AU$75&gt;$AM125)),
SUMPRODUCT(INDEX($AV$66:$AX$75,,$AI125), INDEX($AY$66:$BE$75,,$AH125), 1 / ($BG$66:$BG$75*BU125 + (1-$BG$66:$BG$75)*BQ125), N($AU$66:$AU$75&gt;$AM125))
) / 1000</f>
        <v>0</v>
      </c>
      <c r="BW125" s="231">
        <f t="shared" si="313"/>
        <v>25</v>
      </c>
      <c r="BX125" s="229">
        <f t="shared" si="479"/>
        <v>38</v>
      </c>
      <c r="BY125" s="234">
        <f t="shared" si="480"/>
        <v>4.0666935483870965</v>
      </c>
      <c r="BZ125" s="234" cm="1">
        <f t="array" ref="BZ125">$BM125 * IF($AH125&lt;=2,
SUMPRODUCT(INDEX($AV$66:$AX$70,,$AI125), INDEX($AY$66:$BE$70,,$AH125), 1 / ($BF$66:$BF$70*BY125 + (1-$BF$66:$BF$70)*BU125), N($AU$66:$AU$70&gt;$AM125)),
SUMPRODUCT(INDEX($AV$56:$AX$65,,$AI125), INDEX($AY$56:$BE$65,,$AH125), 1 / ($BG$56:$BG$65*BY125 + (1-$BG$56:$BG$65)*BU125), N($AU$56:$AU$65&gt;$AM125))
) / 1000</f>
        <v>0</v>
      </c>
      <c r="CA125" s="231">
        <f t="shared" si="316"/>
        <v>20</v>
      </c>
      <c r="CB125" s="229">
        <f t="shared" si="481"/>
        <v>33</v>
      </c>
      <c r="CC125" s="234">
        <f t="shared" si="482"/>
        <v>4.8487499999999999</v>
      </c>
      <c r="CD125" s="234" cm="1">
        <f t="array" ref="CD125">$BM125 * IF($AH125&lt;=2,
SUMPRODUCT(INDEX($AV$61:$AX$65,,$AI125), INDEX($AY$61:$BE$65,,$AH125), 1 / ($BF$61:$BF$65*CC125 + (1-$BF$61:$BF$65)*BY125), N($AU$61:$AU$65&gt;$AM125)),
SUMPRODUCT(INDEX($AV$46:$AX$55,,$AI125), INDEX($AY$46:$BE$55,,$AH125), 1 / ($BG$46:$BG$55*CC125 + (1-$BG$46:$BG$55)*BY125), N($AU$46:$AU$55&gt;$AM125))
) / 1000</f>
        <v>0</v>
      </c>
      <c r="CE125" s="234" cm="1">
        <f t="array" ref="CE125">$BM125 * IF($AH125&lt;=2,
SUMPRODUCT(INDEX($AV$22:$AX$60,,$AI125), INDEX($AY$22:$BE$60,,$AH125), 1 / ($BF$22:$BF$60*CC125), N($AU$22:$AU$60&gt;$AM125)),
SUMPRODUCT(INDEX($AV$22:$AX$45,,$AI125), INDEX($AY$22:$BE$45,,$AH125), 1 / ($BG$22:$BG$45*CC125), N($AU$22:$AU$45&gt;$AM125))
) / 1000</f>
        <v>0</v>
      </c>
      <c r="CF125" s="229">
        <f t="shared" si="483"/>
        <v>0</v>
      </c>
      <c r="CG125" s="246"/>
      <c r="CH125" s="229">
        <f t="shared" si="484"/>
        <v>0</v>
      </c>
      <c r="CI125" s="228">
        <v>35</v>
      </c>
      <c r="CJ125" s="229">
        <f t="shared" si="485"/>
        <v>48</v>
      </c>
      <c r="CK125" s="234">
        <f t="shared" si="486"/>
        <v>3.0748170731707316</v>
      </c>
      <c r="CL125" s="234" cm="1">
        <f t="array" ref="CL125">$BM125 * SUMPRODUCT(INDEX($AV$76:$AX$81,,$AI125),INDEX($AY$76:$BE$81,,$AH125), N($AU$76:$AU$81&gt;$AM125)) / CK125 / 1000</f>
        <v>0</v>
      </c>
      <c r="CM125" s="231">
        <f t="shared" si="323"/>
        <v>30</v>
      </c>
      <c r="CN125" s="229">
        <f t="shared" si="487"/>
        <v>43</v>
      </c>
      <c r="CO125" s="234">
        <f t="shared" si="488"/>
        <v>3.5018750000000001</v>
      </c>
      <c r="CP125" s="234" cm="1">
        <f t="array" ref="CP125">$BM125 * IF($AH125&lt;=2,
SUMPRODUCT(INDEX($AV$71:$AX$75,,$AI125), INDEX($AY$71:$BE$75,,$AH125), 1 / ($BF$71:$BF$75*CO125 + (1-$BF$71:$BF$75)*CK125), N($AU$71:$AU$75&gt;$AM125)),
SUMPRODUCT(INDEX($AV$66:$AX$75,,$AI125), INDEX($AY$66:$BE$75,,$AH125), 1 / ($BG$66:$BG$75*CO125 + (1-$BG$66:$BG$75)*CK125), N($AU$66:$AU$75&gt;$AM125))
) / 1000</f>
        <v>0</v>
      </c>
      <c r="CQ125" s="231">
        <f t="shared" si="326"/>
        <v>25</v>
      </c>
      <c r="CR125" s="229">
        <f t="shared" si="489"/>
        <v>38</v>
      </c>
      <c r="CS125" s="234">
        <f t="shared" si="490"/>
        <v>4.0666935483870965</v>
      </c>
      <c r="CT125" s="234" cm="1">
        <f t="array" ref="CT125">$BM125 * IF($AH125&lt;=2,
SUMPRODUCT(INDEX($AV$66:$AX$70,,$AI125), INDEX($AY$66:$BE$70,,$AH125), 1 / ($BF$66:$BF$70*CS125 + (1-$BF$66:$BF$70)*CO125), N($AU$66:$AU$70&gt;$AM125)),
SUMPRODUCT(INDEX($AV$56:$AX$65,,$AI125), INDEX($AY$56:$BE$65,,$AH125), 1 / ($BG$56:$BG$65*CS125 + (1-$BG$56:$BG$65)*CO125), N($AU$56:$AU$65&gt;$AM125))
) / 1000</f>
        <v>0</v>
      </c>
      <c r="CU125" s="231">
        <f t="shared" si="329"/>
        <v>20</v>
      </c>
      <c r="CV125" s="229">
        <f t="shared" si="491"/>
        <v>33</v>
      </c>
      <c r="CW125" s="234">
        <f t="shared" si="492"/>
        <v>4.8487499999999999</v>
      </c>
      <c r="CX125" s="234" cm="1">
        <f t="array" ref="CX125">$BM125 * IF($AH125&lt;=2,
SUMPRODUCT(INDEX($AV$61:$AX$65,,$AI125), INDEX($AY$61:$BE$65,,$AH125), 1 / ($BF$61:$BF$65*CW125 + (1-$BF$61:$BF$65)*CS125), N($AU$61:$AU$65&gt;$AM125)),
SUMPRODUCT(INDEX($AV$46:$AX$55,,$AI125), INDEX($AY$46:$BE$55,,$AH125), 1 / ($BG$46:$BG$55*CW125 + (1-$BG$46:$BG$55)*CS125), N($AU$46:$AU$55&gt;$AM125))
) / 1000</f>
        <v>0</v>
      </c>
      <c r="CY125" s="234" cm="1">
        <f t="array" ref="CY125">$BM125 * IF($AH125&lt;=2,
SUMPRODUCT(INDEX($AV$22:$AX$60,,$AI125), INDEX($AY$22:$BE$60,,$AH125), 1 / ($BF$22:$BF$60*CW125), N($AU$22:$AU$60&gt;$AM125)),
SUMPRODUCT(INDEX($AV$22:$AX$45,,$AI125), INDEX($AY$22:$BE$45,,$AH125), 1 / ($BG$22:$BG$45*CW125), N($AU$22:$AU$45&gt;$AM125))
) / 1000</f>
        <v>0</v>
      </c>
      <c r="CZ125" s="229">
        <f t="shared" si="493"/>
        <v>0</v>
      </c>
      <c r="DA125" s="246"/>
    </row>
    <row r="126" spans="1:105" s="75" customFormat="1" ht="14.25" customHeight="1" x14ac:dyDescent="0.2">
      <c r="A126" s="230" t="b">
        <f t="shared" si="291"/>
        <v>0</v>
      </c>
      <c r="B126" s="253">
        <v>105</v>
      </c>
      <c r="C126" s="266"/>
      <c r="D126" s="266"/>
      <c r="E126" s="254"/>
      <c r="F126" s="255" t="str">
        <f>IF(ISBLANK(E126), "", VLOOKUP(E126, Z!$A$2:$C$4127, 3, FALSE))</f>
        <v/>
      </c>
      <c r="G126" s="256"/>
      <c r="H126" s="256"/>
      <c r="I126" s="256"/>
      <c r="J126" s="257"/>
      <c r="K126" s="258"/>
      <c r="L126" s="267"/>
      <c r="M126" s="268"/>
      <c r="N126" s="259" t="str" cm="1">
        <f t="array" ref="N126">IF($L126&gt;0, INDEX(Clean,1+AK126,$D$1), "")</f>
        <v/>
      </c>
      <c r="O126" s="260"/>
      <c r="P126" s="260"/>
      <c r="Q126" s="261"/>
      <c r="R126" s="264">
        <f t="shared" si="469"/>
        <v>0</v>
      </c>
      <c r="S126" s="259" t="str" cm="1">
        <f t="array" ref="S126">IF($L126&gt;0, INDEX(Clean,1+AL126,$D$1), "")</f>
        <v/>
      </c>
      <c r="T126" s="260"/>
      <c r="U126" s="260"/>
      <c r="V126" s="261"/>
      <c r="W126" s="267"/>
      <c r="X126" s="267"/>
      <c r="Y126" s="257"/>
      <c r="Z126" s="264">
        <f t="shared" si="470"/>
        <v>0</v>
      </c>
      <c r="AA126" s="269"/>
      <c r="AB126" s="266"/>
      <c r="AC126" s="254"/>
      <c r="AD126" s="255" t="str">
        <f>IF(ISBLANK(AC126), "", VLOOKUP(AC126, Z!$A$2:$C$4127, 3, FALSE))</f>
        <v/>
      </c>
      <c r="AE126" s="270"/>
      <c r="AF126" s="265">
        <f t="shared" si="471"/>
        <v>0</v>
      </c>
      <c r="AG126" s="246"/>
      <c r="AH126" s="228">
        <f t="shared" si="494"/>
        <v>1</v>
      </c>
      <c r="AI126" s="228">
        <f t="shared" si="495"/>
        <v>1</v>
      </c>
      <c r="AJ126" s="228">
        <f t="shared" si="496"/>
        <v>0</v>
      </c>
      <c r="AK126" s="228">
        <v>0</v>
      </c>
      <c r="AL126" s="228">
        <v>0</v>
      </c>
      <c r="AM126" s="228">
        <f t="shared" si="472"/>
        <v>-100</v>
      </c>
      <c r="AN126" s="228" cm="1">
        <f t="array" ref="AN126">IF(ISBLANK(G126), 1, IFERROR(MATCH(G126, INDEX(Kat,,1), 0), IFERROR(MATCH(Kat, INDEX(Use,,2), 0), MATCH(Kat, INDEX(Use,,3), 0))))</f>
        <v>1</v>
      </c>
      <c r="AO126" s="246"/>
      <c r="AP126" s="228" cm="1">
        <f t="array" ref="AP126">IF(W126&gt;0, INDEX(Kat, AN126,4), 0)</f>
        <v>0</v>
      </c>
      <c r="AQ126" s="228">
        <f t="shared" si="497"/>
        <v>0</v>
      </c>
      <c r="AR126" s="228" cm="1">
        <f t="array" ref="AR126">IF(X126&gt;0, INDEX(Kat, $AN126, 4+AQ126), 0)</f>
        <v>0</v>
      </c>
      <c r="AS126" s="228" cm="1">
        <f t="array" ref="AS126">IF(X126&gt;0, INDEX(Kat, $AN126, 9+AQ126), 0)</f>
        <v>0</v>
      </c>
      <c r="AT126" s="246"/>
      <c r="AU126" s="262"/>
      <c r="AV126" s="262"/>
      <c r="AW126" s="263"/>
      <c r="AX126" s="263"/>
      <c r="AY126" s="263"/>
      <c r="AZ126" s="263"/>
      <c r="BA126" s="263"/>
      <c r="BB126" s="263"/>
      <c r="BC126" s="263"/>
      <c r="BD126" s="263"/>
      <c r="BE126" s="263"/>
      <c r="BF126" s="263"/>
      <c r="BG126" s="263"/>
      <c r="BH126" s="246"/>
      <c r="BI126" s="228" cm="1">
        <f t="array" ref="BI126">INDEX(Use, $AH126, 4)</f>
        <v>7</v>
      </c>
      <c r="BJ126" s="228">
        <f t="shared" si="473"/>
        <v>32</v>
      </c>
      <c r="BK126" s="228">
        <f t="shared" si="305"/>
        <v>13</v>
      </c>
      <c r="BL126" s="228">
        <f t="shared" si="306"/>
        <v>0</v>
      </c>
      <c r="BM126" s="233" cm="1">
        <f t="array" ref="BM126">L126/IF($M126&gt;0, INDEX($AY$22:$BE$76, $M126+20, $AH126), 1)</f>
        <v>0</v>
      </c>
      <c r="BN126" s="229">
        <f t="shared" si="474"/>
        <v>0</v>
      </c>
      <c r="BO126" s="228">
        <v>35</v>
      </c>
      <c r="BP126" s="229">
        <f t="shared" si="475"/>
        <v>48</v>
      </c>
      <c r="BQ126" s="234">
        <f t="shared" si="476"/>
        <v>3.0748170731707316</v>
      </c>
      <c r="BR126" s="234" cm="1">
        <f t="array" ref="BR126">$BM126 * SUMPRODUCT(INDEX($AV$76:$AX$81,,$AI126),INDEX($AY$76:$BE$81,,$AH126), N($AU$76:$AU$81&gt;$AM126)) / BQ126 / 1000</f>
        <v>0</v>
      </c>
      <c r="BS126" s="231">
        <f t="shared" si="310"/>
        <v>30</v>
      </c>
      <c r="BT126" s="229">
        <f t="shared" si="477"/>
        <v>43</v>
      </c>
      <c r="BU126" s="234">
        <f t="shared" si="478"/>
        <v>3.5018750000000001</v>
      </c>
      <c r="BV126" s="234" cm="1">
        <f t="array" ref="BV126">$BM126 * IF($AH126&lt;=2,
SUMPRODUCT(INDEX($AV$71:$AX$75,,$AI126), INDEX($AY$71:$BE$75,,$AH126), 1 / ($BF$71:$BF$75*BU126 + (1-$BF$71:$BF$75)*BQ126), N($AU$71:$AU$75&gt;$AM126)),
SUMPRODUCT(INDEX($AV$66:$AX$75,,$AI126), INDEX($AY$66:$BE$75,,$AH126), 1 / ($BG$66:$BG$75*BU126 + (1-$BG$66:$BG$75)*BQ126), N($AU$66:$AU$75&gt;$AM126))
) / 1000</f>
        <v>0</v>
      </c>
      <c r="BW126" s="231">
        <f t="shared" si="313"/>
        <v>25</v>
      </c>
      <c r="BX126" s="229">
        <f t="shared" si="479"/>
        <v>38</v>
      </c>
      <c r="BY126" s="234">
        <f t="shared" si="480"/>
        <v>4.0666935483870965</v>
      </c>
      <c r="BZ126" s="234" cm="1">
        <f t="array" ref="BZ126">$BM126 * IF($AH126&lt;=2,
SUMPRODUCT(INDEX($AV$66:$AX$70,,$AI126), INDEX($AY$66:$BE$70,,$AH126), 1 / ($BF$66:$BF$70*BY126 + (1-$BF$66:$BF$70)*BU126), N($AU$66:$AU$70&gt;$AM126)),
SUMPRODUCT(INDEX($AV$56:$AX$65,,$AI126), INDEX($AY$56:$BE$65,,$AH126), 1 / ($BG$56:$BG$65*BY126 + (1-$BG$56:$BG$65)*BU126), N($AU$56:$AU$65&gt;$AM126))
) / 1000</f>
        <v>0</v>
      </c>
      <c r="CA126" s="231">
        <f t="shared" si="316"/>
        <v>20</v>
      </c>
      <c r="CB126" s="229">
        <f t="shared" si="481"/>
        <v>33</v>
      </c>
      <c r="CC126" s="234">
        <f t="shared" si="482"/>
        <v>4.8487499999999999</v>
      </c>
      <c r="CD126" s="234" cm="1">
        <f t="array" ref="CD126">$BM126 * IF($AH126&lt;=2,
SUMPRODUCT(INDEX($AV$61:$AX$65,,$AI126), INDEX($AY$61:$BE$65,,$AH126), 1 / ($BF$61:$BF$65*CC126 + (1-$BF$61:$BF$65)*BY126), N($AU$61:$AU$65&gt;$AM126)),
SUMPRODUCT(INDEX($AV$46:$AX$55,,$AI126), INDEX($AY$46:$BE$55,,$AH126), 1 / ($BG$46:$BG$55*CC126 + (1-$BG$46:$BG$55)*BY126), N($AU$46:$AU$55&gt;$AM126))
) / 1000</f>
        <v>0</v>
      </c>
      <c r="CE126" s="234" cm="1">
        <f t="array" ref="CE126">$BM126 * IF($AH126&lt;=2,
SUMPRODUCT(INDEX($AV$22:$AX$60,,$AI126), INDEX($AY$22:$BE$60,,$AH126), 1 / ($BF$22:$BF$60*CC126), N($AU$22:$AU$60&gt;$AM126)),
SUMPRODUCT(INDEX($AV$22:$AX$45,,$AI126), INDEX($AY$22:$BE$45,,$AH126), 1 / ($BG$22:$BG$45*CC126), N($AU$22:$AU$45&gt;$AM126))
) / 1000</f>
        <v>0</v>
      </c>
      <c r="CF126" s="229">
        <f t="shared" si="483"/>
        <v>0</v>
      </c>
      <c r="CG126" s="246"/>
      <c r="CH126" s="229">
        <f t="shared" si="484"/>
        <v>0</v>
      </c>
      <c r="CI126" s="228">
        <v>35</v>
      </c>
      <c r="CJ126" s="229">
        <f t="shared" si="485"/>
        <v>48</v>
      </c>
      <c r="CK126" s="234">
        <f t="shared" si="486"/>
        <v>3.0748170731707316</v>
      </c>
      <c r="CL126" s="234" cm="1">
        <f t="array" ref="CL126">$BM126 * SUMPRODUCT(INDEX($AV$76:$AX$81,,$AI126),INDEX($AY$76:$BE$81,,$AH126), N($AU$76:$AU$81&gt;$AM126)) / CK126 / 1000</f>
        <v>0</v>
      </c>
      <c r="CM126" s="231">
        <f t="shared" si="323"/>
        <v>30</v>
      </c>
      <c r="CN126" s="229">
        <f t="shared" si="487"/>
        <v>43</v>
      </c>
      <c r="CO126" s="234">
        <f t="shared" si="488"/>
        <v>3.5018750000000001</v>
      </c>
      <c r="CP126" s="234" cm="1">
        <f t="array" ref="CP126">$BM126 * IF($AH126&lt;=2,
SUMPRODUCT(INDEX($AV$71:$AX$75,,$AI126), INDEX($AY$71:$BE$75,,$AH126), 1 / ($BF$71:$BF$75*CO126 + (1-$BF$71:$BF$75)*CK126), N($AU$71:$AU$75&gt;$AM126)),
SUMPRODUCT(INDEX($AV$66:$AX$75,,$AI126), INDEX($AY$66:$BE$75,,$AH126), 1 / ($BG$66:$BG$75*CO126 + (1-$BG$66:$BG$75)*CK126), N($AU$66:$AU$75&gt;$AM126))
) / 1000</f>
        <v>0</v>
      </c>
      <c r="CQ126" s="231">
        <f t="shared" si="326"/>
        <v>25</v>
      </c>
      <c r="CR126" s="229">
        <f t="shared" si="489"/>
        <v>38</v>
      </c>
      <c r="CS126" s="234">
        <f t="shared" si="490"/>
        <v>4.0666935483870965</v>
      </c>
      <c r="CT126" s="234" cm="1">
        <f t="array" ref="CT126">$BM126 * IF($AH126&lt;=2,
SUMPRODUCT(INDEX($AV$66:$AX$70,,$AI126), INDEX($AY$66:$BE$70,,$AH126), 1 / ($BF$66:$BF$70*CS126 + (1-$BF$66:$BF$70)*CO126), N($AU$66:$AU$70&gt;$AM126)),
SUMPRODUCT(INDEX($AV$56:$AX$65,,$AI126), INDEX($AY$56:$BE$65,,$AH126), 1 / ($BG$56:$BG$65*CS126 + (1-$BG$56:$BG$65)*CO126), N($AU$56:$AU$65&gt;$AM126))
) / 1000</f>
        <v>0</v>
      </c>
      <c r="CU126" s="231">
        <f t="shared" si="329"/>
        <v>20</v>
      </c>
      <c r="CV126" s="229">
        <f t="shared" si="491"/>
        <v>33</v>
      </c>
      <c r="CW126" s="234">
        <f t="shared" si="492"/>
        <v>4.8487499999999999</v>
      </c>
      <c r="CX126" s="234" cm="1">
        <f t="array" ref="CX126">$BM126 * IF($AH126&lt;=2,
SUMPRODUCT(INDEX($AV$61:$AX$65,,$AI126), INDEX($AY$61:$BE$65,,$AH126), 1 / ($BF$61:$BF$65*CW126 + (1-$BF$61:$BF$65)*CS126), N($AU$61:$AU$65&gt;$AM126)),
SUMPRODUCT(INDEX($AV$46:$AX$55,,$AI126), INDEX($AY$46:$BE$55,,$AH126), 1 / ($BG$46:$BG$55*CW126 + (1-$BG$46:$BG$55)*CS126), N($AU$46:$AU$55&gt;$AM126))
) / 1000</f>
        <v>0</v>
      </c>
      <c r="CY126" s="234" cm="1">
        <f t="array" ref="CY126">$BM126 * IF($AH126&lt;=2,
SUMPRODUCT(INDEX($AV$22:$AX$60,,$AI126), INDEX($AY$22:$BE$60,,$AH126), 1 / ($BF$22:$BF$60*CW126), N($AU$22:$AU$60&gt;$AM126)),
SUMPRODUCT(INDEX($AV$22:$AX$45,,$AI126), INDEX($AY$22:$BE$45,,$AH126), 1 / ($BG$22:$BG$45*CW126), N($AU$22:$AU$45&gt;$AM126))
) / 1000</f>
        <v>0</v>
      </c>
      <c r="CZ126" s="229">
        <f t="shared" si="493"/>
        <v>0</v>
      </c>
      <c r="DA126" s="246"/>
    </row>
    <row r="127" spans="1:105" s="75" customFormat="1" ht="14.25" customHeight="1" x14ac:dyDescent="0.2">
      <c r="A127" s="230" t="b">
        <f t="shared" si="291"/>
        <v>0</v>
      </c>
      <c r="B127" s="253">
        <v>106</v>
      </c>
      <c r="C127" s="266"/>
      <c r="D127" s="266"/>
      <c r="E127" s="254"/>
      <c r="F127" s="255" t="str">
        <f>IF(ISBLANK(E127), "", VLOOKUP(E127, Z!$A$2:$C$4127, 3, FALSE))</f>
        <v/>
      </c>
      <c r="G127" s="256"/>
      <c r="H127" s="256"/>
      <c r="I127" s="256"/>
      <c r="J127" s="257"/>
      <c r="K127" s="258"/>
      <c r="L127" s="267"/>
      <c r="M127" s="268"/>
      <c r="N127" s="259" t="str" cm="1">
        <f t="array" ref="N127">IF($L127&gt;0, INDEX(Clean,1+AK127,$D$1), "")</f>
        <v/>
      </c>
      <c r="O127" s="260"/>
      <c r="P127" s="260"/>
      <c r="Q127" s="261"/>
      <c r="R127" s="264">
        <f t="shared" si="469"/>
        <v>0</v>
      </c>
      <c r="S127" s="259" t="str" cm="1">
        <f t="array" ref="S127">IF($L127&gt;0, INDEX(Clean,1+AL127,$D$1), "")</f>
        <v/>
      </c>
      <c r="T127" s="260"/>
      <c r="U127" s="260"/>
      <c r="V127" s="261"/>
      <c r="W127" s="267"/>
      <c r="X127" s="267"/>
      <c r="Y127" s="257"/>
      <c r="Z127" s="264">
        <f t="shared" si="470"/>
        <v>0</v>
      </c>
      <c r="AA127" s="269"/>
      <c r="AB127" s="266"/>
      <c r="AC127" s="254"/>
      <c r="AD127" s="255" t="str">
        <f>IF(ISBLANK(AC127), "", VLOOKUP(AC127, Z!$A$2:$C$4127, 3, FALSE))</f>
        <v/>
      </c>
      <c r="AE127" s="270"/>
      <c r="AF127" s="265">
        <f t="shared" si="471"/>
        <v>0</v>
      </c>
      <c r="AG127" s="246"/>
      <c r="AH127" s="228">
        <f t="shared" si="494"/>
        <v>1</v>
      </c>
      <c r="AI127" s="228">
        <f t="shared" si="495"/>
        <v>1</v>
      </c>
      <c r="AJ127" s="228">
        <f t="shared" si="496"/>
        <v>0</v>
      </c>
      <c r="AK127" s="228">
        <v>0</v>
      </c>
      <c r="AL127" s="228">
        <v>0</v>
      </c>
      <c r="AM127" s="228">
        <f t="shared" si="472"/>
        <v>-100</v>
      </c>
      <c r="AN127" s="228" cm="1">
        <f t="array" ref="AN127">IF(ISBLANK(G127), 1, IFERROR(MATCH(G127, INDEX(Kat,,1), 0), IFERROR(MATCH(Kat, INDEX(Use,,2), 0), MATCH(Kat, INDEX(Use,,3), 0))))</f>
        <v>1</v>
      </c>
      <c r="AO127" s="246"/>
      <c r="AP127" s="228" cm="1">
        <f t="array" ref="AP127">IF(W127&gt;0, INDEX(Kat, AN127,4), 0)</f>
        <v>0</v>
      </c>
      <c r="AQ127" s="228">
        <f t="shared" si="497"/>
        <v>0</v>
      </c>
      <c r="AR127" s="228" cm="1">
        <f t="array" ref="AR127">IF(X127&gt;0, INDEX(Kat, $AN127, 4+AQ127), 0)</f>
        <v>0</v>
      </c>
      <c r="AS127" s="228" cm="1">
        <f t="array" ref="AS127">IF(X127&gt;0, INDEX(Kat, $AN127, 9+AQ127), 0)</f>
        <v>0</v>
      </c>
      <c r="AT127" s="246"/>
      <c r="AU127" s="262"/>
      <c r="AV127" s="262"/>
      <c r="AW127" s="263"/>
      <c r="AX127" s="263"/>
      <c r="AY127" s="263"/>
      <c r="AZ127" s="263"/>
      <c r="BA127" s="263"/>
      <c r="BB127" s="263"/>
      <c r="BC127" s="263"/>
      <c r="BD127" s="263"/>
      <c r="BE127" s="263"/>
      <c r="BF127" s="263"/>
      <c r="BG127" s="263"/>
      <c r="BH127" s="246"/>
      <c r="BI127" s="228" cm="1">
        <f t="array" ref="BI127">INDEX(Use, $AH127, 4)</f>
        <v>7</v>
      </c>
      <c r="BJ127" s="228">
        <f t="shared" si="473"/>
        <v>32</v>
      </c>
      <c r="BK127" s="228">
        <f t="shared" si="305"/>
        <v>13</v>
      </c>
      <c r="BL127" s="228">
        <f t="shared" si="306"/>
        <v>0</v>
      </c>
      <c r="BM127" s="233" cm="1">
        <f t="array" ref="BM127">L127/IF($M127&gt;0, INDEX($AY$22:$BE$76, $M127+20, $AH127), 1)</f>
        <v>0</v>
      </c>
      <c r="BN127" s="229">
        <f t="shared" si="474"/>
        <v>0</v>
      </c>
      <c r="BO127" s="228">
        <v>35</v>
      </c>
      <c r="BP127" s="229">
        <f t="shared" si="475"/>
        <v>48</v>
      </c>
      <c r="BQ127" s="234">
        <f t="shared" si="476"/>
        <v>3.0748170731707316</v>
      </c>
      <c r="BR127" s="234" cm="1">
        <f t="array" ref="BR127">$BM127 * SUMPRODUCT(INDEX($AV$76:$AX$81,,$AI127),INDEX($AY$76:$BE$81,,$AH127), N($AU$76:$AU$81&gt;$AM127)) / BQ127 / 1000</f>
        <v>0</v>
      </c>
      <c r="BS127" s="231">
        <f t="shared" si="310"/>
        <v>30</v>
      </c>
      <c r="BT127" s="229">
        <f t="shared" si="477"/>
        <v>43</v>
      </c>
      <c r="BU127" s="234">
        <f t="shared" si="478"/>
        <v>3.5018750000000001</v>
      </c>
      <c r="BV127" s="234" cm="1">
        <f t="array" ref="BV127">$BM127 * IF($AH127&lt;=2,
SUMPRODUCT(INDEX($AV$71:$AX$75,,$AI127), INDEX($AY$71:$BE$75,,$AH127), 1 / ($BF$71:$BF$75*BU127 + (1-$BF$71:$BF$75)*BQ127), N($AU$71:$AU$75&gt;$AM127)),
SUMPRODUCT(INDEX($AV$66:$AX$75,,$AI127), INDEX($AY$66:$BE$75,,$AH127), 1 / ($BG$66:$BG$75*BU127 + (1-$BG$66:$BG$75)*BQ127), N($AU$66:$AU$75&gt;$AM127))
) / 1000</f>
        <v>0</v>
      </c>
      <c r="BW127" s="231">
        <f t="shared" si="313"/>
        <v>25</v>
      </c>
      <c r="BX127" s="229">
        <f t="shared" si="479"/>
        <v>38</v>
      </c>
      <c r="BY127" s="234">
        <f t="shared" si="480"/>
        <v>4.0666935483870965</v>
      </c>
      <c r="BZ127" s="234" cm="1">
        <f t="array" ref="BZ127">$BM127 * IF($AH127&lt;=2,
SUMPRODUCT(INDEX($AV$66:$AX$70,,$AI127), INDEX($AY$66:$BE$70,,$AH127), 1 / ($BF$66:$BF$70*BY127 + (1-$BF$66:$BF$70)*BU127), N($AU$66:$AU$70&gt;$AM127)),
SUMPRODUCT(INDEX($AV$56:$AX$65,,$AI127), INDEX($AY$56:$BE$65,,$AH127), 1 / ($BG$56:$BG$65*BY127 + (1-$BG$56:$BG$65)*BU127), N($AU$56:$AU$65&gt;$AM127))
) / 1000</f>
        <v>0</v>
      </c>
      <c r="CA127" s="231">
        <f t="shared" si="316"/>
        <v>20</v>
      </c>
      <c r="CB127" s="229">
        <f t="shared" si="481"/>
        <v>33</v>
      </c>
      <c r="CC127" s="234">
        <f t="shared" si="482"/>
        <v>4.8487499999999999</v>
      </c>
      <c r="CD127" s="234" cm="1">
        <f t="array" ref="CD127">$BM127 * IF($AH127&lt;=2,
SUMPRODUCT(INDEX($AV$61:$AX$65,,$AI127), INDEX($AY$61:$BE$65,,$AH127), 1 / ($BF$61:$BF$65*CC127 + (1-$BF$61:$BF$65)*BY127), N($AU$61:$AU$65&gt;$AM127)),
SUMPRODUCT(INDEX($AV$46:$AX$55,,$AI127), INDEX($AY$46:$BE$55,,$AH127), 1 / ($BG$46:$BG$55*CC127 + (1-$BG$46:$BG$55)*BY127), N($AU$46:$AU$55&gt;$AM127))
) / 1000</f>
        <v>0</v>
      </c>
      <c r="CE127" s="234" cm="1">
        <f t="array" ref="CE127">$BM127 * IF($AH127&lt;=2,
SUMPRODUCT(INDEX($AV$22:$AX$60,,$AI127), INDEX($AY$22:$BE$60,,$AH127), 1 / ($BF$22:$BF$60*CC127), N($AU$22:$AU$60&gt;$AM127)),
SUMPRODUCT(INDEX($AV$22:$AX$45,,$AI127), INDEX($AY$22:$BE$45,,$AH127), 1 / ($BG$22:$BG$45*CC127), N($AU$22:$AU$45&gt;$AM127))
) / 1000</f>
        <v>0</v>
      </c>
      <c r="CF127" s="229">
        <f t="shared" si="483"/>
        <v>0</v>
      </c>
      <c r="CG127" s="246"/>
      <c r="CH127" s="229">
        <f t="shared" si="484"/>
        <v>0</v>
      </c>
      <c r="CI127" s="228">
        <v>35</v>
      </c>
      <c r="CJ127" s="229">
        <f t="shared" si="485"/>
        <v>48</v>
      </c>
      <c r="CK127" s="234">
        <f t="shared" si="486"/>
        <v>3.0748170731707316</v>
      </c>
      <c r="CL127" s="234" cm="1">
        <f t="array" ref="CL127">$BM127 * SUMPRODUCT(INDEX($AV$76:$AX$81,,$AI127),INDEX($AY$76:$BE$81,,$AH127), N($AU$76:$AU$81&gt;$AM127)) / CK127 / 1000</f>
        <v>0</v>
      </c>
      <c r="CM127" s="231">
        <f t="shared" si="323"/>
        <v>30</v>
      </c>
      <c r="CN127" s="229">
        <f t="shared" si="487"/>
        <v>43</v>
      </c>
      <c r="CO127" s="234">
        <f t="shared" si="488"/>
        <v>3.5018750000000001</v>
      </c>
      <c r="CP127" s="234" cm="1">
        <f t="array" ref="CP127">$BM127 * IF($AH127&lt;=2,
SUMPRODUCT(INDEX($AV$71:$AX$75,,$AI127), INDEX($AY$71:$BE$75,,$AH127), 1 / ($BF$71:$BF$75*CO127 + (1-$BF$71:$BF$75)*CK127), N($AU$71:$AU$75&gt;$AM127)),
SUMPRODUCT(INDEX($AV$66:$AX$75,,$AI127), INDEX($AY$66:$BE$75,,$AH127), 1 / ($BG$66:$BG$75*CO127 + (1-$BG$66:$BG$75)*CK127), N($AU$66:$AU$75&gt;$AM127))
) / 1000</f>
        <v>0</v>
      </c>
      <c r="CQ127" s="231">
        <f t="shared" si="326"/>
        <v>25</v>
      </c>
      <c r="CR127" s="229">
        <f t="shared" si="489"/>
        <v>38</v>
      </c>
      <c r="CS127" s="234">
        <f t="shared" si="490"/>
        <v>4.0666935483870965</v>
      </c>
      <c r="CT127" s="234" cm="1">
        <f t="array" ref="CT127">$BM127 * IF($AH127&lt;=2,
SUMPRODUCT(INDEX($AV$66:$AX$70,,$AI127), INDEX($AY$66:$BE$70,,$AH127), 1 / ($BF$66:$BF$70*CS127 + (1-$BF$66:$BF$70)*CO127), N($AU$66:$AU$70&gt;$AM127)),
SUMPRODUCT(INDEX($AV$56:$AX$65,,$AI127), INDEX($AY$56:$BE$65,,$AH127), 1 / ($BG$56:$BG$65*CS127 + (1-$BG$56:$BG$65)*CO127), N($AU$56:$AU$65&gt;$AM127))
) / 1000</f>
        <v>0</v>
      </c>
      <c r="CU127" s="231">
        <f t="shared" si="329"/>
        <v>20</v>
      </c>
      <c r="CV127" s="229">
        <f t="shared" si="491"/>
        <v>33</v>
      </c>
      <c r="CW127" s="234">
        <f t="shared" si="492"/>
        <v>4.8487499999999999</v>
      </c>
      <c r="CX127" s="234" cm="1">
        <f t="array" ref="CX127">$BM127 * IF($AH127&lt;=2,
SUMPRODUCT(INDEX($AV$61:$AX$65,,$AI127), INDEX($AY$61:$BE$65,,$AH127), 1 / ($BF$61:$BF$65*CW127 + (1-$BF$61:$BF$65)*CS127), N($AU$61:$AU$65&gt;$AM127)),
SUMPRODUCT(INDEX($AV$46:$AX$55,,$AI127), INDEX($AY$46:$BE$55,,$AH127), 1 / ($BG$46:$BG$55*CW127 + (1-$BG$46:$BG$55)*CS127), N($AU$46:$AU$55&gt;$AM127))
) / 1000</f>
        <v>0</v>
      </c>
      <c r="CY127" s="234" cm="1">
        <f t="array" ref="CY127">$BM127 * IF($AH127&lt;=2,
SUMPRODUCT(INDEX($AV$22:$AX$60,,$AI127), INDEX($AY$22:$BE$60,,$AH127), 1 / ($BF$22:$BF$60*CW127), N($AU$22:$AU$60&gt;$AM127)),
SUMPRODUCT(INDEX($AV$22:$AX$45,,$AI127), INDEX($AY$22:$BE$45,,$AH127), 1 / ($BG$22:$BG$45*CW127), N($AU$22:$AU$45&gt;$AM127))
) / 1000</f>
        <v>0</v>
      </c>
      <c r="CZ127" s="229">
        <f t="shared" si="493"/>
        <v>0</v>
      </c>
      <c r="DA127" s="246"/>
    </row>
    <row r="128" spans="1:105" s="75" customFormat="1" ht="14.25" customHeight="1" x14ac:dyDescent="0.2">
      <c r="A128" s="230" t="b">
        <f t="shared" si="291"/>
        <v>0</v>
      </c>
      <c r="B128" s="253">
        <v>107</v>
      </c>
      <c r="C128" s="266"/>
      <c r="D128" s="266"/>
      <c r="E128" s="254"/>
      <c r="F128" s="255" t="str">
        <f>IF(ISBLANK(E128), "", VLOOKUP(E128, Z!$A$2:$C$4127, 3, FALSE))</f>
        <v/>
      </c>
      <c r="G128" s="256"/>
      <c r="H128" s="256"/>
      <c r="I128" s="256"/>
      <c r="J128" s="257"/>
      <c r="K128" s="258"/>
      <c r="L128" s="267"/>
      <c r="M128" s="268"/>
      <c r="N128" s="259" t="str" cm="1">
        <f t="array" ref="N128">IF($L128&gt;0, INDEX(Clean,1+AK128,$D$1), "")</f>
        <v/>
      </c>
      <c r="O128" s="260"/>
      <c r="P128" s="260"/>
      <c r="Q128" s="261"/>
      <c r="R128" s="264">
        <f t="shared" si="469"/>
        <v>0</v>
      </c>
      <c r="S128" s="259" t="str" cm="1">
        <f t="array" ref="S128">IF($L128&gt;0, INDEX(Clean,1+AL128,$D$1), "")</f>
        <v/>
      </c>
      <c r="T128" s="260"/>
      <c r="U128" s="260"/>
      <c r="V128" s="261"/>
      <c r="W128" s="267"/>
      <c r="X128" s="267"/>
      <c r="Y128" s="257"/>
      <c r="Z128" s="264">
        <f t="shared" si="470"/>
        <v>0</v>
      </c>
      <c r="AA128" s="269"/>
      <c r="AB128" s="266"/>
      <c r="AC128" s="254"/>
      <c r="AD128" s="255" t="str">
        <f>IF(ISBLANK(AC128), "", VLOOKUP(AC128, Z!$A$2:$C$4127, 3, FALSE))</f>
        <v/>
      </c>
      <c r="AE128" s="270"/>
      <c r="AF128" s="265">
        <f t="shared" si="471"/>
        <v>0</v>
      </c>
      <c r="AG128" s="246"/>
      <c r="AH128" s="228">
        <f t="shared" si="494"/>
        <v>1</v>
      </c>
      <c r="AI128" s="228">
        <f t="shared" si="495"/>
        <v>1</v>
      </c>
      <c r="AJ128" s="228">
        <f t="shared" si="496"/>
        <v>0</v>
      </c>
      <c r="AK128" s="228">
        <v>0</v>
      </c>
      <c r="AL128" s="228">
        <v>0</v>
      </c>
      <c r="AM128" s="228">
        <f t="shared" si="472"/>
        <v>-100</v>
      </c>
      <c r="AN128" s="228" cm="1">
        <f t="array" ref="AN128">IF(ISBLANK(G128), 1, IFERROR(MATCH(G128, INDEX(Kat,,1), 0), IFERROR(MATCH(Kat, INDEX(Use,,2), 0), MATCH(Kat, INDEX(Use,,3), 0))))</f>
        <v>1</v>
      </c>
      <c r="AO128" s="246"/>
      <c r="AP128" s="228" cm="1">
        <f t="array" ref="AP128">IF(W128&gt;0, INDEX(Kat, AN128,4), 0)</f>
        <v>0</v>
      </c>
      <c r="AQ128" s="228">
        <f t="shared" si="497"/>
        <v>0</v>
      </c>
      <c r="AR128" s="228" cm="1">
        <f t="array" ref="AR128">IF(X128&gt;0, INDEX(Kat, $AN128, 4+AQ128), 0)</f>
        <v>0</v>
      </c>
      <c r="AS128" s="228" cm="1">
        <f t="array" ref="AS128">IF(X128&gt;0, INDEX(Kat, $AN128, 9+AQ128), 0)</f>
        <v>0</v>
      </c>
      <c r="AT128" s="246"/>
      <c r="AU128" s="262"/>
      <c r="AV128" s="262"/>
      <c r="AW128" s="263"/>
      <c r="AX128" s="263"/>
      <c r="AY128" s="263"/>
      <c r="AZ128" s="263"/>
      <c r="BA128" s="263"/>
      <c r="BB128" s="263"/>
      <c r="BC128" s="263"/>
      <c r="BD128" s="263"/>
      <c r="BE128" s="263"/>
      <c r="BF128" s="263"/>
      <c r="BG128" s="263"/>
      <c r="BH128" s="246"/>
      <c r="BI128" s="228" cm="1">
        <f t="array" ref="BI128">INDEX(Use, $AH128, 4)</f>
        <v>7</v>
      </c>
      <c r="BJ128" s="228">
        <f t="shared" si="473"/>
        <v>32</v>
      </c>
      <c r="BK128" s="228">
        <f t="shared" si="305"/>
        <v>13</v>
      </c>
      <c r="BL128" s="228">
        <f t="shared" si="306"/>
        <v>0</v>
      </c>
      <c r="BM128" s="233" cm="1">
        <f t="array" ref="BM128">L128/IF($M128&gt;0, INDEX($AY$22:$BE$76, $M128+20, $AH128), 1)</f>
        <v>0</v>
      </c>
      <c r="BN128" s="229">
        <f t="shared" si="474"/>
        <v>0</v>
      </c>
      <c r="BO128" s="228">
        <v>35</v>
      </c>
      <c r="BP128" s="229">
        <f t="shared" si="475"/>
        <v>48</v>
      </c>
      <c r="BQ128" s="234">
        <f t="shared" si="476"/>
        <v>3.0748170731707316</v>
      </c>
      <c r="BR128" s="234" cm="1">
        <f t="array" ref="BR128">$BM128 * SUMPRODUCT(INDEX($AV$76:$AX$81,,$AI128),INDEX($AY$76:$BE$81,,$AH128), N($AU$76:$AU$81&gt;$AM128)) / BQ128 / 1000</f>
        <v>0</v>
      </c>
      <c r="BS128" s="231">
        <f t="shared" si="310"/>
        <v>30</v>
      </c>
      <c r="BT128" s="229">
        <f t="shared" si="477"/>
        <v>43</v>
      </c>
      <c r="BU128" s="234">
        <f t="shared" si="478"/>
        <v>3.5018750000000001</v>
      </c>
      <c r="BV128" s="234" cm="1">
        <f t="array" ref="BV128">$BM128 * IF($AH128&lt;=2,
SUMPRODUCT(INDEX($AV$71:$AX$75,,$AI128), INDEX($AY$71:$BE$75,,$AH128), 1 / ($BF$71:$BF$75*BU128 + (1-$BF$71:$BF$75)*BQ128), N($AU$71:$AU$75&gt;$AM128)),
SUMPRODUCT(INDEX($AV$66:$AX$75,,$AI128), INDEX($AY$66:$BE$75,,$AH128), 1 / ($BG$66:$BG$75*BU128 + (1-$BG$66:$BG$75)*BQ128), N($AU$66:$AU$75&gt;$AM128))
) / 1000</f>
        <v>0</v>
      </c>
      <c r="BW128" s="231">
        <f t="shared" si="313"/>
        <v>25</v>
      </c>
      <c r="BX128" s="229">
        <f t="shared" si="479"/>
        <v>38</v>
      </c>
      <c r="BY128" s="234">
        <f t="shared" si="480"/>
        <v>4.0666935483870965</v>
      </c>
      <c r="BZ128" s="234" cm="1">
        <f t="array" ref="BZ128">$BM128 * IF($AH128&lt;=2,
SUMPRODUCT(INDEX($AV$66:$AX$70,,$AI128), INDEX($AY$66:$BE$70,,$AH128), 1 / ($BF$66:$BF$70*BY128 + (1-$BF$66:$BF$70)*BU128), N($AU$66:$AU$70&gt;$AM128)),
SUMPRODUCT(INDEX($AV$56:$AX$65,,$AI128), INDEX($AY$56:$BE$65,,$AH128), 1 / ($BG$56:$BG$65*BY128 + (1-$BG$56:$BG$65)*BU128), N($AU$56:$AU$65&gt;$AM128))
) / 1000</f>
        <v>0</v>
      </c>
      <c r="CA128" s="231">
        <f t="shared" si="316"/>
        <v>20</v>
      </c>
      <c r="CB128" s="229">
        <f t="shared" si="481"/>
        <v>33</v>
      </c>
      <c r="CC128" s="234">
        <f t="shared" si="482"/>
        <v>4.8487499999999999</v>
      </c>
      <c r="CD128" s="234" cm="1">
        <f t="array" ref="CD128">$BM128 * IF($AH128&lt;=2,
SUMPRODUCT(INDEX($AV$61:$AX$65,,$AI128), INDEX($AY$61:$BE$65,,$AH128), 1 / ($BF$61:$BF$65*CC128 + (1-$BF$61:$BF$65)*BY128), N($AU$61:$AU$65&gt;$AM128)),
SUMPRODUCT(INDEX($AV$46:$AX$55,,$AI128), INDEX($AY$46:$BE$55,,$AH128), 1 / ($BG$46:$BG$55*CC128 + (1-$BG$46:$BG$55)*BY128), N($AU$46:$AU$55&gt;$AM128))
) / 1000</f>
        <v>0</v>
      </c>
      <c r="CE128" s="234" cm="1">
        <f t="array" ref="CE128">$BM128 * IF($AH128&lt;=2,
SUMPRODUCT(INDEX($AV$22:$AX$60,,$AI128), INDEX($AY$22:$BE$60,,$AH128), 1 / ($BF$22:$BF$60*CC128), N($AU$22:$AU$60&gt;$AM128)),
SUMPRODUCT(INDEX($AV$22:$AX$45,,$AI128), INDEX($AY$22:$BE$45,,$AH128), 1 / ($BG$22:$BG$45*CC128), N($AU$22:$AU$45&gt;$AM128))
) / 1000</f>
        <v>0</v>
      </c>
      <c r="CF128" s="229">
        <f t="shared" si="483"/>
        <v>0</v>
      </c>
      <c r="CG128" s="246"/>
      <c r="CH128" s="229">
        <f t="shared" si="484"/>
        <v>0</v>
      </c>
      <c r="CI128" s="228">
        <v>35</v>
      </c>
      <c r="CJ128" s="229">
        <f t="shared" si="485"/>
        <v>48</v>
      </c>
      <c r="CK128" s="234">
        <f t="shared" si="486"/>
        <v>3.0748170731707316</v>
      </c>
      <c r="CL128" s="234" cm="1">
        <f t="array" ref="CL128">$BM128 * SUMPRODUCT(INDEX($AV$76:$AX$81,,$AI128),INDEX($AY$76:$BE$81,,$AH128), N($AU$76:$AU$81&gt;$AM128)) / CK128 / 1000</f>
        <v>0</v>
      </c>
      <c r="CM128" s="231">
        <f t="shared" si="323"/>
        <v>30</v>
      </c>
      <c r="CN128" s="229">
        <f t="shared" si="487"/>
        <v>43</v>
      </c>
      <c r="CO128" s="234">
        <f t="shared" si="488"/>
        <v>3.5018750000000001</v>
      </c>
      <c r="CP128" s="234" cm="1">
        <f t="array" ref="CP128">$BM128 * IF($AH128&lt;=2,
SUMPRODUCT(INDEX($AV$71:$AX$75,,$AI128), INDEX($AY$71:$BE$75,,$AH128), 1 / ($BF$71:$BF$75*CO128 + (1-$BF$71:$BF$75)*CK128), N($AU$71:$AU$75&gt;$AM128)),
SUMPRODUCT(INDEX($AV$66:$AX$75,,$AI128), INDEX($AY$66:$BE$75,,$AH128), 1 / ($BG$66:$BG$75*CO128 + (1-$BG$66:$BG$75)*CK128), N($AU$66:$AU$75&gt;$AM128))
) / 1000</f>
        <v>0</v>
      </c>
      <c r="CQ128" s="231">
        <f t="shared" si="326"/>
        <v>25</v>
      </c>
      <c r="CR128" s="229">
        <f t="shared" si="489"/>
        <v>38</v>
      </c>
      <c r="CS128" s="234">
        <f t="shared" si="490"/>
        <v>4.0666935483870965</v>
      </c>
      <c r="CT128" s="234" cm="1">
        <f t="array" ref="CT128">$BM128 * IF($AH128&lt;=2,
SUMPRODUCT(INDEX($AV$66:$AX$70,,$AI128), INDEX($AY$66:$BE$70,,$AH128), 1 / ($BF$66:$BF$70*CS128 + (1-$BF$66:$BF$70)*CO128), N($AU$66:$AU$70&gt;$AM128)),
SUMPRODUCT(INDEX($AV$56:$AX$65,,$AI128), INDEX($AY$56:$BE$65,,$AH128), 1 / ($BG$56:$BG$65*CS128 + (1-$BG$56:$BG$65)*CO128), N($AU$56:$AU$65&gt;$AM128))
) / 1000</f>
        <v>0</v>
      </c>
      <c r="CU128" s="231">
        <f t="shared" si="329"/>
        <v>20</v>
      </c>
      <c r="CV128" s="229">
        <f t="shared" si="491"/>
        <v>33</v>
      </c>
      <c r="CW128" s="234">
        <f t="shared" si="492"/>
        <v>4.8487499999999999</v>
      </c>
      <c r="CX128" s="234" cm="1">
        <f t="array" ref="CX128">$BM128 * IF($AH128&lt;=2,
SUMPRODUCT(INDEX($AV$61:$AX$65,,$AI128), INDEX($AY$61:$BE$65,,$AH128), 1 / ($BF$61:$BF$65*CW128 + (1-$BF$61:$BF$65)*CS128), N($AU$61:$AU$65&gt;$AM128)),
SUMPRODUCT(INDEX($AV$46:$AX$55,,$AI128), INDEX($AY$46:$BE$55,,$AH128), 1 / ($BG$46:$BG$55*CW128 + (1-$BG$46:$BG$55)*CS128), N($AU$46:$AU$55&gt;$AM128))
) / 1000</f>
        <v>0</v>
      </c>
      <c r="CY128" s="234" cm="1">
        <f t="array" ref="CY128">$BM128 * IF($AH128&lt;=2,
SUMPRODUCT(INDEX($AV$22:$AX$60,,$AI128), INDEX($AY$22:$BE$60,,$AH128), 1 / ($BF$22:$BF$60*CW128), N($AU$22:$AU$60&gt;$AM128)),
SUMPRODUCT(INDEX($AV$22:$AX$45,,$AI128), INDEX($AY$22:$BE$45,,$AH128), 1 / ($BG$22:$BG$45*CW128), N($AU$22:$AU$45&gt;$AM128))
) / 1000</f>
        <v>0</v>
      </c>
      <c r="CZ128" s="229">
        <f t="shared" si="493"/>
        <v>0</v>
      </c>
      <c r="DA128" s="246"/>
    </row>
    <row r="129" spans="1:105" s="75" customFormat="1" ht="14.25" customHeight="1" x14ac:dyDescent="0.2">
      <c r="A129" s="230" t="b">
        <f t="shared" si="291"/>
        <v>0</v>
      </c>
      <c r="B129" s="253">
        <v>108</v>
      </c>
      <c r="C129" s="266"/>
      <c r="D129" s="266"/>
      <c r="E129" s="254"/>
      <c r="F129" s="255" t="str">
        <f>IF(ISBLANK(E129), "", VLOOKUP(E129, Z!$A$2:$C$4127, 3, FALSE))</f>
        <v/>
      </c>
      <c r="G129" s="256"/>
      <c r="H129" s="256"/>
      <c r="I129" s="256"/>
      <c r="J129" s="257"/>
      <c r="K129" s="258"/>
      <c r="L129" s="267"/>
      <c r="M129" s="268"/>
      <c r="N129" s="259" t="str" cm="1">
        <f t="array" ref="N129">IF($L129&gt;0, INDEX(Clean,1+AK129,$D$1), "")</f>
        <v/>
      </c>
      <c r="O129" s="260"/>
      <c r="P129" s="260"/>
      <c r="Q129" s="261"/>
      <c r="R129" s="264">
        <f t="shared" si="469"/>
        <v>0</v>
      </c>
      <c r="S129" s="259" t="str" cm="1">
        <f t="array" ref="S129">IF($L129&gt;0, INDEX(Clean,1+AL129,$D$1), "")</f>
        <v/>
      </c>
      <c r="T129" s="260"/>
      <c r="U129" s="260"/>
      <c r="V129" s="261"/>
      <c r="W129" s="267"/>
      <c r="X129" s="267"/>
      <c r="Y129" s="257"/>
      <c r="Z129" s="264">
        <f t="shared" si="470"/>
        <v>0</v>
      </c>
      <c r="AA129" s="269"/>
      <c r="AB129" s="266"/>
      <c r="AC129" s="254"/>
      <c r="AD129" s="255" t="str">
        <f>IF(ISBLANK(AC129), "", VLOOKUP(AC129, Z!$A$2:$C$4127, 3, FALSE))</f>
        <v/>
      </c>
      <c r="AE129" s="270"/>
      <c r="AF129" s="265">
        <f t="shared" si="471"/>
        <v>0</v>
      </c>
      <c r="AG129" s="246"/>
      <c r="AH129" s="228">
        <f t="shared" si="494"/>
        <v>1</v>
      </c>
      <c r="AI129" s="228">
        <f t="shared" si="495"/>
        <v>1</v>
      </c>
      <c r="AJ129" s="228">
        <f t="shared" si="496"/>
        <v>0</v>
      </c>
      <c r="AK129" s="228">
        <v>0</v>
      </c>
      <c r="AL129" s="228">
        <v>0</v>
      </c>
      <c r="AM129" s="228">
        <f t="shared" si="472"/>
        <v>-100</v>
      </c>
      <c r="AN129" s="228" cm="1">
        <f t="array" ref="AN129">IF(ISBLANK(G129), 1, IFERROR(MATCH(G129, INDEX(Kat,,1), 0), IFERROR(MATCH(Kat, INDEX(Use,,2), 0), MATCH(Kat, INDEX(Use,,3), 0))))</f>
        <v>1</v>
      </c>
      <c r="AO129" s="246"/>
      <c r="AP129" s="228" cm="1">
        <f t="array" ref="AP129">IF(W129&gt;0, INDEX(Kat, AN129,4), 0)</f>
        <v>0</v>
      </c>
      <c r="AQ129" s="228">
        <f t="shared" si="497"/>
        <v>0</v>
      </c>
      <c r="AR129" s="228" cm="1">
        <f t="array" ref="AR129">IF(X129&gt;0, INDEX(Kat, $AN129, 4+AQ129), 0)</f>
        <v>0</v>
      </c>
      <c r="AS129" s="228" cm="1">
        <f t="array" ref="AS129">IF(X129&gt;0, INDEX(Kat, $AN129, 9+AQ129), 0)</f>
        <v>0</v>
      </c>
      <c r="AT129" s="246"/>
      <c r="AU129" s="262"/>
      <c r="AV129" s="262"/>
      <c r="AW129" s="263"/>
      <c r="AX129" s="263"/>
      <c r="AY129" s="263"/>
      <c r="AZ129" s="263"/>
      <c r="BA129" s="263"/>
      <c r="BB129" s="263"/>
      <c r="BC129" s="263"/>
      <c r="BD129" s="263"/>
      <c r="BE129" s="263"/>
      <c r="BF129" s="263"/>
      <c r="BG129" s="263"/>
      <c r="BH129" s="246"/>
      <c r="BI129" s="228" cm="1">
        <f t="array" ref="BI129">INDEX(Use, $AH129, 4)</f>
        <v>7</v>
      </c>
      <c r="BJ129" s="228">
        <f t="shared" si="473"/>
        <v>32</v>
      </c>
      <c r="BK129" s="228">
        <f t="shared" si="305"/>
        <v>13</v>
      </c>
      <c r="BL129" s="228">
        <f t="shared" si="306"/>
        <v>0</v>
      </c>
      <c r="BM129" s="233" cm="1">
        <f t="array" ref="BM129">L129/IF($M129&gt;0, INDEX($AY$22:$BE$76, $M129+20, $AH129), 1)</f>
        <v>0</v>
      </c>
      <c r="BN129" s="229">
        <f t="shared" si="474"/>
        <v>0</v>
      </c>
      <c r="BO129" s="228">
        <v>35</v>
      </c>
      <c r="BP129" s="229">
        <f t="shared" si="475"/>
        <v>48</v>
      </c>
      <c r="BQ129" s="234">
        <f t="shared" si="476"/>
        <v>3.0748170731707316</v>
      </c>
      <c r="BR129" s="234" cm="1">
        <f t="array" ref="BR129">$BM129 * SUMPRODUCT(INDEX($AV$76:$AX$81,,$AI129),INDEX($AY$76:$BE$81,,$AH129), N($AU$76:$AU$81&gt;$AM129)) / BQ129 / 1000</f>
        <v>0</v>
      </c>
      <c r="BS129" s="231">
        <f t="shared" si="310"/>
        <v>30</v>
      </c>
      <c r="BT129" s="229">
        <f t="shared" si="477"/>
        <v>43</v>
      </c>
      <c r="BU129" s="234">
        <f t="shared" si="478"/>
        <v>3.5018750000000001</v>
      </c>
      <c r="BV129" s="234" cm="1">
        <f t="array" ref="BV129">$BM129 * IF($AH129&lt;=2,
SUMPRODUCT(INDEX($AV$71:$AX$75,,$AI129), INDEX($AY$71:$BE$75,,$AH129), 1 / ($BF$71:$BF$75*BU129 + (1-$BF$71:$BF$75)*BQ129), N($AU$71:$AU$75&gt;$AM129)),
SUMPRODUCT(INDEX($AV$66:$AX$75,,$AI129), INDEX($AY$66:$BE$75,,$AH129), 1 / ($BG$66:$BG$75*BU129 + (1-$BG$66:$BG$75)*BQ129), N($AU$66:$AU$75&gt;$AM129))
) / 1000</f>
        <v>0</v>
      </c>
      <c r="BW129" s="231">
        <f t="shared" si="313"/>
        <v>25</v>
      </c>
      <c r="BX129" s="229">
        <f t="shared" si="479"/>
        <v>38</v>
      </c>
      <c r="BY129" s="234">
        <f t="shared" si="480"/>
        <v>4.0666935483870965</v>
      </c>
      <c r="BZ129" s="234" cm="1">
        <f t="array" ref="BZ129">$BM129 * IF($AH129&lt;=2,
SUMPRODUCT(INDEX($AV$66:$AX$70,,$AI129), INDEX($AY$66:$BE$70,,$AH129), 1 / ($BF$66:$BF$70*BY129 + (1-$BF$66:$BF$70)*BU129), N($AU$66:$AU$70&gt;$AM129)),
SUMPRODUCT(INDEX($AV$56:$AX$65,,$AI129), INDEX($AY$56:$BE$65,,$AH129), 1 / ($BG$56:$BG$65*BY129 + (1-$BG$56:$BG$65)*BU129), N($AU$56:$AU$65&gt;$AM129))
) / 1000</f>
        <v>0</v>
      </c>
      <c r="CA129" s="231">
        <f t="shared" si="316"/>
        <v>20</v>
      </c>
      <c r="CB129" s="229">
        <f t="shared" si="481"/>
        <v>33</v>
      </c>
      <c r="CC129" s="234">
        <f t="shared" si="482"/>
        <v>4.8487499999999999</v>
      </c>
      <c r="CD129" s="234" cm="1">
        <f t="array" ref="CD129">$BM129 * IF($AH129&lt;=2,
SUMPRODUCT(INDEX($AV$61:$AX$65,,$AI129), INDEX($AY$61:$BE$65,,$AH129), 1 / ($BF$61:$BF$65*CC129 + (1-$BF$61:$BF$65)*BY129), N($AU$61:$AU$65&gt;$AM129)),
SUMPRODUCT(INDEX($AV$46:$AX$55,,$AI129), INDEX($AY$46:$BE$55,,$AH129), 1 / ($BG$46:$BG$55*CC129 + (1-$BG$46:$BG$55)*BY129), N($AU$46:$AU$55&gt;$AM129))
) / 1000</f>
        <v>0</v>
      </c>
      <c r="CE129" s="234" cm="1">
        <f t="array" ref="CE129">$BM129 * IF($AH129&lt;=2,
SUMPRODUCT(INDEX($AV$22:$AX$60,,$AI129), INDEX($AY$22:$BE$60,,$AH129), 1 / ($BF$22:$BF$60*CC129), N($AU$22:$AU$60&gt;$AM129)),
SUMPRODUCT(INDEX($AV$22:$AX$45,,$AI129), INDEX($AY$22:$BE$45,,$AH129), 1 / ($BG$22:$BG$45*CC129), N($AU$22:$AU$45&gt;$AM129))
) / 1000</f>
        <v>0</v>
      </c>
      <c r="CF129" s="229">
        <f t="shared" si="483"/>
        <v>0</v>
      </c>
      <c r="CG129" s="246"/>
      <c r="CH129" s="229">
        <f t="shared" si="484"/>
        <v>0</v>
      </c>
      <c r="CI129" s="228">
        <v>35</v>
      </c>
      <c r="CJ129" s="229">
        <f t="shared" si="485"/>
        <v>48</v>
      </c>
      <c r="CK129" s="234">
        <f t="shared" si="486"/>
        <v>3.0748170731707316</v>
      </c>
      <c r="CL129" s="234" cm="1">
        <f t="array" ref="CL129">$BM129 * SUMPRODUCT(INDEX($AV$76:$AX$81,,$AI129),INDEX($AY$76:$BE$81,,$AH129), N($AU$76:$AU$81&gt;$AM129)) / CK129 / 1000</f>
        <v>0</v>
      </c>
      <c r="CM129" s="231">
        <f t="shared" si="323"/>
        <v>30</v>
      </c>
      <c r="CN129" s="229">
        <f t="shared" si="487"/>
        <v>43</v>
      </c>
      <c r="CO129" s="234">
        <f t="shared" si="488"/>
        <v>3.5018750000000001</v>
      </c>
      <c r="CP129" s="234" cm="1">
        <f t="array" ref="CP129">$BM129 * IF($AH129&lt;=2,
SUMPRODUCT(INDEX($AV$71:$AX$75,,$AI129), INDEX($AY$71:$BE$75,,$AH129), 1 / ($BF$71:$BF$75*CO129 + (1-$BF$71:$BF$75)*CK129), N($AU$71:$AU$75&gt;$AM129)),
SUMPRODUCT(INDEX($AV$66:$AX$75,,$AI129), INDEX($AY$66:$BE$75,,$AH129), 1 / ($BG$66:$BG$75*CO129 + (1-$BG$66:$BG$75)*CK129), N($AU$66:$AU$75&gt;$AM129))
) / 1000</f>
        <v>0</v>
      </c>
      <c r="CQ129" s="231">
        <f t="shared" si="326"/>
        <v>25</v>
      </c>
      <c r="CR129" s="229">
        <f t="shared" si="489"/>
        <v>38</v>
      </c>
      <c r="CS129" s="234">
        <f t="shared" si="490"/>
        <v>4.0666935483870965</v>
      </c>
      <c r="CT129" s="234" cm="1">
        <f t="array" ref="CT129">$BM129 * IF($AH129&lt;=2,
SUMPRODUCT(INDEX($AV$66:$AX$70,,$AI129), INDEX($AY$66:$BE$70,,$AH129), 1 / ($BF$66:$BF$70*CS129 + (1-$BF$66:$BF$70)*CO129), N($AU$66:$AU$70&gt;$AM129)),
SUMPRODUCT(INDEX($AV$56:$AX$65,,$AI129), INDEX($AY$56:$BE$65,,$AH129), 1 / ($BG$56:$BG$65*CS129 + (1-$BG$56:$BG$65)*CO129), N($AU$56:$AU$65&gt;$AM129))
) / 1000</f>
        <v>0</v>
      </c>
      <c r="CU129" s="231">
        <f t="shared" si="329"/>
        <v>20</v>
      </c>
      <c r="CV129" s="229">
        <f t="shared" si="491"/>
        <v>33</v>
      </c>
      <c r="CW129" s="234">
        <f t="shared" si="492"/>
        <v>4.8487499999999999</v>
      </c>
      <c r="CX129" s="234" cm="1">
        <f t="array" ref="CX129">$BM129 * IF($AH129&lt;=2,
SUMPRODUCT(INDEX($AV$61:$AX$65,,$AI129), INDEX($AY$61:$BE$65,,$AH129), 1 / ($BF$61:$BF$65*CW129 + (1-$BF$61:$BF$65)*CS129), N($AU$61:$AU$65&gt;$AM129)),
SUMPRODUCT(INDEX($AV$46:$AX$55,,$AI129), INDEX($AY$46:$BE$55,,$AH129), 1 / ($BG$46:$BG$55*CW129 + (1-$BG$46:$BG$55)*CS129), N($AU$46:$AU$55&gt;$AM129))
) / 1000</f>
        <v>0</v>
      </c>
      <c r="CY129" s="234" cm="1">
        <f t="array" ref="CY129">$BM129 * IF($AH129&lt;=2,
SUMPRODUCT(INDEX($AV$22:$AX$60,,$AI129), INDEX($AY$22:$BE$60,,$AH129), 1 / ($BF$22:$BF$60*CW129), N($AU$22:$AU$60&gt;$AM129)),
SUMPRODUCT(INDEX($AV$22:$AX$45,,$AI129), INDEX($AY$22:$BE$45,,$AH129), 1 / ($BG$22:$BG$45*CW129), N($AU$22:$AU$45&gt;$AM129))
) / 1000</f>
        <v>0</v>
      </c>
      <c r="CZ129" s="229">
        <f t="shared" si="493"/>
        <v>0</v>
      </c>
      <c r="DA129" s="246"/>
    </row>
    <row r="130" spans="1:105" s="75" customFormat="1" ht="14.25" customHeight="1" x14ac:dyDescent="0.2">
      <c r="A130" s="230" t="b">
        <f t="shared" si="291"/>
        <v>0</v>
      </c>
      <c r="B130" s="253">
        <v>109</v>
      </c>
      <c r="C130" s="266"/>
      <c r="D130" s="266"/>
      <c r="E130" s="254"/>
      <c r="F130" s="255" t="str">
        <f>IF(ISBLANK(E130), "", VLOOKUP(E130, Z!$A$2:$C$4127, 3, FALSE))</f>
        <v/>
      </c>
      <c r="G130" s="256"/>
      <c r="H130" s="256"/>
      <c r="I130" s="256"/>
      <c r="J130" s="257"/>
      <c r="K130" s="258"/>
      <c r="L130" s="267"/>
      <c r="M130" s="268"/>
      <c r="N130" s="259" t="str" cm="1">
        <f t="array" ref="N130">IF($L130&gt;0, INDEX(Clean,1+AK130,$D$1), "")</f>
        <v/>
      </c>
      <c r="O130" s="260"/>
      <c r="P130" s="260"/>
      <c r="Q130" s="261"/>
      <c r="R130" s="264">
        <f t="shared" si="469"/>
        <v>0</v>
      </c>
      <c r="S130" s="259" t="str" cm="1">
        <f t="array" ref="S130">IF($L130&gt;0, INDEX(Clean,1+AL130,$D$1), "")</f>
        <v/>
      </c>
      <c r="T130" s="260"/>
      <c r="U130" s="260"/>
      <c r="V130" s="261"/>
      <c r="W130" s="267"/>
      <c r="X130" s="267"/>
      <c r="Y130" s="257"/>
      <c r="Z130" s="264">
        <f t="shared" si="470"/>
        <v>0</v>
      </c>
      <c r="AA130" s="269"/>
      <c r="AB130" s="266"/>
      <c r="AC130" s="254"/>
      <c r="AD130" s="255" t="str">
        <f>IF(ISBLANK(AC130), "", VLOOKUP(AC130, Z!$A$2:$C$4127, 3, FALSE))</f>
        <v/>
      </c>
      <c r="AE130" s="270"/>
      <c r="AF130" s="265">
        <f t="shared" si="471"/>
        <v>0</v>
      </c>
      <c r="AG130" s="246"/>
      <c r="AH130" s="228">
        <f t="shared" si="494"/>
        <v>1</v>
      </c>
      <c r="AI130" s="228">
        <f t="shared" si="495"/>
        <v>1</v>
      </c>
      <c r="AJ130" s="228">
        <f t="shared" si="496"/>
        <v>0</v>
      </c>
      <c r="AK130" s="228">
        <v>0</v>
      </c>
      <c r="AL130" s="228">
        <v>0</v>
      </c>
      <c r="AM130" s="228">
        <f t="shared" si="472"/>
        <v>-100</v>
      </c>
      <c r="AN130" s="228" cm="1">
        <f t="array" ref="AN130">IF(ISBLANK(G130), 1, IFERROR(MATCH(G130, INDEX(Kat,,1), 0), IFERROR(MATCH(Kat, INDEX(Use,,2), 0), MATCH(Kat, INDEX(Use,,3), 0))))</f>
        <v>1</v>
      </c>
      <c r="AO130" s="246"/>
      <c r="AP130" s="228" cm="1">
        <f t="array" ref="AP130">IF(W130&gt;0, INDEX(Kat, AN130,4), 0)</f>
        <v>0</v>
      </c>
      <c r="AQ130" s="228">
        <f t="shared" si="497"/>
        <v>0</v>
      </c>
      <c r="AR130" s="228" cm="1">
        <f t="array" ref="AR130">IF(X130&gt;0, INDEX(Kat, $AN130, 4+AQ130), 0)</f>
        <v>0</v>
      </c>
      <c r="AS130" s="228" cm="1">
        <f t="array" ref="AS130">IF(X130&gt;0, INDEX(Kat, $AN130, 9+AQ130), 0)</f>
        <v>0</v>
      </c>
      <c r="AT130" s="246"/>
      <c r="AU130" s="262"/>
      <c r="AV130" s="262"/>
      <c r="AW130" s="263"/>
      <c r="AX130" s="263"/>
      <c r="AY130" s="263"/>
      <c r="AZ130" s="263"/>
      <c r="BA130" s="263"/>
      <c r="BB130" s="263"/>
      <c r="BC130" s="263"/>
      <c r="BD130" s="263"/>
      <c r="BE130" s="263"/>
      <c r="BF130" s="263"/>
      <c r="BG130" s="263"/>
      <c r="BH130" s="246"/>
      <c r="BI130" s="228" cm="1">
        <f t="array" ref="BI130">INDEX(Use, $AH130, 4)</f>
        <v>7</v>
      </c>
      <c r="BJ130" s="228">
        <f t="shared" si="473"/>
        <v>32</v>
      </c>
      <c r="BK130" s="228">
        <f t="shared" si="305"/>
        <v>13</v>
      </c>
      <c r="BL130" s="228">
        <f t="shared" si="306"/>
        <v>0</v>
      </c>
      <c r="BM130" s="233" cm="1">
        <f t="array" ref="BM130">L130/IF($M130&gt;0, INDEX($AY$22:$BE$76, $M130+20, $AH130), 1)</f>
        <v>0</v>
      </c>
      <c r="BN130" s="229">
        <f t="shared" si="474"/>
        <v>0</v>
      </c>
      <c r="BO130" s="228">
        <v>35</v>
      </c>
      <c r="BP130" s="229">
        <f t="shared" si="475"/>
        <v>48</v>
      </c>
      <c r="BQ130" s="234">
        <f t="shared" si="476"/>
        <v>3.0748170731707316</v>
      </c>
      <c r="BR130" s="234" cm="1">
        <f t="array" ref="BR130">$BM130 * SUMPRODUCT(INDEX($AV$76:$AX$81,,$AI130),INDEX($AY$76:$BE$81,,$AH130), N($AU$76:$AU$81&gt;$AM130)) / BQ130 / 1000</f>
        <v>0</v>
      </c>
      <c r="BS130" s="231">
        <f t="shared" si="310"/>
        <v>30</v>
      </c>
      <c r="BT130" s="229">
        <f t="shared" si="477"/>
        <v>43</v>
      </c>
      <c r="BU130" s="234">
        <f t="shared" si="478"/>
        <v>3.5018750000000001</v>
      </c>
      <c r="BV130" s="234" cm="1">
        <f t="array" ref="BV130">$BM130 * IF($AH130&lt;=2,
SUMPRODUCT(INDEX($AV$71:$AX$75,,$AI130), INDEX($AY$71:$BE$75,,$AH130), 1 / ($BF$71:$BF$75*BU130 + (1-$BF$71:$BF$75)*BQ130), N($AU$71:$AU$75&gt;$AM130)),
SUMPRODUCT(INDEX($AV$66:$AX$75,,$AI130), INDEX($AY$66:$BE$75,,$AH130), 1 / ($BG$66:$BG$75*BU130 + (1-$BG$66:$BG$75)*BQ130), N($AU$66:$AU$75&gt;$AM130))
) / 1000</f>
        <v>0</v>
      </c>
      <c r="BW130" s="231">
        <f t="shared" si="313"/>
        <v>25</v>
      </c>
      <c r="BX130" s="229">
        <f t="shared" si="479"/>
        <v>38</v>
      </c>
      <c r="BY130" s="234">
        <f t="shared" si="480"/>
        <v>4.0666935483870965</v>
      </c>
      <c r="BZ130" s="234" cm="1">
        <f t="array" ref="BZ130">$BM130 * IF($AH130&lt;=2,
SUMPRODUCT(INDEX($AV$66:$AX$70,,$AI130), INDEX($AY$66:$BE$70,,$AH130), 1 / ($BF$66:$BF$70*BY130 + (1-$BF$66:$BF$70)*BU130), N($AU$66:$AU$70&gt;$AM130)),
SUMPRODUCT(INDEX($AV$56:$AX$65,,$AI130), INDEX($AY$56:$BE$65,,$AH130), 1 / ($BG$56:$BG$65*BY130 + (1-$BG$56:$BG$65)*BU130), N($AU$56:$AU$65&gt;$AM130))
) / 1000</f>
        <v>0</v>
      </c>
      <c r="CA130" s="231">
        <f t="shared" si="316"/>
        <v>20</v>
      </c>
      <c r="CB130" s="229">
        <f t="shared" si="481"/>
        <v>33</v>
      </c>
      <c r="CC130" s="234">
        <f t="shared" si="482"/>
        <v>4.8487499999999999</v>
      </c>
      <c r="CD130" s="234" cm="1">
        <f t="array" ref="CD130">$BM130 * IF($AH130&lt;=2,
SUMPRODUCT(INDEX($AV$61:$AX$65,,$AI130), INDEX($AY$61:$BE$65,,$AH130), 1 / ($BF$61:$BF$65*CC130 + (1-$BF$61:$BF$65)*BY130), N($AU$61:$AU$65&gt;$AM130)),
SUMPRODUCT(INDEX($AV$46:$AX$55,,$AI130), INDEX($AY$46:$BE$55,,$AH130), 1 / ($BG$46:$BG$55*CC130 + (1-$BG$46:$BG$55)*BY130), N($AU$46:$AU$55&gt;$AM130))
) / 1000</f>
        <v>0</v>
      </c>
      <c r="CE130" s="234" cm="1">
        <f t="array" ref="CE130">$BM130 * IF($AH130&lt;=2,
SUMPRODUCT(INDEX($AV$22:$AX$60,,$AI130), INDEX($AY$22:$BE$60,,$AH130), 1 / ($BF$22:$BF$60*CC130), N($AU$22:$AU$60&gt;$AM130)),
SUMPRODUCT(INDEX($AV$22:$AX$45,,$AI130), INDEX($AY$22:$BE$45,,$AH130), 1 / ($BG$22:$BG$45*CC130), N($AU$22:$AU$45&gt;$AM130))
) / 1000</f>
        <v>0</v>
      </c>
      <c r="CF130" s="229">
        <f t="shared" si="483"/>
        <v>0</v>
      </c>
      <c r="CG130" s="246"/>
      <c r="CH130" s="229">
        <f t="shared" si="484"/>
        <v>0</v>
      </c>
      <c r="CI130" s="228">
        <v>35</v>
      </c>
      <c r="CJ130" s="229">
        <f t="shared" si="485"/>
        <v>48</v>
      </c>
      <c r="CK130" s="234">
        <f t="shared" si="486"/>
        <v>3.0748170731707316</v>
      </c>
      <c r="CL130" s="234" cm="1">
        <f t="array" ref="CL130">$BM130 * SUMPRODUCT(INDEX($AV$76:$AX$81,,$AI130),INDEX($AY$76:$BE$81,,$AH130), N($AU$76:$AU$81&gt;$AM130)) / CK130 / 1000</f>
        <v>0</v>
      </c>
      <c r="CM130" s="231">
        <f t="shared" si="323"/>
        <v>30</v>
      </c>
      <c r="CN130" s="229">
        <f t="shared" si="487"/>
        <v>43</v>
      </c>
      <c r="CO130" s="234">
        <f t="shared" si="488"/>
        <v>3.5018750000000001</v>
      </c>
      <c r="CP130" s="234" cm="1">
        <f t="array" ref="CP130">$BM130 * IF($AH130&lt;=2,
SUMPRODUCT(INDEX($AV$71:$AX$75,,$AI130), INDEX($AY$71:$BE$75,,$AH130), 1 / ($BF$71:$BF$75*CO130 + (1-$BF$71:$BF$75)*CK130), N($AU$71:$AU$75&gt;$AM130)),
SUMPRODUCT(INDEX($AV$66:$AX$75,,$AI130), INDEX($AY$66:$BE$75,,$AH130), 1 / ($BG$66:$BG$75*CO130 + (1-$BG$66:$BG$75)*CK130), N($AU$66:$AU$75&gt;$AM130))
) / 1000</f>
        <v>0</v>
      </c>
      <c r="CQ130" s="231">
        <f t="shared" si="326"/>
        <v>25</v>
      </c>
      <c r="CR130" s="229">
        <f t="shared" si="489"/>
        <v>38</v>
      </c>
      <c r="CS130" s="234">
        <f t="shared" si="490"/>
        <v>4.0666935483870965</v>
      </c>
      <c r="CT130" s="234" cm="1">
        <f t="array" ref="CT130">$BM130 * IF($AH130&lt;=2,
SUMPRODUCT(INDEX($AV$66:$AX$70,,$AI130), INDEX($AY$66:$BE$70,,$AH130), 1 / ($BF$66:$BF$70*CS130 + (1-$BF$66:$BF$70)*CO130), N($AU$66:$AU$70&gt;$AM130)),
SUMPRODUCT(INDEX($AV$56:$AX$65,,$AI130), INDEX($AY$56:$BE$65,,$AH130), 1 / ($BG$56:$BG$65*CS130 + (1-$BG$56:$BG$65)*CO130), N($AU$56:$AU$65&gt;$AM130))
) / 1000</f>
        <v>0</v>
      </c>
      <c r="CU130" s="231">
        <f t="shared" si="329"/>
        <v>20</v>
      </c>
      <c r="CV130" s="229">
        <f t="shared" si="491"/>
        <v>33</v>
      </c>
      <c r="CW130" s="234">
        <f t="shared" si="492"/>
        <v>4.8487499999999999</v>
      </c>
      <c r="CX130" s="234" cm="1">
        <f t="array" ref="CX130">$BM130 * IF($AH130&lt;=2,
SUMPRODUCT(INDEX($AV$61:$AX$65,,$AI130), INDEX($AY$61:$BE$65,,$AH130), 1 / ($BF$61:$BF$65*CW130 + (1-$BF$61:$BF$65)*CS130), N($AU$61:$AU$65&gt;$AM130)),
SUMPRODUCT(INDEX($AV$46:$AX$55,,$AI130), INDEX($AY$46:$BE$55,,$AH130), 1 / ($BG$46:$BG$55*CW130 + (1-$BG$46:$BG$55)*CS130), N($AU$46:$AU$55&gt;$AM130))
) / 1000</f>
        <v>0</v>
      </c>
      <c r="CY130" s="234" cm="1">
        <f t="array" ref="CY130">$BM130 * IF($AH130&lt;=2,
SUMPRODUCT(INDEX($AV$22:$AX$60,,$AI130), INDEX($AY$22:$BE$60,,$AH130), 1 / ($BF$22:$BF$60*CW130), N($AU$22:$AU$60&gt;$AM130)),
SUMPRODUCT(INDEX($AV$22:$AX$45,,$AI130), INDEX($AY$22:$BE$45,,$AH130), 1 / ($BG$22:$BG$45*CW130), N($AU$22:$AU$45&gt;$AM130))
) / 1000</f>
        <v>0</v>
      </c>
      <c r="CZ130" s="229">
        <f t="shared" si="493"/>
        <v>0</v>
      </c>
      <c r="DA130" s="246"/>
    </row>
    <row r="131" spans="1:105" s="75" customFormat="1" ht="14.25" customHeight="1" x14ac:dyDescent="0.2">
      <c r="A131" s="230" t="b">
        <f t="shared" si="291"/>
        <v>0</v>
      </c>
      <c r="B131" s="253">
        <v>110</v>
      </c>
      <c r="C131" s="266"/>
      <c r="D131" s="266"/>
      <c r="E131" s="254"/>
      <c r="F131" s="255" t="str">
        <f>IF(ISBLANK(E131), "", VLOOKUP(E131, Z!$A$2:$C$4127, 3, FALSE))</f>
        <v/>
      </c>
      <c r="G131" s="256"/>
      <c r="H131" s="256"/>
      <c r="I131" s="256"/>
      <c r="J131" s="257"/>
      <c r="K131" s="258"/>
      <c r="L131" s="267"/>
      <c r="M131" s="268"/>
      <c r="N131" s="259" t="str" cm="1">
        <f t="array" ref="N131">IF($L131&gt;0, INDEX(Clean,1+AK131,$D$1), "")</f>
        <v/>
      </c>
      <c r="O131" s="260"/>
      <c r="P131" s="260"/>
      <c r="Q131" s="261"/>
      <c r="R131" s="264">
        <f t="shared" si="469"/>
        <v>0</v>
      </c>
      <c r="S131" s="259" t="str" cm="1">
        <f t="array" ref="S131">IF($L131&gt;0, INDEX(Clean,1+AL131,$D$1), "")</f>
        <v/>
      </c>
      <c r="T131" s="260"/>
      <c r="U131" s="260"/>
      <c r="V131" s="261"/>
      <c r="W131" s="267"/>
      <c r="X131" s="267"/>
      <c r="Y131" s="257"/>
      <c r="Z131" s="264">
        <f t="shared" si="470"/>
        <v>0</v>
      </c>
      <c r="AA131" s="269"/>
      <c r="AB131" s="266"/>
      <c r="AC131" s="254"/>
      <c r="AD131" s="255" t="str">
        <f>IF(ISBLANK(AC131), "", VLOOKUP(AC131, Z!$A$2:$C$4127, 3, FALSE))</f>
        <v/>
      </c>
      <c r="AE131" s="270"/>
      <c r="AF131" s="265">
        <f t="shared" si="471"/>
        <v>0</v>
      </c>
      <c r="AG131" s="246"/>
      <c r="AH131" s="228">
        <f t="shared" si="494"/>
        <v>1</v>
      </c>
      <c r="AI131" s="228">
        <f t="shared" si="495"/>
        <v>1</v>
      </c>
      <c r="AJ131" s="228">
        <f t="shared" si="496"/>
        <v>0</v>
      </c>
      <c r="AK131" s="228">
        <v>0</v>
      </c>
      <c r="AL131" s="228">
        <v>0</v>
      </c>
      <c r="AM131" s="228">
        <f t="shared" si="472"/>
        <v>-100</v>
      </c>
      <c r="AN131" s="228" cm="1">
        <f t="array" ref="AN131">IF(ISBLANK(G131), 1, IFERROR(MATCH(G131, INDEX(Kat,,1), 0), IFERROR(MATCH(Kat, INDEX(Use,,2), 0), MATCH(Kat, INDEX(Use,,3), 0))))</f>
        <v>1</v>
      </c>
      <c r="AO131" s="246"/>
      <c r="AP131" s="228" cm="1">
        <f t="array" ref="AP131">IF(W131&gt;0, INDEX(Kat, AN131,4), 0)</f>
        <v>0</v>
      </c>
      <c r="AQ131" s="228">
        <f t="shared" si="497"/>
        <v>0</v>
      </c>
      <c r="AR131" s="228" cm="1">
        <f t="array" ref="AR131">IF(X131&gt;0, INDEX(Kat, $AN131, 4+AQ131), 0)</f>
        <v>0</v>
      </c>
      <c r="AS131" s="228" cm="1">
        <f t="array" ref="AS131">IF(X131&gt;0, INDEX(Kat, $AN131, 9+AQ131), 0)</f>
        <v>0</v>
      </c>
      <c r="AT131" s="246"/>
      <c r="AU131" s="262"/>
      <c r="AV131" s="262"/>
      <c r="AW131" s="263"/>
      <c r="AX131" s="263"/>
      <c r="AY131" s="263"/>
      <c r="AZ131" s="263"/>
      <c r="BA131" s="263"/>
      <c r="BB131" s="263"/>
      <c r="BC131" s="263"/>
      <c r="BD131" s="263"/>
      <c r="BE131" s="263"/>
      <c r="BF131" s="263"/>
      <c r="BG131" s="263"/>
      <c r="BH131" s="246"/>
      <c r="BI131" s="228" cm="1">
        <f t="array" ref="BI131">INDEX(Use, $AH131, 4)</f>
        <v>7</v>
      </c>
      <c r="BJ131" s="228">
        <f t="shared" si="473"/>
        <v>32</v>
      </c>
      <c r="BK131" s="228">
        <f t="shared" si="305"/>
        <v>13</v>
      </c>
      <c r="BL131" s="228">
        <f t="shared" si="306"/>
        <v>0</v>
      </c>
      <c r="BM131" s="233" cm="1">
        <f t="array" ref="BM131">L131/IF($M131&gt;0, INDEX($AY$22:$BE$76, $M131+20, $AH131), 1)</f>
        <v>0</v>
      </c>
      <c r="BN131" s="229">
        <f t="shared" si="474"/>
        <v>0</v>
      </c>
      <c r="BO131" s="228">
        <v>35</v>
      </c>
      <c r="BP131" s="229">
        <f t="shared" si="475"/>
        <v>48</v>
      </c>
      <c r="BQ131" s="234">
        <f t="shared" si="476"/>
        <v>3.0748170731707316</v>
      </c>
      <c r="BR131" s="234" cm="1">
        <f t="array" ref="BR131">$BM131 * SUMPRODUCT(INDEX($AV$76:$AX$81,,$AI131),INDEX($AY$76:$BE$81,,$AH131), N($AU$76:$AU$81&gt;$AM131)) / BQ131 / 1000</f>
        <v>0</v>
      </c>
      <c r="BS131" s="231">
        <f t="shared" si="310"/>
        <v>30</v>
      </c>
      <c r="BT131" s="229">
        <f t="shared" si="477"/>
        <v>43</v>
      </c>
      <c r="BU131" s="234">
        <f t="shared" si="478"/>
        <v>3.5018750000000001</v>
      </c>
      <c r="BV131" s="234" cm="1">
        <f t="array" ref="BV131">$BM131 * IF($AH131&lt;=2,
SUMPRODUCT(INDEX($AV$71:$AX$75,,$AI131), INDEX($AY$71:$BE$75,,$AH131), 1 / ($BF$71:$BF$75*BU131 + (1-$BF$71:$BF$75)*BQ131), N($AU$71:$AU$75&gt;$AM131)),
SUMPRODUCT(INDEX($AV$66:$AX$75,,$AI131), INDEX($AY$66:$BE$75,,$AH131), 1 / ($BG$66:$BG$75*BU131 + (1-$BG$66:$BG$75)*BQ131), N($AU$66:$AU$75&gt;$AM131))
) / 1000</f>
        <v>0</v>
      </c>
      <c r="BW131" s="231">
        <f t="shared" si="313"/>
        <v>25</v>
      </c>
      <c r="BX131" s="229">
        <f t="shared" si="479"/>
        <v>38</v>
      </c>
      <c r="BY131" s="234">
        <f t="shared" si="480"/>
        <v>4.0666935483870965</v>
      </c>
      <c r="BZ131" s="234" cm="1">
        <f t="array" ref="BZ131">$BM131 * IF($AH131&lt;=2,
SUMPRODUCT(INDEX($AV$66:$AX$70,,$AI131), INDEX($AY$66:$BE$70,,$AH131), 1 / ($BF$66:$BF$70*BY131 + (1-$BF$66:$BF$70)*BU131), N($AU$66:$AU$70&gt;$AM131)),
SUMPRODUCT(INDEX($AV$56:$AX$65,,$AI131), INDEX($AY$56:$BE$65,,$AH131), 1 / ($BG$56:$BG$65*BY131 + (1-$BG$56:$BG$65)*BU131), N($AU$56:$AU$65&gt;$AM131))
) / 1000</f>
        <v>0</v>
      </c>
      <c r="CA131" s="231">
        <f t="shared" si="316"/>
        <v>20</v>
      </c>
      <c r="CB131" s="229">
        <f t="shared" si="481"/>
        <v>33</v>
      </c>
      <c r="CC131" s="234">
        <f t="shared" si="482"/>
        <v>4.8487499999999999</v>
      </c>
      <c r="CD131" s="234" cm="1">
        <f t="array" ref="CD131">$BM131 * IF($AH131&lt;=2,
SUMPRODUCT(INDEX($AV$61:$AX$65,,$AI131), INDEX($AY$61:$BE$65,,$AH131), 1 / ($BF$61:$BF$65*CC131 + (1-$BF$61:$BF$65)*BY131), N($AU$61:$AU$65&gt;$AM131)),
SUMPRODUCT(INDEX($AV$46:$AX$55,,$AI131), INDEX($AY$46:$BE$55,,$AH131), 1 / ($BG$46:$BG$55*CC131 + (1-$BG$46:$BG$55)*BY131), N($AU$46:$AU$55&gt;$AM131))
) / 1000</f>
        <v>0</v>
      </c>
      <c r="CE131" s="234" cm="1">
        <f t="array" ref="CE131">$BM131 * IF($AH131&lt;=2,
SUMPRODUCT(INDEX($AV$22:$AX$60,,$AI131), INDEX($AY$22:$BE$60,,$AH131), 1 / ($BF$22:$BF$60*CC131), N($AU$22:$AU$60&gt;$AM131)),
SUMPRODUCT(INDEX($AV$22:$AX$45,,$AI131), INDEX($AY$22:$BE$45,,$AH131), 1 / ($BG$22:$BG$45*CC131), N($AU$22:$AU$45&gt;$AM131))
) / 1000</f>
        <v>0</v>
      </c>
      <c r="CF131" s="229">
        <f t="shared" si="483"/>
        <v>0</v>
      </c>
      <c r="CG131" s="246"/>
      <c r="CH131" s="229">
        <f t="shared" si="484"/>
        <v>0</v>
      </c>
      <c r="CI131" s="228">
        <v>35</v>
      </c>
      <c r="CJ131" s="229">
        <f t="shared" si="485"/>
        <v>48</v>
      </c>
      <c r="CK131" s="234">
        <f t="shared" si="486"/>
        <v>3.0748170731707316</v>
      </c>
      <c r="CL131" s="234" cm="1">
        <f t="array" ref="CL131">$BM131 * SUMPRODUCT(INDEX($AV$76:$AX$81,,$AI131),INDEX($AY$76:$BE$81,,$AH131), N($AU$76:$AU$81&gt;$AM131)) / CK131 / 1000</f>
        <v>0</v>
      </c>
      <c r="CM131" s="231">
        <f t="shared" si="323"/>
        <v>30</v>
      </c>
      <c r="CN131" s="229">
        <f t="shared" si="487"/>
        <v>43</v>
      </c>
      <c r="CO131" s="234">
        <f t="shared" si="488"/>
        <v>3.5018750000000001</v>
      </c>
      <c r="CP131" s="234" cm="1">
        <f t="array" ref="CP131">$BM131 * IF($AH131&lt;=2,
SUMPRODUCT(INDEX($AV$71:$AX$75,,$AI131), INDEX($AY$71:$BE$75,,$AH131), 1 / ($BF$71:$BF$75*CO131 + (1-$BF$71:$BF$75)*CK131), N($AU$71:$AU$75&gt;$AM131)),
SUMPRODUCT(INDEX($AV$66:$AX$75,,$AI131), INDEX($AY$66:$BE$75,,$AH131), 1 / ($BG$66:$BG$75*CO131 + (1-$BG$66:$BG$75)*CK131), N($AU$66:$AU$75&gt;$AM131))
) / 1000</f>
        <v>0</v>
      </c>
      <c r="CQ131" s="231">
        <f t="shared" si="326"/>
        <v>25</v>
      </c>
      <c r="CR131" s="229">
        <f t="shared" si="489"/>
        <v>38</v>
      </c>
      <c r="CS131" s="234">
        <f t="shared" si="490"/>
        <v>4.0666935483870965</v>
      </c>
      <c r="CT131" s="234" cm="1">
        <f t="array" ref="CT131">$BM131 * IF($AH131&lt;=2,
SUMPRODUCT(INDEX($AV$66:$AX$70,,$AI131), INDEX($AY$66:$BE$70,,$AH131), 1 / ($BF$66:$BF$70*CS131 + (1-$BF$66:$BF$70)*CO131), N($AU$66:$AU$70&gt;$AM131)),
SUMPRODUCT(INDEX($AV$56:$AX$65,,$AI131), INDEX($AY$56:$BE$65,,$AH131), 1 / ($BG$56:$BG$65*CS131 + (1-$BG$56:$BG$65)*CO131), N($AU$56:$AU$65&gt;$AM131))
) / 1000</f>
        <v>0</v>
      </c>
      <c r="CU131" s="231">
        <f t="shared" si="329"/>
        <v>20</v>
      </c>
      <c r="CV131" s="229">
        <f t="shared" si="491"/>
        <v>33</v>
      </c>
      <c r="CW131" s="234">
        <f t="shared" si="492"/>
        <v>4.8487499999999999</v>
      </c>
      <c r="CX131" s="234" cm="1">
        <f t="array" ref="CX131">$BM131 * IF($AH131&lt;=2,
SUMPRODUCT(INDEX($AV$61:$AX$65,,$AI131), INDEX($AY$61:$BE$65,,$AH131), 1 / ($BF$61:$BF$65*CW131 + (1-$BF$61:$BF$65)*CS131), N($AU$61:$AU$65&gt;$AM131)),
SUMPRODUCT(INDEX($AV$46:$AX$55,,$AI131), INDEX($AY$46:$BE$55,,$AH131), 1 / ($BG$46:$BG$55*CW131 + (1-$BG$46:$BG$55)*CS131), N($AU$46:$AU$55&gt;$AM131))
) / 1000</f>
        <v>0</v>
      </c>
      <c r="CY131" s="234" cm="1">
        <f t="array" ref="CY131">$BM131 * IF($AH131&lt;=2,
SUMPRODUCT(INDEX($AV$22:$AX$60,,$AI131), INDEX($AY$22:$BE$60,,$AH131), 1 / ($BF$22:$BF$60*CW131), N($AU$22:$AU$60&gt;$AM131)),
SUMPRODUCT(INDEX($AV$22:$AX$45,,$AI131), INDEX($AY$22:$BE$45,,$AH131), 1 / ($BG$22:$BG$45*CW131), N($AU$22:$AU$45&gt;$AM131))
) / 1000</f>
        <v>0</v>
      </c>
      <c r="CZ131" s="229">
        <f t="shared" si="493"/>
        <v>0</v>
      </c>
      <c r="DA131" s="246"/>
    </row>
    <row r="132" spans="1:105" s="75" customFormat="1" ht="14.25" customHeight="1" x14ac:dyDescent="0.2">
      <c r="A132" s="230" t="b">
        <f t="shared" si="291"/>
        <v>0</v>
      </c>
      <c r="B132" s="253">
        <v>111</v>
      </c>
      <c r="C132" s="266"/>
      <c r="D132" s="266"/>
      <c r="E132" s="254"/>
      <c r="F132" s="255" t="str">
        <f>IF(ISBLANK(E132), "", VLOOKUP(E132, Z!$A$2:$C$4127, 3, FALSE))</f>
        <v/>
      </c>
      <c r="G132" s="256"/>
      <c r="H132" s="256"/>
      <c r="I132" s="256"/>
      <c r="J132" s="257"/>
      <c r="K132" s="258"/>
      <c r="L132" s="267"/>
      <c r="M132" s="268"/>
      <c r="N132" s="259" t="str" cm="1">
        <f t="array" ref="N132">IF($L132&gt;0, INDEX(Clean,1+AK132,$D$1), "")</f>
        <v/>
      </c>
      <c r="O132" s="260"/>
      <c r="P132" s="260"/>
      <c r="Q132" s="261"/>
      <c r="R132" s="264">
        <f t="shared" si="469"/>
        <v>0</v>
      </c>
      <c r="S132" s="259" t="str" cm="1">
        <f t="array" ref="S132">IF($L132&gt;0, INDEX(Clean,1+AL132,$D$1), "")</f>
        <v/>
      </c>
      <c r="T132" s="260"/>
      <c r="U132" s="260"/>
      <c r="V132" s="261"/>
      <c r="W132" s="267"/>
      <c r="X132" s="267"/>
      <c r="Y132" s="257"/>
      <c r="Z132" s="264">
        <f t="shared" si="470"/>
        <v>0</v>
      </c>
      <c r="AA132" s="269"/>
      <c r="AB132" s="266"/>
      <c r="AC132" s="254"/>
      <c r="AD132" s="255" t="str">
        <f>IF(ISBLANK(AC132), "", VLOOKUP(AC132, Z!$A$2:$C$4127, 3, FALSE))</f>
        <v/>
      </c>
      <c r="AE132" s="270"/>
      <c r="AF132" s="265">
        <f t="shared" si="471"/>
        <v>0</v>
      </c>
      <c r="AG132" s="246"/>
      <c r="AH132" s="228">
        <f t="shared" si="494"/>
        <v>1</v>
      </c>
      <c r="AI132" s="228">
        <f t="shared" si="495"/>
        <v>1</v>
      </c>
      <c r="AJ132" s="228">
        <f t="shared" si="496"/>
        <v>0</v>
      </c>
      <c r="AK132" s="228">
        <v>0</v>
      </c>
      <c r="AL132" s="228">
        <v>0</v>
      </c>
      <c r="AM132" s="228">
        <f t="shared" si="472"/>
        <v>-100</v>
      </c>
      <c r="AN132" s="228" cm="1">
        <f t="array" ref="AN132">IF(ISBLANK(G132), 1, IFERROR(MATCH(G132, INDEX(Kat,,1), 0), IFERROR(MATCH(Kat, INDEX(Use,,2), 0), MATCH(Kat, INDEX(Use,,3), 0))))</f>
        <v>1</v>
      </c>
      <c r="AO132" s="246"/>
      <c r="AP132" s="228" cm="1">
        <f t="array" ref="AP132">IF(W132&gt;0, INDEX(Kat, AN132,4), 0)</f>
        <v>0</v>
      </c>
      <c r="AQ132" s="228">
        <f t="shared" si="497"/>
        <v>0</v>
      </c>
      <c r="AR132" s="228" cm="1">
        <f t="array" ref="AR132">IF(X132&gt;0, INDEX(Kat, $AN132, 4+AQ132), 0)</f>
        <v>0</v>
      </c>
      <c r="AS132" s="228" cm="1">
        <f t="array" ref="AS132">IF(X132&gt;0, INDEX(Kat, $AN132, 9+AQ132), 0)</f>
        <v>0</v>
      </c>
      <c r="AT132" s="246"/>
      <c r="AU132" s="262"/>
      <c r="AV132" s="262"/>
      <c r="AW132" s="263"/>
      <c r="AX132" s="263"/>
      <c r="AY132" s="263"/>
      <c r="AZ132" s="263"/>
      <c r="BA132" s="263"/>
      <c r="BB132" s="263"/>
      <c r="BC132" s="263"/>
      <c r="BD132" s="263"/>
      <c r="BE132" s="263"/>
      <c r="BF132" s="263"/>
      <c r="BG132" s="263"/>
      <c r="BH132" s="246"/>
      <c r="BI132" s="228" cm="1">
        <f t="array" ref="BI132">INDEX(Use, $AH132, 4)</f>
        <v>7</v>
      </c>
      <c r="BJ132" s="228">
        <f t="shared" si="473"/>
        <v>32</v>
      </c>
      <c r="BK132" s="228">
        <f t="shared" si="305"/>
        <v>13</v>
      </c>
      <c r="BL132" s="228">
        <f t="shared" si="306"/>
        <v>0</v>
      </c>
      <c r="BM132" s="233" cm="1">
        <f t="array" ref="BM132">L132/IF($M132&gt;0, INDEX($AY$22:$BE$76, $M132+20, $AH132), 1)</f>
        <v>0</v>
      </c>
      <c r="BN132" s="229">
        <f t="shared" si="474"/>
        <v>0</v>
      </c>
      <c r="BO132" s="228">
        <v>35</v>
      </c>
      <c r="BP132" s="229">
        <f t="shared" si="475"/>
        <v>48</v>
      </c>
      <c r="BQ132" s="234">
        <f t="shared" si="476"/>
        <v>3.0748170731707316</v>
      </c>
      <c r="BR132" s="234" cm="1">
        <f t="array" ref="BR132">$BM132 * SUMPRODUCT(INDEX($AV$76:$AX$81,,$AI132),INDEX($AY$76:$BE$81,,$AH132), N($AU$76:$AU$81&gt;$AM132)) / BQ132 / 1000</f>
        <v>0</v>
      </c>
      <c r="BS132" s="231">
        <f t="shared" si="310"/>
        <v>30</v>
      </c>
      <c r="BT132" s="229">
        <f t="shared" si="477"/>
        <v>43</v>
      </c>
      <c r="BU132" s="234">
        <f t="shared" si="478"/>
        <v>3.5018750000000001</v>
      </c>
      <c r="BV132" s="234" cm="1">
        <f t="array" ref="BV132">$BM132 * IF($AH132&lt;=2,
SUMPRODUCT(INDEX($AV$71:$AX$75,,$AI132), INDEX($AY$71:$BE$75,,$AH132), 1 / ($BF$71:$BF$75*BU132 + (1-$BF$71:$BF$75)*BQ132), N($AU$71:$AU$75&gt;$AM132)),
SUMPRODUCT(INDEX($AV$66:$AX$75,,$AI132), INDEX($AY$66:$BE$75,,$AH132), 1 / ($BG$66:$BG$75*BU132 + (1-$BG$66:$BG$75)*BQ132), N($AU$66:$AU$75&gt;$AM132))
) / 1000</f>
        <v>0</v>
      </c>
      <c r="BW132" s="231">
        <f t="shared" si="313"/>
        <v>25</v>
      </c>
      <c r="BX132" s="229">
        <f t="shared" si="479"/>
        <v>38</v>
      </c>
      <c r="BY132" s="234">
        <f t="shared" si="480"/>
        <v>4.0666935483870965</v>
      </c>
      <c r="BZ132" s="234" cm="1">
        <f t="array" ref="BZ132">$BM132 * IF($AH132&lt;=2,
SUMPRODUCT(INDEX($AV$66:$AX$70,,$AI132), INDEX($AY$66:$BE$70,,$AH132), 1 / ($BF$66:$BF$70*BY132 + (1-$BF$66:$BF$70)*BU132), N($AU$66:$AU$70&gt;$AM132)),
SUMPRODUCT(INDEX($AV$56:$AX$65,,$AI132), INDEX($AY$56:$BE$65,,$AH132), 1 / ($BG$56:$BG$65*BY132 + (1-$BG$56:$BG$65)*BU132), N($AU$56:$AU$65&gt;$AM132))
) / 1000</f>
        <v>0</v>
      </c>
      <c r="CA132" s="231">
        <f t="shared" si="316"/>
        <v>20</v>
      </c>
      <c r="CB132" s="229">
        <f t="shared" si="481"/>
        <v>33</v>
      </c>
      <c r="CC132" s="234">
        <f t="shared" si="482"/>
        <v>4.8487499999999999</v>
      </c>
      <c r="CD132" s="234" cm="1">
        <f t="array" ref="CD132">$BM132 * IF($AH132&lt;=2,
SUMPRODUCT(INDEX($AV$61:$AX$65,,$AI132), INDEX($AY$61:$BE$65,,$AH132), 1 / ($BF$61:$BF$65*CC132 + (1-$BF$61:$BF$65)*BY132), N($AU$61:$AU$65&gt;$AM132)),
SUMPRODUCT(INDEX($AV$46:$AX$55,,$AI132), INDEX($AY$46:$BE$55,,$AH132), 1 / ($BG$46:$BG$55*CC132 + (1-$BG$46:$BG$55)*BY132), N($AU$46:$AU$55&gt;$AM132))
) / 1000</f>
        <v>0</v>
      </c>
      <c r="CE132" s="234" cm="1">
        <f t="array" ref="CE132">$BM132 * IF($AH132&lt;=2,
SUMPRODUCT(INDEX($AV$22:$AX$60,,$AI132), INDEX($AY$22:$BE$60,,$AH132), 1 / ($BF$22:$BF$60*CC132), N($AU$22:$AU$60&gt;$AM132)),
SUMPRODUCT(INDEX($AV$22:$AX$45,,$AI132), INDEX($AY$22:$BE$45,,$AH132), 1 / ($BG$22:$BG$45*CC132), N($AU$22:$AU$45&gt;$AM132))
) / 1000</f>
        <v>0</v>
      </c>
      <c r="CF132" s="229">
        <f t="shared" si="483"/>
        <v>0</v>
      </c>
      <c r="CG132" s="246"/>
      <c r="CH132" s="229">
        <f t="shared" si="484"/>
        <v>0</v>
      </c>
      <c r="CI132" s="228">
        <v>35</v>
      </c>
      <c r="CJ132" s="229">
        <f t="shared" si="485"/>
        <v>48</v>
      </c>
      <c r="CK132" s="234">
        <f t="shared" si="486"/>
        <v>3.0748170731707316</v>
      </c>
      <c r="CL132" s="234" cm="1">
        <f t="array" ref="CL132">$BM132 * SUMPRODUCT(INDEX($AV$76:$AX$81,,$AI132),INDEX($AY$76:$BE$81,,$AH132), N($AU$76:$AU$81&gt;$AM132)) / CK132 / 1000</f>
        <v>0</v>
      </c>
      <c r="CM132" s="231">
        <f t="shared" si="323"/>
        <v>30</v>
      </c>
      <c r="CN132" s="229">
        <f t="shared" si="487"/>
        <v>43</v>
      </c>
      <c r="CO132" s="234">
        <f t="shared" si="488"/>
        <v>3.5018750000000001</v>
      </c>
      <c r="CP132" s="234" cm="1">
        <f t="array" ref="CP132">$BM132 * IF($AH132&lt;=2,
SUMPRODUCT(INDEX($AV$71:$AX$75,,$AI132), INDEX($AY$71:$BE$75,,$AH132), 1 / ($BF$71:$BF$75*CO132 + (1-$BF$71:$BF$75)*CK132), N($AU$71:$AU$75&gt;$AM132)),
SUMPRODUCT(INDEX($AV$66:$AX$75,,$AI132), INDEX($AY$66:$BE$75,,$AH132), 1 / ($BG$66:$BG$75*CO132 + (1-$BG$66:$BG$75)*CK132), N($AU$66:$AU$75&gt;$AM132))
) / 1000</f>
        <v>0</v>
      </c>
      <c r="CQ132" s="231">
        <f t="shared" si="326"/>
        <v>25</v>
      </c>
      <c r="CR132" s="229">
        <f t="shared" si="489"/>
        <v>38</v>
      </c>
      <c r="CS132" s="234">
        <f t="shared" si="490"/>
        <v>4.0666935483870965</v>
      </c>
      <c r="CT132" s="234" cm="1">
        <f t="array" ref="CT132">$BM132 * IF($AH132&lt;=2,
SUMPRODUCT(INDEX($AV$66:$AX$70,,$AI132), INDEX($AY$66:$BE$70,,$AH132), 1 / ($BF$66:$BF$70*CS132 + (1-$BF$66:$BF$70)*CO132), N($AU$66:$AU$70&gt;$AM132)),
SUMPRODUCT(INDEX($AV$56:$AX$65,,$AI132), INDEX($AY$56:$BE$65,,$AH132), 1 / ($BG$56:$BG$65*CS132 + (1-$BG$56:$BG$65)*CO132), N($AU$56:$AU$65&gt;$AM132))
) / 1000</f>
        <v>0</v>
      </c>
      <c r="CU132" s="231">
        <f t="shared" si="329"/>
        <v>20</v>
      </c>
      <c r="CV132" s="229">
        <f t="shared" si="491"/>
        <v>33</v>
      </c>
      <c r="CW132" s="234">
        <f t="shared" si="492"/>
        <v>4.8487499999999999</v>
      </c>
      <c r="CX132" s="234" cm="1">
        <f t="array" ref="CX132">$BM132 * IF($AH132&lt;=2,
SUMPRODUCT(INDEX($AV$61:$AX$65,,$AI132), INDEX($AY$61:$BE$65,,$AH132), 1 / ($BF$61:$BF$65*CW132 + (1-$BF$61:$BF$65)*CS132), N($AU$61:$AU$65&gt;$AM132)),
SUMPRODUCT(INDEX($AV$46:$AX$55,,$AI132), INDEX($AY$46:$BE$55,,$AH132), 1 / ($BG$46:$BG$55*CW132 + (1-$BG$46:$BG$55)*CS132), N($AU$46:$AU$55&gt;$AM132))
) / 1000</f>
        <v>0</v>
      </c>
      <c r="CY132" s="234" cm="1">
        <f t="array" ref="CY132">$BM132 * IF($AH132&lt;=2,
SUMPRODUCT(INDEX($AV$22:$AX$60,,$AI132), INDEX($AY$22:$BE$60,,$AH132), 1 / ($BF$22:$BF$60*CW132), N($AU$22:$AU$60&gt;$AM132)),
SUMPRODUCT(INDEX($AV$22:$AX$45,,$AI132), INDEX($AY$22:$BE$45,,$AH132), 1 / ($BG$22:$BG$45*CW132), N($AU$22:$AU$45&gt;$AM132))
) / 1000</f>
        <v>0</v>
      </c>
      <c r="CZ132" s="229">
        <f t="shared" si="493"/>
        <v>0</v>
      </c>
      <c r="DA132" s="246"/>
    </row>
    <row r="133" spans="1:105" s="75" customFormat="1" ht="14.25" customHeight="1" x14ac:dyDescent="0.2">
      <c r="A133" s="230" t="b">
        <f t="shared" si="291"/>
        <v>0</v>
      </c>
      <c r="B133" s="253">
        <v>112</v>
      </c>
      <c r="C133" s="266"/>
      <c r="D133" s="266"/>
      <c r="E133" s="254"/>
      <c r="F133" s="255" t="str">
        <f>IF(ISBLANK(E133), "", VLOOKUP(E133, Z!$A$2:$C$4127, 3, FALSE))</f>
        <v/>
      </c>
      <c r="G133" s="256"/>
      <c r="H133" s="256"/>
      <c r="I133" s="256"/>
      <c r="J133" s="257"/>
      <c r="K133" s="258"/>
      <c r="L133" s="267"/>
      <c r="M133" s="268"/>
      <c r="N133" s="259" t="str" cm="1">
        <f t="array" ref="N133">IF($L133&gt;0, INDEX(Clean,1+AK133,$D$1), "")</f>
        <v/>
      </c>
      <c r="O133" s="260"/>
      <c r="P133" s="260"/>
      <c r="Q133" s="261"/>
      <c r="R133" s="264">
        <f t="shared" si="469"/>
        <v>0</v>
      </c>
      <c r="S133" s="259" t="str" cm="1">
        <f t="array" ref="S133">IF($L133&gt;0, INDEX(Clean,1+AL133,$D$1), "")</f>
        <v/>
      </c>
      <c r="T133" s="260"/>
      <c r="U133" s="260"/>
      <c r="V133" s="261"/>
      <c r="W133" s="267"/>
      <c r="X133" s="267"/>
      <c r="Y133" s="257"/>
      <c r="Z133" s="264">
        <f t="shared" si="470"/>
        <v>0</v>
      </c>
      <c r="AA133" s="269"/>
      <c r="AB133" s="266"/>
      <c r="AC133" s="254"/>
      <c r="AD133" s="255" t="str">
        <f>IF(ISBLANK(AC133), "", VLOOKUP(AC133, Z!$A$2:$C$4127, 3, FALSE))</f>
        <v/>
      </c>
      <c r="AE133" s="270"/>
      <c r="AF133" s="265">
        <f t="shared" si="471"/>
        <v>0</v>
      </c>
      <c r="AG133" s="246"/>
      <c r="AH133" s="228">
        <f t="shared" si="494"/>
        <v>1</v>
      </c>
      <c r="AI133" s="228">
        <f t="shared" si="495"/>
        <v>1</v>
      </c>
      <c r="AJ133" s="228">
        <f t="shared" si="496"/>
        <v>0</v>
      </c>
      <c r="AK133" s="228">
        <v>0</v>
      </c>
      <c r="AL133" s="228">
        <v>0</v>
      </c>
      <c r="AM133" s="228">
        <f t="shared" si="472"/>
        <v>-100</v>
      </c>
      <c r="AN133" s="228" cm="1">
        <f t="array" ref="AN133">IF(ISBLANK(G133), 1, IFERROR(MATCH(G133, INDEX(Kat,,1), 0), IFERROR(MATCH(Kat, INDEX(Use,,2), 0), MATCH(Kat, INDEX(Use,,3), 0))))</f>
        <v>1</v>
      </c>
      <c r="AO133" s="246"/>
      <c r="AP133" s="228" cm="1">
        <f t="array" ref="AP133">IF(W133&gt;0, INDEX(Kat, AN133,4), 0)</f>
        <v>0</v>
      </c>
      <c r="AQ133" s="228">
        <f t="shared" si="497"/>
        <v>0</v>
      </c>
      <c r="AR133" s="228" cm="1">
        <f t="array" ref="AR133">IF(X133&gt;0, INDEX(Kat, $AN133, 4+AQ133), 0)</f>
        <v>0</v>
      </c>
      <c r="AS133" s="228" cm="1">
        <f t="array" ref="AS133">IF(X133&gt;0, INDEX(Kat, $AN133, 9+AQ133), 0)</f>
        <v>0</v>
      </c>
      <c r="AT133" s="246"/>
      <c r="AU133" s="262"/>
      <c r="AV133" s="262"/>
      <c r="AW133" s="263"/>
      <c r="AX133" s="263"/>
      <c r="AY133" s="263"/>
      <c r="AZ133" s="263"/>
      <c r="BA133" s="263"/>
      <c r="BB133" s="263"/>
      <c r="BC133" s="263"/>
      <c r="BD133" s="263"/>
      <c r="BE133" s="263"/>
      <c r="BF133" s="263"/>
      <c r="BG133" s="263"/>
      <c r="BH133" s="246"/>
      <c r="BI133" s="228" cm="1">
        <f t="array" ref="BI133">INDEX(Use, $AH133, 4)</f>
        <v>7</v>
      </c>
      <c r="BJ133" s="228">
        <f t="shared" si="473"/>
        <v>32</v>
      </c>
      <c r="BK133" s="228">
        <f t="shared" si="305"/>
        <v>13</v>
      </c>
      <c r="BL133" s="228">
        <f t="shared" si="306"/>
        <v>0</v>
      </c>
      <c r="BM133" s="233" cm="1">
        <f t="array" ref="BM133">L133/IF($M133&gt;0, INDEX($AY$22:$BE$76, $M133+20, $AH133), 1)</f>
        <v>0</v>
      </c>
      <c r="BN133" s="229">
        <f t="shared" si="474"/>
        <v>0</v>
      </c>
      <c r="BO133" s="228">
        <v>35</v>
      </c>
      <c r="BP133" s="229">
        <f t="shared" si="475"/>
        <v>48</v>
      </c>
      <c r="BQ133" s="234">
        <f t="shared" si="476"/>
        <v>3.0748170731707316</v>
      </c>
      <c r="BR133" s="234" cm="1">
        <f t="array" ref="BR133">$BM133 * SUMPRODUCT(INDEX($AV$76:$AX$81,,$AI133),INDEX($AY$76:$BE$81,,$AH133), N($AU$76:$AU$81&gt;$AM133)) / BQ133 / 1000</f>
        <v>0</v>
      </c>
      <c r="BS133" s="231">
        <f t="shared" si="310"/>
        <v>30</v>
      </c>
      <c r="BT133" s="229">
        <f t="shared" si="477"/>
        <v>43</v>
      </c>
      <c r="BU133" s="234">
        <f t="shared" si="478"/>
        <v>3.5018750000000001</v>
      </c>
      <c r="BV133" s="234" cm="1">
        <f t="array" ref="BV133">$BM133 * IF($AH133&lt;=2,
SUMPRODUCT(INDEX($AV$71:$AX$75,,$AI133), INDEX($AY$71:$BE$75,,$AH133), 1 / ($BF$71:$BF$75*BU133 + (1-$BF$71:$BF$75)*BQ133), N($AU$71:$AU$75&gt;$AM133)),
SUMPRODUCT(INDEX($AV$66:$AX$75,,$AI133), INDEX($AY$66:$BE$75,,$AH133), 1 / ($BG$66:$BG$75*BU133 + (1-$BG$66:$BG$75)*BQ133), N($AU$66:$AU$75&gt;$AM133))
) / 1000</f>
        <v>0</v>
      </c>
      <c r="BW133" s="231">
        <f t="shared" si="313"/>
        <v>25</v>
      </c>
      <c r="BX133" s="229">
        <f t="shared" si="479"/>
        <v>38</v>
      </c>
      <c r="BY133" s="234">
        <f t="shared" si="480"/>
        <v>4.0666935483870965</v>
      </c>
      <c r="BZ133" s="234" cm="1">
        <f t="array" ref="BZ133">$BM133 * IF($AH133&lt;=2,
SUMPRODUCT(INDEX($AV$66:$AX$70,,$AI133), INDEX($AY$66:$BE$70,,$AH133), 1 / ($BF$66:$BF$70*BY133 + (1-$BF$66:$BF$70)*BU133), N($AU$66:$AU$70&gt;$AM133)),
SUMPRODUCT(INDEX($AV$56:$AX$65,,$AI133), INDEX($AY$56:$BE$65,,$AH133), 1 / ($BG$56:$BG$65*BY133 + (1-$BG$56:$BG$65)*BU133), N($AU$56:$AU$65&gt;$AM133))
) / 1000</f>
        <v>0</v>
      </c>
      <c r="CA133" s="231">
        <f t="shared" si="316"/>
        <v>20</v>
      </c>
      <c r="CB133" s="229">
        <f t="shared" si="481"/>
        <v>33</v>
      </c>
      <c r="CC133" s="234">
        <f t="shared" si="482"/>
        <v>4.8487499999999999</v>
      </c>
      <c r="CD133" s="234" cm="1">
        <f t="array" ref="CD133">$BM133 * IF($AH133&lt;=2,
SUMPRODUCT(INDEX($AV$61:$AX$65,,$AI133), INDEX($AY$61:$BE$65,,$AH133), 1 / ($BF$61:$BF$65*CC133 + (1-$BF$61:$BF$65)*BY133), N($AU$61:$AU$65&gt;$AM133)),
SUMPRODUCT(INDEX($AV$46:$AX$55,,$AI133), INDEX($AY$46:$BE$55,,$AH133), 1 / ($BG$46:$BG$55*CC133 + (1-$BG$46:$BG$55)*BY133), N($AU$46:$AU$55&gt;$AM133))
) / 1000</f>
        <v>0</v>
      </c>
      <c r="CE133" s="234" cm="1">
        <f t="array" ref="CE133">$BM133 * IF($AH133&lt;=2,
SUMPRODUCT(INDEX($AV$22:$AX$60,,$AI133), INDEX($AY$22:$BE$60,,$AH133), 1 / ($BF$22:$BF$60*CC133), N($AU$22:$AU$60&gt;$AM133)),
SUMPRODUCT(INDEX($AV$22:$AX$45,,$AI133), INDEX($AY$22:$BE$45,,$AH133), 1 / ($BG$22:$BG$45*CC133), N($AU$22:$AU$45&gt;$AM133))
) / 1000</f>
        <v>0</v>
      </c>
      <c r="CF133" s="229">
        <f t="shared" si="483"/>
        <v>0</v>
      </c>
      <c r="CG133" s="246"/>
      <c r="CH133" s="229">
        <f t="shared" si="484"/>
        <v>0</v>
      </c>
      <c r="CI133" s="228">
        <v>35</v>
      </c>
      <c r="CJ133" s="229">
        <f t="shared" si="485"/>
        <v>48</v>
      </c>
      <c r="CK133" s="234">
        <f t="shared" si="486"/>
        <v>3.0748170731707316</v>
      </c>
      <c r="CL133" s="234" cm="1">
        <f t="array" ref="CL133">$BM133 * SUMPRODUCT(INDEX($AV$76:$AX$81,,$AI133),INDEX($AY$76:$BE$81,,$AH133), N($AU$76:$AU$81&gt;$AM133)) / CK133 / 1000</f>
        <v>0</v>
      </c>
      <c r="CM133" s="231">
        <f t="shared" si="323"/>
        <v>30</v>
      </c>
      <c r="CN133" s="229">
        <f t="shared" si="487"/>
        <v>43</v>
      </c>
      <c r="CO133" s="234">
        <f t="shared" si="488"/>
        <v>3.5018750000000001</v>
      </c>
      <c r="CP133" s="234" cm="1">
        <f t="array" ref="CP133">$BM133 * IF($AH133&lt;=2,
SUMPRODUCT(INDEX($AV$71:$AX$75,,$AI133), INDEX($AY$71:$BE$75,,$AH133), 1 / ($BF$71:$BF$75*CO133 + (1-$BF$71:$BF$75)*CK133), N($AU$71:$AU$75&gt;$AM133)),
SUMPRODUCT(INDEX($AV$66:$AX$75,,$AI133), INDEX($AY$66:$BE$75,,$AH133), 1 / ($BG$66:$BG$75*CO133 + (1-$BG$66:$BG$75)*CK133), N($AU$66:$AU$75&gt;$AM133))
) / 1000</f>
        <v>0</v>
      </c>
      <c r="CQ133" s="231">
        <f t="shared" si="326"/>
        <v>25</v>
      </c>
      <c r="CR133" s="229">
        <f t="shared" si="489"/>
        <v>38</v>
      </c>
      <c r="CS133" s="234">
        <f t="shared" si="490"/>
        <v>4.0666935483870965</v>
      </c>
      <c r="CT133" s="234" cm="1">
        <f t="array" ref="CT133">$BM133 * IF($AH133&lt;=2,
SUMPRODUCT(INDEX($AV$66:$AX$70,,$AI133), INDEX($AY$66:$BE$70,,$AH133), 1 / ($BF$66:$BF$70*CS133 + (1-$BF$66:$BF$70)*CO133), N($AU$66:$AU$70&gt;$AM133)),
SUMPRODUCT(INDEX($AV$56:$AX$65,,$AI133), INDEX($AY$56:$BE$65,,$AH133), 1 / ($BG$56:$BG$65*CS133 + (1-$BG$56:$BG$65)*CO133), N($AU$56:$AU$65&gt;$AM133))
) / 1000</f>
        <v>0</v>
      </c>
      <c r="CU133" s="231">
        <f t="shared" si="329"/>
        <v>20</v>
      </c>
      <c r="CV133" s="229">
        <f t="shared" si="491"/>
        <v>33</v>
      </c>
      <c r="CW133" s="234">
        <f t="shared" si="492"/>
        <v>4.8487499999999999</v>
      </c>
      <c r="CX133" s="234" cm="1">
        <f t="array" ref="CX133">$BM133 * IF($AH133&lt;=2,
SUMPRODUCT(INDEX($AV$61:$AX$65,,$AI133), INDEX($AY$61:$BE$65,,$AH133), 1 / ($BF$61:$BF$65*CW133 + (1-$BF$61:$BF$65)*CS133), N($AU$61:$AU$65&gt;$AM133)),
SUMPRODUCT(INDEX($AV$46:$AX$55,,$AI133), INDEX($AY$46:$BE$55,,$AH133), 1 / ($BG$46:$BG$55*CW133 + (1-$BG$46:$BG$55)*CS133), N($AU$46:$AU$55&gt;$AM133))
) / 1000</f>
        <v>0</v>
      </c>
      <c r="CY133" s="234" cm="1">
        <f t="array" ref="CY133">$BM133 * IF($AH133&lt;=2,
SUMPRODUCT(INDEX($AV$22:$AX$60,,$AI133), INDEX($AY$22:$BE$60,,$AH133), 1 / ($BF$22:$BF$60*CW133), N($AU$22:$AU$60&gt;$AM133)),
SUMPRODUCT(INDEX($AV$22:$AX$45,,$AI133), INDEX($AY$22:$BE$45,,$AH133), 1 / ($BG$22:$BG$45*CW133), N($AU$22:$AU$45&gt;$AM133))
) / 1000</f>
        <v>0</v>
      </c>
      <c r="CZ133" s="229">
        <f t="shared" si="493"/>
        <v>0</v>
      </c>
      <c r="DA133" s="246"/>
    </row>
    <row r="134" spans="1:105" s="75" customFormat="1" ht="14.25" customHeight="1" x14ac:dyDescent="0.2">
      <c r="A134" s="230" t="b">
        <f t="shared" si="291"/>
        <v>0</v>
      </c>
      <c r="B134" s="253">
        <v>113</v>
      </c>
      <c r="C134" s="266"/>
      <c r="D134" s="266"/>
      <c r="E134" s="254"/>
      <c r="F134" s="255" t="str">
        <f>IF(ISBLANK(E134), "", VLOOKUP(E134, Z!$A$2:$C$4127, 3, FALSE))</f>
        <v/>
      </c>
      <c r="G134" s="256"/>
      <c r="H134" s="256"/>
      <c r="I134" s="256"/>
      <c r="J134" s="257"/>
      <c r="K134" s="258"/>
      <c r="L134" s="267"/>
      <c r="M134" s="268"/>
      <c r="N134" s="259" t="str" cm="1">
        <f t="array" ref="N134">IF($L134&gt;0, INDEX(Clean,1+AK134,$D$1), "")</f>
        <v/>
      </c>
      <c r="O134" s="260"/>
      <c r="P134" s="260"/>
      <c r="Q134" s="261"/>
      <c r="R134" s="264">
        <f t="shared" si="469"/>
        <v>0</v>
      </c>
      <c r="S134" s="259" t="str" cm="1">
        <f t="array" ref="S134">IF($L134&gt;0, INDEX(Clean,1+AL134,$D$1), "")</f>
        <v/>
      </c>
      <c r="T134" s="260"/>
      <c r="U134" s="260"/>
      <c r="V134" s="261"/>
      <c r="W134" s="267"/>
      <c r="X134" s="267"/>
      <c r="Y134" s="257"/>
      <c r="Z134" s="264">
        <f t="shared" si="470"/>
        <v>0</v>
      </c>
      <c r="AA134" s="269"/>
      <c r="AB134" s="266"/>
      <c r="AC134" s="254"/>
      <c r="AD134" s="255" t="str">
        <f>IF(ISBLANK(AC134), "", VLOOKUP(AC134, Z!$A$2:$C$4127, 3, FALSE))</f>
        <v/>
      </c>
      <c r="AE134" s="270"/>
      <c r="AF134" s="265">
        <f t="shared" si="471"/>
        <v>0</v>
      </c>
      <c r="AG134" s="246"/>
      <c r="AH134" s="228">
        <f t="shared" si="494"/>
        <v>1</v>
      </c>
      <c r="AI134" s="228">
        <f t="shared" si="495"/>
        <v>1</v>
      </c>
      <c r="AJ134" s="228">
        <f t="shared" si="496"/>
        <v>0</v>
      </c>
      <c r="AK134" s="228">
        <v>0</v>
      </c>
      <c r="AL134" s="228">
        <v>0</v>
      </c>
      <c r="AM134" s="228">
        <f t="shared" si="472"/>
        <v>-100</v>
      </c>
      <c r="AN134" s="228" cm="1">
        <f t="array" ref="AN134">IF(ISBLANK(G134), 1, IFERROR(MATCH(G134, INDEX(Kat,,1), 0), IFERROR(MATCH(Kat, INDEX(Use,,2), 0), MATCH(Kat, INDEX(Use,,3), 0))))</f>
        <v>1</v>
      </c>
      <c r="AO134" s="246"/>
      <c r="AP134" s="228" cm="1">
        <f t="array" ref="AP134">IF(W134&gt;0, INDEX(Kat, AN134,4), 0)</f>
        <v>0</v>
      </c>
      <c r="AQ134" s="228">
        <f t="shared" si="497"/>
        <v>0</v>
      </c>
      <c r="AR134" s="228" cm="1">
        <f t="array" ref="AR134">IF(X134&gt;0, INDEX(Kat, $AN134, 4+AQ134), 0)</f>
        <v>0</v>
      </c>
      <c r="AS134" s="228" cm="1">
        <f t="array" ref="AS134">IF(X134&gt;0, INDEX(Kat, $AN134, 9+AQ134), 0)</f>
        <v>0</v>
      </c>
      <c r="AT134" s="246"/>
      <c r="AU134" s="262"/>
      <c r="AV134" s="262"/>
      <c r="AW134" s="263"/>
      <c r="AX134" s="263"/>
      <c r="AY134" s="263"/>
      <c r="AZ134" s="263"/>
      <c r="BA134" s="263"/>
      <c r="BB134" s="263"/>
      <c r="BC134" s="263"/>
      <c r="BD134" s="263"/>
      <c r="BE134" s="263"/>
      <c r="BF134" s="263"/>
      <c r="BG134" s="263"/>
      <c r="BH134" s="246"/>
      <c r="BI134" s="228" cm="1">
        <f t="array" ref="BI134">INDEX(Use, $AH134, 4)</f>
        <v>7</v>
      </c>
      <c r="BJ134" s="228">
        <f t="shared" si="473"/>
        <v>32</v>
      </c>
      <c r="BK134" s="228">
        <f t="shared" si="305"/>
        <v>13</v>
      </c>
      <c r="BL134" s="228">
        <f t="shared" si="306"/>
        <v>0</v>
      </c>
      <c r="BM134" s="233" cm="1">
        <f t="array" ref="BM134">L134/IF($M134&gt;0, INDEX($AY$22:$BE$76, $M134+20, $AH134), 1)</f>
        <v>0</v>
      </c>
      <c r="BN134" s="229">
        <f t="shared" si="474"/>
        <v>0</v>
      </c>
      <c r="BO134" s="228">
        <v>35</v>
      </c>
      <c r="BP134" s="229">
        <f t="shared" si="475"/>
        <v>48</v>
      </c>
      <c r="BQ134" s="234">
        <f t="shared" si="476"/>
        <v>3.0748170731707316</v>
      </c>
      <c r="BR134" s="234" cm="1">
        <f t="array" ref="BR134">$BM134 * SUMPRODUCT(INDEX($AV$76:$AX$81,,$AI134),INDEX($AY$76:$BE$81,,$AH134), N($AU$76:$AU$81&gt;$AM134)) / BQ134 / 1000</f>
        <v>0</v>
      </c>
      <c r="BS134" s="231">
        <f t="shared" si="310"/>
        <v>30</v>
      </c>
      <c r="BT134" s="229">
        <f t="shared" si="477"/>
        <v>43</v>
      </c>
      <c r="BU134" s="234">
        <f t="shared" si="478"/>
        <v>3.5018750000000001</v>
      </c>
      <c r="BV134" s="234" cm="1">
        <f t="array" ref="BV134">$BM134 * IF($AH134&lt;=2,
SUMPRODUCT(INDEX($AV$71:$AX$75,,$AI134), INDEX($AY$71:$BE$75,,$AH134), 1 / ($BF$71:$BF$75*BU134 + (1-$BF$71:$BF$75)*BQ134), N($AU$71:$AU$75&gt;$AM134)),
SUMPRODUCT(INDEX($AV$66:$AX$75,,$AI134), INDEX($AY$66:$BE$75,,$AH134), 1 / ($BG$66:$BG$75*BU134 + (1-$BG$66:$BG$75)*BQ134), N($AU$66:$AU$75&gt;$AM134))
) / 1000</f>
        <v>0</v>
      </c>
      <c r="BW134" s="231">
        <f t="shared" si="313"/>
        <v>25</v>
      </c>
      <c r="BX134" s="229">
        <f t="shared" si="479"/>
        <v>38</v>
      </c>
      <c r="BY134" s="234">
        <f t="shared" si="480"/>
        <v>4.0666935483870965</v>
      </c>
      <c r="BZ134" s="234" cm="1">
        <f t="array" ref="BZ134">$BM134 * IF($AH134&lt;=2,
SUMPRODUCT(INDEX($AV$66:$AX$70,,$AI134), INDEX($AY$66:$BE$70,,$AH134), 1 / ($BF$66:$BF$70*BY134 + (1-$BF$66:$BF$70)*BU134), N($AU$66:$AU$70&gt;$AM134)),
SUMPRODUCT(INDEX($AV$56:$AX$65,,$AI134), INDEX($AY$56:$BE$65,,$AH134), 1 / ($BG$56:$BG$65*BY134 + (1-$BG$56:$BG$65)*BU134), N($AU$56:$AU$65&gt;$AM134))
) / 1000</f>
        <v>0</v>
      </c>
      <c r="CA134" s="231">
        <f t="shared" si="316"/>
        <v>20</v>
      </c>
      <c r="CB134" s="229">
        <f t="shared" si="481"/>
        <v>33</v>
      </c>
      <c r="CC134" s="234">
        <f t="shared" si="482"/>
        <v>4.8487499999999999</v>
      </c>
      <c r="CD134" s="234" cm="1">
        <f t="array" ref="CD134">$BM134 * IF($AH134&lt;=2,
SUMPRODUCT(INDEX($AV$61:$AX$65,,$AI134), INDEX($AY$61:$BE$65,,$AH134), 1 / ($BF$61:$BF$65*CC134 + (1-$BF$61:$BF$65)*BY134), N($AU$61:$AU$65&gt;$AM134)),
SUMPRODUCT(INDEX($AV$46:$AX$55,,$AI134), INDEX($AY$46:$BE$55,,$AH134), 1 / ($BG$46:$BG$55*CC134 + (1-$BG$46:$BG$55)*BY134), N($AU$46:$AU$55&gt;$AM134))
) / 1000</f>
        <v>0</v>
      </c>
      <c r="CE134" s="234" cm="1">
        <f t="array" ref="CE134">$BM134 * IF($AH134&lt;=2,
SUMPRODUCT(INDEX($AV$22:$AX$60,,$AI134), INDEX($AY$22:$BE$60,,$AH134), 1 / ($BF$22:$BF$60*CC134), N($AU$22:$AU$60&gt;$AM134)),
SUMPRODUCT(INDEX($AV$22:$AX$45,,$AI134), INDEX($AY$22:$BE$45,,$AH134), 1 / ($BG$22:$BG$45*CC134), N($AU$22:$AU$45&gt;$AM134))
) / 1000</f>
        <v>0</v>
      </c>
      <c r="CF134" s="229">
        <f t="shared" si="483"/>
        <v>0</v>
      </c>
      <c r="CG134" s="246"/>
      <c r="CH134" s="229">
        <f t="shared" si="484"/>
        <v>0</v>
      </c>
      <c r="CI134" s="228">
        <v>35</v>
      </c>
      <c r="CJ134" s="229">
        <f t="shared" si="485"/>
        <v>48</v>
      </c>
      <c r="CK134" s="234">
        <f t="shared" si="486"/>
        <v>3.0748170731707316</v>
      </c>
      <c r="CL134" s="234" cm="1">
        <f t="array" ref="CL134">$BM134 * SUMPRODUCT(INDEX($AV$76:$AX$81,,$AI134),INDEX($AY$76:$BE$81,,$AH134), N($AU$76:$AU$81&gt;$AM134)) / CK134 / 1000</f>
        <v>0</v>
      </c>
      <c r="CM134" s="231">
        <f t="shared" si="323"/>
        <v>30</v>
      </c>
      <c r="CN134" s="229">
        <f t="shared" si="487"/>
        <v>43</v>
      </c>
      <c r="CO134" s="234">
        <f t="shared" si="488"/>
        <v>3.5018750000000001</v>
      </c>
      <c r="CP134" s="234" cm="1">
        <f t="array" ref="CP134">$BM134 * IF($AH134&lt;=2,
SUMPRODUCT(INDEX($AV$71:$AX$75,,$AI134), INDEX($AY$71:$BE$75,,$AH134), 1 / ($BF$71:$BF$75*CO134 + (1-$BF$71:$BF$75)*CK134), N($AU$71:$AU$75&gt;$AM134)),
SUMPRODUCT(INDEX($AV$66:$AX$75,,$AI134), INDEX($AY$66:$BE$75,,$AH134), 1 / ($BG$66:$BG$75*CO134 + (1-$BG$66:$BG$75)*CK134), N($AU$66:$AU$75&gt;$AM134))
) / 1000</f>
        <v>0</v>
      </c>
      <c r="CQ134" s="231">
        <f t="shared" si="326"/>
        <v>25</v>
      </c>
      <c r="CR134" s="229">
        <f t="shared" si="489"/>
        <v>38</v>
      </c>
      <c r="CS134" s="234">
        <f t="shared" si="490"/>
        <v>4.0666935483870965</v>
      </c>
      <c r="CT134" s="234" cm="1">
        <f t="array" ref="CT134">$BM134 * IF($AH134&lt;=2,
SUMPRODUCT(INDEX($AV$66:$AX$70,,$AI134), INDEX($AY$66:$BE$70,,$AH134), 1 / ($BF$66:$BF$70*CS134 + (1-$BF$66:$BF$70)*CO134), N($AU$66:$AU$70&gt;$AM134)),
SUMPRODUCT(INDEX($AV$56:$AX$65,,$AI134), INDEX($AY$56:$BE$65,,$AH134), 1 / ($BG$56:$BG$65*CS134 + (1-$BG$56:$BG$65)*CO134), N($AU$56:$AU$65&gt;$AM134))
) / 1000</f>
        <v>0</v>
      </c>
      <c r="CU134" s="231">
        <f t="shared" si="329"/>
        <v>20</v>
      </c>
      <c r="CV134" s="229">
        <f t="shared" si="491"/>
        <v>33</v>
      </c>
      <c r="CW134" s="234">
        <f t="shared" si="492"/>
        <v>4.8487499999999999</v>
      </c>
      <c r="CX134" s="234" cm="1">
        <f t="array" ref="CX134">$BM134 * IF($AH134&lt;=2,
SUMPRODUCT(INDEX($AV$61:$AX$65,,$AI134), INDEX($AY$61:$BE$65,,$AH134), 1 / ($BF$61:$BF$65*CW134 + (1-$BF$61:$BF$65)*CS134), N($AU$61:$AU$65&gt;$AM134)),
SUMPRODUCT(INDEX($AV$46:$AX$55,,$AI134), INDEX($AY$46:$BE$55,,$AH134), 1 / ($BG$46:$BG$55*CW134 + (1-$BG$46:$BG$55)*CS134), N($AU$46:$AU$55&gt;$AM134))
) / 1000</f>
        <v>0</v>
      </c>
      <c r="CY134" s="234" cm="1">
        <f t="array" ref="CY134">$BM134 * IF($AH134&lt;=2,
SUMPRODUCT(INDEX($AV$22:$AX$60,,$AI134), INDEX($AY$22:$BE$60,,$AH134), 1 / ($BF$22:$BF$60*CW134), N($AU$22:$AU$60&gt;$AM134)),
SUMPRODUCT(INDEX($AV$22:$AX$45,,$AI134), INDEX($AY$22:$BE$45,,$AH134), 1 / ($BG$22:$BG$45*CW134), N($AU$22:$AU$45&gt;$AM134))
) / 1000</f>
        <v>0</v>
      </c>
      <c r="CZ134" s="229">
        <f t="shared" si="493"/>
        <v>0</v>
      </c>
      <c r="DA134" s="246"/>
    </row>
    <row r="135" spans="1:105" s="75" customFormat="1" ht="14.25" customHeight="1" x14ac:dyDescent="0.2">
      <c r="A135" s="230" t="b">
        <f t="shared" si="291"/>
        <v>0</v>
      </c>
      <c r="B135" s="253">
        <v>114</v>
      </c>
      <c r="C135" s="266"/>
      <c r="D135" s="266"/>
      <c r="E135" s="254"/>
      <c r="F135" s="255" t="str">
        <f>IF(ISBLANK(E135), "", VLOOKUP(E135, Z!$A$2:$C$4127, 3, FALSE))</f>
        <v/>
      </c>
      <c r="G135" s="256"/>
      <c r="H135" s="256"/>
      <c r="I135" s="256"/>
      <c r="J135" s="257"/>
      <c r="K135" s="258"/>
      <c r="L135" s="267"/>
      <c r="M135" s="268"/>
      <c r="N135" s="259" t="str" cm="1">
        <f t="array" ref="N135">IF($L135&gt;0, INDEX(Clean,1+AK135,$D$1), "")</f>
        <v/>
      </c>
      <c r="O135" s="260"/>
      <c r="P135" s="260"/>
      <c r="Q135" s="261"/>
      <c r="R135" s="264">
        <f t="shared" si="469"/>
        <v>0</v>
      </c>
      <c r="S135" s="259" t="str" cm="1">
        <f t="array" ref="S135">IF($L135&gt;0, INDEX(Clean,1+AL135,$D$1), "")</f>
        <v/>
      </c>
      <c r="T135" s="260"/>
      <c r="U135" s="260"/>
      <c r="V135" s="261"/>
      <c r="W135" s="267"/>
      <c r="X135" s="267"/>
      <c r="Y135" s="257"/>
      <c r="Z135" s="264">
        <f t="shared" si="470"/>
        <v>0</v>
      </c>
      <c r="AA135" s="269"/>
      <c r="AB135" s="266"/>
      <c r="AC135" s="254"/>
      <c r="AD135" s="255" t="str">
        <f>IF(ISBLANK(AC135), "", VLOOKUP(AC135, Z!$A$2:$C$4127, 3, FALSE))</f>
        <v/>
      </c>
      <c r="AE135" s="270"/>
      <c r="AF135" s="265">
        <f t="shared" si="471"/>
        <v>0</v>
      </c>
      <c r="AG135" s="246"/>
      <c r="AH135" s="228">
        <f t="shared" si="494"/>
        <v>1</v>
      </c>
      <c r="AI135" s="228">
        <f t="shared" si="495"/>
        <v>1</v>
      </c>
      <c r="AJ135" s="228">
        <f t="shared" si="496"/>
        <v>0</v>
      </c>
      <c r="AK135" s="228">
        <v>0</v>
      </c>
      <c r="AL135" s="228">
        <v>0</v>
      </c>
      <c r="AM135" s="228">
        <f t="shared" si="472"/>
        <v>-100</v>
      </c>
      <c r="AN135" s="228" cm="1">
        <f t="array" ref="AN135">IF(ISBLANK(G135), 1, IFERROR(MATCH(G135, INDEX(Kat,,1), 0), IFERROR(MATCH(Kat, INDEX(Use,,2), 0), MATCH(Kat, INDEX(Use,,3), 0))))</f>
        <v>1</v>
      </c>
      <c r="AO135" s="246"/>
      <c r="AP135" s="228" cm="1">
        <f t="array" ref="AP135">IF(W135&gt;0, INDEX(Kat, AN135,4), 0)</f>
        <v>0</v>
      </c>
      <c r="AQ135" s="228">
        <f t="shared" si="497"/>
        <v>0</v>
      </c>
      <c r="AR135" s="228" cm="1">
        <f t="array" ref="AR135">IF(X135&gt;0, INDEX(Kat, $AN135, 4+AQ135), 0)</f>
        <v>0</v>
      </c>
      <c r="AS135" s="228" cm="1">
        <f t="array" ref="AS135">IF(X135&gt;0, INDEX(Kat, $AN135, 9+AQ135), 0)</f>
        <v>0</v>
      </c>
      <c r="AT135" s="246"/>
      <c r="AU135" s="262"/>
      <c r="AV135" s="262"/>
      <c r="AW135" s="263"/>
      <c r="AX135" s="263"/>
      <c r="AY135" s="263"/>
      <c r="AZ135" s="263"/>
      <c r="BA135" s="263"/>
      <c r="BB135" s="263"/>
      <c r="BC135" s="263"/>
      <c r="BD135" s="263"/>
      <c r="BE135" s="263"/>
      <c r="BF135" s="263"/>
      <c r="BG135" s="263"/>
      <c r="BH135" s="246"/>
      <c r="BI135" s="228" cm="1">
        <f t="array" ref="BI135">INDEX(Use, $AH135, 4)</f>
        <v>7</v>
      </c>
      <c r="BJ135" s="228">
        <f t="shared" si="473"/>
        <v>32</v>
      </c>
      <c r="BK135" s="228">
        <f t="shared" si="305"/>
        <v>13</v>
      </c>
      <c r="BL135" s="228">
        <f t="shared" si="306"/>
        <v>0</v>
      </c>
      <c r="BM135" s="233" cm="1">
        <f t="array" ref="BM135">L135/IF($M135&gt;0, INDEX($AY$22:$BE$76, $M135+20, $AH135), 1)</f>
        <v>0</v>
      </c>
      <c r="BN135" s="229">
        <f t="shared" si="474"/>
        <v>0</v>
      </c>
      <c r="BO135" s="228">
        <v>35</v>
      </c>
      <c r="BP135" s="229">
        <f t="shared" si="475"/>
        <v>48</v>
      </c>
      <c r="BQ135" s="234">
        <f t="shared" si="476"/>
        <v>3.0748170731707316</v>
      </c>
      <c r="BR135" s="234" cm="1">
        <f t="array" ref="BR135">$BM135 * SUMPRODUCT(INDEX($AV$76:$AX$81,,$AI135),INDEX($AY$76:$BE$81,,$AH135), N($AU$76:$AU$81&gt;$AM135)) / BQ135 / 1000</f>
        <v>0</v>
      </c>
      <c r="BS135" s="231">
        <f t="shared" si="310"/>
        <v>30</v>
      </c>
      <c r="BT135" s="229">
        <f t="shared" si="477"/>
        <v>43</v>
      </c>
      <c r="BU135" s="234">
        <f t="shared" si="478"/>
        <v>3.5018750000000001</v>
      </c>
      <c r="BV135" s="234" cm="1">
        <f t="array" ref="BV135">$BM135 * IF($AH135&lt;=2,
SUMPRODUCT(INDEX($AV$71:$AX$75,,$AI135), INDEX($AY$71:$BE$75,,$AH135), 1 / ($BF$71:$BF$75*BU135 + (1-$BF$71:$BF$75)*BQ135), N($AU$71:$AU$75&gt;$AM135)),
SUMPRODUCT(INDEX($AV$66:$AX$75,,$AI135), INDEX($AY$66:$BE$75,,$AH135), 1 / ($BG$66:$BG$75*BU135 + (1-$BG$66:$BG$75)*BQ135), N($AU$66:$AU$75&gt;$AM135))
) / 1000</f>
        <v>0</v>
      </c>
      <c r="BW135" s="231">
        <f t="shared" si="313"/>
        <v>25</v>
      </c>
      <c r="BX135" s="229">
        <f t="shared" si="479"/>
        <v>38</v>
      </c>
      <c r="BY135" s="234">
        <f t="shared" si="480"/>
        <v>4.0666935483870965</v>
      </c>
      <c r="BZ135" s="234" cm="1">
        <f t="array" ref="BZ135">$BM135 * IF($AH135&lt;=2,
SUMPRODUCT(INDEX($AV$66:$AX$70,,$AI135), INDEX($AY$66:$BE$70,,$AH135), 1 / ($BF$66:$BF$70*BY135 + (1-$BF$66:$BF$70)*BU135), N($AU$66:$AU$70&gt;$AM135)),
SUMPRODUCT(INDEX($AV$56:$AX$65,,$AI135), INDEX($AY$56:$BE$65,,$AH135), 1 / ($BG$56:$BG$65*BY135 + (1-$BG$56:$BG$65)*BU135), N($AU$56:$AU$65&gt;$AM135))
) / 1000</f>
        <v>0</v>
      </c>
      <c r="CA135" s="231">
        <f t="shared" si="316"/>
        <v>20</v>
      </c>
      <c r="CB135" s="229">
        <f t="shared" si="481"/>
        <v>33</v>
      </c>
      <c r="CC135" s="234">
        <f t="shared" si="482"/>
        <v>4.8487499999999999</v>
      </c>
      <c r="CD135" s="234" cm="1">
        <f t="array" ref="CD135">$BM135 * IF($AH135&lt;=2,
SUMPRODUCT(INDEX($AV$61:$AX$65,,$AI135), INDEX($AY$61:$BE$65,,$AH135), 1 / ($BF$61:$BF$65*CC135 + (1-$BF$61:$BF$65)*BY135), N($AU$61:$AU$65&gt;$AM135)),
SUMPRODUCT(INDEX($AV$46:$AX$55,,$AI135), INDEX($AY$46:$BE$55,,$AH135), 1 / ($BG$46:$BG$55*CC135 + (1-$BG$46:$BG$55)*BY135), N($AU$46:$AU$55&gt;$AM135))
) / 1000</f>
        <v>0</v>
      </c>
      <c r="CE135" s="234" cm="1">
        <f t="array" ref="CE135">$BM135 * IF($AH135&lt;=2,
SUMPRODUCT(INDEX($AV$22:$AX$60,,$AI135), INDEX($AY$22:$BE$60,,$AH135), 1 / ($BF$22:$BF$60*CC135), N($AU$22:$AU$60&gt;$AM135)),
SUMPRODUCT(INDEX($AV$22:$AX$45,,$AI135), INDEX($AY$22:$BE$45,,$AH135), 1 / ($BG$22:$BG$45*CC135), N($AU$22:$AU$45&gt;$AM135))
) / 1000</f>
        <v>0</v>
      </c>
      <c r="CF135" s="229">
        <f t="shared" si="483"/>
        <v>0</v>
      </c>
      <c r="CG135" s="246"/>
      <c r="CH135" s="229">
        <f t="shared" si="484"/>
        <v>0</v>
      </c>
      <c r="CI135" s="228">
        <v>35</v>
      </c>
      <c r="CJ135" s="229">
        <f t="shared" si="485"/>
        <v>48</v>
      </c>
      <c r="CK135" s="234">
        <f t="shared" si="486"/>
        <v>3.0748170731707316</v>
      </c>
      <c r="CL135" s="234" cm="1">
        <f t="array" ref="CL135">$BM135 * SUMPRODUCT(INDEX($AV$76:$AX$81,,$AI135),INDEX($AY$76:$BE$81,,$AH135), N($AU$76:$AU$81&gt;$AM135)) / CK135 / 1000</f>
        <v>0</v>
      </c>
      <c r="CM135" s="231">
        <f t="shared" si="323"/>
        <v>30</v>
      </c>
      <c r="CN135" s="229">
        <f t="shared" si="487"/>
        <v>43</v>
      </c>
      <c r="CO135" s="234">
        <f t="shared" si="488"/>
        <v>3.5018750000000001</v>
      </c>
      <c r="CP135" s="234" cm="1">
        <f t="array" ref="CP135">$BM135 * IF($AH135&lt;=2,
SUMPRODUCT(INDEX($AV$71:$AX$75,,$AI135), INDEX($AY$71:$BE$75,,$AH135), 1 / ($BF$71:$BF$75*CO135 + (1-$BF$71:$BF$75)*CK135), N($AU$71:$AU$75&gt;$AM135)),
SUMPRODUCT(INDEX($AV$66:$AX$75,,$AI135), INDEX($AY$66:$BE$75,,$AH135), 1 / ($BG$66:$BG$75*CO135 + (1-$BG$66:$BG$75)*CK135), N($AU$66:$AU$75&gt;$AM135))
) / 1000</f>
        <v>0</v>
      </c>
      <c r="CQ135" s="231">
        <f t="shared" si="326"/>
        <v>25</v>
      </c>
      <c r="CR135" s="229">
        <f t="shared" si="489"/>
        <v>38</v>
      </c>
      <c r="CS135" s="234">
        <f t="shared" si="490"/>
        <v>4.0666935483870965</v>
      </c>
      <c r="CT135" s="234" cm="1">
        <f t="array" ref="CT135">$BM135 * IF($AH135&lt;=2,
SUMPRODUCT(INDEX($AV$66:$AX$70,,$AI135), INDEX($AY$66:$BE$70,,$AH135), 1 / ($BF$66:$BF$70*CS135 + (1-$BF$66:$BF$70)*CO135), N($AU$66:$AU$70&gt;$AM135)),
SUMPRODUCT(INDEX($AV$56:$AX$65,,$AI135), INDEX($AY$56:$BE$65,,$AH135), 1 / ($BG$56:$BG$65*CS135 + (1-$BG$56:$BG$65)*CO135), N($AU$56:$AU$65&gt;$AM135))
) / 1000</f>
        <v>0</v>
      </c>
      <c r="CU135" s="231">
        <f t="shared" si="329"/>
        <v>20</v>
      </c>
      <c r="CV135" s="229">
        <f t="shared" si="491"/>
        <v>33</v>
      </c>
      <c r="CW135" s="234">
        <f t="shared" si="492"/>
        <v>4.8487499999999999</v>
      </c>
      <c r="CX135" s="234" cm="1">
        <f t="array" ref="CX135">$BM135 * IF($AH135&lt;=2,
SUMPRODUCT(INDEX($AV$61:$AX$65,,$AI135), INDEX($AY$61:$BE$65,,$AH135), 1 / ($BF$61:$BF$65*CW135 + (1-$BF$61:$BF$65)*CS135), N($AU$61:$AU$65&gt;$AM135)),
SUMPRODUCT(INDEX($AV$46:$AX$55,,$AI135), INDEX($AY$46:$BE$55,,$AH135), 1 / ($BG$46:$BG$55*CW135 + (1-$BG$46:$BG$55)*CS135), N($AU$46:$AU$55&gt;$AM135))
) / 1000</f>
        <v>0</v>
      </c>
      <c r="CY135" s="234" cm="1">
        <f t="array" ref="CY135">$BM135 * IF($AH135&lt;=2,
SUMPRODUCT(INDEX($AV$22:$AX$60,,$AI135), INDEX($AY$22:$BE$60,,$AH135), 1 / ($BF$22:$BF$60*CW135), N($AU$22:$AU$60&gt;$AM135)),
SUMPRODUCT(INDEX($AV$22:$AX$45,,$AI135), INDEX($AY$22:$BE$45,,$AH135), 1 / ($BG$22:$BG$45*CW135), N($AU$22:$AU$45&gt;$AM135))
) / 1000</f>
        <v>0</v>
      </c>
      <c r="CZ135" s="229">
        <f t="shared" si="493"/>
        <v>0</v>
      </c>
      <c r="DA135" s="246"/>
    </row>
    <row r="136" spans="1:105" s="75" customFormat="1" ht="14.25" customHeight="1" x14ac:dyDescent="0.2">
      <c r="A136" s="230" t="b">
        <f t="shared" si="291"/>
        <v>0</v>
      </c>
      <c r="B136" s="253">
        <v>115</v>
      </c>
      <c r="C136" s="266"/>
      <c r="D136" s="266"/>
      <c r="E136" s="254"/>
      <c r="F136" s="255" t="str">
        <f>IF(ISBLANK(E136), "", VLOOKUP(E136, Z!$A$2:$C$4127, 3, FALSE))</f>
        <v/>
      </c>
      <c r="G136" s="256"/>
      <c r="H136" s="256"/>
      <c r="I136" s="256"/>
      <c r="J136" s="257"/>
      <c r="K136" s="258"/>
      <c r="L136" s="267"/>
      <c r="M136" s="268"/>
      <c r="N136" s="259" t="str" cm="1">
        <f t="array" ref="N136">IF($L136&gt;0, INDEX(Clean,1+AK136,$D$1), "")</f>
        <v/>
      </c>
      <c r="O136" s="260"/>
      <c r="P136" s="260"/>
      <c r="Q136" s="261"/>
      <c r="R136" s="264">
        <f t="shared" si="469"/>
        <v>0</v>
      </c>
      <c r="S136" s="259" t="str" cm="1">
        <f t="array" ref="S136">IF($L136&gt;0, INDEX(Clean,1+AL136,$D$1), "")</f>
        <v/>
      </c>
      <c r="T136" s="260"/>
      <c r="U136" s="260"/>
      <c r="V136" s="261"/>
      <c r="W136" s="267"/>
      <c r="X136" s="267"/>
      <c r="Y136" s="257"/>
      <c r="Z136" s="264">
        <f t="shared" si="470"/>
        <v>0</v>
      </c>
      <c r="AA136" s="269"/>
      <c r="AB136" s="266"/>
      <c r="AC136" s="254"/>
      <c r="AD136" s="255" t="str">
        <f>IF(ISBLANK(AC136), "", VLOOKUP(AC136, Z!$A$2:$C$4127, 3, FALSE))</f>
        <v/>
      </c>
      <c r="AE136" s="270"/>
      <c r="AF136" s="265">
        <f t="shared" si="471"/>
        <v>0</v>
      </c>
      <c r="AG136" s="246"/>
      <c r="AH136" s="228">
        <f t="shared" si="494"/>
        <v>1</v>
      </c>
      <c r="AI136" s="228">
        <f t="shared" si="495"/>
        <v>1</v>
      </c>
      <c r="AJ136" s="228">
        <f t="shared" si="496"/>
        <v>0</v>
      </c>
      <c r="AK136" s="228">
        <v>0</v>
      </c>
      <c r="AL136" s="228">
        <v>0</v>
      </c>
      <c r="AM136" s="228">
        <f t="shared" si="472"/>
        <v>-100</v>
      </c>
      <c r="AN136" s="228" cm="1">
        <f t="array" ref="AN136">IF(ISBLANK(G136), 1, IFERROR(MATCH(G136, INDEX(Kat,,1), 0), IFERROR(MATCH(Kat, INDEX(Use,,2), 0), MATCH(Kat, INDEX(Use,,3), 0))))</f>
        <v>1</v>
      </c>
      <c r="AO136" s="246"/>
      <c r="AP136" s="228" cm="1">
        <f t="array" ref="AP136">IF(W136&gt;0, INDEX(Kat, AN136,4), 0)</f>
        <v>0</v>
      </c>
      <c r="AQ136" s="228">
        <f t="shared" si="497"/>
        <v>0</v>
      </c>
      <c r="AR136" s="228" cm="1">
        <f t="array" ref="AR136">IF(X136&gt;0, INDEX(Kat, $AN136, 4+AQ136), 0)</f>
        <v>0</v>
      </c>
      <c r="AS136" s="228" cm="1">
        <f t="array" ref="AS136">IF(X136&gt;0, INDEX(Kat, $AN136, 9+AQ136), 0)</f>
        <v>0</v>
      </c>
      <c r="AT136" s="246"/>
      <c r="AU136" s="262"/>
      <c r="AV136" s="262"/>
      <c r="AW136" s="263"/>
      <c r="AX136" s="263"/>
      <c r="AY136" s="263"/>
      <c r="AZ136" s="263"/>
      <c r="BA136" s="263"/>
      <c r="BB136" s="263"/>
      <c r="BC136" s="263"/>
      <c r="BD136" s="263"/>
      <c r="BE136" s="263"/>
      <c r="BF136" s="263"/>
      <c r="BG136" s="263"/>
      <c r="BH136" s="246"/>
      <c r="BI136" s="228" cm="1">
        <f t="array" ref="BI136">INDEX(Use, $AH136, 4)</f>
        <v>7</v>
      </c>
      <c r="BJ136" s="228">
        <f t="shared" si="473"/>
        <v>32</v>
      </c>
      <c r="BK136" s="228">
        <f t="shared" si="305"/>
        <v>13</v>
      </c>
      <c r="BL136" s="228">
        <f t="shared" si="306"/>
        <v>0</v>
      </c>
      <c r="BM136" s="233" cm="1">
        <f t="array" ref="BM136">L136/IF($M136&gt;0, INDEX($AY$22:$BE$76, $M136+20, $AH136), 1)</f>
        <v>0</v>
      </c>
      <c r="BN136" s="229">
        <f t="shared" si="474"/>
        <v>0</v>
      </c>
      <c r="BO136" s="228">
        <v>35</v>
      </c>
      <c r="BP136" s="229">
        <f t="shared" si="475"/>
        <v>48</v>
      </c>
      <c r="BQ136" s="234">
        <f t="shared" si="476"/>
        <v>3.0748170731707316</v>
      </c>
      <c r="BR136" s="234" cm="1">
        <f t="array" ref="BR136">$BM136 * SUMPRODUCT(INDEX($AV$76:$AX$81,,$AI136),INDEX($AY$76:$BE$81,,$AH136), N($AU$76:$AU$81&gt;$AM136)) / BQ136 / 1000</f>
        <v>0</v>
      </c>
      <c r="BS136" s="231">
        <f t="shared" si="310"/>
        <v>30</v>
      </c>
      <c r="BT136" s="229">
        <f t="shared" si="477"/>
        <v>43</v>
      </c>
      <c r="BU136" s="234">
        <f t="shared" si="478"/>
        <v>3.5018750000000001</v>
      </c>
      <c r="BV136" s="234" cm="1">
        <f t="array" ref="BV136">$BM136 * IF($AH136&lt;=2,
SUMPRODUCT(INDEX($AV$71:$AX$75,,$AI136), INDEX($AY$71:$BE$75,,$AH136), 1 / ($BF$71:$BF$75*BU136 + (1-$BF$71:$BF$75)*BQ136), N($AU$71:$AU$75&gt;$AM136)),
SUMPRODUCT(INDEX($AV$66:$AX$75,,$AI136), INDEX($AY$66:$BE$75,,$AH136), 1 / ($BG$66:$BG$75*BU136 + (1-$BG$66:$BG$75)*BQ136), N($AU$66:$AU$75&gt;$AM136))
) / 1000</f>
        <v>0</v>
      </c>
      <c r="BW136" s="231">
        <f t="shared" si="313"/>
        <v>25</v>
      </c>
      <c r="BX136" s="229">
        <f t="shared" si="479"/>
        <v>38</v>
      </c>
      <c r="BY136" s="234">
        <f t="shared" si="480"/>
        <v>4.0666935483870965</v>
      </c>
      <c r="BZ136" s="234" cm="1">
        <f t="array" ref="BZ136">$BM136 * IF($AH136&lt;=2,
SUMPRODUCT(INDEX($AV$66:$AX$70,,$AI136), INDEX($AY$66:$BE$70,,$AH136), 1 / ($BF$66:$BF$70*BY136 + (1-$BF$66:$BF$70)*BU136), N($AU$66:$AU$70&gt;$AM136)),
SUMPRODUCT(INDEX($AV$56:$AX$65,,$AI136), INDEX($AY$56:$BE$65,,$AH136), 1 / ($BG$56:$BG$65*BY136 + (1-$BG$56:$BG$65)*BU136), N($AU$56:$AU$65&gt;$AM136))
) / 1000</f>
        <v>0</v>
      </c>
      <c r="CA136" s="231">
        <f t="shared" si="316"/>
        <v>20</v>
      </c>
      <c r="CB136" s="229">
        <f t="shared" si="481"/>
        <v>33</v>
      </c>
      <c r="CC136" s="234">
        <f t="shared" si="482"/>
        <v>4.8487499999999999</v>
      </c>
      <c r="CD136" s="234" cm="1">
        <f t="array" ref="CD136">$BM136 * IF($AH136&lt;=2,
SUMPRODUCT(INDEX($AV$61:$AX$65,,$AI136), INDEX($AY$61:$BE$65,,$AH136), 1 / ($BF$61:$BF$65*CC136 + (1-$BF$61:$BF$65)*BY136), N($AU$61:$AU$65&gt;$AM136)),
SUMPRODUCT(INDEX($AV$46:$AX$55,,$AI136), INDEX($AY$46:$BE$55,,$AH136), 1 / ($BG$46:$BG$55*CC136 + (1-$BG$46:$BG$55)*BY136), N($AU$46:$AU$55&gt;$AM136))
) / 1000</f>
        <v>0</v>
      </c>
      <c r="CE136" s="234" cm="1">
        <f t="array" ref="CE136">$BM136 * IF($AH136&lt;=2,
SUMPRODUCT(INDEX($AV$22:$AX$60,,$AI136), INDEX($AY$22:$BE$60,,$AH136), 1 / ($BF$22:$BF$60*CC136), N($AU$22:$AU$60&gt;$AM136)),
SUMPRODUCT(INDEX($AV$22:$AX$45,,$AI136), INDEX($AY$22:$BE$45,,$AH136), 1 / ($BG$22:$BG$45*CC136), N($AU$22:$AU$45&gt;$AM136))
) / 1000</f>
        <v>0</v>
      </c>
      <c r="CF136" s="229">
        <f t="shared" si="483"/>
        <v>0</v>
      </c>
      <c r="CG136" s="246"/>
      <c r="CH136" s="229">
        <f t="shared" si="484"/>
        <v>0</v>
      </c>
      <c r="CI136" s="228">
        <v>35</v>
      </c>
      <c r="CJ136" s="229">
        <f t="shared" si="485"/>
        <v>48</v>
      </c>
      <c r="CK136" s="234">
        <f t="shared" si="486"/>
        <v>3.0748170731707316</v>
      </c>
      <c r="CL136" s="234" cm="1">
        <f t="array" ref="CL136">$BM136 * SUMPRODUCT(INDEX($AV$76:$AX$81,,$AI136),INDEX($AY$76:$BE$81,,$AH136), N($AU$76:$AU$81&gt;$AM136)) / CK136 / 1000</f>
        <v>0</v>
      </c>
      <c r="CM136" s="231">
        <f t="shared" si="323"/>
        <v>30</v>
      </c>
      <c r="CN136" s="229">
        <f t="shared" si="487"/>
        <v>43</v>
      </c>
      <c r="CO136" s="234">
        <f t="shared" si="488"/>
        <v>3.5018750000000001</v>
      </c>
      <c r="CP136" s="234" cm="1">
        <f t="array" ref="CP136">$BM136 * IF($AH136&lt;=2,
SUMPRODUCT(INDEX($AV$71:$AX$75,,$AI136), INDEX($AY$71:$BE$75,,$AH136), 1 / ($BF$71:$BF$75*CO136 + (1-$BF$71:$BF$75)*CK136), N($AU$71:$AU$75&gt;$AM136)),
SUMPRODUCT(INDEX($AV$66:$AX$75,,$AI136), INDEX($AY$66:$BE$75,,$AH136), 1 / ($BG$66:$BG$75*CO136 + (1-$BG$66:$BG$75)*CK136), N($AU$66:$AU$75&gt;$AM136))
) / 1000</f>
        <v>0</v>
      </c>
      <c r="CQ136" s="231">
        <f t="shared" si="326"/>
        <v>25</v>
      </c>
      <c r="CR136" s="229">
        <f t="shared" si="489"/>
        <v>38</v>
      </c>
      <c r="CS136" s="234">
        <f t="shared" si="490"/>
        <v>4.0666935483870965</v>
      </c>
      <c r="CT136" s="234" cm="1">
        <f t="array" ref="CT136">$BM136 * IF($AH136&lt;=2,
SUMPRODUCT(INDEX($AV$66:$AX$70,,$AI136), INDEX($AY$66:$BE$70,,$AH136), 1 / ($BF$66:$BF$70*CS136 + (1-$BF$66:$BF$70)*CO136), N($AU$66:$AU$70&gt;$AM136)),
SUMPRODUCT(INDEX($AV$56:$AX$65,,$AI136), INDEX($AY$56:$BE$65,,$AH136), 1 / ($BG$56:$BG$65*CS136 + (1-$BG$56:$BG$65)*CO136), N($AU$56:$AU$65&gt;$AM136))
) / 1000</f>
        <v>0</v>
      </c>
      <c r="CU136" s="231">
        <f t="shared" si="329"/>
        <v>20</v>
      </c>
      <c r="CV136" s="229">
        <f t="shared" si="491"/>
        <v>33</v>
      </c>
      <c r="CW136" s="234">
        <f t="shared" si="492"/>
        <v>4.8487499999999999</v>
      </c>
      <c r="CX136" s="234" cm="1">
        <f t="array" ref="CX136">$BM136 * IF($AH136&lt;=2,
SUMPRODUCT(INDEX($AV$61:$AX$65,,$AI136), INDEX($AY$61:$BE$65,,$AH136), 1 / ($BF$61:$BF$65*CW136 + (1-$BF$61:$BF$65)*CS136), N($AU$61:$AU$65&gt;$AM136)),
SUMPRODUCT(INDEX($AV$46:$AX$55,,$AI136), INDEX($AY$46:$BE$55,,$AH136), 1 / ($BG$46:$BG$55*CW136 + (1-$BG$46:$BG$55)*CS136), N($AU$46:$AU$55&gt;$AM136))
) / 1000</f>
        <v>0</v>
      </c>
      <c r="CY136" s="234" cm="1">
        <f t="array" ref="CY136">$BM136 * IF($AH136&lt;=2,
SUMPRODUCT(INDEX($AV$22:$AX$60,,$AI136), INDEX($AY$22:$BE$60,,$AH136), 1 / ($BF$22:$BF$60*CW136), N($AU$22:$AU$60&gt;$AM136)),
SUMPRODUCT(INDEX($AV$22:$AX$45,,$AI136), INDEX($AY$22:$BE$45,,$AH136), 1 / ($BG$22:$BG$45*CW136), N($AU$22:$AU$45&gt;$AM136))
) / 1000</f>
        <v>0</v>
      </c>
      <c r="CZ136" s="229">
        <f t="shared" si="493"/>
        <v>0</v>
      </c>
      <c r="DA136" s="246"/>
    </row>
    <row r="137" spans="1:105" s="75" customFormat="1" ht="14.25" customHeight="1" x14ac:dyDescent="0.2">
      <c r="A137" s="230" t="b">
        <f t="shared" si="291"/>
        <v>0</v>
      </c>
      <c r="B137" s="253">
        <v>116</v>
      </c>
      <c r="C137" s="266"/>
      <c r="D137" s="266"/>
      <c r="E137" s="254"/>
      <c r="F137" s="255" t="str">
        <f>IF(ISBLANK(E137), "", VLOOKUP(E137, Z!$A$2:$C$4127, 3, FALSE))</f>
        <v/>
      </c>
      <c r="G137" s="256"/>
      <c r="H137" s="256"/>
      <c r="I137" s="256"/>
      <c r="J137" s="257"/>
      <c r="K137" s="258"/>
      <c r="L137" s="267"/>
      <c r="M137" s="268"/>
      <c r="N137" s="259" t="str" cm="1">
        <f t="array" ref="N137">IF($L137&gt;0, INDEX(Clean,1+AK137,$D$1), "")</f>
        <v/>
      </c>
      <c r="O137" s="260"/>
      <c r="P137" s="260"/>
      <c r="Q137" s="261"/>
      <c r="R137" s="264">
        <f t="shared" si="469"/>
        <v>0</v>
      </c>
      <c r="S137" s="259" t="str" cm="1">
        <f t="array" ref="S137">IF($L137&gt;0, INDEX(Clean,1+AL137,$D$1), "")</f>
        <v/>
      </c>
      <c r="T137" s="260"/>
      <c r="U137" s="260"/>
      <c r="V137" s="261"/>
      <c r="W137" s="267"/>
      <c r="X137" s="267"/>
      <c r="Y137" s="257"/>
      <c r="Z137" s="264">
        <f t="shared" si="470"/>
        <v>0</v>
      </c>
      <c r="AA137" s="269"/>
      <c r="AB137" s="266"/>
      <c r="AC137" s="254"/>
      <c r="AD137" s="255" t="str">
        <f>IF(ISBLANK(AC137), "", VLOOKUP(AC137, Z!$A$2:$C$4127, 3, FALSE))</f>
        <v/>
      </c>
      <c r="AE137" s="270"/>
      <c r="AF137" s="265">
        <f t="shared" si="471"/>
        <v>0</v>
      </c>
      <c r="AG137" s="246"/>
      <c r="AH137" s="228">
        <f t="shared" si="494"/>
        <v>1</v>
      </c>
      <c r="AI137" s="228">
        <f t="shared" si="495"/>
        <v>1</v>
      </c>
      <c r="AJ137" s="228">
        <f t="shared" si="496"/>
        <v>0</v>
      </c>
      <c r="AK137" s="228">
        <v>0</v>
      </c>
      <c r="AL137" s="228">
        <v>0</v>
      </c>
      <c r="AM137" s="228">
        <f t="shared" si="472"/>
        <v>-100</v>
      </c>
      <c r="AN137" s="228" cm="1">
        <f t="array" ref="AN137">IF(ISBLANK(G137), 1, IFERROR(MATCH(G137, INDEX(Kat,,1), 0), IFERROR(MATCH(Kat, INDEX(Use,,2), 0), MATCH(Kat, INDEX(Use,,3), 0))))</f>
        <v>1</v>
      </c>
      <c r="AO137" s="246"/>
      <c r="AP137" s="228" cm="1">
        <f t="array" ref="AP137">IF(W137&gt;0, INDEX(Kat, AN137,4), 0)</f>
        <v>0</v>
      </c>
      <c r="AQ137" s="228">
        <f t="shared" si="497"/>
        <v>0</v>
      </c>
      <c r="AR137" s="228" cm="1">
        <f t="array" ref="AR137">IF(X137&gt;0, INDEX(Kat, $AN137, 4+AQ137), 0)</f>
        <v>0</v>
      </c>
      <c r="AS137" s="228" cm="1">
        <f t="array" ref="AS137">IF(X137&gt;0, INDEX(Kat, $AN137, 9+AQ137), 0)</f>
        <v>0</v>
      </c>
      <c r="AT137" s="246"/>
      <c r="AU137" s="262"/>
      <c r="AV137" s="262"/>
      <c r="AW137" s="263"/>
      <c r="AX137" s="263"/>
      <c r="AY137" s="263"/>
      <c r="AZ137" s="263"/>
      <c r="BA137" s="263"/>
      <c r="BB137" s="263"/>
      <c r="BC137" s="263"/>
      <c r="BD137" s="263"/>
      <c r="BE137" s="263"/>
      <c r="BF137" s="263"/>
      <c r="BG137" s="263"/>
      <c r="BH137" s="246"/>
      <c r="BI137" s="228" cm="1">
        <f t="array" ref="BI137">INDEX(Use, $AH137, 4)</f>
        <v>7</v>
      </c>
      <c r="BJ137" s="228">
        <f t="shared" si="473"/>
        <v>32</v>
      </c>
      <c r="BK137" s="228">
        <f t="shared" si="305"/>
        <v>13</v>
      </c>
      <c r="BL137" s="228">
        <f t="shared" si="306"/>
        <v>0</v>
      </c>
      <c r="BM137" s="233" cm="1">
        <f t="array" ref="BM137">L137/IF($M137&gt;0, INDEX($AY$22:$BE$76, $M137+20, $AH137), 1)</f>
        <v>0</v>
      </c>
      <c r="BN137" s="229">
        <f t="shared" si="474"/>
        <v>0</v>
      </c>
      <c r="BO137" s="228">
        <v>35</v>
      </c>
      <c r="BP137" s="229">
        <f t="shared" si="475"/>
        <v>48</v>
      </c>
      <c r="BQ137" s="234">
        <f t="shared" si="476"/>
        <v>3.0748170731707316</v>
      </c>
      <c r="BR137" s="234" cm="1">
        <f t="array" ref="BR137">$BM137 * SUMPRODUCT(INDEX($AV$76:$AX$81,,$AI137),INDEX($AY$76:$BE$81,,$AH137), N($AU$76:$AU$81&gt;$AM137)) / BQ137 / 1000</f>
        <v>0</v>
      </c>
      <c r="BS137" s="231">
        <f t="shared" si="310"/>
        <v>30</v>
      </c>
      <c r="BT137" s="229">
        <f t="shared" si="477"/>
        <v>43</v>
      </c>
      <c r="BU137" s="234">
        <f t="shared" si="478"/>
        <v>3.5018750000000001</v>
      </c>
      <c r="BV137" s="234" cm="1">
        <f t="array" ref="BV137">$BM137 * IF($AH137&lt;=2,
SUMPRODUCT(INDEX($AV$71:$AX$75,,$AI137), INDEX($AY$71:$BE$75,,$AH137), 1 / ($BF$71:$BF$75*BU137 + (1-$BF$71:$BF$75)*BQ137), N($AU$71:$AU$75&gt;$AM137)),
SUMPRODUCT(INDEX($AV$66:$AX$75,,$AI137), INDEX($AY$66:$BE$75,,$AH137), 1 / ($BG$66:$BG$75*BU137 + (1-$BG$66:$BG$75)*BQ137), N($AU$66:$AU$75&gt;$AM137))
) / 1000</f>
        <v>0</v>
      </c>
      <c r="BW137" s="231">
        <f t="shared" si="313"/>
        <v>25</v>
      </c>
      <c r="BX137" s="229">
        <f t="shared" si="479"/>
        <v>38</v>
      </c>
      <c r="BY137" s="234">
        <f t="shared" si="480"/>
        <v>4.0666935483870965</v>
      </c>
      <c r="BZ137" s="234" cm="1">
        <f t="array" ref="BZ137">$BM137 * IF($AH137&lt;=2,
SUMPRODUCT(INDEX($AV$66:$AX$70,,$AI137), INDEX($AY$66:$BE$70,,$AH137), 1 / ($BF$66:$BF$70*BY137 + (1-$BF$66:$BF$70)*BU137), N($AU$66:$AU$70&gt;$AM137)),
SUMPRODUCT(INDEX($AV$56:$AX$65,,$AI137), INDEX($AY$56:$BE$65,,$AH137), 1 / ($BG$56:$BG$65*BY137 + (1-$BG$56:$BG$65)*BU137), N($AU$56:$AU$65&gt;$AM137))
) / 1000</f>
        <v>0</v>
      </c>
      <c r="CA137" s="231">
        <f t="shared" si="316"/>
        <v>20</v>
      </c>
      <c r="CB137" s="229">
        <f t="shared" si="481"/>
        <v>33</v>
      </c>
      <c r="CC137" s="234">
        <f t="shared" si="482"/>
        <v>4.8487499999999999</v>
      </c>
      <c r="CD137" s="234" cm="1">
        <f t="array" ref="CD137">$BM137 * IF($AH137&lt;=2,
SUMPRODUCT(INDEX($AV$61:$AX$65,,$AI137), INDEX($AY$61:$BE$65,,$AH137), 1 / ($BF$61:$BF$65*CC137 + (1-$BF$61:$BF$65)*BY137), N($AU$61:$AU$65&gt;$AM137)),
SUMPRODUCT(INDEX($AV$46:$AX$55,,$AI137), INDEX($AY$46:$BE$55,,$AH137), 1 / ($BG$46:$BG$55*CC137 + (1-$BG$46:$BG$55)*BY137), N($AU$46:$AU$55&gt;$AM137))
) / 1000</f>
        <v>0</v>
      </c>
      <c r="CE137" s="234" cm="1">
        <f t="array" ref="CE137">$BM137 * IF($AH137&lt;=2,
SUMPRODUCT(INDEX($AV$22:$AX$60,,$AI137), INDEX($AY$22:$BE$60,,$AH137), 1 / ($BF$22:$BF$60*CC137), N($AU$22:$AU$60&gt;$AM137)),
SUMPRODUCT(INDEX($AV$22:$AX$45,,$AI137), INDEX($AY$22:$BE$45,,$AH137), 1 / ($BG$22:$BG$45*CC137), N($AU$22:$AU$45&gt;$AM137))
) / 1000</f>
        <v>0</v>
      </c>
      <c r="CF137" s="229">
        <f t="shared" si="483"/>
        <v>0</v>
      </c>
      <c r="CG137" s="246"/>
      <c r="CH137" s="229">
        <f t="shared" si="484"/>
        <v>0</v>
      </c>
      <c r="CI137" s="228">
        <v>35</v>
      </c>
      <c r="CJ137" s="229">
        <f t="shared" si="485"/>
        <v>48</v>
      </c>
      <c r="CK137" s="234">
        <f t="shared" si="486"/>
        <v>3.0748170731707316</v>
      </c>
      <c r="CL137" s="234" cm="1">
        <f t="array" ref="CL137">$BM137 * SUMPRODUCT(INDEX($AV$76:$AX$81,,$AI137),INDEX($AY$76:$BE$81,,$AH137), N($AU$76:$AU$81&gt;$AM137)) / CK137 / 1000</f>
        <v>0</v>
      </c>
      <c r="CM137" s="231">
        <f t="shared" si="323"/>
        <v>30</v>
      </c>
      <c r="CN137" s="229">
        <f t="shared" si="487"/>
        <v>43</v>
      </c>
      <c r="CO137" s="234">
        <f t="shared" si="488"/>
        <v>3.5018750000000001</v>
      </c>
      <c r="CP137" s="234" cm="1">
        <f t="array" ref="CP137">$BM137 * IF($AH137&lt;=2,
SUMPRODUCT(INDEX($AV$71:$AX$75,,$AI137), INDEX($AY$71:$BE$75,,$AH137), 1 / ($BF$71:$BF$75*CO137 + (1-$BF$71:$BF$75)*CK137), N($AU$71:$AU$75&gt;$AM137)),
SUMPRODUCT(INDEX($AV$66:$AX$75,,$AI137), INDEX($AY$66:$BE$75,,$AH137), 1 / ($BG$66:$BG$75*CO137 + (1-$BG$66:$BG$75)*CK137), N($AU$66:$AU$75&gt;$AM137))
) / 1000</f>
        <v>0</v>
      </c>
      <c r="CQ137" s="231">
        <f t="shared" si="326"/>
        <v>25</v>
      </c>
      <c r="CR137" s="229">
        <f t="shared" si="489"/>
        <v>38</v>
      </c>
      <c r="CS137" s="234">
        <f t="shared" si="490"/>
        <v>4.0666935483870965</v>
      </c>
      <c r="CT137" s="234" cm="1">
        <f t="array" ref="CT137">$BM137 * IF($AH137&lt;=2,
SUMPRODUCT(INDEX($AV$66:$AX$70,,$AI137), INDEX($AY$66:$BE$70,,$AH137), 1 / ($BF$66:$BF$70*CS137 + (1-$BF$66:$BF$70)*CO137), N($AU$66:$AU$70&gt;$AM137)),
SUMPRODUCT(INDEX($AV$56:$AX$65,,$AI137), INDEX($AY$56:$BE$65,,$AH137), 1 / ($BG$56:$BG$65*CS137 + (1-$BG$56:$BG$65)*CO137), N($AU$56:$AU$65&gt;$AM137))
) / 1000</f>
        <v>0</v>
      </c>
      <c r="CU137" s="231">
        <f t="shared" si="329"/>
        <v>20</v>
      </c>
      <c r="CV137" s="229">
        <f t="shared" si="491"/>
        <v>33</v>
      </c>
      <c r="CW137" s="234">
        <f t="shared" si="492"/>
        <v>4.8487499999999999</v>
      </c>
      <c r="CX137" s="234" cm="1">
        <f t="array" ref="CX137">$BM137 * IF($AH137&lt;=2,
SUMPRODUCT(INDEX($AV$61:$AX$65,,$AI137), INDEX($AY$61:$BE$65,,$AH137), 1 / ($BF$61:$BF$65*CW137 + (1-$BF$61:$BF$65)*CS137), N($AU$61:$AU$65&gt;$AM137)),
SUMPRODUCT(INDEX($AV$46:$AX$55,,$AI137), INDEX($AY$46:$BE$55,,$AH137), 1 / ($BG$46:$BG$55*CW137 + (1-$BG$46:$BG$55)*CS137), N($AU$46:$AU$55&gt;$AM137))
) / 1000</f>
        <v>0</v>
      </c>
      <c r="CY137" s="234" cm="1">
        <f t="array" ref="CY137">$BM137 * IF($AH137&lt;=2,
SUMPRODUCT(INDEX($AV$22:$AX$60,,$AI137), INDEX($AY$22:$BE$60,,$AH137), 1 / ($BF$22:$BF$60*CW137), N($AU$22:$AU$60&gt;$AM137)),
SUMPRODUCT(INDEX($AV$22:$AX$45,,$AI137), INDEX($AY$22:$BE$45,,$AH137), 1 / ($BG$22:$BG$45*CW137), N($AU$22:$AU$45&gt;$AM137))
) / 1000</f>
        <v>0</v>
      </c>
      <c r="CZ137" s="229">
        <f t="shared" si="493"/>
        <v>0</v>
      </c>
      <c r="DA137" s="246"/>
    </row>
    <row r="138" spans="1:105" s="75" customFormat="1" ht="14.25" customHeight="1" x14ac:dyDescent="0.2">
      <c r="A138" s="230" t="b">
        <f t="shared" si="291"/>
        <v>0</v>
      </c>
      <c r="B138" s="253">
        <v>117</v>
      </c>
      <c r="C138" s="266"/>
      <c r="D138" s="266"/>
      <c r="E138" s="254"/>
      <c r="F138" s="255" t="str">
        <f>IF(ISBLANK(E138), "", VLOOKUP(E138, Z!$A$2:$C$4127, 3, FALSE))</f>
        <v/>
      </c>
      <c r="G138" s="256"/>
      <c r="H138" s="256"/>
      <c r="I138" s="256"/>
      <c r="J138" s="257"/>
      <c r="K138" s="258"/>
      <c r="L138" s="267"/>
      <c r="M138" s="268"/>
      <c r="N138" s="259" t="str" cm="1">
        <f t="array" ref="N138">IF($L138&gt;0, INDEX(Clean,1+AK138,$D$1), "")</f>
        <v/>
      </c>
      <c r="O138" s="260"/>
      <c r="P138" s="260"/>
      <c r="Q138" s="261"/>
      <c r="R138" s="264">
        <f t="shared" si="469"/>
        <v>0</v>
      </c>
      <c r="S138" s="259" t="str" cm="1">
        <f t="array" ref="S138">IF($L138&gt;0, INDEX(Clean,1+AL138,$D$1), "")</f>
        <v/>
      </c>
      <c r="T138" s="260"/>
      <c r="U138" s="260"/>
      <c r="V138" s="261"/>
      <c r="W138" s="267"/>
      <c r="X138" s="267"/>
      <c r="Y138" s="257"/>
      <c r="Z138" s="264">
        <f t="shared" si="470"/>
        <v>0</v>
      </c>
      <c r="AA138" s="269"/>
      <c r="AB138" s="266"/>
      <c r="AC138" s="254"/>
      <c r="AD138" s="255" t="str">
        <f>IF(ISBLANK(AC138), "", VLOOKUP(AC138, Z!$A$2:$C$4127, 3, FALSE))</f>
        <v/>
      </c>
      <c r="AE138" s="270"/>
      <c r="AF138" s="265">
        <f t="shared" si="471"/>
        <v>0</v>
      </c>
      <c r="AG138" s="246"/>
      <c r="AH138" s="228">
        <f t="shared" si="494"/>
        <v>1</v>
      </c>
      <c r="AI138" s="228">
        <f t="shared" si="495"/>
        <v>1</v>
      </c>
      <c r="AJ138" s="228">
        <f t="shared" si="496"/>
        <v>0</v>
      </c>
      <c r="AK138" s="228">
        <v>0</v>
      </c>
      <c r="AL138" s="228">
        <v>0</v>
      </c>
      <c r="AM138" s="228">
        <f t="shared" si="472"/>
        <v>-100</v>
      </c>
      <c r="AN138" s="228" cm="1">
        <f t="array" ref="AN138">IF(ISBLANK(G138), 1, IFERROR(MATCH(G138, INDEX(Kat,,1), 0), IFERROR(MATCH(Kat, INDEX(Use,,2), 0), MATCH(Kat, INDEX(Use,,3), 0))))</f>
        <v>1</v>
      </c>
      <c r="AO138" s="246"/>
      <c r="AP138" s="228" cm="1">
        <f t="array" ref="AP138">IF(W138&gt;0, INDEX(Kat, AN138,4), 0)</f>
        <v>0</v>
      </c>
      <c r="AQ138" s="228">
        <f t="shared" si="497"/>
        <v>0</v>
      </c>
      <c r="AR138" s="228" cm="1">
        <f t="array" ref="AR138">IF(X138&gt;0, INDEX(Kat, $AN138, 4+AQ138), 0)</f>
        <v>0</v>
      </c>
      <c r="AS138" s="228" cm="1">
        <f t="array" ref="AS138">IF(X138&gt;0, INDEX(Kat, $AN138, 9+AQ138), 0)</f>
        <v>0</v>
      </c>
      <c r="AT138" s="246"/>
      <c r="AU138" s="262"/>
      <c r="AV138" s="262"/>
      <c r="AW138" s="263"/>
      <c r="AX138" s="263"/>
      <c r="AY138" s="263"/>
      <c r="AZ138" s="263"/>
      <c r="BA138" s="263"/>
      <c r="BB138" s="263"/>
      <c r="BC138" s="263"/>
      <c r="BD138" s="263"/>
      <c r="BE138" s="263"/>
      <c r="BF138" s="263"/>
      <c r="BG138" s="263"/>
      <c r="BH138" s="246"/>
      <c r="BI138" s="228" cm="1">
        <f t="array" ref="BI138">INDEX(Use, $AH138, 4)</f>
        <v>7</v>
      </c>
      <c r="BJ138" s="228">
        <f t="shared" si="473"/>
        <v>32</v>
      </c>
      <c r="BK138" s="228">
        <f t="shared" si="305"/>
        <v>13</v>
      </c>
      <c r="BL138" s="228">
        <f t="shared" si="306"/>
        <v>0</v>
      </c>
      <c r="BM138" s="233" cm="1">
        <f t="array" ref="BM138">L138/IF($M138&gt;0, INDEX($AY$22:$BE$76, $M138+20, $AH138), 1)</f>
        <v>0</v>
      </c>
      <c r="BN138" s="229">
        <f t="shared" si="474"/>
        <v>0</v>
      </c>
      <c r="BO138" s="228">
        <v>35</v>
      </c>
      <c r="BP138" s="229">
        <f t="shared" si="475"/>
        <v>48</v>
      </c>
      <c r="BQ138" s="234">
        <f t="shared" si="476"/>
        <v>3.0748170731707316</v>
      </c>
      <c r="BR138" s="234" cm="1">
        <f t="array" ref="BR138">$BM138 * SUMPRODUCT(INDEX($AV$76:$AX$81,,$AI138),INDEX($AY$76:$BE$81,,$AH138), N($AU$76:$AU$81&gt;$AM138)) / BQ138 / 1000</f>
        <v>0</v>
      </c>
      <c r="BS138" s="231">
        <f t="shared" si="310"/>
        <v>30</v>
      </c>
      <c r="BT138" s="229">
        <f t="shared" si="477"/>
        <v>43</v>
      </c>
      <c r="BU138" s="234">
        <f t="shared" si="478"/>
        <v>3.5018750000000001</v>
      </c>
      <c r="BV138" s="234" cm="1">
        <f t="array" ref="BV138">$BM138 * IF($AH138&lt;=2,
SUMPRODUCT(INDEX($AV$71:$AX$75,,$AI138), INDEX($AY$71:$BE$75,,$AH138), 1 / ($BF$71:$BF$75*BU138 + (1-$BF$71:$BF$75)*BQ138), N($AU$71:$AU$75&gt;$AM138)),
SUMPRODUCT(INDEX($AV$66:$AX$75,,$AI138), INDEX($AY$66:$BE$75,,$AH138), 1 / ($BG$66:$BG$75*BU138 + (1-$BG$66:$BG$75)*BQ138), N($AU$66:$AU$75&gt;$AM138))
) / 1000</f>
        <v>0</v>
      </c>
      <c r="BW138" s="231">
        <f t="shared" si="313"/>
        <v>25</v>
      </c>
      <c r="BX138" s="229">
        <f t="shared" si="479"/>
        <v>38</v>
      </c>
      <c r="BY138" s="234">
        <f t="shared" si="480"/>
        <v>4.0666935483870965</v>
      </c>
      <c r="BZ138" s="234" cm="1">
        <f t="array" ref="BZ138">$BM138 * IF($AH138&lt;=2,
SUMPRODUCT(INDEX($AV$66:$AX$70,,$AI138), INDEX($AY$66:$BE$70,,$AH138), 1 / ($BF$66:$BF$70*BY138 + (1-$BF$66:$BF$70)*BU138), N($AU$66:$AU$70&gt;$AM138)),
SUMPRODUCT(INDEX($AV$56:$AX$65,,$AI138), INDEX($AY$56:$BE$65,,$AH138), 1 / ($BG$56:$BG$65*BY138 + (1-$BG$56:$BG$65)*BU138), N($AU$56:$AU$65&gt;$AM138))
) / 1000</f>
        <v>0</v>
      </c>
      <c r="CA138" s="231">
        <f t="shared" si="316"/>
        <v>20</v>
      </c>
      <c r="CB138" s="229">
        <f t="shared" si="481"/>
        <v>33</v>
      </c>
      <c r="CC138" s="234">
        <f t="shared" si="482"/>
        <v>4.8487499999999999</v>
      </c>
      <c r="CD138" s="234" cm="1">
        <f t="array" ref="CD138">$BM138 * IF($AH138&lt;=2,
SUMPRODUCT(INDEX($AV$61:$AX$65,,$AI138), INDEX($AY$61:$BE$65,,$AH138), 1 / ($BF$61:$BF$65*CC138 + (1-$BF$61:$BF$65)*BY138), N($AU$61:$AU$65&gt;$AM138)),
SUMPRODUCT(INDEX($AV$46:$AX$55,,$AI138), INDEX($AY$46:$BE$55,,$AH138), 1 / ($BG$46:$BG$55*CC138 + (1-$BG$46:$BG$55)*BY138), N($AU$46:$AU$55&gt;$AM138))
) / 1000</f>
        <v>0</v>
      </c>
      <c r="CE138" s="234" cm="1">
        <f t="array" ref="CE138">$BM138 * IF($AH138&lt;=2,
SUMPRODUCT(INDEX($AV$22:$AX$60,,$AI138), INDEX($AY$22:$BE$60,,$AH138), 1 / ($BF$22:$BF$60*CC138), N($AU$22:$AU$60&gt;$AM138)),
SUMPRODUCT(INDEX($AV$22:$AX$45,,$AI138), INDEX($AY$22:$BE$45,,$AH138), 1 / ($BG$22:$BG$45*CC138), N($AU$22:$AU$45&gt;$AM138))
) / 1000</f>
        <v>0</v>
      </c>
      <c r="CF138" s="229">
        <f t="shared" si="483"/>
        <v>0</v>
      </c>
      <c r="CG138" s="246"/>
      <c r="CH138" s="229">
        <f t="shared" si="484"/>
        <v>0</v>
      </c>
      <c r="CI138" s="228">
        <v>35</v>
      </c>
      <c r="CJ138" s="229">
        <f t="shared" si="485"/>
        <v>48</v>
      </c>
      <c r="CK138" s="234">
        <f t="shared" si="486"/>
        <v>3.0748170731707316</v>
      </c>
      <c r="CL138" s="234" cm="1">
        <f t="array" ref="CL138">$BM138 * SUMPRODUCT(INDEX($AV$76:$AX$81,,$AI138),INDEX($AY$76:$BE$81,,$AH138), N($AU$76:$AU$81&gt;$AM138)) / CK138 / 1000</f>
        <v>0</v>
      </c>
      <c r="CM138" s="231">
        <f t="shared" si="323"/>
        <v>30</v>
      </c>
      <c r="CN138" s="229">
        <f t="shared" si="487"/>
        <v>43</v>
      </c>
      <c r="CO138" s="234">
        <f t="shared" si="488"/>
        <v>3.5018750000000001</v>
      </c>
      <c r="CP138" s="234" cm="1">
        <f t="array" ref="CP138">$BM138 * IF($AH138&lt;=2,
SUMPRODUCT(INDEX($AV$71:$AX$75,,$AI138), INDEX($AY$71:$BE$75,,$AH138), 1 / ($BF$71:$BF$75*CO138 + (1-$BF$71:$BF$75)*CK138), N($AU$71:$AU$75&gt;$AM138)),
SUMPRODUCT(INDEX($AV$66:$AX$75,,$AI138), INDEX($AY$66:$BE$75,,$AH138), 1 / ($BG$66:$BG$75*CO138 + (1-$BG$66:$BG$75)*CK138), N($AU$66:$AU$75&gt;$AM138))
) / 1000</f>
        <v>0</v>
      </c>
      <c r="CQ138" s="231">
        <f t="shared" si="326"/>
        <v>25</v>
      </c>
      <c r="CR138" s="229">
        <f t="shared" si="489"/>
        <v>38</v>
      </c>
      <c r="CS138" s="234">
        <f t="shared" si="490"/>
        <v>4.0666935483870965</v>
      </c>
      <c r="CT138" s="234" cm="1">
        <f t="array" ref="CT138">$BM138 * IF($AH138&lt;=2,
SUMPRODUCT(INDEX($AV$66:$AX$70,,$AI138), INDEX($AY$66:$BE$70,,$AH138), 1 / ($BF$66:$BF$70*CS138 + (1-$BF$66:$BF$70)*CO138), N($AU$66:$AU$70&gt;$AM138)),
SUMPRODUCT(INDEX($AV$56:$AX$65,,$AI138), INDEX($AY$56:$BE$65,,$AH138), 1 / ($BG$56:$BG$65*CS138 + (1-$BG$56:$BG$65)*CO138), N($AU$56:$AU$65&gt;$AM138))
) / 1000</f>
        <v>0</v>
      </c>
      <c r="CU138" s="231">
        <f t="shared" si="329"/>
        <v>20</v>
      </c>
      <c r="CV138" s="229">
        <f t="shared" si="491"/>
        <v>33</v>
      </c>
      <c r="CW138" s="234">
        <f t="shared" si="492"/>
        <v>4.8487499999999999</v>
      </c>
      <c r="CX138" s="234" cm="1">
        <f t="array" ref="CX138">$BM138 * IF($AH138&lt;=2,
SUMPRODUCT(INDEX($AV$61:$AX$65,,$AI138), INDEX($AY$61:$BE$65,,$AH138), 1 / ($BF$61:$BF$65*CW138 + (1-$BF$61:$BF$65)*CS138), N($AU$61:$AU$65&gt;$AM138)),
SUMPRODUCT(INDEX($AV$46:$AX$55,,$AI138), INDEX($AY$46:$BE$55,,$AH138), 1 / ($BG$46:$BG$55*CW138 + (1-$BG$46:$BG$55)*CS138), N($AU$46:$AU$55&gt;$AM138))
) / 1000</f>
        <v>0</v>
      </c>
      <c r="CY138" s="234" cm="1">
        <f t="array" ref="CY138">$BM138 * IF($AH138&lt;=2,
SUMPRODUCT(INDEX($AV$22:$AX$60,,$AI138), INDEX($AY$22:$BE$60,,$AH138), 1 / ($BF$22:$BF$60*CW138), N($AU$22:$AU$60&gt;$AM138)),
SUMPRODUCT(INDEX($AV$22:$AX$45,,$AI138), INDEX($AY$22:$BE$45,,$AH138), 1 / ($BG$22:$BG$45*CW138), N($AU$22:$AU$45&gt;$AM138))
) / 1000</f>
        <v>0</v>
      </c>
      <c r="CZ138" s="229">
        <f t="shared" si="493"/>
        <v>0</v>
      </c>
      <c r="DA138" s="246"/>
    </row>
    <row r="139" spans="1:105" s="75" customFormat="1" ht="14.25" customHeight="1" x14ac:dyDescent="0.2">
      <c r="A139" s="230" t="b">
        <f t="shared" si="291"/>
        <v>0</v>
      </c>
      <c r="B139" s="253">
        <v>118</v>
      </c>
      <c r="C139" s="266"/>
      <c r="D139" s="266"/>
      <c r="E139" s="254"/>
      <c r="F139" s="255" t="str">
        <f>IF(ISBLANK(E139), "", VLOOKUP(E139, Z!$A$2:$C$4127, 3, FALSE))</f>
        <v/>
      </c>
      <c r="G139" s="256"/>
      <c r="H139" s="256"/>
      <c r="I139" s="256"/>
      <c r="J139" s="257"/>
      <c r="K139" s="258"/>
      <c r="L139" s="267"/>
      <c r="M139" s="268"/>
      <c r="N139" s="259" t="str" cm="1">
        <f t="array" ref="N139">IF($L139&gt;0, INDEX(Clean,1+AK139,$D$1), "")</f>
        <v/>
      </c>
      <c r="O139" s="260"/>
      <c r="P139" s="260"/>
      <c r="Q139" s="261"/>
      <c r="R139" s="264">
        <f t="shared" si="469"/>
        <v>0</v>
      </c>
      <c r="S139" s="259" t="str" cm="1">
        <f t="array" ref="S139">IF($L139&gt;0, INDEX(Clean,1+AL139,$D$1), "")</f>
        <v/>
      </c>
      <c r="T139" s="260"/>
      <c r="U139" s="260"/>
      <c r="V139" s="261"/>
      <c r="W139" s="267"/>
      <c r="X139" s="267"/>
      <c r="Y139" s="257"/>
      <c r="Z139" s="264">
        <f t="shared" si="470"/>
        <v>0</v>
      </c>
      <c r="AA139" s="269"/>
      <c r="AB139" s="266"/>
      <c r="AC139" s="254"/>
      <c r="AD139" s="255" t="str">
        <f>IF(ISBLANK(AC139), "", VLOOKUP(AC139, Z!$A$2:$C$4127, 3, FALSE))</f>
        <v/>
      </c>
      <c r="AE139" s="270"/>
      <c r="AF139" s="265">
        <f t="shared" si="471"/>
        <v>0</v>
      </c>
      <c r="AG139" s="246"/>
      <c r="AH139" s="228">
        <f t="shared" si="494"/>
        <v>1</v>
      </c>
      <c r="AI139" s="228">
        <f t="shared" si="495"/>
        <v>1</v>
      </c>
      <c r="AJ139" s="228">
        <f t="shared" si="496"/>
        <v>0</v>
      </c>
      <c r="AK139" s="228">
        <v>0</v>
      </c>
      <c r="AL139" s="228">
        <v>0</v>
      </c>
      <c r="AM139" s="228">
        <f t="shared" si="472"/>
        <v>-100</v>
      </c>
      <c r="AN139" s="228" cm="1">
        <f t="array" ref="AN139">IF(ISBLANK(G139), 1, IFERROR(MATCH(G139, INDEX(Kat,,1), 0), IFERROR(MATCH(Kat, INDEX(Use,,2), 0), MATCH(Kat, INDEX(Use,,3), 0))))</f>
        <v>1</v>
      </c>
      <c r="AO139" s="246"/>
      <c r="AP139" s="228" cm="1">
        <f t="array" ref="AP139">IF(W139&gt;0, INDEX(Kat, AN139,4), 0)</f>
        <v>0</v>
      </c>
      <c r="AQ139" s="228">
        <f t="shared" si="497"/>
        <v>0</v>
      </c>
      <c r="AR139" s="228" cm="1">
        <f t="array" ref="AR139">IF(X139&gt;0, INDEX(Kat, $AN139, 4+AQ139), 0)</f>
        <v>0</v>
      </c>
      <c r="AS139" s="228" cm="1">
        <f t="array" ref="AS139">IF(X139&gt;0, INDEX(Kat, $AN139, 9+AQ139), 0)</f>
        <v>0</v>
      </c>
      <c r="AT139" s="246"/>
      <c r="AU139" s="262"/>
      <c r="AV139" s="262"/>
      <c r="AW139" s="263"/>
      <c r="AX139" s="263"/>
      <c r="AY139" s="263"/>
      <c r="AZ139" s="263"/>
      <c r="BA139" s="263"/>
      <c r="BB139" s="263"/>
      <c r="BC139" s="263"/>
      <c r="BD139" s="263"/>
      <c r="BE139" s="263"/>
      <c r="BF139" s="263"/>
      <c r="BG139" s="263"/>
      <c r="BH139" s="246"/>
      <c r="BI139" s="228" cm="1">
        <f t="array" ref="BI139">INDEX(Use, $AH139, 4)</f>
        <v>7</v>
      </c>
      <c r="BJ139" s="228">
        <f t="shared" si="473"/>
        <v>32</v>
      </c>
      <c r="BK139" s="228">
        <f t="shared" si="305"/>
        <v>13</v>
      </c>
      <c r="BL139" s="228">
        <f t="shared" si="306"/>
        <v>0</v>
      </c>
      <c r="BM139" s="233" cm="1">
        <f t="array" ref="BM139">L139/IF($M139&gt;0, INDEX($AY$22:$BE$76, $M139+20, $AH139), 1)</f>
        <v>0</v>
      </c>
      <c r="BN139" s="229">
        <f t="shared" si="474"/>
        <v>0</v>
      </c>
      <c r="BO139" s="228">
        <v>35</v>
      </c>
      <c r="BP139" s="229">
        <f t="shared" si="475"/>
        <v>48</v>
      </c>
      <c r="BQ139" s="234">
        <f t="shared" si="476"/>
        <v>3.0748170731707316</v>
      </c>
      <c r="BR139" s="234" cm="1">
        <f t="array" ref="BR139">$BM139 * SUMPRODUCT(INDEX($AV$76:$AX$81,,$AI139),INDEX($AY$76:$BE$81,,$AH139), N($AU$76:$AU$81&gt;$AM139)) / BQ139 / 1000</f>
        <v>0</v>
      </c>
      <c r="BS139" s="231">
        <f t="shared" si="310"/>
        <v>30</v>
      </c>
      <c r="BT139" s="229">
        <f t="shared" si="477"/>
        <v>43</v>
      </c>
      <c r="BU139" s="234">
        <f t="shared" si="478"/>
        <v>3.5018750000000001</v>
      </c>
      <c r="BV139" s="234" cm="1">
        <f t="array" ref="BV139">$BM139 * IF($AH139&lt;=2,
SUMPRODUCT(INDEX($AV$71:$AX$75,,$AI139), INDEX($AY$71:$BE$75,,$AH139), 1 / ($BF$71:$BF$75*BU139 + (1-$BF$71:$BF$75)*BQ139), N($AU$71:$AU$75&gt;$AM139)),
SUMPRODUCT(INDEX($AV$66:$AX$75,,$AI139), INDEX($AY$66:$BE$75,,$AH139), 1 / ($BG$66:$BG$75*BU139 + (1-$BG$66:$BG$75)*BQ139), N($AU$66:$AU$75&gt;$AM139))
) / 1000</f>
        <v>0</v>
      </c>
      <c r="BW139" s="231">
        <f t="shared" si="313"/>
        <v>25</v>
      </c>
      <c r="BX139" s="229">
        <f t="shared" si="479"/>
        <v>38</v>
      </c>
      <c r="BY139" s="234">
        <f t="shared" si="480"/>
        <v>4.0666935483870965</v>
      </c>
      <c r="BZ139" s="234" cm="1">
        <f t="array" ref="BZ139">$BM139 * IF($AH139&lt;=2,
SUMPRODUCT(INDEX($AV$66:$AX$70,,$AI139), INDEX($AY$66:$BE$70,,$AH139), 1 / ($BF$66:$BF$70*BY139 + (1-$BF$66:$BF$70)*BU139), N($AU$66:$AU$70&gt;$AM139)),
SUMPRODUCT(INDEX($AV$56:$AX$65,,$AI139), INDEX($AY$56:$BE$65,,$AH139), 1 / ($BG$56:$BG$65*BY139 + (1-$BG$56:$BG$65)*BU139), N($AU$56:$AU$65&gt;$AM139))
) / 1000</f>
        <v>0</v>
      </c>
      <c r="CA139" s="231">
        <f t="shared" si="316"/>
        <v>20</v>
      </c>
      <c r="CB139" s="229">
        <f t="shared" si="481"/>
        <v>33</v>
      </c>
      <c r="CC139" s="234">
        <f t="shared" si="482"/>
        <v>4.8487499999999999</v>
      </c>
      <c r="CD139" s="234" cm="1">
        <f t="array" ref="CD139">$BM139 * IF($AH139&lt;=2,
SUMPRODUCT(INDEX($AV$61:$AX$65,,$AI139), INDEX($AY$61:$BE$65,,$AH139), 1 / ($BF$61:$BF$65*CC139 + (1-$BF$61:$BF$65)*BY139), N($AU$61:$AU$65&gt;$AM139)),
SUMPRODUCT(INDEX($AV$46:$AX$55,,$AI139), INDEX($AY$46:$BE$55,,$AH139), 1 / ($BG$46:$BG$55*CC139 + (1-$BG$46:$BG$55)*BY139), N($AU$46:$AU$55&gt;$AM139))
) / 1000</f>
        <v>0</v>
      </c>
      <c r="CE139" s="234" cm="1">
        <f t="array" ref="CE139">$BM139 * IF($AH139&lt;=2,
SUMPRODUCT(INDEX($AV$22:$AX$60,,$AI139), INDEX($AY$22:$BE$60,,$AH139), 1 / ($BF$22:$BF$60*CC139), N($AU$22:$AU$60&gt;$AM139)),
SUMPRODUCT(INDEX($AV$22:$AX$45,,$AI139), INDEX($AY$22:$BE$45,,$AH139), 1 / ($BG$22:$BG$45*CC139), N($AU$22:$AU$45&gt;$AM139))
) / 1000</f>
        <v>0</v>
      </c>
      <c r="CF139" s="229">
        <f t="shared" si="483"/>
        <v>0</v>
      </c>
      <c r="CG139" s="246"/>
      <c r="CH139" s="229">
        <f t="shared" si="484"/>
        <v>0</v>
      </c>
      <c r="CI139" s="228">
        <v>35</v>
      </c>
      <c r="CJ139" s="229">
        <f t="shared" si="485"/>
        <v>48</v>
      </c>
      <c r="CK139" s="234">
        <f t="shared" si="486"/>
        <v>3.0748170731707316</v>
      </c>
      <c r="CL139" s="234" cm="1">
        <f t="array" ref="CL139">$BM139 * SUMPRODUCT(INDEX($AV$76:$AX$81,,$AI139),INDEX($AY$76:$BE$81,,$AH139), N($AU$76:$AU$81&gt;$AM139)) / CK139 / 1000</f>
        <v>0</v>
      </c>
      <c r="CM139" s="231">
        <f t="shared" si="323"/>
        <v>30</v>
      </c>
      <c r="CN139" s="229">
        <f t="shared" si="487"/>
        <v>43</v>
      </c>
      <c r="CO139" s="234">
        <f t="shared" si="488"/>
        <v>3.5018750000000001</v>
      </c>
      <c r="CP139" s="234" cm="1">
        <f t="array" ref="CP139">$BM139 * IF($AH139&lt;=2,
SUMPRODUCT(INDEX($AV$71:$AX$75,,$AI139), INDEX($AY$71:$BE$75,,$AH139), 1 / ($BF$71:$BF$75*CO139 + (1-$BF$71:$BF$75)*CK139), N($AU$71:$AU$75&gt;$AM139)),
SUMPRODUCT(INDEX($AV$66:$AX$75,,$AI139), INDEX($AY$66:$BE$75,,$AH139), 1 / ($BG$66:$BG$75*CO139 + (1-$BG$66:$BG$75)*CK139), N($AU$66:$AU$75&gt;$AM139))
) / 1000</f>
        <v>0</v>
      </c>
      <c r="CQ139" s="231">
        <f t="shared" si="326"/>
        <v>25</v>
      </c>
      <c r="CR139" s="229">
        <f t="shared" si="489"/>
        <v>38</v>
      </c>
      <c r="CS139" s="234">
        <f t="shared" si="490"/>
        <v>4.0666935483870965</v>
      </c>
      <c r="CT139" s="234" cm="1">
        <f t="array" ref="CT139">$BM139 * IF($AH139&lt;=2,
SUMPRODUCT(INDEX($AV$66:$AX$70,,$AI139), INDEX($AY$66:$BE$70,,$AH139), 1 / ($BF$66:$BF$70*CS139 + (1-$BF$66:$BF$70)*CO139), N($AU$66:$AU$70&gt;$AM139)),
SUMPRODUCT(INDEX($AV$56:$AX$65,,$AI139), INDEX($AY$56:$BE$65,,$AH139), 1 / ($BG$56:$BG$65*CS139 + (1-$BG$56:$BG$65)*CO139), N($AU$56:$AU$65&gt;$AM139))
) / 1000</f>
        <v>0</v>
      </c>
      <c r="CU139" s="231">
        <f t="shared" si="329"/>
        <v>20</v>
      </c>
      <c r="CV139" s="229">
        <f t="shared" si="491"/>
        <v>33</v>
      </c>
      <c r="CW139" s="234">
        <f t="shared" si="492"/>
        <v>4.8487499999999999</v>
      </c>
      <c r="CX139" s="234" cm="1">
        <f t="array" ref="CX139">$BM139 * IF($AH139&lt;=2,
SUMPRODUCT(INDEX($AV$61:$AX$65,,$AI139), INDEX($AY$61:$BE$65,,$AH139), 1 / ($BF$61:$BF$65*CW139 + (1-$BF$61:$BF$65)*CS139), N($AU$61:$AU$65&gt;$AM139)),
SUMPRODUCT(INDEX($AV$46:$AX$55,,$AI139), INDEX($AY$46:$BE$55,,$AH139), 1 / ($BG$46:$BG$55*CW139 + (1-$BG$46:$BG$55)*CS139), N($AU$46:$AU$55&gt;$AM139))
) / 1000</f>
        <v>0</v>
      </c>
      <c r="CY139" s="234" cm="1">
        <f t="array" ref="CY139">$BM139 * IF($AH139&lt;=2,
SUMPRODUCT(INDEX($AV$22:$AX$60,,$AI139), INDEX($AY$22:$BE$60,,$AH139), 1 / ($BF$22:$BF$60*CW139), N($AU$22:$AU$60&gt;$AM139)),
SUMPRODUCT(INDEX($AV$22:$AX$45,,$AI139), INDEX($AY$22:$BE$45,,$AH139), 1 / ($BG$22:$BG$45*CW139), N($AU$22:$AU$45&gt;$AM139))
) / 1000</f>
        <v>0</v>
      </c>
      <c r="CZ139" s="229">
        <f t="shared" si="493"/>
        <v>0</v>
      </c>
      <c r="DA139" s="246"/>
    </row>
    <row r="140" spans="1:105" s="75" customFormat="1" ht="14.25" customHeight="1" x14ac:dyDescent="0.2">
      <c r="A140" s="230" t="b">
        <f t="shared" si="291"/>
        <v>0</v>
      </c>
      <c r="B140" s="253">
        <v>119</v>
      </c>
      <c r="C140" s="266"/>
      <c r="D140" s="266"/>
      <c r="E140" s="254"/>
      <c r="F140" s="255" t="str">
        <f>IF(ISBLANK(E140), "", VLOOKUP(E140, Z!$A$2:$C$4127, 3, FALSE))</f>
        <v/>
      </c>
      <c r="G140" s="256"/>
      <c r="H140" s="256"/>
      <c r="I140" s="256"/>
      <c r="J140" s="257"/>
      <c r="K140" s="258"/>
      <c r="L140" s="267"/>
      <c r="M140" s="268"/>
      <c r="N140" s="259" t="str" cm="1">
        <f t="array" ref="N140">IF($L140&gt;0, INDEX(Clean,1+AK140,$D$1), "")</f>
        <v/>
      </c>
      <c r="O140" s="260"/>
      <c r="P140" s="260"/>
      <c r="Q140" s="261"/>
      <c r="R140" s="264">
        <f t="shared" si="469"/>
        <v>0</v>
      </c>
      <c r="S140" s="259" t="str" cm="1">
        <f t="array" ref="S140">IF($L140&gt;0, INDEX(Clean,1+AL140,$D$1), "")</f>
        <v/>
      </c>
      <c r="T140" s="260"/>
      <c r="U140" s="260"/>
      <c r="V140" s="261"/>
      <c r="W140" s="267"/>
      <c r="X140" s="267"/>
      <c r="Y140" s="257"/>
      <c r="Z140" s="264">
        <f t="shared" si="470"/>
        <v>0</v>
      </c>
      <c r="AA140" s="269"/>
      <c r="AB140" s="266"/>
      <c r="AC140" s="254"/>
      <c r="AD140" s="255" t="str">
        <f>IF(ISBLANK(AC140), "", VLOOKUP(AC140, Z!$A$2:$C$4127, 3, FALSE))</f>
        <v/>
      </c>
      <c r="AE140" s="270"/>
      <c r="AF140" s="265">
        <f t="shared" si="471"/>
        <v>0</v>
      </c>
      <c r="AG140" s="246"/>
      <c r="AH140" s="228">
        <f t="shared" si="494"/>
        <v>1</v>
      </c>
      <c r="AI140" s="228">
        <f t="shared" si="495"/>
        <v>1</v>
      </c>
      <c r="AJ140" s="228">
        <f t="shared" si="496"/>
        <v>0</v>
      </c>
      <c r="AK140" s="228">
        <v>0</v>
      </c>
      <c r="AL140" s="228">
        <v>0</v>
      </c>
      <c r="AM140" s="228">
        <f t="shared" si="472"/>
        <v>-100</v>
      </c>
      <c r="AN140" s="228" cm="1">
        <f t="array" ref="AN140">IF(ISBLANK(G140), 1, IFERROR(MATCH(G140, INDEX(Kat,,1), 0), IFERROR(MATCH(Kat, INDEX(Use,,2), 0), MATCH(Kat, INDEX(Use,,3), 0))))</f>
        <v>1</v>
      </c>
      <c r="AO140" s="246"/>
      <c r="AP140" s="228" cm="1">
        <f t="array" ref="AP140">IF(W140&gt;0, INDEX(Kat, AN140,4), 0)</f>
        <v>0</v>
      </c>
      <c r="AQ140" s="228">
        <f t="shared" si="497"/>
        <v>0</v>
      </c>
      <c r="AR140" s="228" cm="1">
        <f t="array" ref="AR140">IF(X140&gt;0, INDEX(Kat, $AN140, 4+AQ140), 0)</f>
        <v>0</v>
      </c>
      <c r="AS140" s="228" cm="1">
        <f t="array" ref="AS140">IF(X140&gt;0, INDEX(Kat, $AN140, 9+AQ140), 0)</f>
        <v>0</v>
      </c>
      <c r="AT140" s="246"/>
      <c r="AU140" s="262"/>
      <c r="AV140" s="262"/>
      <c r="AW140" s="263"/>
      <c r="AX140" s="263"/>
      <c r="AY140" s="263"/>
      <c r="AZ140" s="263"/>
      <c r="BA140" s="263"/>
      <c r="BB140" s="263"/>
      <c r="BC140" s="263"/>
      <c r="BD140" s="263"/>
      <c r="BE140" s="263"/>
      <c r="BF140" s="263"/>
      <c r="BG140" s="263"/>
      <c r="BH140" s="246"/>
      <c r="BI140" s="228" cm="1">
        <f t="array" ref="BI140">INDEX(Use, $AH140, 4)</f>
        <v>7</v>
      </c>
      <c r="BJ140" s="228">
        <f t="shared" si="473"/>
        <v>32</v>
      </c>
      <c r="BK140" s="228">
        <f t="shared" si="305"/>
        <v>13</v>
      </c>
      <c r="BL140" s="228">
        <f t="shared" si="306"/>
        <v>0</v>
      </c>
      <c r="BM140" s="233" cm="1">
        <f t="array" ref="BM140">L140/IF($M140&gt;0, INDEX($AY$22:$BE$76, $M140+20, $AH140), 1)</f>
        <v>0</v>
      </c>
      <c r="BN140" s="229">
        <f t="shared" si="474"/>
        <v>0</v>
      </c>
      <c r="BO140" s="228">
        <v>35</v>
      </c>
      <c r="BP140" s="229">
        <f t="shared" si="475"/>
        <v>48</v>
      </c>
      <c r="BQ140" s="234">
        <f t="shared" si="476"/>
        <v>3.0748170731707316</v>
      </c>
      <c r="BR140" s="234" cm="1">
        <f t="array" ref="BR140">$BM140 * SUMPRODUCT(INDEX($AV$76:$AX$81,,$AI140),INDEX($AY$76:$BE$81,,$AH140), N($AU$76:$AU$81&gt;$AM140)) / BQ140 / 1000</f>
        <v>0</v>
      </c>
      <c r="BS140" s="231">
        <f t="shared" si="310"/>
        <v>30</v>
      </c>
      <c r="BT140" s="229">
        <f t="shared" si="477"/>
        <v>43</v>
      </c>
      <c r="BU140" s="234">
        <f t="shared" si="478"/>
        <v>3.5018750000000001</v>
      </c>
      <c r="BV140" s="234" cm="1">
        <f t="array" ref="BV140">$BM140 * IF($AH140&lt;=2,
SUMPRODUCT(INDEX($AV$71:$AX$75,,$AI140), INDEX($AY$71:$BE$75,,$AH140), 1 / ($BF$71:$BF$75*BU140 + (1-$BF$71:$BF$75)*BQ140), N($AU$71:$AU$75&gt;$AM140)),
SUMPRODUCT(INDEX($AV$66:$AX$75,,$AI140), INDEX($AY$66:$BE$75,,$AH140), 1 / ($BG$66:$BG$75*BU140 + (1-$BG$66:$BG$75)*BQ140), N($AU$66:$AU$75&gt;$AM140))
) / 1000</f>
        <v>0</v>
      </c>
      <c r="BW140" s="231">
        <f t="shared" si="313"/>
        <v>25</v>
      </c>
      <c r="BX140" s="229">
        <f t="shared" si="479"/>
        <v>38</v>
      </c>
      <c r="BY140" s="234">
        <f t="shared" si="480"/>
        <v>4.0666935483870965</v>
      </c>
      <c r="BZ140" s="234" cm="1">
        <f t="array" ref="BZ140">$BM140 * IF($AH140&lt;=2,
SUMPRODUCT(INDEX($AV$66:$AX$70,,$AI140), INDEX($AY$66:$BE$70,,$AH140), 1 / ($BF$66:$BF$70*BY140 + (1-$BF$66:$BF$70)*BU140), N($AU$66:$AU$70&gt;$AM140)),
SUMPRODUCT(INDEX($AV$56:$AX$65,,$AI140), INDEX($AY$56:$BE$65,,$AH140), 1 / ($BG$56:$BG$65*BY140 + (1-$BG$56:$BG$65)*BU140), N($AU$56:$AU$65&gt;$AM140))
) / 1000</f>
        <v>0</v>
      </c>
      <c r="CA140" s="231">
        <f t="shared" si="316"/>
        <v>20</v>
      </c>
      <c r="CB140" s="229">
        <f t="shared" si="481"/>
        <v>33</v>
      </c>
      <c r="CC140" s="234">
        <f t="shared" si="482"/>
        <v>4.8487499999999999</v>
      </c>
      <c r="CD140" s="234" cm="1">
        <f t="array" ref="CD140">$BM140 * IF($AH140&lt;=2,
SUMPRODUCT(INDEX($AV$61:$AX$65,,$AI140), INDEX($AY$61:$BE$65,,$AH140), 1 / ($BF$61:$BF$65*CC140 + (1-$BF$61:$BF$65)*BY140), N($AU$61:$AU$65&gt;$AM140)),
SUMPRODUCT(INDEX($AV$46:$AX$55,,$AI140), INDEX($AY$46:$BE$55,,$AH140), 1 / ($BG$46:$BG$55*CC140 + (1-$BG$46:$BG$55)*BY140), N($AU$46:$AU$55&gt;$AM140))
) / 1000</f>
        <v>0</v>
      </c>
      <c r="CE140" s="234" cm="1">
        <f t="array" ref="CE140">$BM140 * IF($AH140&lt;=2,
SUMPRODUCT(INDEX($AV$22:$AX$60,,$AI140), INDEX($AY$22:$BE$60,,$AH140), 1 / ($BF$22:$BF$60*CC140), N($AU$22:$AU$60&gt;$AM140)),
SUMPRODUCT(INDEX($AV$22:$AX$45,,$AI140), INDEX($AY$22:$BE$45,,$AH140), 1 / ($BG$22:$BG$45*CC140), N($AU$22:$AU$45&gt;$AM140))
) / 1000</f>
        <v>0</v>
      </c>
      <c r="CF140" s="229">
        <f t="shared" si="483"/>
        <v>0</v>
      </c>
      <c r="CG140" s="246"/>
      <c r="CH140" s="229">
        <f t="shared" si="484"/>
        <v>0</v>
      </c>
      <c r="CI140" s="228">
        <v>35</v>
      </c>
      <c r="CJ140" s="229">
        <f t="shared" si="485"/>
        <v>48</v>
      </c>
      <c r="CK140" s="234">
        <f t="shared" si="486"/>
        <v>3.0748170731707316</v>
      </c>
      <c r="CL140" s="234" cm="1">
        <f t="array" ref="CL140">$BM140 * SUMPRODUCT(INDEX($AV$76:$AX$81,,$AI140),INDEX($AY$76:$BE$81,,$AH140), N($AU$76:$AU$81&gt;$AM140)) / CK140 / 1000</f>
        <v>0</v>
      </c>
      <c r="CM140" s="231">
        <f t="shared" si="323"/>
        <v>30</v>
      </c>
      <c r="CN140" s="229">
        <f t="shared" si="487"/>
        <v>43</v>
      </c>
      <c r="CO140" s="234">
        <f t="shared" si="488"/>
        <v>3.5018750000000001</v>
      </c>
      <c r="CP140" s="234" cm="1">
        <f t="array" ref="CP140">$BM140 * IF($AH140&lt;=2,
SUMPRODUCT(INDEX($AV$71:$AX$75,,$AI140), INDEX($AY$71:$BE$75,,$AH140), 1 / ($BF$71:$BF$75*CO140 + (1-$BF$71:$BF$75)*CK140), N($AU$71:$AU$75&gt;$AM140)),
SUMPRODUCT(INDEX($AV$66:$AX$75,,$AI140), INDEX($AY$66:$BE$75,,$AH140), 1 / ($BG$66:$BG$75*CO140 + (1-$BG$66:$BG$75)*CK140), N($AU$66:$AU$75&gt;$AM140))
) / 1000</f>
        <v>0</v>
      </c>
      <c r="CQ140" s="231">
        <f t="shared" si="326"/>
        <v>25</v>
      </c>
      <c r="CR140" s="229">
        <f t="shared" si="489"/>
        <v>38</v>
      </c>
      <c r="CS140" s="234">
        <f t="shared" si="490"/>
        <v>4.0666935483870965</v>
      </c>
      <c r="CT140" s="234" cm="1">
        <f t="array" ref="CT140">$BM140 * IF($AH140&lt;=2,
SUMPRODUCT(INDEX($AV$66:$AX$70,,$AI140), INDEX($AY$66:$BE$70,,$AH140), 1 / ($BF$66:$BF$70*CS140 + (1-$BF$66:$BF$70)*CO140), N($AU$66:$AU$70&gt;$AM140)),
SUMPRODUCT(INDEX($AV$56:$AX$65,,$AI140), INDEX($AY$56:$BE$65,,$AH140), 1 / ($BG$56:$BG$65*CS140 + (1-$BG$56:$BG$65)*CO140), N($AU$56:$AU$65&gt;$AM140))
) / 1000</f>
        <v>0</v>
      </c>
      <c r="CU140" s="231">
        <f t="shared" si="329"/>
        <v>20</v>
      </c>
      <c r="CV140" s="229">
        <f t="shared" si="491"/>
        <v>33</v>
      </c>
      <c r="CW140" s="234">
        <f t="shared" si="492"/>
        <v>4.8487499999999999</v>
      </c>
      <c r="CX140" s="234" cm="1">
        <f t="array" ref="CX140">$BM140 * IF($AH140&lt;=2,
SUMPRODUCT(INDEX($AV$61:$AX$65,,$AI140), INDEX($AY$61:$BE$65,,$AH140), 1 / ($BF$61:$BF$65*CW140 + (1-$BF$61:$BF$65)*CS140), N($AU$61:$AU$65&gt;$AM140)),
SUMPRODUCT(INDEX($AV$46:$AX$55,,$AI140), INDEX($AY$46:$BE$55,,$AH140), 1 / ($BG$46:$BG$55*CW140 + (1-$BG$46:$BG$55)*CS140), N($AU$46:$AU$55&gt;$AM140))
) / 1000</f>
        <v>0</v>
      </c>
      <c r="CY140" s="234" cm="1">
        <f t="array" ref="CY140">$BM140 * IF($AH140&lt;=2,
SUMPRODUCT(INDEX($AV$22:$AX$60,,$AI140), INDEX($AY$22:$BE$60,,$AH140), 1 / ($BF$22:$BF$60*CW140), N($AU$22:$AU$60&gt;$AM140)),
SUMPRODUCT(INDEX($AV$22:$AX$45,,$AI140), INDEX($AY$22:$BE$45,,$AH140), 1 / ($BG$22:$BG$45*CW140), N($AU$22:$AU$45&gt;$AM140))
) / 1000</f>
        <v>0</v>
      </c>
      <c r="CZ140" s="229">
        <f t="shared" si="493"/>
        <v>0</v>
      </c>
      <c r="DA140" s="246"/>
    </row>
    <row r="141" spans="1:105" s="75" customFormat="1" ht="14.25" customHeight="1" x14ac:dyDescent="0.2">
      <c r="A141" s="230" t="b">
        <f t="shared" si="291"/>
        <v>0</v>
      </c>
      <c r="B141" s="253">
        <v>120</v>
      </c>
      <c r="C141" s="266"/>
      <c r="D141" s="266"/>
      <c r="E141" s="254"/>
      <c r="F141" s="255" t="str">
        <f>IF(ISBLANK(E141), "", VLOOKUP(E141, Z!$A$2:$C$4127, 3, FALSE))</f>
        <v/>
      </c>
      <c r="G141" s="256"/>
      <c r="H141" s="256"/>
      <c r="I141" s="256"/>
      <c r="J141" s="257"/>
      <c r="K141" s="258"/>
      <c r="L141" s="267"/>
      <c r="M141" s="268"/>
      <c r="N141" s="259" t="str" cm="1">
        <f t="array" ref="N141">IF($L141&gt;0, INDEX(Clean,1+AK141,$D$1), "")</f>
        <v/>
      </c>
      <c r="O141" s="260"/>
      <c r="P141" s="260"/>
      <c r="Q141" s="261"/>
      <c r="R141" s="264">
        <f t="shared" si="469"/>
        <v>0</v>
      </c>
      <c r="S141" s="259" t="str" cm="1">
        <f t="array" ref="S141">IF($L141&gt;0, INDEX(Clean,1+AL141,$D$1), "")</f>
        <v/>
      </c>
      <c r="T141" s="260"/>
      <c r="U141" s="260"/>
      <c r="V141" s="261"/>
      <c r="W141" s="267"/>
      <c r="X141" s="267"/>
      <c r="Y141" s="257"/>
      <c r="Z141" s="264">
        <f t="shared" si="470"/>
        <v>0</v>
      </c>
      <c r="AA141" s="269"/>
      <c r="AB141" s="266"/>
      <c r="AC141" s="254"/>
      <c r="AD141" s="255" t="str">
        <f>IF(ISBLANK(AC141), "", VLOOKUP(AC141, Z!$A$2:$C$4127, 3, FALSE))</f>
        <v/>
      </c>
      <c r="AE141" s="270"/>
      <c r="AF141" s="265">
        <f t="shared" si="471"/>
        <v>0</v>
      </c>
      <c r="AG141" s="246"/>
      <c r="AH141" s="228">
        <f t="shared" si="494"/>
        <v>1</v>
      </c>
      <c r="AI141" s="228">
        <f t="shared" si="495"/>
        <v>1</v>
      </c>
      <c r="AJ141" s="228">
        <f t="shared" si="496"/>
        <v>0</v>
      </c>
      <c r="AK141" s="228">
        <v>0</v>
      </c>
      <c r="AL141" s="228">
        <v>0</v>
      </c>
      <c r="AM141" s="228">
        <f t="shared" si="472"/>
        <v>-100</v>
      </c>
      <c r="AN141" s="228" cm="1">
        <f t="array" ref="AN141">IF(ISBLANK(G141), 1, IFERROR(MATCH(G141, INDEX(Kat,,1), 0), IFERROR(MATCH(Kat, INDEX(Use,,2), 0), MATCH(Kat, INDEX(Use,,3), 0))))</f>
        <v>1</v>
      </c>
      <c r="AO141" s="246"/>
      <c r="AP141" s="228" cm="1">
        <f t="array" ref="AP141">IF(W141&gt;0, INDEX(Kat, AN141,4), 0)</f>
        <v>0</v>
      </c>
      <c r="AQ141" s="228">
        <f t="shared" si="497"/>
        <v>0</v>
      </c>
      <c r="AR141" s="228" cm="1">
        <f t="array" ref="AR141">IF(X141&gt;0, INDEX(Kat, $AN141, 4+AQ141), 0)</f>
        <v>0</v>
      </c>
      <c r="AS141" s="228" cm="1">
        <f t="array" ref="AS141">IF(X141&gt;0, INDEX(Kat, $AN141, 9+AQ141), 0)</f>
        <v>0</v>
      </c>
      <c r="AT141" s="246"/>
      <c r="AU141" s="262"/>
      <c r="AV141" s="262"/>
      <c r="AW141" s="263"/>
      <c r="AX141" s="263"/>
      <c r="AY141" s="263"/>
      <c r="AZ141" s="263"/>
      <c r="BA141" s="263"/>
      <c r="BB141" s="263"/>
      <c r="BC141" s="263"/>
      <c r="BD141" s="263"/>
      <c r="BE141" s="263"/>
      <c r="BF141" s="263"/>
      <c r="BG141" s="263"/>
      <c r="BH141" s="246"/>
      <c r="BI141" s="228" cm="1">
        <f t="array" ref="BI141">INDEX(Use, $AH141, 4)</f>
        <v>7</v>
      </c>
      <c r="BJ141" s="228">
        <f t="shared" si="473"/>
        <v>32</v>
      </c>
      <c r="BK141" s="228">
        <f t="shared" si="305"/>
        <v>13</v>
      </c>
      <c r="BL141" s="228">
        <f t="shared" si="306"/>
        <v>0</v>
      </c>
      <c r="BM141" s="233" cm="1">
        <f t="array" ref="BM141">L141/IF($M141&gt;0, INDEX($AY$22:$BE$76, $M141+20, $AH141), 1)</f>
        <v>0</v>
      </c>
      <c r="BN141" s="229">
        <f t="shared" si="474"/>
        <v>0</v>
      </c>
      <c r="BO141" s="228">
        <v>35</v>
      </c>
      <c r="BP141" s="229">
        <f t="shared" si="475"/>
        <v>48</v>
      </c>
      <c r="BQ141" s="234">
        <f t="shared" si="476"/>
        <v>3.0748170731707316</v>
      </c>
      <c r="BR141" s="234" cm="1">
        <f t="array" ref="BR141">$BM141 * SUMPRODUCT(INDEX($AV$76:$AX$81,,$AI141),INDEX($AY$76:$BE$81,,$AH141), N($AU$76:$AU$81&gt;$AM141)) / BQ141 / 1000</f>
        <v>0</v>
      </c>
      <c r="BS141" s="231">
        <f t="shared" si="310"/>
        <v>30</v>
      </c>
      <c r="BT141" s="229">
        <f t="shared" si="477"/>
        <v>43</v>
      </c>
      <c r="BU141" s="234">
        <f t="shared" si="478"/>
        <v>3.5018750000000001</v>
      </c>
      <c r="BV141" s="234" cm="1">
        <f t="array" ref="BV141">$BM141 * IF($AH141&lt;=2,
SUMPRODUCT(INDEX($AV$71:$AX$75,,$AI141), INDEX($AY$71:$BE$75,,$AH141), 1 / ($BF$71:$BF$75*BU141 + (1-$BF$71:$BF$75)*BQ141), N($AU$71:$AU$75&gt;$AM141)),
SUMPRODUCT(INDEX($AV$66:$AX$75,,$AI141), INDEX($AY$66:$BE$75,,$AH141), 1 / ($BG$66:$BG$75*BU141 + (1-$BG$66:$BG$75)*BQ141), N($AU$66:$AU$75&gt;$AM141))
) / 1000</f>
        <v>0</v>
      </c>
      <c r="BW141" s="231">
        <f t="shared" si="313"/>
        <v>25</v>
      </c>
      <c r="BX141" s="229">
        <f t="shared" si="479"/>
        <v>38</v>
      </c>
      <c r="BY141" s="234">
        <f t="shared" si="480"/>
        <v>4.0666935483870965</v>
      </c>
      <c r="BZ141" s="234" cm="1">
        <f t="array" ref="BZ141">$BM141 * IF($AH141&lt;=2,
SUMPRODUCT(INDEX($AV$66:$AX$70,,$AI141), INDEX($AY$66:$BE$70,,$AH141), 1 / ($BF$66:$BF$70*BY141 + (1-$BF$66:$BF$70)*BU141), N($AU$66:$AU$70&gt;$AM141)),
SUMPRODUCT(INDEX($AV$56:$AX$65,,$AI141), INDEX($AY$56:$BE$65,,$AH141), 1 / ($BG$56:$BG$65*BY141 + (1-$BG$56:$BG$65)*BU141), N($AU$56:$AU$65&gt;$AM141))
) / 1000</f>
        <v>0</v>
      </c>
      <c r="CA141" s="231">
        <f t="shared" si="316"/>
        <v>20</v>
      </c>
      <c r="CB141" s="229">
        <f t="shared" si="481"/>
        <v>33</v>
      </c>
      <c r="CC141" s="234">
        <f t="shared" si="482"/>
        <v>4.8487499999999999</v>
      </c>
      <c r="CD141" s="234" cm="1">
        <f t="array" ref="CD141">$BM141 * IF($AH141&lt;=2,
SUMPRODUCT(INDEX($AV$61:$AX$65,,$AI141), INDEX($AY$61:$BE$65,,$AH141), 1 / ($BF$61:$BF$65*CC141 + (1-$BF$61:$BF$65)*BY141), N($AU$61:$AU$65&gt;$AM141)),
SUMPRODUCT(INDEX($AV$46:$AX$55,,$AI141), INDEX($AY$46:$BE$55,,$AH141), 1 / ($BG$46:$BG$55*CC141 + (1-$BG$46:$BG$55)*BY141), N($AU$46:$AU$55&gt;$AM141))
) / 1000</f>
        <v>0</v>
      </c>
      <c r="CE141" s="234" cm="1">
        <f t="array" ref="CE141">$BM141 * IF($AH141&lt;=2,
SUMPRODUCT(INDEX($AV$22:$AX$60,,$AI141), INDEX($AY$22:$BE$60,,$AH141), 1 / ($BF$22:$BF$60*CC141), N($AU$22:$AU$60&gt;$AM141)),
SUMPRODUCT(INDEX($AV$22:$AX$45,,$AI141), INDEX($AY$22:$BE$45,,$AH141), 1 / ($BG$22:$BG$45*CC141), N($AU$22:$AU$45&gt;$AM141))
) / 1000</f>
        <v>0</v>
      </c>
      <c r="CF141" s="229">
        <f t="shared" si="483"/>
        <v>0</v>
      </c>
      <c r="CG141" s="246"/>
      <c r="CH141" s="229">
        <f t="shared" si="484"/>
        <v>0</v>
      </c>
      <c r="CI141" s="228">
        <v>35</v>
      </c>
      <c r="CJ141" s="229">
        <f t="shared" si="485"/>
        <v>48</v>
      </c>
      <c r="CK141" s="234">
        <f t="shared" si="486"/>
        <v>3.0748170731707316</v>
      </c>
      <c r="CL141" s="234" cm="1">
        <f t="array" ref="CL141">$BM141 * SUMPRODUCT(INDEX($AV$76:$AX$81,,$AI141),INDEX($AY$76:$BE$81,,$AH141), N($AU$76:$AU$81&gt;$AM141)) / CK141 / 1000</f>
        <v>0</v>
      </c>
      <c r="CM141" s="231">
        <f t="shared" si="323"/>
        <v>30</v>
      </c>
      <c r="CN141" s="229">
        <f t="shared" si="487"/>
        <v>43</v>
      </c>
      <c r="CO141" s="234">
        <f t="shared" si="488"/>
        <v>3.5018750000000001</v>
      </c>
      <c r="CP141" s="234" cm="1">
        <f t="array" ref="CP141">$BM141 * IF($AH141&lt;=2,
SUMPRODUCT(INDEX($AV$71:$AX$75,,$AI141), INDEX($AY$71:$BE$75,,$AH141), 1 / ($BF$71:$BF$75*CO141 + (1-$BF$71:$BF$75)*CK141), N($AU$71:$AU$75&gt;$AM141)),
SUMPRODUCT(INDEX($AV$66:$AX$75,,$AI141), INDEX($AY$66:$BE$75,,$AH141), 1 / ($BG$66:$BG$75*CO141 + (1-$BG$66:$BG$75)*CK141), N($AU$66:$AU$75&gt;$AM141))
) / 1000</f>
        <v>0</v>
      </c>
      <c r="CQ141" s="231">
        <f t="shared" si="326"/>
        <v>25</v>
      </c>
      <c r="CR141" s="229">
        <f t="shared" si="489"/>
        <v>38</v>
      </c>
      <c r="CS141" s="234">
        <f t="shared" si="490"/>
        <v>4.0666935483870965</v>
      </c>
      <c r="CT141" s="234" cm="1">
        <f t="array" ref="CT141">$BM141 * IF($AH141&lt;=2,
SUMPRODUCT(INDEX($AV$66:$AX$70,,$AI141), INDEX($AY$66:$BE$70,,$AH141), 1 / ($BF$66:$BF$70*CS141 + (1-$BF$66:$BF$70)*CO141), N($AU$66:$AU$70&gt;$AM141)),
SUMPRODUCT(INDEX($AV$56:$AX$65,,$AI141), INDEX($AY$56:$BE$65,,$AH141), 1 / ($BG$56:$BG$65*CS141 + (1-$BG$56:$BG$65)*CO141), N($AU$56:$AU$65&gt;$AM141))
) / 1000</f>
        <v>0</v>
      </c>
      <c r="CU141" s="231">
        <f t="shared" si="329"/>
        <v>20</v>
      </c>
      <c r="CV141" s="229">
        <f t="shared" si="491"/>
        <v>33</v>
      </c>
      <c r="CW141" s="234">
        <f t="shared" si="492"/>
        <v>4.8487499999999999</v>
      </c>
      <c r="CX141" s="234" cm="1">
        <f t="array" ref="CX141">$BM141 * IF($AH141&lt;=2,
SUMPRODUCT(INDEX($AV$61:$AX$65,,$AI141), INDEX($AY$61:$BE$65,,$AH141), 1 / ($BF$61:$BF$65*CW141 + (1-$BF$61:$BF$65)*CS141), N($AU$61:$AU$65&gt;$AM141)),
SUMPRODUCT(INDEX($AV$46:$AX$55,,$AI141), INDEX($AY$46:$BE$55,,$AH141), 1 / ($BG$46:$BG$55*CW141 + (1-$BG$46:$BG$55)*CS141), N($AU$46:$AU$55&gt;$AM141))
) / 1000</f>
        <v>0</v>
      </c>
      <c r="CY141" s="234" cm="1">
        <f t="array" ref="CY141">$BM141 * IF($AH141&lt;=2,
SUMPRODUCT(INDEX($AV$22:$AX$60,,$AI141), INDEX($AY$22:$BE$60,,$AH141), 1 / ($BF$22:$BF$60*CW141), N($AU$22:$AU$60&gt;$AM141)),
SUMPRODUCT(INDEX($AV$22:$AX$45,,$AI141), INDEX($AY$22:$BE$45,,$AH141), 1 / ($BG$22:$BG$45*CW141), N($AU$22:$AU$45&gt;$AM141))
) / 1000</f>
        <v>0</v>
      </c>
      <c r="CZ141" s="229">
        <f t="shared" si="493"/>
        <v>0</v>
      </c>
      <c r="DA141" s="246"/>
    </row>
    <row r="142" spans="1:105" s="75" customFormat="1" ht="14.25" customHeight="1" x14ac:dyDescent="0.2">
      <c r="A142" s="230" t="b">
        <f t="shared" si="291"/>
        <v>0</v>
      </c>
      <c r="B142" s="253">
        <v>121</v>
      </c>
      <c r="C142" s="266"/>
      <c r="D142" s="266"/>
      <c r="E142" s="254"/>
      <c r="F142" s="255" t="str">
        <f>IF(ISBLANK(E142), "", VLOOKUP(E142, Z!$A$2:$C$4127, 3, FALSE))</f>
        <v/>
      </c>
      <c r="G142" s="256"/>
      <c r="H142" s="256"/>
      <c r="I142" s="256"/>
      <c r="J142" s="257"/>
      <c r="K142" s="258"/>
      <c r="L142" s="267"/>
      <c r="M142" s="268"/>
      <c r="N142" s="259" t="str" cm="1">
        <f t="array" ref="N142">IF($L142&gt;0, INDEX(Clean,1+AK142,$D$1), "")</f>
        <v/>
      </c>
      <c r="O142" s="260"/>
      <c r="P142" s="260"/>
      <c r="Q142" s="261"/>
      <c r="R142" s="264">
        <f t="shared" si="469"/>
        <v>0</v>
      </c>
      <c r="S142" s="259" t="str" cm="1">
        <f t="array" ref="S142">IF($L142&gt;0, INDEX(Clean,1+AL142,$D$1), "")</f>
        <v/>
      </c>
      <c r="T142" s="260"/>
      <c r="U142" s="260"/>
      <c r="V142" s="261"/>
      <c r="W142" s="267"/>
      <c r="X142" s="267"/>
      <c r="Y142" s="257"/>
      <c r="Z142" s="264">
        <f t="shared" si="470"/>
        <v>0</v>
      </c>
      <c r="AA142" s="269"/>
      <c r="AB142" s="266"/>
      <c r="AC142" s="254"/>
      <c r="AD142" s="255" t="str">
        <f>IF(ISBLANK(AC142), "", VLOOKUP(AC142, Z!$A$2:$C$4127, 3, FALSE))</f>
        <v/>
      </c>
      <c r="AE142" s="270"/>
      <c r="AF142" s="265">
        <f t="shared" si="471"/>
        <v>0</v>
      </c>
      <c r="AG142" s="246"/>
      <c r="AH142" s="228">
        <f t="shared" si="494"/>
        <v>1</v>
      </c>
      <c r="AI142" s="228">
        <f t="shared" si="495"/>
        <v>1</v>
      </c>
      <c r="AJ142" s="228">
        <f t="shared" si="496"/>
        <v>0</v>
      </c>
      <c r="AK142" s="228">
        <v>0</v>
      </c>
      <c r="AL142" s="228">
        <v>0</v>
      </c>
      <c r="AM142" s="228">
        <f t="shared" si="472"/>
        <v>-100</v>
      </c>
      <c r="AN142" s="228" cm="1">
        <f t="array" ref="AN142">IF(ISBLANK(G142), 1, IFERROR(MATCH(G142, INDEX(Kat,,1), 0), IFERROR(MATCH(Kat, INDEX(Use,,2), 0), MATCH(Kat, INDEX(Use,,3), 0))))</f>
        <v>1</v>
      </c>
      <c r="AO142" s="246"/>
      <c r="AP142" s="228" cm="1">
        <f t="array" ref="AP142">IF(W142&gt;0, INDEX(Kat, AN142,4), 0)</f>
        <v>0</v>
      </c>
      <c r="AQ142" s="228">
        <f t="shared" si="497"/>
        <v>0</v>
      </c>
      <c r="AR142" s="228" cm="1">
        <f t="array" ref="AR142">IF(X142&gt;0, INDEX(Kat, $AN142, 4+AQ142), 0)</f>
        <v>0</v>
      </c>
      <c r="AS142" s="228" cm="1">
        <f t="array" ref="AS142">IF(X142&gt;0, INDEX(Kat, $AN142, 9+AQ142), 0)</f>
        <v>0</v>
      </c>
      <c r="AT142" s="246"/>
      <c r="AU142" s="262"/>
      <c r="AV142" s="262"/>
      <c r="AW142" s="263"/>
      <c r="AX142" s="263"/>
      <c r="AY142" s="263"/>
      <c r="AZ142" s="263"/>
      <c r="BA142" s="263"/>
      <c r="BB142" s="263"/>
      <c r="BC142" s="263"/>
      <c r="BD142" s="263"/>
      <c r="BE142" s="263"/>
      <c r="BF142" s="263"/>
      <c r="BG142" s="263"/>
      <c r="BH142" s="246"/>
      <c r="BI142" s="228" cm="1">
        <f t="array" ref="BI142">INDEX(Use, $AH142, 4)</f>
        <v>7</v>
      </c>
      <c r="BJ142" s="228">
        <f t="shared" si="473"/>
        <v>32</v>
      </c>
      <c r="BK142" s="228">
        <f t="shared" si="305"/>
        <v>13</v>
      </c>
      <c r="BL142" s="228">
        <f t="shared" si="306"/>
        <v>0</v>
      </c>
      <c r="BM142" s="233" cm="1">
        <f t="array" ref="BM142">L142/IF($M142&gt;0, INDEX($AY$22:$BE$76, $M142+20, $AH142), 1)</f>
        <v>0</v>
      </c>
      <c r="BN142" s="229">
        <f t="shared" si="474"/>
        <v>0</v>
      </c>
      <c r="BO142" s="228">
        <v>35</v>
      </c>
      <c r="BP142" s="229">
        <f t="shared" si="475"/>
        <v>48</v>
      </c>
      <c r="BQ142" s="234">
        <f t="shared" si="476"/>
        <v>3.0748170731707316</v>
      </c>
      <c r="BR142" s="234" cm="1">
        <f t="array" ref="BR142">$BM142 * SUMPRODUCT(INDEX($AV$76:$AX$81,,$AI142),INDEX($AY$76:$BE$81,,$AH142), N($AU$76:$AU$81&gt;$AM142)) / BQ142 / 1000</f>
        <v>0</v>
      </c>
      <c r="BS142" s="231">
        <f t="shared" si="310"/>
        <v>30</v>
      </c>
      <c r="BT142" s="229">
        <f t="shared" si="477"/>
        <v>43</v>
      </c>
      <c r="BU142" s="234">
        <f t="shared" si="478"/>
        <v>3.5018750000000001</v>
      </c>
      <c r="BV142" s="234" cm="1">
        <f t="array" ref="BV142">$BM142 * IF($AH142&lt;=2,
SUMPRODUCT(INDEX($AV$71:$AX$75,,$AI142), INDEX($AY$71:$BE$75,,$AH142), 1 / ($BF$71:$BF$75*BU142 + (1-$BF$71:$BF$75)*BQ142), N($AU$71:$AU$75&gt;$AM142)),
SUMPRODUCT(INDEX($AV$66:$AX$75,,$AI142), INDEX($AY$66:$BE$75,,$AH142), 1 / ($BG$66:$BG$75*BU142 + (1-$BG$66:$BG$75)*BQ142), N($AU$66:$AU$75&gt;$AM142))
) / 1000</f>
        <v>0</v>
      </c>
      <c r="BW142" s="231">
        <f t="shared" si="313"/>
        <v>25</v>
      </c>
      <c r="BX142" s="229">
        <f t="shared" si="479"/>
        <v>38</v>
      </c>
      <c r="BY142" s="234">
        <f t="shared" si="480"/>
        <v>4.0666935483870965</v>
      </c>
      <c r="BZ142" s="234" cm="1">
        <f t="array" ref="BZ142">$BM142 * IF($AH142&lt;=2,
SUMPRODUCT(INDEX($AV$66:$AX$70,,$AI142), INDEX($AY$66:$BE$70,,$AH142), 1 / ($BF$66:$BF$70*BY142 + (1-$BF$66:$BF$70)*BU142), N($AU$66:$AU$70&gt;$AM142)),
SUMPRODUCT(INDEX($AV$56:$AX$65,,$AI142), INDEX($AY$56:$BE$65,,$AH142), 1 / ($BG$56:$BG$65*BY142 + (1-$BG$56:$BG$65)*BU142), N($AU$56:$AU$65&gt;$AM142))
) / 1000</f>
        <v>0</v>
      </c>
      <c r="CA142" s="231">
        <f t="shared" si="316"/>
        <v>20</v>
      </c>
      <c r="CB142" s="229">
        <f t="shared" si="481"/>
        <v>33</v>
      </c>
      <c r="CC142" s="234">
        <f t="shared" si="482"/>
        <v>4.8487499999999999</v>
      </c>
      <c r="CD142" s="234" cm="1">
        <f t="array" ref="CD142">$BM142 * IF($AH142&lt;=2,
SUMPRODUCT(INDEX($AV$61:$AX$65,,$AI142), INDEX($AY$61:$BE$65,,$AH142), 1 / ($BF$61:$BF$65*CC142 + (1-$BF$61:$BF$65)*BY142), N($AU$61:$AU$65&gt;$AM142)),
SUMPRODUCT(INDEX($AV$46:$AX$55,,$AI142), INDEX($AY$46:$BE$55,,$AH142), 1 / ($BG$46:$BG$55*CC142 + (1-$BG$46:$BG$55)*BY142), N($AU$46:$AU$55&gt;$AM142))
) / 1000</f>
        <v>0</v>
      </c>
      <c r="CE142" s="234" cm="1">
        <f t="array" ref="CE142">$BM142 * IF($AH142&lt;=2,
SUMPRODUCT(INDEX($AV$22:$AX$60,,$AI142), INDEX($AY$22:$BE$60,,$AH142), 1 / ($BF$22:$BF$60*CC142), N($AU$22:$AU$60&gt;$AM142)),
SUMPRODUCT(INDEX($AV$22:$AX$45,,$AI142), INDEX($AY$22:$BE$45,,$AH142), 1 / ($BG$22:$BG$45*CC142), N($AU$22:$AU$45&gt;$AM142))
) / 1000</f>
        <v>0</v>
      </c>
      <c r="CF142" s="229">
        <f t="shared" si="483"/>
        <v>0</v>
      </c>
      <c r="CG142" s="246"/>
      <c r="CH142" s="229">
        <f t="shared" si="484"/>
        <v>0</v>
      </c>
      <c r="CI142" s="228">
        <v>35</v>
      </c>
      <c r="CJ142" s="229">
        <f t="shared" si="485"/>
        <v>48</v>
      </c>
      <c r="CK142" s="234">
        <f t="shared" si="486"/>
        <v>3.0748170731707316</v>
      </c>
      <c r="CL142" s="234" cm="1">
        <f t="array" ref="CL142">$BM142 * SUMPRODUCT(INDEX($AV$76:$AX$81,,$AI142),INDEX($AY$76:$BE$81,,$AH142), N($AU$76:$AU$81&gt;$AM142)) / CK142 / 1000</f>
        <v>0</v>
      </c>
      <c r="CM142" s="231">
        <f t="shared" si="323"/>
        <v>30</v>
      </c>
      <c r="CN142" s="229">
        <f t="shared" si="487"/>
        <v>43</v>
      </c>
      <c r="CO142" s="234">
        <f t="shared" si="488"/>
        <v>3.5018750000000001</v>
      </c>
      <c r="CP142" s="234" cm="1">
        <f t="array" ref="CP142">$BM142 * IF($AH142&lt;=2,
SUMPRODUCT(INDEX($AV$71:$AX$75,,$AI142), INDEX($AY$71:$BE$75,,$AH142), 1 / ($BF$71:$BF$75*CO142 + (1-$BF$71:$BF$75)*CK142), N($AU$71:$AU$75&gt;$AM142)),
SUMPRODUCT(INDEX($AV$66:$AX$75,,$AI142), INDEX($AY$66:$BE$75,,$AH142), 1 / ($BG$66:$BG$75*CO142 + (1-$BG$66:$BG$75)*CK142), N($AU$66:$AU$75&gt;$AM142))
) / 1000</f>
        <v>0</v>
      </c>
      <c r="CQ142" s="231">
        <f t="shared" si="326"/>
        <v>25</v>
      </c>
      <c r="CR142" s="229">
        <f t="shared" si="489"/>
        <v>38</v>
      </c>
      <c r="CS142" s="234">
        <f t="shared" si="490"/>
        <v>4.0666935483870965</v>
      </c>
      <c r="CT142" s="234" cm="1">
        <f t="array" ref="CT142">$BM142 * IF($AH142&lt;=2,
SUMPRODUCT(INDEX($AV$66:$AX$70,,$AI142), INDEX($AY$66:$BE$70,,$AH142), 1 / ($BF$66:$BF$70*CS142 + (1-$BF$66:$BF$70)*CO142), N($AU$66:$AU$70&gt;$AM142)),
SUMPRODUCT(INDEX($AV$56:$AX$65,,$AI142), INDEX($AY$56:$BE$65,,$AH142), 1 / ($BG$56:$BG$65*CS142 + (1-$BG$56:$BG$65)*CO142), N($AU$56:$AU$65&gt;$AM142))
) / 1000</f>
        <v>0</v>
      </c>
      <c r="CU142" s="231">
        <f t="shared" si="329"/>
        <v>20</v>
      </c>
      <c r="CV142" s="229">
        <f t="shared" si="491"/>
        <v>33</v>
      </c>
      <c r="CW142" s="234">
        <f t="shared" si="492"/>
        <v>4.8487499999999999</v>
      </c>
      <c r="CX142" s="234" cm="1">
        <f t="array" ref="CX142">$BM142 * IF($AH142&lt;=2,
SUMPRODUCT(INDEX($AV$61:$AX$65,,$AI142), INDEX($AY$61:$BE$65,,$AH142), 1 / ($BF$61:$BF$65*CW142 + (1-$BF$61:$BF$65)*CS142), N($AU$61:$AU$65&gt;$AM142)),
SUMPRODUCT(INDEX($AV$46:$AX$55,,$AI142), INDEX($AY$46:$BE$55,,$AH142), 1 / ($BG$46:$BG$55*CW142 + (1-$BG$46:$BG$55)*CS142), N($AU$46:$AU$55&gt;$AM142))
) / 1000</f>
        <v>0</v>
      </c>
      <c r="CY142" s="234" cm="1">
        <f t="array" ref="CY142">$BM142 * IF($AH142&lt;=2,
SUMPRODUCT(INDEX($AV$22:$AX$60,,$AI142), INDEX($AY$22:$BE$60,,$AH142), 1 / ($BF$22:$BF$60*CW142), N($AU$22:$AU$60&gt;$AM142)),
SUMPRODUCT(INDEX($AV$22:$AX$45,,$AI142), INDEX($AY$22:$BE$45,,$AH142), 1 / ($BG$22:$BG$45*CW142), N($AU$22:$AU$45&gt;$AM142))
) / 1000</f>
        <v>0</v>
      </c>
      <c r="CZ142" s="229">
        <f t="shared" si="493"/>
        <v>0</v>
      </c>
      <c r="DA142" s="246"/>
    </row>
    <row r="143" spans="1:105" s="75" customFormat="1" ht="14.25" customHeight="1" x14ac:dyDescent="0.2">
      <c r="A143" s="230" t="b">
        <f t="shared" si="291"/>
        <v>0</v>
      </c>
      <c r="B143" s="253">
        <v>122</v>
      </c>
      <c r="C143" s="266"/>
      <c r="D143" s="266"/>
      <c r="E143" s="254"/>
      <c r="F143" s="255" t="str">
        <f>IF(ISBLANK(E143), "", VLOOKUP(E143, Z!$A$2:$C$4127, 3, FALSE))</f>
        <v/>
      </c>
      <c r="G143" s="256"/>
      <c r="H143" s="256"/>
      <c r="I143" s="256"/>
      <c r="J143" s="257"/>
      <c r="K143" s="258"/>
      <c r="L143" s="267"/>
      <c r="M143" s="268"/>
      <c r="N143" s="259" t="str" cm="1">
        <f t="array" ref="N143">IF($L143&gt;0, INDEX(Clean,1+AK143,$D$1), "")</f>
        <v/>
      </c>
      <c r="O143" s="260"/>
      <c r="P143" s="260"/>
      <c r="Q143" s="261"/>
      <c r="R143" s="264">
        <f t="shared" si="469"/>
        <v>0</v>
      </c>
      <c r="S143" s="259" t="str" cm="1">
        <f t="array" ref="S143">IF($L143&gt;0, INDEX(Clean,1+AL143,$D$1), "")</f>
        <v/>
      </c>
      <c r="T143" s="260"/>
      <c r="U143" s="260"/>
      <c r="V143" s="261"/>
      <c r="W143" s="267"/>
      <c r="X143" s="267"/>
      <c r="Y143" s="257"/>
      <c r="Z143" s="264">
        <f t="shared" si="470"/>
        <v>0</v>
      </c>
      <c r="AA143" s="269"/>
      <c r="AB143" s="266"/>
      <c r="AC143" s="254"/>
      <c r="AD143" s="255" t="str">
        <f>IF(ISBLANK(AC143), "", VLOOKUP(AC143, Z!$A$2:$C$4127, 3, FALSE))</f>
        <v/>
      </c>
      <c r="AE143" s="270"/>
      <c r="AF143" s="265">
        <f t="shared" si="471"/>
        <v>0</v>
      </c>
      <c r="AG143" s="246"/>
      <c r="AH143" s="228">
        <f t="shared" si="494"/>
        <v>1</v>
      </c>
      <c r="AI143" s="228">
        <f t="shared" si="495"/>
        <v>1</v>
      </c>
      <c r="AJ143" s="228">
        <f t="shared" si="496"/>
        <v>0</v>
      </c>
      <c r="AK143" s="228">
        <v>0</v>
      </c>
      <c r="AL143" s="228">
        <v>0</v>
      </c>
      <c r="AM143" s="228">
        <f t="shared" si="472"/>
        <v>-100</v>
      </c>
      <c r="AN143" s="228" cm="1">
        <f t="array" ref="AN143">IF(ISBLANK(G143), 1, IFERROR(MATCH(G143, INDEX(Kat,,1), 0), IFERROR(MATCH(Kat, INDEX(Use,,2), 0), MATCH(Kat, INDEX(Use,,3), 0))))</f>
        <v>1</v>
      </c>
      <c r="AO143" s="246"/>
      <c r="AP143" s="228" cm="1">
        <f t="array" ref="AP143">IF(W143&gt;0, INDEX(Kat, AN143,4), 0)</f>
        <v>0</v>
      </c>
      <c r="AQ143" s="228">
        <f t="shared" si="497"/>
        <v>0</v>
      </c>
      <c r="AR143" s="228" cm="1">
        <f t="array" ref="AR143">IF(X143&gt;0, INDEX(Kat, $AN143, 4+AQ143), 0)</f>
        <v>0</v>
      </c>
      <c r="AS143" s="228" cm="1">
        <f t="array" ref="AS143">IF(X143&gt;0, INDEX(Kat, $AN143, 9+AQ143), 0)</f>
        <v>0</v>
      </c>
      <c r="AT143" s="246"/>
      <c r="AU143" s="262"/>
      <c r="AV143" s="262"/>
      <c r="AW143" s="263"/>
      <c r="AX143" s="263"/>
      <c r="AY143" s="263"/>
      <c r="AZ143" s="263"/>
      <c r="BA143" s="263"/>
      <c r="BB143" s="263"/>
      <c r="BC143" s="263"/>
      <c r="BD143" s="263"/>
      <c r="BE143" s="263"/>
      <c r="BF143" s="263"/>
      <c r="BG143" s="263"/>
      <c r="BH143" s="246"/>
      <c r="BI143" s="228" cm="1">
        <f t="array" ref="BI143">INDEX(Use, $AH143, 4)</f>
        <v>7</v>
      </c>
      <c r="BJ143" s="228">
        <f t="shared" si="473"/>
        <v>32</v>
      </c>
      <c r="BK143" s="228">
        <f t="shared" si="305"/>
        <v>13</v>
      </c>
      <c r="BL143" s="228">
        <f t="shared" si="306"/>
        <v>0</v>
      </c>
      <c r="BM143" s="233" cm="1">
        <f t="array" ref="BM143">L143/IF($M143&gt;0, INDEX($AY$22:$BE$76, $M143+20, $AH143), 1)</f>
        <v>0</v>
      </c>
      <c r="BN143" s="229">
        <f t="shared" si="474"/>
        <v>0</v>
      </c>
      <c r="BO143" s="228">
        <v>35</v>
      </c>
      <c r="BP143" s="229">
        <f t="shared" si="475"/>
        <v>48</v>
      </c>
      <c r="BQ143" s="234">
        <f t="shared" si="476"/>
        <v>3.0748170731707316</v>
      </c>
      <c r="BR143" s="234" cm="1">
        <f t="array" ref="BR143">$BM143 * SUMPRODUCT(INDEX($AV$76:$AX$81,,$AI143),INDEX($AY$76:$BE$81,,$AH143), N($AU$76:$AU$81&gt;$AM143)) / BQ143 / 1000</f>
        <v>0</v>
      </c>
      <c r="BS143" s="231">
        <f t="shared" si="310"/>
        <v>30</v>
      </c>
      <c r="BT143" s="229">
        <f t="shared" si="477"/>
        <v>43</v>
      </c>
      <c r="BU143" s="234">
        <f t="shared" si="478"/>
        <v>3.5018750000000001</v>
      </c>
      <c r="BV143" s="234" cm="1">
        <f t="array" ref="BV143">$BM143 * IF($AH143&lt;=2,
SUMPRODUCT(INDEX($AV$71:$AX$75,,$AI143), INDEX($AY$71:$BE$75,,$AH143), 1 / ($BF$71:$BF$75*BU143 + (1-$BF$71:$BF$75)*BQ143), N($AU$71:$AU$75&gt;$AM143)),
SUMPRODUCT(INDEX($AV$66:$AX$75,,$AI143), INDEX($AY$66:$BE$75,,$AH143), 1 / ($BG$66:$BG$75*BU143 + (1-$BG$66:$BG$75)*BQ143), N($AU$66:$AU$75&gt;$AM143))
) / 1000</f>
        <v>0</v>
      </c>
      <c r="BW143" s="231">
        <f t="shared" si="313"/>
        <v>25</v>
      </c>
      <c r="BX143" s="229">
        <f t="shared" si="479"/>
        <v>38</v>
      </c>
      <c r="BY143" s="234">
        <f t="shared" si="480"/>
        <v>4.0666935483870965</v>
      </c>
      <c r="BZ143" s="234" cm="1">
        <f t="array" ref="BZ143">$BM143 * IF($AH143&lt;=2,
SUMPRODUCT(INDEX($AV$66:$AX$70,,$AI143), INDEX($AY$66:$BE$70,,$AH143), 1 / ($BF$66:$BF$70*BY143 + (1-$BF$66:$BF$70)*BU143), N($AU$66:$AU$70&gt;$AM143)),
SUMPRODUCT(INDEX($AV$56:$AX$65,,$AI143), INDEX($AY$56:$BE$65,,$AH143), 1 / ($BG$56:$BG$65*BY143 + (1-$BG$56:$BG$65)*BU143), N($AU$56:$AU$65&gt;$AM143))
) / 1000</f>
        <v>0</v>
      </c>
      <c r="CA143" s="231">
        <f t="shared" si="316"/>
        <v>20</v>
      </c>
      <c r="CB143" s="229">
        <f t="shared" si="481"/>
        <v>33</v>
      </c>
      <c r="CC143" s="234">
        <f t="shared" si="482"/>
        <v>4.8487499999999999</v>
      </c>
      <c r="CD143" s="234" cm="1">
        <f t="array" ref="CD143">$BM143 * IF($AH143&lt;=2,
SUMPRODUCT(INDEX($AV$61:$AX$65,,$AI143), INDEX($AY$61:$BE$65,,$AH143), 1 / ($BF$61:$BF$65*CC143 + (1-$BF$61:$BF$65)*BY143), N($AU$61:$AU$65&gt;$AM143)),
SUMPRODUCT(INDEX($AV$46:$AX$55,,$AI143), INDEX($AY$46:$BE$55,,$AH143), 1 / ($BG$46:$BG$55*CC143 + (1-$BG$46:$BG$55)*BY143), N($AU$46:$AU$55&gt;$AM143))
) / 1000</f>
        <v>0</v>
      </c>
      <c r="CE143" s="234" cm="1">
        <f t="array" ref="CE143">$BM143 * IF($AH143&lt;=2,
SUMPRODUCT(INDEX($AV$22:$AX$60,,$AI143), INDEX($AY$22:$BE$60,,$AH143), 1 / ($BF$22:$BF$60*CC143), N($AU$22:$AU$60&gt;$AM143)),
SUMPRODUCT(INDEX($AV$22:$AX$45,,$AI143), INDEX($AY$22:$BE$45,,$AH143), 1 / ($BG$22:$BG$45*CC143), N($AU$22:$AU$45&gt;$AM143))
) / 1000</f>
        <v>0</v>
      </c>
      <c r="CF143" s="229">
        <f t="shared" si="483"/>
        <v>0</v>
      </c>
      <c r="CG143" s="246"/>
      <c r="CH143" s="229">
        <f t="shared" si="484"/>
        <v>0</v>
      </c>
      <c r="CI143" s="228">
        <v>35</v>
      </c>
      <c r="CJ143" s="229">
        <f t="shared" si="485"/>
        <v>48</v>
      </c>
      <c r="CK143" s="234">
        <f t="shared" si="486"/>
        <v>3.0748170731707316</v>
      </c>
      <c r="CL143" s="234" cm="1">
        <f t="array" ref="CL143">$BM143 * SUMPRODUCT(INDEX($AV$76:$AX$81,,$AI143),INDEX($AY$76:$BE$81,,$AH143), N($AU$76:$AU$81&gt;$AM143)) / CK143 / 1000</f>
        <v>0</v>
      </c>
      <c r="CM143" s="231">
        <f t="shared" si="323"/>
        <v>30</v>
      </c>
      <c r="CN143" s="229">
        <f t="shared" si="487"/>
        <v>43</v>
      </c>
      <c r="CO143" s="234">
        <f t="shared" si="488"/>
        <v>3.5018750000000001</v>
      </c>
      <c r="CP143" s="234" cm="1">
        <f t="array" ref="CP143">$BM143 * IF($AH143&lt;=2,
SUMPRODUCT(INDEX($AV$71:$AX$75,,$AI143), INDEX($AY$71:$BE$75,,$AH143), 1 / ($BF$71:$BF$75*CO143 + (1-$BF$71:$BF$75)*CK143), N($AU$71:$AU$75&gt;$AM143)),
SUMPRODUCT(INDEX($AV$66:$AX$75,,$AI143), INDEX($AY$66:$BE$75,,$AH143), 1 / ($BG$66:$BG$75*CO143 + (1-$BG$66:$BG$75)*CK143), N($AU$66:$AU$75&gt;$AM143))
) / 1000</f>
        <v>0</v>
      </c>
      <c r="CQ143" s="231">
        <f t="shared" si="326"/>
        <v>25</v>
      </c>
      <c r="CR143" s="229">
        <f t="shared" si="489"/>
        <v>38</v>
      </c>
      <c r="CS143" s="234">
        <f t="shared" si="490"/>
        <v>4.0666935483870965</v>
      </c>
      <c r="CT143" s="234" cm="1">
        <f t="array" ref="CT143">$BM143 * IF($AH143&lt;=2,
SUMPRODUCT(INDEX($AV$66:$AX$70,,$AI143), INDEX($AY$66:$BE$70,,$AH143), 1 / ($BF$66:$BF$70*CS143 + (1-$BF$66:$BF$70)*CO143), N($AU$66:$AU$70&gt;$AM143)),
SUMPRODUCT(INDEX($AV$56:$AX$65,,$AI143), INDEX($AY$56:$BE$65,,$AH143), 1 / ($BG$56:$BG$65*CS143 + (1-$BG$56:$BG$65)*CO143), N($AU$56:$AU$65&gt;$AM143))
) / 1000</f>
        <v>0</v>
      </c>
      <c r="CU143" s="231">
        <f t="shared" si="329"/>
        <v>20</v>
      </c>
      <c r="CV143" s="229">
        <f t="shared" si="491"/>
        <v>33</v>
      </c>
      <c r="CW143" s="234">
        <f t="shared" si="492"/>
        <v>4.8487499999999999</v>
      </c>
      <c r="CX143" s="234" cm="1">
        <f t="array" ref="CX143">$BM143 * IF($AH143&lt;=2,
SUMPRODUCT(INDEX($AV$61:$AX$65,,$AI143), INDEX($AY$61:$BE$65,,$AH143), 1 / ($BF$61:$BF$65*CW143 + (1-$BF$61:$BF$65)*CS143), N($AU$61:$AU$65&gt;$AM143)),
SUMPRODUCT(INDEX($AV$46:$AX$55,,$AI143), INDEX($AY$46:$BE$55,,$AH143), 1 / ($BG$46:$BG$55*CW143 + (1-$BG$46:$BG$55)*CS143), N($AU$46:$AU$55&gt;$AM143))
) / 1000</f>
        <v>0</v>
      </c>
      <c r="CY143" s="234" cm="1">
        <f t="array" ref="CY143">$BM143 * IF($AH143&lt;=2,
SUMPRODUCT(INDEX($AV$22:$AX$60,,$AI143), INDEX($AY$22:$BE$60,,$AH143), 1 / ($BF$22:$BF$60*CW143), N($AU$22:$AU$60&gt;$AM143)),
SUMPRODUCT(INDEX($AV$22:$AX$45,,$AI143), INDEX($AY$22:$BE$45,,$AH143), 1 / ($BG$22:$BG$45*CW143), N($AU$22:$AU$45&gt;$AM143))
) / 1000</f>
        <v>0</v>
      </c>
      <c r="CZ143" s="229">
        <f t="shared" si="493"/>
        <v>0</v>
      </c>
      <c r="DA143" s="246"/>
    </row>
    <row r="144" spans="1:105" s="75" customFormat="1" ht="14.25" customHeight="1" x14ac:dyDescent="0.2">
      <c r="A144" s="230" t="b">
        <f t="shared" si="291"/>
        <v>0</v>
      </c>
      <c r="B144" s="253">
        <v>123</v>
      </c>
      <c r="C144" s="266"/>
      <c r="D144" s="266"/>
      <c r="E144" s="254"/>
      <c r="F144" s="255" t="str">
        <f>IF(ISBLANK(E144), "", VLOOKUP(E144, Z!$A$2:$C$4127, 3, FALSE))</f>
        <v/>
      </c>
      <c r="G144" s="256"/>
      <c r="H144" s="256"/>
      <c r="I144" s="256"/>
      <c r="J144" s="257"/>
      <c r="K144" s="258"/>
      <c r="L144" s="267"/>
      <c r="M144" s="268"/>
      <c r="N144" s="259" t="str" cm="1">
        <f t="array" ref="N144">IF($L144&gt;0, INDEX(Clean,1+AK144,$D$1), "")</f>
        <v/>
      </c>
      <c r="O144" s="260"/>
      <c r="P144" s="260"/>
      <c r="Q144" s="261"/>
      <c r="R144" s="264">
        <f t="shared" si="469"/>
        <v>0</v>
      </c>
      <c r="S144" s="259" t="str" cm="1">
        <f t="array" ref="S144">IF($L144&gt;0, INDEX(Clean,1+AL144,$D$1), "")</f>
        <v/>
      </c>
      <c r="T144" s="260"/>
      <c r="U144" s="260"/>
      <c r="V144" s="261"/>
      <c r="W144" s="267"/>
      <c r="X144" s="267"/>
      <c r="Y144" s="257"/>
      <c r="Z144" s="264">
        <f t="shared" si="470"/>
        <v>0</v>
      </c>
      <c r="AA144" s="269"/>
      <c r="AB144" s="266"/>
      <c r="AC144" s="254"/>
      <c r="AD144" s="255" t="str">
        <f>IF(ISBLANK(AC144), "", VLOOKUP(AC144, Z!$A$2:$C$4127, 3, FALSE))</f>
        <v/>
      </c>
      <c r="AE144" s="270"/>
      <c r="AF144" s="265">
        <f t="shared" si="471"/>
        <v>0</v>
      </c>
      <c r="AG144" s="246"/>
      <c r="AH144" s="228">
        <f t="shared" si="494"/>
        <v>1</v>
      </c>
      <c r="AI144" s="228">
        <f t="shared" si="495"/>
        <v>1</v>
      </c>
      <c r="AJ144" s="228">
        <f t="shared" si="496"/>
        <v>0</v>
      </c>
      <c r="AK144" s="228">
        <v>0</v>
      </c>
      <c r="AL144" s="228">
        <v>0</v>
      </c>
      <c r="AM144" s="228">
        <f t="shared" si="472"/>
        <v>-100</v>
      </c>
      <c r="AN144" s="228" cm="1">
        <f t="array" ref="AN144">IF(ISBLANK(G144), 1, IFERROR(MATCH(G144, INDEX(Kat,,1), 0), IFERROR(MATCH(Kat, INDEX(Use,,2), 0), MATCH(Kat, INDEX(Use,,3), 0))))</f>
        <v>1</v>
      </c>
      <c r="AO144" s="246"/>
      <c r="AP144" s="228" cm="1">
        <f t="array" ref="AP144">IF(W144&gt;0, INDEX(Kat, AN144,4), 0)</f>
        <v>0</v>
      </c>
      <c r="AQ144" s="228">
        <f t="shared" si="497"/>
        <v>0</v>
      </c>
      <c r="AR144" s="228" cm="1">
        <f t="array" ref="AR144">IF(X144&gt;0, INDEX(Kat, $AN144, 4+AQ144), 0)</f>
        <v>0</v>
      </c>
      <c r="AS144" s="228" cm="1">
        <f t="array" ref="AS144">IF(X144&gt;0, INDEX(Kat, $AN144, 9+AQ144), 0)</f>
        <v>0</v>
      </c>
      <c r="AT144" s="246"/>
      <c r="AU144" s="262"/>
      <c r="AV144" s="262"/>
      <c r="AW144" s="263"/>
      <c r="AX144" s="263"/>
      <c r="AY144" s="263"/>
      <c r="AZ144" s="263"/>
      <c r="BA144" s="263"/>
      <c r="BB144" s="263"/>
      <c r="BC144" s="263"/>
      <c r="BD144" s="263"/>
      <c r="BE144" s="263"/>
      <c r="BF144" s="263"/>
      <c r="BG144" s="263"/>
      <c r="BH144" s="246"/>
      <c r="BI144" s="228" cm="1">
        <f t="array" ref="BI144">INDEX(Use, $AH144, 4)</f>
        <v>7</v>
      </c>
      <c r="BJ144" s="228">
        <f t="shared" si="473"/>
        <v>32</v>
      </c>
      <c r="BK144" s="228">
        <f t="shared" si="305"/>
        <v>13</v>
      </c>
      <c r="BL144" s="228">
        <f t="shared" si="306"/>
        <v>0</v>
      </c>
      <c r="BM144" s="233" cm="1">
        <f t="array" ref="BM144">L144/IF($M144&gt;0, INDEX($AY$22:$BE$76, $M144+20, $AH144), 1)</f>
        <v>0</v>
      </c>
      <c r="BN144" s="229">
        <f t="shared" si="474"/>
        <v>0</v>
      </c>
      <c r="BO144" s="228">
        <v>35</v>
      </c>
      <c r="BP144" s="229">
        <f t="shared" si="475"/>
        <v>48</v>
      </c>
      <c r="BQ144" s="234">
        <f t="shared" si="476"/>
        <v>3.0748170731707316</v>
      </c>
      <c r="BR144" s="234" cm="1">
        <f t="array" ref="BR144">$BM144 * SUMPRODUCT(INDEX($AV$76:$AX$81,,$AI144),INDEX($AY$76:$BE$81,,$AH144), N($AU$76:$AU$81&gt;$AM144)) / BQ144 / 1000</f>
        <v>0</v>
      </c>
      <c r="BS144" s="231">
        <f t="shared" si="310"/>
        <v>30</v>
      </c>
      <c r="BT144" s="229">
        <f t="shared" si="477"/>
        <v>43</v>
      </c>
      <c r="BU144" s="234">
        <f t="shared" si="478"/>
        <v>3.5018750000000001</v>
      </c>
      <c r="BV144" s="234" cm="1">
        <f t="array" ref="BV144">$BM144 * IF($AH144&lt;=2,
SUMPRODUCT(INDEX($AV$71:$AX$75,,$AI144), INDEX($AY$71:$BE$75,,$AH144), 1 / ($BF$71:$BF$75*BU144 + (1-$BF$71:$BF$75)*BQ144), N($AU$71:$AU$75&gt;$AM144)),
SUMPRODUCT(INDEX($AV$66:$AX$75,,$AI144), INDEX($AY$66:$BE$75,,$AH144), 1 / ($BG$66:$BG$75*BU144 + (1-$BG$66:$BG$75)*BQ144), N($AU$66:$AU$75&gt;$AM144))
) / 1000</f>
        <v>0</v>
      </c>
      <c r="BW144" s="231">
        <f t="shared" si="313"/>
        <v>25</v>
      </c>
      <c r="BX144" s="229">
        <f t="shared" si="479"/>
        <v>38</v>
      </c>
      <c r="BY144" s="234">
        <f t="shared" si="480"/>
        <v>4.0666935483870965</v>
      </c>
      <c r="BZ144" s="234" cm="1">
        <f t="array" ref="BZ144">$BM144 * IF($AH144&lt;=2,
SUMPRODUCT(INDEX($AV$66:$AX$70,,$AI144), INDEX($AY$66:$BE$70,,$AH144), 1 / ($BF$66:$BF$70*BY144 + (1-$BF$66:$BF$70)*BU144), N($AU$66:$AU$70&gt;$AM144)),
SUMPRODUCT(INDEX($AV$56:$AX$65,,$AI144), INDEX($AY$56:$BE$65,,$AH144), 1 / ($BG$56:$BG$65*BY144 + (1-$BG$56:$BG$65)*BU144), N($AU$56:$AU$65&gt;$AM144))
) / 1000</f>
        <v>0</v>
      </c>
      <c r="CA144" s="231">
        <f t="shared" si="316"/>
        <v>20</v>
      </c>
      <c r="CB144" s="229">
        <f t="shared" si="481"/>
        <v>33</v>
      </c>
      <c r="CC144" s="234">
        <f t="shared" si="482"/>
        <v>4.8487499999999999</v>
      </c>
      <c r="CD144" s="234" cm="1">
        <f t="array" ref="CD144">$BM144 * IF($AH144&lt;=2,
SUMPRODUCT(INDEX($AV$61:$AX$65,,$AI144), INDEX($AY$61:$BE$65,,$AH144), 1 / ($BF$61:$BF$65*CC144 + (1-$BF$61:$BF$65)*BY144), N($AU$61:$AU$65&gt;$AM144)),
SUMPRODUCT(INDEX($AV$46:$AX$55,,$AI144), INDEX($AY$46:$BE$55,,$AH144), 1 / ($BG$46:$BG$55*CC144 + (1-$BG$46:$BG$55)*BY144), N($AU$46:$AU$55&gt;$AM144))
) / 1000</f>
        <v>0</v>
      </c>
      <c r="CE144" s="234" cm="1">
        <f t="array" ref="CE144">$BM144 * IF($AH144&lt;=2,
SUMPRODUCT(INDEX($AV$22:$AX$60,,$AI144), INDEX($AY$22:$BE$60,,$AH144), 1 / ($BF$22:$BF$60*CC144), N($AU$22:$AU$60&gt;$AM144)),
SUMPRODUCT(INDEX($AV$22:$AX$45,,$AI144), INDEX($AY$22:$BE$45,,$AH144), 1 / ($BG$22:$BG$45*CC144), N($AU$22:$AU$45&gt;$AM144))
) / 1000</f>
        <v>0</v>
      </c>
      <c r="CF144" s="229">
        <f t="shared" si="483"/>
        <v>0</v>
      </c>
      <c r="CG144" s="246"/>
      <c r="CH144" s="229">
        <f t="shared" si="484"/>
        <v>0</v>
      </c>
      <c r="CI144" s="228">
        <v>35</v>
      </c>
      <c r="CJ144" s="229">
        <f t="shared" si="485"/>
        <v>48</v>
      </c>
      <c r="CK144" s="234">
        <f t="shared" si="486"/>
        <v>3.0748170731707316</v>
      </c>
      <c r="CL144" s="234" cm="1">
        <f t="array" ref="CL144">$BM144 * SUMPRODUCT(INDEX($AV$76:$AX$81,,$AI144),INDEX($AY$76:$BE$81,,$AH144), N($AU$76:$AU$81&gt;$AM144)) / CK144 / 1000</f>
        <v>0</v>
      </c>
      <c r="CM144" s="231">
        <f t="shared" si="323"/>
        <v>30</v>
      </c>
      <c r="CN144" s="229">
        <f t="shared" si="487"/>
        <v>43</v>
      </c>
      <c r="CO144" s="234">
        <f t="shared" si="488"/>
        <v>3.5018750000000001</v>
      </c>
      <c r="CP144" s="234" cm="1">
        <f t="array" ref="CP144">$BM144 * IF($AH144&lt;=2,
SUMPRODUCT(INDEX($AV$71:$AX$75,,$AI144), INDEX($AY$71:$BE$75,,$AH144), 1 / ($BF$71:$BF$75*CO144 + (1-$BF$71:$BF$75)*CK144), N($AU$71:$AU$75&gt;$AM144)),
SUMPRODUCT(INDEX($AV$66:$AX$75,,$AI144), INDEX($AY$66:$BE$75,,$AH144), 1 / ($BG$66:$BG$75*CO144 + (1-$BG$66:$BG$75)*CK144), N($AU$66:$AU$75&gt;$AM144))
) / 1000</f>
        <v>0</v>
      </c>
      <c r="CQ144" s="231">
        <f t="shared" si="326"/>
        <v>25</v>
      </c>
      <c r="CR144" s="229">
        <f t="shared" si="489"/>
        <v>38</v>
      </c>
      <c r="CS144" s="234">
        <f t="shared" si="490"/>
        <v>4.0666935483870965</v>
      </c>
      <c r="CT144" s="234" cm="1">
        <f t="array" ref="CT144">$BM144 * IF($AH144&lt;=2,
SUMPRODUCT(INDEX($AV$66:$AX$70,,$AI144), INDEX($AY$66:$BE$70,,$AH144), 1 / ($BF$66:$BF$70*CS144 + (1-$BF$66:$BF$70)*CO144), N($AU$66:$AU$70&gt;$AM144)),
SUMPRODUCT(INDEX($AV$56:$AX$65,,$AI144), INDEX($AY$56:$BE$65,,$AH144), 1 / ($BG$56:$BG$65*CS144 + (1-$BG$56:$BG$65)*CO144), N($AU$56:$AU$65&gt;$AM144))
) / 1000</f>
        <v>0</v>
      </c>
      <c r="CU144" s="231">
        <f t="shared" si="329"/>
        <v>20</v>
      </c>
      <c r="CV144" s="229">
        <f t="shared" si="491"/>
        <v>33</v>
      </c>
      <c r="CW144" s="234">
        <f t="shared" si="492"/>
        <v>4.8487499999999999</v>
      </c>
      <c r="CX144" s="234" cm="1">
        <f t="array" ref="CX144">$BM144 * IF($AH144&lt;=2,
SUMPRODUCT(INDEX($AV$61:$AX$65,,$AI144), INDEX($AY$61:$BE$65,,$AH144), 1 / ($BF$61:$BF$65*CW144 + (1-$BF$61:$BF$65)*CS144), N($AU$61:$AU$65&gt;$AM144)),
SUMPRODUCT(INDEX($AV$46:$AX$55,,$AI144), INDEX($AY$46:$BE$55,,$AH144), 1 / ($BG$46:$BG$55*CW144 + (1-$BG$46:$BG$55)*CS144), N($AU$46:$AU$55&gt;$AM144))
) / 1000</f>
        <v>0</v>
      </c>
      <c r="CY144" s="234" cm="1">
        <f t="array" ref="CY144">$BM144 * IF($AH144&lt;=2,
SUMPRODUCT(INDEX($AV$22:$AX$60,,$AI144), INDEX($AY$22:$BE$60,,$AH144), 1 / ($BF$22:$BF$60*CW144), N($AU$22:$AU$60&gt;$AM144)),
SUMPRODUCT(INDEX($AV$22:$AX$45,,$AI144), INDEX($AY$22:$BE$45,,$AH144), 1 / ($BG$22:$BG$45*CW144), N($AU$22:$AU$45&gt;$AM144))
) / 1000</f>
        <v>0</v>
      </c>
      <c r="CZ144" s="229">
        <f t="shared" si="493"/>
        <v>0</v>
      </c>
      <c r="DA144" s="246"/>
    </row>
    <row r="145" spans="1:105" s="75" customFormat="1" ht="14.25" customHeight="1" x14ac:dyDescent="0.2">
      <c r="A145" s="230" t="b">
        <f t="shared" si="291"/>
        <v>0</v>
      </c>
      <c r="B145" s="253">
        <v>124</v>
      </c>
      <c r="C145" s="266"/>
      <c r="D145" s="266"/>
      <c r="E145" s="254"/>
      <c r="F145" s="255" t="str">
        <f>IF(ISBLANK(E145), "", VLOOKUP(E145, Z!$A$2:$C$4127, 3, FALSE))</f>
        <v/>
      </c>
      <c r="G145" s="256"/>
      <c r="H145" s="256"/>
      <c r="I145" s="256"/>
      <c r="J145" s="257"/>
      <c r="K145" s="258"/>
      <c r="L145" s="267"/>
      <c r="M145" s="268"/>
      <c r="N145" s="259" t="str" cm="1">
        <f t="array" ref="N145">IF($L145&gt;0, INDEX(Clean,1+AK145,$D$1), "")</f>
        <v/>
      </c>
      <c r="O145" s="260"/>
      <c r="P145" s="260"/>
      <c r="Q145" s="261"/>
      <c r="R145" s="264">
        <f t="shared" si="469"/>
        <v>0</v>
      </c>
      <c r="S145" s="259" t="str" cm="1">
        <f t="array" ref="S145">IF($L145&gt;0, INDEX(Clean,1+AL145,$D$1), "")</f>
        <v/>
      </c>
      <c r="T145" s="260"/>
      <c r="U145" s="260"/>
      <c r="V145" s="261"/>
      <c r="W145" s="267"/>
      <c r="X145" s="267"/>
      <c r="Y145" s="257"/>
      <c r="Z145" s="264">
        <f t="shared" si="470"/>
        <v>0</v>
      </c>
      <c r="AA145" s="269"/>
      <c r="AB145" s="266"/>
      <c r="AC145" s="254"/>
      <c r="AD145" s="255" t="str">
        <f>IF(ISBLANK(AC145), "", VLOOKUP(AC145, Z!$A$2:$C$4127, 3, FALSE))</f>
        <v/>
      </c>
      <c r="AE145" s="270"/>
      <c r="AF145" s="265">
        <f t="shared" si="471"/>
        <v>0</v>
      </c>
      <c r="AG145" s="246"/>
      <c r="AH145" s="228">
        <f t="shared" si="494"/>
        <v>1</v>
      </c>
      <c r="AI145" s="228">
        <f t="shared" si="495"/>
        <v>1</v>
      </c>
      <c r="AJ145" s="228">
        <f t="shared" si="496"/>
        <v>0</v>
      </c>
      <c r="AK145" s="228">
        <v>0</v>
      </c>
      <c r="AL145" s="228">
        <v>0</v>
      </c>
      <c r="AM145" s="228">
        <f t="shared" si="472"/>
        <v>-100</v>
      </c>
      <c r="AN145" s="228" cm="1">
        <f t="array" ref="AN145">IF(ISBLANK(G145), 1, IFERROR(MATCH(G145, INDEX(Kat,,1), 0), IFERROR(MATCH(Kat, INDEX(Use,,2), 0), MATCH(Kat, INDEX(Use,,3), 0))))</f>
        <v>1</v>
      </c>
      <c r="AO145" s="246"/>
      <c r="AP145" s="228" cm="1">
        <f t="array" ref="AP145">IF(W145&gt;0, INDEX(Kat, AN145,4), 0)</f>
        <v>0</v>
      </c>
      <c r="AQ145" s="228">
        <f t="shared" si="497"/>
        <v>0</v>
      </c>
      <c r="AR145" s="228" cm="1">
        <f t="array" ref="AR145">IF(X145&gt;0, INDEX(Kat, $AN145, 4+AQ145), 0)</f>
        <v>0</v>
      </c>
      <c r="AS145" s="228" cm="1">
        <f t="array" ref="AS145">IF(X145&gt;0, INDEX(Kat, $AN145, 9+AQ145), 0)</f>
        <v>0</v>
      </c>
      <c r="AT145" s="246"/>
      <c r="AU145" s="262"/>
      <c r="AV145" s="262"/>
      <c r="AW145" s="263"/>
      <c r="AX145" s="263"/>
      <c r="AY145" s="263"/>
      <c r="AZ145" s="263"/>
      <c r="BA145" s="263"/>
      <c r="BB145" s="263"/>
      <c r="BC145" s="263"/>
      <c r="BD145" s="263"/>
      <c r="BE145" s="263"/>
      <c r="BF145" s="263"/>
      <c r="BG145" s="263"/>
      <c r="BH145" s="246"/>
      <c r="BI145" s="228" cm="1">
        <f t="array" ref="BI145">INDEX(Use, $AH145, 4)</f>
        <v>7</v>
      </c>
      <c r="BJ145" s="228">
        <f t="shared" si="473"/>
        <v>32</v>
      </c>
      <c r="BK145" s="228">
        <f t="shared" si="305"/>
        <v>13</v>
      </c>
      <c r="BL145" s="228">
        <f t="shared" si="306"/>
        <v>0</v>
      </c>
      <c r="BM145" s="233" cm="1">
        <f t="array" ref="BM145">L145/IF($M145&gt;0, INDEX($AY$22:$BE$76, $M145+20, $AH145), 1)</f>
        <v>0</v>
      </c>
      <c r="BN145" s="229">
        <f t="shared" si="474"/>
        <v>0</v>
      </c>
      <c r="BO145" s="228">
        <v>35</v>
      </c>
      <c r="BP145" s="229">
        <f t="shared" si="475"/>
        <v>48</v>
      </c>
      <c r="BQ145" s="234">
        <f t="shared" si="476"/>
        <v>3.0748170731707316</v>
      </c>
      <c r="BR145" s="234" cm="1">
        <f t="array" ref="BR145">$BM145 * SUMPRODUCT(INDEX($AV$76:$AX$81,,$AI145),INDEX($AY$76:$BE$81,,$AH145), N($AU$76:$AU$81&gt;$AM145)) / BQ145 / 1000</f>
        <v>0</v>
      </c>
      <c r="BS145" s="231">
        <f t="shared" si="310"/>
        <v>30</v>
      </c>
      <c r="BT145" s="229">
        <f t="shared" si="477"/>
        <v>43</v>
      </c>
      <c r="BU145" s="234">
        <f t="shared" si="478"/>
        <v>3.5018750000000001</v>
      </c>
      <c r="BV145" s="234" cm="1">
        <f t="array" ref="BV145">$BM145 * IF($AH145&lt;=2,
SUMPRODUCT(INDEX($AV$71:$AX$75,,$AI145), INDEX($AY$71:$BE$75,,$AH145), 1 / ($BF$71:$BF$75*BU145 + (1-$BF$71:$BF$75)*BQ145), N($AU$71:$AU$75&gt;$AM145)),
SUMPRODUCT(INDEX($AV$66:$AX$75,,$AI145), INDEX($AY$66:$BE$75,,$AH145), 1 / ($BG$66:$BG$75*BU145 + (1-$BG$66:$BG$75)*BQ145), N($AU$66:$AU$75&gt;$AM145))
) / 1000</f>
        <v>0</v>
      </c>
      <c r="BW145" s="231">
        <f t="shared" si="313"/>
        <v>25</v>
      </c>
      <c r="BX145" s="229">
        <f t="shared" si="479"/>
        <v>38</v>
      </c>
      <c r="BY145" s="234">
        <f t="shared" si="480"/>
        <v>4.0666935483870965</v>
      </c>
      <c r="BZ145" s="234" cm="1">
        <f t="array" ref="BZ145">$BM145 * IF($AH145&lt;=2,
SUMPRODUCT(INDEX($AV$66:$AX$70,,$AI145), INDEX($AY$66:$BE$70,,$AH145), 1 / ($BF$66:$BF$70*BY145 + (1-$BF$66:$BF$70)*BU145), N($AU$66:$AU$70&gt;$AM145)),
SUMPRODUCT(INDEX($AV$56:$AX$65,,$AI145), INDEX($AY$56:$BE$65,,$AH145), 1 / ($BG$56:$BG$65*BY145 + (1-$BG$56:$BG$65)*BU145), N($AU$56:$AU$65&gt;$AM145))
) / 1000</f>
        <v>0</v>
      </c>
      <c r="CA145" s="231">
        <f t="shared" si="316"/>
        <v>20</v>
      </c>
      <c r="CB145" s="229">
        <f t="shared" si="481"/>
        <v>33</v>
      </c>
      <c r="CC145" s="234">
        <f t="shared" si="482"/>
        <v>4.8487499999999999</v>
      </c>
      <c r="CD145" s="234" cm="1">
        <f t="array" ref="CD145">$BM145 * IF($AH145&lt;=2,
SUMPRODUCT(INDEX($AV$61:$AX$65,,$AI145), INDEX($AY$61:$BE$65,,$AH145), 1 / ($BF$61:$BF$65*CC145 + (1-$BF$61:$BF$65)*BY145), N($AU$61:$AU$65&gt;$AM145)),
SUMPRODUCT(INDEX($AV$46:$AX$55,,$AI145), INDEX($AY$46:$BE$55,,$AH145), 1 / ($BG$46:$BG$55*CC145 + (1-$BG$46:$BG$55)*BY145), N($AU$46:$AU$55&gt;$AM145))
) / 1000</f>
        <v>0</v>
      </c>
      <c r="CE145" s="234" cm="1">
        <f t="array" ref="CE145">$BM145 * IF($AH145&lt;=2,
SUMPRODUCT(INDEX($AV$22:$AX$60,,$AI145), INDEX($AY$22:$BE$60,,$AH145), 1 / ($BF$22:$BF$60*CC145), N($AU$22:$AU$60&gt;$AM145)),
SUMPRODUCT(INDEX($AV$22:$AX$45,,$AI145), INDEX($AY$22:$BE$45,,$AH145), 1 / ($BG$22:$BG$45*CC145), N($AU$22:$AU$45&gt;$AM145))
) / 1000</f>
        <v>0</v>
      </c>
      <c r="CF145" s="229">
        <f t="shared" si="483"/>
        <v>0</v>
      </c>
      <c r="CG145" s="246"/>
      <c r="CH145" s="229">
        <f t="shared" si="484"/>
        <v>0</v>
      </c>
      <c r="CI145" s="228">
        <v>35</v>
      </c>
      <c r="CJ145" s="229">
        <f t="shared" si="485"/>
        <v>48</v>
      </c>
      <c r="CK145" s="234">
        <f t="shared" si="486"/>
        <v>3.0748170731707316</v>
      </c>
      <c r="CL145" s="234" cm="1">
        <f t="array" ref="CL145">$BM145 * SUMPRODUCT(INDEX($AV$76:$AX$81,,$AI145),INDEX($AY$76:$BE$81,,$AH145), N($AU$76:$AU$81&gt;$AM145)) / CK145 / 1000</f>
        <v>0</v>
      </c>
      <c r="CM145" s="231">
        <f t="shared" si="323"/>
        <v>30</v>
      </c>
      <c r="CN145" s="229">
        <f t="shared" si="487"/>
        <v>43</v>
      </c>
      <c r="CO145" s="234">
        <f t="shared" si="488"/>
        <v>3.5018750000000001</v>
      </c>
      <c r="CP145" s="234" cm="1">
        <f t="array" ref="CP145">$BM145 * IF($AH145&lt;=2,
SUMPRODUCT(INDEX($AV$71:$AX$75,,$AI145), INDEX($AY$71:$BE$75,,$AH145), 1 / ($BF$71:$BF$75*CO145 + (1-$BF$71:$BF$75)*CK145), N($AU$71:$AU$75&gt;$AM145)),
SUMPRODUCT(INDEX($AV$66:$AX$75,,$AI145), INDEX($AY$66:$BE$75,,$AH145), 1 / ($BG$66:$BG$75*CO145 + (1-$BG$66:$BG$75)*CK145), N($AU$66:$AU$75&gt;$AM145))
) / 1000</f>
        <v>0</v>
      </c>
      <c r="CQ145" s="231">
        <f t="shared" si="326"/>
        <v>25</v>
      </c>
      <c r="CR145" s="229">
        <f t="shared" si="489"/>
        <v>38</v>
      </c>
      <c r="CS145" s="234">
        <f t="shared" si="490"/>
        <v>4.0666935483870965</v>
      </c>
      <c r="CT145" s="234" cm="1">
        <f t="array" ref="CT145">$BM145 * IF($AH145&lt;=2,
SUMPRODUCT(INDEX($AV$66:$AX$70,,$AI145), INDEX($AY$66:$BE$70,,$AH145), 1 / ($BF$66:$BF$70*CS145 + (1-$BF$66:$BF$70)*CO145), N($AU$66:$AU$70&gt;$AM145)),
SUMPRODUCT(INDEX($AV$56:$AX$65,,$AI145), INDEX($AY$56:$BE$65,,$AH145), 1 / ($BG$56:$BG$65*CS145 + (1-$BG$56:$BG$65)*CO145), N($AU$56:$AU$65&gt;$AM145))
) / 1000</f>
        <v>0</v>
      </c>
      <c r="CU145" s="231">
        <f t="shared" si="329"/>
        <v>20</v>
      </c>
      <c r="CV145" s="229">
        <f t="shared" si="491"/>
        <v>33</v>
      </c>
      <c r="CW145" s="234">
        <f t="shared" si="492"/>
        <v>4.8487499999999999</v>
      </c>
      <c r="CX145" s="234" cm="1">
        <f t="array" ref="CX145">$BM145 * IF($AH145&lt;=2,
SUMPRODUCT(INDEX($AV$61:$AX$65,,$AI145), INDEX($AY$61:$BE$65,,$AH145), 1 / ($BF$61:$BF$65*CW145 + (1-$BF$61:$BF$65)*CS145), N($AU$61:$AU$65&gt;$AM145)),
SUMPRODUCT(INDEX($AV$46:$AX$55,,$AI145), INDEX($AY$46:$BE$55,,$AH145), 1 / ($BG$46:$BG$55*CW145 + (1-$BG$46:$BG$55)*CS145), N($AU$46:$AU$55&gt;$AM145))
) / 1000</f>
        <v>0</v>
      </c>
      <c r="CY145" s="234" cm="1">
        <f t="array" ref="CY145">$BM145 * IF($AH145&lt;=2,
SUMPRODUCT(INDEX($AV$22:$AX$60,,$AI145), INDEX($AY$22:$BE$60,,$AH145), 1 / ($BF$22:$BF$60*CW145), N($AU$22:$AU$60&gt;$AM145)),
SUMPRODUCT(INDEX($AV$22:$AX$45,,$AI145), INDEX($AY$22:$BE$45,,$AH145), 1 / ($BG$22:$BG$45*CW145), N($AU$22:$AU$45&gt;$AM145))
) / 1000</f>
        <v>0</v>
      </c>
      <c r="CZ145" s="229">
        <f t="shared" si="493"/>
        <v>0</v>
      </c>
      <c r="DA145" s="246"/>
    </row>
    <row r="146" spans="1:105" s="75" customFormat="1" ht="14.25" customHeight="1" x14ac:dyDescent="0.2">
      <c r="A146" s="230" t="b">
        <f t="shared" si="291"/>
        <v>0</v>
      </c>
      <c r="B146" s="253">
        <v>125</v>
      </c>
      <c r="C146" s="266"/>
      <c r="D146" s="266"/>
      <c r="E146" s="254"/>
      <c r="F146" s="255" t="str">
        <f>IF(ISBLANK(E146), "", VLOOKUP(E146, Z!$A$2:$C$4127, 3, FALSE))</f>
        <v/>
      </c>
      <c r="G146" s="256"/>
      <c r="H146" s="256"/>
      <c r="I146" s="256"/>
      <c r="J146" s="257"/>
      <c r="K146" s="258"/>
      <c r="L146" s="267"/>
      <c r="M146" s="268"/>
      <c r="N146" s="259" t="str" cm="1">
        <f t="array" ref="N146">IF($L146&gt;0, INDEX(Clean,1+AK146,$D$1), "")</f>
        <v/>
      </c>
      <c r="O146" s="260"/>
      <c r="P146" s="260"/>
      <c r="Q146" s="261"/>
      <c r="R146" s="264">
        <f t="shared" si="469"/>
        <v>0</v>
      </c>
      <c r="S146" s="259" t="str" cm="1">
        <f t="array" ref="S146">IF($L146&gt;0, INDEX(Clean,1+AL146,$D$1), "")</f>
        <v/>
      </c>
      <c r="T146" s="260"/>
      <c r="U146" s="260"/>
      <c r="V146" s="261"/>
      <c r="W146" s="267"/>
      <c r="X146" s="267"/>
      <c r="Y146" s="257"/>
      <c r="Z146" s="264">
        <f t="shared" si="470"/>
        <v>0</v>
      </c>
      <c r="AA146" s="269"/>
      <c r="AB146" s="266"/>
      <c r="AC146" s="254"/>
      <c r="AD146" s="255" t="str">
        <f>IF(ISBLANK(AC146), "", VLOOKUP(AC146, Z!$A$2:$C$4127, 3, FALSE))</f>
        <v/>
      </c>
      <c r="AE146" s="270"/>
      <c r="AF146" s="265">
        <f t="shared" si="471"/>
        <v>0</v>
      </c>
      <c r="AG146" s="246"/>
      <c r="AH146" s="228">
        <f t="shared" si="494"/>
        <v>1</v>
      </c>
      <c r="AI146" s="228">
        <f t="shared" si="495"/>
        <v>1</v>
      </c>
      <c r="AJ146" s="228">
        <f t="shared" si="496"/>
        <v>0</v>
      </c>
      <c r="AK146" s="228">
        <v>0</v>
      </c>
      <c r="AL146" s="228">
        <v>0</v>
      </c>
      <c r="AM146" s="228">
        <f t="shared" si="472"/>
        <v>-100</v>
      </c>
      <c r="AN146" s="228" cm="1">
        <f t="array" ref="AN146">IF(ISBLANK(G146), 1, IFERROR(MATCH(G146, INDEX(Kat,,1), 0), IFERROR(MATCH(Kat, INDEX(Use,,2), 0), MATCH(Kat, INDEX(Use,,3), 0))))</f>
        <v>1</v>
      </c>
      <c r="AO146" s="246"/>
      <c r="AP146" s="228" cm="1">
        <f t="array" ref="AP146">IF(W146&gt;0, INDEX(Kat, AN146,4), 0)</f>
        <v>0</v>
      </c>
      <c r="AQ146" s="228">
        <f t="shared" si="497"/>
        <v>0</v>
      </c>
      <c r="AR146" s="228" cm="1">
        <f t="array" ref="AR146">IF(X146&gt;0, INDEX(Kat, $AN146, 4+AQ146), 0)</f>
        <v>0</v>
      </c>
      <c r="AS146" s="228" cm="1">
        <f t="array" ref="AS146">IF(X146&gt;0, INDEX(Kat, $AN146, 9+AQ146), 0)</f>
        <v>0</v>
      </c>
      <c r="AT146" s="246"/>
      <c r="AU146" s="262"/>
      <c r="AV146" s="262"/>
      <c r="AW146" s="263"/>
      <c r="AX146" s="263"/>
      <c r="AY146" s="263"/>
      <c r="AZ146" s="263"/>
      <c r="BA146" s="263"/>
      <c r="BB146" s="263"/>
      <c r="BC146" s="263"/>
      <c r="BD146" s="263"/>
      <c r="BE146" s="263"/>
      <c r="BF146" s="263"/>
      <c r="BG146" s="263"/>
      <c r="BH146" s="246"/>
      <c r="BI146" s="228" cm="1">
        <f t="array" ref="BI146">INDEX(Use, $AH146, 4)</f>
        <v>7</v>
      </c>
      <c r="BJ146" s="228">
        <f t="shared" si="473"/>
        <v>32</v>
      </c>
      <c r="BK146" s="228">
        <f t="shared" si="305"/>
        <v>13</v>
      </c>
      <c r="BL146" s="228">
        <f t="shared" si="306"/>
        <v>0</v>
      </c>
      <c r="BM146" s="233" cm="1">
        <f t="array" ref="BM146">L146/IF($M146&gt;0, INDEX($AY$22:$BE$76, $M146+20, $AH146), 1)</f>
        <v>0</v>
      </c>
      <c r="BN146" s="229">
        <f t="shared" si="474"/>
        <v>0</v>
      </c>
      <c r="BO146" s="228">
        <v>35</v>
      </c>
      <c r="BP146" s="229">
        <f t="shared" si="475"/>
        <v>48</v>
      </c>
      <c r="BQ146" s="234">
        <f t="shared" si="476"/>
        <v>3.0748170731707316</v>
      </c>
      <c r="BR146" s="234" cm="1">
        <f t="array" ref="BR146">$BM146 * SUMPRODUCT(INDEX($AV$76:$AX$81,,$AI146),INDEX($AY$76:$BE$81,,$AH146), N($AU$76:$AU$81&gt;$AM146)) / BQ146 / 1000</f>
        <v>0</v>
      </c>
      <c r="BS146" s="231">
        <f t="shared" si="310"/>
        <v>30</v>
      </c>
      <c r="BT146" s="229">
        <f t="shared" si="477"/>
        <v>43</v>
      </c>
      <c r="BU146" s="234">
        <f t="shared" si="478"/>
        <v>3.5018750000000001</v>
      </c>
      <c r="BV146" s="234" cm="1">
        <f t="array" ref="BV146">$BM146 * IF($AH146&lt;=2,
SUMPRODUCT(INDEX($AV$71:$AX$75,,$AI146), INDEX($AY$71:$BE$75,,$AH146), 1 / ($BF$71:$BF$75*BU146 + (1-$BF$71:$BF$75)*BQ146), N($AU$71:$AU$75&gt;$AM146)),
SUMPRODUCT(INDEX($AV$66:$AX$75,,$AI146), INDEX($AY$66:$BE$75,,$AH146), 1 / ($BG$66:$BG$75*BU146 + (1-$BG$66:$BG$75)*BQ146), N($AU$66:$AU$75&gt;$AM146))
) / 1000</f>
        <v>0</v>
      </c>
      <c r="BW146" s="231">
        <f t="shared" si="313"/>
        <v>25</v>
      </c>
      <c r="BX146" s="229">
        <f t="shared" si="479"/>
        <v>38</v>
      </c>
      <c r="BY146" s="234">
        <f t="shared" si="480"/>
        <v>4.0666935483870965</v>
      </c>
      <c r="BZ146" s="234" cm="1">
        <f t="array" ref="BZ146">$BM146 * IF($AH146&lt;=2,
SUMPRODUCT(INDEX($AV$66:$AX$70,,$AI146), INDEX($AY$66:$BE$70,,$AH146), 1 / ($BF$66:$BF$70*BY146 + (1-$BF$66:$BF$70)*BU146), N($AU$66:$AU$70&gt;$AM146)),
SUMPRODUCT(INDEX($AV$56:$AX$65,,$AI146), INDEX($AY$56:$BE$65,,$AH146), 1 / ($BG$56:$BG$65*BY146 + (1-$BG$56:$BG$65)*BU146), N($AU$56:$AU$65&gt;$AM146))
) / 1000</f>
        <v>0</v>
      </c>
      <c r="CA146" s="231">
        <f t="shared" si="316"/>
        <v>20</v>
      </c>
      <c r="CB146" s="229">
        <f t="shared" si="481"/>
        <v>33</v>
      </c>
      <c r="CC146" s="234">
        <f t="shared" si="482"/>
        <v>4.8487499999999999</v>
      </c>
      <c r="CD146" s="234" cm="1">
        <f t="array" ref="CD146">$BM146 * IF($AH146&lt;=2,
SUMPRODUCT(INDEX($AV$61:$AX$65,,$AI146), INDEX($AY$61:$BE$65,,$AH146), 1 / ($BF$61:$BF$65*CC146 + (1-$BF$61:$BF$65)*BY146), N($AU$61:$AU$65&gt;$AM146)),
SUMPRODUCT(INDEX($AV$46:$AX$55,,$AI146), INDEX($AY$46:$BE$55,,$AH146), 1 / ($BG$46:$BG$55*CC146 + (1-$BG$46:$BG$55)*BY146), N($AU$46:$AU$55&gt;$AM146))
) / 1000</f>
        <v>0</v>
      </c>
      <c r="CE146" s="234" cm="1">
        <f t="array" ref="CE146">$BM146 * IF($AH146&lt;=2,
SUMPRODUCT(INDEX($AV$22:$AX$60,,$AI146), INDEX($AY$22:$BE$60,,$AH146), 1 / ($BF$22:$BF$60*CC146), N($AU$22:$AU$60&gt;$AM146)),
SUMPRODUCT(INDEX($AV$22:$AX$45,,$AI146), INDEX($AY$22:$BE$45,,$AH146), 1 / ($BG$22:$BG$45*CC146), N($AU$22:$AU$45&gt;$AM146))
) / 1000</f>
        <v>0</v>
      </c>
      <c r="CF146" s="229">
        <f t="shared" si="483"/>
        <v>0</v>
      </c>
      <c r="CG146" s="246"/>
      <c r="CH146" s="229">
        <f t="shared" si="484"/>
        <v>0</v>
      </c>
      <c r="CI146" s="228">
        <v>35</v>
      </c>
      <c r="CJ146" s="229">
        <f t="shared" si="485"/>
        <v>48</v>
      </c>
      <c r="CK146" s="234">
        <f t="shared" si="486"/>
        <v>3.0748170731707316</v>
      </c>
      <c r="CL146" s="234" cm="1">
        <f t="array" ref="CL146">$BM146 * SUMPRODUCT(INDEX($AV$76:$AX$81,,$AI146),INDEX($AY$76:$BE$81,,$AH146), N($AU$76:$AU$81&gt;$AM146)) / CK146 / 1000</f>
        <v>0</v>
      </c>
      <c r="CM146" s="231">
        <f t="shared" si="323"/>
        <v>30</v>
      </c>
      <c r="CN146" s="229">
        <f t="shared" si="487"/>
        <v>43</v>
      </c>
      <c r="CO146" s="234">
        <f t="shared" si="488"/>
        <v>3.5018750000000001</v>
      </c>
      <c r="CP146" s="234" cm="1">
        <f t="array" ref="CP146">$BM146 * IF($AH146&lt;=2,
SUMPRODUCT(INDEX($AV$71:$AX$75,,$AI146), INDEX($AY$71:$BE$75,,$AH146), 1 / ($BF$71:$BF$75*CO146 + (1-$BF$71:$BF$75)*CK146), N($AU$71:$AU$75&gt;$AM146)),
SUMPRODUCT(INDEX($AV$66:$AX$75,,$AI146), INDEX($AY$66:$BE$75,,$AH146), 1 / ($BG$66:$BG$75*CO146 + (1-$BG$66:$BG$75)*CK146), N($AU$66:$AU$75&gt;$AM146))
) / 1000</f>
        <v>0</v>
      </c>
      <c r="CQ146" s="231">
        <f t="shared" si="326"/>
        <v>25</v>
      </c>
      <c r="CR146" s="229">
        <f t="shared" si="489"/>
        <v>38</v>
      </c>
      <c r="CS146" s="234">
        <f t="shared" si="490"/>
        <v>4.0666935483870965</v>
      </c>
      <c r="CT146" s="234" cm="1">
        <f t="array" ref="CT146">$BM146 * IF($AH146&lt;=2,
SUMPRODUCT(INDEX($AV$66:$AX$70,,$AI146), INDEX($AY$66:$BE$70,,$AH146), 1 / ($BF$66:$BF$70*CS146 + (1-$BF$66:$BF$70)*CO146), N($AU$66:$AU$70&gt;$AM146)),
SUMPRODUCT(INDEX($AV$56:$AX$65,,$AI146), INDEX($AY$56:$BE$65,,$AH146), 1 / ($BG$56:$BG$65*CS146 + (1-$BG$56:$BG$65)*CO146), N($AU$56:$AU$65&gt;$AM146))
) / 1000</f>
        <v>0</v>
      </c>
      <c r="CU146" s="231">
        <f t="shared" si="329"/>
        <v>20</v>
      </c>
      <c r="CV146" s="229">
        <f t="shared" si="491"/>
        <v>33</v>
      </c>
      <c r="CW146" s="234">
        <f t="shared" si="492"/>
        <v>4.8487499999999999</v>
      </c>
      <c r="CX146" s="234" cm="1">
        <f t="array" ref="CX146">$BM146 * IF($AH146&lt;=2,
SUMPRODUCT(INDEX($AV$61:$AX$65,,$AI146), INDEX($AY$61:$BE$65,,$AH146), 1 / ($BF$61:$BF$65*CW146 + (1-$BF$61:$BF$65)*CS146), N($AU$61:$AU$65&gt;$AM146)),
SUMPRODUCT(INDEX($AV$46:$AX$55,,$AI146), INDEX($AY$46:$BE$55,,$AH146), 1 / ($BG$46:$BG$55*CW146 + (1-$BG$46:$BG$55)*CS146), N($AU$46:$AU$55&gt;$AM146))
) / 1000</f>
        <v>0</v>
      </c>
      <c r="CY146" s="234" cm="1">
        <f t="array" ref="CY146">$BM146 * IF($AH146&lt;=2,
SUMPRODUCT(INDEX($AV$22:$AX$60,,$AI146), INDEX($AY$22:$BE$60,,$AH146), 1 / ($BF$22:$BF$60*CW146), N($AU$22:$AU$60&gt;$AM146)),
SUMPRODUCT(INDEX($AV$22:$AX$45,,$AI146), INDEX($AY$22:$BE$45,,$AH146), 1 / ($BG$22:$BG$45*CW146), N($AU$22:$AU$45&gt;$AM146))
) / 1000</f>
        <v>0</v>
      </c>
      <c r="CZ146" s="229">
        <f t="shared" si="493"/>
        <v>0</v>
      </c>
      <c r="DA146" s="246"/>
    </row>
    <row r="147" spans="1:105" s="75" customFormat="1" ht="14.25" customHeight="1" x14ac:dyDescent="0.2">
      <c r="A147" s="230" t="b">
        <f t="shared" si="291"/>
        <v>0</v>
      </c>
      <c r="B147" s="253">
        <v>126</v>
      </c>
      <c r="C147" s="266"/>
      <c r="D147" s="266"/>
      <c r="E147" s="254"/>
      <c r="F147" s="255" t="str">
        <f>IF(ISBLANK(E147), "", VLOOKUP(E147, Z!$A$2:$C$4127, 3, FALSE))</f>
        <v/>
      </c>
      <c r="G147" s="256"/>
      <c r="H147" s="256"/>
      <c r="I147" s="256"/>
      <c r="J147" s="257"/>
      <c r="K147" s="258"/>
      <c r="L147" s="267"/>
      <c r="M147" s="268"/>
      <c r="N147" s="259" t="str" cm="1">
        <f t="array" ref="N147">IF($L147&gt;0, INDEX(Clean,1+AK147,$D$1), "")</f>
        <v/>
      </c>
      <c r="O147" s="260"/>
      <c r="P147" s="260"/>
      <c r="Q147" s="261"/>
      <c r="R147" s="264">
        <f t="shared" si="469"/>
        <v>0</v>
      </c>
      <c r="S147" s="259" t="str" cm="1">
        <f t="array" ref="S147">IF($L147&gt;0, INDEX(Clean,1+AL147,$D$1), "")</f>
        <v/>
      </c>
      <c r="T147" s="260"/>
      <c r="U147" s="260"/>
      <c r="V147" s="261"/>
      <c r="W147" s="267"/>
      <c r="X147" s="267"/>
      <c r="Y147" s="257"/>
      <c r="Z147" s="264">
        <f t="shared" si="470"/>
        <v>0</v>
      </c>
      <c r="AA147" s="269"/>
      <c r="AB147" s="266"/>
      <c r="AC147" s="254"/>
      <c r="AD147" s="255" t="str">
        <f>IF(ISBLANK(AC147), "", VLOOKUP(AC147, Z!$A$2:$C$4127, 3, FALSE))</f>
        <v/>
      </c>
      <c r="AE147" s="270"/>
      <c r="AF147" s="265">
        <f t="shared" si="471"/>
        <v>0</v>
      </c>
      <c r="AG147" s="246"/>
      <c r="AH147" s="228">
        <f t="shared" si="494"/>
        <v>1</v>
      </c>
      <c r="AI147" s="228">
        <f t="shared" si="495"/>
        <v>1</v>
      </c>
      <c r="AJ147" s="228">
        <f t="shared" si="496"/>
        <v>0</v>
      </c>
      <c r="AK147" s="228">
        <v>0</v>
      </c>
      <c r="AL147" s="228">
        <v>0</v>
      </c>
      <c r="AM147" s="228">
        <f t="shared" si="472"/>
        <v>-100</v>
      </c>
      <c r="AN147" s="228" cm="1">
        <f t="array" ref="AN147">IF(ISBLANK(G147), 1, IFERROR(MATCH(G147, INDEX(Kat,,1), 0), IFERROR(MATCH(Kat, INDEX(Use,,2), 0), MATCH(Kat, INDEX(Use,,3), 0))))</f>
        <v>1</v>
      </c>
      <c r="AO147" s="246"/>
      <c r="AP147" s="228" cm="1">
        <f t="array" ref="AP147">IF(W147&gt;0, INDEX(Kat, AN147,4), 0)</f>
        <v>0</v>
      </c>
      <c r="AQ147" s="228">
        <f t="shared" si="497"/>
        <v>0</v>
      </c>
      <c r="AR147" s="228" cm="1">
        <f t="array" ref="AR147">IF(X147&gt;0, INDEX(Kat, $AN147, 4+AQ147), 0)</f>
        <v>0</v>
      </c>
      <c r="AS147" s="228" cm="1">
        <f t="array" ref="AS147">IF(X147&gt;0, INDEX(Kat, $AN147, 9+AQ147), 0)</f>
        <v>0</v>
      </c>
      <c r="AT147" s="246"/>
      <c r="AU147" s="262"/>
      <c r="AV147" s="262"/>
      <c r="AW147" s="263"/>
      <c r="AX147" s="263"/>
      <c r="AY147" s="263"/>
      <c r="AZ147" s="263"/>
      <c r="BA147" s="263"/>
      <c r="BB147" s="263"/>
      <c r="BC147" s="263"/>
      <c r="BD147" s="263"/>
      <c r="BE147" s="263"/>
      <c r="BF147" s="263"/>
      <c r="BG147" s="263"/>
      <c r="BH147" s="246"/>
      <c r="BI147" s="228" cm="1">
        <f t="array" ref="BI147">INDEX(Use, $AH147, 4)</f>
        <v>7</v>
      </c>
      <c r="BJ147" s="228">
        <f t="shared" si="473"/>
        <v>32</v>
      </c>
      <c r="BK147" s="228">
        <f t="shared" si="305"/>
        <v>13</v>
      </c>
      <c r="BL147" s="228">
        <f t="shared" si="306"/>
        <v>0</v>
      </c>
      <c r="BM147" s="233" cm="1">
        <f t="array" ref="BM147">L147/IF($M147&gt;0, INDEX($AY$22:$BE$76, $M147+20, $AH147), 1)</f>
        <v>0</v>
      </c>
      <c r="BN147" s="229">
        <f t="shared" si="474"/>
        <v>0</v>
      </c>
      <c r="BO147" s="228">
        <v>35</v>
      </c>
      <c r="BP147" s="229">
        <f t="shared" si="475"/>
        <v>48</v>
      </c>
      <c r="BQ147" s="234">
        <f t="shared" si="476"/>
        <v>3.0748170731707316</v>
      </c>
      <c r="BR147" s="234" cm="1">
        <f t="array" ref="BR147">$BM147 * SUMPRODUCT(INDEX($AV$76:$AX$81,,$AI147),INDEX($AY$76:$BE$81,,$AH147), N($AU$76:$AU$81&gt;$AM147)) / BQ147 / 1000</f>
        <v>0</v>
      </c>
      <c r="BS147" s="231">
        <f t="shared" si="310"/>
        <v>30</v>
      </c>
      <c r="BT147" s="229">
        <f t="shared" si="477"/>
        <v>43</v>
      </c>
      <c r="BU147" s="234">
        <f t="shared" si="478"/>
        <v>3.5018750000000001</v>
      </c>
      <c r="BV147" s="234" cm="1">
        <f t="array" ref="BV147">$BM147 * IF($AH147&lt;=2,
SUMPRODUCT(INDEX($AV$71:$AX$75,,$AI147), INDEX($AY$71:$BE$75,,$AH147), 1 / ($BF$71:$BF$75*BU147 + (1-$BF$71:$BF$75)*BQ147), N($AU$71:$AU$75&gt;$AM147)),
SUMPRODUCT(INDEX($AV$66:$AX$75,,$AI147), INDEX($AY$66:$BE$75,,$AH147), 1 / ($BG$66:$BG$75*BU147 + (1-$BG$66:$BG$75)*BQ147), N($AU$66:$AU$75&gt;$AM147))
) / 1000</f>
        <v>0</v>
      </c>
      <c r="BW147" s="231">
        <f t="shared" si="313"/>
        <v>25</v>
      </c>
      <c r="BX147" s="229">
        <f t="shared" si="479"/>
        <v>38</v>
      </c>
      <c r="BY147" s="234">
        <f t="shared" si="480"/>
        <v>4.0666935483870965</v>
      </c>
      <c r="BZ147" s="234" cm="1">
        <f t="array" ref="BZ147">$BM147 * IF($AH147&lt;=2,
SUMPRODUCT(INDEX($AV$66:$AX$70,,$AI147), INDEX($AY$66:$BE$70,,$AH147), 1 / ($BF$66:$BF$70*BY147 + (1-$BF$66:$BF$70)*BU147), N($AU$66:$AU$70&gt;$AM147)),
SUMPRODUCT(INDEX($AV$56:$AX$65,,$AI147), INDEX($AY$56:$BE$65,,$AH147), 1 / ($BG$56:$BG$65*BY147 + (1-$BG$56:$BG$65)*BU147), N($AU$56:$AU$65&gt;$AM147))
) / 1000</f>
        <v>0</v>
      </c>
      <c r="CA147" s="231">
        <f t="shared" si="316"/>
        <v>20</v>
      </c>
      <c r="CB147" s="229">
        <f t="shared" si="481"/>
        <v>33</v>
      </c>
      <c r="CC147" s="234">
        <f t="shared" si="482"/>
        <v>4.8487499999999999</v>
      </c>
      <c r="CD147" s="234" cm="1">
        <f t="array" ref="CD147">$BM147 * IF($AH147&lt;=2,
SUMPRODUCT(INDEX($AV$61:$AX$65,,$AI147), INDEX($AY$61:$BE$65,,$AH147), 1 / ($BF$61:$BF$65*CC147 + (1-$BF$61:$BF$65)*BY147), N($AU$61:$AU$65&gt;$AM147)),
SUMPRODUCT(INDEX($AV$46:$AX$55,,$AI147), INDEX($AY$46:$BE$55,,$AH147), 1 / ($BG$46:$BG$55*CC147 + (1-$BG$46:$BG$55)*BY147), N($AU$46:$AU$55&gt;$AM147))
) / 1000</f>
        <v>0</v>
      </c>
      <c r="CE147" s="234" cm="1">
        <f t="array" ref="CE147">$BM147 * IF($AH147&lt;=2,
SUMPRODUCT(INDEX($AV$22:$AX$60,,$AI147), INDEX($AY$22:$BE$60,,$AH147), 1 / ($BF$22:$BF$60*CC147), N($AU$22:$AU$60&gt;$AM147)),
SUMPRODUCT(INDEX($AV$22:$AX$45,,$AI147), INDEX($AY$22:$BE$45,,$AH147), 1 / ($BG$22:$BG$45*CC147), N($AU$22:$AU$45&gt;$AM147))
) / 1000</f>
        <v>0</v>
      </c>
      <c r="CF147" s="229">
        <f t="shared" si="483"/>
        <v>0</v>
      </c>
      <c r="CG147" s="246"/>
      <c r="CH147" s="229">
        <f t="shared" si="484"/>
        <v>0</v>
      </c>
      <c r="CI147" s="228">
        <v>35</v>
      </c>
      <c r="CJ147" s="229">
        <f t="shared" si="485"/>
        <v>48</v>
      </c>
      <c r="CK147" s="234">
        <f t="shared" si="486"/>
        <v>3.0748170731707316</v>
      </c>
      <c r="CL147" s="234" cm="1">
        <f t="array" ref="CL147">$BM147 * SUMPRODUCT(INDEX($AV$76:$AX$81,,$AI147),INDEX($AY$76:$BE$81,,$AH147), N($AU$76:$AU$81&gt;$AM147)) / CK147 / 1000</f>
        <v>0</v>
      </c>
      <c r="CM147" s="231">
        <f t="shared" si="323"/>
        <v>30</v>
      </c>
      <c r="CN147" s="229">
        <f t="shared" si="487"/>
        <v>43</v>
      </c>
      <c r="CO147" s="234">
        <f t="shared" si="488"/>
        <v>3.5018750000000001</v>
      </c>
      <c r="CP147" s="234" cm="1">
        <f t="array" ref="CP147">$BM147 * IF($AH147&lt;=2,
SUMPRODUCT(INDEX($AV$71:$AX$75,,$AI147), INDEX($AY$71:$BE$75,,$AH147), 1 / ($BF$71:$BF$75*CO147 + (1-$BF$71:$BF$75)*CK147), N($AU$71:$AU$75&gt;$AM147)),
SUMPRODUCT(INDEX($AV$66:$AX$75,,$AI147), INDEX($AY$66:$BE$75,,$AH147), 1 / ($BG$66:$BG$75*CO147 + (1-$BG$66:$BG$75)*CK147), N($AU$66:$AU$75&gt;$AM147))
) / 1000</f>
        <v>0</v>
      </c>
      <c r="CQ147" s="231">
        <f t="shared" si="326"/>
        <v>25</v>
      </c>
      <c r="CR147" s="229">
        <f t="shared" si="489"/>
        <v>38</v>
      </c>
      <c r="CS147" s="234">
        <f t="shared" si="490"/>
        <v>4.0666935483870965</v>
      </c>
      <c r="CT147" s="234" cm="1">
        <f t="array" ref="CT147">$BM147 * IF($AH147&lt;=2,
SUMPRODUCT(INDEX($AV$66:$AX$70,,$AI147), INDEX($AY$66:$BE$70,,$AH147), 1 / ($BF$66:$BF$70*CS147 + (1-$BF$66:$BF$70)*CO147), N($AU$66:$AU$70&gt;$AM147)),
SUMPRODUCT(INDEX($AV$56:$AX$65,,$AI147), INDEX($AY$56:$BE$65,,$AH147), 1 / ($BG$56:$BG$65*CS147 + (1-$BG$56:$BG$65)*CO147), N($AU$56:$AU$65&gt;$AM147))
) / 1000</f>
        <v>0</v>
      </c>
      <c r="CU147" s="231">
        <f t="shared" si="329"/>
        <v>20</v>
      </c>
      <c r="CV147" s="229">
        <f t="shared" si="491"/>
        <v>33</v>
      </c>
      <c r="CW147" s="234">
        <f t="shared" si="492"/>
        <v>4.8487499999999999</v>
      </c>
      <c r="CX147" s="234" cm="1">
        <f t="array" ref="CX147">$BM147 * IF($AH147&lt;=2,
SUMPRODUCT(INDEX($AV$61:$AX$65,,$AI147), INDEX($AY$61:$BE$65,,$AH147), 1 / ($BF$61:$BF$65*CW147 + (1-$BF$61:$BF$65)*CS147), N($AU$61:$AU$65&gt;$AM147)),
SUMPRODUCT(INDEX($AV$46:$AX$55,,$AI147), INDEX($AY$46:$BE$55,,$AH147), 1 / ($BG$46:$BG$55*CW147 + (1-$BG$46:$BG$55)*CS147), N($AU$46:$AU$55&gt;$AM147))
) / 1000</f>
        <v>0</v>
      </c>
      <c r="CY147" s="234" cm="1">
        <f t="array" ref="CY147">$BM147 * IF($AH147&lt;=2,
SUMPRODUCT(INDEX($AV$22:$AX$60,,$AI147), INDEX($AY$22:$BE$60,,$AH147), 1 / ($BF$22:$BF$60*CW147), N($AU$22:$AU$60&gt;$AM147)),
SUMPRODUCT(INDEX($AV$22:$AX$45,,$AI147), INDEX($AY$22:$BE$45,,$AH147), 1 / ($BG$22:$BG$45*CW147), N($AU$22:$AU$45&gt;$AM147))
) / 1000</f>
        <v>0</v>
      </c>
      <c r="CZ147" s="229">
        <f t="shared" si="493"/>
        <v>0</v>
      </c>
      <c r="DA147" s="246"/>
    </row>
    <row r="148" spans="1:105" s="75" customFormat="1" ht="14.25" customHeight="1" x14ac:dyDescent="0.2">
      <c r="A148" s="230" t="b">
        <f t="shared" si="291"/>
        <v>0</v>
      </c>
      <c r="B148" s="253">
        <v>127</v>
      </c>
      <c r="C148" s="266"/>
      <c r="D148" s="266"/>
      <c r="E148" s="254"/>
      <c r="F148" s="255" t="str">
        <f>IF(ISBLANK(E148), "", VLOOKUP(E148, Z!$A$2:$C$4127, 3, FALSE))</f>
        <v/>
      </c>
      <c r="G148" s="256"/>
      <c r="H148" s="256"/>
      <c r="I148" s="256"/>
      <c r="J148" s="257"/>
      <c r="K148" s="258"/>
      <c r="L148" s="267"/>
      <c r="M148" s="268"/>
      <c r="N148" s="259" t="str" cm="1">
        <f t="array" ref="N148">IF($L148&gt;0, INDEX(Clean,1+AK148,$D$1), "")</f>
        <v/>
      </c>
      <c r="O148" s="260"/>
      <c r="P148" s="260"/>
      <c r="Q148" s="261"/>
      <c r="R148" s="264">
        <f t="shared" si="469"/>
        <v>0</v>
      </c>
      <c r="S148" s="259" t="str" cm="1">
        <f t="array" ref="S148">IF($L148&gt;0, INDEX(Clean,1+AL148,$D$1), "")</f>
        <v/>
      </c>
      <c r="T148" s="260"/>
      <c r="U148" s="260"/>
      <c r="V148" s="261"/>
      <c r="W148" s="267"/>
      <c r="X148" s="267"/>
      <c r="Y148" s="257"/>
      <c r="Z148" s="264">
        <f t="shared" si="470"/>
        <v>0</v>
      </c>
      <c r="AA148" s="269"/>
      <c r="AB148" s="266"/>
      <c r="AC148" s="254"/>
      <c r="AD148" s="255" t="str">
        <f>IF(ISBLANK(AC148), "", VLOOKUP(AC148, Z!$A$2:$C$4127, 3, FALSE))</f>
        <v/>
      </c>
      <c r="AE148" s="270"/>
      <c r="AF148" s="265">
        <f t="shared" si="471"/>
        <v>0</v>
      </c>
      <c r="AG148" s="246"/>
      <c r="AH148" s="228">
        <f t="shared" si="494"/>
        <v>1</v>
      </c>
      <c r="AI148" s="228">
        <f t="shared" si="495"/>
        <v>1</v>
      </c>
      <c r="AJ148" s="228">
        <f t="shared" si="496"/>
        <v>0</v>
      </c>
      <c r="AK148" s="228">
        <v>0</v>
      </c>
      <c r="AL148" s="228">
        <v>0</v>
      </c>
      <c r="AM148" s="228">
        <f t="shared" si="472"/>
        <v>-100</v>
      </c>
      <c r="AN148" s="228" cm="1">
        <f t="array" ref="AN148">IF(ISBLANK(G148), 1, IFERROR(MATCH(G148, INDEX(Kat,,1), 0), IFERROR(MATCH(Kat, INDEX(Use,,2), 0), MATCH(Kat, INDEX(Use,,3), 0))))</f>
        <v>1</v>
      </c>
      <c r="AO148" s="246"/>
      <c r="AP148" s="228" cm="1">
        <f t="array" ref="AP148">IF(W148&gt;0, INDEX(Kat, AN148,4), 0)</f>
        <v>0</v>
      </c>
      <c r="AQ148" s="228">
        <f t="shared" si="497"/>
        <v>0</v>
      </c>
      <c r="AR148" s="228" cm="1">
        <f t="array" ref="AR148">IF(X148&gt;0, INDEX(Kat, $AN148, 4+AQ148), 0)</f>
        <v>0</v>
      </c>
      <c r="AS148" s="228" cm="1">
        <f t="array" ref="AS148">IF(X148&gt;0, INDEX(Kat, $AN148, 9+AQ148), 0)</f>
        <v>0</v>
      </c>
      <c r="AT148" s="246"/>
      <c r="AU148" s="262"/>
      <c r="AV148" s="262"/>
      <c r="AW148" s="263"/>
      <c r="AX148" s="263"/>
      <c r="AY148" s="263"/>
      <c r="AZ148" s="263"/>
      <c r="BA148" s="263"/>
      <c r="BB148" s="263"/>
      <c r="BC148" s="263"/>
      <c r="BD148" s="263"/>
      <c r="BE148" s="263"/>
      <c r="BF148" s="263"/>
      <c r="BG148" s="263"/>
      <c r="BH148" s="246"/>
      <c r="BI148" s="228" cm="1">
        <f t="array" ref="BI148">INDEX(Use, $AH148, 4)</f>
        <v>7</v>
      </c>
      <c r="BJ148" s="228">
        <f t="shared" si="473"/>
        <v>32</v>
      </c>
      <c r="BK148" s="228">
        <f t="shared" si="305"/>
        <v>13</v>
      </c>
      <c r="BL148" s="228">
        <f t="shared" si="306"/>
        <v>0</v>
      </c>
      <c r="BM148" s="233" cm="1">
        <f t="array" ref="BM148">L148/IF($M148&gt;0, INDEX($AY$22:$BE$76, $M148+20, $AH148), 1)</f>
        <v>0</v>
      </c>
      <c r="BN148" s="229">
        <f t="shared" si="474"/>
        <v>0</v>
      </c>
      <c r="BO148" s="228">
        <v>35</v>
      </c>
      <c r="BP148" s="229">
        <f t="shared" si="475"/>
        <v>48</v>
      </c>
      <c r="BQ148" s="234">
        <f t="shared" si="476"/>
        <v>3.0748170731707316</v>
      </c>
      <c r="BR148" s="234" cm="1">
        <f t="array" ref="BR148">$BM148 * SUMPRODUCT(INDEX($AV$76:$AX$81,,$AI148),INDEX($AY$76:$BE$81,,$AH148), N($AU$76:$AU$81&gt;$AM148)) / BQ148 / 1000</f>
        <v>0</v>
      </c>
      <c r="BS148" s="231">
        <f t="shared" si="310"/>
        <v>30</v>
      </c>
      <c r="BT148" s="229">
        <f t="shared" si="477"/>
        <v>43</v>
      </c>
      <c r="BU148" s="234">
        <f t="shared" si="478"/>
        <v>3.5018750000000001</v>
      </c>
      <c r="BV148" s="234" cm="1">
        <f t="array" ref="BV148">$BM148 * IF($AH148&lt;=2,
SUMPRODUCT(INDEX($AV$71:$AX$75,,$AI148), INDEX($AY$71:$BE$75,,$AH148), 1 / ($BF$71:$BF$75*BU148 + (1-$BF$71:$BF$75)*BQ148), N($AU$71:$AU$75&gt;$AM148)),
SUMPRODUCT(INDEX($AV$66:$AX$75,,$AI148), INDEX($AY$66:$BE$75,,$AH148), 1 / ($BG$66:$BG$75*BU148 + (1-$BG$66:$BG$75)*BQ148), N($AU$66:$AU$75&gt;$AM148))
) / 1000</f>
        <v>0</v>
      </c>
      <c r="BW148" s="231">
        <f t="shared" si="313"/>
        <v>25</v>
      </c>
      <c r="BX148" s="229">
        <f t="shared" si="479"/>
        <v>38</v>
      </c>
      <c r="BY148" s="234">
        <f t="shared" si="480"/>
        <v>4.0666935483870965</v>
      </c>
      <c r="BZ148" s="234" cm="1">
        <f t="array" ref="BZ148">$BM148 * IF($AH148&lt;=2,
SUMPRODUCT(INDEX($AV$66:$AX$70,,$AI148), INDEX($AY$66:$BE$70,,$AH148), 1 / ($BF$66:$BF$70*BY148 + (1-$BF$66:$BF$70)*BU148), N($AU$66:$AU$70&gt;$AM148)),
SUMPRODUCT(INDEX($AV$56:$AX$65,,$AI148), INDEX($AY$56:$BE$65,,$AH148), 1 / ($BG$56:$BG$65*BY148 + (1-$BG$56:$BG$65)*BU148), N($AU$56:$AU$65&gt;$AM148))
) / 1000</f>
        <v>0</v>
      </c>
      <c r="CA148" s="231">
        <f t="shared" si="316"/>
        <v>20</v>
      </c>
      <c r="CB148" s="229">
        <f t="shared" si="481"/>
        <v>33</v>
      </c>
      <c r="CC148" s="234">
        <f t="shared" si="482"/>
        <v>4.8487499999999999</v>
      </c>
      <c r="CD148" s="234" cm="1">
        <f t="array" ref="CD148">$BM148 * IF($AH148&lt;=2,
SUMPRODUCT(INDEX($AV$61:$AX$65,,$AI148), INDEX($AY$61:$BE$65,,$AH148), 1 / ($BF$61:$BF$65*CC148 + (1-$BF$61:$BF$65)*BY148), N($AU$61:$AU$65&gt;$AM148)),
SUMPRODUCT(INDEX($AV$46:$AX$55,,$AI148), INDEX($AY$46:$BE$55,,$AH148), 1 / ($BG$46:$BG$55*CC148 + (1-$BG$46:$BG$55)*BY148), N($AU$46:$AU$55&gt;$AM148))
) / 1000</f>
        <v>0</v>
      </c>
      <c r="CE148" s="234" cm="1">
        <f t="array" ref="CE148">$BM148 * IF($AH148&lt;=2,
SUMPRODUCT(INDEX($AV$22:$AX$60,,$AI148), INDEX($AY$22:$BE$60,,$AH148), 1 / ($BF$22:$BF$60*CC148), N($AU$22:$AU$60&gt;$AM148)),
SUMPRODUCT(INDEX($AV$22:$AX$45,,$AI148), INDEX($AY$22:$BE$45,,$AH148), 1 / ($BG$22:$BG$45*CC148), N($AU$22:$AU$45&gt;$AM148))
) / 1000</f>
        <v>0</v>
      </c>
      <c r="CF148" s="229">
        <f t="shared" si="483"/>
        <v>0</v>
      </c>
      <c r="CG148" s="246"/>
      <c r="CH148" s="229">
        <f t="shared" si="484"/>
        <v>0</v>
      </c>
      <c r="CI148" s="228">
        <v>35</v>
      </c>
      <c r="CJ148" s="229">
        <f t="shared" si="485"/>
        <v>48</v>
      </c>
      <c r="CK148" s="234">
        <f t="shared" si="486"/>
        <v>3.0748170731707316</v>
      </c>
      <c r="CL148" s="234" cm="1">
        <f t="array" ref="CL148">$BM148 * SUMPRODUCT(INDEX($AV$76:$AX$81,,$AI148),INDEX($AY$76:$BE$81,,$AH148), N($AU$76:$AU$81&gt;$AM148)) / CK148 / 1000</f>
        <v>0</v>
      </c>
      <c r="CM148" s="231">
        <f t="shared" si="323"/>
        <v>30</v>
      </c>
      <c r="CN148" s="229">
        <f t="shared" si="487"/>
        <v>43</v>
      </c>
      <c r="CO148" s="234">
        <f t="shared" si="488"/>
        <v>3.5018750000000001</v>
      </c>
      <c r="CP148" s="234" cm="1">
        <f t="array" ref="CP148">$BM148 * IF($AH148&lt;=2,
SUMPRODUCT(INDEX($AV$71:$AX$75,,$AI148), INDEX($AY$71:$BE$75,,$AH148), 1 / ($BF$71:$BF$75*CO148 + (1-$BF$71:$BF$75)*CK148), N($AU$71:$AU$75&gt;$AM148)),
SUMPRODUCT(INDEX($AV$66:$AX$75,,$AI148), INDEX($AY$66:$BE$75,,$AH148), 1 / ($BG$66:$BG$75*CO148 + (1-$BG$66:$BG$75)*CK148), N($AU$66:$AU$75&gt;$AM148))
) / 1000</f>
        <v>0</v>
      </c>
      <c r="CQ148" s="231">
        <f t="shared" si="326"/>
        <v>25</v>
      </c>
      <c r="CR148" s="229">
        <f t="shared" si="489"/>
        <v>38</v>
      </c>
      <c r="CS148" s="234">
        <f t="shared" si="490"/>
        <v>4.0666935483870965</v>
      </c>
      <c r="CT148" s="234" cm="1">
        <f t="array" ref="CT148">$BM148 * IF($AH148&lt;=2,
SUMPRODUCT(INDEX($AV$66:$AX$70,,$AI148), INDEX($AY$66:$BE$70,,$AH148), 1 / ($BF$66:$BF$70*CS148 + (1-$BF$66:$BF$70)*CO148), N($AU$66:$AU$70&gt;$AM148)),
SUMPRODUCT(INDEX($AV$56:$AX$65,,$AI148), INDEX($AY$56:$BE$65,,$AH148), 1 / ($BG$56:$BG$65*CS148 + (1-$BG$56:$BG$65)*CO148), N($AU$56:$AU$65&gt;$AM148))
) / 1000</f>
        <v>0</v>
      </c>
      <c r="CU148" s="231">
        <f t="shared" si="329"/>
        <v>20</v>
      </c>
      <c r="CV148" s="229">
        <f t="shared" si="491"/>
        <v>33</v>
      </c>
      <c r="CW148" s="234">
        <f t="shared" si="492"/>
        <v>4.8487499999999999</v>
      </c>
      <c r="CX148" s="234" cm="1">
        <f t="array" ref="CX148">$BM148 * IF($AH148&lt;=2,
SUMPRODUCT(INDEX($AV$61:$AX$65,,$AI148), INDEX($AY$61:$BE$65,,$AH148), 1 / ($BF$61:$BF$65*CW148 + (1-$BF$61:$BF$65)*CS148), N($AU$61:$AU$65&gt;$AM148)),
SUMPRODUCT(INDEX($AV$46:$AX$55,,$AI148), INDEX($AY$46:$BE$55,,$AH148), 1 / ($BG$46:$BG$55*CW148 + (1-$BG$46:$BG$55)*CS148), N($AU$46:$AU$55&gt;$AM148))
) / 1000</f>
        <v>0</v>
      </c>
      <c r="CY148" s="234" cm="1">
        <f t="array" ref="CY148">$BM148 * IF($AH148&lt;=2,
SUMPRODUCT(INDEX($AV$22:$AX$60,,$AI148), INDEX($AY$22:$BE$60,,$AH148), 1 / ($BF$22:$BF$60*CW148), N($AU$22:$AU$60&gt;$AM148)),
SUMPRODUCT(INDEX($AV$22:$AX$45,,$AI148), INDEX($AY$22:$BE$45,,$AH148), 1 / ($BG$22:$BG$45*CW148), N($AU$22:$AU$45&gt;$AM148))
) / 1000</f>
        <v>0</v>
      </c>
      <c r="CZ148" s="229">
        <f t="shared" si="493"/>
        <v>0</v>
      </c>
      <c r="DA148" s="246"/>
    </row>
    <row r="149" spans="1:105" s="75" customFormat="1" ht="14.25" customHeight="1" x14ac:dyDescent="0.2">
      <c r="A149" s="230" t="b">
        <f t="shared" si="291"/>
        <v>0</v>
      </c>
      <c r="B149" s="253">
        <v>128</v>
      </c>
      <c r="C149" s="266"/>
      <c r="D149" s="266"/>
      <c r="E149" s="254"/>
      <c r="F149" s="255" t="str">
        <f>IF(ISBLANK(E149), "", VLOOKUP(E149, Z!$A$2:$C$4127, 3, FALSE))</f>
        <v/>
      </c>
      <c r="G149" s="256"/>
      <c r="H149" s="256"/>
      <c r="I149" s="256"/>
      <c r="J149" s="257"/>
      <c r="K149" s="258"/>
      <c r="L149" s="267"/>
      <c r="M149" s="268"/>
      <c r="N149" s="259" t="str" cm="1">
        <f t="array" ref="N149">IF($L149&gt;0, INDEX(Clean,1+AK149,$D$1), "")</f>
        <v/>
      </c>
      <c r="O149" s="260"/>
      <c r="P149" s="260"/>
      <c r="Q149" s="261"/>
      <c r="R149" s="264">
        <f t="shared" si="469"/>
        <v>0</v>
      </c>
      <c r="S149" s="259" t="str" cm="1">
        <f t="array" ref="S149">IF($L149&gt;0, INDEX(Clean,1+AL149,$D$1), "")</f>
        <v/>
      </c>
      <c r="T149" s="260"/>
      <c r="U149" s="260"/>
      <c r="V149" s="261"/>
      <c r="W149" s="267"/>
      <c r="X149" s="267"/>
      <c r="Y149" s="257"/>
      <c r="Z149" s="264">
        <f t="shared" si="470"/>
        <v>0</v>
      </c>
      <c r="AA149" s="269"/>
      <c r="AB149" s="266"/>
      <c r="AC149" s="254"/>
      <c r="AD149" s="255" t="str">
        <f>IF(ISBLANK(AC149), "", VLOOKUP(AC149, Z!$A$2:$C$4127, 3, FALSE))</f>
        <v/>
      </c>
      <c r="AE149" s="270"/>
      <c r="AF149" s="265">
        <f t="shared" si="471"/>
        <v>0</v>
      </c>
      <c r="AG149" s="246"/>
      <c r="AH149" s="228">
        <f t="shared" si="494"/>
        <v>1</v>
      </c>
      <c r="AI149" s="228">
        <f t="shared" si="495"/>
        <v>1</v>
      </c>
      <c r="AJ149" s="228">
        <f t="shared" si="496"/>
        <v>0</v>
      </c>
      <c r="AK149" s="228">
        <v>0</v>
      </c>
      <c r="AL149" s="228">
        <v>0</v>
      </c>
      <c r="AM149" s="228">
        <f t="shared" si="472"/>
        <v>-100</v>
      </c>
      <c r="AN149" s="228" cm="1">
        <f t="array" ref="AN149">IF(ISBLANK(G149), 1, IFERROR(MATCH(G149, INDEX(Kat,,1), 0), IFERROR(MATCH(Kat, INDEX(Use,,2), 0), MATCH(Kat, INDEX(Use,,3), 0))))</f>
        <v>1</v>
      </c>
      <c r="AO149" s="246"/>
      <c r="AP149" s="228" cm="1">
        <f t="array" ref="AP149">IF(W149&gt;0, INDEX(Kat, AN149,4), 0)</f>
        <v>0</v>
      </c>
      <c r="AQ149" s="228">
        <f t="shared" si="497"/>
        <v>0</v>
      </c>
      <c r="AR149" s="228" cm="1">
        <f t="array" ref="AR149">IF(X149&gt;0, INDEX(Kat, $AN149, 4+AQ149), 0)</f>
        <v>0</v>
      </c>
      <c r="AS149" s="228" cm="1">
        <f t="array" ref="AS149">IF(X149&gt;0, INDEX(Kat, $AN149, 9+AQ149), 0)</f>
        <v>0</v>
      </c>
      <c r="AT149" s="246"/>
      <c r="AU149" s="262"/>
      <c r="AV149" s="262"/>
      <c r="AW149" s="263"/>
      <c r="AX149" s="263"/>
      <c r="AY149" s="263"/>
      <c r="AZ149" s="263"/>
      <c r="BA149" s="263"/>
      <c r="BB149" s="263"/>
      <c r="BC149" s="263"/>
      <c r="BD149" s="263"/>
      <c r="BE149" s="263"/>
      <c r="BF149" s="263"/>
      <c r="BG149" s="263"/>
      <c r="BH149" s="246"/>
      <c r="BI149" s="228" cm="1">
        <f t="array" ref="BI149">INDEX(Use, $AH149, 4)</f>
        <v>7</v>
      </c>
      <c r="BJ149" s="228">
        <f t="shared" si="473"/>
        <v>32</v>
      </c>
      <c r="BK149" s="228">
        <f t="shared" si="305"/>
        <v>13</v>
      </c>
      <c r="BL149" s="228">
        <f t="shared" si="306"/>
        <v>0</v>
      </c>
      <c r="BM149" s="233" cm="1">
        <f t="array" ref="BM149">L149/IF($M149&gt;0, INDEX($AY$22:$BE$76, $M149+20, $AH149), 1)</f>
        <v>0</v>
      </c>
      <c r="BN149" s="229">
        <f t="shared" si="474"/>
        <v>0</v>
      </c>
      <c r="BO149" s="228">
        <v>35</v>
      </c>
      <c r="BP149" s="229">
        <f t="shared" si="475"/>
        <v>48</v>
      </c>
      <c r="BQ149" s="234">
        <f t="shared" si="476"/>
        <v>3.0748170731707316</v>
      </c>
      <c r="BR149" s="234" cm="1">
        <f t="array" ref="BR149">$BM149 * SUMPRODUCT(INDEX($AV$76:$AX$81,,$AI149),INDEX($AY$76:$BE$81,,$AH149), N($AU$76:$AU$81&gt;$AM149)) / BQ149 / 1000</f>
        <v>0</v>
      </c>
      <c r="BS149" s="231">
        <f t="shared" si="310"/>
        <v>30</v>
      </c>
      <c r="BT149" s="229">
        <f t="shared" si="477"/>
        <v>43</v>
      </c>
      <c r="BU149" s="234">
        <f t="shared" si="478"/>
        <v>3.5018750000000001</v>
      </c>
      <c r="BV149" s="234" cm="1">
        <f t="array" ref="BV149">$BM149 * IF($AH149&lt;=2,
SUMPRODUCT(INDEX($AV$71:$AX$75,,$AI149), INDEX($AY$71:$BE$75,,$AH149), 1 / ($BF$71:$BF$75*BU149 + (1-$BF$71:$BF$75)*BQ149), N($AU$71:$AU$75&gt;$AM149)),
SUMPRODUCT(INDEX($AV$66:$AX$75,,$AI149), INDEX($AY$66:$BE$75,,$AH149), 1 / ($BG$66:$BG$75*BU149 + (1-$BG$66:$BG$75)*BQ149), N($AU$66:$AU$75&gt;$AM149))
) / 1000</f>
        <v>0</v>
      </c>
      <c r="BW149" s="231">
        <f t="shared" si="313"/>
        <v>25</v>
      </c>
      <c r="BX149" s="229">
        <f t="shared" si="479"/>
        <v>38</v>
      </c>
      <c r="BY149" s="234">
        <f t="shared" si="480"/>
        <v>4.0666935483870965</v>
      </c>
      <c r="BZ149" s="234" cm="1">
        <f t="array" ref="BZ149">$BM149 * IF($AH149&lt;=2,
SUMPRODUCT(INDEX($AV$66:$AX$70,,$AI149), INDEX($AY$66:$BE$70,,$AH149), 1 / ($BF$66:$BF$70*BY149 + (1-$BF$66:$BF$70)*BU149), N($AU$66:$AU$70&gt;$AM149)),
SUMPRODUCT(INDEX($AV$56:$AX$65,,$AI149), INDEX($AY$56:$BE$65,,$AH149), 1 / ($BG$56:$BG$65*BY149 + (1-$BG$56:$BG$65)*BU149), N($AU$56:$AU$65&gt;$AM149))
) / 1000</f>
        <v>0</v>
      </c>
      <c r="CA149" s="231">
        <f t="shared" si="316"/>
        <v>20</v>
      </c>
      <c r="CB149" s="229">
        <f t="shared" si="481"/>
        <v>33</v>
      </c>
      <c r="CC149" s="234">
        <f t="shared" si="482"/>
        <v>4.8487499999999999</v>
      </c>
      <c r="CD149" s="234" cm="1">
        <f t="array" ref="CD149">$BM149 * IF($AH149&lt;=2,
SUMPRODUCT(INDEX($AV$61:$AX$65,,$AI149), INDEX($AY$61:$BE$65,,$AH149), 1 / ($BF$61:$BF$65*CC149 + (1-$BF$61:$BF$65)*BY149), N($AU$61:$AU$65&gt;$AM149)),
SUMPRODUCT(INDEX($AV$46:$AX$55,,$AI149), INDEX($AY$46:$BE$55,,$AH149), 1 / ($BG$46:$BG$55*CC149 + (1-$BG$46:$BG$55)*BY149), N($AU$46:$AU$55&gt;$AM149))
) / 1000</f>
        <v>0</v>
      </c>
      <c r="CE149" s="234" cm="1">
        <f t="array" ref="CE149">$BM149 * IF($AH149&lt;=2,
SUMPRODUCT(INDEX($AV$22:$AX$60,,$AI149), INDEX($AY$22:$BE$60,,$AH149), 1 / ($BF$22:$BF$60*CC149), N($AU$22:$AU$60&gt;$AM149)),
SUMPRODUCT(INDEX($AV$22:$AX$45,,$AI149), INDEX($AY$22:$BE$45,,$AH149), 1 / ($BG$22:$BG$45*CC149), N($AU$22:$AU$45&gt;$AM149))
) / 1000</f>
        <v>0</v>
      </c>
      <c r="CF149" s="229">
        <f t="shared" si="483"/>
        <v>0</v>
      </c>
      <c r="CG149" s="246"/>
      <c r="CH149" s="229">
        <f t="shared" si="484"/>
        <v>0</v>
      </c>
      <c r="CI149" s="228">
        <v>35</v>
      </c>
      <c r="CJ149" s="229">
        <f t="shared" si="485"/>
        <v>48</v>
      </c>
      <c r="CK149" s="234">
        <f t="shared" si="486"/>
        <v>3.0748170731707316</v>
      </c>
      <c r="CL149" s="234" cm="1">
        <f t="array" ref="CL149">$BM149 * SUMPRODUCT(INDEX($AV$76:$AX$81,,$AI149),INDEX($AY$76:$BE$81,,$AH149), N($AU$76:$AU$81&gt;$AM149)) / CK149 / 1000</f>
        <v>0</v>
      </c>
      <c r="CM149" s="231">
        <f t="shared" si="323"/>
        <v>30</v>
      </c>
      <c r="CN149" s="229">
        <f t="shared" si="487"/>
        <v>43</v>
      </c>
      <c r="CO149" s="234">
        <f t="shared" si="488"/>
        <v>3.5018750000000001</v>
      </c>
      <c r="CP149" s="234" cm="1">
        <f t="array" ref="CP149">$BM149 * IF($AH149&lt;=2,
SUMPRODUCT(INDEX($AV$71:$AX$75,,$AI149), INDEX($AY$71:$BE$75,,$AH149), 1 / ($BF$71:$BF$75*CO149 + (1-$BF$71:$BF$75)*CK149), N($AU$71:$AU$75&gt;$AM149)),
SUMPRODUCT(INDEX($AV$66:$AX$75,,$AI149), INDEX($AY$66:$BE$75,,$AH149), 1 / ($BG$66:$BG$75*CO149 + (1-$BG$66:$BG$75)*CK149), N($AU$66:$AU$75&gt;$AM149))
) / 1000</f>
        <v>0</v>
      </c>
      <c r="CQ149" s="231">
        <f t="shared" si="326"/>
        <v>25</v>
      </c>
      <c r="CR149" s="229">
        <f t="shared" si="489"/>
        <v>38</v>
      </c>
      <c r="CS149" s="234">
        <f t="shared" si="490"/>
        <v>4.0666935483870965</v>
      </c>
      <c r="CT149" s="234" cm="1">
        <f t="array" ref="CT149">$BM149 * IF($AH149&lt;=2,
SUMPRODUCT(INDEX($AV$66:$AX$70,,$AI149), INDEX($AY$66:$BE$70,,$AH149), 1 / ($BF$66:$BF$70*CS149 + (1-$BF$66:$BF$70)*CO149), N($AU$66:$AU$70&gt;$AM149)),
SUMPRODUCT(INDEX($AV$56:$AX$65,,$AI149), INDEX($AY$56:$BE$65,,$AH149), 1 / ($BG$56:$BG$65*CS149 + (1-$BG$56:$BG$65)*CO149), N($AU$56:$AU$65&gt;$AM149))
) / 1000</f>
        <v>0</v>
      </c>
      <c r="CU149" s="231">
        <f t="shared" si="329"/>
        <v>20</v>
      </c>
      <c r="CV149" s="229">
        <f t="shared" si="491"/>
        <v>33</v>
      </c>
      <c r="CW149" s="234">
        <f t="shared" si="492"/>
        <v>4.8487499999999999</v>
      </c>
      <c r="CX149" s="234" cm="1">
        <f t="array" ref="CX149">$BM149 * IF($AH149&lt;=2,
SUMPRODUCT(INDEX($AV$61:$AX$65,,$AI149), INDEX($AY$61:$BE$65,,$AH149), 1 / ($BF$61:$BF$65*CW149 + (1-$BF$61:$BF$65)*CS149), N($AU$61:$AU$65&gt;$AM149)),
SUMPRODUCT(INDEX($AV$46:$AX$55,,$AI149), INDEX($AY$46:$BE$55,,$AH149), 1 / ($BG$46:$BG$55*CW149 + (1-$BG$46:$BG$55)*CS149), N($AU$46:$AU$55&gt;$AM149))
) / 1000</f>
        <v>0</v>
      </c>
      <c r="CY149" s="234" cm="1">
        <f t="array" ref="CY149">$BM149 * IF($AH149&lt;=2,
SUMPRODUCT(INDEX($AV$22:$AX$60,,$AI149), INDEX($AY$22:$BE$60,,$AH149), 1 / ($BF$22:$BF$60*CW149), N($AU$22:$AU$60&gt;$AM149)),
SUMPRODUCT(INDEX($AV$22:$AX$45,,$AI149), INDEX($AY$22:$BE$45,,$AH149), 1 / ($BG$22:$BG$45*CW149), N($AU$22:$AU$45&gt;$AM149))
) / 1000</f>
        <v>0</v>
      </c>
      <c r="CZ149" s="229">
        <f t="shared" si="493"/>
        <v>0</v>
      </c>
      <c r="DA149" s="246"/>
    </row>
    <row r="150" spans="1:105" s="75" customFormat="1" ht="14.25" customHeight="1" x14ac:dyDescent="0.2">
      <c r="A150" s="230" t="b">
        <f t="shared" si="291"/>
        <v>0</v>
      </c>
      <c r="B150" s="253">
        <v>129</v>
      </c>
      <c r="C150" s="266"/>
      <c r="D150" s="266"/>
      <c r="E150" s="254"/>
      <c r="F150" s="255" t="str">
        <f>IF(ISBLANK(E150), "", VLOOKUP(E150, Z!$A$2:$C$4127, 3, FALSE))</f>
        <v/>
      </c>
      <c r="G150" s="256"/>
      <c r="H150" s="256"/>
      <c r="I150" s="256"/>
      <c r="J150" s="257"/>
      <c r="K150" s="258"/>
      <c r="L150" s="267"/>
      <c r="M150" s="268"/>
      <c r="N150" s="259" t="str" cm="1">
        <f t="array" ref="N150">IF($L150&gt;0, INDEX(Clean,1+AK150,$D$1), "")</f>
        <v/>
      </c>
      <c r="O150" s="260"/>
      <c r="P150" s="260"/>
      <c r="Q150" s="261"/>
      <c r="R150" s="264">
        <f t="shared" si="469"/>
        <v>0</v>
      </c>
      <c r="S150" s="259" t="str" cm="1">
        <f t="array" ref="S150">IF($L150&gt;0, INDEX(Clean,1+AL150,$D$1), "")</f>
        <v/>
      </c>
      <c r="T150" s="260"/>
      <c r="U150" s="260"/>
      <c r="V150" s="261"/>
      <c r="W150" s="267"/>
      <c r="X150" s="267"/>
      <c r="Y150" s="257"/>
      <c r="Z150" s="264">
        <f t="shared" si="470"/>
        <v>0</v>
      </c>
      <c r="AA150" s="269"/>
      <c r="AB150" s="266"/>
      <c r="AC150" s="254"/>
      <c r="AD150" s="255" t="str">
        <f>IF(ISBLANK(AC150), "", VLOOKUP(AC150, Z!$A$2:$C$4127, 3, FALSE))</f>
        <v/>
      </c>
      <c r="AE150" s="270"/>
      <c r="AF150" s="265">
        <f t="shared" si="471"/>
        <v>0</v>
      </c>
      <c r="AG150" s="246"/>
      <c r="AH150" s="228">
        <f t="shared" si="494"/>
        <v>1</v>
      </c>
      <c r="AI150" s="228">
        <f t="shared" si="495"/>
        <v>1</v>
      </c>
      <c r="AJ150" s="228">
        <f t="shared" si="496"/>
        <v>0</v>
      </c>
      <c r="AK150" s="228">
        <v>0</v>
      </c>
      <c r="AL150" s="228">
        <v>0</v>
      </c>
      <c r="AM150" s="228">
        <f t="shared" si="472"/>
        <v>-100</v>
      </c>
      <c r="AN150" s="228" cm="1">
        <f t="array" ref="AN150">IF(ISBLANK(G150), 1, IFERROR(MATCH(G150, INDEX(Kat,,1), 0), IFERROR(MATCH(Kat, INDEX(Use,,2), 0), MATCH(Kat, INDEX(Use,,3), 0))))</f>
        <v>1</v>
      </c>
      <c r="AO150" s="246"/>
      <c r="AP150" s="228" cm="1">
        <f t="array" ref="AP150">IF(W150&gt;0, INDEX(Kat, AN150,4), 0)</f>
        <v>0</v>
      </c>
      <c r="AQ150" s="228">
        <f t="shared" si="497"/>
        <v>0</v>
      </c>
      <c r="AR150" s="228" cm="1">
        <f t="array" ref="AR150">IF(X150&gt;0, INDEX(Kat, $AN150, 4+AQ150), 0)</f>
        <v>0</v>
      </c>
      <c r="AS150" s="228" cm="1">
        <f t="array" ref="AS150">IF(X150&gt;0, INDEX(Kat, $AN150, 9+AQ150), 0)</f>
        <v>0</v>
      </c>
      <c r="AT150" s="246"/>
      <c r="AU150" s="262"/>
      <c r="AV150" s="262"/>
      <c r="AW150" s="263"/>
      <c r="AX150" s="263"/>
      <c r="AY150" s="263"/>
      <c r="AZ150" s="263"/>
      <c r="BA150" s="263"/>
      <c r="BB150" s="263"/>
      <c r="BC150" s="263"/>
      <c r="BD150" s="263"/>
      <c r="BE150" s="263"/>
      <c r="BF150" s="263"/>
      <c r="BG150" s="263"/>
      <c r="BH150" s="246"/>
      <c r="BI150" s="228" cm="1">
        <f t="array" ref="BI150">INDEX(Use, $AH150, 4)</f>
        <v>7</v>
      </c>
      <c r="BJ150" s="228">
        <f t="shared" si="473"/>
        <v>32</v>
      </c>
      <c r="BK150" s="228">
        <f t="shared" si="305"/>
        <v>13</v>
      </c>
      <c r="BL150" s="228">
        <f t="shared" si="306"/>
        <v>0</v>
      </c>
      <c r="BM150" s="233" cm="1">
        <f t="array" ref="BM150">L150/IF($M150&gt;0, INDEX($AY$22:$BE$76, $M150+20, $AH150), 1)</f>
        <v>0</v>
      </c>
      <c r="BN150" s="229">
        <f t="shared" si="474"/>
        <v>0</v>
      </c>
      <c r="BO150" s="228">
        <v>35</v>
      </c>
      <c r="BP150" s="229">
        <f t="shared" si="475"/>
        <v>48</v>
      </c>
      <c r="BQ150" s="234">
        <f t="shared" si="476"/>
        <v>3.0748170731707316</v>
      </c>
      <c r="BR150" s="234" cm="1">
        <f t="array" ref="BR150">$BM150 * SUMPRODUCT(INDEX($AV$76:$AX$81,,$AI150),INDEX($AY$76:$BE$81,,$AH150), N($AU$76:$AU$81&gt;$AM150)) / BQ150 / 1000</f>
        <v>0</v>
      </c>
      <c r="BS150" s="231">
        <f t="shared" si="310"/>
        <v>30</v>
      </c>
      <c r="BT150" s="229">
        <f t="shared" si="477"/>
        <v>43</v>
      </c>
      <c r="BU150" s="234">
        <f t="shared" si="478"/>
        <v>3.5018750000000001</v>
      </c>
      <c r="BV150" s="234" cm="1">
        <f t="array" ref="BV150">$BM150 * IF($AH150&lt;=2,
SUMPRODUCT(INDEX($AV$71:$AX$75,,$AI150), INDEX($AY$71:$BE$75,,$AH150), 1 / ($BF$71:$BF$75*BU150 + (1-$BF$71:$BF$75)*BQ150), N($AU$71:$AU$75&gt;$AM150)),
SUMPRODUCT(INDEX($AV$66:$AX$75,,$AI150), INDEX($AY$66:$BE$75,,$AH150), 1 / ($BG$66:$BG$75*BU150 + (1-$BG$66:$BG$75)*BQ150), N($AU$66:$AU$75&gt;$AM150))
) / 1000</f>
        <v>0</v>
      </c>
      <c r="BW150" s="231">
        <f t="shared" si="313"/>
        <v>25</v>
      </c>
      <c r="BX150" s="229">
        <f t="shared" si="479"/>
        <v>38</v>
      </c>
      <c r="BY150" s="234">
        <f t="shared" si="480"/>
        <v>4.0666935483870965</v>
      </c>
      <c r="BZ150" s="234" cm="1">
        <f t="array" ref="BZ150">$BM150 * IF($AH150&lt;=2,
SUMPRODUCT(INDEX($AV$66:$AX$70,,$AI150), INDEX($AY$66:$BE$70,,$AH150), 1 / ($BF$66:$BF$70*BY150 + (1-$BF$66:$BF$70)*BU150), N($AU$66:$AU$70&gt;$AM150)),
SUMPRODUCT(INDEX($AV$56:$AX$65,,$AI150), INDEX($AY$56:$BE$65,,$AH150), 1 / ($BG$56:$BG$65*BY150 + (1-$BG$56:$BG$65)*BU150), N($AU$56:$AU$65&gt;$AM150))
) / 1000</f>
        <v>0</v>
      </c>
      <c r="CA150" s="231">
        <f t="shared" si="316"/>
        <v>20</v>
      </c>
      <c r="CB150" s="229">
        <f t="shared" si="481"/>
        <v>33</v>
      </c>
      <c r="CC150" s="234">
        <f t="shared" si="482"/>
        <v>4.8487499999999999</v>
      </c>
      <c r="CD150" s="234" cm="1">
        <f t="array" ref="CD150">$BM150 * IF($AH150&lt;=2,
SUMPRODUCT(INDEX($AV$61:$AX$65,,$AI150), INDEX($AY$61:$BE$65,,$AH150), 1 / ($BF$61:$BF$65*CC150 + (1-$BF$61:$BF$65)*BY150), N($AU$61:$AU$65&gt;$AM150)),
SUMPRODUCT(INDEX($AV$46:$AX$55,,$AI150), INDEX($AY$46:$BE$55,,$AH150), 1 / ($BG$46:$BG$55*CC150 + (1-$BG$46:$BG$55)*BY150), N($AU$46:$AU$55&gt;$AM150))
) / 1000</f>
        <v>0</v>
      </c>
      <c r="CE150" s="234" cm="1">
        <f t="array" ref="CE150">$BM150 * IF($AH150&lt;=2,
SUMPRODUCT(INDEX($AV$22:$AX$60,,$AI150), INDEX($AY$22:$BE$60,,$AH150), 1 / ($BF$22:$BF$60*CC150), N($AU$22:$AU$60&gt;$AM150)),
SUMPRODUCT(INDEX($AV$22:$AX$45,,$AI150), INDEX($AY$22:$BE$45,,$AH150), 1 / ($BG$22:$BG$45*CC150), N($AU$22:$AU$45&gt;$AM150))
) / 1000</f>
        <v>0</v>
      </c>
      <c r="CF150" s="229">
        <f t="shared" si="483"/>
        <v>0</v>
      </c>
      <c r="CG150" s="246"/>
      <c r="CH150" s="229">
        <f t="shared" si="484"/>
        <v>0</v>
      </c>
      <c r="CI150" s="228">
        <v>35</v>
      </c>
      <c r="CJ150" s="229">
        <f t="shared" si="485"/>
        <v>48</v>
      </c>
      <c r="CK150" s="234">
        <f t="shared" si="486"/>
        <v>3.0748170731707316</v>
      </c>
      <c r="CL150" s="234" cm="1">
        <f t="array" ref="CL150">$BM150 * SUMPRODUCT(INDEX($AV$76:$AX$81,,$AI150),INDEX($AY$76:$BE$81,,$AH150), N($AU$76:$AU$81&gt;$AM150)) / CK150 / 1000</f>
        <v>0</v>
      </c>
      <c r="CM150" s="231">
        <f t="shared" si="323"/>
        <v>30</v>
      </c>
      <c r="CN150" s="229">
        <f t="shared" si="487"/>
        <v>43</v>
      </c>
      <c r="CO150" s="234">
        <f t="shared" si="488"/>
        <v>3.5018750000000001</v>
      </c>
      <c r="CP150" s="234" cm="1">
        <f t="array" ref="CP150">$BM150 * IF($AH150&lt;=2,
SUMPRODUCT(INDEX($AV$71:$AX$75,,$AI150), INDEX($AY$71:$BE$75,,$AH150), 1 / ($BF$71:$BF$75*CO150 + (1-$BF$71:$BF$75)*CK150), N($AU$71:$AU$75&gt;$AM150)),
SUMPRODUCT(INDEX($AV$66:$AX$75,,$AI150), INDEX($AY$66:$BE$75,,$AH150), 1 / ($BG$66:$BG$75*CO150 + (1-$BG$66:$BG$75)*CK150), N($AU$66:$AU$75&gt;$AM150))
) / 1000</f>
        <v>0</v>
      </c>
      <c r="CQ150" s="231">
        <f t="shared" si="326"/>
        <v>25</v>
      </c>
      <c r="CR150" s="229">
        <f t="shared" si="489"/>
        <v>38</v>
      </c>
      <c r="CS150" s="234">
        <f t="shared" si="490"/>
        <v>4.0666935483870965</v>
      </c>
      <c r="CT150" s="234" cm="1">
        <f t="array" ref="CT150">$BM150 * IF($AH150&lt;=2,
SUMPRODUCT(INDEX($AV$66:$AX$70,,$AI150), INDEX($AY$66:$BE$70,,$AH150), 1 / ($BF$66:$BF$70*CS150 + (1-$BF$66:$BF$70)*CO150), N($AU$66:$AU$70&gt;$AM150)),
SUMPRODUCT(INDEX($AV$56:$AX$65,,$AI150), INDEX($AY$56:$BE$65,,$AH150), 1 / ($BG$56:$BG$65*CS150 + (1-$BG$56:$BG$65)*CO150), N($AU$56:$AU$65&gt;$AM150))
) / 1000</f>
        <v>0</v>
      </c>
      <c r="CU150" s="231">
        <f t="shared" si="329"/>
        <v>20</v>
      </c>
      <c r="CV150" s="229">
        <f t="shared" si="491"/>
        <v>33</v>
      </c>
      <c r="CW150" s="234">
        <f t="shared" si="492"/>
        <v>4.8487499999999999</v>
      </c>
      <c r="CX150" s="234" cm="1">
        <f t="array" ref="CX150">$BM150 * IF($AH150&lt;=2,
SUMPRODUCT(INDEX($AV$61:$AX$65,,$AI150), INDEX($AY$61:$BE$65,,$AH150), 1 / ($BF$61:$BF$65*CW150 + (1-$BF$61:$BF$65)*CS150), N($AU$61:$AU$65&gt;$AM150)),
SUMPRODUCT(INDEX($AV$46:$AX$55,,$AI150), INDEX($AY$46:$BE$55,,$AH150), 1 / ($BG$46:$BG$55*CW150 + (1-$BG$46:$BG$55)*CS150), N($AU$46:$AU$55&gt;$AM150))
) / 1000</f>
        <v>0</v>
      </c>
      <c r="CY150" s="234" cm="1">
        <f t="array" ref="CY150">$BM150 * IF($AH150&lt;=2,
SUMPRODUCT(INDEX($AV$22:$AX$60,,$AI150), INDEX($AY$22:$BE$60,,$AH150), 1 / ($BF$22:$BF$60*CW150), N($AU$22:$AU$60&gt;$AM150)),
SUMPRODUCT(INDEX($AV$22:$AX$45,,$AI150), INDEX($AY$22:$BE$45,,$AH150), 1 / ($BG$22:$BG$45*CW150), N($AU$22:$AU$45&gt;$AM150))
) / 1000</f>
        <v>0</v>
      </c>
      <c r="CZ150" s="229">
        <f t="shared" si="493"/>
        <v>0</v>
      </c>
      <c r="DA150" s="246"/>
    </row>
    <row r="151" spans="1:105" s="75" customFormat="1" ht="14.25" customHeight="1" x14ac:dyDescent="0.2">
      <c r="A151" s="230" t="b">
        <f t="shared" si="291"/>
        <v>0</v>
      </c>
      <c r="B151" s="253">
        <v>130</v>
      </c>
      <c r="C151" s="266"/>
      <c r="D151" s="266"/>
      <c r="E151" s="254"/>
      <c r="F151" s="255" t="str">
        <f>IF(ISBLANK(E151), "", VLOOKUP(E151, Z!$A$2:$C$4127, 3, FALSE))</f>
        <v/>
      </c>
      <c r="G151" s="256"/>
      <c r="H151" s="256"/>
      <c r="I151" s="256"/>
      <c r="J151" s="257"/>
      <c r="K151" s="258"/>
      <c r="L151" s="267"/>
      <c r="M151" s="268"/>
      <c r="N151" s="259" t="str" cm="1">
        <f t="array" ref="N151">IF($L151&gt;0, INDEX(Clean,1+AK151,$D$1), "")</f>
        <v/>
      </c>
      <c r="O151" s="260"/>
      <c r="P151" s="260"/>
      <c r="Q151" s="261"/>
      <c r="R151" s="264">
        <f t="shared" si="469"/>
        <v>0</v>
      </c>
      <c r="S151" s="259" t="str" cm="1">
        <f t="array" ref="S151">IF($L151&gt;0, INDEX(Clean,1+AL151,$D$1), "")</f>
        <v/>
      </c>
      <c r="T151" s="260"/>
      <c r="U151" s="260"/>
      <c r="V151" s="261"/>
      <c r="W151" s="267"/>
      <c r="X151" s="267"/>
      <c r="Y151" s="257"/>
      <c r="Z151" s="264">
        <f t="shared" si="470"/>
        <v>0</v>
      </c>
      <c r="AA151" s="269"/>
      <c r="AB151" s="266"/>
      <c r="AC151" s="254"/>
      <c r="AD151" s="255" t="str">
        <f>IF(ISBLANK(AC151), "", VLOOKUP(AC151, Z!$A$2:$C$4127, 3, FALSE))</f>
        <v/>
      </c>
      <c r="AE151" s="270"/>
      <c r="AF151" s="265">
        <f t="shared" si="471"/>
        <v>0</v>
      </c>
      <c r="AG151" s="246"/>
      <c r="AH151" s="228">
        <f t="shared" si="494"/>
        <v>1</v>
      </c>
      <c r="AI151" s="228">
        <f t="shared" si="495"/>
        <v>1</v>
      </c>
      <c r="AJ151" s="228">
        <f t="shared" si="496"/>
        <v>0</v>
      </c>
      <c r="AK151" s="228">
        <v>0</v>
      </c>
      <c r="AL151" s="228">
        <v>0</v>
      </c>
      <c r="AM151" s="228">
        <f t="shared" si="472"/>
        <v>-100</v>
      </c>
      <c r="AN151" s="228" cm="1">
        <f t="array" ref="AN151">IF(ISBLANK(G151), 1, IFERROR(MATCH(G151, INDEX(Kat,,1), 0), IFERROR(MATCH(Kat, INDEX(Use,,2), 0), MATCH(Kat, INDEX(Use,,3), 0))))</f>
        <v>1</v>
      </c>
      <c r="AO151" s="246"/>
      <c r="AP151" s="228" cm="1">
        <f t="array" ref="AP151">IF(W151&gt;0, INDEX(Kat, AN151,4), 0)</f>
        <v>0</v>
      </c>
      <c r="AQ151" s="228">
        <f t="shared" si="497"/>
        <v>0</v>
      </c>
      <c r="AR151" s="228" cm="1">
        <f t="array" ref="AR151">IF(X151&gt;0, INDEX(Kat, $AN151, 4+AQ151), 0)</f>
        <v>0</v>
      </c>
      <c r="AS151" s="228" cm="1">
        <f t="array" ref="AS151">IF(X151&gt;0, INDEX(Kat, $AN151, 9+AQ151), 0)</f>
        <v>0</v>
      </c>
      <c r="AT151" s="246"/>
      <c r="AU151" s="262"/>
      <c r="AV151" s="262"/>
      <c r="AW151" s="263"/>
      <c r="AX151" s="263"/>
      <c r="AY151" s="263"/>
      <c r="AZ151" s="263"/>
      <c r="BA151" s="263"/>
      <c r="BB151" s="263"/>
      <c r="BC151" s="263"/>
      <c r="BD151" s="263"/>
      <c r="BE151" s="263"/>
      <c r="BF151" s="263"/>
      <c r="BG151" s="263"/>
      <c r="BH151" s="246"/>
      <c r="BI151" s="228" cm="1">
        <f t="array" ref="BI151">INDEX(Use, $AH151, 4)</f>
        <v>7</v>
      </c>
      <c r="BJ151" s="228">
        <f t="shared" si="473"/>
        <v>32</v>
      </c>
      <c r="BK151" s="228">
        <f t="shared" si="305"/>
        <v>13</v>
      </c>
      <c r="BL151" s="228">
        <f t="shared" si="306"/>
        <v>0</v>
      </c>
      <c r="BM151" s="233" cm="1">
        <f t="array" ref="BM151">L151/IF($M151&gt;0, INDEX($AY$22:$BE$76, $M151+20, $AH151), 1)</f>
        <v>0</v>
      </c>
      <c r="BN151" s="229">
        <f t="shared" si="474"/>
        <v>0</v>
      </c>
      <c r="BO151" s="228">
        <v>35</v>
      </c>
      <c r="BP151" s="229">
        <f t="shared" si="475"/>
        <v>48</v>
      </c>
      <c r="BQ151" s="234">
        <f t="shared" si="476"/>
        <v>3.0748170731707316</v>
      </c>
      <c r="BR151" s="234" cm="1">
        <f t="array" ref="BR151">$BM151 * SUMPRODUCT(INDEX($AV$76:$AX$81,,$AI151),INDEX($AY$76:$BE$81,,$AH151), N($AU$76:$AU$81&gt;$AM151)) / BQ151 / 1000</f>
        <v>0</v>
      </c>
      <c r="BS151" s="231">
        <f t="shared" si="310"/>
        <v>30</v>
      </c>
      <c r="BT151" s="229">
        <f t="shared" si="477"/>
        <v>43</v>
      </c>
      <c r="BU151" s="234">
        <f t="shared" si="478"/>
        <v>3.5018750000000001</v>
      </c>
      <c r="BV151" s="234" cm="1">
        <f t="array" ref="BV151">$BM151 * IF($AH151&lt;=2,
SUMPRODUCT(INDEX($AV$71:$AX$75,,$AI151), INDEX($AY$71:$BE$75,,$AH151), 1 / ($BF$71:$BF$75*BU151 + (1-$BF$71:$BF$75)*BQ151), N($AU$71:$AU$75&gt;$AM151)),
SUMPRODUCT(INDEX($AV$66:$AX$75,,$AI151), INDEX($AY$66:$BE$75,,$AH151), 1 / ($BG$66:$BG$75*BU151 + (1-$BG$66:$BG$75)*BQ151), N($AU$66:$AU$75&gt;$AM151))
) / 1000</f>
        <v>0</v>
      </c>
      <c r="BW151" s="231">
        <f t="shared" si="313"/>
        <v>25</v>
      </c>
      <c r="BX151" s="229">
        <f t="shared" si="479"/>
        <v>38</v>
      </c>
      <c r="BY151" s="234">
        <f t="shared" si="480"/>
        <v>4.0666935483870965</v>
      </c>
      <c r="BZ151" s="234" cm="1">
        <f t="array" ref="BZ151">$BM151 * IF($AH151&lt;=2,
SUMPRODUCT(INDEX($AV$66:$AX$70,,$AI151), INDEX($AY$66:$BE$70,,$AH151), 1 / ($BF$66:$BF$70*BY151 + (1-$BF$66:$BF$70)*BU151), N($AU$66:$AU$70&gt;$AM151)),
SUMPRODUCT(INDEX($AV$56:$AX$65,,$AI151), INDEX($AY$56:$BE$65,,$AH151), 1 / ($BG$56:$BG$65*BY151 + (1-$BG$56:$BG$65)*BU151), N($AU$56:$AU$65&gt;$AM151))
) / 1000</f>
        <v>0</v>
      </c>
      <c r="CA151" s="231">
        <f t="shared" si="316"/>
        <v>20</v>
      </c>
      <c r="CB151" s="229">
        <f t="shared" si="481"/>
        <v>33</v>
      </c>
      <c r="CC151" s="234">
        <f t="shared" si="482"/>
        <v>4.8487499999999999</v>
      </c>
      <c r="CD151" s="234" cm="1">
        <f t="array" ref="CD151">$BM151 * IF($AH151&lt;=2,
SUMPRODUCT(INDEX($AV$61:$AX$65,,$AI151), INDEX($AY$61:$BE$65,,$AH151), 1 / ($BF$61:$BF$65*CC151 + (1-$BF$61:$BF$65)*BY151), N($AU$61:$AU$65&gt;$AM151)),
SUMPRODUCT(INDEX($AV$46:$AX$55,,$AI151), INDEX($AY$46:$BE$55,,$AH151), 1 / ($BG$46:$BG$55*CC151 + (1-$BG$46:$BG$55)*BY151), N($AU$46:$AU$55&gt;$AM151))
) / 1000</f>
        <v>0</v>
      </c>
      <c r="CE151" s="234" cm="1">
        <f t="array" ref="CE151">$BM151 * IF($AH151&lt;=2,
SUMPRODUCT(INDEX($AV$22:$AX$60,,$AI151), INDEX($AY$22:$BE$60,,$AH151), 1 / ($BF$22:$BF$60*CC151), N($AU$22:$AU$60&gt;$AM151)),
SUMPRODUCT(INDEX($AV$22:$AX$45,,$AI151), INDEX($AY$22:$BE$45,,$AH151), 1 / ($BG$22:$BG$45*CC151), N($AU$22:$AU$45&gt;$AM151))
) / 1000</f>
        <v>0</v>
      </c>
      <c r="CF151" s="229">
        <f t="shared" si="483"/>
        <v>0</v>
      </c>
      <c r="CG151" s="246"/>
      <c r="CH151" s="229">
        <f t="shared" si="484"/>
        <v>0</v>
      </c>
      <c r="CI151" s="228">
        <v>35</v>
      </c>
      <c r="CJ151" s="229">
        <f t="shared" si="485"/>
        <v>48</v>
      </c>
      <c r="CK151" s="234">
        <f t="shared" si="486"/>
        <v>3.0748170731707316</v>
      </c>
      <c r="CL151" s="234" cm="1">
        <f t="array" ref="CL151">$BM151 * SUMPRODUCT(INDEX($AV$76:$AX$81,,$AI151),INDEX($AY$76:$BE$81,,$AH151), N($AU$76:$AU$81&gt;$AM151)) / CK151 / 1000</f>
        <v>0</v>
      </c>
      <c r="CM151" s="231">
        <f t="shared" si="323"/>
        <v>30</v>
      </c>
      <c r="CN151" s="229">
        <f t="shared" si="487"/>
        <v>43</v>
      </c>
      <c r="CO151" s="234">
        <f t="shared" si="488"/>
        <v>3.5018750000000001</v>
      </c>
      <c r="CP151" s="234" cm="1">
        <f t="array" ref="CP151">$BM151 * IF($AH151&lt;=2,
SUMPRODUCT(INDEX($AV$71:$AX$75,,$AI151), INDEX($AY$71:$BE$75,,$AH151), 1 / ($BF$71:$BF$75*CO151 + (1-$BF$71:$BF$75)*CK151), N($AU$71:$AU$75&gt;$AM151)),
SUMPRODUCT(INDEX($AV$66:$AX$75,,$AI151), INDEX($AY$66:$BE$75,,$AH151), 1 / ($BG$66:$BG$75*CO151 + (1-$BG$66:$BG$75)*CK151), N($AU$66:$AU$75&gt;$AM151))
) / 1000</f>
        <v>0</v>
      </c>
      <c r="CQ151" s="231">
        <f t="shared" si="326"/>
        <v>25</v>
      </c>
      <c r="CR151" s="229">
        <f t="shared" si="489"/>
        <v>38</v>
      </c>
      <c r="CS151" s="234">
        <f t="shared" si="490"/>
        <v>4.0666935483870965</v>
      </c>
      <c r="CT151" s="234" cm="1">
        <f t="array" ref="CT151">$BM151 * IF($AH151&lt;=2,
SUMPRODUCT(INDEX($AV$66:$AX$70,,$AI151), INDEX($AY$66:$BE$70,,$AH151), 1 / ($BF$66:$BF$70*CS151 + (1-$BF$66:$BF$70)*CO151), N($AU$66:$AU$70&gt;$AM151)),
SUMPRODUCT(INDEX($AV$56:$AX$65,,$AI151), INDEX($AY$56:$BE$65,,$AH151), 1 / ($BG$56:$BG$65*CS151 + (1-$BG$56:$BG$65)*CO151), N($AU$56:$AU$65&gt;$AM151))
) / 1000</f>
        <v>0</v>
      </c>
      <c r="CU151" s="231">
        <f t="shared" si="329"/>
        <v>20</v>
      </c>
      <c r="CV151" s="229">
        <f t="shared" si="491"/>
        <v>33</v>
      </c>
      <c r="CW151" s="234">
        <f t="shared" si="492"/>
        <v>4.8487499999999999</v>
      </c>
      <c r="CX151" s="234" cm="1">
        <f t="array" ref="CX151">$BM151 * IF($AH151&lt;=2,
SUMPRODUCT(INDEX($AV$61:$AX$65,,$AI151), INDEX($AY$61:$BE$65,,$AH151), 1 / ($BF$61:$BF$65*CW151 + (1-$BF$61:$BF$65)*CS151), N($AU$61:$AU$65&gt;$AM151)),
SUMPRODUCT(INDEX($AV$46:$AX$55,,$AI151), INDEX($AY$46:$BE$55,,$AH151), 1 / ($BG$46:$BG$55*CW151 + (1-$BG$46:$BG$55)*CS151), N($AU$46:$AU$55&gt;$AM151))
) / 1000</f>
        <v>0</v>
      </c>
      <c r="CY151" s="234" cm="1">
        <f t="array" ref="CY151">$BM151 * IF($AH151&lt;=2,
SUMPRODUCT(INDEX($AV$22:$AX$60,,$AI151), INDEX($AY$22:$BE$60,,$AH151), 1 / ($BF$22:$BF$60*CW151), N($AU$22:$AU$60&gt;$AM151)),
SUMPRODUCT(INDEX($AV$22:$AX$45,,$AI151), INDEX($AY$22:$BE$45,,$AH151), 1 / ($BG$22:$BG$45*CW151), N($AU$22:$AU$45&gt;$AM151))
) / 1000</f>
        <v>0</v>
      </c>
      <c r="CZ151" s="229">
        <f t="shared" si="493"/>
        <v>0</v>
      </c>
      <c r="DA151" s="246"/>
    </row>
    <row r="152" spans="1:105" s="75" customFormat="1" ht="14.25" customHeight="1" x14ac:dyDescent="0.2">
      <c r="A152" s="230" t="b">
        <f t="shared" si="291"/>
        <v>0</v>
      </c>
      <c r="B152" s="253">
        <v>131</v>
      </c>
      <c r="C152" s="266"/>
      <c r="D152" s="266"/>
      <c r="E152" s="254"/>
      <c r="F152" s="255" t="str">
        <f>IF(ISBLANK(E152), "", VLOOKUP(E152, Z!$A$2:$C$4127, 3, FALSE))</f>
        <v/>
      </c>
      <c r="G152" s="256"/>
      <c r="H152" s="256"/>
      <c r="I152" s="256"/>
      <c r="J152" s="257"/>
      <c r="K152" s="258"/>
      <c r="L152" s="267"/>
      <c r="M152" s="268"/>
      <c r="N152" s="259" t="str" cm="1">
        <f t="array" ref="N152">IF($L152&gt;0, INDEX(Clean,1+AK152,$D$1), "")</f>
        <v/>
      </c>
      <c r="O152" s="260"/>
      <c r="P152" s="260"/>
      <c r="Q152" s="261"/>
      <c r="R152" s="264">
        <f t="shared" si="469"/>
        <v>0</v>
      </c>
      <c r="S152" s="259" t="str" cm="1">
        <f t="array" ref="S152">IF($L152&gt;0, INDEX(Clean,1+AL152,$D$1), "")</f>
        <v/>
      </c>
      <c r="T152" s="260"/>
      <c r="U152" s="260"/>
      <c r="V152" s="261"/>
      <c r="W152" s="267"/>
      <c r="X152" s="267"/>
      <c r="Y152" s="257"/>
      <c r="Z152" s="264">
        <f t="shared" si="470"/>
        <v>0</v>
      </c>
      <c r="AA152" s="269"/>
      <c r="AB152" s="266"/>
      <c r="AC152" s="254"/>
      <c r="AD152" s="255" t="str">
        <f>IF(ISBLANK(AC152), "", VLOOKUP(AC152, Z!$A$2:$C$4127, 3, FALSE))</f>
        <v/>
      </c>
      <c r="AE152" s="270"/>
      <c r="AF152" s="265">
        <f t="shared" si="471"/>
        <v>0</v>
      </c>
      <c r="AG152" s="246"/>
      <c r="AH152" s="228">
        <f t="shared" si="494"/>
        <v>1</v>
      </c>
      <c r="AI152" s="228">
        <f t="shared" si="495"/>
        <v>1</v>
      </c>
      <c r="AJ152" s="228">
        <f t="shared" si="496"/>
        <v>0</v>
      </c>
      <c r="AK152" s="228">
        <v>0</v>
      </c>
      <c r="AL152" s="228">
        <v>0</v>
      </c>
      <c r="AM152" s="228">
        <f t="shared" si="472"/>
        <v>-100</v>
      </c>
      <c r="AN152" s="228" cm="1">
        <f t="array" ref="AN152">IF(ISBLANK(G152), 1, IFERROR(MATCH(G152, INDEX(Kat,,1), 0), IFERROR(MATCH(Kat, INDEX(Use,,2), 0), MATCH(Kat, INDEX(Use,,3), 0))))</f>
        <v>1</v>
      </c>
      <c r="AO152" s="246"/>
      <c r="AP152" s="228" cm="1">
        <f t="array" ref="AP152">IF(W152&gt;0, INDEX(Kat, AN152,4), 0)</f>
        <v>0</v>
      </c>
      <c r="AQ152" s="228">
        <f t="shared" si="497"/>
        <v>0</v>
      </c>
      <c r="AR152" s="228" cm="1">
        <f t="array" ref="AR152">IF(X152&gt;0, INDEX(Kat, $AN152, 4+AQ152), 0)</f>
        <v>0</v>
      </c>
      <c r="AS152" s="228" cm="1">
        <f t="array" ref="AS152">IF(X152&gt;0, INDEX(Kat, $AN152, 9+AQ152), 0)</f>
        <v>0</v>
      </c>
      <c r="AT152" s="246"/>
      <c r="AU152" s="262"/>
      <c r="AV152" s="262"/>
      <c r="AW152" s="263"/>
      <c r="AX152" s="263"/>
      <c r="AY152" s="263"/>
      <c r="AZ152" s="263"/>
      <c r="BA152" s="263"/>
      <c r="BB152" s="263"/>
      <c r="BC152" s="263"/>
      <c r="BD152" s="263"/>
      <c r="BE152" s="263"/>
      <c r="BF152" s="263"/>
      <c r="BG152" s="263"/>
      <c r="BH152" s="246"/>
      <c r="BI152" s="228" cm="1">
        <f t="array" ref="BI152">INDEX(Use, $AH152, 4)</f>
        <v>7</v>
      </c>
      <c r="BJ152" s="228">
        <f t="shared" si="473"/>
        <v>32</v>
      </c>
      <c r="BK152" s="228">
        <f t="shared" si="305"/>
        <v>13</v>
      </c>
      <c r="BL152" s="228">
        <f t="shared" si="306"/>
        <v>0</v>
      </c>
      <c r="BM152" s="233" cm="1">
        <f t="array" ref="BM152">L152/IF($M152&gt;0, INDEX($AY$22:$BE$76, $M152+20, $AH152), 1)</f>
        <v>0</v>
      </c>
      <c r="BN152" s="229">
        <f t="shared" si="474"/>
        <v>0</v>
      </c>
      <c r="BO152" s="228">
        <v>35</v>
      </c>
      <c r="BP152" s="229">
        <f t="shared" si="475"/>
        <v>48</v>
      </c>
      <c r="BQ152" s="234">
        <f t="shared" si="476"/>
        <v>3.0748170731707316</v>
      </c>
      <c r="BR152" s="234" cm="1">
        <f t="array" ref="BR152">$BM152 * SUMPRODUCT(INDEX($AV$76:$AX$81,,$AI152),INDEX($AY$76:$BE$81,,$AH152), N($AU$76:$AU$81&gt;$AM152)) / BQ152 / 1000</f>
        <v>0</v>
      </c>
      <c r="BS152" s="231">
        <f t="shared" si="310"/>
        <v>30</v>
      </c>
      <c r="BT152" s="229">
        <f t="shared" si="477"/>
        <v>43</v>
      </c>
      <c r="BU152" s="234">
        <f t="shared" si="478"/>
        <v>3.5018750000000001</v>
      </c>
      <c r="BV152" s="234" cm="1">
        <f t="array" ref="BV152">$BM152 * IF($AH152&lt;=2,
SUMPRODUCT(INDEX($AV$71:$AX$75,,$AI152), INDEX($AY$71:$BE$75,,$AH152), 1 / ($BF$71:$BF$75*BU152 + (1-$BF$71:$BF$75)*BQ152), N($AU$71:$AU$75&gt;$AM152)),
SUMPRODUCT(INDEX($AV$66:$AX$75,,$AI152), INDEX($AY$66:$BE$75,,$AH152), 1 / ($BG$66:$BG$75*BU152 + (1-$BG$66:$BG$75)*BQ152), N($AU$66:$AU$75&gt;$AM152))
) / 1000</f>
        <v>0</v>
      </c>
      <c r="BW152" s="231">
        <f t="shared" si="313"/>
        <v>25</v>
      </c>
      <c r="BX152" s="229">
        <f t="shared" si="479"/>
        <v>38</v>
      </c>
      <c r="BY152" s="234">
        <f t="shared" si="480"/>
        <v>4.0666935483870965</v>
      </c>
      <c r="BZ152" s="234" cm="1">
        <f t="array" ref="BZ152">$BM152 * IF($AH152&lt;=2,
SUMPRODUCT(INDEX($AV$66:$AX$70,,$AI152), INDEX($AY$66:$BE$70,,$AH152), 1 / ($BF$66:$BF$70*BY152 + (1-$BF$66:$BF$70)*BU152), N($AU$66:$AU$70&gt;$AM152)),
SUMPRODUCT(INDEX($AV$56:$AX$65,,$AI152), INDEX($AY$56:$BE$65,,$AH152), 1 / ($BG$56:$BG$65*BY152 + (1-$BG$56:$BG$65)*BU152), N($AU$56:$AU$65&gt;$AM152))
) / 1000</f>
        <v>0</v>
      </c>
      <c r="CA152" s="231">
        <f t="shared" si="316"/>
        <v>20</v>
      </c>
      <c r="CB152" s="229">
        <f t="shared" si="481"/>
        <v>33</v>
      </c>
      <c r="CC152" s="234">
        <f t="shared" si="482"/>
        <v>4.8487499999999999</v>
      </c>
      <c r="CD152" s="234" cm="1">
        <f t="array" ref="CD152">$BM152 * IF($AH152&lt;=2,
SUMPRODUCT(INDEX($AV$61:$AX$65,,$AI152), INDEX($AY$61:$BE$65,,$AH152), 1 / ($BF$61:$BF$65*CC152 + (1-$BF$61:$BF$65)*BY152), N($AU$61:$AU$65&gt;$AM152)),
SUMPRODUCT(INDEX($AV$46:$AX$55,,$AI152), INDEX($AY$46:$BE$55,,$AH152), 1 / ($BG$46:$BG$55*CC152 + (1-$BG$46:$BG$55)*BY152), N($AU$46:$AU$55&gt;$AM152))
) / 1000</f>
        <v>0</v>
      </c>
      <c r="CE152" s="234" cm="1">
        <f t="array" ref="CE152">$BM152 * IF($AH152&lt;=2,
SUMPRODUCT(INDEX($AV$22:$AX$60,,$AI152), INDEX($AY$22:$BE$60,,$AH152), 1 / ($BF$22:$BF$60*CC152), N($AU$22:$AU$60&gt;$AM152)),
SUMPRODUCT(INDEX($AV$22:$AX$45,,$AI152), INDEX($AY$22:$BE$45,,$AH152), 1 / ($BG$22:$BG$45*CC152), N($AU$22:$AU$45&gt;$AM152))
) / 1000</f>
        <v>0</v>
      </c>
      <c r="CF152" s="229">
        <f t="shared" si="483"/>
        <v>0</v>
      </c>
      <c r="CG152" s="246"/>
      <c r="CH152" s="229">
        <f t="shared" si="484"/>
        <v>0</v>
      </c>
      <c r="CI152" s="228">
        <v>35</v>
      </c>
      <c r="CJ152" s="229">
        <f t="shared" si="485"/>
        <v>48</v>
      </c>
      <c r="CK152" s="234">
        <f t="shared" si="486"/>
        <v>3.0748170731707316</v>
      </c>
      <c r="CL152" s="234" cm="1">
        <f t="array" ref="CL152">$BM152 * SUMPRODUCT(INDEX($AV$76:$AX$81,,$AI152),INDEX($AY$76:$BE$81,,$AH152), N($AU$76:$AU$81&gt;$AM152)) / CK152 / 1000</f>
        <v>0</v>
      </c>
      <c r="CM152" s="231">
        <f t="shared" si="323"/>
        <v>30</v>
      </c>
      <c r="CN152" s="229">
        <f t="shared" si="487"/>
        <v>43</v>
      </c>
      <c r="CO152" s="234">
        <f t="shared" si="488"/>
        <v>3.5018750000000001</v>
      </c>
      <c r="CP152" s="234" cm="1">
        <f t="array" ref="CP152">$BM152 * IF($AH152&lt;=2,
SUMPRODUCT(INDEX($AV$71:$AX$75,,$AI152), INDEX($AY$71:$BE$75,,$AH152), 1 / ($BF$71:$BF$75*CO152 + (1-$BF$71:$BF$75)*CK152), N($AU$71:$AU$75&gt;$AM152)),
SUMPRODUCT(INDEX($AV$66:$AX$75,,$AI152), INDEX($AY$66:$BE$75,,$AH152), 1 / ($BG$66:$BG$75*CO152 + (1-$BG$66:$BG$75)*CK152), N($AU$66:$AU$75&gt;$AM152))
) / 1000</f>
        <v>0</v>
      </c>
      <c r="CQ152" s="231">
        <f t="shared" si="326"/>
        <v>25</v>
      </c>
      <c r="CR152" s="229">
        <f t="shared" si="489"/>
        <v>38</v>
      </c>
      <c r="CS152" s="234">
        <f t="shared" si="490"/>
        <v>4.0666935483870965</v>
      </c>
      <c r="CT152" s="234" cm="1">
        <f t="array" ref="CT152">$BM152 * IF($AH152&lt;=2,
SUMPRODUCT(INDEX($AV$66:$AX$70,,$AI152), INDEX($AY$66:$BE$70,,$AH152), 1 / ($BF$66:$BF$70*CS152 + (1-$BF$66:$BF$70)*CO152), N($AU$66:$AU$70&gt;$AM152)),
SUMPRODUCT(INDEX($AV$56:$AX$65,,$AI152), INDEX($AY$56:$BE$65,,$AH152), 1 / ($BG$56:$BG$65*CS152 + (1-$BG$56:$BG$65)*CO152), N($AU$56:$AU$65&gt;$AM152))
) / 1000</f>
        <v>0</v>
      </c>
      <c r="CU152" s="231">
        <f t="shared" si="329"/>
        <v>20</v>
      </c>
      <c r="CV152" s="229">
        <f t="shared" si="491"/>
        <v>33</v>
      </c>
      <c r="CW152" s="234">
        <f t="shared" si="492"/>
        <v>4.8487499999999999</v>
      </c>
      <c r="CX152" s="234" cm="1">
        <f t="array" ref="CX152">$BM152 * IF($AH152&lt;=2,
SUMPRODUCT(INDEX($AV$61:$AX$65,,$AI152), INDEX($AY$61:$BE$65,,$AH152), 1 / ($BF$61:$BF$65*CW152 + (1-$BF$61:$BF$65)*CS152), N($AU$61:$AU$65&gt;$AM152)),
SUMPRODUCT(INDEX($AV$46:$AX$55,,$AI152), INDEX($AY$46:$BE$55,,$AH152), 1 / ($BG$46:$BG$55*CW152 + (1-$BG$46:$BG$55)*CS152), N($AU$46:$AU$55&gt;$AM152))
) / 1000</f>
        <v>0</v>
      </c>
      <c r="CY152" s="234" cm="1">
        <f t="array" ref="CY152">$BM152 * IF($AH152&lt;=2,
SUMPRODUCT(INDEX($AV$22:$AX$60,,$AI152), INDEX($AY$22:$BE$60,,$AH152), 1 / ($BF$22:$BF$60*CW152), N($AU$22:$AU$60&gt;$AM152)),
SUMPRODUCT(INDEX($AV$22:$AX$45,,$AI152), INDEX($AY$22:$BE$45,,$AH152), 1 / ($BG$22:$BG$45*CW152), N($AU$22:$AU$45&gt;$AM152))
) / 1000</f>
        <v>0</v>
      </c>
      <c r="CZ152" s="229">
        <f t="shared" si="493"/>
        <v>0</v>
      </c>
      <c r="DA152" s="246"/>
    </row>
    <row r="153" spans="1:105" s="75" customFormat="1" ht="14.25" customHeight="1" x14ac:dyDescent="0.2">
      <c r="A153" s="230" t="b">
        <f t="shared" si="291"/>
        <v>0</v>
      </c>
      <c r="B153" s="253">
        <v>132</v>
      </c>
      <c r="C153" s="266"/>
      <c r="D153" s="266"/>
      <c r="E153" s="254"/>
      <c r="F153" s="255" t="str">
        <f>IF(ISBLANK(E153), "", VLOOKUP(E153, Z!$A$2:$C$4127, 3, FALSE))</f>
        <v/>
      </c>
      <c r="G153" s="256"/>
      <c r="H153" s="256"/>
      <c r="I153" s="256"/>
      <c r="J153" s="257"/>
      <c r="K153" s="258"/>
      <c r="L153" s="267"/>
      <c r="M153" s="268"/>
      <c r="N153" s="259" t="str" cm="1">
        <f t="array" ref="N153">IF($L153&gt;0, INDEX(Clean,1+AK153,$D$1), "")</f>
        <v/>
      </c>
      <c r="O153" s="260"/>
      <c r="P153" s="260"/>
      <c r="Q153" s="261"/>
      <c r="R153" s="264">
        <f t="shared" si="469"/>
        <v>0</v>
      </c>
      <c r="S153" s="259" t="str" cm="1">
        <f t="array" ref="S153">IF($L153&gt;0, INDEX(Clean,1+AL153,$D$1), "")</f>
        <v/>
      </c>
      <c r="T153" s="260"/>
      <c r="U153" s="260"/>
      <c r="V153" s="261"/>
      <c r="W153" s="267"/>
      <c r="X153" s="267"/>
      <c r="Y153" s="257"/>
      <c r="Z153" s="264">
        <f t="shared" si="470"/>
        <v>0</v>
      </c>
      <c r="AA153" s="269"/>
      <c r="AB153" s="266"/>
      <c r="AC153" s="254"/>
      <c r="AD153" s="255" t="str">
        <f>IF(ISBLANK(AC153), "", VLOOKUP(AC153, Z!$A$2:$C$4127, 3, FALSE))</f>
        <v/>
      </c>
      <c r="AE153" s="270"/>
      <c r="AF153" s="265">
        <f t="shared" si="471"/>
        <v>0</v>
      </c>
      <c r="AG153" s="246"/>
      <c r="AH153" s="228">
        <f t="shared" si="494"/>
        <v>1</v>
      </c>
      <c r="AI153" s="228">
        <f t="shared" si="495"/>
        <v>1</v>
      </c>
      <c r="AJ153" s="228">
        <f t="shared" si="496"/>
        <v>0</v>
      </c>
      <c r="AK153" s="228">
        <v>0</v>
      </c>
      <c r="AL153" s="228">
        <v>0</v>
      </c>
      <c r="AM153" s="228">
        <f t="shared" si="472"/>
        <v>-100</v>
      </c>
      <c r="AN153" s="228" cm="1">
        <f t="array" ref="AN153">IF(ISBLANK(G153), 1, IFERROR(MATCH(G153, INDEX(Kat,,1), 0), IFERROR(MATCH(Kat, INDEX(Use,,2), 0), MATCH(Kat, INDEX(Use,,3), 0))))</f>
        <v>1</v>
      </c>
      <c r="AO153" s="246"/>
      <c r="AP153" s="228" cm="1">
        <f t="array" ref="AP153">IF(W153&gt;0, INDEX(Kat, AN153,4), 0)</f>
        <v>0</v>
      </c>
      <c r="AQ153" s="228">
        <f t="shared" si="497"/>
        <v>0</v>
      </c>
      <c r="AR153" s="228" cm="1">
        <f t="array" ref="AR153">IF(X153&gt;0, INDEX(Kat, $AN153, 4+AQ153), 0)</f>
        <v>0</v>
      </c>
      <c r="AS153" s="228" cm="1">
        <f t="array" ref="AS153">IF(X153&gt;0, INDEX(Kat, $AN153, 9+AQ153), 0)</f>
        <v>0</v>
      </c>
      <c r="AT153" s="246"/>
      <c r="AU153" s="262"/>
      <c r="AV153" s="262"/>
      <c r="AW153" s="263"/>
      <c r="AX153" s="263"/>
      <c r="AY153" s="263"/>
      <c r="AZ153" s="263"/>
      <c r="BA153" s="263"/>
      <c r="BB153" s="263"/>
      <c r="BC153" s="263"/>
      <c r="BD153" s="263"/>
      <c r="BE153" s="263"/>
      <c r="BF153" s="263"/>
      <c r="BG153" s="263"/>
      <c r="BH153" s="246"/>
      <c r="BI153" s="228" cm="1">
        <f t="array" ref="BI153">INDEX(Use, $AH153, 4)</f>
        <v>7</v>
      </c>
      <c r="BJ153" s="228">
        <f t="shared" si="473"/>
        <v>32</v>
      </c>
      <c r="BK153" s="228">
        <f t="shared" si="305"/>
        <v>13</v>
      </c>
      <c r="BL153" s="228">
        <f t="shared" si="306"/>
        <v>0</v>
      </c>
      <c r="BM153" s="233" cm="1">
        <f t="array" ref="BM153">L153/IF($M153&gt;0, INDEX($AY$22:$BE$76, $M153+20, $AH153), 1)</f>
        <v>0</v>
      </c>
      <c r="BN153" s="229">
        <f t="shared" si="474"/>
        <v>0</v>
      </c>
      <c r="BO153" s="228">
        <v>35</v>
      </c>
      <c r="BP153" s="229">
        <f t="shared" si="475"/>
        <v>48</v>
      </c>
      <c r="BQ153" s="234">
        <f t="shared" si="476"/>
        <v>3.0748170731707316</v>
      </c>
      <c r="BR153" s="234" cm="1">
        <f t="array" ref="BR153">$BM153 * SUMPRODUCT(INDEX($AV$76:$AX$81,,$AI153),INDEX($AY$76:$BE$81,,$AH153), N($AU$76:$AU$81&gt;$AM153)) / BQ153 / 1000</f>
        <v>0</v>
      </c>
      <c r="BS153" s="231">
        <f t="shared" si="310"/>
        <v>30</v>
      </c>
      <c r="BT153" s="229">
        <f t="shared" si="477"/>
        <v>43</v>
      </c>
      <c r="BU153" s="234">
        <f t="shared" si="478"/>
        <v>3.5018750000000001</v>
      </c>
      <c r="BV153" s="234" cm="1">
        <f t="array" ref="BV153">$BM153 * IF($AH153&lt;=2,
SUMPRODUCT(INDEX($AV$71:$AX$75,,$AI153), INDEX($AY$71:$BE$75,,$AH153), 1 / ($BF$71:$BF$75*BU153 + (1-$BF$71:$BF$75)*BQ153), N($AU$71:$AU$75&gt;$AM153)),
SUMPRODUCT(INDEX($AV$66:$AX$75,,$AI153), INDEX($AY$66:$BE$75,,$AH153), 1 / ($BG$66:$BG$75*BU153 + (1-$BG$66:$BG$75)*BQ153), N($AU$66:$AU$75&gt;$AM153))
) / 1000</f>
        <v>0</v>
      </c>
      <c r="BW153" s="231">
        <f t="shared" si="313"/>
        <v>25</v>
      </c>
      <c r="BX153" s="229">
        <f t="shared" si="479"/>
        <v>38</v>
      </c>
      <c r="BY153" s="234">
        <f t="shared" si="480"/>
        <v>4.0666935483870965</v>
      </c>
      <c r="BZ153" s="234" cm="1">
        <f t="array" ref="BZ153">$BM153 * IF($AH153&lt;=2,
SUMPRODUCT(INDEX($AV$66:$AX$70,,$AI153), INDEX($AY$66:$BE$70,,$AH153), 1 / ($BF$66:$BF$70*BY153 + (1-$BF$66:$BF$70)*BU153), N($AU$66:$AU$70&gt;$AM153)),
SUMPRODUCT(INDEX($AV$56:$AX$65,,$AI153), INDEX($AY$56:$BE$65,,$AH153), 1 / ($BG$56:$BG$65*BY153 + (1-$BG$56:$BG$65)*BU153), N($AU$56:$AU$65&gt;$AM153))
) / 1000</f>
        <v>0</v>
      </c>
      <c r="CA153" s="231">
        <f t="shared" si="316"/>
        <v>20</v>
      </c>
      <c r="CB153" s="229">
        <f t="shared" si="481"/>
        <v>33</v>
      </c>
      <c r="CC153" s="234">
        <f t="shared" si="482"/>
        <v>4.8487499999999999</v>
      </c>
      <c r="CD153" s="234" cm="1">
        <f t="array" ref="CD153">$BM153 * IF($AH153&lt;=2,
SUMPRODUCT(INDEX($AV$61:$AX$65,,$AI153), INDEX($AY$61:$BE$65,,$AH153), 1 / ($BF$61:$BF$65*CC153 + (1-$BF$61:$BF$65)*BY153), N($AU$61:$AU$65&gt;$AM153)),
SUMPRODUCT(INDEX($AV$46:$AX$55,,$AI153), INDEX($AY$46:$BE$55,,$AH153), 1 / ($BG$46:$BG$55*CC153 + (1-$BG$46:$BG$55)*BY153), N($AU$46:$AU$55&gt;$AM153))
) / 1000</f>
        <v>0</v>
      </c>
      <c r="CE153" s="234" cm="1">
        <f t="array" ref="CE153">$BM153 * IF($AH153&lt;=2,
SUMPRODUCT(INDEX($AV$22:$AX$60,,$AI153), INDEX($AY$22:$BE$60,,$AH153), 1 / ($BF$22:$BF$60*CC153), N($AU$22:$AU$60&gt;$AM153)),
SUMPRODUCT(INDEX($AV$22:$AX$45,,$AI153), INDEX($AY$22:$BE$45,,$AH153), 1 / ($BG$22:$BG$45*CC153), N($AU$22:$AU$45&gt;$AM153))
) / 1000</f>
        <v>0</v>
      </c>
      <c r="CF153" s="229">
        <f t="shared" si="483"/>
        <v>0</v>
      </c>
      <c r="CG153" s="246"/>
      <c r="CH153" s="229">
        <f t="shared" si="484"/>
        <v>0</v>
      </c>
      <c r="CI153" s="228">
        <v>35</v>
      </c>
      <c r="CJ153" s="229">
        <f t="shared" si="485"/>
        <v>48</v>
      </c>
      <c r="CK153" s="234">
        <f t="shared" si="486"/>
        <v>3.0748170731707316</v>
      </c>
      <c r="CL153" s="234" cm="1">
        <f t="array" ref="CL153">$BM153 * SUMPRODUCT(INDEX($AV$76:$AX$81,,$AI153),INDEX($AY$76:$BE$81,,$AH153), N($AU$76:$AU$81&gt;$AM153)) / CK153 / 1000</f>
        <v>0</v>
      </c>
      <c r="CM153" s="231">
        <f t="shared" si="323"/>
        <v>30</v>
      </c>
      <c r="CN153" s="229">
        <f t="shared" si="487"/>
        <v>43</v>
      </c>
      <c r="CO153" s="234">
        <f t="shared" si="488"/>
        <v>3.5018750000000001</v>
      </c>
      <c r="CP153" s="234" cm="1">
        <f t="array" ref="CP153">$BM153 * IF($AH153&lt;=2,
SUMPRODUCT(INDEX($AV$71:$AX$75,,$AI153), INDEX($AY$71:$BE$75,,$AH153), 1 / ($BF$71:$BF$75*CO153 + (1-$BF$71:$BF$75)*CK153), N($AU$71:$AU$75&gt;$AM153)),
SUMPRODUCT(INDEX($AV$66:$AX$75,,$AI153), INDEX($AY$66:$BE$75,,$AH153), 1 / ($BG$66:$BG$75*CO153 + (1-$BG$66:$BG$75)*CK153), N($AU$66:$AU$75&gt;$AM153))
) / 1000</f>
        <v>0</v>
      </c>
      <c r="CQ153" s="231">
        <f t="shared" si="326"/>
        <v>25</v>
      </c>
      <c r="CR153" s="229">
        <f t="shared" si="489"/>
        <v>38</v>
      </c>
      <c r="CS153" s="234">
        <f t="shared" si="490"/>
        <v>4.0666935483870965</v>
      </c>
      <c r="CT153" s="234" cm="1">
        <f t="array" ref="CT153">$BM153 * IF($AH153&lt;=2,
SUMPRODUCT(INDEX($AV$66:$AX$70,,$AI153), INDEX($AY$66:$BE$70,,$AH153), 1 / ($BF$66:$BF$70*CS153 + (1-$BF$66:$BF$70)*CO153), N($AU$66:$AU$70&gt;$AM153)),
SUMPRODUCT(INDEX($AV$56:$AX$65,,$AI153), INDEX($AY$56:$BE$65,,$AH153), 1 / ($BG$56:$BG$65*CS153 + (1-$BG$56:$BG$65)*CO153), N($AU$56:$AU$65&gt;$AM153))
) / 1000</f>
        <v>0</v>
      </c>
      <c r="CU153" s="231">
        <f t="shared" si="329"/>
        <v>20</v>
      </c>
      <c r="CV153" s="229">
        <f t="shared" si="491"/>
        <v>33</v>
      </c>
      <c r="CW153" s="234">
        <f t="shared" si="492"/>
        <v>4.8487499999999999</v>
      </c>
      <c r="CX153" s="234" cm="1">
        <f t="array" ref="CX153">$BM153 * IF($AH153&lt;=2,
SUMPRODUCT(INDEX($AV$61:$AX$65,,$AI153), INDEX($AY$61:$BE$65,,$AH153), 1 / ($BF$61:$BF$65*CW153 + (1-$BF$61:$BF$65)*CS153), N($AU$61:$AU$65&gt;$AM153)),
SUMPRODUCT(INDEX($AV$46:$AX$55,,$AI153), INDEX($AY$46:$BE$55,,$AH153), 1 / ($BG$46:$BG$55*CW153 + (1-$BG$46:$BG$55)*CS153), N($AU$46:$AU$55&gt;$AM153))
) / 1000</f>
        <v>0</v>
      </c>
      <c r="CY153" s="234" cm="1">
        <f t="array" ref="CY153">$BM153 * IF($AH153&lt;=2,
SUMPRODUCT(INDEX($AV$22:$AX$60,,$AI153), INDEX($AY$22:$BE$60,,$AH153), 1 / ($BF$22:$BF$60*CW153), N($AU$22:$AU$60&gt;$AM153)),
SUMPRODUCT(INDEX($AV$22:$AX$45,,$AI153), INDEX($AY$22:$BE$45,,$AH153), 1 / ($BG$22:$BG$45*CW153), N($AU$22:$AU$45&gt;$AM153))
) / 1000</f>
        <v>0</v>
      </c>
      <c r="CZ153" s="229">
        <f t="shared" si="493"/>
        <v>0</v>
      </c>
      <c r="DA153" s="246"/>
    </row>
    <row r="154" spans="1:105" s="75" customFormat="1" ht="14.25" customHeight="1" x14ac:dyDescent="0.2">
      <c r="A154" s="230" t="b">
        <f t="shared" si="291"/>
        <v>0</v>
      </c>
      <c r="B154" s="253">
        <v>133</v>
      </c>
      <c r="C154" s="266"/>
      <c r="D154" s="266"/>
      <c r="E154" s="254"/>
      <c r="F154" s="255" t="str">
        <f>IF(ISBLANK(E154), "", VLOOKUP(E154, Z!$A$2:$C$4127, 3, FALSE))</f>
        <v/>
      </c>
      <c r="G154" s="256"/>
      <c r="H154" s="256"/>
      <c r="I154" s="256"/>
      <c r="J154" s="257"/>
      <c r="K154" s="258"/>
      <c r="L154" s="267"/>
      <c r="M154" s="268"/>
      <c r="N154" s="259" t="str" cm="1">
        <f t="array" ref="N154">IF($L154&gt;0, INDEX(Clean,1+AK154,$D$1), "")</f>
        <v/>
      </c>
      <c r="O154" s="260"/>
      <c r="P154" s="260"/>
      <c r="Q154" s="261"/>
      <c r="R154" s="264">
        <f t="shared" si="469"/>
        <v>0</v>
      </c>
      <c r="S154" s="259" t="str" cm="1">
        <f t="array" ref="S154">IF($L154&gt;0, INDEX(Clean,1+AL154,$D$1), "")</f>
        <v/>
      </c>
      <c r="T154" s="260"/>
      <c r="U154" s="260"/>
      <c r="V154" s="261"/>
      <c r="W154" s="267"/>
      <c r="X154" s="267"/>
      <c r="Y154" s="257"/>
      <c r="Z154" s="264">
        <f t="shared" si="470"/>
        <v>0</v>
      </c>
      <c r="AA154" s="269"/>
      <c r="AB154" s="266"/>
      <c r="AC154" s="254"/>
      <c r="AD154" s="255" t="str">
        <f>IF(ISBLANK(AC154), "", VLOOKUP(AC154, Z!$A$2:$C$4127, 3, FALSE))</f>
        <v/>
      </c>
      <c r="AE154" s="270"/>
      <c r="AF154" s="265">
        <f t="shared" si="471"/>
        <v>0</v>
      </c>
      <c r="AG154" s="246"/>
      <c r="AH154" s="228">
        <f t="shared" si="494"/>
        <v>1</v>
      </c>
      <c r="AI154" s="228">
        <f t="shared" si="495"/>
        <v>1</v>
      </c>
      <c r="AJ154" s="228">
        <f t="shared" si="496"/>
        <v>0</v>
      </c>
      <c r="AK154" s="228">
        <v>0</v>
      </c>
      <c r="AL154" s="228">
        <v>0</v>
      </c>
      <c r="AM154" s="228">
        <f t="shared" si="472"/>
        <v>-100</v>
      </c>
      <c r="AN154" s="228" cm="1">
        <f t="array" ref="AN154">IF(ISBLANK(G154), 1, IFERROR(MATCH(G154, INDEX(Kat,,1), 0), IFERROR(MATCH(Kat, INDEX(Use,,2), 0), MATCH(Kat, INDEX(Use,,3), 0))))</f>
        <v>1</v>
      </c>
      <c r="AO154" s="246"/>
      <c r="AP154" s="228" cm="1">
        <f t="array" ref="AP154">IF(W154&gt;0, INDEX(Kat, AN154,4), 0)</f>
        <v>0</v>
      </c>
      <c r="AQ154" s="228">
        <f t="shared" si="497"/>
        <v>0</v>
      </c>
      <c r="AR154" s="228" cm="1">
        <f t="array" ref="AR154">IF(X154&gt;0, INDEX(Kat, $AN154, 4+AQ154), 0)</f>
        <v>0</v>
      </c>
      <c r="AS154" s="228" cm="1">
        <f t="array" ref="AS154">IF(X154&gt;0, INDEX(Kat, $AN154, 9+AQ154), 0)</f>
        <v>0</v>
      </c>
      <c r="AT154" s="246"/>
      <c r="AU154" s="262"/>
      <c r="AV154" s="262"/>
      <c r="AW154" s="263"/>
      <c r="AX154" s="263"/>
      <c r="AY154" s="263"/>
      <c r="AZ154" s="263"/>
      <c r="BA154" s="263"/>
      <c r="BB154" s="263"/>
      <c r="BC154" s="263"/>
      <c r="BD154" s="263"/>
      <c r="BE154" s="263"/>
      <c r="BF154" s="263"/>
      <c r="BG154" s="263"/>
      <c r="BH154" s="246"/>
      <c r="BI154" s="228" cm="1">
        <f t="array" ref="BI154">INDEX(Use, $AH154, 4)</f>
        <v>7</v>
      </c>
      <c r="BJ154" s="228">
        <f t="shared" si="473"/>
        <v>32</v>
      </c>
      <c r="BK154" s="228">
        <f t="shared" si="305"/>
        <v>13</v>
      </c>
      <c r="BL154" s="228">
        <f t="shared" si="306"/>
        <v>0</v>
      </c>
      <c r="BM154" s="233" cm="1">
        <f t="array" ref="BM154">L154/IF($M154&gt;0, INDEX($AY$22:$BE$76, $M154+20, $AH154), 1)</f>
        <v>0</v>
      </c>
      <c r="BN154" s="229">
        <f t="shared" si="474"/>
        <v>0</v>
      </c>
      <c r="BO154" s="228">
        <v>35</v>
      </c>
      <c r="BP154" s="229">
        <f t="shared" si="475"/>
        <v>48</v>
      </c>
      <c r="BQ154" s="234">
        <f t="shared" si="476"/>
        <v>3.0748170731707316</v>
      </c>
      <c r="BR154" s="234" cm="1">
        <f t="array" ref="BR154">$BM154 * SUMPRODUCT(INDEX($AV$76:$AX$81,,$AI154),INDEX($AY$76:$BE$81,,$AH154), N($AU$76:$AU$81&gt;$AM154)) / BQ154 / 1000</f>
        <v>0</v>
      </c>
      <c r="BS154" s="231">
        <f t="shared" si="310"/>
        <v>30</v>
      </c>
      <c r="BT154" s="229">
        <f t="shared" si="477"/>
        <v>43</v>
      </c>
      <c r="BU154" s="234">
        <f t="shared" si="478"/>
        <v>3.5018750000000001</v>
      </c>
      <c r="BV154" s="234" cm="1">
        <f t="array" ref="BV154">$BM154 * IF($AH154&lt;=2,
SUMPRODUCT(INDEX($AV$71:$AX$75,,$AI154), INDEX($AY$71:$BE$75,,$AH154), 1 / ($BF$71:$BF$75*BU154 + (1-$BF$71:$BF$75)*BQ154), N($AU$71:$AU$75&gt;$AM154)),
SUMPRODUCT(INDEX($AV$66:$AX$75,,$AI154), INDEX($AY$66:$BE$75,,$AH154), 1 / ($BG$66:$BG$75*BU154 + (1-$BG$66:$BG$75)*BQ154), N($AU$66:$AU$75&gt;$AM154))
) / 1000</f>
        <v>0</v>
      </c>
      <c r="BW154" s="231">
        <f t="shared" si="313"/>
        <v>25</v>
      </c>
      <c r="BX154" s="229">
        <f t="shared" si="479"/>
        <v>38</v>
      </c>
      <c r="BY154" s="234">
        <f t="shared" si="480"/>
        <v>4.0666935483870965</v>
      </c>
      <c r="BZ154" s="234" cm="1">
        <f t="array" ref="BZ154">$BM154 * IF($AH154&lt;=2,
SUMPRODUCT(INDEX($AV$66:$AX$70,,$AI154), INDEX($AY$66:$BE$70,,$AH154), 1 / ($BF$66:$BF$70*BY154 + (1-$BF$66:$BF$70)*BU154), N($AU$66:$AU$70&gt;$AM154)),
SUMPRODUCT(INDEX($AV$56:$AX$65,,$AI154), INDEX($AY$56:$BE$65,,$AH154), 1 / ($BG$56:$BG$65*BY154 + (1-$BG$56:$BG$65)*BU154), N($AU$56:$AU$65&gt;$AM154))
) / 1000</f>
        <v>0</v>
      </c>
      <c r="CA154" s="231">
        <f t="shared" si="316"/>
        <v>20</v>
      </c>
      <c r="CB154" s="229">
        <f t="shared" si="481"/>
        <v>33</v>
      </c>
      <c r="CC154" s="234">
        <f t="shared" si="482"/>
        <v>4.8487499999999999</v>
      </c>
      <c r="CD154" s="234" cm="1">
        <f t="array" ref="CD154">$BM154 * IF($AH154&lt;=2,
SUMPRODUCT(INDEX($AV$61:$AX$65,,$AI154), INDEX($AY$61:$BE$65,,$AH154), 1 / ($BF$61:$BF$65*CC154 + (1-$BF$61:$BF$65)*BY154), N($AU$61:$AU$65&gt;$AM154)),
SUMPRODUCT(INDEX($AV$46:$AX$55,,$AI154), INDEX($AY$46:$BE$55,,$AH154), 1 / ($BG$46:$BG$55*CC154 + (1-$BG$46:$BG$55)*BY154), N($AU$46:$AU$55&gt;$AM154))
) / 1000</f>
        <v>0</v>
      </c>
      <c r="CE154" s="234" cm="1">
        <f t="array" ref="CE154">$BM154 * IF($AH154&lt;=2,
SUMPRODUCT(INDEX($AV$22:$AX$60,,$AI154), INDEX($AY$22:$BE$60,,$AH154), 1 / ($BF$22:$BF$60*CC154), N($AU$22:$AU$60&gt;$AM154)),
SUMPRODUCT(INDEX($AV$22:$AX$45,,$AI154), INDEX($AY$22:$BE$45,,$AH154), 1 / ($BG$22:$BG$45*CC154), N($AU$22:$AU$45&gt;$AM154))
) / 1000</f>
        <v>0</v>
      </c>
      <c r="CF154" s="229">
        <f t="shared" si="483"/>
        <v>0</v>
      </c>
      <c r="CG154" s="246"/>
      <c r="CH154" s="229">
        <f t="shared" si="484"/>
        <v>0</v>
      </c>
      <c r="CI154" s="228">
        <v>35</v>
      </c>
      <c r="CJ154" s="229">
        <f t="shared" si="485"/>
        <v>48</v>
      </c>
      <c r="CK154" s="234">
        <f t="shared" si="486"/>
        <v>3.0748170731707316</v>
      </c>
      <c r="CL154" s="234" cm="1">
        <f t="array" ref="CL154">$BM154 * SUMPRODUCT(INDEX($AV$76:$AX$81,,$AI154),INDEX($AY$76:$BE$81,,$AH154), N($AU$76:$AU$81&gt;$AM154)) / CK154 / 1000</f>
        <v>0</v>
      </c>
      <c r="CM154" s="231">
        <f t="shared" si="323"/>
        <v>30</v>
      </c>
      <c r="CN154" s="229">
        <f t="shared" si="487"/>
        <v>43</v>
      </c>
      <c r="CO154" s="234">
        <f t="shared" si="488"/>
        <v>3.5018750000000001</v>
      </c>
      <c r="CP154" s="234" cm="1">
        <f t="array" ref="CP154">$BM154 * IF($AH154&lt;=2,
SUMPRODUCT(INDEX($AV$71:$AX$75,,$AI154), INDEX($AY$71:$BE$75,,$AH154), 1 / ($BF$71:$BF$75*CO154 + (1-$BF$71:$BF$75)*CK154), N($AU$71:$AU$75&gt;$AM154)),
SUMPRODUCT(INDEX($AV$66:$AX$75,,$AI154), INDEX($AY$66:$BE$75,,$AH154), 1 / ($BG$66:$BG$75*CO154 + (1-$BG$66:$BG$75)*CK154), N($AU$66:$AU$75&gt;$AM154))
) / 1000</f>
        <v>0</v>
      </c>
      <c r="CQ154" s="231">
        <f t="shared" si="326"/>
        <v>25</v>
      </c>
      <c r="CR154" s="229">
        <f t="shared" si="489"/>
        <v>38</v>
      </c>
      <c r="CS154" s="234">
        <f t="shared" si="490"/>
        <v>4.0666935483870965</v>
      </c>
      <c r="CT154" s="234" cm="1">
        <f t="array" ref="CT154">$BM154 * IF($AH154&lt;=2,
SUMPRODUCT(INDEX($AV$66:$AX$70,,$AI154), INDEX($AY$66:$BE$70,,$AH154), 1 / ($BF$66:$BF$70*CS154 + (1-$BF$66:$BF$70)*CO154), N($AU$66:$AU$70&gt;$AM154)),
SUMPRODUCT(INDEX($AV$56:$AX$65,,$AI154), INDEX($AY$56:$BE$65,,$AH154), 1 / ($BG$56:$BG$65*CS154 + (1-$BG$56:$BG$65)*CO154), N($AU$56:$AU$65&gt;$AM154))
) / 1000</f>
        <v>0</v>
      </c>
      <c r="CU154" s="231">
        <f t="shared" si="329"/>
        <v>20</v>
      </c>
      <c r="CV154" s="229">
        <f t="shared" si="491"/>
        <v>33</v>
      </c>
      <c r="CW154" s="234">
        <f t="shared" si="492"/>
        <v>4.8487499999999999</v>
      </c>
      <c r="CX154" s="234" cm="1">
        <f t="array" ref="CX154">$BM154 * IF($AH154&lt;=2,
SUMPRODUCT(INDEX($AV$61:$AX$65,,$AI154), INDEX($AY$61:$BE$65,,$AH154), 1 / ($BF$61:$BF$65*CW154 + (1-$BF$61:$BF$65)*CS154), N($AU$61:$AU$65&gt;$AM154)),
SUMPRODUCT(INDEX($AV$46:$AX$55,,$AI154), INDEX($AY$46:$BE$55,,$AH154), 1 / ($BG$46:$BG$55*CW154 + (1-$BG$46:$BG$55)*CS154), N($AU$46:$AU$55&gt;$AM154))
) / 1000</f>
        <v>0</v>
      </c>
      <c r="CY154" s="234" cm="1">
        <f t="array" ref="CY154">$BM154 * IF($AH154&lt;=2,
SUMPRODUCT(INDEX($AV$22:$AX$60,,$AI154), INDEX($AY$22:$BE$60,,$AH154), 1 / ($BF$22:$BF$60*CW154), N($AU$22:$AU$60&gt;$AM154)),
SUMPRODUCT(INDEX($AV$22:$AX$45,,$AI154), INDEX($AY$22:$BE$45,,$AH154), 1 / ($BG$22:$BG$45*CW154), N($AU$22:$AU$45&gt;$AM154))
) / 1000</f>
        <v>0</v>
      </c>
      <c r="CZ154" s="229">
        <f t="shared" si="493"/>
        <v>0</v>
      </c>
      <c r="DA154" s="246"/>
    </row>
    <row r="155" spans="1:105" s="75" customFormat="1" ht="14.25" customHeight="1" x14ac:dyDescent="0.2">
      <c r="A155" s="230" t="b">
        <f t="shared" si="291"/>
        <v>0</v>
      </c>
      <c r="B155" s="253">
        <v>134</v>
      </c>
      <c r="C155" s="266"/>
      <c r="D155" s="266"/>
      <c r="E155" s="254"/>
      <c r="F155" s="255" t="str">
        <f>IF(ISBLANK(E155), "", VLOOKUP(E155, Z!$A$2:$C$4127, 3, FALSE))</f>
        <v/>
      </c>
      <c r="G155" s="256"/>
      <c r="H155" s="256"/>
      <c r="I155" s="256"/>
      <c r="J155" s="257"/>
      <c r="K155" s="258"/>
      <c r="L155" s="267"/>
      <c r="M155" s="268"/>
      <c r="N155" s="259" t="str" cm="1">
        <f t="array" ref="N155">IF($L155&gt;0, INDEX(Clean,1+AK155,$D$1), "")</f>
        <v/>
      </c>
      <c r="O155" s="260"/>
      <c r="P155" s="260"/>
      <c r="Q155" s="261"/>
      <c r="R155" s="264">
        <f t="shared" si="469"/>
        <v>0</v>
      </c>
      <c r="S155" s="259" t="str" cm="1">
        <f t="array" ref="S155">IF($L155&gt;0, INDEX(Clean,1+AL155,$D$1), "")</f>
        <v/>
      </c>
      <c r="T155" s="260"/>
      <c r="U155" s="260"/>
      <c r="V155" s="261"/>
      <c r="W155" s="267"/>
      <c r="X155" s="267"/>
      <c r="Y155" s="257"/>
      <c r="Z155" s="264">
        <f t="shared" si="470"/>
        <v>0</v>
      </c>
      <c r="AA155" s="269"/>
      <c r="AB155" s="266"/>
      <c r="AC155" s="254"/>
      <c r="AD155" s="255" t="str">
        <f>IF(ISBLANK(AC155), "", VLOOKUP(AC155, Z!$A$2:$C$4127, 3, FALSE))</f>
        <v/>
      </c>
      <c r="AE155" s="270"/>
      <c r="AF155" s="265">
        <f t="shared" si="471"/>
        <v>0</v>
      </c>
      <c r="AG155" s="246"/>
      <c r="AH155" s="228">
        <f t="shared" si="494"/>
        <v>1</v>
      </c>
      <c r="AI155" s="228">
        <f t="shared" si="495"/>
        <v>1</v>
      </c>
      <c r="AJ155" s="228">
        <f t="shared" si="496"/>
        <v>0</v>
      </c>
      <c r="AK155" s="228">
        <v>0</v>
      </c>
      <c r="AL155" s="228">
        <v>0</v>
      </c>
      <c r="AM155" s="228">
        <f t="shared" si="472"/>
        <v>-100</v>
      </c>
      <c r="AN155" s="228" cm="1">
        <f t="array" ref="AN155">IF(ISBLANK(G155), 1, IFERROR(MATCH(G155, INDEX(Kat,,1), 0), IFERROR(MATCH(Kat, INDEX(Use,,2), 0), MATCH(Kat, INDEX(Use,,3), 0))))</f>
        <v>1</v>
      </c>
      <c r="AO155" s="246"/>
      <c r="AP155" s="228" cm="1">
        <f t="array" ref="AP155">IF(W155&gt;0, INDEX(Kat, AN155,4), 0)</f>
        <v>0</v>
      </c>
      <c r="AQ155" s="228">
        <f t="shared" si="497"/>
        <v>0</v>
      </c>
      <c r="AR155" s="228" cm="1">
        <f t="array" ref="AR155">IF(X155&gt;0, INDEX(Kat, $AN155, 4+AQ155), 0)</f>
        <v>0</v>
      </c>
      <c r="AS155" s="228" cm="1">
        <f t="array" ref="AS155">IF(X155&gt;0, INDEX(Kat, $AN155, 9+AQ155), 0)</f>
        <v>0</v>
      </c>
      <c r="AT155" s="246"/>
      <c r="AU155" s="262"/>
      <c r="AV155" s="262"/>
      <c r="AW155" s="263"/>
      <c r="AX155" s="263"/>
      <c r="AY155" s="263"/>
      <c r="AZ155" s="263"/>
      <c r="BA155" s="263"/>
      <c r="BB155" s="263"/>
      <c r="BC155" s="263"/>
      <c r="BD155" s="263"/>
      <c r="BE155" s="263"/>
      <c r="BF155" s="263"/>
      <c r="BG155" s="263"/>
      <c r="BH155" s="246"/>
      <c r="BI155" s="228" cm="1">
        <f t="array" ref="BI155">INDEX(Use, $AH155, 4)</f>
        <v>7</v>
      </c>
      <c r="BJ155" s="228">
        <f t="shared" si="473"/>
        <v>32</v>
      </c>
      <c r="BK155" s="228">
        <f t="shared" si="305"/>
        <v>13</v>
      </c>
      <c r="BL155" s="228">
        <f t="shared" si="306"/>
        <v>0</v>
      </c>
      <c r="BM155" s="233" cm="1">
        <f t="array" ref="BM155">L155/IF($M155&gt;0, INDEX($AY$22:$BE$76, $M155+20, $AH155), 1)</f>
        <v>0</v>
      </c>
      <c r="BN155" s="229">
        <f t="shared" si="474"/>
        <v>0</v>
      </c>
      <c r="BO155" s="228">
        <v>35</v>
      </c>
      <c r="BP155" s="229">
        <f t="shared" si="475"/>
        <v>48</v>
      </c>
      <c r="BQ155" s="234">
        <f t="shared" si="476"/>
        <v>3.0748170731707316</v>
      </c>
      <c r="BR155" s="234" cm="1">
        <f t="array" ref="BR155">$BM155 * SUMPRODUCT(INDEX($AV$76:$AX$81,,$AI155),INDEX($AY$76:$BE$81,,$AH155), N($AU$76:$AU$81&gt;$AM155)) / BQ155 / 1000</f>
        <v>0</v>
      </c>
      <c r="BS155" s="231">
        <f t="shared" si="310"/>
        <v>30</v>
      </c>
      <c r="BT155" s="229">
        <f t="shared" si="477"/>
        <v>43</v>
      </c>
      <c r="BU155" s="234">
        <f t="shared" si="478"/>
        <v>3.5018750000000001</v>
      </c>
      <c r="BV155" s="234" cm="1">
        <f t="array" ref="BV155">$BM155 * IF($AH155&lt;=2,
SUMPRODUCT(INDEX($AV$71:$AX$75,,$AI155), INDEX($AY$71:$BE$75,,$AH155), 1 / ($BF$71:$BF$75*BU155 + (1-$BF$71:$BF$75)*BQ155), N($AU$71:$AU$75&gt;$AM155)),
SUMPRODUCT(INDEX($AV$66:$AX$75,,$AI155), INDEX($AY$66:$BE$75,,$AH155), 1 / ($BG$66:$BG$75*BU155 + (1-$BG$66:$BG$75)*BQ155), N($AU$66:$AU$75&gt;$AM155))
) / 1000</f>
        <v>0</v>
      </c>
      <c r="BW155" s="231">
        <f t="shared" si="313"/>
        <v>25</v>
      </c>
      <c r="BX155" s="229">
        <f t="shared" si="479"/>
        <v>38</v>
      </c>
      <c r="BY155" s="234">
        <f t="shared" si="480"/>
        <v>4.0666935483870965</v>
      </c>
      <c r="BZ155" s="234" cm="1">
        <f t="array" ref="BZ155">$BM155 * IF($AH155&lt;=2,
SUMPRODUCT(INDEX($AV$66:$AX$70,,$AI155), INDEX($AY$66:$BE$70,,$AH155), 1 / ($BF$66:$BF$70*BY155 + (1-$BF$66:$BF$70)*BU155), N($AU$66:$AU$70&gt;$AM155)),
SUMPRODUCT(INDEX($AV$56:$AX$65,,$AI155), INDEX($AY$56:$BE$65,,$AH155), 1 / ($BG$56:$BG$65*BY155 + (1-$BG$56:$BG$65)*BU155), N($AU$56:$AU$65&gt;$AM155))
) / 1000</f>
        <v>0</v>
      </c>
      <c r="CA155" s="231">
        <f t="shared" si="316"/>
        <v>20</v>
      </c>
      <c r="CB155" s="229">
        <f t="shared" si="481"/>
        <v>33</v>
      </c>
      <c r="CC155" s="234">
        <f t="shared" si="482"/>
        <v>4.8487499999999999</v>
      </c>
      <c r="CD155" s="234" cm="1">
        <f t="array" ref="CD155">$BM155 * IF($AH155&lt;=2,
SUMPRODUCT(INDEX($AV$61:$AX$65,,$AI155), INDEX($AY$61:$BE$65,,$AH155), 1 / ($BF$61:$BF$65*CC155 + (1-$BF$61:$BF$65)*BY155), N($AU$61:$AU$65&gt;$AM155)),
SUMPRODUCT(INDEX($AV$46:$AX$55,,$AI155), INDEX($AY$46:$BE$55,,$AH155), 1 / ($BG$46:$BG$55*CC155 + (1-$BG$46:$BG$55)*BY155), N($AU$46:$AU$55&gt;$AM155))
) / 1000</f>
        <v>0</v>
      </c>
      <c r="CE155" s="234" cm="1">
        <f t="array" ref="CE155">$BM155 * IF($AH155&lt;=2,
SUMPRODUCT(INDEX($AV$22:$AX$60,,$AI155), INDEX($AY$22:$BE$60,,$AH155), 1 / ($BF$22:$BF$60*CC155), N($AU$22:$AU$60&gt;$AM155)),
SUMPRODUCT(INDEX($AV$22:$AX$45,,$AI155), INDEX($AY$22:$BE$45,,$AH155), 1 / ($BG$22:$BG$45*CC155), N($AU$22:$AU$45&gt;$AM155))
) / 1000</f>
        <v>0</v>
      </c>
      <c r="CF155" s="229">
        <f t="shared" si="483"/>
        <v>0</v>
      </c>
      <c r="CG155" s="246"/>
      <c r="CH155" s="229">
        <f t="shared" si="484"/>
        <v>0</v>
      </c>
      <c r="CI155" s="228">
        <v>35</v>
      </c>
      <c r="CJ155" s="229">
        <f t="shared" si="485"/>
        <v>48</v>
      </c>
      <c r="CK155" s="234">
        <f t="shared" si="486"/>
        <v>3.0748170731707316</v>
      </c>
      <c r="CL155" s="234" cm="1">
        <f t="array" ref="CL155">$BM155 * SUMPRODUCT(INDEX($AV$76:$AX$81,,$AI155),INDEX($AY$76:$BE$81,,$AH155), N($AU$76:$AU$81&gt;$AM155)) / CK155 / 1000</f>
        <v>0</v>
      </c>
      <c r="CM155" s="231">
        <f t="shared" si="323"/>
        <v>30</v>
      </c>
      <c r="CN155" s="229">
        <f t="shared" si="487"/>
        <v>43</v>
      </c>
      <c r="CO155" s="234">
        <f t="shared" si="488"/>
        <v>3.5018750000000001</v>
      </c>
      <c r="CP155" s="234" cm="1">
        <f t="array" ref="CP155">$BM155 * IF($AH155&lt;=2,
SUMPRODUCT(INDEX($AV$71:$AX$75,,$AI155), INDEX($AY$71:$BE$75,,$AH155), 1 / ($BF$71:$BF$75*CO155 + (1-$BF$71:$BF$75)*CK155), N($AU$71:$AU$75&gt;$AM155)),
SUMPRODUCT(INDEX($AV$66:$AX$75,,$AI155), INDEX($AY$66:$BE$75,,$AH155), 1 / ($BG$66:$BG$75*CO155 + (1-$BG$66:$BG$75)*CK155), N($AU$66:$AU$75&gt;$AM155))
) / 1000</f>
        <v>0</v>
      </c>
      <c r="CQ155" s="231">
        <f t="shared" si="326"/>
        <v>25</v>
      </c>
      <c r="CR155" s="229">
        <f t="shared" si="489"/>
        <v>38</v>
      </c>
      <c r="CS155" s="234">
        <f t="shared" si="490"/>
        <v>4.0666935483870965</v>
      </c>
      <c r="CT155" s="234" cm="1">
        <f t="array" ref="CT155">$BM155 * IF($AH155&lt;=2,
SUMPRODUCT(INDEX($AV$66:$AX$70,,$AI155), INDEX($AY$66:$BE$70,,$AH155), 1 / ($BF$66:$BF$70*CS155 + (1-$BF$66:$BF$70)*CO155), N($AU$66:$AU$70&gt;$AM155)),
SUMPRODUCT(INDEX($AV$56:$AX$65,,$AI155), INDEX($AY$56:$BE$65,,$AH155), 1 / ($BG$56:$BG$65*CS155 + (1-$BG$56:$BG$65)*CO155), N($AU$56:$AU$65&gt;$AM155))
) / 1000</f>
        <v>0</v>
      </c>
      <c r="CU155" s="231">
        <f t="shared" si="329"/>
        <v>20</v>
      </c>
      <c r="CV155" s="229">
        <f t="shared" si="491"/>
        <v>33</v>
      </c>
      <c r="CW155" s="234">
        <f t="shared" si="492"/>
        <v>4.8487499999999999</v>
      </c>
      <c r="CX155" s="234" cm="1">
        <f t="array" ref="CX155">$BM155 * IF($AH155&lt;=2,
SUMPRODUCT(INDEX($AV$61:$AX$65,,$AI155), INDEX($AY$61:$BE$65,,$AH155), 1 / ($BF$61:$BF$65*CW155 + (1-$BF$61:$BF$65)*CS155), N($AU$61:$AU$65&gt;$AM155)),
SUMPRODUCT(INDEX($AV$46:$AX$55,,$AI155), INDEX($AY$46:$BE$55,,$AH155), 1 / ($BG$46:$BG$55*CW155 + (1-$BG$46:$BG$55)*CS155), N($AU$46:$AU$55&gt;$AM155))
) / 1000</f>
        <v>0</v>
      </c>
      <c r="CY155" s="234" cm="1">
        <f t="array" ref="CY155">$BM155 * IF($AH155&lt;=2,
SUMPRODUCT(INDEX($AV$22:$AX$60,,$AI155), INDEX($AY$22:$BE$60,,$AH155), 1 / ($BF$22:$BF$60*CW155), N($AU$22:$AU$60&gt;$AM155)),
SUMPRODUCT(INDEX($AV$22:$AX$45,,$AI155), INDEX($AY$22:$BE$45,,$AH155), 1 / ($BG$22:$BG$45*CW155), N($AU$22:$AU$45&gt;$AM155))
) / 1000</f>
        <v>0</v>
      </c>
      <c r="CZ155" s="229">
        <f t="shared" si="493"/>
        <v>0</v>
      </c>
      <c r="DA155" s="246"/>
    </row>
    <row r="156" spans="1:105" s="75" customFormat="1" ht="14.25" customHeight="1" x14ac:dyDescent="0.2">
      <c r="A156" s="230" t="b">
        <f t="shared" si="291"/>
        <v>0</v>
      </c>
      <c r="B156" s="253">
        <v>135</v>
      </c>
      <c r="C156" s="266"/>
      <c r="D156" s="266"/>
      <c r="E156" s="254"/>
      <c r="F156" s="255" t="str">
        <f>IF(ISBLANK(E156), "", VLOOKUP(E156, Z!$A$2:$C$4127, 3, FALSE))</f>
        <v/>
      </c>
      <c r="G156" s="256"/>
      <c r="H156" s="256"/>
      <c r="I156" s="256"/>
      <c r="J156" s="257"/>
      <c r="K156" s="258"/>
      <c r="L156" s="267"/>
      <c r="M156" s="268"/>
      <c r="N156" s="259" t="str" cm="1">
        <f t="array" ref="N156">IF($L156&gt;0, INDEX(Clean,1+AK156,$D$1), "")</f>
        <v/>
      </c>
      <c r="O156" s="260"/>
      <c r="P156" s="260"/>
      <c r="Q156" s="261"/>
      <c r="R156" s="264">
        <f t="shared" si="469"/>
        <v>0</v>
      </c>
      <c r="S156" s="259" t="str" cm="1">
        <f t="array" ref="S156">IF($L156&gt;0, INDEX(Clean,1+AL156,$D$1), "")</f>
        <v/>
      </c>
      <c r="T156" s="260"/>
      <c r="U156" s="260"/>
      <c r="V156" s="261"/>
      <c r="W156" s="267"/>
      <c r="X156" s="267"/>
      <c r="Y156" s="257"/>
      <c r="Z156" s="264">
        <f t="shared" si="470"/>
        <v>0</v>
      </c>
      <c r="AA156" s="269"/>
      <c r="AB156" s="266"/>
      <c r="AC156" s="254"/>
      <c r="AD156" s="255" t="str">
        <f>IF(ISBLANK(AC156), "", VLOOKUP(AC156, Z!$A$2:$C$4127, 3, FALSE))</f>
        <v/>
      </c>
      <c r="AE156" s="270"/>
      <c r="AF156" s="265">
        <f t="shared" si="471"/>
        <v>0</v>
      </c>
      <c r="AG156" s="246"/>
      <c r="AH156" s="228">
        <f t="shared" si="494"/>
        <v>1</v>
      </c>
      <c r="AI156" s="228">
        <f t="shared" si="495"/>
        <v>1</v>
      </c>
      <c r="AJ156" s="228">
        <f t="shared" si="496"/>
        <v>0</v>
      </c>
      <c r="AK156" s="228">
        <v>0</v>
      </c>
      <c r="AL156" s="228">
        <v>0</v>
      </c>
      <c r="AM156" s="228">
        <f t="shared" si="472"/>
        <v>-100</v>
      </c>
      <c r="AN156" s="228" cm="1">
        <f t="array" ref="AN156">IF(ISBLANK(G156), 1, IFERROR(MATCH(G156, INDEX(Kat,,1), 0), IFERROR(MATCH(Kat, INDEX(Use,,2), 0), MATCH(Kat, INDEX(Use,,3), 0))))</f>
        <v>1</v>
      </c>
      <c r="AO156" s="246"/>
      <c r="AP156" s="228" cm="1">
        <f t="array" ref="AP156">IF(W156&gt;0, INDEX(Kat, AN156,4), 0)</f>
        <v>0</v>
      </c>
      <c r="AQ156" s="228">
        <f t="shared" si="497"/>
        <v>0</v>
      </c>
      <c r="AR156" s="228" cm="1">
        <f t="array" ref="AR156">IF(X156&gt;0, INDEX(Kat, $AN156, 4+AQ156), 0)</f>
        <v>0</v>
      </c>
      <c r="AS156" s="228" cm="1">
        <f t="array" ref="AS156">IF(X156&gt;0, INDEX(Kat, $AN156, 9+AQ156), 0)</f>
        <v>0</v>
      </c>
      <c r="AT156" s="246"/>
      <c r="AU156" s="262"/>
      <c r="AV156" s="262"/>
      <c r="AW156" s="263"/>
      <c r="AX156" s="263"/>
      <c r="AY156" s="263"/>
      <c r="AZ156" s="263"/>
      <c r="BA156" s="263"/>
      <c r="BB156" s="263"/>
      <c r="BC156" s="263"/>
      <c r="BD156" s="263"/>
      <c r="BE156" s="263"/>
      <c r="BF156" s="263"/>
      <c r="BG156" s="263"/>
      <c r="BH156" s="246"/>
      <c r="BI156" s="228" cm="1">
        <f t="array" ref="BI156">INDEX(Use, $AH156, 4)</f>
        <v>7</v>
      </c>
      <c r="BJ156" s="228">
        <f t="shared" si="473"/>
        <v>32</v>
      </c>
      <c r="BK156" s="228">
        <f t="shared" si="305"/>
        <v>13</v>
      </c>
      <c r="BL156" s="228">
        <f t="shared" si="306"/>
        <v>0</v>
      </c>
      <c r="BM156" s="233" cm="1">
        <f t="array" ref="BM156">L156/IF($M156&gt;0, INDEX($AY$22:$BE$76, $M156+20, $AH156), 1)</f>
        <v>0</v>
      </c>
      <c r="BN156" s="229">
        <f t="shared" si="474"/>
        <v>0</v>
      </c>
      <c r="BO156" s="228">
        <v>35</v>
      </c>
      <c r="BP156" s="229">
        <f t="shared" si="475"/>
        <v>48</v>
      </c>
      <c r="BQ156" s="234">
        <f t="shared" si="476"/>
        <v>3.0748170731707316</v>
      </c>
      <c r="BR156" s="234" cm="1">
        <f t="array" ref="BR156">$BM156 * SUMPRODUCT(INDEX($AV$76:$AX$81,,$AI156),INDEX($AY$76:$BE$81,,$AH156), N($AU$76:$AU$81&gt;$AM156)) / BQ156 / 1000</f>
        <v>0</v>
      </c>
      <c r="BS156" s="231">
        <f t="shared" si="310"/>
        <v>30</v>
      </c>
      <c r="BT156" s="229">
        <f t="shared" si="477"/>
        <v>43</v>
      </c>
      <c r="BU156" s="234">
        <f t="shared" si="478"/>
        <v>3.5018750000000001</v>
      </c>
      <c r="BV156" s="234" cm="1">
        <f t="array" ref="BV156">$BM156 * IF($AH156&lt;=2,
SUMPRODUCT(INDEX($AV$71:$AX$75,,$AI156), INDEX($AY$71:$BE$75,,$AH156), 1 / ($BF$71:$BF$75*BU156 + (1-$BF$71:$BF$75)*BQ156), N($AU$71:$AU$75&gt;$AM156)),
SUMPRODUCT(INDEX($AV$66:$AX$75,,$AI156), INDEX($AY$66:$BE$75,,$AH156), 1 / ($BG$66:$BG$75*BU156 + (1-$BG$66:$BG$75)*BQ156), N($AU$66:$AU$75&gt;$AM156))
) / 1000</f>
        <v>0</v>
      </c>
      <c r="BW156" s="231">
        <f t="shared" si="313"/>
        <v>25</v>
      </c>
      <c r="BX156" s="229">
        <f t="shared" si="479"/>
        <v>38</v>
      </c>
      <c r="BY156" s="234">
        <f t="shared" si="480"/>
        <v>4.0666935483870965</v>
      </c>
      <c r="BZ156" s="234" cm="1">
        <f t="array" ref="BZ156">$BM156 * IF($AH156&lt;=2,
SUMPRODUCT(INDEX($AV$66:$AX$70,,$AI156), INDEX($AY$66:$BE$70,,$AH156), 1 / ($BF$66:$BF$70*BY156 + (1-$BF$66:$BF$70)*BU156), N($AU$66:$AU$70&gt;$AM156)),
SUMPRODUCT(INDEX($AV$56:$AX$65,,$AI156), INDEX($AY$56:$BE$65,,$AH156), 1 / ($BG$56:$BG$65*BY156 + (1-$BG$56:$BG$65)*BU156), N($AU$56:$AU$65&gt;$AM156))
) / 1000</f>
        <v>0</v>
      </c>
      <c r="CA156" s="231">
        <f t="shared" si="316"/>
        <v>20</v>
      </c>
      <c r="CB156" s="229">
        <f t="shared" si="481"/>
        <v>33</v>
      </c>
      <c r="CC156" s="234">
        <f t="shared" si="482"/>
        <v>4.8487499999999999</v>
      </c>
      <c r="CD156" s="234" cm="1">
        <f t="array" ref="CD156">$BM156 * IF($AH156&lt;=2,
SUMPRODUCT(INDEX($AV$61:$AX$65,,$AI156), INDEX($AY$61:$BE$65,,$AH156), 1 / ($BF$61:$BF$65*CC156 + (1-$BF$61:$BF$65)*BY156), N($AU$61:$AU$65&gt;$AM156)),
SUMPRODUCT(INDEX($AV$46:$AX$55,,$AI156), INDEX($AY$46:$BE$55,,$AH156), 1 / ($BG$46:$BG$55*CC156 + (1-$BG$46:$BG$55)*BY156), N($AU$46:$AU$55&gt;$AM156))
) / 1000</f>
        <v>0</v>
      </c>
      <c r="CE156" s="234" cm="1">
        <f t="array" ref="CE156">$BM156 * IF($AH156&lt;=2,
SUMPRODUCT(INDEX($AV$22:$AX$60,,$AI156), INDEX($AY$22:$BE$60,,$AH156), 1 / ($BF$22:$BF$60*CC156), N($AU$22:$AU$60&gt;$AM156)),
SUMPRODUCT(INDEX($AV$22:$AX$45,,$AI156), INDEX($AY$22:$BE$45,,$AH156), 1 / ($BG$22:$BG$45*CC156), N($AU$22:$AU$45&gt;$AM156))
) / 1000</f>
        <v>0</v>
      </c>
      <c r="CF156" s="229">
        <f t="shared" si="483"/>
        <v>0</v>
      </c>
      <c r="CG156" s="246"/>
      <c r="CH156" s="229">
        <f t="shared" si="484"/>
        <v>0</v>
      </c>
      <c r="CI156" s="228">
        <v>35</v>
      </c>
      <c r="CJ156" s="229">
        <f t="shared" si="485"/>
        <v>48</v>
      </c>
      <c r="CK156" s="234">
        <f t="shared" si="486"/>
        <v>3.0748170731707316</v>
      </c>
      <c r="CL156" s="234" cm="1">
        <f t="array" ref="CL156">$BM156 * SUMPRODUCT(INDEX($AV$76:$AX$81,,$AI156),INDEX($AY$76:$BE$81,,$AH156), N($AU$76:$AU$81&gt;$AM156)) / CK156 / 1000</f>
        <v>0</v>
      </c>
      <c r="CM156" s="231">
        <f t="shared" si="323"/>
        <v>30</v>
      </c>
      <c r="CN156" s="229">
        <f t="shared" si="487"/>
        <v>43</v>
      </c>
      <c r="CO156" s="234">
        <f t="shared" si="488"/>
        <v>3.5018750000000001</v>
      </c>
      <c r="CP156" s="234" cm="1">
        <f t="array" ref="CP156">$BM156 * IF($AH156&lt;=2,
SUMPRODUCT(INDEX($AV$71:$AX$75,,$AI156), INDEX($AY$71:$BE$75,,$AH156), 1 / ($BF$71:$BF$75*CO156 + (1-$BF$71:$BF$75)*CK156), N($AU$71:$AU$75&gt;$AM156)),
SUMPRODUCT(INDEX($AV$66:$AX$75,,$AI156), INDEX($AY$66:$BE$75,,$AH156), 1 / ($BG$66:$BG$75*CO156 + (1-$BG$66:$BG$75)*CK156), N($AU$66:$AU$75&gt;$AM156))
) / 1000</f>
        <v>0</v>
      </c>
      <c r="CQ156" s="231">
        <f t="shared" si="326"/>
        <v>25</v>
      </c>
      <c r="CR156" s="229">
        <f t="shared" si="489"/>
        <v>38</v>
      </c>
      <c r="CS156" s="234">
        <f t="shared" si="490"/>
        <v>4.0666935483870965</v>
      </c>
      <c r="CT156" s="234" cm="1">
        <f t="array" ref="CT156">$BM156 * IF($AH156&lt;=2,
SUMPRODUCT(INDEX($AV$66:$AX$70,,$AI156), INDEX($AY$66:$BE$70,,$AH156), 1 / ($BF$66:$BF$70*CS156 + (1-$BF$66:$BF$70)*CO156), N($AU$66:$AU$70&gt;$AM156)),
SUMPRODUCT(INDEX($AV$56:$AX$65,,$AI156), INDEX($AY$56:$BE$65,,$AH156), 1 / ($BG$56:$BG$65*CS156 + (1-$BG$56:$BG$65)*CO156), N($AU$56:$AU$65&gt;$AM156))
) / 1000</f>
        <v>0</v>
      </c>
      <c r="CU156" s="231">
        <f t="shared" si="329"/>
        <v>20</v>
      </c>
      <c r="CV156" s="229">
        <f t="shared" si="491"/>
        <v>33</v>
      </c>
      <c r="CW156" s="234">
        <f t="shared" si="492"/>
        <v>4.8487499999999999</v>
      </c>
      <c r="CX156" s="234" cm="1">
        <f t="array" ref="CX156">$BM156 * IF($AH156&lt;=2,
SUMPRODUCT(INDEX($AV$61:$AX$65,,$AI156), INDEX($AY$61:$BE$65,,$AH156), 1 / ($BF$61:$BF$65*CW156 + (1-$BF$61:$BF$65)*CS156), N($AU$61:$AU$65&gt;$AM156)),
SUMPRODUCT(INDEX($AV$46:$AX$55,,$AI156), INDEX($AY$46:$BE$55,,$AH156), 1 / ($BG$46:$BG$55*CW156 + (1-$BG$46:$BG$55)*CS156), N($AU$46:$AU$55&gt;$AM156))
) / 1000</f>
        <v>0</v>
      </c>
      <c r="CY156" s="234" cm="1">
        <f t="array" ref="CY156">$BM156 * IF($AH156&lt;=2,
SUMPRODUCT(INDEX($AV$22:$AX$60,,$AI156), INDEX($AY$22:$BE$60,,$AH156), 1 / ($BF$22:$BF$60*CW156), N($AU$22:$AU$60&gt;$AM156)),
SUMPRODUCT(INDEX($AV$22:$AX$45,,$AI156), INDEX($AY$22:$BE$45,,$AH156), 1 / ($BG$22:$BG$45*CW156), N($AU$22:$AU$45&gt;$AM156))
) / 1000</f>
        <v>0</v>
      </c>
      <c r="CZ156" s="229">
        <f t="shared" si="493"/>
        <v>0</v>
      </c>
      <c r="DA156" s="246"/>
    </row>
    <row r="157" spans="1:105" s="75" customFormat="1" ht="14.25" customHeight="1" x14ac:dyDescent="0.2">
      <c r="A157" s="230" t="b">
        <f t="shared" si="291"/>
        <v>0</v>
      </c>
      <c r="B157" s="253">
        <v>136</v>
      </c>
      <c r="C157" s="266"/>
      <c r="D157" s="266"/>
      <c r="E157" s="254"/>
      <c r="F157" s="255" t="str">
        <f>IF(ISBLANK(E157), "", VLOOKUP(E157, Z!$A$2:$C$4127, 3, FALSE))</f>
        <v/>
      </c>
      <c r="G157" s="256"/>
      <c r="H157" s="256"/>
      <c r="I157" s="256"/>
      <c r="J157" s="257"/>
      <c r="K157" s="258"/>
      <c r="L157" s="267"/>
      <c r="M157" s="268"/>
      <c r="N157" s="259" t="str" cm="1">
        <f t="array" ref="N157">IF($L157&gt;0, INDEX(Clean,1+AK157,$D$1), "")</f>
        <v/>
      </c>
      <c r="O157" s="260"/>
      <c r="P157" s="260"/>
      <c r="Q157" s="261"/>
      <c r="R157" s="264">
        <f t="shared" si="469"/>
        <v>0</v>
      </c>
      <c r="S157" s="259" t="str" cm="1">
        <f t="array" ref="S157">IF($L157&gt;0, INDEX(Clean,1+AL157,$D$1), "")</f>
        <v/>
      </c>
      <c r="T157" s="260"/>
      <c r="U157" s="260"/>
      <c r="V157" s="261"/>
      <c r="W157" s="267"/>
      <c r="X157" s="267"/>
      <c r="Y157" s="257"/>
      <c r="Z157" s="264">
        <f t="shared" si="470"/>
        <v>0</v>
      </c>
      <c r="AA157" s="269"/>
      <c r="AB157" s="266"/>
      <c r="AC157" s="254"/>
      <c r="AD157" s="255" t="str">
        <f>IF(ISBLANK(AC157), "", VLOOKUP(AC157, Z!$A$2:$C$4127, 3, FALSE))</f>
        <v/>
      </c>
      <c r="AE157" s="270"/>
      <c r="AF157" s="265">
        <f t="shared" si="471"/>
        <v>0</v>
      </c>
      <c r="AG157" s="246"/>
      <c r="AH157" s="228">
        <f t="shared" si="494"/>
        <v>1</v>
      </c>
      <c r="AI157" s="228">
        <f t="shared" si="495"/>
        <v>1</v>
      </c>
      <c r="AJ157" s="228">
        <f t="shared" si="496"/>
        <v>0</v>
      </c>
      <c r="AK157" s="228">
        <v>0</v>
      </c>
      <c r="AL157" s="228">
        <v>0</v>
      </c>
      <c r="AM157" s="228">
        <f t="shared" si="472"/>
        <v>-100</v>
      </c>
      <c r="AN157" s="228" cm="1">
        <f t="array" ref="AN157">IF(ISBLANK(G157), 1, IFERROR(MATCH(G157, INDEX(Kat,,1), 0), IFERROR(MATCH(Kat, INDEX(Use,,2), 0), MATCH(Kat, INDEX(Use,,3), 0))))</f>
        <v>1</v>
      </c>
      <c r="AO157" s="246"/>
      <c r="AP157" s="228" cm="1">
        <f t="array" ref="AP157">IF(W157&gt;0, INDEX(Kat, AN157,4), 0)</f>
        <v>0</v>
      </c>
      <c r="AQ157" s="228">
        <f t="shared" si="497"/>
        <v>0</v>
      </c>
      <c r="AR157" s="228" cm="1">
        <f t="array" ref="AR157">IF(X157&gt;0, INDEX(Kat, $AN157, 4+AQ157), 0)</f>
        <v>0</v>
      </c>
      <c r="AS157" s="228" cm="1">
        <f t="array" ref="AS157">IF(X157&gt;0, INDEX(Kat, $AN157, 9+AQ157), 0)</f>
        <v>0</v>
      </c>
      <c r="AT157" s="246"/>
      <c r="AU157" s="262"/>
      <c r="AV157" s="262"/>
      <c r="AW157" s="263"/>
      <c r="AX157" s="263"/>
      <c r="AY157" s="263"/>
      <c r="AZ157" s="263"/>
      <c r="BA157" s="263"/>
      <c r="BB157" s="263"/>
      <c r="BC157" s="263"/>
      <c r="BD157" s="263"/>
      <c r="BE157" s="263"/>
      <c r="BF157" s="263"/>
      <c r="BG157" s="263"/>
      <c r="BH157" s="246"/>
      <c r="BI157" s="228" cm="1">
        <f t="array" ref="BI157">INDEX(Use, $AH157, 4)</f>
        <v>7</v>
      </c>
      <c r="BJ157" s="228">
        <f t="shared" si="473"/>
        <v>32</v>
      </c>
      <c r="BK157" s="228">
        <f t="shared" si="305"/>
        <v>13</v>
      </c>
      <c r="BL157" s="228">
        <f t="shared" si="306"/>
        <v>0</v>
      </c>
      <c r="BM157" s="233" cm="1">
        <f t="array" ref="BM157">L157/IF($M157&gt;0, INDEX($AY$22:$BE$76, $M157+20, $AH157), 1)</f>
        <v>0</v>
      </c>
      <c r="BN157" s="229">
        <f t="shared" si="474"/>
        <v>0</v>
      </c>
      <c r="BO157" s="228">
        <v>35</v>
      </c>
      <c r="BP157" s="229">
        <f t="shared" si="475"/>
        <v>48</v>
      </c>
      <c r="BQ157" s="234">
        <f t="shared" si="476"/>
        <v>3.0748170731707316</v>
      </c>
      <c r="BR157" s="234" cm="1">
        <f t="array" ref="BR157">$BM157 * SUMPRODUCT(INDEX($AV$76:$AX$81,,$AI157),INDEX($AY$76:$BE$81,,$AH157), N($AU$76:$AU$81&gt;$AM157)) / BQ157 / 1000</f>
        <v>0</v>
      </c>
      <c r="BS157" s="231">
        <f t="shared" si="310"/>
        <v>30</v>
      </c>
      <c r="BT157" s="229">
        <f t="shared" si="477"/>
        <v>43</v>
      </c>
      <c r="BU157" s="234">
        <f t="shared" si="478"/>
        <v>3.5018750000000001</v>
      </c>
      <c r="BV157" s="234" cm="1">
        <f t="array" ref="BV157">$BM157 * IF($AH157&lt;=2,
SUMPRODUCT(INDEX($AV$71:$AX$75,,$AI157), INDEX($AY$71:$BE$75,,$AH157), 1 / ($BF$71:$BF$75*BU157 + (1-$BF$71:$BF$75)*BQ157), N($AU$71:$AU$75&gt;$AM157)),
SUMPRODUCT(INDEX($AV$66:$AX$75,,$AI157), INDEX($AY$66:$BE$75,,$AH157), 1 / ($BG$66:$BG$75*BU157 + (1-$BG$66:$BG$75)*BQ157), N($AU$66:$AU$75&gt;$AM157))
) / 1000</f>
        <v>0</v>
      </c>
      <c r="BW157" s="231">
        <f t="shared" si="313"/>
        <v>25</v>
      </c>
      <c r="BX157" s="229">
        <f t="shared" si="479"/>
        <v>38</v>
      </c>
      <c r="BY157" s="234">
        <f t="shared" si="480"/>
        <v>4.0666935483870965</v>
      </c>
      <c r="BZ157" s="234" cm="1">
        <f t="array" ref="BZ157">$BM157 * IF($AH157&lt;=2,
SUMPRODUCT(INDEX($AV$66:$AX$70,,$AI157), INDEX($AY$66:$BE$70,,$AH157), 1 / ($BF$66:$BF$70*BY157 + (1-$BF$66:$BF$70)*BU157), N($AU$66:$AU$70&gt;$AM157)),
SUMPRODUCT(INDEX($AV$56:$AX$65,,$AI157), INDEX($AY$56:$BE$65,,$AH157), 1 / ($BG$56:$BG$65*BY157 + (1-$BG$56:$BG$65)*BU157), N($AU$56:$AU$65&gt;$AM157))
) / 1000</f>
        <v>0</v>
      </c>
      <c r="CA157" s="231">
        <f t="shared" si="316"/>
        <v>20</v>
      </c>
      <c r="CB157" s="229">
        <f t="shared" si="481"/>
        <v>33</v>
      </c>
      <c r="CC157" s="234">
        <f t="shared" si="482"/>
        <v>4.8487499999999999</v>
      </c>
      <c r="CD157" s="234" cm="1">
        <f t="array" ref="CD157">$BM157 * IF($AH157&lt;=2,
SUMPRODUCT(INDEX($AV$61:$AX$65,,$AI157), INDEX($AY$61:$BE$65,,$AH157), 1 / ($BF$61:$BF$65*CC157 + (1-$BF$61:$BF$65)*BY157), N($AU$61:$AU$65&gt;$AM157)),
SUMPRODUCT(INDEX($AV$46:$AX$55,,$AI157), INDEX($AY$46:$BE$55,,$AH157), 1 / ($BG$46:$BG$55*CC157 + (1-$BG$46:$BG$55)*BY157), N($AU$46:$AU$55&gt;$AM157))
) / 1000</f>
        <v>0</v>
      </c>
      <c r="CE157" s="234" cm="1">
        <f t="array" ref="CE157">$BM157 * IF($AH157&lt;=2,
SUMPRODUCT(INDEX($AV$22:$AX$60,,$AI157), INDEX($AY$22:$BE$60,,$AH157), 1 / ($BF$22:$BF$60*CC157), N($AU$22:$AU$60&gt;$AM157)),
SUMPRODUCT(INDEX($AV$22:$AX$45,,$AI157), INDEX($AY$22:$BE$45,,$AH157), 1 / ($BG$22:$BG$45*CC157), N($AU$22:$AU$45&gt;$AM157))
) / 1000</f>
        <v>0</v>
      </c>
      <c r="CF157" s="229">
        <f t="shared" si="483"/>
        <v>0</v>
      </c>
      <c r="CG157" s="246"/>
      <c r="CH157" s="229">
        <f t="shared" si="484"/>
        <v>0</v>
      </c>
      <c r="CI157" s="228">
        <v>35</v>
      </c>
      <c r="CJ157" s="229">
        <f t="shared" si="485"/>
        <v>48</v>
      </c>
      <c r="CK157" s="234">
        <f t="shared" si="486"/>
        <v>3.0748170731707316</v>
      </c>
      <c r="CL157" s="234" cm="1">
        <f t="array" ref="CL157">$BM157 * SUMPRODUCT(INDEX($AV$76:$AX$81,,$AI157),INDEX($AY$76:$BE$81,,$AH157), N($AU$76:$AU$81&gt;$AM157)) / CK157 / 1000</f>
        <v>0</v>
      </c>
      <c r="CM157" s="231">
        <f t="shared" si="323"/>
        <v>30</v>
      </c>
      <c r="CN157" s="229">
        <f t="shared" si="487"/>
        <v>43</v>
      </c>
      <c r="CO157" s="234">
        <f t="shared" si="488"/>
        <v>3.5018750000000001</v>
      </c>
      <c r="CP157" s="234" cm="1">
        <f t="array" ref="CP157">$BM157 * IF($AH157&lt;=2,
SUMPRODUCT(INDEX($AV$71:$AX$75,,$AI157), INDEX($AY$71:$BE$75,,$AH157), 1 / ($BF$71:$BF$75*CO157 + (1-$BF$71:$BF$75)*CK157), N($AU$71:$AU$75&gt;$AM157)),
SUMPRODUCT(INDEX($AV$66:$AX$75,,$AI157), INDEX($AY$66:$BE$75,,$AH157), 1 / ($BG$66:$BG$75*CO157 + (1-$BG$66:$BG$75)*CK157), N($AU$66:$AU$75&gt;$AM157))
) / 1000</f>
        <v>0</v>
      </c>
      <c r="CQ157" s="231">
        <f t="shared" si="326"/>
        <v>25</v>
      </c>
      <c r="CR157" s="229">
        <f t="shared" si="489"/>
        <v>38</v>
      </c>
      <c r="CS157" s="234">
        <f t="shared" si="490"/>
        <v>4.0666935483870965</v>
      </c>
      <c r="CT157" s="234" cm="1">
        <f t="array" ref="CT157">$BM157 * IF($AH157&lt;=2,
SUMPRODUCT(INDEX($AV$66:$AX$70,,$AI157), INDEX($AY$66:$BE$70,,$AH157), 1 / ($BF$66:$BF$70*CS157 + (1-$BF$66:$BF$70)*CO157), N($AU$66:$AU$70&gt;$AM157)),
SUMPRODUCT(INDEX($AV$56:$AX$65,,$AI157), INDEX($AY$56:$BE$65,,$AH157), 1 / ($BG$56:$BG$65*CS157 + (1-$BG$56:$BG$65)*CO157), N($AU$56:$AU$65&gt;$AM157))
) / 1000</f>
        <v>0</v>
      </c>
      <c r="CU157" s="231">
        <f t="shared" si="329"/>
        <v>20</v>
      </c>
      <c r="CV157" s="229">
        <f t="shared" si="491"/>
        <v>33</v>
      </c>
      <c r="CW157" s="234">
        <f t="shared" si="492"/>
        <v>4.8487499999999999</v>
      </c>
      <c r="CX157" s="234" cm="1">
        <f t="array" ref="CX157">$BM157 * IF($AH157&lt;=2,
SUMPRODUCT(INDEX($AV$61:$AX$65,,$AI157), INDEX($AY$61:$BE$65,,$AH157), 1 / ($BF$61:$BF$65*CW157 + (1-$BF$61:$BF$65)*CS157), N($AU$61:$AU$65&gt;$AM157)),
SUMPRODUCT(INDEX($AV$46:$AX$55,,$AI157), INDEX($AY$46:$BE$55,,$AH157), 1 / ($BG$46:$BG$55*CW157 + (1-$BG$46:$BG$55)*CS157), N($AU$46:$AU$55&gt;$AM157))
) / 1000</f>
        <v>0</v>
      </c>
      <c r="CY157" s="234" cm="1">
        <f t="array" ref="CY157">$BM157 * IF($AH157&lt;=2,
SUMPRODUCT(INDEX($AV$22:$AX$60,,$AI157), INDEX($AY$22:$BE$60,,$AH157), 1 / ($BF$22:$BF$60*CW157), N($AU$22:$AU$60&gt;$AM157)),
SUMPRODUCT(INDEX($AV$22:$AX$45,,$AI157), INDEX($AY$22:$BE$45,,$AH157), 1 / ($BG$22:$BG$45*CW157), N($AU$22:$AU$45&gt;$AM157))
) / 1000</f>
        <v>0</v>
      </c>
      <c r="CZ157" s="229">
        <f t="shared" si="493"/>
        <v>0</v>
      </c>
      <c r="DA157" s="246"/>
    </row>
    <row r="158" spans="1:105" s="75" customFormat="1" ht="14.25" customHeight="1" x14ac:dyDescent="0.2">
      <c r="A158" s="230" t="b">
        <f t="shared" si="291"/>
        <v>0</v>
      </c>
      <c r="B158" s="253">
        <v>137</v>
      </c>
      <c r="C158" s="266"/>
      <c r="D158" s="266"/>
      <c r="E158" s="254"/>
      <c r="F158" s="255" t="str">
        <f>IF(ISBLANK(E158), "", VLOOKUP(E158, Z!$A$2:$C$4127, 3, FALSE))</f>
        <v/>
      </c>
      <c r="G158" s="256"/>
      <c r="H158" s="256"/>
      <c r="I158" s="256"/>
      <c r="J158" s="257"/>
      <c r="K158" s="258"/>
      <c r="L158" s="267"/>
      <c r="M158" s="268"/>
      <c r="N158" s="259" t="str" cm="1">
        <f t="array" ref="N158">IF($L158&gt;0, INDEX(Clean,1+AK158,$D$1), "")</f>
        <v/>
      </c>
      <c r="O158" s="260"/>
      <c r="P158" s="260"/>
      <c r="Q158" s="261"/>
      <c r="R158" s="264">
        <f t="shared" si="469"/>
        <v>0</v>
      </c>
      <c r="S158" s="259" t="str" cm="1">
        <f t="array" ref="S158">IF($L158&gt;0, INDEX(Clean,1+AL158,$D$1), "")</f>
        <v/>
      </c>
      <c r="T158" s="260"/>
      <c r="U158" s="260"/>
      <c r="V158" s="261"/>
      <c r="W158" s="267"/>
      <c r="X158" s="267"/>
      <c r="Y158" s="257"/>
      <c r="Z158" s="264">
        <f t="shared" si="470"/>
        <v>0</v>
      </c>
      <c r="AA158" s="269"/>
      <c r="AB158" s="266"/>
      <c r="AC158" s="254"/>
      <c r="AD158" s="255" t="str">
        <f>IF(ISBLANK(AC158), "", VLOOKUP(AC158, Z!$A$2:$C$4127, 3, FALSE))</f>
        <v/>
      </c>
      <c r="AE158" s="270"/>
      <c r="AF158" s="265">
        <f t="shared" si="471"/>
        <v>0</v>
      </c>
      <c r="AG158" s="246"/>
      <c r="AH158" s="228">
        <f t="shared" si="494"/>
        <v>1</v>
      </c>
      <c r="AI158" s="228">
        <f t="shared" si="495"/>
        <v>1</v>
      </c>
      <c r="AJ158" s="228">
        <f t="shared" si="496"/>
        <v>0</v>
      </c>
      <c r="AK158" s="228">
        <v>0</v>
      </c>
      <c r="AL158" s="228">
        <v>0</v>
      </c>
      <c r="AM158" s="228">
        <f t="shared" si="472"/>
        <v>-100</v>
      </c>
      <c r="AN158" s="228" cm="1">
        <f t="array" ref="AN158">IF(ISBLANK(G158), 1, IFERROR(MATCH(G158, INDEX(Kat,,1), 0), IFERROR(MATCH(Kat, INDEX(Use,,2), 0), MATCH(Kat, INDEX(Use,,3), 0))))</f>
        <v>1</v>
      </c>
      <c r="AO158" s="246"/>
      <c r="AP158" s="228" cm="1">
        <f t="array" ref="AP158">IF(W158&gt;0, INDEX(Kat, AN158,4), 0)</f>
        <v>0</v>
      </c>
      <c r="AQ158" s="228">
        <f t="shared" si="497"/>
        <v>0</v>
      </c>
      <c r="AR158" s="228" cm="1">
        <f t="array" ref="AR158">IF(X158&gt;0, INDEX(Kat, $AN158, 4+AQ158), 0)</f>
        <v>0</v>
      </c>
      <c r="AS158" s="228" cm="1">
        <f t="array" ref="AS158">IF(X158&gt;0, INDEX(Kat, $AN158, 9+AQ158), 0)</f>
        <v>0</v>
      </c>
      <c r="AT158" s="246"/>
      <c r="AU158" s="262"/>
      <c r="AV158" s="262"/>
      <c r="AW158" s="263"/>
      <c r="AX158" s="263"/>
      <c r="AY158" s="263"/>
      <c r="AZ158" s="263"/>
      <c r="BA158" s="263"/>
      <c r="BB158" s="263"/>
      <c r="BC158" s="263"/>
      <c r="BD158" s="263"/>
      <c r="BE158" s="263"/>
      <c r="BF158" s="263"/>
      <c r="BG158" s="263"/>
      <c r="BH158" s="246"/>
      <c r="BI158" s="228" cm="1">
        <f t="array" ref="BI158">INDEX(Use, $AH158, 4)</f>
        <v>7</v>
      </c>
      <c r="BJ158" s="228">
        <f t="shared" si="473"/>
        <v>32</v>
      </c>
      <c r="BK158" s="228">
        <f t="shared" si="305"/>
        <v>13</v>
      </c>
      <c r="BL158" s="228">
        <f t="shared" si="306"/>
        <v>0</v>
      </c>
      <c r="BM158" s="233" cm="1">
        <f t="array" ref="BM158">L158/IF($M158&gt;0, INDEX($AY$22:$BE$76, $M158+20, $AH158), 1)</f>
        <v>0</v>
      </c>
      <c r="BN158" s="229">
        <f t="shared" si="474"/>
        <v>0</v>
      </c>
      <c r="BO158" s="228">
        <v>35</v>
      </c>
      <c r="BP158" s="229">
        <f t="shared" si="475"/>
        <v>48</v>
      </c>
      <c r="BQ158" s="234">
        <f t="shared" si="476"/>
        <v>3.0748170731707316</v>
      </c>
      <c r="BR158" s="234" cm="1">
        <f t="array" ref="BR158">$BM158 * SUMPRODUCT(INDEX($AV$76:$AX$81,,$AI158),INDEX($AY$76:$BE$81,,$AH158), N($AU$76:$AU$81&gt;$AM158)) / BQ158 / 1000</f>
        <v>0</v>
      </c>
      <c r="BS158" s="231">
        <f t="shared" si="310"/>
        <v>30</v>
      </c>
      <c r="BT158" s="229">
        <f t="shared" si="477"/>
        <v>43</v>
      </c>
      <c r="BU158" s="234">
        <f t="shared" si="478"/>
        <v>3.5018750000000001</v>
      </c>
      <c r="BV158" s="234" cm="1">
        <f t="array" ref="BV158">$BM158 * IF($AH158&lt;=2,
SUMPRODUCT(INDEX($AV$71:$AX$75,,$AI158), INDEX($AY$71:$BE$75,,$AH158), 1 / ($BF$71:$BF$75*BU158 + (1-$BF$71:$BF$75)*BQ158), N($AU$71:$AU$75&gt;$AM158)),
SUMPRODUCT(INDEX($AV$66:$AX$75,,$AI158), INDEX($AY$66:$BE$75,,$AH158), 1 / ($BG$66:$BG$75*BU158 + (1-$BG$66:$BG$75)*BQ158), N($AU$66:$AU$75&gt;$AM158))
) / 1000</f>
        <v>0</v>
      </c>
      <c r="BW158" s="231">
        <f t="shared" si="313"/>
        <v>25</v>
      </c>
      <c r="BX158" s="229">
        <f t="shared" si="479"/>
        <v>38</v>
      </c>
      <c r="BY158" s="234">
        <f t="shared" si="480"/>
        <v>4.0666935483870965</v>
      </c>
      <c r="BZ158" s="234" cm="1">
        <f t="array" ref="BZ158">$BM158 * IF($AH158&lt;=2,
SUMPRODUCT(INDEX($AV$66:$AX$70,,$AI158), INDEX($AY$66:$BE$70,,$AH158), 1 / ($BF$66:$BF$70*BY158 + (1-$BF$66:$BF$70)*BU158), N($AU$66:$AU$70&gt;$AM158)),
SUMPRODUCT(INDEX($AV$56:$AX$65,,$AI158), INDEX($AY$56:$BE$65,,$AH158), 1 / ($BG$56:$BG$65*BY158 + (1-$BG$56:$BG$65)*BU158), N($AU$56:$AU$65&gt;$AM158))
) / 1000</f>
        <v>0</v>
      </c>
      <c r="CA158" s="231">
        <f t="shared" si="316"/>
        <v>20</v>
      </c>
      <c r="CB158" s="229">
        <f t="shared" si="481"/>
        <v>33</v>
      </c>
      <c r="CC158" s="234">
        <f t="shared" si="482"/>
        <v>4.8487499999999999</v>
      </c>
      <c r="CD158" s="234" cm="1">
        <f t="array" ref="CD158">$BM158 * IF($AH158&lt;=2,
SUMPRODUCT(INDEX($AV$61:$AX$65,,$AI158), INDEX($AY$61:$BE$65,,$AH158), 1 / ($BF$61:$BF$65*CC158 + (1-$BF$61:$BF$65)*BY158), N($AU$61:$AU$65&gt;$AM158)),
SUMPRODUCT(INDEX($AV$46:$AX$55,,$AI158), INDEX($AY$46:$BE$55,,$AH158), 1 / ($BG$46:$BG$55*CC158 + (1-$BG$46:$BG$55)*BY158), N($AU$46:$AU$55&gt;$AM158))
) / 1000</f>
        <v>0</v>
      </c>
      <c r="CE158" s="234" cm="1">
        <f t="array" ref="CE158">$BM158 * IF($AH158&lt;=2,
SUMPRODUCT(INDEX($AV$22:$AX$60,,$AI158), INDEX($AY$22:$BE$60,,$AH158), 1 / ($BF$22:$BF$60*CC158), N($AU$22:$AU$60&gt;$AM158)),
SUMPRODUCT(INDEX($AV$22:$AX$45,,$AI158), INDEX($AY$22:$BE$45,,$AH158), 1 / ($BG$22:$BG$45*CC158), N($AU$22:$AU$45&gt;$AM158))
) / 1000</f>
        <v>0</v>
      </c>
      <c r="CF158" s="229">
        <f t="shared" si="483"/>
        <v>0</v>
      </c>
      <c r="CG158" s="246"/>
      <c r="CH158" s="229">
        <f t="shared" si="484"/>
        <v>0</v>
      </c>
      <c r="CI158" s="228">
        <v>35</v>
      </c>
      <c r="CJ158" s="229">
        <f t="shared" si="485"/>
        <v>48</v>
      </c>
      <c r="CK158" s="234">
        <f t="shared" si="486"/>
        <v>3.0748170731707316</v>
      </c>
      <c r="CL158" s="234" cm="1">
        <f t="array" ref="CL158">$BM158 * SUMPRODUCT(INDEX($AV$76:$AX$81,,$AI158),INDEX($AY$76:$BE$81,,$AH158), N($AU$76:$AU$81&gt;$AM158)) / CK158 / 1000</f>
        <v>0</v>
      </c>
      <c r="CM158" s="231">
        <f t="shared" si="323"/>
        <v>30</v>
      </c>
      <c r="CN158" s="229">
        <f t="shared" si="487"/>
        <v>43</v>
      </c>
      <c r="CO158" s="234">
        <f t="shared" si="488"/>
        <v>3.5018750000000001</v>
      </c>
      <c r="CP158" s="234" cm="1">
        <f t="array" ref="CP158">$BM158 * IF($AH158&lt;=2,
SUMPRODUCT(INDEX($AV$71:$AX$75,,$AI158), INDEX($AY$71:$BE$75,,$AH158), 1 / ($BF$71:$BF$75*CO158 + (1-$BF$71:$BF$75)*CK158), N($AU$71:$AU$75&gt;$AM158)),
SUMPRODUCT(INDEX($AV$66:$AX$75,,$AI158), INDEX($AY$66:$BE$75,,$AH158), 1 / ($BG$66:$BG$75*CO158 + (1-$BG$66:$BG$75)*CK158), N($AU$66:$AU$75&gt;$AM158))
) / 1000</f>
        <v>0</v>
      </c>
      <c r="CQ158" s="231">
        <f t="shared" si="326"/>
        <v>25</v>
      </c>
      <c r="CR158" s="229">
        <f t="shared" si="489"/>
        <v>38</v>
      </c>
      <c r="CS158" s="234">
        <f t="shared" si="490"/>
        <v>4.0666935483870965</v>
      </c>
      <c r="CT158" s="234" cm="1">
        <f t="array" ref="CT158">$BM158 * IF($AH158&lt;=2,
SUMPRODUCT(INDEX($AV$66:$AX$70,,$AI158), INDEX($AY$66:$BE$70,,$AH158), 1 / ($BF$66:$BF$70*CS158 + (1-$BF$66:$BF$70)*CO158), N($AU$66:$AU$70&gt;$AM158)),
SUMPRODUCT(INDEX($AV$56:$AX$65,,$AI158), INDEX($AY$56:$BE$65,,$AH158), 1 / ($BG$56:$BG$65*CS158 + (1-$BG$56:$BG$65)*CO158), N($AU$56:$AU$65&gt;$AM158))
) / 1000</f>
        <v>0</v>
      </c>
      <c r="CU158" s="231">
        <f t="shared" si="329"/>
        <v>20</v>
      </c>
      <c r="CV158" s="229">
        <f t="shared" si="491"/>
        <v>33</v>
      </c>
      <c r="CW158" s="234">
        <f t="shared" si="492"/>
        <v>4.8487499999999999</v>
      </c>
      <c r="CX158" s="234" cm="1">
        <f t="array" ref="CX158">$BM158 * IF($AH158&lt;=2,
SUMPRODUCT(INDEX($AV$61:$AX$65,,$AI158), INDEX($AY$61:$BE$65,,$AH158), 1 / ($BF$61:$BF$65*CW158 + (1-$BF$61:$BF$65)*CS158), N($AU$61:$AU$65&gt;$AM158)),
SUMPRODUCT(INDEX($AV$46:$AX$55,,$AI158), INDEX($AY$46:$BE$55,,$AH158), 1 / ($BG$46:$BG$55*CW158 + (1-$BG$46:$BG$55)*CS158), N($AU$46:$AU$55&gt;$AM158))
) / 1000</f>
        <v>0</v>
      </c>
      <c r="CY158" s="234" cm="1">
        <f t="array" ref="CY158">$BM158 * IF($AH158&lt;=2,
SUMPRODUCT(INDEX($AV$22:$AX$60,,$AI158), INDEX($AY$22:$BE$60,,$AH158), 1 / ($BF$22:$BF$60*CW158), N($AU$22:$AU$60&gt;$AM158)),
SUMPRODUCT(INDEX($AV$22:$AX$45,,$AI158), INDEX($AY$22:$BE$45,,$AH158), 1 / ($BG$22:$BG$45*CW158), N($AU$22:$AU$45&gt;$AM158))
) / 1000</f>
        <v>0</v>
      </c>
      <c r="CZ158" s="229">
        <f t="shared" si="493"/>
        <v>0</v>
      </c>
      <c r="DA158" s="246"/>
    </row>
    <row r="159" spans="1:105" s="75" customFormat="1" ht="14.25" customHeight="1" x14ac:dyDescent="0.2">
      <c r="A159" s="230" t="b">
        <f t="shared" si="291"/>
        <v>0</v>
      </c>
      <c r="B159" s="253">
        <v>138</v>
      </c>
      <c r="C159" s="266"/>
      <c r="D159" s="266"/>
      <c r="E159" s="254"/>
      <c r="F159" s="255" t="str">
        <f>IF(ISBLANK(E159), "", VLOOKUP(E159, Z!$A$2:$C$4127, 3, FALSE))</f>
        <v/>
      </c>
      <c r="G159" s="256"/>
      <c r="H159" s="256"/>
      <c r="I159" s="256"/>
      <c r="J159" s="257"/>
      <c r="K159" s="258"/>
      <c r="L159" s="267"/>
      <c r="M159" s="268"/>
      <c r="N159" s="259" t="str" cm="1">
        <f t="array" ref="N159">IF($L159&gt;0, INDEX(Clean,1+AK159,$D$1), "")</f>
        <v/>
      </c>
      <c r="O159" s="260"/>
      <c r="P159" s="260"/>
      <c r="Q159" s="261"/>
      <c r="R159" s="264">
        <f t="shared" si="469"/>
        <v>0</v>
      </c>
      <c r="S159" s="259" t="str" cm="1">
        <f t="array" ref="S159">IF($L159&gt;0, INDEX(Clean,1+AL159,$D$1), "")</f>
        <v/>
      </c>
      <c r="T159" s="260"/>
      <c r="U159" s="260"/>
      <c r="V159" s="261"/>
      <c r="W159" s="267"/>
      <c r="X159" s="267"/>
      <c r="Y159" s="257"/>
      <c r="Z159" s="264">
        <f t="shared" si="470"/>
        <v>0</v>
      </c>
      <c r="AA159" s="269"/>
      <c r="AB159" s="266"/>
      <c r="AC159" s="254"/>
      <c r="AD159" s="255" t="str">
        <f>IF(ISBLANK(AC159), "", VLOOKUP(AC159, Z!$A$2:$C$4127, 3, FALSE))</f>
        <v/>
      </c>
      <c r="AE159" s="270"/>
      <c r="AF159" s="265">
        <f t="shared" si="471"/>
        <v>0</v>
      </c>
      <c r="AG159" s="246"/>
      <c r="AH159" s="228">
        <f t="shared" si="494"/>
        <v>1</v>
      </c>
      <c r="AI159" s="228">
        <f t="shared" si="495"/>
        <v>1</v>
      </c>
      <c r="AJ159" s="228">
        <f t="shared" si="496"/>
        <v>0</v>
      </c>
      <c r="AK159" s="228">
        <v>0</v>
      </c>
      <c r="AL159" s="228">
        <v>0</v>
      </c>
      <c r="AM159" s="228">
        <f t="shared" si="472"/>
        <v>-100</v>
      </c>
      <c r="AN159" s="228" cm="1">
        <f t="array" ref="AN159">IF(ISBLANK(G159), 1, IFERROR(MATCH(G159, INDEX(Kat,,1), 0), IFERROR(MATCH(Kat, INDEX(Use,,2), 0), MATCH(Kat, INDEX(Use,,3), 0))))</f>
        <v>1</v>
      </c>
      <c r="AO159" s="246"/>
      <c r="AP159" s="228" cm="1">
        <f t="array" ref="AP159">IF(W159&gt;0, INDEX(Kat, AN159,4), 0)</f>
        <v>0</v>
      </c>
      <c r="AQ159" s="228">
        <f t="shared" si="497"/>
        <v>0</v>
      </c>
      <c r="AR159" s="228" cm="1">
        <f t="array" ref="AR159">IF(X159&gt;0, INDEX(Kat, $AN159, 4+AQ159), 0)</f>
        <v>0</v>
      </c>
      <c r="AS159" s="228" cm="1">
        <f t="array" ref="AS159">IF(X159&gt;0, INDEX(Kat, $AN159, 9+AQ159), 0)</f>
        <v>0</v>
      </c>
      <c r="AT159" s="246"/>
      <c r="AU159" s="262"/>
      <c r="AV159" s="262"/>
      <c r="AW159" s="263"/>
      <c r="AX159" s="263"/>
      <c r="AY159" s="263"/>
      <c r="AZ159" s="263"/>
      <c r="BA159" s="263"/>
      <c r="BB159" s="263"/>
      <c r="BC159" s="263"/>
      <c r="BD159" s="263"/>
      <c r="BE159" s="263"/>
      <c r="BF159" s="263"/>
      <c r="BG159" s="263"/>
      <c r="BH159" s="246"/>
      <c r="BI159" s="228" cm="1">
        <f t="array" ref="BI159">INDEX(Use, $AH159, 4)</f>
        <v>7</v>
      </c>
      <c r="BJ159" s="228">
        <f t="shared" si="473"/>
        <v>32</v>
      </c>
      <c r="BK159" s="228">
        <f t="shared" si="305"/>
        <v>13</v>
      </c>
      <c r="BL159" s="228">
        <f t="shared" si="306"/>
        <v>0</v>
      </c>
      <c r="BM159" s="233" cm="1">
        <f t="array" ref="BM159">L159/IF($M159&gt;0, INDEX($AY$22:$BE$76, $M159+20, $AH159), 1)</f>
        <v>0</v>
      </c>
      <c r="BN159" s="229">
        <f t="shared" si="474"/>
        <v>0</v>
      </c>
      <c r="BO159" s="228">
        <v>35</v>
      </c>
      <c r="BP159" s="229">
        <f t="shared" si="475"/>
        <v>48</v>
      </c>
      <c r="BQ159" s="234">
        <f t="shared" si="476"/>
        <v>3.0748170731707316</v>
      </c>
      <c r="BR159" s="234" cm="1">
        <f t="array" ref="BR159">$BM159 * SUMPRODUCT(INDEX($AV$76:$AX$81,,$AI159),INDEX($AY$76:$BE$81,,$AH159), N($AU$76:$AU$81&gt;$AM159)) / BQ159 / 1000</f>
        <v>0</v>
      </c>
      <c r="BS159" s="231">
        <f t="shared" si="310"/>
        <v>30</v>
      </c>
      <c r="BT159" s="229">
        <f t="shared" si="477"/>
        <v>43</v>
      </c>
      <c r="BU159" s="234">
        <f t="shared" si="478"/>
        <v>3.5018750000000001</v>
      </c>
      <c r="BV159" s="234" cm="1">
        <f t="array" ref="BV159">$BM159 * IF($AH159&lt;=2,
SUMPRODUCT(INDEX($AV$71:$AX$75,,$AI159), INDEX($AY$71:$BE$75,,$AH159), 1 / ($BF$71:$BF$75*BU159 + (1-$BF$71:$BF$75)*BQ159), N($AU$71:$AU$75&gt;$AM159)),
SUMPRODUCT(INDEX($AV$66:$AX$75,,$AI159), INDEX($AY$66:$BE$75,,$AH159), 1 / ($BG$66:$BG$75*BU159 + (1-$BG$66:$BG$75)*BQ159), N($AU$66:$AU$75&gt;$AM159))
) / 1000</f>
        <v>0</v>
      </c>
      <c r="BW159" s="231">
        <f t="shared" si="313"/>
        <v>25</v>
      </c>
      <c r="BX159" s="229">
        <f t="shared" si="479"/>
        <v>38</v>
      </c>
      <c r="BY159" s="234">
        <f t="shared" si="480"/>
        <v>4.0666935483870965</v>
      </c>
      <c r="BZ159" s="234" cm="1">
        <f t="array" ref="BZ159">$BM159 * IF($AH159&lt;=2,
SUMPRODUCT(INDEX($AV$66:$AX$70,,$AI159), INDEX($AY$66:$BE$70,,$AH159), 1 / ($BF$66:$BF$70*BY159 + (1-$BF$66:$BF$70)*BU159), N($AU$66:$AU$70&gt;$AM159)),
SUMPRODUCT(INDEX($AV$56:$AX$65,,$AI159), INDEX($AY$56:$BE$65,,$AH159), 1 / ($BG$56:$BG$65*BY159 + (1-$BG$56:$BG$65)*BU159), N($AU$56:$AU$65&gt;$AM159))
) / 1000</f>
        <v>0</v>
      </c>
      <c r="CA159" s="231">
        <f t="shared" si="316"/>
        <v>20</v>
      </c>
      <c r="CB159" s="229">
        <f t="shared" si="481"/>
        <v>33</v>
      </c>
      <c r="CC159" s="234">
        <f t="shared" si="482"/>
        <v>4.8487499999999999</v>
      </c>
      <c r="CD159" s="234" cm="1">
        <f t="array" ref="CD159">$BM159 * IF($AH159&lt;=2,
SUMPRODUCT(INDEX($AV$61:$AX$65,,$AI159), INDEX($AY$61:$BE$65,,$AH159), 1 / ($BF$61:$BF$65*CC159 + (1-$BF$61:$BF$65)*BY159), N($AU$61:$AU$65&gt;$AM159)),
SUMPRODUCT(INDEX($AV$46:$AX$55,,$AI159), INDEX($AY$46:$BE$55,,$AH159), 1 / ($BG$46:$BG$55*CC159 + (1-$BG$46:$BG$55)*BY159), N($AU$46:$AU$55&gt;$AM159))
) / 1000</f>
        <v>0</v>
      </c>
      <c r="CE159" s="234" cm="1">
        <f t="array" ref="CE159">$BM159 * IF($AH159&lt;=2,
SUMPRODUCT(INDEX($AV$22:$AX$60,,$AI159), INDEX($AY$22:$BE$60,,$AH159), 1 / ($BF$22:$BF$60*CC159), N($AU$22:$AU$60&gt;$AM159)),
SUMPRODUCT(INDEX($AV$22:$AX$45,,$AI159), INDEX($AY$22:$BE$45,,$AH159), 1 / ($BG$22:$BG$45*CC159), N($AU$22:$AU$45&gt;$AM159))
) / 1000</f>
        <v>0</v>
      </c>
      <c r="CF159" s="229">
        <f t="shared" si="483"/>
        <v>0</v>
      </c>
      <c r="CG159" s="246"/>
      <c r="CH159" s="229">
        <f t="shared" si="484"/>
        <v>0</v>
      </c>
      <c r="CI159" s="228">
        <v>35</v>
      </c>
      <c r="CJ159" s="229">
        <f t="shared" si="485"/>
        <v>48</v>
      </c>
      <c r="CK159" s="234">
        <f t="shared" si="486"/>
        <v>3.0748170731707316</v>
      </c>
      <c r="CL159" s="234" cm="1">
        <f t="array" ref="CL159">$BM159 * SUMPRODUCT(INDEX($AV$76:$AX$81,,$AI159),INDEX($AY$76:$BE$81,,$AH159), N($AU$76:$AU$81&gt;$AM159)) / CK159 / 1000</f>
        <v>0</v>
      </c>
      <c r="CM159" s="231">
        <f t="shared" si="323"/>
        <v>30</v>
      </c>
      <c r="CN159" s="229">
        <f t="shared" si="487"/>
        <v>43</v>
      </c>
      <c r="CO159" s="234">
        <f t="shared" si="488"/>
        <v>3.5018750000000001</v>
      </c>
      <c r="CP159" s="234" cm="1">
        <f t="array" ref="CP159">$BM159 * IF($AH159&lt;=2,
SUMPRODUCT(INDEX($AV$71:$AX$75,,$AI159), INDEX($AY$71:$BE$75,,$AH159), 1 / ($BF$71:$BF$75*CO159 + (1-$BF$71:$BF$75)*CK159), N($AU$71:$AU$75&gt;$AM159)),
SUMPRODUCT(INDEX($AV$66:$AX$75,,$AI159), INDEX($AY$66:$BE$75,,$AH159), 1 / ($BG$66:$BG$75*CO159 + (1-$BG$66:$BG$75)*CK159), N($AU$66:$AU$75&gt;$AM159))
) / 1000</f>
        <v>0</v>
      </c>
      <c r="CQ159" s="231">
        <f t="shared" si="326"/>
        <v>25</v>
      </c>
      <c r="CR159" s="229">
        <f t="shared" si="489"/>
        <v>38</v>
      </c>
      <c r="CS159" s="234">
        <f t="shared" si="490"/>
        <v>4.0666935483870965</v>
      </c>
      <c r="CT159" s="234" cm="1">
        <f t="array" ref="CT159">$BM159 * IF($AH159&lt;=2,
SUMPRODUCT(INDEX($AV$66:$AX$70,,$AI159), INDEX($AY$66:$BE$70,,$AH159), 1 / ($BF$66:$BF$70*CS159 + (1-$BF$66:$BF$70)*CO159), N($AU$66:$AU$70&gt;$AM159)),
SUMPRODUCT(INDEX($AV$56:$AX$65,,$AI159), INDEX($AY$56:$BE$65,,$AH159), 1 / ($BG$56:$BG$65*CS159 + (1-$BG$56:$BG$65)*CO159), N($AU$56:$AU$65&gt;$AM159))
) / 1000</f>
        <v>0</v>
      </c>
      <c r="CU159" s="231">
        <f t="shared" si="329"/>
        <v>20</v>
      </c>
      <c r="CV159" s="229">
        <f t="shared" si="491"/>
        <v>33</v>
      </c>
      <c r="CW159" s="234">
        <f t="shared" si="492"/>
        <v>4.8487499999999999</v>
      </c>
      <c r="CX159" s="234" cm="1">
        <f t="array" ref="CX159">$BM159 * IF($AH159&lt;=2,
SUMPRODUCT(INDEX($AV$61:$AX$65,,$AI159), INDEX($AY$61:$BE$65,,$AH159), 1 / ($BF$61:$BF$65*CW159 + (1-$BF$61:$BF$65)*CS159), N($AU$61:$AU$65&gt;$AM159)),
SUMPRODUCT(INDEX($AV$46:$AX$55,,$AI159), INDEX($AY$46:$BE$55,,$AH159), 1 / ($BG$46:$BG$55*CW159 + (1-$BG$46:$BG$55)*CS159), N($AU$46:$AU$55&gt;$AM159))
) / 1000</f>
        <v>0</v>
      </c>
      <c r="CY159" s="234" cm="1">
        <f t="array" ref="CY159">$BM159 * IF($AH159&lt;=2,
SUMPRODUCT(INDEX($AV$22:$AX$60,,$AI159), INDEX($AY$22:$BE$60,,$AH159), 1 / ($BF$22:$BF$60*CW159), N($AU$22:$AU$60&gt;$AM159)),
SUMPRODUCT(INDEX($AV$22:$AX$45,,$AI159), INDEX($AY$22:$BE$45,,$AH159), 1 / ($BG$22:$BG$45*CW159), N($AU$22:$AU$45&gt;$AM159))
) / 1000</f>
        <v>0</v>
      </c>
      <c r="CZ159" s="229">
        <f t="shared" si="493"/>
        <v>0</v>
      </c>
      <c r="DA159" s="246"/>
    </row>
    <row r="160" spans="1:105" s="75" customFormat="1" ht="14.25" customHeight="1" x14ac:dyDescent="0.2">
      <c r="A160" s="230" t="b">
        <f t="shared" si="291"/>
        <v>0</v>
      </c>
      <c r="B160" s="253">
        <v>139</v>
      </c>
      <c r="C160" s="266"/>
      <c r="D160" s="266"/>
      <c r="E160" s="254"/>
      <c r="F160" s="255" t="str">
        <f>IF(ISBLANK(E160), "", VLOOKUP(E160, Z!$A$2:$C$4127, 3, FALSE))</f>
        <v/>
      </c>
      <c r="G160" s="256"/>
      <c r="H160" s="256"/>
      <c r="I160" s="256"/>
      <c r="J160" s="257"/>
      <c r="K160" s="258"/>
      <c r="L160" s="267"/>
      <c r="M160" s="268"/>
      <c r="N160" s="259" t="str" cm="1">
        <f t="array" ref="N160">IF($L160&gt;0, INDEX(Clean,1+AK160,$D$1), "")</f>
        <v/>
      </c>
      <c r="O160" s="260"/>
      <c r="P160" s="260"/>
      <c r="Q160" s="261"/>
      <c r="R160" s="264">
        <f t="shared" si="469"/>
        <v>0</v>
      </c>
      <c r="S160" s="259" t="str" cm="1">
        <f t="array" ref="S160">IF($L160&gt;0, INDEX(Clean,1+AL160,$D$1), "")</f>
        <v/>
      </c>
      <c r="T160" s="260"/>
      <c r="U160" s="260"/>
      <c r="V160" s="261"/>
      <c r="W160" s="267"/>
      <c r="X160" s="267"/>
      <c r="Y160" s="257"/>
      <c r="Z160" s="264">
        <f t="shared" si="470"/>
        <v>0</v>
      </c>
      <c r="AA160" s="269"/>
      <c r="AB160" s="266"/>
      <c r="AC160" s="254"/>
      <c r="AD160" s="255" t="str">
        <f>IF(ISBLANK(AC160), "", VLOOKUP(AC160, Z!$A$2:$C$4127, 3, FALSE))</f>
        <v/>
      </c>
      <c r="AE160" s="270"/>
      <c r="AF160" s="265">
        <f t="shared" si="471"/>
        <v>0</v>
      </c>
      <c r="AG160" s="246"/>
      <c r="AH160" s="228">
        <f t="shared" si="494"/>
        <v>1</v>
      </c>
      <c r="AI160" s="228">
        <f t="shared" si="495"/>
        <v>1</v>
      </c>
      <c r="AJ160" s="228">
        <f t="shared" si="496"/>
        <v>0</v>
      </c>
      <c r="AK160" s="228">
        <v>0</v>
      </c>
      <c r="AL160" s="228">
        <v>0</v>
      </c>
      <c r="AM160" s="228">
        <f t="shared" si="472"/>
        <v>-100</v>
      </c>
      <c r="AN160" s="228" cm="1">
        <f t="array" ref="AN160">IF(ISBLANK(G160), 1, IFERROR(MATCH(G160, INDEX(Kat,,1), 0), IFERROR(MATCH(Kat, INDEX(Use,,2), 0), MATCH(Kat, INDEX(Use,,3), 0))))</f>
        <v>1</v>
      </c>
      <c r="AO160" s="246"/>
      <c r="AP160" s="228" cm="1">
        <f t="array" ref="AP160">IF(W160&gt;0, INDEX(Kat, AN160,4), 0)</f>
        <v>0</v>
      </c>
      <c r="AQ160" s="228">
        <f t="shared" si="497"/>
        <v>0</v>
      </c>
      <c r="AR160" s="228" cm="1">
        <f t="array" ref="AR160">IF(X160&gt;0, INDEX(Kat, $AN160, 4+AQ160), 0)</f>
        <v>0</v>
      </c>
      <c r="AS160" s="228" cm="1">
        <f t="array" ref="AS160">IF(X160&gt;0, INDEX(Kat, $AN160, 9+AQ160), 0)</f>
        <v>0</v>
      </c>
      <c r="AT160" s="246"/>
      <c r="AU160" s="262"/>
      <c r="AV160" s="262"/>
      <c r="AW160" s="263"/>
      <c r="AX160" s="263"/>
      <c r="AY160" s="263"/>
      <c r="AZ160" s="263"/>
      <c r="BA160" s="263"/>
      <c r="BB160" s="263"/>
      <c r="BC160" s="263"/>
      <c r="BD160" s="263"/>
      <c r="BE160" s="263"/>
      <c r="BF160" s="263"/>
      <c r="BG160" s="263"/>
      <c r="BH160" s="246"/>
      <c r="BI160" s="228" cm="1">
        <f t="array" ref="BI160">INDEX(Use, $AH160, 4)</f>
        <v>7</v>
      </c>
      <c r="BJ160" s="228">
        <f t="shared" si="473"/>
        <v>32</v>
      </c>
      <c r="BK160" s="228">
        <f t="shared" si="305"/>
        <v>13</v>
      </c>
      <c r="BL160" s="228">
        <f t="shared" si="306"/>
        <v>0</v>
      </c>
      <c r="BM160" s="233" cm="1">
        <f t="array" ref="BM160">L160/IF($M160&gt;0, INDEX($AY$22:$BE$76, $M160+20, $AH160), 1)</f>
        <v>0</v>
      </c>
      <c r="BN160" s="229">
        <f t="shared" si="474"/>
        <v>0</v>
      </c>
      <c r="BO160" s="228">
        <v>35</v>
      </c>
      <c r="BP160" s="229">
        <f t="shared" si="475"/>
        <v>48</v>
      </c>
      <c r="BQ160" s="234">
        <f t="shared" si="476"/>
        <v>3.0748170731707316</v>
      </c>
      <c r="BR160" s="234" cm="1">
        <f t="array" ref="BR160">$BM160 * SUMPRODUCT(INDEX($AV$76:$AX$81,,$AI160),INDEX($AY$76:$BE$81,,$AH160), N($AU$76:$AU$81&gt;$AM160)) / BQ160 / 1000</f>
        <v>0</v>
      </c>
      <c r="BS160" s="231">
        <f t="shared" si="310"/>
        <v>30</v>
      </c>
      <c r="BT160" s="229">
        <f t="shared" si="477"/>
        <v>43</v>
      </c>
      <c r="BU160" s="234">
        <f t="shared" si="478"/>
        <v>3.5018750000000001</v>
      </c>
      <c r="BV160" s="234" cm="1">
        <f t="array" ref="BV160">$BM160 * IF($AH160&lt;=2,
SUMPRODUCT(INDEX($AV$71:$AX$75,,$AI160), INDEX($AY$71:$BE$75,,$AH160), 1 / ($BF$71:$BF$75*BU160 + (1-$BF$71:$BF$75)*BQ160), N($AU$71:$AU$75&gt;$AM160)),
SUMPRODUCT(INDEX($AV$66:$AX$75,,$AI160), INDEX($AY$66:$BE$75,,$AH160), 1 / ($BG$66:$BG$75*BU160 + (1-$BG$66:$BG$75)*BQ160), N($AU$66:$AU$75&gt;$AM160))
) / 1000</f>
        <v>0</v>
      </c>
      <c r="BW160" s="231">
        <f t="shared" si="313"/>
        <v>25</v>
      </c>
      <c r="BX160" s="229">
        <f t="shared" si="479"/>
        <v>38</v>
      </c>
      <c r="BY160" s="234">
        <f t="shared" si="480"/>
        <v>4.0666935483870965</v>
      </c>
      <c r="BZ160" s="234" cm="1">
        <f t="array" ref="BZ160">$BM160 * IF($AH160&lt;=2,
SUMPRODUCT(INDEX($AV$66:$AX$70,,$AI160), INDEX($AY$66:$BE$70,,$AH160), 1 / ($BF$66:$BF$70*BY160 + (1-$BF$66:$BF$70)*BU160), N($AU$66:$AU$70&gt;$AM160)),
SUMPRODUCT(INDEX($AV$56:$AX$65,,$AI160), INDEX($AY$56:$BE$65,,$AH160), 1 / ($BG$56:$BG$65*BY160 + (1-$BG$56:$BG$65)*BU160), N($AU$56:$AU$65&gt;$AM160))
) / 1000</f>
        <v>0</v>
      </c>
      <c r="CA160" s="231">
        <f t="shared" si="316"/>
        <v>20</v>
      </c>
      <c r="CB160" s="229">
        <f t="shared" si="481"/>
        <v>33</v>
      </c>
      <c r="CC160" s="234">
        <f t="shared" si="482"/>
        <v>4.8487499999999999</v>
      </c>
      <c r="CD160" s="234" cm="1">
        <f t="array" ref="CD160">$BM160 * IF($AH160&lt;=2,
SUMPRODUCT(INDEX($AV$61:$AX$65,,$AI160), INDEX($AY$61:$BE$65,,$AH160), 1 / ($BF$61:$BF$65*CC160 + (1-$BF$61:$BF$65)*BY160), N($AU$61:$AU$65&gt;$AM160)),
SUMPRODUCT(INDEX($AV$46:$AX$55,,$AI160), INDEX($AY$46:$BE$55,,$AH160), 1 / ($BG$46:$BG$55*CC160 + (1-$BG$46:$BG$55)*BY160), N($AU$46:$AU$55&gt;$AM160))
) / 1000</f>
        <v>0</v>
      </c>
      <c r="CE160" s="234" cm="1">
        <f t="array" ref="CE160">$BM160 * IF($AH160&lt;=2,
SUMPRODUCT(INDEX($AV$22:$AX$60,,$AI160), INDEX($AY$22:$BE$60,,$AH160), 1 / ($BF$22:$BF$60*CC160), N($AU$22:$AU$60&gt;$AM160)),
SUMPRODUCT(INDEX($AV$22:$AX$45,,$AI160), INDEX($AY$22:$BE$45,,$AH160), 1 / ($BG$22:$BG$45*CC160), N($AU$22:$AU$45&gt;$AM160))
) / 1000</f>
        <v>0</v>
      </c>
      <c r="CF160" s="229">
        <f t="shared" si="483"/>
        <v>0</v>
      </c>
      <c r="CG160" s="246"/>
      <c r="CH160" s="229">
        <f t="shared" si="484"/>
        <v>0</v>
      </c>
      <c r="CI160" s="228">
        <v>35</v>
      </c>
      <c r="CJ160" s="229">
        <f t="shared" si="485"/>
        <v>48</v>
      </c>
      <c r="CK160" s="234">
        <f t="shared" si="486"/>
        <v>3.0748170731707316</v>
      </c>
      <c r="CL160" s="234" cm="1">
        <f t="array" ref="CL160">$BM160 * SUMPRODUCT(INDEX($AV$76:$AX$81,,$AI160),INDEX($AY$76:$BE$81,,$AH160), N($AU$76:$AU$81&gt;$AM160)) / CK160 / 1000</f>
        <v>0</v>
      </c>
      <c r="CM160" s="231">
        <f t="shared" si="323"/>
        <v>30</v>
      </c>
      <c r="CN160" s="229">
        <f t="shared" si="487"/>
        <v>43</v>
      </c>
      <c r="CO160" s="234">
        <f t="shared" si="488"/>
        <v>3.5018750000000001</v>
      </c>
      <c r="CP160" s="234" cm="1">
        <f t="array" ref="CP160">$BM160 * IF($AH160&lt;=2,
SUMPRODUCT(INDEX($AV$71:$AX$75,,$AI160), INDEX($AY$71:$BE$75,,$AH160), 1 / ($BF$71:$BF$75*CO160 + (1-$BF$71:$BF$75)*CK160), N($AU$71:$AU$75&gt;$AM160)),
SUMPRODUCT(INDEX($AV$66:$AX$75,,$AI160), INDEX($AY$66:$BE$75,,$AH160), 1 / ($BG$66:$BG$75*CO160 + (1-$BG$66:$BG$75)*CK160), N($AU$66:$AU$75&gt;$AM160))
) / 1000</f>
        <v>0</v>
      </c>
      <c r="CQ160" s="231">
        <f t="shared" si="326"/>
        <v>25</v>
      </c>
      <c r="CR160" s="229">
        <f t="shared" si="489"/>
        <v>38</v>
      </c>
      <c r="CS160" s="234">
        <f t="shared" si="490"/>
        <v>4.0666935483870965</v>
      </c>
      <c r="CT160" s="234" cm="1">
        <f t="array" ref="CT160">$BM160 * IF($AH160&lt;=2,
SUMPRODUCT(INDEX($AV$66:$AX$70,,$AI160), INDEX($AY$66:$BE$70,,$AH160), 1 / ($BF$66:$BF$70*CS160 + (1-$BF$66:$BF$70)*CO160), N($AU$66:$AU$70&gt;$AM160)),
SUMPRODUCT(INDEX($AV$56:$AX$65,,$AI160), INDEX($AY$56:$BE$65,,$AH160), 1 / ($BG$56:$BG$65*CS160 + (1-$BG$56:$BG$65)*CO160), N($AU$56:$AU$65&gt;$AM160))
) / 1000</f>
        <v>0</v>
      </c>
      <c r="CU160" s="231">
        <f t="shared" si="329"/>
        <v>20</v>
      </c>
      <c r="CV160" s="229">
        <f t="shared" si="491"/>
        <v>33</v>
      </c>
      <c r="CW160" s="234">
        <f t="shared" si="492"/>
        <v>4.8487499999999999</v>
      </c>
      <c r="CX160" s="234" cm="1">
        <f t="array" ref="CX160">$BM160 * IF($AH160&lt;=2,
SUMPRODUCT(INDEX($AV$61:$AX$65,,$AI160), INDEX($AY$61:$BE$65,,$AH160), 1 / ($BF$61:$BF$65*CW160 + (1-$BF$61:$BF$65)*CS160), N($AU$61:$AU$65&gt;$AM160)),
SUMPRODUCT(INDEX($AV$46:$AX$55,,$AI160), INDEX($AY$46:$BE$55,,$AH160), 1 / ($BG$46:$BG$55*CW160 + (1-$BG$46:$BG$55)*CS160), N($AU$46:$AU$55&gt;$AM160))
) / 1000</f>
        <v>0</v>
      </c>
      <c r="CY160" s="234" cm="1">
        <f t="array" ref="CY160">$BM160 * IF($AH160&lt;=2,
SUMPRODUCT(INDEX($AV$22:$AX$60,,$AI160), INDEX($AY$22:$BE$60,,$AH160), 1 / ($BF$22:$BF$60*CW160), N($AU$22:$AU$60&gt;$AM160)),
SUMPRODUCT(INDEX($AV$22:$AX$45,,$AI160), INDEX($AY$22:$BE$45,,$AH160), 1 / ($BG$22:$BG$45*CW160), N($AU$22:$AU$45&gt;$AM160))
) / 1000</f>
        <v>0</v>
      </c>
      <c r="CZ160" s="229">
        <f t="shared" si="493"/>
        <v>0</v>
      </c>
      <c r="DA160" s="246"/>
    </row>
    <row r="161" spans="1:105" s="75" customFormat="1" ht="14.25" customHeight="1" x14ac:dyDescent="0.2">
      <c r="A161" s="230" t="b">
        <f t="shared" si="291"/>
        <v>0</v>
      </c>
      <c r="B161" s="253">
        <v>140</v>
      </c>
      <c r="C161" s="266"/>
      <c r="D161" s="266"/>
      <c r="E161" s="254"/>
      <c r="F161" s="255" t="str">
        <f>IF(ISBLANK(E161), "", VLOOKUP(E161, Z!$A$2:$C$4127, 3, FALSE))</f>
        <v/>
      </c>
      <c r="G161" s="256"/>
      <c r="H161" s="256"/>
      <c r="I161" s="256"/>
      <c r="J161" s="257"/>
      <c r="K161" s="258"/>
      <c r="L161" s="267"/>
      <c r="M161" s="268"/>
      <c r="N161" s="259" t="str" cm="1">
        <f t="array" ref="N161">IF($L161&gt;0, INDEX(Clean,1+AK161,$D$1), "")</f>
        <v/>
      </c>
      <c r="O161" s="260"/>
      <c r="P161" s="260"/>
      <c r="Q161" s="261"/>
      <c r="R161" s="264">
        <f t="shared" si="469"/>
        <v>0</v>
      </c>
      <c r="S161" s="259" t="str" cm="1">
        <f t="array" ref="S161">IF($L161&gt;0, INDEX(Clean,1+AL161,$D$1), "")</f>
        <v/>
      </c>
      <c r="T161" s="260"/>
      <c r="U161" s="260"/>
      <c r="V161" s="261"/>
      <c r="W161" s="267"/>
      <c r="X161" s="267"/>
      <c r="Y161" s="257"/>
      <c r="Z161" s="264">
        <f t="shared" si="470"/>
        <v>0</v>
      </c>
      <c r="AA161" s="269"/>
      <c r="AB161" s="266"/>
      <c r="AC161" s="254"/>
      <c r="AD161" s="255" t="str">
        <f>IF(ISBLANK(AC161), "", VLOOKUP(AC161, Z!$A$2:$C$4127, 3, FALSE))</f>
        <v/>
      </c>
      <c r="AE161" s="270"/>
      <c r="AF161" s="265">
        <f t="shared" si="471"/>
        <v>0</v>
      </c>
      <c r="AG161" s="246"/>
      <c r="AH161" s="228">
        <f t="shared" si="494"/>
        <v>1</v>
      </c>
      <c r="AI161" s="228">
        <f t="shared" si="495"/>
        <v>1</v>
      </c>
      <c r="AJ161" s="228">
        <f t="shared" si="496"/>
        <v>0</v>
      </c>
      <c r="AK161" s="228">
        <v>0</v>
      </c>
      <c r="AL161" s="228">
        <v>0</v>
      </c>
      <c r="AM161" s="228">
        <f t="shared" si="472"/>
        <v>-100</v>
      </c>
      <c r="AN161" s="228" cm="1">
        <f t="array" ref="AN161">IF(ISBLANK(G161), 1, IFERROR(MATCH(G161, INDEX(Kat,,1), 0), IFERROR(MATCH(Kat, INDEX(Use,,2), 0), MATCH(Kat, INDEX(Use,,3), 0))))</f>
        <v>1</v>
      </c>
      <c r="AO161" s="246"/>
      <c r="AP161" s="228" cm="1">
        <f t="array" ref="AP161">IF(W161&gt;0, INDEX(Kat, AN161,4), 0)</f>
        <v>0</v>
      </c>
      <c r="AQ161" s="228">
        <f t="shared" si="497"/>
        <v>0</v>
      </c>
      <c r="AR161" s="228" cm="1">
        <f t="array" ref="AR161">IF(X161&gt;0, INDEX(Kat, $AN161, 4+AQ161), 0)</f>
        <v>0</v>
      </c>
      <c r="AS161" s="228" cm="1">
        <f t="array" ref="AS161">IF(X161&gt;0, INDEX(Kat, $AN161, 9+AQ161), 0)</f>
        <v>0</v>
      </c>
      <c r="AT161" s="246"/>
      <c r="AU161" s="262"/>
      <c r="AV161" s="262"/>
      <c r="AW161" s="263"/>
      <c r="AX161" s="263"/>
      <c r="AY161" s="263"/>
      <c r="AZ161" s="263"/>
      <c r="BA161" s="263"/>
      <c r="BB161" s="263"/>
      <c r="BC161" s="263"/>
      <c r="BD161" s="263"/>
      <c r="BE161" s="263"/>
      <c r="BF161" s="263"/>
      <c r="BG161" s="263"/>
      <c r="BH161" s="246"/>
      <c r="BI161" s="228" cm="1">
        <f t="array" ref="BI161">INDEX(Use, $AH161, 4)</f>
        <v>7</v>
      </c>
      <c r="BJ161" s="228">
        <f t="shared" si="473"/>
        <v>32</v>
      </c>
      <c r="BK161" s="228">
        <f t="shared" si="305"/>
        <v>13</v>
      </c>
      <c r="BL161" s="228">
        <f t="shared" si="306"/>
        <v>0</v>
      </c>
      <c r="BM161" s="233" cm="1">
        <f t="array" ref="BM161">L161/IF($M161&gt;0, INDEX($AY$22:$BE$76, $M161+20, $AH161), 1)</f>
        <v>0</v>
      </c>
      <c r="BN161" s="229">
        <f t="shared" si="474"/>
        <v>0</v>
      </c>
      <c r="BO161" s="228">
        <v>35</v>
      </c>
      <c r="BP161" s="229">
        <f t="shared" si="475"/>
        <v>48</v>
      </c>
      <c r="BQ161" s="234">
        <f t="shared" si="476"/>
        <v>3.0748170731707316</v>
      </c>
      <c r="BR161" s="234" cm="1">
        <f t="array" ref="BR161">$BM161 * SUMPRODUCT(INDEX($AV$76:$AX$81,,$AI161),INDEX($AY$76:$BE$81,,$AH161), N($AU$76:$AU$81&gt;$AM161)) / BQ161 / 1000</f>
        <v>0</v>
      </c>
      <c r="BS161" s="231">
        <f t="shared" si="310"/>
        <v>30</v>
      </c>
      <c r="BT161" s="229">
        <f t="shared" si="477"/>
        <v>43</v>
      </c>
      <c r="BU161" s="234">
        <f t="shared" si="478"/>
        <v>3.5018750000000001</v>
      </c>
      <c r="BV161" s="234" cm="1">
        <f t="array" ref="BV161">$BM161 * IF($AH161&lt;=2,
SUMPRODUCT(INDEX($AV$71:$AX$75,,$AI161), INDEX($AY$71:$BE$75,,$AH161), 1 / ($BF$71:$BF$75*BU161 + (1-$BF$71:$BF$75)*BQ161), N($AU$71:$AU$75&gt;$AM161)),
SUMPRODUCT(INDEX($AV$66:$AX$75,,$AI161), INDEX($AY$66:$BE$75,,$AH161), 1 / ($BG$66:$BG$75*BU161 + (1-$BG$66:$BG$75)*BQ161), N($AU$66:$AU$75&gt;$AM161))
) / 1000</f>
        <v>0</v>
      </c>
      <c r="BW161" s="231">
        <f t="shared" si="313"/>
        <v>25</v>
      </c>
      <c r="BX161" s="229">
        <f t="shared" si="479"/>
        <v>38</v>
      </c>
      <c r="BY161" s="234">
        <f t="shared" si="480"/>
        <v>4.0666935483870965</v>
      </c>
      <c r="BZ161" s="234" cm="1">
        <f t="array" ref="BZ161">$BM161 * IF($AH161&lt;=2,
SUMPRODUCT(INDEX($AV$66:$AX$70,,$AI161), INDEX($AY$66:$BE$70,,$AH161), 1 / ($BF$66:$BF$70*BY161 + (1-$BF$66:$BF$70)*BU161), N($AU$66:$AU$70&gt;$AM161)),
SUMPRODUCT(INDEX($AV$56:$AX$65,,$AI161), INDEX($AY$56:$BE$65,,$AH161), 1 / ($BG$56:$BG$65*BY161 + (1-$BG$56:$BG$65)*BU161), N($AU$56:$AU$65&gt;$AM161))
) / 1000</f>
        <v>0</v>
      </c>
      <c r="CA161" s="231">
        <f t="shared" si="316"/>
        <v>20</v>
      </c>
      <c r="CB161" s="229">
        <f t="shared" si="481"/>
        <v>33</v>
      </c>
      <c r="CC161" s="234">
        <f t="shared" si="482"/>
        <v>4.8487499999999999</v>
      </c>
      <c r="CD161" s="234" cm="1">
        <f t="array" ref="CD161">$BM161 * IF($AH161&lt;=2,
SUMPRODUCT(INDEX($AV$61:$AX$65,,$AI161), INDEX($AY$61:$BE$65,,$AH161), 1 / ($BF$61:$BF$65*CC161 + (1-$BF$61:$BF$65)*BY161), N($AU$61:$AU$65&gt;$AM161)),
SUMPRODUCT(INDEX($AV$46:$AX$55,,$AI161), INDEX($AY$46:$BE$55,,$AH161), 1 / ($BG$46:$BG$55*CC161 + (1-$BG$46:$BG$55)*BY161), N($AU$46:$AU$55&gt;$AM161))
) / 1000</f>
        <v>0</v>
      </c>
      <c r="CE161" s="234" cm="1">
        <f t="array" ref="CE161">$BM161 * IF($AH161&lt;=2,
SUMPRODUCT(INDEX($AV$22:$AX$60,,$AI161), INDEX($AY$22:$BE$60,,$AH161), 1 / ($BF$22:$BF$60*CC161), N($AU$22:$AU$60&gt;$AM161)),
SUMPRODUCT(INDEX($AV$22:$AX$45,,$AI161), INDEX($AY$22:$BE$45,,$AH161), 1 / ($BG$22:$BG$45*CC161), N($AU$22:$AU$45&gt;$AM161))
) / 1000</f>
        <v>0</v>
      </c>
      <c r="CF161" s="229">
        <f t="shared" si="483"/>
        <v>0</v>
      </c>
      <c r="CG161" s="246"/>
      <c r="CH161" s="229">
        <f t="shared" si="484"/>
        <v>0</v>
      </c>
      <c r="CI161" s="228">
        <v>35</v>
      </c>
      <c r="CJ161" s="229">
        <f t="shared" si="485"/>
        <v>48</v>
      </c>
      <c r="CK161" s="234">
        <f t="shared" si="486"/>
        <v>3.0748170731707316</v>
      </c>
      <c r="CL161" s="234" cm="1">
        <f t="array" ref="CL161">$BM161 * SUMPRODUCT(INDEX($AV$76:$AX$81,,$AI161),INDEX($AY$76:$BE$81,,$AH161), N($AU$76:$AU$81&gt;$AM161)) / CK161 / 1000</f>
        <v>0</v>
      </c>
      <c r="CM161" s="231">
        <f t="shared" si="323"/>
        <v>30</v>
      </c>
      <c r="CN161" s="229">
        <f t="shared" si="487"/>
        <v>43</v>
      </c>
      <c r="CO161" s="234">
        <f t="shared" si="488"/>
        <v>3.5018750000000001</v>
      </c>
      <c r="CP161" s="234" cm="1">
        <f t="array" ref="CP161">$BM161 * IF($AH161&lt;=2,
SUMPRODUCT(INDEX($AV$71:$AX$75,,$AI161), INDEX($AY$71:$BE$75,,$AH161), 1 / ($BF$71:$BF$75*CO161 + (1-$BF$71:$BF$75)*CK161), N($AU$71:$AU$75&gt;$AM161)),
SUMPRODUCT(INDEX($AV$66:$AX$75,,$AI161), INDEX($AY$66:$BE$75,,$AH161), 1 / ($BG$66:$BG$75*CO161 + (1-$BG$66:$BG$75)*CK161), N($AU$66:$AU$75&gt;$AM161))
) / 1000</f>
        <v>0</v>
      </c>
      <c r="CQ161" s="231">
        <f t="shared" si="326"/>
        <v>25</v>
      </c>
      <c r="CR161" s="229">
        <f t="shared" si="489"/>
        <v>38</v>
      </c>
      <c r="CS161" s="234">
        <f t="shared" si="490"/>
        <v>4.0666935483870965</v>
      </c>
      <c r="CT161" s="234" cm="1">
        <f t="array" ref="CT161">$BM161 * IF($AH161&lt;=2,
SUMPRODUCT(INDEX($AV$66:$AX$70,,$AI161), INDEX($AY$66:$BE$70,,$AH161), 1 / ($BF$66:$BF$70*CS161 + (1-$BF$66:$BF$70)*CO161), N($AU$66:$AU$70&gt;$AM161)),
SUMPRODUCT(INDEX($AV$56:$AX$65,,$AI161), INDEX($AY$56:$BE$65,,$AH161), 1 / ($BG$56:$BG$65*CS161 + (1-$BG$56:$BG$65)*CO161), N($AU$56:$AU$65&gt;$AM161))
) / 1000</f>
        <v>0</v>
      </c>
      <c r="CU161" s="231">
        <f t="shared" si="329"/>
        <v>20</v>
      </c>
      <c r="CV161" s="229">
        <f t="shared" si="491"/>
        <v>33</v>
      </c>
      <c r="CW161" s="234">
        <f t="shared" si="492"/>
        <v>4.8487499999999999</v>
      </c>
      <c r="CX161" s="234" cm="1">
        <f t="array" ref="CX161">$BM161 * IF($AH161&lt;=2,
SUMPRODUCT(INDEX($AV$61:$AX$65,,$AI161), INDEX($AY$61:$BE$65,,$AH161), 1 / ($BF$61:$BF$65*CW161 + (1-$BF$61:$BF$65)*CS161), N($AU$61:$AU$65&gt;$AM161)),
SUMPRODUCT(INDEX($AV$46:$AX$55,,$AI161), INDEX($AY$46:$BE$55,,$AH161), 1 / ($BG$46:$BG$55*CW161 + (1-$BG$46:$BG$55)*CS161), N($AU$46:$AU$55&gt;$AM161))
) / 1000</f>
        <v>0</v>
      </c>
      <c r="CY161" s="234" cm="1">
        <f t="array" ref="CY161">$BM161 * IF($AH161&lt;=2,
SUMPRODUCT(INDEX($AV$22:$AX$60,,$AI161), INDEX($AY$22:$BE$60,,$AH161), 1 / ($BF$22:$BF$60*CW161), N($AU$22:$AU$60&gt;$AM161)),
SUMPRODUCT(INDEX($AV$22:$AX$45,,$AI161), INDEX($AY$22:$BE$45,,$AH161), 1 / ($BG$22:$BG$45*CW161), N($AU$22:$AU$45&gt;$AM161))
) / 1000</f>
        <v>0</v>
      </c>
      <c r="CZ161" s="229">
        <f t="shared" si="493"/>
        <v>0</v>
      </c>
      <c r="DA161" s="246"/>
    </row>
    <row r="162" spans="1:105" s="75" customFormat="1" ht="14.25" customHeight="1" x14ac:dyDescent="0.2">
      <c r="A162" s="230" t="b">
        <f t="shared" si="291"/>
        <v>0</v>
      </c>
      <c r="B162" s="253">
        <v>141</v>
      </c>
      <c r="C162" s="266"/>
      <c r="D162" s="266"/>
      <c r="E162" s="254"/>
      <c r="F162" s="255" t="str">
        <f>IF(ISBLANK(E162), "", VLOOKUP(E162, Z!$A$2:$C$4127, 3, FALSE))</f>
        <v/>
      </c>
      <c r="G162" s="256"/>
      <c r="H162" s="256"/>
      <c r="I162" s="256"/>
      <c r="J162" s="257"/>
      <c r="K162" s="258"/>
      <c r="L162" s="267"/>
      <c r="M162" s="268"/>
      <c r="N162" s="259" t="str" cm="1">
        <f t="array" ref="N162">IF($L162&gt;0, INDEX(Clean,1+AK162,$D$1), "")</f>
        <v/>
      </c>
      <c r="O162" s="260"/>
      <c r="P162" s="260"/>
      <c r="Q162" s="261"/>
      <c r="R162" s="264">
        <f t="shared" si="469"/>
        <v>0</v>
      </c>
      <c r="S162" s="259" t="str" cm="1">
        <f t="array" ref="S162">IF($L162&gt;0, INDEX(Clean,1+AL162,$D$1), "")</f>
        <v/>
      </c>
      <c r="T162" s="260"/>
      <c r="U162" s="260"/>
      <c r="V162" s="261"/>
      <c r="W162" s="267"/>
      <c r="X162" s="267"/>
      <c r="Y162" s="257"/>
      <c r="Z162" s="264">
        <f t="shared" si="470"/>
        <v>0</v>
      </c>
      <c r="AA162" s="269"/>
      <c r="AB162" s="266"/>
      <c r="AC162" s="254"/>
      <c r="AD162" s="255" t="str">
        <f>IF(ISBLANK(AC162), "", VLOOKUP(AC162, Z!$A$2:$C$4127, 3, FALSE))</f>
        <v/>
      </c>
      <c r="AE162" s="270"/>
      <c r="AF162" s="265">
        <f t="shared" si="471"/>
        <v>0</v>
      </c>
      <c r="AG162" s="246"/>
      <c r="AH162" s="228">
        <f t="shared" si="494"/>
        <v>1</v>
      </c>
      <c r="AI162" s="228">
        <f t="shared" si="495"/>
        <v>1</v>
      </c>
      <c r="AJ162" s="228">
        <f t="shared" si="496"/>
        <v>0</v>
      </c>
      <c r="AK162" s="228">
        <v>0</v>
      </c>
      <c r="AL162" s="228">
        <v>0</v>
      </c>
      <c r="AM162" s="228">
        <f t="shared" si="472"/>
        <v>-100</v>
      </c>
      <c r="AN162" s="228" cm="1">
        <f t="array" ref="AN162">IF(ISBLANK(G162), 1, IFERROR(MATCH(G162, INDEX(Kat,,1), 0), IFERROR(MATCH(Kat, INDEX(Use,,2), 0), MATCH(Kat, INDEX(Use,,3), 0))))</f>
        <v>1</v>
      </c>
      <c r="AO162" s="246"/>
      <c r="AP162" s="228" cm="1">
        <f t="array" ref="AP162">IF(W162&gt;0, INDEX(Kat, AN162,4), 0)</f>
        <v>0</v>
      </c>
      <c r="AQ162" s="228">
        <f t="shared" si="497"/>
        <v>0</v>
      </c>
      <c r="AR162" s="228" cm="1">
        <f t="array" ref="AR162">IF(X162&gt;0, INDEX(Kat, $AN162, 4+AQ162), 0)</f>
        <v>0</v>
      </c>
      <c r="AS162" s="228" cm="1">
        <f t="array" ref="AS162">IF(X162&gt;0, INDEX(Kat, $AN162, 9+AQ162), 0)</f>
        <v>0</v>
      </c>
      <c r="AT162" s="246"/>
      <c r="AU162" s="262"/>
      <c r="AV162" s="262"/>
      <c r="AW162" s="263"/>
      <c r="AX162" s="263"/>
      <c r="AY162" s="263"/>
      <c r="AZ162" s="263"/>
      <c r="BA162" s="263"/>
      <c r="BB162" s="263"/>
      <c r="BC162" s="263"/>
      <c r="BD162" s="263"/>
      <c r="BE162" s="263"/>
      <c r="BF162" s="263"/>
      <c r="BG162" s="263"/>
      <c r="BH162" s="246"/>
      <c r="BI162" s="228" cm="1">
        <f t="array" ref="BI162">INDEX(Use, $AH162, 4)</f>
        <v>7</v>
      </c>
      <c r="BJ162" s="228">
        <f t="shared" si="473"/>
        <v>32</v>
      </c>
      <c r="BK162" s="228">
        <f t="shared" si="305"/>
        <v>13</v>
      </c>
      <c r="BL162" s="228">
        <f t="shared" si="306"/>
        <v>0</v>
      </c>
      <c r="BM162" s="233" cm="1">
        <f t="array" ref="BM162">L162/IF($M162&gt;0, INDEX($AY$22:$BE$76, $M162+20, $AH162), 1)</f>
        <v>0</v>
      </c>
      <c r="BN162" s="229">
        <f t="shared" si="474"/>
        <v>0</v>
      </c>
      <c r="BO162" s="228">
        <v>35</v>
      </c>
      <c r="BP162" s="229">
        <f t="shared" si="475"/>
        <v>48</v>
      </c>
      <c r="BQ162" s="234">
        <f t="shared" si="476"/>
        <v>3.0748170731707316</v>
      </c>
      <c r="BR162" s="234" cm="1">
        <f t="array" ref="BR162">$BM162 * SUMPRODUCT(INDEX($AV$76:$AX$81,,$AI162),INDEX($AY$76:$BE$81,,$AH162), N($AU$76:$AU$81&gt;$AM162)) / BQ162 / 1000</f>
        <v>0</v>
      </c>
      <c r="BS162" s="231">
        <f t="shared" si="310"/>
        <v>30</v>
      </c>
      <c r="BT162" s="229">
        <f t="shared" si="477"/>
        <v>43</v>
      </c>
      <c r="BU162" s="234">
        <f t="shared" si="478"/>
        <v>3.5018750000000001</v>
      </c>
      <c r="BV162" s="234" cm="1">
        <f t="array" ref="BV162">$BM162 * IF($AH162&lt;=2,
SUMPRODUCT(INDEX($AV$71:$AX$75,,$AI162), INDEX($AY$71:$BE$75,,$AH162), 1 / ($BF$71:$BF$75*BU162 + (1-$BF$71:$BF$75)*BQ162), N($AU$71:$AU$75&gt;$AM162)),
SUMPRODUCT(INDEX($AV$66:$AX$75,,$AI162), INDEX($AY$66:$BE$75,,$AH162), 1 / ($BG$66:$BG$75*BU162 + (1-$BG$66:$BG$75)*BQ162), N($AU$66:$AU$75&gt;$AM162))
) / 1000</f>
        <v>0</v>
      </c>
      <c r="BW162" s="231">
        <f t="shared" si="313"/>
        <v>25</v>
      </c>
      <c r="BX162" s="229">
        <f t="shared" si="479"/>
        <v>38</v>
      </c>
      <c r="BY162" s="234">
        <f t="shared" si="480"/>
        <v>4.0666935483870965</v>
      </c>
      <c r="BZ162" s="234" cm="1">
        <f t="array" ref="BZ162">$BM162 * IF($AH162&lt;=2,
SUMPRODUCT(INDEX($AV$66:$AX$70,,$AI162), INDEX($AY$66:$BE$70,,$AH162), 1 / ($BF$66:$BF$70*BY162 + (1-$BF$66:$BF$70)*BU162), N($AU$66:$AU$70&gt;$AM162)),
SUMPRODUCT(INDEX($AV$56:$AX$65,,$AI162), INDEX($AY$56:$BE$65,,$AH162), 1 / ($BG$56:$BG$65*BY162 + (1-$BG$56:$BG$65)*BU162), N($AU$56:$AU$65&gt;$AM162))
) / 1000</f>
        <v>0</v>
      </c>
      <c r="CA162" s="231">
        <f t="shared" si="316"/>
        <v>20</v>
      </c>
      <c r="CB162" s="229">
        <f t="shared" si="481"/>
        <v>33</v>
      </c>
      <c r="CC162" s="234">
        <f t="shared" si="482"/>
        <v>4.8487499999999999</v>
      </c>
      <c r="CD162" s="234" cm="1">
        <f t="array" ref="CD162">$BM162 * IF($AH162&lt;=2,
SUMPRODUCT(INDEX($AV$61:$AX$65,,$AI162), INDEX($AY$61:$BE$65,,$AH162), 1 / ($BF$61:$BF$65*CC162 + (1-$BF$61:$BF$65)*BY162), N($AU$61:$AU$65&gt;$AM162)),
SUMPRODUCT(INDEX($AV$46:$AX$55,,$AI162), INDEX($AY$46:$BE$55,,$AH162), 1 / ($BG$46:$BG$55*CC162 + (1-$BG$46:$BG$55)*BY162), N($AU$46:$AU$55&gt;$AM162))
) / 1000</f>
        <v>0</v>
      </c>
      <c r="CE162" s="234" cm="1">
        <f t="array" ref="CE162">$BM162 * IF($AH162&lt;=2,
SUMPRODUCT(INDEX($AV$22:$AX$60,,$AI162), INDEX($AY$22:$BE$60,,$AH162), 1 / ($BF$22:$BF$60*CC162), N($AU$22:$AU$60&gt;$AM162)),
SUMPRODUCT(INDEX($AV$22:$AX$45,,$AI162), INDEX($AY$22:$BE$45,,$AH162), 1 / ($BG$22:$BG$45*CC162), N($AU$22:$AU$45&gt;$AM162))
) / 1000</f>
        <v>0</v>
      </c>
      <c r="CF162" s="229">
        <f t="shared" si="483"/>
        <v>0</v>
      </c>
      <c r="CG162" s="246"/>
      <c r="CH162" s="229">
        <f t="shared" si="484"/>
        <v>0</v>
      </c>
      <c r="CI162" s="228">
        <v>35</v>
      </c>
      <c r="CJ162" s="229">
        <f t="shared" si="485"/>
        <v>48</v>
      </c>
      <c r="CK162" s="234">
        <f t="shared" si="486"/>
        <v>3.0748170731707316</v>
      </c>
      <c r="CL162" s="234" cm="1">
        <f t="array" ref="CL162">$BM162 * SUMPRODUCT(INDEX($AV$76:$AX$81,,$AI162),INDEX($AY$76:$BE$81,,$AH162), N($AU$76:$AU$81&gt;$AM162)) / CK162 / 1000</f>
        <v>0</v>
      </c>
      <c r="CM162" s="231">
        <f t="shared" si="323"/>
        <v>30</v>
      </c>
      <c r="CN162" s="229">
        <f t="shared" si="487"/>
        <v>43</v>
      </c>
      <c r="CO162" s="234">
        <f t="shared" si="488"/>
        <v>3.5018750000000001</v>
      </c>
      <c r="CP162" s="234" cm="1">
        <f t="array" ref="CP162">$BM162 * IF($AH162&lt;=2,
SUMPRODUCT(INDEX($AV$71:$AX$75,,$AI162), INDEX($AY$71:$BE$75,,$AH162), 1 / ($BF$71:$BF$75*CO162 + (1-$BF$71:$BF$75)*CK162), N($AU$71:$AU$75&gt;$AM162)),
SUMPRODUCT(INDEX($AV$66:$AX$75,,$AI162), INDEX($AY$66:$BE$75,,$AH162), 1 / ($BG$66:$BG$75*CO162 + (1-$BG$66:$BG$75)*CK162), N($AU$66:$AU$75&gt;$AM162))
) / 1000</f>
        <v>0</v>
      </c>
      <c r="CQ162" s="231">
        <f t="shared" si="326"/>
        <v>25</v>
      </c>
      <c r="CR162" s="229">
        <f t="shared" si="489"/>
        <v>38</v>
      </c>
      <c r="CS162" s="234">
        <f t="shared" si="490"/>
        <v>4.0666935483870965</v>
      </c>
      <c r="CT162" s="234" cm="1">
        <f t="array" ref="CT162">$BM162 * IF($AH162&lt;=2,
SUMPRODUCT(INDEX($AV$66:$AX$70,,$AI162), INDEX($AY$66:$BE$70,,$AH162), 1 / ($BF$66:$BF$70*CS162 + (1-$BF$66:$BF$70)*CO162), N($AU$66:$AU$70&gt;$AM162)),
SUMPRODUCT(INDEX($AV$56:$AX$65,,$AI162), INDEX($AY$56:$BE$65,,$AH162), 1 / ($BG$56:$BG$65*CS162 + (1-$BG$56:$BG$65)*CO162), N($AU$56:$AU$65&gt;$AM162))
) / 1000</f>
        <v>0</v>
      </c>
      <c r="CU162" s="231">
        <f t="shared" si="329"/>
        <v>20</v>
      </c>
      <c r="CV162" s="229">
        <f t="shared" si="491"/>
        <v>33</v>
      </c>
      <c r="CW162" s="234">
        <f t="shared" si="492"/>
        <v>4.8487499999999999</v>
      </c>
      <c r="CX162" s="234" cm="1">
        <f t="array" ref="CX162">$BM162 * IF($AH162&lt;=2,
SUMPRODUCT(INDEX($AV$61:$AX$65,,$AI162), INDEX($AY$61:$BE$65,,$AH162), 1 / ($BF$61:$BF$65*CW162 + (1-$BF$61:$BF$65)*CS162), N($AU$61:$AU$65&gt;$AM162)),
SUMPRODUCT(INDEX($AV$46:$AX$55,,$AI162), INDEX($AY$46:$BE$55,,$AH162), 1 / ($BG$46:$BG$55*CW162 + (1-$BG$46:$BG$55)*CS162), N($AU$46:$AU$55&gt;$AM162))
) / 1000</f>
        <v>0</v>
      </c>
      <c r="CY162" s="234" cm="1">
        <f t="array" ref="CY162">$BM162 * IF($AH162&lt;=2,
SUMPRODUCT(INDEX($AV$22:$AX$60,,$AI162), INDEX($AY$22:$BE$60,,$AH162), 1 / ($BF$22:$BF$60*CW162), N($AU$22:$AU$60&gt;$AM162)),
SUMPRODUCT(INDEX($AV$22:$AX$45,,$AI162), INDEX($AY$22:$BE$45,,$AH162), 1 / ($BG$22:$BG$45*CW162), N($AU$22:$AU$45&gt;$AM162))
) / 1000</f>
        <v>0</v>
      </c>
      <c r="CZ162" s="229">
        <f t="shared" si="493"/>
        <v>0</v>
      </c>
      <c r="DA162" s="246"/>
    </row>
    <row r="163" spans="1:105" s="75" customFormat="1" ht="14.25" customHeight="1" x14ac:dyDescent="0.2">
      <c r="A163" s="230" t="b">
        <f t="shared" si="291"/>
        <v>0</v>
      </c>
      <c r="B163" s="253">
        <v>142</v>
      </c>
      <c r="C163" s="266"/>
      <c r="D163" s="266"/>
      <c r="E163" s="254"/>
      <c r="F163" s="255" t="str">
        <f>IF(ISBLANK(E163), "", VLOOKUP(E163, Z!$A$2:$C$4127, 3, FALSE))</f>
        <v/>
      </c>
      <c r="G163" s="256"/>
      <c r="H163" s="256"/>
      <c r="I163" s="256"/>
      <c r="J163" s="257"/>
      <c r="K163" s="258"/>
      <c r="L163" s="267"/>
      <c r="M163" s="268"/>
      <c r="N163" s="259" t="str" cm="1">
        <f t="array" ref="N163">IF($L163&gt;0, INDEX(Clean,1+AK163,$D$1), "")</f>
        <v/>
      </c>
      <c r="O163" s="260"/>
      <c r="P163" s="260"/>
      <c r="Q163" s="261"/>
      <c r="R163" s="264">
        <f t="shared" si="469"/>
        <v>0</v>
      </c>
      <c r="S163" s="259" t="str" cm="1">
        <f t="array" ref="S163">IF($L163&gt;0, INDEX(Clean,1+AL163,$D$1), "")</f>
        <v/>
      </c>
      <c r="T163" s="260"/>
      <c r="U163" s="260"/>
      <c r="V163" s="261"/>
      <c r="W163" s="267"/>
      <c r="X163" s="267"/>
      <c r="Y163" s="257"/>
      <c r="Z163" s="264">
        <f t="shared" si="470"/>
        <v>0</v>
      </c>
      <c r="AA163" s="269"/>
      <c r="AB163" s="266"/>
      <c r="AC163" s="254"/>
      <c r="AD163" s="255" t="str">
        <f>IF(ISBLANK(AC163), "", VLOOKUP(AC163, Z!$A$2:$C$4127, 3, FALSE))</f>
        <v/>
      </c>
      <c r="AE163" s="270"/>
      <c r="AF163" s="265">
        <f t="shared" si="471"/>
        <v>0</v>
      </c>
      <c r="AG163" s="246"/>
      <c r="AH163" s="228">
        <f t="shared" si="494"/>
        <v>1</v>
      </c>
      <c r="AI163" s="228">
        <f t="shared" si="495"/>
        <v>1</v>
      </c>
      <c r="AJ163" s="228">
        <f t="shared" si="496"/>
        <v>0</v>
      </c>
      <c r="AK163" s="228">
        <v>0</v>
      </c>
      <c r="AL163" s="228">
        <v>0</v>
      </c>
      <c r="AM163" s="228">
        <f t="shared" si="472"/>
        <v>-100</v>
      </c>
      <c r="AN163" s="228" cm="1">
        <f t="array" ref="AN163">IF(ISBLANK(G163), 1, IFERROR(MATCH(G163, INDEX(Kat,,1), 0), IFERROR(MATCH(Kat, INDEX(Use,,2), 0), MATCH(Kat, INDEX(Use,,3), 0))))</f>
        <v>1</v>
      </c>
      <c r="AO163" s="246"/>
      <c r="AP163" s="228" cm="1">
        <f t="array" ref="AP163">IF(W163&gt;0, INDEX(Kat, AN163,4), 0)</f>
        <v>0</v>
      </c>
      <c r="AQ163" s="228">
        <f t="shared" si="497"/>
        <v>0</v>
      </c>
      <c r="AR163" s="228" cm="1">
        <f t="array" ref="AR163">IF(X163&gt;0, INDEX(Kat, $AN163, 4+AQ163), 0)</f>
        <v>0</v>
      </c>
      <c r="AS163" s="228" cm="1">
        <f t="array" ref="AS163">IF(X163&gt;0, INDEX(Kat, $AN163, 9+AQ163), 0)</f>
        <v>0</v>
      </c>
      <c r="AT163" s="246"/>
      <c r="AU163" s="262"/>
      <c r="AV163" s="262"/>
      <c r="AW163" s="263"/>
      <c r="AX163" s="263"/>
      <c r="AY163" s="263"/>
      <c r="AZ163" s="263"/>
      <c r="BA163" s="263"/>
      <c r="BB163" s="263"/>
      <c r="BC163" s="263"/>
      <c r="BD163" s="263"/>
      <c r="BE163" s="263"/>
      <c r="BF163" s="263"/>
      <c r="BG163" s="263"/>
      <c r="BH163" s="246"/>
      <c r="BI163" s="228" cm="1">
        <f t="array" ref="BI163">INDEX(Use, $AH163, 4)</f>
        <v>7</v>
      </c>
      <c r="BJ163" s="228">
        <f t="shared" si="473"/>
        <v>32</v>
      </c>
      <c r="BK163" s="228">
        <f t="shared" si="305"/>
        <v>13</v>
      </c>
      <c r="BL163" s="228">
        <f t="shared" si="306"/>
        <v>0</v>
      </c>
      <c r="BM163" s="233" cm="1">
        <f t="array" ref="BM163">L163/IF($M163&gt;0, INDEX($AY$22:$BE$76, $M163+20, $AH163), 1)</f>
        <v>0</v>
      </c>
      <c r="BN163" s="229">
        <f t="shared" si="474"/>
        <v>0</v>
      </c>
      <c r="BO163" s="228">
        <v>35</v>
      </c>
      <c r="BP163" s="229">
        <f t="shared" si="475"/>
        <v>48</v>
      </c>
      <c r="BQ163" s="234">
        <f t="shared" si="476"/>
        <v>3.0748170731707316</v>
      </c>
      <c r="BR163" s="234" cm="1">
        <f t="array" ref="BR163">$BM163 * SUMPRODUCT(INDEX($AV$76:$AX$81,,$AI163),INDEX($AY$76:$BE$81,,$AH163), N($AU$76:$AU$81&gt;$AM163)) / BQ163 / 1000</f>
        <v>0</v>
      </c>
      <c r="BS163" s="231">
        <f t="shared" si="310"/>
        <v>30</v>
      </c>
      <c r="BT163" s="229">
        <f t="shared" si="477"/>
        <v>43</v>
      </c>
      <c r="BU163" s="234">
        <f t="shared" si="478"/>
        <v>3.5018750000000001</v>
      </c>
      <c r="BV163" s="234" cm="1">
        <f t="array" ref="BV163">$BM163 * IF($AH163&lt;=2,
SUMPRODUCT(INDEX($AV$71:$AX$75,,$AI163), INDEX($AY$71:$BE$75,,$AH163), 1 / ($BF$71:$BF$75*BU163 + (1-$BF$71:$BF$75)*BQ163), N($AU$71:$AU$75&gt;$AM163)),
SUMPRODUCT(INDEX($AV$66:$AX$75,,$AI163), INDEX($AY$66:$BE$75,,$AH163), 1 / ($BG$66:$BG$75*BU163 + (1-$BG$66:$BG$75)*BQ163), N($AU$66:$AU$75&gt;$AM163))
) / 1000</f>
        <v>0</v>
      </c>
      <c r="BW163" s="231">
        <f t="shared" si="313"/>
        <v>25</v>
      </c>
      <c r="BX163" s="229">
        <f t="shared" si="479"/>
        <v>38</v>
      </c>
      <c r="BY163" s="234">
        <f t="shared" si="480"/>
        <v>4.0666935483870965</v>
      </c>
      <c r="BZ163" s="234" cm="1">
        <f t="array" ref="BZ163">$BM163 * IF($AH163&lt;=2,
SUMPRODUCT(INDEX($AV$66:$AX$70,,$AI163), INDEX($AY$66:$BE$70,,$AH163), 1 / ($BF$66:$BF$70*BY163 + (1-$BF$66:$BF$70)*BU163), N($AU$66:$AU$70&gt;$AM163)),
SUMPRODUCT(INDEX($AV$56:$AX$65,,$AI163), INDEX($AY$56:$BE$65,,$AH163), 1 / ($BG$56:$BG$65*BY163 + (1-$BG$56:$BG$65)*BU163), N($AU$56:$AU$65&gt;$AM163))
) / 1000</f>
        <v>0</v>
      </c>
      <c r="CA163" s="231">
        <f t="shared" si="316"/>
        <v>20</v>
      </c>
      <c r="CB163" s="229">
        <f t="shared" si="481"/>
        <v>33</v>
      </c>
      <c r="CC163" s="234">
        <f t="shared" si="482"/>
        <v>4.8487499999999999</v>
      </c>
      <c r="CD163" s="234" cm="1">
        <f t="array" ref="CD163">$BM163 * IF($AH163&lt;=2,
SUMPRODUCT(INDEX($AV$61:$AX$65,,$AI163), INDEX($AY$61:$BE$65,,$AH163), 1 / ($BF$61:$BF$65*CC163 + (1-$BF$61:$BF$65)*BY163), N($AU$61:$AU$65&gt;$AM163)),
SUMPRODUCT(INDEX($AV$46:$AX$55,,$AI163), INDEX($AY$46:$BE$55,,$AH163), 1 / ($BG$46:$BG$55*CC163 + (1-$BG$46:$BG$55)*BY163), N($AU$46:$AU$55&gt;$AM163))
) / 1000</f>
        <v>0</v>
      </c>
      <c r="CE163" s="234" cm="1">
        <f t="array" ref="CE163">$BM163 * IF($AH163&lt;=2,
SUMPRODUCT(INDEX($AV$22:$AX$60,,$AI163), INDEX($AY$22:$BE$60,,$AH163), 1 / ($BF$22:$BF$60*CC163), N($AU$22:$AU$60&gt;$AM163)),
SUMPRODUCT(INDEX($AV$22:$AX$45,,$AI163), INDEX($AY$22:$BE$45,,$AH163), 1 / ($BG$22:$BG$45*CC163), N($AU$22:$AU$45&gt;$AM163))
) / 1000</f>
        <v>0</v>
      </c>
      <c r="CF163" s="229">
        <f t="shared" si="483"/>
        <v>0</v>
      </c>
      <c r="CG163" s="246"/>
      <c r="CH163" s="229">
        <f t="shared" si="484"/>
        <v>0</v>
      </c>
      <c r="CI163" s="228">
        <v>35</v>
      </c>
      <c r="CJ163" s="229">
        <f t="shared" si="485"/>
        <v>48</v>
      </c>
      <c r="CK163" s="234">
        <f t="shared" si="486"/>
        <v>3.0748170731707316</v>
      </c>
      <c r="CL163" s="234" cm="1">
        <f t="array" ref="CL163">$BM163 * SUMPRODUCT(INDEX($AV$76:$AX$81,,$AI163),INDEX($AY$76:$BE$81,,$AH163), N($AU$76:$AU$81&gt;$AM163)) / CK163 / 1000</f>
        <v>0</v>
      </c>
      <c r="CM163" s="231">
        <f t="shared" si="323"/>
        <v>30</v>
      </c>
      <c r="CN163" s="229">
        <f t="shared" si="487"/>
        <v>43</v>
      </c>
      <c r="CO163" s="234">
        <f t="shared" si="488"/>
        <v>3.5018750000000001</v>
      </c>
      <c r="CP163" s="234" cm="1">
        <f t="array" ref="CP163">$BM163 * IF($AH163&lt;=2,
SUMPRODUCT(INDEX($AV$71:$AX$75,,$AI163), INDEX($AY$71:$BE$75,,$AH163), 1 / ($BF$71:$BF$75*CO163 + (1-$BF$71:$BF$75)*CK163), N($AU$71:$AU$75&gt;$AM163)),
SUMPRODUCT(INDEX($AV$66:$AX$75,,$AI163), INDEX($AY$66:$BE$75,,$AH163), 1 / ($BG$66:$BG$75*CO163 + (1-$BG$66:$BG$75)*CK163), N($AU$66:$AU$75&gt;$AM163))
) / 1000</f>
        <v>0</v>
      </c>
      <c r="CQ163" s="231">
        <f t="shared" si="326"/>
        <v>25</v>
      </c>
      <c r="CR163" s="229">
        <f t="shared" si="489"/>
        <v>38</v>
      </c>
      <c r="CS163" s="234">
        <f t="shared" si="490"/>
        <v>4.0666935483870965</v>
      </c>
      <c r="CT163" s="234" cm="1">
        <f t="array" ref="CT163">$BM163 * IF($AH163&lt;=2,
SUMPRODUCT(INDEX($AV$66:$AX$70,,$AI163), INDEX($AY$66:$BE$70,,$AH163), 1 / ($BF$66:$BF$70*CS163 + (1-$BF$66:$BF$70)*CO163), N($AU$66:$AU$70&gt;$AM163)),
SUMPRODUCT(INDEX($AV$56:$AX$65,,$AI163), INDEX($AY$56:$BE$65,,$AH163), 1 / ($BG$56:$BG$65*CS163 + (1-$BG$56:$BG$65)*CO163), N($AU$56:$AU$65&gt;$AM163))
) / 1000</f>
        <v>0</v>
      </c>
      <c r="CU163" s="231">
        <f t="shared" si="329"/>
        <v>20</v>
      </c>
      <c r="CV163" s="229">
        <f t="shared" si="491"/>
        <v>33</v>
      </c>
      <c r="CW163" s="234">
        <f t="shared" si="492"/>
        <v>4.8487499999999999</v>
      </c>
      <c r="CX163" s="234" cm="1">
        <f t="array" ref="CX163">$BM163 * IF($AH163&lt;=2,
SUMPRODUCT(INDEX($AV$61:$AX$65,,$AI163), INDEX($AY$61:$BE$65,,$AH163), 1 / ($BF$61:$BF$65*CW163 + (1-$BF$61:$BF$65)*CS163), N($AU$61:$AU$65&gt;$AM163)),
SUMPRODUCT(INDEX($AV$46:$AX$55,,$AI163), INDEX($AY$46:$BE$55,,$AH163), 1 / ($BG$46:$BG$55*CW163 + (1-$BG$46:$BG$55)*CS163), N($AU$46:$AU$55&gt;$AM163))
) / 1000</f>
        <v>0</v>
      </c>
      <c r="CY163" s="234" cm="1">
        <f t="array" ref="CY163">$BM163 * IF($AH163&lt;=2,
SUMPRODUCT(INDEX($AV$22:$AX$60,,$AI163), INDEX($AY$22:$BE$60,,$AH163), 1 / ($BF$22:$BF$60*CW163), N($AU$22:$AU$60&gt;$AM163)),
SUMPRODUCT(INDEX($AV$22:$AX$45,,$AI163), INDEX($AY$22:$BE$45,,$AH163), 1 / ($BG$22:$BG$45*CW163), N($AU$22:$AU$45&gt;$AM163))
) / 1000</f>
        <v>0</v>
      </c>
      <c r="CZ163" s="229">
        <f t="shared" si="493"/>
        <v>0</v>
      </c>
      <c r="DA163" s="246"/>
    </row>
    <row r="164" spans="1:105" s="75" customFormat="1" ht="14.25" customHeight="1" x14ac:dyDescent="0.2">
      <c r="A164" s="230" t="b">
        <f t="shared" si="291"/>
        <v>0</v>
      </c>
      <c r="B164" s="253">
        <v>143</v>
      </c>
      <c r="C164" s="266"/>
      <c r="D164" s="266"/>
      <c r="E164" s="254"/>
      <c r="F164" s="255" t="str">
        <f>IF(ISBLANK(E164), "", VLOOKUP(E164, Z!$A$2:$C$4127, 3, FALSE))</f>
        <v/>
      </c>
      <c r="G164" s="256"/>
      <c r="H164" s="256"/>
      <c r="I164" s="256"/>
      <c r="J164" s="257"/>
      <c r="K164" s="258"/>
      <c r="L164" s="267"/>
      <c r="M164" s="268"/>
      <c r="N164" s="259" t="str" cm="1">
        <f t="array" ref="N164">IF($L164&gt;0, INDEX(Clean,1+AK164,$D$1), "")</f>
        <v/>
      </c>
      <c r="O164" s="260"/>
      <c r="P164" s="260"/>
      <c r="Q164" s="261"/>
      <c r="R164" s="264">
        <f t="shared" si="469"/>
        <v>0</v>
      </c>
      <c r="S164" s="259" t="str" cm="1">
        <f t="array" ref="S164">IF($L164&gt;0, INDEX(Clean,1+AL164,$D$1), "")</f>
        <v/>
      </c>
      <c r="T164" s="260"/>
      <c r="U164" s="260"/>
      <c r="V164" s="261"/>
      <c r="W164" s="267"/>
      <c r="X164" s="267"/>
      <c r="Y164" s="257"/>
      <c r="Z164" s="264">
        <f t="shared" si="470"/>
        <v>0</v>
      </c>
      <c r="AA164" s="269"/>
      <c r="AB164" s="266"/>
      <c r="AC164" s="254"/>
      <c r="AD164" s="255" t="str">
        <f>IF(ISBLANK(AC164), "", VLOOKUP(AC164, Z!$A$2:$C$4127, 3, FALSE))</f>
        <v/>
      </c>
      <c r="AE164" s="270"/>
      <c r="AF164" s="265">
        <f t="shared" si="471"/>
        <v>0</v>
      </c>
      <c r="AG164" s="246"/>
      <c r="AH164" s="228">
        <f t="shared" si="494"/>
        <v>1</v>
      </c>
      <c r="AI164" s="228">
        <f t="shared" si="495"/>
        <v>1</v>
      </c>
      <c r="AJ164" s="228">
        <f t="shared" si="496"/>
        <v>0</v>
      </c>
      <c r="AK164" s="228">
        <v>0</v>
      </c>
      <c r="AL164" s="228">
        <v>0</v>
      </c>
      <c r="AM164" s="228">
        <f t="shared" si="472"/>
        <v>-100</v>
      </c>
      <c r="AN164" s="228" cm="1">
        <f t="array" ref="AN164">IF(ISBLANK(G164), 1, IFERROR(MATCH(G164, INDEX(Kat,,1), 0), IFERROR(MATCH(Kat, INDEX(Use,,2), 0), MATCH(Kat, INDEX(Use,,3), 0))))</f>
        <v>1</v>
      </c>
      <c r="AO164" s="246"/>
      <c r="AP164" s="228" cm="1">
        <f t="array" ref="AP164">IF(W164&gt;0, INDEX(Kat, AN164,4), 0)</f>
        <v>0</v>
      </c>
      <c r="AQ164" s="228">
        <f t="shared" si="497"/>
        <v>0</v>
      </c>
      <c r="AR164" s="228" cm="1">
        <f t="array" ref="AR164">IF(X164&gt;0, INDEX(Kat, $AN164, 4+AQ164), 0)</f>
        <v>0</v>
      </c>
      <c r="AS164" s="228" cm="1">
        <f t="array" ref="AS164">IF(X164&gt;0, INDEX(Kat, $AN164, 9+AQ164), 0)</f>
        <v>0</v>
      </c>
      <c r="AT164" s="246"/>
      <c r="AU164" s="262"/>
      <c r="AV164" s="262"/>
      <c r="AW164" s="263"/>
      <c r="AX164" s="263"/>
      <c r="AY164" s="263"/>
      <c r="AZ164" s="263"/>
      <c r="BA164" s="263"/>
      <c r="BB164" s="263"/>
      <c r="BC164" s="263"/>
      <c r="BD164" s="263"/>
      <c r="BE164" s="263"/>
      <c r="BF164" s="263"/>
      <c r="BG164" s="263"/>
      <c r="BH164" s="246"/>
      <c r="BI164" s="228" cm="1">
        <f t="array" ref="BI164">INDEX(Use, $AH164, 4)</f>
        <v>7</v>
      </c>
      <c r="BJ164" s="228">
        <f t="shared" si="473"/>
        <v>32</v>
      </c>
      <c r="BK164" s="228">
        <f t="shared" si="305"/>
        <v>13</v>
      </c>
      <c r="BL164" s="228">
        <f t="shared" si="306"/>
        <v>0</v>
      </c>
      <c r="BM164" s="233" cm="1">
        <f t="array" ref="BM164">L164/IF($M164&gt;0, INDEX($AY$22:$BE$76, $M164+20, $AH164), 1)</f>
        <v>0</v>
      </c>
      <c r="BN164" s="229">
        <f t="shared" si="474"/>
        <v>0</v>
      </c>
      <c r="BO164" s="228">
        <v>35</v>
      </c>
      <c r="BP164" s="229">
        <f t="shared" si="475"/>
        <v>48</v>
      </c>
      <c r="BQ164" s="234">
        <f t="shared" si="476"/>
        <v>3.0748170731707316</v>
      </c>
      <c r="BR164" s="234" cm="1">
        <f t="array" ref="BR164">$BM164 * SUMPRODUCT(INDEX($AV$76:$AX$81,,$AI164),INDEX($AY$76:$BE$81,,$AH164), N($AU$76:$AU$81&gt;$AM164)) / BQ164 / 1000</f>
        <v>0</v>
      </c>
      <c r="BS164" s="231">
        <f t="shared" si="310"/>
        <v>30</v>
      </c>
      <c r="BT164" s="229">
        <f t="shared" si="477"/>
        <v>43</v>
      </c>
      <c r="BU164" s="234">
        <f t="shared" si="478"/>
        <v>3.5018750000000001</v>
      </c>
      <c r="BV164" s="234" cm="1">
        <f t="array" ref="BV164">$BM164 * IF($AH164&lt;=2,
SUMPRODUCT(INDEX($AV$71:$AX$75,,$AI164), INDEX($AY$71:$BE$75,,$AH164), 1 / ($BF$71:$BF$75*BU164 + (1-$BF$71:$BF$75)*BQ164), N($AU$71:$AU$75&gt;$AM164)),
SUMPRODUCT(INDEX($AV$66:$AX$75,,$AI164), INDEX($AY$66:$BE$75,,$AH164), 1 / ($BG$66:$BG$75*BU164 + (1-$BG$66:$BG$75)*BQ164), N($AU$66:$AU$75&gt;$AM164))
) / 1000</f>
        <v>0</v>
      </c>
      <c r="BW164" s="231">
        <f t="shared" si="313"/>
        <v>25</v>
      </c>
      <c r="BX164" s="229">
        <f t="shared" si="479"/>
        <v>38</v>
      </c>
      <c r="BY164" s="234">
        <f t="shared" si="480"/>
        <v>4.0666935483870965</v>
      </c>
      <c r="BZ164" s="234" cm="1">
        <f t="array" ref="BZ164">$BM164 * IF($AH164&lt;=2,
SUMPRODUCT(INDEX($AV$66:$AX$70,,$AI164), INDEX($AY$66:$BE$70,,$AH164), 1 / ($BF$66:$BF$70*BY164 + (1-$BF$66:$BF$70)*BU164), N($AU$66:$AU$70&gt;$AM164)),
SUMPRODUCT(INDEX($AV$56:$AX$65,,$AI164), INDEX($AY$56:$BE$65,,$AH164), 1 / ($BG$56:$BG$65*BY164 + (1-$BG$56:$BG$65)*BU164), N($AU$56:$AU$65&gt;$AM164))
) / 1000</f>
        <v>0</v>
      </c>
      <c r="CA164" s="231">
        <f t="shared" si="316"/>
        <v>20</v>
      </c>
      <c r="CB164" s="229">
        <f t="shared" si="481"/>
        <v>33</v>
      </c>
      <c r="CC164" s="234">
        <f t="shared" si="482"/>
        <v>4.8487499999999999</v>
      </c>
      <c r="CD164" s="234" cm="1">
        <f t="array" ref="CD164">$BM164 * IF($AH164&lt;=2,
SUMPRODUCT(INDEX($AV$61:$AX$65,,$AI164), INDEX($AY$61:$BE$65,,$AH164), 1 / ($BF$61:$BF$65*CC164 + (1-$BF$61:$BF$65)*BY164), N($AU$61:$AU$65&gt;$AM164)),
SUMPRODUCT(INDEX($AV$46:$AX$55,,$AI164), INDEX($AY$46:$BE$55,,$AH164), 1 / ($BG$46:$BG$55*CC164 + (1-$BG$46:$BG$55)*BY164), N($AU$46:$AU$55&gt;$AM164))
) / 1000</f>
        <v>0</v>
      </c>
      <c r="CE164" s="234" cm="1">
        <f t="array" ref="CE164">$BM164 * IF($AH164&lt;=2,
SUMPRODUCT(INDEX($AV$22:$AX$60,,$AI164), INDEX($AY$22:$BE$60,,$AH164), 1 / ($BF$22:$BF$60*CC164), N($AU$22:$AU$60&gt;$AM164)),
SUMPRODUCT(INDEX($AV$22:$AX$45,,$AI164), INDEX($AY$22:$BE$45,,$AH164), 1 / ($BG$22:$BG$45*CC164), N($AU$22:$AU$45&gt;$AM164))
) / 1000</f>
        <v>0</v>
      </c>
      <c r="CF164" s="229">
        <f t="shared" si="483"/>
        <v>0</v>
      </c>
      <c r="CG164" s="246"/>
      <c r="CH164" s="229">
        <f t="shared" si="484"/>
        <v>0</v>
      </c>
      <c r="CI164" s="228">
        <v>35</v>
      </c>
      <c r="CJ164" s="229">
        <f t="shared" si="485"/>
        <v>48</v>
      </c>
      <c r="CK164" s="234">
        <f t="shared" si="486"/>
        <v>3.0748170731707316</v>
      </c>
      <c r="CL164" s="234" cm="1">
        <f t="array" ref="CL164">$BM164 * SUMPRODUCT(INDEX($AV$76:$AX$81,,$AI164),INDEX($AY$76:$BE$81,,$AH164), N($AU$76:$AU$81&gt;$AM164)) / CK164 / 1000</f>
        <v>0</v>
      </c>
      <c r="CM164" s="231">
        <f t="shared" si="323"/>
        <v>30</v>
      </c>
      <c r="CN164" s="229">
        <f t="shared" si="487"/>
        <v>43</v>
      </c>
      <c r="CO164" s="234">
        <f t="shared" si="488"/>
        <v>3.5018750000000001</v>
      </c>
      <c r="CP164" s="234" cm="1">
        <f t="array" ref="CP164">$BM164 * IF($AH164&lt;=2,
SUMPRODUCT(INDEX($AV$71:$AX$75,,$AI164), INDEX($AY$71:$BE$75,,$AH164), 1 / ($BF$71:$BF$75*CO164 + (1-$BF$71:$BF$75)*CK164), N($AU$71:$AU$75&gt;$AM164)),
SUMPRODUCT(INDEX($AV$66:$AX$75,,$AI164), INDEX($AY$66:$BE$75,,$AH164), 1 / ($BG$66:$BG$75*CO164 + (1-$BG$66:$BG$75)*CK164), N($AU$66:$AU$75&gt;$AM164))
) / 1000</f>
        <v>0</v>
      </c>
      <c r="CQ164" s="231">
        <f t="shared" si="326"/>
        <v>25</v>
      </c>
      <c r="CR164" s="229">
        <f t="shared" si="489"/>
        <v>38</v>
      </c>
      <c r="CS164" s="234">
        <f t="shared" si="490"/>
        <v>4.0666935483870965</v>
      </c>
      <c r="CT164" s="234" cm="1">
        <f t="array" ref="CT164">$BM164 * IF($AH164&lt;=2,
SUMPRODUCT(INDEX($AV$66:$AX$70,,$AI164), INDEX($AY$66:$BE$70,,$AH164), 1 / ($BF$66:$BF$70*CS164 + (1-$BF$66:$BF$70)*CO164), N($AU$66:$AU$70&gt;$AM164)),
SUMPRODUCT(INDEX($AV$56:$AX$65,,$AI164), INDEX($AY$56:$BE$65,,$AH164), 1 / ($BG$56:$BG$65*CS164 + (1-$BG$56:$BG$65)*CO164), N($AU$56:$AU$65&gt;$AM164))
) / 1000</f>
        <v>0</v>
      </c>
      <c r="CU164" s="231">
        <f t="shared" si="329"/>
        <v>20</v>
      </c>
      <c r="CV164" s="229">
        <f t="shared" si="491"/>
        <v>33</v>
      </c>
      <c r="CW164" s="234">
        <f t="shared" si="492"/>
        <v>4.8487499999999999</v>
      </c>
      <c r="CX164" s="234" cm="1">
        <f t="array" ref="CX164">$BM164 * IF($AH164&lt;=2,
SUMPRODUCT(INDEX($AV$61:$AX$65,,$AI164), INDEX($AY$61:$BE$65,,$AH164), 1 / ($BF$61:$BF$65*CW164 + (1-$BF$61:$BF$65)*CS164), N($AU$61:$AU$65&gt;$AM164)),
SUMPRODUCT(INDEX($AV$46:$AX$55,,$AI164), INDEX($AY$46:$BE$55,,$AH164), 1 / ($BG$46:$BG$55*CW164 + (1-$BG$46:$BG$55)*CS164), N($AU$46:$AU$55&gt;$AM164))
) / 1000</f>
        <v>0</v>
      </c>
      <c r="CY164" s="234" cm="1">
        <f t="array" ref="CY164">$BM164 * IF($AH164&lt;=2,
SUMPRODUCT(INDEX($AV$22:$AX$60,,$AI164), INDEX($AY$22:$BE$60,,$AH164), 1 / ($BF$22:$BF$60*CW164), N($AU$22:$AU$60&gt;$AM164)),
SUMPRODUCT(INDEX($AV$22:$AX$45,,$AI164), INDEX($AY$22:$BE$45,,$AH164), 1 / ($BG$22:$BG$45*CW164), N($AU$22:$AU$45&gt;$AM164))
) / 1000</f>
        <v>0</v>
      </c>
      <c r="CZ164" s="229">
        <f t="shared" si="493"/>
        <v>0</v>
      </c>
      <c r="DA164" s="246"/>
    </row>
    <row r="165" spans="1:105" s="75" customFormat="1" ht="14.25" customHeight="1" x14ac:dyDescent="0.2">
      <c r="A165" s="230" t="b">
        <f t="shared" si="291"/>
        <v>0</v>
      </c>
      <c r="B165" s="253">
        <v>144</v>
      </c>
      <c r="C165" s="266"/>
      <c r="D165" s="266"/>
      <c r="E165" s="254"/>
      <c r="F165" s="255" t="str">
        <f>IF(ISBLANK(E165), "", VLOOKUP(E165, Z!$A$2:$C$4127, 3, FALSE))</f>
        <v/>
      </c>
      <c r="G165" s="256"/>
      <c r="H165" s="256"/>
      <c r="I165" s="256"/>
      <c r="J165" s="257"/>
      <c r="K165" s="258"/>
      <c r="L165" s="267"/>
      <c r="M165" s="268"/>
      <c r="N165" s="259" t="str" cm="1">
        <f t="array" ref="N165">IF($L165&gt;0, INDEX(Clean,1+AK165,$D$1), "")</f>
        <v/>
      </c>
      <c r="O165" s="260"/>
      <c r="P165" s="260"/>
      <c r="Q165" s="261"/>
      <c r="R165" s="264">
        <f t="shared" si="469"/>
        <v>0</v>
      </c>
      <c r="S165" s="259" t="str" cm="1">
        <f t="array" ref="S165">IF($L165&gt;0, INDEX(Clean,1+AL165,$D$1), "")</f>
        <v/>
      </c>
      <c r="T165" s="260"/>
      <c r="U165" s="260"/>
      <c r="V165" s="261"/>
      <c r="W165" s="267"/>
      <c r="X165" s="267"/>
      <c r="Y165" s="257"/>
      <c r="Z165" s="264">
        <f t="shared" si="470"/>
        <v>0</v>
      </c>
      <c r="AA165" s="269"/>
      <c r="AB165" s="266"/>
      <c r="AC165" s="254"/>
      <c r="AD165" s="255" t="str">
        <f>IF(ISBLANK(AC165), "", VLOOKUP(AC165, Z!$A$2:$C$4127, 3, FALSE))</f>
        <v/>
      </c>
      <c r="AE165" s="270"/>
      <c r="AF165" s="265">
        <f t="shared" si="471"/>
        <v>0</v>
      </c>
      <c r="AG165" s="246"/>
      <c r="AH165" s="228">
        <f t="shared" si="494"/>
        <v>1</v>
      </c>
      <c r="AI165" s="228">
        <f t="shared" si="495"/>
        <v>1</v>
      </c>
      <c r="AJ165" s="228">
        <f t="shared" si="496"/>
        <v>0</v>
      </c>
      <c r="AK165" s="228">
        <v>0</v>
      </c>
      <c r="AL165" s="228">
        <v>0</v>
      </c>
      <c r="AM165" s="228">
        <f t="shared" si="472"/>
        <v>-100</v>
      </c>
      <c r="AN165" s="228" cm="1">
        <f t="array" ref="AN165">IF(ISBLANK(G165), 1, IFERROR(MATCH(G165, INDEX(Kat,,1), 0), IFERROR(MATCH(Kat, INDEX(Use,,2), 0), MATCH(Kat, INDEX(Use,,3), 0))))</f>
        <v>1</v>
      </c>
      <c r="AO165" s="246"/>
      <c r="AP165" s="228" cm="1">
        <f t="array" ref="AP165">IF(W165&gt;0, INDEX(Kat, AN165,4), 0)</f>
        <v>0</v>
      </c>
      <c r="AQ165" s="228">
        <f t="shared" si="497"/>
        <v>0</v>
      </c>
      <c r="AR165" s="228" cm="1">
        <f t="array" ref="AR165">IF(X165&gt;0, INDEX(Kat, $AN165, 4+AQ165), 0)</f>
        <v>0</v>
      </c>
      <c r="AS165" s="228" cm="1">
        <f t="array" ref="AS165">IF(X165&gt;0, INDEX(Kat, $AN165, 9+AQ165), 0)</f>
        <v>0</v>
      </c>
      <c r="AT165" s="246"/>
      <c r="AU165" s="262"/>
      <c r="AV165" s="262"/>
      <c r="AW165" s="263"/>
      <c r="AX165" s="263"/>
      <c r="AY165" s="263"/>
      <c r="AZ165" s="263"/>
      <c r="BA165" s="263"/>
      <c r="BB165" s="263"/>
      <c r="BC165" s="263"/>
      <c r="BD165" s="263"/>
      <c r="BE165" s="263"/>
      <c r="BF165" s="263"/>
      <c r="BG165" s="263"/>
      <c r="BH165" s="246"/>
      <c r="BI165" s="228" cm="1">
        <f t="array" ref="BI165">INDEX(Use, $AH165, 4)</f>
        <v>7</v>
      </c>
      <c r="BJ165" s="228">
        <f t="shared" si="473"/>
        <v>32</v>
      </c>
      <c r="BK165" s="228">
        <f t="shared" si="305"/>
        <v>13</v>
      </c>
      <c r="BL165" s="228">
        <f t="shared" si="306"/>
        <v>0</v>
      </c>
      <c r="BM165" s="233" cm="1">
        <f t="array" ref="BM165">L165/IF($M165&gt;0, INDEX($AY$22:$BE$76, $M165+20, $AH165), 1)</f>
        <v>0</v>
      </c>
      <c r="BN165" s="229">
        <f t="shared" si="474"/>
        <v>0</v>
      </c>
      <c r="BO165" s="228">
        <v>35</v>
      </c>
      <c r="BP165" s="229">
        <f t="shared" si="475"/>
        <v>48</v>
      </c>
      <c r="BQ165" s="234">
        <f t="shared" si="476"/>
        <v>3.0748170731707316</v>
      </c>
      <c r="BR165" s="234" cm="1">
        <f t="array" ref="BR165">$BM165 * SUMPRODUCT(INDEX($AV$76:$AX$81,,$AI165),INDEX($AY$76:$BE$81,,$AH165), N($AU$76:$AU$81&gt;$AM165)) / BQ165 / 1000</f>
        <v>0</v>
      </c>
      <c r="BS165" s="231">
        <f t="shared" si="310"/>
        <v>30</v>
      </c>
      <c r="BT165" s="229">
        <f t="shared" si="477"/>
        <v>43</v>
      </c>
      <c r="BU165" s="234">
        <f t="shared" si="478"/>
        <v>3.5018750000000001</v>
      </c>
      <c r="BV165" s="234" cm="1">
        <f t="array" ref="BV165">$BM165 * IF($AH165&lt;=2,
SUMPRODUCT(INDEX($AV$71:$AX$75,,$AI165), INDEX($AY$71:$BE$75,,$AH165), 1 / ($BF$71:$BF$75*BU165 + (1-$BF$71:$BF$75)*BQ165), N($AU$71:$AU$75&gt;$AM165)),
SUMPRODUCT(INDEX($AV$66:$AX$75,,$AI165), INDEX($AY$66:$BE$75,,$AH165), 1 / ($BG$66:$BG$75*BU165 + (1-$BG$66:$BG$75)*BQ165), N($AU$66:$AU$75&gt;$AM165))
) / 1000</f>
        <v>0</v>
      </c>
      <c r="BW165" s="231">
        <f t="shared" si="313"/>
        <v>25</v>
      </c>
      <c r="BX165" s="229">
        <f t="shared" si="479"/>
        <v>38</v>
      </c>
      <c r="BY165" s="234">
        <f t="shared" si="480"/>
        <v>4.0666935483870965</v>
      </c>
      <c r="BZ165" s="234" cm="1">
        <f t="array" ref="BZ165">$BM165 * IF($AH165&lt;=2,
SUMPRODUCT(INDEX($AV$66:$AX$70,,$AI165), INDEX($AY$66:$BE$70,,$AH165), 1 / ($BF$66:$BF$70*BY165 + (1-$BF$66:$BF$70)*BU165), N($AU$66:$AU$70&gt;$AM165)),
SUMPRODUCT(INDEX($AV$56:$AX$65,,$AI165), INDEX($AY$56:$BE$65,,$AH165), 1 / ($BG$56:$BG$65*BY165 + (1-$BG$56:$BG$65)*BU165), N($AU$56:$AU$65&gt;$AM165))
) / 1000</f>
        <v>0</v>
      </c>
      <c r="CA165" s="231">
        <f t="shared" si="316"/>
        <v>20</v>
      </c>
      <c r="CB165" s="229">
        <f t="shared" si="481"/>
        <v>33</v>
      </c>
      <c r="CC165" s="234">
        <f t="shared" si="482"/>
        <v>4.8487499999999999</v>
      </c>
      <c r="CD165" s="234" cm="1">
        <f t="array" ref="CD165">$BM165 * IF($AH165&lt;=2,
SUMPRODUCT(INDEX($AV$61:$AX$65,,$AI165), INDEX($AY$61:$BE$65,,$AH165), 1 / ($BF$61:$BF$65*CC165 + (1-$BF$61:$BF$65)*BY165), N($AU$61:$AU$65&gt;$AM165)),
SUMPRODUCT(INDEX($AV$46:$AX$55,,$AI165), INDEX($AY$46:$BE$55,,$AH165), 1 / ($BG$46:$BG$55*CC165 + (1-$BG$46:$BG$55)*BY165), N($AU$46:$AU$55&gt;$AM165))
) / 1000</f>
        <v>0</v>
      </c>
      <c r="CE165" s="234" cm="1">
        <f t="array" ref="CE165">$BM165 * IF($AH165&lt;=2,
SUMPRODUCT(INDEX($AV$22:$AX$60,,$AI165), INDEX($AY$22:$BE$60,,$AH165), 1 / ($BF$22:$BF$60*CC165), N($AU$22:$AU$60&gt;$AM165)),
SUMPRODUCT(INDEX($AV$22:$AX$45,,$AI165), INDEX($AY$22:$BE$45,,$AH165), 1 / ($BG$22:$BG$45*CC165), N($AU$22:$AU$45&gt;$AM165))
) / 1000</f>
        <v>0</v>
      </c>
      <c r="CF165" s="229">
        <f t="shared" si="483"/>
        <v>0</v>
      </c>
      <c r="CG165" s="246"/>
      <c r="CH165" s="229">
        <f t="shared" si="484"/>
        <v>0</v>
      </c>
      <c r="CI165" s="228">
        <v>35</v>
      </c>
      <c r="CJ165" s="229">
        <f t="shared" si="485"/>
        <v>48</v>
      </c>
      <c r="CK165" s="234">
        <f t="shared" si="486"/>
        <v>3.0748170731707316</v>
      </c>
      <c r="CL165" s="234" cm="1">
        <f t="array" ref="CL165">$BM165 * SUMPRODUCT(INDEX($AV$76:$AX$81,,$AI165),INDEX($AY$76:$BE$81,,$AH165), N($AU$76:$AU$81&gt;$AM165)) / CK165 / 1000</f>
        <v>0</v>
      </c>
      <c r="CM165" s="231">
        <f t="shared" si="323"/>
        <v>30</v>
      </c>
      <c r="CN165" s="229">
        <f t="shared" si="487"/>
        <v>43</v>
      </c>
      <c r="CO165" s="234">
        <f t="shared" si="488"/>
        <v>3.5018750000000001</v>
      </c>
      <c r="CP165" s="234" cm="1">
        <f t="array" ref="CP165">$BM165 * IF($AH165&lt;=2,
SUMPRODUCT(INDEX($AV$71:$AX$75,,$AI165), INDEX($AY$71:$BE$75,,$AH165), 1 / ($BF$71:$BF$75*CO165 + (1-$BF$71:$BF$75)*CK165), N($AU$71:$AU$75&gt;$AM165)),
SUMPRODUCT(INDEX($AV$66:$AX$75,,$AI165), INDEX($AY$66:$BE$75,,$AH165), 1 / ($BG$66:$BG$75*CO165 + (1-$BG$66:$BG$75)*CK165), N($AU$66:$AU$75&gt;$AM165))
) / 1000</f>
        <v>0</v>
      </c>
      <c r="CQ165" s="231">
        <f t="shared" si="326"/>
        <v>25</v>
      </c>
      <c r="CR165" s="229">
        <f t="shared" si="489"/>
        <v>38</v>
      </c>
      <c r="CS165" s="234">
        <f t="shared" si="490"/>
        <v>4.0666935483870965</v>
      </c>
      <c r="CT165" s="234" cm="1">
        <f t="array" ref="CT165">$BM165 * IF($AH165&lt;=2,
SUMPRODUCT(INDEX($AV$66:$AX$70,,$AI165), INDEX($AY$66:$BE$70,,$AH165), 1 / ($BF$66:$BF$70*CS165 + (1-$BF$66:$BF$70)*CO165), N($AU$66:$AU$70&gt;$AM165)),
SUMPRODUCT(INDEX($AV$56:$AX$65,,$AI165), INDEX($AY$56:$BE$65,,$AH165), 1 / ($BG$56:$BG$65*CS165 + (1-$BG$56:$BG$65)*CO165), N($AU$56:$AU$65&gt;$AM165))
) / 1000</f>
        <v>0</v>
      </c>
      <c r="CU165" s="231">
        <f t="shared" si="329"/>
        <v>20</v>
      </c>
      <c r="CV165" s="229">
        <f t="shared" si="491"/>
        <v>33</v>
      </c>
      <c r="CW165" s="234">
        <f t="shared" si="492"/>
        <v>4.8487499999999999</v>
      </c>
      <c r="CX165" s="234" cm="1">
        <f t="array" ref="CX165">$BM165 * IF($AH165&lt;=2,
SUMPRODUCT(INDEX($AV$61:$AX$65,,$AI165), INDEX($AY$61:$BE$65,,$AH165), 1 / ($BF$61:$BF$65*CW165 + (1-$BF$61:$BF$65)*CS165), N($AU$61:$AU$65&gt;$AM165)),
SUMPRODUCT(INDEX($AV$46:$AX$55,,$AI165), INDEX($AY$46:$BE$55,,$AH165), 1 / ($BG$46:$BG$55*CW165 + (1-$BG$46:$BG$55)*CS165), N($AU$46:$AU$55&gt;$AM165))
) / 1000</f>
        <v>0</v>
      </c>
      <c r="CY165" s="234" cm="1">
        <f t="array" ref="CY165">$BM165 * IF($AH165&lt;=2,
SUMPRODUCT(INDEX($AV$22:$AX$60,,$AI165), INDEX($AY$22:$BE$60,,$AH165), 1 / ($BF$22:$BF$60*CW165), N($AU$22:$AU$60&gt;$AM165)),
SUMPRODUCT(INDEX($AV$22:$AX$45,,$AI165), INDEX($AY$22:$BE$45,,$AH165), 1 / ($BG$22:$BG$45*CW165), N($AU$22:$AU$45&gt;$AM165))
) / 1000</f>
        <v>0</v>
      </c>
      <c r="CZ165" s="229">
        <f t="shared" si="493"/>
        <v>0</v>
      </c>
      <c r="DA165" s="246"/>
    </row>
    <row r="166" spans="1:105" s="75" customFormat="1" ht="14.25" customHeight="1" x14ac:dyDescent="0.2">
      <c r="A166" s="230" t="b">
        <f t="shared" si="291"/>
        <v>0</v>
      </c>
      <c r="B166" s="253">
        <v>145</v>
      </c>
      <c r="C166" s="266"/>
      <c r="D166" s="266"/>
      <c r="E166" s="254"/>
      <c r="F166" s="255" t="str">
        <f>IF(ISBLANK(E166), "", VLOOKUP(E166, Z!$A$2:$C$4127, 3, FALSE))</f>
        <v/>
      </c>
      <c r="G166" s="256"/>
      <c r="H166" s="256"/>
      <c r="I166" s="256"/>
      <c r="J166" s="257"/>
      <c r="K166" s="258"/>
      <c r="L166" s="267"/>
      <c r="M166" s="268"/>
      <c r="N166" s="259" t="str" cm="1">
        <f t="array" ref="N166">IF($L166&gt;0, INDEX(Clean,1+AK166,$D$1), "")</f>
        <v/>
      </c>
      <c r="O166" s="260"/>
      <c r="P166" s="260"/>
      <c r="Q166" s="261"/>
      <c r="R166" s="264">
        <f t="shared" si="469"/>
        <v>0</v>
      </c>
      <c r="S166" s="259" t="str" cm="1">
        <f t="array" ref="S166">IF($L166&gt;0, INDEX(Clean,1+AL166,$D$1), "")</f>
        <v/>
      </c>
      <c r="T166" s="260"/>
      <c r="U166" s="260"/>
      <c r="V166" s="261"/>
      <c r="W166" s="267"/>
      <c r="X166" s="267"/>
      <c r="Y166" s="257"/>
      <c r="Z166" s="264">
        <f t="shared" si="470"/>
        <v>0</v>
      </c>
      <c r="AA166" s="269"/>
      <c r="AB166" s="266"/>
      <c r="AC166" s="254"/>
      <c r="AD166" s="255" t="str">
        <f>IF(ISBLANK(AC166), "", VLOOKUP(AC166, Z!$A$2:$C$4127, 3, FALSE))</f>
        <v/>
      </c>
      <c r="AE166" s="270"/>
      <c r="AF166" s="265">
        <f t="shared" si="471"/>
        <v>0</v>
      </c>
      <c r="AG166" s="246"/>
      <c r="AH166" s="228">
        <f t="shared" si="494"/>
        <v>1</v>
      </c>
      <c r="AI166" s="228">
        <f t="shared" si="495"/>
        <v>1</v>
      </c>
      <c r="AJ166" s="228">
        <f t="shared" si="496"/>
        <v>0</v>
      </c>
      <c r="AK166" s="228">
        <v>0</v>
      </c>
      <c r="AL166" s="228">
        <v>0</v>
      </c>
      <c r="AM166" s="228">
        <f t="shared" si="472"/>
        <v>-100</v>
      </c>
      <c r="AN166" s="228" cm="1">
        <f t="array" ref="AN166">IF(ISBLANK(G166), 1, IFERROR(MATCH(G166, INDEX(Kat,,1), 0), IFERROR(MATCH(Kat, INDEX(Use,,2), 0), MATCH(Kat, INDEX(Use,,3), 0))))</f>
        <v>1</v>
      </c>
      <c r="AO166" s="246"/>
      <c r="AP166" s="228" cm="1">
        <f t="array" ref="AP166">IF(W166&gt;0, INDEX(Kat, AN166,4), 0)</f>
        <v>0</v>
      </c>
      <c r="AQ166" s="228">
        <f t="shared" si="497"/>
        <v>0</v>
      </c>
      <c r="AR166" s="228" cm="1">
        <f t="array" ref="AR166">IF(X166&gt;0, INDEX(Kat, $AN166, 4+AQ166), 0)</f>
        <v>0</v>
      </c>
      <c r="AS166" s="228" cm="1">
        <f t="array" ref="AS166">IF(X166&gt;0, INDEX(Kat, $AN166, 9+AQ166), 0)</f>
        <v>0</v>
      </c>
      <c r="AT166" s="246"/>
      <c r="AU166" s="262"/>
      <c r="AV166" s="262"/>
      <c r="AW166" s="263"/>
      <c r="AX166" s="263"/>
      <c r="AY166" s="263"/>
      <c r="AZ166" s="263"/>
      <c r="BA166" s="263"/>
      <c r="BB166" s="263"/>
      <c r="BC166" s="263"/>
      <c r="BD166" s="263"/>
      <c r="BE166" s="263"/>
      <c r="BF166" s="263"/>
      <c r="BG166" s="263"/>
      <c r="BH166" s="246"/>
      <c r="BI166" s="228" cm="1">
        <f t="array" ref="BI166">INDEX(Use, $AH166, 4)</f>
        <v>7</v>
      </c>
      <c r="BJ166" s="228">
        <f t="shared" si="473"/>
        <v>32</v>
      </c>
      <c r="BK166" s="228">
        <f t="shared" si="305"/>
        <v>13</v>
      </c>
      <c r="BL166" s="228">
        <f t="shared" si="306"/>
        <v>0</v>
      </c>
      <c r="BM166" s="233" cm="1">
        <f t="array" ref="BM166">L166/IF($M166&gt;0, INDEX($AY$22:$BE$76, $M166+20, $AH166), 1)</f>
        <v>0</v>
      </c>
      <c r="BN166" s="229">
        <f t="shared" si="474"/>
        <v>0</v>
      </c>
      <c r="BO166" s="228">
        <v>35</v>
      </c>
      <c r="BP166" s="229">
        <f t="shared" si="475"/>
        <v>48</v>
      </c>
      <c r="BQ166" s="234">
        <f t="shared" si="476"/>
        <v>3.0748170731707316</v>
      </c>
      <c r="BR166" s="234" cm="1">
        <f t="array" ref="BR166">$BM166 * SUMPRODUCT(INDEX($AV$76:$AX$81,,$AI166),INDEX($AY$76:$BE$81,,$AH166), N($AU$76:$AU$81&gt;$AM166)) / BQ166 / 1000</f>
        <v>0</v>
      </c>
      <c r="BS166" s="231">
        <f t="shared" si="310"/>
        <v>30</v>
      </c>
      <c r="BT166" s="229">
        <f t="shared" si="477"/>
        <v>43</v>
      </c>
      <c r="BU166" s="234">
        <f t="shared" si="478"/>
        <v>3.5018750000000001</v>
      </c>
      <c r="BV166" s="234" cm="1">
        <f t="array" ref="BV166">$BM166 * IF($AH166&lt;=2,
SUMPRODUCT(INDEX($AV$71:$AX$75,,$AI166), INDEX($AY$71:$BE$75,,$AH166), 1 / ($BF$71:$BF$75*BU166 + (1-$BF$71:$BF$75)*BQ166), N($AU$71:$AU$75&gt;$AM166)),
SUMPRODUCT(INDEX($AV$66:$AX$75,,$AI166), INDEX($AY$66:$BE$75,,$AH166), 1 / ($BG$66:$BG$75*BU166 + (1-$BG$66:$BG$75)*BQ166), N($AU$66:$AU$75&gt;$AM166))
) / 1000</f>
        <v>0</v>
      </c>
      <c r="BW166" s="231">
        <f t="shared" si="313"/>
        <v>25</v>
      </c>
      <c r="BX166" s="229">
        <f t="shared" si="479"/>
        <v>38</v>
      </c>
      <c r="BY166" s="234">
        <f t="shared" si="480"/>
        <v>4.0666935483870965</v>
      </c>
      <c r="BZ166" s="234" cm="1">
        <f t="array" ref="BZ166">$BM166 * IF($AH166&lt;=2,
SUMPRODUCT(INDEX($AV$66:$AX$70,,$AI166), INDEX($AY$66:$BE$70,,$AH166), 1 / ($BF$66:$BF$70*BY166 + (1-$BF$66:$BF$70)*BU166), N($AU$66:$AU$70&gt;$AM166)),
SUMPRODUCT(INDEX($AV$56:$AX$65,,$AI166), INDEX($AY$56:$BE$65,,$AH166), 1 / ($BG$56:$BG$65*BY166 + (1-$BG$56:$BG$65)*BU166), N($AU$56:$AU$65&gt;$AM166))
) / 1000</f>
        <v>0</v>
      </c>
      <c r="CA166" s="231">
        <f t="shared" si="316"/>
        <v>20</v>
      </c>
      <c r="CB166" s="229">
        <f t="shared" si="481"/>
        <v>33</v>
      </c>
      <c r="CC166" s="234">
        <f t="shared" si="482"/>
        <v>4.8487499999999999</v>
      </c>
      <c r="CD166" s="234" cm="1">
        <f t="array" ref="CD166">$BM166 * IF($AH166&lt;=2,
SUMPRODUCT(INDEX($AV$61:$AX$65,,$AI166), INDEX($AY$61:$BE$65,,$AH166), 1 / ($BF$61:$BF$65*CC166 + (1-$BF$61:$BF$65)*BY166), N($AU$61:$AU$65&gt;$AM166)),
SUMPRODUCT(INDEX($AV$46:$AX$55,,$AI166), INDEX($AY$46:$BE$55,,$AH166), 1 / ($BG$46:$BG$55*CC166 + (1-$BG$46:$BG$55)*BY166), N($AU$46:$AU$55&gt;$AM166))
) / 1000</f>
        <v>0</v>
      </c>
      <c r="CE166" s="234" cm="1">
        <f t="array" ref="CE166">$BM166 * IF($AH166&lt;=2,
SUMPRODUCT(INDEX($AV$22:$AX$60,,$AI166), INDEX($AY$22:$BE$60,,$AH166), 1 / ($BF$22:$BF$60*CC166), N($AU$22:$AU$60&gt;$AM166)),
SUMPRODUCT(INDEX($AV$22:$AX$45,,$AI166), INDEX($AY$22:$BE$45,,$AH166), 1 / ($BG$22:$BG$45*CC166), N($AU$22:$AU$45&gt;$AM166))
) / 1000</f>
        <v>0</v>
      </c>
      <c r="CF166" s="229">
        <f t="shared" si="483"/>
        <v>0</v>
      </c>
      <c r="CG166" s="246"/>
      <c r="CH166" s="229">
        <f t="shared" si="484"/>
        <v>0</v>
      </c>
      <c r="CI166" s="228">
        <v>35</v>
      </c>
      <c r="CJ166" s="229">
        <f t="shared" si="485"/>
        <v>48</v>
      </c>
      <c r="CK166" s="234">
        <f t="shared" si="486"/>
        <v>3.0748170731707316</v>
      </c>
      <c r="CL166" s="234" cm="1">
        <f t="array" ref="CL166">$BM166 * SUMPRODUCT(INDEX($AV$76:$AX$81,,$AI166),INDEX($AY$76:$BE$81,,$AH166), N($AU$76:$AU$81&gt;$AM166)) / CK166 / 1000</f>
        <v>0</v>
      </c>
      <c r="CM166" s="231">
        <f t="shared" si="323"/>
        <v>30</v>
      </c>
      <c r="CN166" s="229">
        <f t="shared" si="487"/>
        <v>43</v>
      </c>
      <c r="CO166" s="234">
        <f t="shared" si="488"/>
        <v>3.5018750000000001</v>
      </c>
      <c r="CP166" s="234" cm="1">
        <f t="array" ref="CP166">$BM166 * IF($AH166&lt;=2,
SUMPRODUCT(INDEX($AV$71:$AX$75,,$AI166), INDEX($AY$71:$BE$75,,$AH166), 1 / ($BF$71:$BF$75*CO166 + (1-$BF$71:$BF$75)*CK166), N($AU$71:$AU$75&gt;$AM166)),
SUMPRODUCT(INDEX($AV$66:$AX$75,,$AI166), INDEX($AY$66:$BE$75,,$AH166), 1 / ($BG$66:$BG$75*CO166 + (1-$BG$66:$BG$75)*CK166), N($AU$66:$AU$75&gt;$AM166))
) / 1000</f>
        <v>0</v>
      </c>
      <c r="CQ166" s="231">
        <f t="shared" si="326"/>
        <v>25</v>
      </c>
      <c r="CR166" s="229">
        <f t="shared" si="489"/>
        <v>38</v>
      </c>
      <c r="CS166" s="234">
        <f t="shared" si="490"/>
        <v>4.0666935483870965</v>
      </c>
      <c r="CT166" s="234" cm="1">
        <f t="array" ref="CT166">$BM166 * IF($AH166&lt;=2,
SUMPRODUCT(INDEX($AV$66:$AX$70,,$AI166), INDEX($AY$66:$BE$70,,$AH166), 1 / ($BF$66:$BF$70*CS166 + (1-$BF$66:$BF$70)*CO166), N($AU$66:$AU$70&gt;$AM166)),
SUMPRODUCT(INDEX($AV$56:$AX$65,,$AI166), INDEX($AY$56:$BE$65,,$AH166), 1 / ($BG$56:$BG$65*CS166 + (1-$BG$56:$BG$65)*CO166), N($AU$56:$AU$65&gt;$AM166))
) / 1000</f>
        <v>0</v>
      </c>
      <c r="CU166" s="231">
        <f t="shared" si="329"/>
        <v>20</v>
      </c>
      <c r="CV166" s="229">
        <f t="shared" si="491"/>
        <v>33</v>
      </c>
      <c r="CW166" s="234">
        <f t="shared" si="492"/>
        <v>4.8487499999999999</v>
      </c>
      <c r="CX166" s="234" cm="1">
        <f t="array" ref="CX166">$BM166 * IF($AH166&lt;=2,
SUMPRODUCT(INDEX($AV$61:$AX$65,,$AI166), INDEX($AY$61:$BE$65,,$AH166), 1 / ($BF$61:$BF$65*CW166 + (1-$BF$61:$BF$65)*CS166), N($AU$61:$AU$65&gt;$AM166)),
SUMPRODUCT(INDEX($AV$46:$AX$55,,$AI166), INDEX($AY$46:$BE$55,,$AH166), 1 / ($BG$46:$BG$55*CW166 + (1-$BG$46:$BG$55)*CS166), N($AU$46:$AU$55&gt;$AM166))
) / 1000</f>
        <v>0</v>
      </c>
      <c r="CY166" s="234" cm="1">
        <f t="array" ref="CY166">$BM166 * IF($AH166&lt;=2,
SUMPRODUCT(INDEX($AV$22:$AX$60,,$AI166), INDEX($AY$22:$BE$60,,$AH166), 1 / ($BF$22:$BF$60*CW166), N($AU$22:$AU$60&gt;$AM166)),
SUMPRODUCT(INDEX($AV$22:$AX$45,,$AI166), INDEX($AY$22:$BE$45,,$AH166), 1 / ($BG$22:$BG$45*CW166), N($AU$22:$AU$45&gt;$AM166))
) / 1000</f>
        <v>0</v>
      </c>
      <c r="CZ166" s="229">
        <f t="shared" si="493"/>
        <v>0</v>
      </c>
      <c r="DA166" s="246"/>
    </row>
    <row r="167" spans="1:105" s="75" customFormat="1" ht="14.25" customHeight="1" x14ac:dyDescent="0.2">
      <c r="A167" s="230" t="b">
        <f t="shared" si="291"/>
        <v>0</v>
      </c>
      <c r="B167" s="253">
        <v>146</v>
      </c>
      <c r="C167" s="266"/>
      <c r="D167" s="266"/>
      <c r="E167" s="254"/>
      <c r="F167" s="255" t="str">
        <f>IF(ISBLANK(E167), "", VLOOKUP(E167, Z!$A$2:$C$4127, 3, FALSE))</f>
        <v/>
      </c>
      <c r="G167" s="256"/>
      <c r="H167" s="256"/>
      <c r="I167" s="256"/>
      <c r="J167" s="257"/>
      <c r="K167" s="258"/>
      <c r="L167" s="267"/>
      <c r="M167" s="268"/>
      <c r="N167" s="259" t="str" cm="1">
        <f t="array" ref="N167">IF($L167&gt;0, INDEX(Clean,1+AK167,$D$1), "")</f>
        <v/>
      </c>
      <c r="O167" s="260"/>
      <c r="P167" s="260"/>
      <c r="Q167" s="261"/>
      <c r="R167" s="264">
        <f t="shared" si="469"/>
        <v>0</v>
      </c>
      <c r="S167" s="259" t="str" cm="1">
        <f t="array" ref="S167">IF($L167&gt;0, INDEX(Clean,1+AL167,$D$1), "")</f>
        <v/>
      </c>
      <c r="T167" s="260"/>
      <c r="U167" s="260"/>
      <c r="V167" s="261"/>
      <c r="W167" s="267"/>
      <c r="X167" s="267"/>
      <c r="Y167" s="257"/>
      <c r="Z167" s="264">
        <f t="shared" si="470"/>
        <v>0</v>
      </c>
      <c r="AA167" s="269"/>
      <c r="AB167" s="266"/>
      <c r="AC167" s="254"/>
      <c r="AD167" s="255" t="str">
        <f>IF(ISBLANK(AC167), "", VLOOKUP(AC167, Z!$A$2:$C$4127, 3, FALSE))</f>
        <v/>
      </c>
      <c r="AE167" s="270"/>
      <c r="AF167" s="265">
        <f t="shared" si="471"/>
        <v>0</v>
      </c>
      <c r="AG167" s="246"/>
      <c r="AH167" s="228">
        <f t="shared" si="494"/>
        <v>1</v>
      </c>
      <c r="AI167" s="228">
        <f t="shared" si="495"/>
        <v>1</v>
      </c>
      <c r="AJ167" s="228">
        <f t="shared" si="496"/>
        <v>0</v>
      </c>
      <c r="AK167" s="228">
        <v>0</v>
      </c>
      <c r="AL167" s="228">
        <v>0</v>
      </c>
      <c r="AM167" s="228">
        <f t="shared" si="472"/>
        <v>-100</v>
      </c>
      <c r="AN167" s="228" cm="1">
        <f t="array" ref="AN167">IF(ISBLANK(G167), 1, IFERROR(MATCH(G167, INDEX(Kat,,1), 0), IFERROR(MATCH(Kat, INDEX(Use,,2), 0), MATCH(Kat, INDEX(Use,,3), 0))))</f>
        <v>1</v>
      </c>
      <c r="AO167" s="246"/>
      <c r="AP167" s="228" cm="1">
        <f t="array" ref="AP167">IF(W167&gt;0, INDEX(Kat, AN167,4), 0)</f>
        <v>0</v>
      </c>
      <c r="AQ167" s="228">
        <f t="shared" si="497"/>
        <v>0</v>
      </c>
      <c r="AR167" s="228" cm="1">
        <f t="array" ref="AR167">IF(X167&gt;0, INDEX(Kat, $AN167, 4+AQ167), 0)</f>
        <v>0</v>
      </c>
      <c r="AS167" s="228" cm="1">
        <f t="array" ref="AS167">IF(X167&gt;0, INDEX(Kat, $AN167, 9+AQ167), 0)</f>
        <v>0</v>
      </c>
      <c r="AT167" s="246"/>
      <c r="AU167" s="262"/>
      <c r="AV167" s="262"/>
      <c r="AW167" s="263"/>
      <c r="AX167" s="263"/>
      <c r="AY167" s="263"/>
      <c r="AZ167" s="263"/>
      <c r="BA167" s="263"/>
      <c r="BB167" s="263"/>
      <c r="BC167" s="263"/>
      <c r="BD167" s="263"/>
      <c r="BE167" s="263"/>
      <c r="BF167" s="263"/>
      <c r="BG167" s="263"/>
      <c r="BH167" s="246"/>
      <c r="BI167" s="228" cm="1">
        <f t="array" ref="BI167">INDEX(Use, $AH167, 4)</f>
        <v>7</v>
      </c>
      <c r="BJ167" s="228">
        <f t="shared" si="473"/>
        <v>32</v>
      </c>
      <c r="BK167" s="228">
        <f t="shared" si="305"/>
        <v>13</v>
      </c>
      <c r="BL167" s="228">
        <f t="shared" si="306"/>
        <v>0</v>
      </c>
      <c r="BM167" s="233" cm="1">
        <f t="array" ref="BM167">L167/IF($M167&gt;0, INDEX($AY$22:$BE$76, $M167+20, $AH167), 1)</f>
        <v>0</v>
      </c>
      <c r="BN167" s="229">
        <f t="shared" si="474"/>
        <v>0</v>
      </c>
      <c r="BO167" s="228">
        <v>35</v>
      </c>
      <c r="BP167" s="229">
        <f t="shared" si="475"/>
        <v>48</v>
      </c>
      <c r="BQ167" s="234">
        <f t="shared" si="476"/>
        <v>3.0748170731707316</v>
      </c>
      <c r="BR167" s="234" cm="1">
        <f t="array" ref="BR167">$BM167 * SUMPRODUCT(INDEX($AV$76:$AX$81,,$AI167),INDEX($AY$76:$BE$81,,$AH167), N($AU$76:$AU$81&gt;$AM167)) / BQ167 / 1000</f>
        <v>0</v>
      </c>
      <c r="BS167" s="231">
        <f t="shared" si="310"/>
        <v>30</v>
      </c>
      <c r="BT167" s="229">
        <f t="shared" si="477"/>
        <v>43</v>
      </c>
      <c r="BU167" s="234">
        <f t="shared" si="478"/>
        <v>3.5018750000000001</v>
      </c>
      <c r="BV167" s="234" cm="1">
        <f t="array" ref="BV167">$BM167 * IF($AH167&lt;=2,
SUMPRODUCT(INDEX($AV$71:$AX$75,,$AI167), INDEX($AY$71:$BE$75,,$AH167), 1 / ($BF$71:$BF$75*BU167 + (1-$BF$71:$BF$75)*BQ167), N($AU$71:$AU$75&gt;$AM167)),
SUMPRODUCT(INDEX($AV$66:$AX$75,,$AI167), INDEX($AY$66:$BE$75,,$AH167), 1 / ($BG$66:$BG$75*BU167 + (1-$BG$66:$BG$75)*BQ167), N($AU$66:$AU$75&gt;$AM167))
) / 1000</f>
        <v>0</v>
      </c>
      <c r="BW167" s="231">
        <f t="shared" si="313"/>
        <v>25</v>
      </c>
      <c r="BX167" s="229">
        <f t="shared" si="479"/>
        <v>38</v>
      </c>
      <c r="BY167" s="234">
        <f t="shared" si="480"/>
        <v>4.0666935483870965</v>
      </c>
      <c r="BZ167" s="234" cm="1">
        <f t="array" ref="BZ167">$BM167 * IF($AH167&lt;=2,
SUMPRODUCT(INDEX($AV$66:$AX$70,,$AI167), INDEX($AY$66:$BE$70,,$AH167), 1 / ($BF$66:$BF$70*BY167 + (1-$BF$66:$BF$70)*BU167), N($AU$66:$AU$70&gt;$AM167)),
SUMPRODUCT(INDEX($AV$56:$AX$65,,$AI167), INDEX($AY$56:$BE$65,,$AH167), 1 / ($BG$56:$BG$65*BY167 + (1-$BG$56:$BG$65)*BU167), N($AU$56:$AU$65&gt;$AM167))
) / 1000</f>
        <v>0</v>
      </c>
      <c r="CA167" s="231">
        <f t="shared" si="316"/>
        <v>20</v>
      </c>
      <c r="CB167" s="229">
        <f t="shared" si="481"/>
        <v>33</v>
      </c>
      <c r="CC167" s="234">
        <f t="shared" si="482"/>
        <v>4.8487499999999999</v>
      </c>
      <c r="CD167" s="234" cm="1">
        <f t="array" ref="CD167">$BM167 * IF($AH167&lt;=2,
SUMPRODUCT(INDEX($AV$61:$AX$65,,$AI167), INDEX($AY$61:$BE$65,,$AH167), 1 / ($BF$61:$BF$65*CC167 + (1-$BF$61:$BF$65)*BY167), N($AU$61:$AU$65&gt;$AM167)),
SUMPRODUCT(INDEX($AV$46:$AX$55,,$AI167), INDEX($AY$46:$BE$55,,$AH167), 1 / ($BG$46:$BG$55*CC167 + (1-$BG$46:$BG$55)*BY167), N($AU$46:$AU$55&gt;$AM167))
) / 1000</f>
        <v>0</v>
      </c>
      <c r="CE167" s="234" cm="1">
        <f t="array" ref="CE167">$BM167 * IF($AH167&lt;=2,
SUMPRODUCT(INDEX($AV$22:$AX$60,,$AI167), INDEX($AY$22:$BE$60,,$AH167), 1 / ($BF$22:$BF$60*CC167), N($AU$22:$AU$60&gt;$AM167)),
SUMPRODUCT(INDEX($AV$22:$AX$45,,$AI167), INDEX($AY$22:$BE$45,,$AH167), 1 / ($BG$22:$BG$45*CC167), N($AU$22:$AU$45&gt;$AM167))
) / 1000</f>
        <v>0</v>
      </c>
      <c r="CF167" s="229">
        <f t="shared" si="483"/>
        <v>0</v>
      </c>
      <c r="CG167" s="246"/>
      <c r="CH167" s="229">
        <f t="shared" si="484"/>
        <v>0</v>
      </c>
      <c r="CI167" s="228">
        <v>35</v>
      </c>
      <c r="CJ167" s="229">
        <f t="shared" si="485"/>
        <v>48</v>
      </c>
      <c r="CK167" s="234">
        <f t="shared" si="486"/>
        <v>3.0748170731707316</v>
      </c>
      <c r="CL167" s="234" cm="1">
        <f t="array" ref="CL167">$BM167 * SUMPRODUCT(INDEX($AV$76:$AX$81,,$AI167),INDEX($AY$76:$BE$81,,$AH167), N($AU$76:$AU$81&gt;$AM167)) / CK167 / 1000</f>
        <v>0</v>
      </c>
      <c r="CM167" s="231">
        <f t="shared" si="323"/>
        <v>30</v>
      </c>
      <c r="CN167" s="229">
        <f t="shared" si="487"/>
        <v>43</v>
      </c>
      <c r="CO167" s="234">
        <f t="shared" si="488"/>
        <v>3.5018750000000001</v>
      </c>
      <c r="CP167" s="234" cm="1">
        <f t="array" ref="CP167">$BM167 * IF($AH167&lt;=2,
SUMPRODUCT(INDEX($AV$71:$AX$75,,$AI167), INDEX($AY$71:$BE$75,,$AH167), 1 / ($BF$71:$BF$75*CO167 + (1-$BF$71:$BF$75)*CK167), N($AU$71:$AU$75&gt;$AM167)),
SUMPRODUCT(INDEX($AV$66:$AX$75,,$AI167), INDEX($AY$66:$BE$75,,$AH167), 1 / ($BG$66:$BG$75*CO167 + (1-$BG$66:$BG$75)*CK167), N($AU$66:$AU$75&gt;$AM167))
) / 1000</f>
        <v>0</v>
      </c>
      <c r="CQ167" s="231">
        <f t="shared" si="326"/>
        <v>25</v>
      </c>
      <c r="CR167" s="229">
        <f t="shared" si="489"/>
        <v>38</v>
      </c>
      <c r="CS167" s="234">
        <f t="shared" si="490"/>
        <v>4.0666935483870965</v>
      </c>
      <c r="CT167" s="234" cm="1">
        <f t="array" ref="CT167">$BM167 * IF($AH167&lt;=2,
SUMPRODUCT(INDEX($AV$66:$AX$70,,$AI167), INDEX($AY$66:$BE$70,,$AH167), 1 / ($BF$66:$BF$70*CS167 + (1-$BF$66:$BF$70)*CO167), N($AU$66:$AU$70&gt;$AM167)),
SUMPRODUCT(INDEX($AV$56:$AX$65,,$AI167), INDEX($AY$56:$BE$65,,$AH167), 1 / ($BG$56:$BG$65*CS167 + (1-$BG$56:$BG$65)*CO167), N($AU$56:$AU$65&gt;$AM167))
) / 1000</f>
        <v>0</v>
      </c>
      <c r="CU167" s="231">
        <f t="shared" si="329"/>
        <v>20</v>
      </c>
      <c r="CV167" s="229">
        <f t="shared" si="491"/>
        <v>33</v>
      </c>
      <c r="CW167" s="234">
        <f t="shared" si="492"/>
        <v>4.8487499999999999</v>
      </c>
      <c r="CX167" s="234" cm="1">
        <f t="array" ref="CX167">$BM167 * IF($AH167&lt;=2,
SUMPRODUCT(INDEX($AV$61:$AX$65,,$AI167), INDEX($AY$61:$BE$65,,$AH167), 1 / ($BF$61:$BF$65*CW167 + (1-$BF$61:$BF$65)*CS167), N($AU$61:$AU$65&gt;$AM167)),
SUMPRODUCT(INDEX($AV$46:$AX$55,,$AI167), INDEX($AY$46:$BE$55,,$AH167), 1 / ($BG$46:$BG$55*CW167 + (1-$BG$46:$BG$55)*CS167), N($AU$46:$AU$55&gt;$AM167))
) / 1000</f>
        <v>0</v>
      </c>
      <c r="CY167" s="234" cm="1">
        <f t="array" ref="CY167">$BM167 * IF($AH167&lt;=2,
SUMPRODUCT(INDEX($AV$22:$AX$60,,$AI167), INDEX($AY$22:$BE$60,,$AH167), 1 / ($BF$22:$BF$60*CW167), N($AU$22:$AU$60&gt;$AM167)),
SUMPRODUCT(INDEX($AV$22:$AX$45,,$AI167), INDEX($AY$22:$BE$45,,$AH167), 1 / ($BG$22:$BG$45*CW167), N($AU$22:$AU$45&gt;$AM167))
) / 1000</f>
        <v>0</v>
      </c>
      <c r="CZ167" s="229">
        <f t="shared" si="493"/>
        <v>0</v>
      </c>
      <c r="DA167" s="246"/>
    </row>
    <row r="168" spans="1:105" s="75" customFormat="1" ht="14.25" customHeight="1" x14ac:dyDescent="0.2">
      <c r="A168" s="230" t="b">
        <f t="shared" si="291"/>
        <v>0</v>
      </c>
      <c r="B168" s="253">
        <v>147</v>
      </c>
      <c r="C168" s="266"/>
      <c r="D168" s="266"/>
      <c r="E168" s="254"/>
      <c r="F168" s="255" t="str">
        <f>IF(ISBLANK(E168), "", VLOOKUP(E168, Z!$A$2:$C$4127, 3, FALSE))</f>
        <v/>
      </c>
      <c r="G168" s="256"/>
      <c r="H168" s="256"/>
      <c r="I168" s="256"/>
      <c r="J168" s="257"/>
      <c r="K168" s="258"/>
      <c r="L168" s="267"/>
      <c r="M168" s="268"/>
      <c r="N168" s="259" t="str" cm="1">
        <f t="array" ref="N168">IF($L168&gt;0, INDEX(Clean,1+AK168,$D$1), "")</f>
        <v/>
      </c>
      <c r="O168" s="260"/>
      <c r="P168" s="260"/>
      <c r="Q168" s="261"/>
      <c r="R168" s="264">
        <f t="shared" si="469"/>
        <v>0</v>
      </c>
      <c r="S168" s="259" t="str" cm="1">
        <f t="array" ref="S168">IF($L168&gt;0, INDEX(Clean,1+AL168,$D$1), "")</f>
        <v/>
      </c>
      <c r="T168" s="260"/>
      <c r="U168" s="260"/>
      <c r="V168" s="261"/>
      <c r="W168" s="267"/>
      <c r="X168" s="267"/>
      <c r="Y168" s="257"/>
      <c r="Z168" s="264">
        <f t="shared" si="470"/>
        <v>0</v>
      </c>
      <c r="AA168" s="269"/>
      <c r="AB168" s="266"/>
      <c r="AC168" s="254"/>
      <c r="AD168" s="255" t="str">
        <f>IF(ISBLANK(AC168), "", VLOOKUP(AC168, Z!$A$2:$C$4127, 3, FALSE))</f>
        <v/>
      </c>
      <c r="AE168" s="270"/>
      <c r="AF168" s="265">
        <f t="shared" si="471"/>
        <v>0</v>
      </c>
      <c r="AG168" s="246"/>
      <c r="AH168" s="228">
        <f t="shared" si="494"/>
        <v>1</v>
      </c>
      <c r="AI168" s="228">
        <f t="shared" si="495"/>
        <v>1</v>
      </c>
      <c r="AJ168" s="228">
        <f t="shared" si="496"/>
        <v>0</v>
      </c>
      <c r="AK168" s="228">
        <v>0</v>
      </c>
      <c r="AL168" s="228">
        <v>0</v>
      </c>
      <c r="AM168" s="228">
        <f t="shared" si="472"/>
        <v>-100</v>
      </c>
      <c r="AN168" s="228" cm="1">
        <f t="array" ref="AN168">IF(ISBLANK(G168), 1, IFERROR(MATCH(G168, INDEX(Kat,,1), 0), IFERROR(MATCH(Kat, INDEX(Use,,2), 0), MATCH(Kat, INDEX(Use,,3), 0))))</f>
        <v>1</v>
      </c>
      <c r="AO168" s="246"/>
      <c r="AP168" s="228" cm="1">
        <f t="array" ref="AP168">IF(W168&gt;0, INDEX(Kat, AN168,4), 0)</f>
        <v>0</v>
      </c>
      <c r="AQ168" s="228">
        <f t="shared" si="497"/>
        <v>0</v>
      </c>
      <c r="AR168" s="228" cm="1">
        <f t="array" ref="AR168">IF(X168&gt;0, INDEX(Kat, $AN168, 4+AQ168), 0)</f>
        <v>0</v>
      </c>
      <c r="AS168" s="228" cm="1">
        <f t="array" ref="AS168">IF(X168&gt;0, INDEX(Kat, $AN168, 9+AQ168), 0)</f>
        <v>0</v>
      </c>
      <c r="AT168" s="246"/>
      <c r="AU168" s="262"/>
      <c r="AV168" s="262"/>
      <c r="AW168" s="263"/>
      <c r="AX168" s="263"/>
      <c r="AY168" s="263"/>
      <c r="AZ168" s="263"/>
      <c r="BA168" s="263"/>
      <c r="BB168" s="263"/>
      <c r="BC168" s="263"/>
      <c r="BD168" s="263"/>
      <c r="BE168" s="263"/>
      <c r="BF168" s="263"/>
      <c r="BG168" s="263"/>
      <c r="BH168" s="246"/>
      <c r="BI168" s="228" cm="1">
        <f t="array" ref="BI168">INDEX(Use, $AH168, 4)</f>
        <v>7</v>
      </c>
      <c r="BJ168" s="228">
        <f t="shared" si="473"/>
        <v>32</v>
      </c>
      <c r="BK168" s="228">
        <f t="shared" si="305"/>
        <v>13</v>
      </c>
      <c r="BL168" s="228">
        <f t="shared" si="306"/>
        <v>0</v>
      </c>
      <c r="BM168" s="233" cm="1">
        <f t="array" ref="BM168">L168/IF($M168&gt;0, INDEX($AY$22:$BE$76, $M168+20, $AH168), 1)</f>
        <v>0</v>
      </c>
      <c r="BN168" s="229">
        <f t="shared" si="474"/>
        <v>0</v>
      </c>
      <c r="BO168" s="228">
        <v>35</v>
      </c>
      <c r="BP168" s="229">
        <f t="shared" si="475"/>
        <v>48</v>
      </c>
      <c r="BQ168" s="234">
        <f t="shared" si="476"/>
        <v>3.0748170731707316</v>
      </c>
      <c r="BR168" s="234" cm="1">
        <f t="array" ref="BR168">$BM168 * SUMPRODUCT(INDEX($AV$76:$AX$81,,$AI168),INDEX($AY$76:$BE$81,,$AH168), N($AU$76:$AU$81&gt;$AM168)) / BQ168 / 1000</f>
        <v>0</v>
      </c>
      <c r="BS168" s="231">
        <f t="shared" si="310"/>
        <v>30</v>
      </c>
      <c r="BT168" s="229">
        <f t="shared" si="477"/>
        <v>43</v>
      </c>
      <c r="BU168" s="234">
        <f t="shared" si="478"/>
        <v>3.5018750000000001</v>
      </c>
      <c r="BV168" s="234" cm="1">
        <f t="array" ref="BV168">$BM168 * IF($AH168&lt;=2,
SUMPRODUCT(INDEX($AV$71:$AX$75,,$AI168), INDEX($AY$71:$BE$75,,$AH168), 1 / ($BF$71:$BF$75*BU168 + (1-$BF$71:$BF$75)*BQ168), N($AU$71:$AU$75&gt;$AM168)),
SUMPRODUCT(INDEX($AV$66:$AX$75,,$AI168), INDEX($AY$66:$BE$75,,$AH168), 1 / ($BG$66:$BG$75*BU168 + (1-$BG$66:$BG$75)*BQ168), N($AU$66:$AU$75&gt;$AM168))
) / 1000</f>
        <v>0</v>
      </c>
      <c r="BW168" s="231">
        <f t="shared" si="313"/>
        <v>25</v>
      </c>
      <c r="BX168" s="229">
        <f t="shared" si="479"/>
        <v>38</v>
      </c>
      <c r="BY168" s="234">
        <f t="shared" si="480"/>
        <v>4.0666935483870965</v>
      </c>
      <c r="BZ168" s="234" cm="1">
        <f t="array" ref="BZ168">$BM168 * IF($AH168&lt;=2,
SUMPRODUCT(INDEX($AV$66:$AX$70,,$AI168), INDEX($AY$66:$BE$70,,$AH168), 1 / ($BF$66:$BF$70*BY168 + (1-$BF$66:$BF$70)*BU168), N($AU$66:$AU$70&gt;$AM168)),
SUMPRODUCT(INDEX($AV$56:$AX$65,,$AI168), INDEX($AY$56:$BE$65,,$AH168), 1 / ($BG$56:$BG$65*BY168 + (1-$BG$56:$BG$65)*BU168), N($AU$56:$AU$65&gt;$AM168))
) / 1000</f>
        <v>0</v>
      </c>
      <c r="CA168" s="231">
        <f t="shared" si="316"/>
        <v>20</v>
      </c>
      <c r="CB168" s="229">
        <f t="shared" si="481"/>
        <v>33</v>
      </c>
      <c r="CC168" s="234">
        <f t="shared" si="482"/>
        <v>4.8487499999999999</v>
      </c>
      <c r="CD168" s="234" cm="1">
        <f t="array" ref="CD168">$BM168 * IF($AH168&lt;=2,
SUMPRODUCT(INDEX($AV$61:$AX$65,,$AI168), INDEX($AY$61:$BE$65,,$AH168), 1 / ($BF$61:$BF$65*CC168 + (1-$BF$61:$BF$65)*BY168), N($AU$61:$AU$65&gt;$AM168)),
SUMPRODUCT(INDEX($AV$46:$AX$55,,$AI168), INDEX($AY$46:$BE$55,,$AH168), 1 / ($BG$46:$BG$55*CC168 + (1-$BG$46:$BG$55)*BY168), N($AU$46:$AU$55&gt;$AM168))
) / 1000</f>
        <v>0</v>
      </c>
      <c r="CE168" s="234" cm="1">
        <f t="array" ref="CE168">$BM168 * IF($AH168&lt;=2,
SUMPRODUCT(INDEX($AV$22:$AX$60,,$AI168), INDEX($AY$22:$BE$60,,$AH168), 1 / ($BF$22:$BF$60*CC168), N($AU$22:$AU$60&gt;$AM168)),
SUMPRODUCT(INDEX($AV$22:$AX$45,,$AI168), INDEX($AY$22:$BE$45,,$AH168), 1 / ($BG$22:$BG$45*CC168), N($AU$22:$AU$45&gt;$AM168))
) / 1000</f>
        <v>0</v>
      </c>
      <c r="CF168" s="229">
        <f t="shared" si="483"/>
        <v>0</v>
      </c>
      <c r="CG168" s="246"/>
      <c r="CH168" s="229">
        <f t="shared" si="484"/>
        <v>0</v>
      </c>
      <c r="CI168" s="228">
        <v>35</v>
      </c>
      <c r="CJ168" s="229">
        <f t="shared" si="485"/>
        <v>48</v>
      </c>
      <c r="CK168" s="234">
        <f t="shared" si="486"/>
        <v>3.0748170731707316</v>
      </c>
      <c r="CL168" s="234" cm="1">
        <f t="array" ref="CL168">$BM168 * SUMPRODUCT(INDEX($AV$76:$AX$81,,$AI168),INDEX($AY$76:$BE$81,,$AH168), N($AU$76:$AU$81&gt;$AM168)) / CK168 / 1000</f>
        <v>0</v>
      </c>
      <c r="CM168" s="231">
        <f t="shared" si="323"/>
        <v>30</v>
      </c>
      <c r="CN168" s="229">
        <f t="shared" si="487"/>
        <v>43</v>
      </c>
      <c r="CO168" s="234">
        <f t="shared" si="488"/>
        <v>3.5018750000000001</v>
      </c>
      <c r="CP168" s="234" cm="1">
        <f t="array" ref="CP168">$BM168 * IF($AH168&lt;=2,
SUMPRODUCT(INDEX($AV$71:$AX$75,,$AI168), INDEX($AY$71:$BE$75,,$AH168), 1 / ($BF$71:$BF$75*CO168 + (1-$BF$71:$BF$75)*CK168), N($AU$71:$AU$75&gt;$AM168)),
SUMPRODUCT(INDEX($AV$66:$AX$75,,$AI168), INDEX($AY$66:$BE$75,,$AH168), 1 / ($BG$66:$BG$75*CO168 + (1-$BG$66:$BG$75)*CK168), N($AU$66:$AU$75&gt;$AM168))
) / 1000</f>
        <v>0</v>
      </c>
      <c r="CQ168" s="231">
        <f t="shared" si="326"/>
        <v>25</v>
      </c>
      <c r="CR168" s="229">
        <f t="shared" si="489"/>
        <v>38</v>
      </c>
      <c r="CS168" s="234">
        <f t="shared" si="490"/>
        <v>4.0666935483870965</v>
      </c>
      <c r="CT168" s="234" cm="1">
        <f t="array" ref="CT168">$BM168 * IF($AH168&lt;=2,
SUMPRODUCT(INDEX($AV$66:$AX$70,,$AI168), INDEX($AY$66:$BE$70,,$AH168), 1 / ($BF$66:$BF$70*CS168 + (1-$BF$66:$BF$70)*CO168), N($AU$66:$AU$70&gt;$AM168)),
SUMPRODUCT(INDEX($AV$56:$AX$65,,$AI168), INDEX($AY$56:$BE$65,,$AH168), 1 / ($BG$56:$BG$65*CS168 + (1-$BG$56:$BG$65)*CO168), N($AU$56:$AU$65&gt;$AM168))
) / 1000</f>
        <v>0</v>
      </c>
      <c r="CU168" s="231">
        <f t="shared" si="329"/>
        <v>20</v>
      </c>
      <c r="CV168" s="229">
        <f t="shared" si="491"/>
        <v>33</v>
      </c>
      <c r="CW168" s="234">
        <f t="shared" si="492"/>
        <v>4.8487499999999999</v>
      </c>
      <c r="CX168" s="234" cm="1">
        <f t="array" ref="CX168">$BM168 * IF($AH168&lt;=2,
SUMPRODUCT(INDEX($AV$61:$AX$65,,$AI168), INDEX($AY$61:$BE$65,,$AH168), 1 / ($BF$61:$BF$65*CW168 + (1-$BF$61:$BF$65)*CS168), N($AU$61:$AU$65&gt;$AM168)),
SUMPRODUCT(INDEX($AV$46:$AX$55,,$AI168), INDEX($AY$46:$BE$55,,$AH168), 1 / ($BG$46:$BG$55*CW168 + (1-$BG$46:$BG$55)*CS168), N($AU$46:$AU$55&gt;$AM168))
) / 1000</f>
        <v>0</v>
      </c>
      <c r="CY168" s="234" cm="1">
        <f t="array" ref="CY168">$BM168 * IF($AH168&lt;=2,
SUMPRODUCT(INDEX($AV$22:$AX$60,,$AI168), INDEX($AY$22:$BE$60,,$AH168), 1 / ($BF$22:$BF$60*CW168), N($AU$22:$AU$60&gt;$AM168)),
SUMPRODUCT(INDEX($AV$22:$AX$45,,$AI168), INDEX($AY$22:$BE$45,,$AH168), 1 / ($BG$22:$BG$45*CW168), N($AU$22:$AU$45&gt;$AM168))
) / 1000</f>
        <v>0</v>
      </c>
      <c r="CZ168" s="229">
        <f t="shared" si="493"/>
        <v>0</v>
      </c>
      <c r="DA168" s="246"/>
    </row>
    <row r="169" spans="1:105" s="75" customFormat="1" ht="14.25" customHeight="1" x14ac:dyDescent="0.2">
      <c r="A169" s="230" t="b">
        <f t="shared" si="291"/>
        <v>0</v>
      </c>
      <c r="B169" s="253">
        <v>148</v>
      </c>
      <c r="C169" s="266"/>
      <c r="D169" s="266"/>
      <c r="E169" s="254"/>
      <c r="F169" s="255" t="str">
        <f>IF(ISBLANK(E169), "", VLOOKUP(E169, Z!$A$2:$C$4127, 3, FALSE))</f>
        <v/>
      </c>
      <c r="G169" s="256"/>
      <c r="H169" s="256"/>
      <c r="I169" s="256"/>
      <c r="J169" s="257"/>
      <c r="K169" s="258"/>
      <c r="L169" s="267"/>
      <c r="M169" s="268"/>
      <c r="N169" s="259" t="str" cm="1">
        <f t="array" ref="N169">IF($L169&gt;0, INDEX(Clean,1+AK169,$D$1), "")</f>
        <v/>
      </c>
      <c r="O169" s="260"/>
      <c r="P169" s="260"/>
      <c r="Q169" s="261"/>
      <c r="R169" s="264">
        <f t="shared" si="469"/>
        <v>0</v>
      </c>
      <c r="S169" s="259" t="str" cm="1">
        <f t="array" ref="S169">IF($L169&gt;0, INDEX(Clean,1+AL169,$D$1), "")</f>
        <v/>
      </c>
      <c r="T169" s="260"/>
      <c r="U169" s="260"/>
      <c r="V169" s="261"/>
      <c r="W169" s="267"/>
      <c r="X169" s="267"/>
      <c r="Y169" s="257"/>
      <c r="Z169" s="264">
        <f t="shared" si="470"/>
        <v>0</v>
      </c>
      <c r="AA169" s="269"/>
      <c r="AB169" s="266"/>
      <c r="AC169" s="254"/>
      <c r="AD169" s="255" t="str">
        <f>IF(ISBLANK(AC169), "", VLOOKUP(AC169, Z!$A$2:$C$4127, 3, FALSE))</f>
        <v/>
      </c>
      <c r="AE169" s="270"/>
      <c r="AF169" s="265">
        <f t="shared" si="471"/>
        <v>0</v>
      </c>
      <c r="AG169" s="246"/>
      <c r="AH169" s="228">
        <f t="shared" si="494"/>
        <v>1</v>
      </c>
      <c r="AI169" s="228">
        <f t="shared" si="495"/>
        <v>1</v>
      </c>
      <c r="AJ169" s="228">
        <f t="shared" si="496"/>
        <v>0</v>
      </c>
      <c r="AK169" s="228">
        <v>0</v>
      </c>
      <c r="AL169" s="228">
        <v>0</v>
      </c>
      <c r="AM169" s="228">
        <f t="shared" si="472"/>
        <v>-100</v>
      </c>
      <c r="AN169" s="228" cm="1">
        <f t="array" ref="AN169">IF(ISBLANK(G169), 1, IFERROR(MATCH(G169, INDEX(Kat,,1), 0), IFERROR(MATCH(Kat, INDEX(Use,,2), 0), MATCH(Kat, INDEX(Use,,3), 0))))</f>
        <v>1</v>
      </c>
      <c r="AO169" s="246"/>
      <c r="AP169" s="228" cm="1">
        <f t="array" ref="AP169">IF(W169&gt;0, INDEX(Kat, AN169,4), 0)</f>
        <v>0</v>
      </c>
      <c r="AQ169" s="228">
        <f t="shared" si="497"/>
        <v>0</v>
      </c>
      <c r="AR169" s="228" cm="1">
        <f t="array" ref="AR169">IF(X169&gt;0, INDEX(Kat, $AN169, 4+AQ169), 0)</f>
        <v>0</v>
      </c>
      <c r="AS169" s="228" cm="1">
        <f t="array" ref="AS169">IF(X169&gt;0, INDEX(Kat, $AN169, 9+AQ169), 0)</f>
        <v>0</v>
      </c>
      <c r="AT169" s="246"/>
      <c r="AU169" s="262"/>
      <c r="AV169" s="262"/>
      <c r="AW169" s="263"/>
      <c r="AX169" s="263"/>
      <c r="AY169" s="263"/>
      <c r="AZ169" s="263"/>
      <c r="BA169" s="263"/>
      <c r="BB169" s="263"/>
      <c r="BC169" s="263"/>
      <c r="BD169" s="263"/>
      <c r="BE169" s="263"/>
      <c r="BF169" s="263"/>
      <c r="BG169" s="263"/>
      <c r="BH169" s="246"/>
      <c r="BI169" s="228" cm="1">
        <f t="array" ref="BI169">INDEX(Use, $AH169, 4)</f>
        <v>7</v>
      </c>
      <c r="BJ169" s="228">
        <f t="shared" si="473"/>
        <v>32</v>
      </c>
      <c r="BK169" s="228">
        <f t="shared" si="305"/>
        <v>13</v>
      </c>
      <c r="BL169" s="228">
        <f t="shared" si="306"/>
        <v>0</v>
      </c>
      <c r="BM169" s="233" cm="1">
        <f t="array" ref="BM169">L169/IF($M169&gt;0, INDEX($AY$22:$BE$76, $M169+20, $AH169), 1)</f>
        <v>0</v>
      </c>
      <c r="BN169" s="229">
        <f t="shared" si="474"/>
        <v>0</v>
      </c>
      <c r="BO169" s="228">
        <v>35</v>
      </c>
      <c r="BP169" s="229">
        <f t="shared" si="475"/>
        <v>48</v>
      </c>
      <c r="BQ169" s="234">
        <f t="shared" si="476"/>
        <v>3.0748170731707316</v>
      </c>
      <c r="BR169" s="234" cm="1">
        <f t="array" ref="BR169">$BM169 * SUMPRODUCT(INDEX($AV$76:$AX$81,,$AI169),INDEX($AY$76:$BE$81,,$AH169), N($AU$76:$AU$81&gt;$AM169)) / BQ169 / 1000</f>
        <v>0</v>
      </c>
      <c r="BS169" s="231">
        <f t="shared" si="310"/>
        <v>30</v>
      </c>
      <c r="BT169" s="229">
        <f t="shared" si="477"/>
        <v>43</v>
      </c>
      <c r="BU169" s="234">
        <f t="shared" si="478"/>
        <v>3.5018750000000001</v>
      </c>
      <c r="BV169" s="234" cm="1">
        <f t="array" ref="BV169">$BM169 * IF($AH169&lt;=2,
SUMPRODUCT(INDEX($AV$71:$AX$75,,$AI169), INDEX($AY$71:$BE$75,,$AH169), 1 / ($BF$71:$BF$75*BU169 + (1-$BF$71:$BF$75)*BQ169), N($AU$71:$AU$75&gt;$AM169)),
SUMPRODUCT(INDEX($AV$66:$AX$75,,$AI169), INDEX($AY$66:$BE$75,,$AH169), 1 / ($BG$66:$BG$75*BU169 + (1-$BG$66:$BG$75)*BQ169), N($AU$66:$AU$75&gt;$AM169))
) / 1000</f>
        <v>0</v>
      </c>
      <c r="BW169" s="231">
        <f t="shared" si="313"/>
        <v>25</v>
      </c>
      <c r="BX169" s="229">
        <f t="shared" si="479"/>
        <v>38</v>
      </c>
      <c r="BY169" s="234">
        <f t="shared" si="480"/>
        <v>4.0666935483870965</v>
      </c>
      <c r="BZ169" s="234" cm="1">
        <f t="array" ref="BZ169">$BM169 * IF($AH169&lt;=2,
SUMPRODUCT(INDEX($AV$66:$AX$70,,$AI169), INDEX($AY$66:$BE$70,,$AH169), 1 / ($BF$66:$BF$70*BY169 + (1-$BF$66:$BF$70)*BU169), N($AU$66:$AU$70&gt;$AM169)),
SUMPRODUCT(INDEX($AV$56:$AX$65,,$AI169), INDEX($AY$56:$BE$65,,$AH169), 1 / ($BG$56:$BG$65*BY169 + (1-$BG$56:$BG$65)*BU169), N($AU$56:$AU$65&gt;$AM169))
) / 1000</f>
        <v>0</v>
      </c>
      <c r="CA169" s="231">
        <f t="shared" si="316"/>
        <v>20</v>
      </c>
      <c r="CB169" s="229">
        <f t="shared" si="481"/>
        <v>33</v>
      </c>
      <c r="CC169" s="234">
        <f t="shared" si="482"/>
        <v>4.8487499999999999</v>
      </c>
      <c r="CD169" s="234" cm="1">
        <f t="array" ref="CD169">$BM169 * IF($AH169&lt;=2,
SUMPRODUCT(INDEX($AV$61:$AX$65,,$AI169), INDEX($AY$61:$BE$65,,$AH169), 1 / ($BF$61:$BF$65*CC169 + (1-$BF$61:$BF$65)*BY169), N($AU$61:$AU$65&gt;$AM169)),
SUMPRODUCT(INDEX($AV$46:$AX$55,,$AI169), INDEX($AY$46:$BE$55,,$AH169), 1 / ($BG$46:$BG$55*CC169 + (1-$BG$46:$BG$55)*BY169), N($AU$46:$AU$55&gt;$AM169))
) / 1000</f>
        <v>0</v>
      </c>
      <c r="CE169" s="234" cm="1">
        <f t="array" ref="CE169">$BM169 * IF($AH169&lt;=2,
SUMPRODUCT(INDEX($AV$22:$AX$60,,$AI169), INDEX($AY$22:$BE$60,,$AH169), 1 / ($BF$22:$BF$60*CC169), N($AU$22:$AU$60&gt;$AM169)),
SUMPRODUCT(INDEX($AV$22:$AX$45,,$AI169), INDEX($AY$22:$BE$45,,$AH169), 1 / ($BG$22:$BG$45*CC169), N($AU$22:$AU$45&gt;$AM169))
) / 1000</f>
        <v>0</v>
      </c>
      <c r="CF169" s="229">
        <f t="shared" si="483"/>
        <v>0</v>
      </c>
      <c r="CG169" s="246"/>
      <c r="CH169" s="229">
        <f t="shared" si="484"/>
        <v>0</v>
      </c>
      <c r="CI169" s="228">
        <v>35</v>
      </c>
      <c r="CJ169" s="229">
        <f t="shared" si="485"/>
        <v>48</v>
      </c>
      <c r="CK169" s="234">
        <f t="shared" si="486"/>
        <v>3.0748170731707316</v>
      </c>
      <c r="CL169" s="234" cm="1">
        <f t="array" ref="CL169">$BM169 * SUMPRODUCT(INDEX($AV$76:$AX$81,,$AI169),INDEX($AY$76:$BE$81,,$AH169), N($AU$76:$AU$81&gt;$AM169)) / CK169 / 1000</f>
        <v>0</v>
      </c>
      <c r="CM169" s="231">
        <f t="shared" si="323"/>
        <v>30</v>
      </c>
      <c r="CN169" s="229">
        <f t="shared" si="487"/>
        <v>43</v>
      </c>
      <c r="CO169" s="234">
        <f t="shared" si="488"/>
        <v>3.5018750000000001</v>
      </c>
      <c r="CP169" s="234" cm="1">
        <f t="array" ref="CP169">$BM169 * IF($AH169&lt;=2,
SUMPRODUCT(INDEX($AV$71:$AX$75,,$AI169), INDEX($AY$71:$BE$75,,$AH169), 1 / ($BF$71:$BF$75*CO169 + (1-$BF$71:$BF$75)*CK169), N($AU$71:$AU$75&gt;$AM169)),
SUMPRODUCT(INDEX($AV$66:$AX$75,,$AI169), INDEX($AY$66:$BE$75,,$AH169), 1 / ($BG$66:$BG$75*CO169 + (1-$BG$66:$BG$75)*CK169), N($AU$66:$AU$75&gt;$AM169))
) / 1000</f>
        <v>0</v>
      </c>
      <c r="CQ169" s="231">
        <f t="shared" si="326"/>
        <v>25</v>
      </c>
      <c r="CR169" s="229">
        <f t="shared" si="489"/>
        <v>38</v>
      </c>
      <c r="CS169" s="234">
        <f t="shared" si="490"/>
        <v>4.0666935483870965</v>
      </c>
      <c r="CT169" s="234" cm="1">
        <f t="array" ref="CT169">$BM169 * IF($AH169&lt;=2,
SUMPRODUCT(INDEX($AV$66:$AX$70,,$AI169), INDEX($AY$66:$BE$70,,$AH169), 1 / ($BF$66:$BF$70*CS169 + (1-$BF$66:$BF$70)*CO169), N($AU$66:$AU$70&gt;$AM169)),
SUMPRODUCT(INDEX($AV$56:$AX$65,,$AI169), INDEX($AY$56:$BE$65,,$AH169), 1 / ($BG$56:$BG$65*CS169 + (1-$BG$56:$BG$65)*CO169), N($AU$56:$AU$65&gt;$AM169))
) / 1000</f>
        <v>0</v>
      </c>
      <c r="CU169" s="231">
        <f t="shared" si="329"/>
        <v>20</v>
      </c>
      <c r="CV169" s="229">
        <f t="shared" si="491"/>
        <v>33</v>
      </c>
      <c r="CW169" s="234">
        <f t="shared" si="492"/>
        <v>4.8487499999999999</v>
      </c>
      <c r="CX169" s="234" cm="1">
        <f t="array" ref="CX169">$BM169 * IF($AH169&lt;=2,
SUMPRODUCT(INDEX($AV$61:$AX$65,,$AI169), INDEX($AY$61:$BE$65,,$AH169), 1 / ($BF$61:$BF$65*CW169 + (1-$BF$61:$BF$65)*CS169), N($AU$61:$AU$65&gt;$AM169)),
SUMPRODUCT(INDEX($AV$46:$AX$55,,$AI169), INDEX($AY$46:$BE$55,,$AH169), 1 / ($BG$46:$BG$55*CW169 + (1-$BG$46:$BG$55)*CS169), N($AU$46:$AU$55&gt;$AM169))
) / 1000</f>
        <v>0</v>
      </c>
      <c r="CY169" s="234" cm="1">
        <f t="array" ref="CY169">$BM169 * IF($AH169&lt;=2,
SUMPRODUCT(INDEX($AV$22:$AX$60,,$AI169), INDEX($AY$22:$BE$60,,$AH169), 1 / ($BF$22:$BF$60*CW169), N($AU$22:$AU$60&gt;$AM169)),
SUMPRODUCT(INDEX($AV$22:$AX$45,,$AI169), INDEX($AY$22:$BE$45,,$AH169), 1 / ($BG$22:$BG$45*CW169), N($AU$22:$AU$45&gt;$AM169))
) / 1000</f>
        <v>0</v>
      </c>
      <c r="CZ169" s="229">
        <f t="shared" si="493"/>
        <v>0</v>
      </c>
      <c r="DA169" s="246"/>
    </row>
    <row r="170" spans="1:105" s="75" customFormat="1" ht="14.25" customHeight="1" x14ac:dyDescent="0.2">
      <c r="A170" s="230" t="b">
        <f t="shared" si="291"/>
        <v>0</v>
      </c>
      <c r="B170" s="253">
        <v>149</v>
      </c>
      <c r="C170" s="266"/>
      <c r="D170" s="266"/>
      <c r="E170" s="254"/>
      <c r="F170" s="255" t="str">
        <f>IF(ISBLANK(E170), "", VLOOKUP(E170, Z!$A$2:$C$4127, 3, FALSE))</f>
        <v/>
      </c>
      <c r="G170" s="256"/>
      <c r="H170" s="256"/>
      <c r="I170" s="256"/>
      <c r="J170" s="257"/>
      <c r="K170" s="258"/>
      <c r="L170" s="267"/>
      <c r="M170" s="268"/>
      <c r="N170" s="259" t="str" cm="1">
        <f t="array" ref="N170">IF($L170&gt;0, INDEX(Clean,1+AK170,$D$1), "")</f>
        <v/>
      </c>
      <c r="O170" s="260"/>
      <c r="P170" s="260"/>
      <c r="Q170" s="261"/>
      <c r="R170" s="264">
        <f t="shared" si="469"/>
        <v>0</v>
      </c>
      <c r="S170" s="259" t="str" cm="1">
        <f t="array" ref="S170">IF($L170&gt;0, INDEX(Clean,1+AL170,$D$1), "")</f>
        <v/>
      </c>
      <c r="T170" s="260"/>
      <c r="U170" s="260"/>
      <c r="V170" s="261"/>
      <c r="W170" s="267"/>
      <c r="X170" s="267"/>
      <c r="Y170" s="257"/>
      <c r="Z170" s="264">
        <f t="shared" si="470"/>
        <v>0</v>
      </c>
      <c r="AA170" s="269"/>
      <c r="AB170" s="266"/>
      <c r="AC170" s="254"/>
      <c r="AD170" s="255" t="str">
        <f>IF(ISBLANK(AC170), "", VLOOKUP(AC170, Z!$A$2:$C$4127, 3, FALSE))</f>
        <v/>
      </c>
      <c r="AE170" s="270"/>
      <c r="AF170" s="265">
        <f t="shared" si="471"/>
        <v>0</v>
      </c>
      <c r="AG170" s="246"/>
      <c r="AH170" s="228">
        <f t="shared" si="494"/>
        <v>1</v>
      </c>
      <c r="AI170" s="228">
        <f t="shared" si="495"/>
        <v>1</v>
      </c>
      <c r="AJ170" s="228">
        <f t="shared" si="496"/>
        <v>0</v>
      </c>
      <c r="AK170" s="228">
        <v>0</v>
      </c>
      <c r="AL170" s="228">
        <v>0</v>
      </c>
      <c r="AM170" s="228">
        <f t="shared" si="472"/>
        <v>-100</v>
      </c>
      <c r="AN170" s="228" cm="1">
        <f t="array" ref="AN170">IF(ISBLANK(G170), 1, IFERROR(MATCH(G170, INDEX(Kat,,1), 0), IFERROR(MATCH(Kat, INDEX(Use,,2), 0), MATCH(Kat, INDEX(Use,,3), 0))))</f>
        <v>1</v>
      </c>
      <c r="AO170" s="246"/>
      <c r="AP170" s="228" cm="1">
        <f t="array" ref="AP170">IF(W170&gt;0, INDEX(Kat, AN170,4), 0)</f>
        <v>0</v>
      </c>
      <c r="AQ170" s="228">
        <f t="shared" si="497"/>
        <v>0</v>
      </c>
      <c r="AR170" s="228" cm="1">
        <f t="array" ref="AR170">IF(X170&gt;0, INDEX(Kat, $AN170, 4+AQ170), 0)</f>
        <v>0</v>
      </c>
      <c r="AS170" s="228" cm="1">
        <f t="array" ref="AS170">IF(X170&gt;0, INDEX(Kat, $AN170, 9+AQ170), 0)</f>
        <v>0</v>
      </c>
      <c r="AT170" s="246"/>
      <c r="AU170" s="262"/>
      <c r="AV170" s="262"/>
      <c r="AW170" s="263"/>
      <c r="AX170" s="263"/>
      <c r="AY170" s="263"/>
      <c r="AZ170" s="263"/>
      <c r="BA170" s="263"/>
      <c r="BB170" s="263"/>
      <c r="BC170" s="263"/>
      <c r="BD170" s="263"/>
      <c r="BE170" s="263"/>
      <c r="BF170" s="263"/>
      <c r="BG170" s="263"/>
      <c r="BH170" s="246"/>
      <c r="BI170" s="228" cm="1">
        <f t="array" ref="BI170">INDEX(Use, $AH170, 4)</f>
        <v>7</v>
      </c>
      <c r="BJ170" s="228">
        <f t="shared" si="473"/>
        <v>32</v>
      </c>
      <c r="BK170" s="228">
        <f t="shared" si="305"/>
        <v>13</v>
      </c>
      <c r="BL170" s="228">
        <f t="shared" si="306"/>
        <v>0</v>
      </c>
      <c r="BM170" s="233" cm="1">
        <f t="array" ref="BM170">L170/IF($M170&gt;0, INDEX($AY$22:$BE$76, $M170+20, $AH170), 1)</f>
        <v>0</v>
      </c>
      <c r="BN170" s="229">
        <f t="shared" si="474"/>
        <v>0</v>
      </c>
      <c r="BO170" s="228">
        <v>35</v>
      </c>
      <c r="BP170" s="229">
        <f t="shared" si="475"/>
        <v>48</v>
      </c>
      <c r="BQ170" s="234">
        <f t="shared" si="476"/>
        <v>3.0748170731707316</v>
      </c>
      <c r="BR170" s="234" cm="1">
        <f t="array" ref="BR170">$BM170 * SUMPRODUCT(INDEX($AV$76:$AX$81,,$AI170),INDEX($AY$76:$BE$81,,$AH170), N($AU$76:$AU$81&gt;$AM170)) / BQ170 / 1000</f>
        <v>0</v>
      </c>
      <c r="BS170" s="231">
        <f t="shared" si="310"/>
        <v>30</v>
      </c>
      <c r="BT170" s="229">
        <f t="shared" si="477"/>
        <v>43</v>
      </c>
      <c r="BU170" s="234">
        <f t="shared" si="478"/>
        <v>3.5018750000000001</v>
      </c>
      <c r="BV170" s="234" cm="1">
        <f t="array" ref="BV170">$BM170 * IF($AH170&lt;=2,
SUMPRODUCT(INDEX($AV$71:$AX$75,,$AI170), INDEX($AY$71:$BE$75,,$AH170), 1 / ($BF$71:$BF$75*BU170 + (1-$BF$71:$BF$75)*BQ170), N($AU$71:$AU$75&gt;$AM170)),
SUMPRODUCT(INDEX($AV$66:$AX$75,,$AI170), INDEX($AY$66:$BE$75,,$AH170), 1 / ($BG$66:$BG$75*BU170 + (1-$BG$66:$BG$75)*BQ170), N($AU$66:$AU$75&gt;$AM170))
) / 1000</f>
        <v>0</v>
      </c>
      <c r="BW170" s="231">
        <f t="shared" si="313"/>
        <v>25</v>
      </c>
      <c r="BX170" s="229">
        <f t="shared" si="479"/>
        <v>38</v>
      </c>
      <c r="BY170" s="234">
        <f t="shared" si="480"/>
        <v>4.0666935483870965</v>
      </c>
      <c r="BZ170" s="234" cm="1">
        <f t="array" ref="BZ170">$BM170 * IF($AH170&lt;=2,
SUMPRODUCT(INDEX($AV$66:$AX$70,,$AI170), INDEX($AY$66:$BE$70,,$AH170), 1 / ($BF$66:$BF$70*BY170 + (1-$BF$66:$BF$70)*BU170), N($AU$66:$AU$70&gt;$AM170)),
SUMPRODUCT(INDEX($AV$56:$AX$65,,$AI170), INDEX($AY$56:$BE$65,,$AH170), 1 / ($BG$56:$BG$65*BY170 + (1-$BG$56:$BG$65)*BU170), N($AU$56:$AU$65&gt;$AM170))
) / 1000</f>
        <v>0</v>
      </c>
      <c r="CA170" s="231">
        <f t="shared" si="316"/>
        <v>20</v>
      </c>
      <c r="CB170" s="229">
        <f t="shared" si="481"/>
        <v>33</v>
      </c>
      <c r="CC170" s="234">
        <f t="shared" si="482"/>
        <v>4.8487499999999999</v>
      </c>
      <c r="CD170" s="234" cm="1">
        <f t="array" ref="CD170">$BM170 * IF($AH170&lt;=2,
SUMPRODUCT(INDEX($AV$61:$AX$65,,$AI170), INDEX($AY$61:$BE$65,,$AH170), 1 / ($BF$61:$BF$65*CC170 + (1-$BF$61:$BF$65)*BY170), N($AU$61:$AU$65&gt;$AM170)),
SUMPRODUCT(INDEX($AV$46:$AX$55,,$AI170), INDEX($AY$46:$BE$55,,$AH170), 1 / ($BG$46:$BG$55*CC170 + (1-$BG$46:$BG$55)*BY170), N($AU$46:$AU$55&gt;$AM170))
) / 1000</f>
        <v>0</v>
      </c>
      <c r="CE170" s="234" cm="1">
        <f t="array" ref="CE170">$BM170 * IF($AH170&lt;=2,
SUMPRODUCT(INDEX($AV$22:$AX$60,,$AI170), INDEX($AY$22:$BE$60,,$AH170), 1 / ($BF$22:$BF$60*CC170), N($AU$22:$AU$60&gt;$AM170)),
SUMPRODUCT(INDEX($AV$22:$AX$45,,$AI170), INDEX($AY$22:$BE$45,,$AH170), 1 / ($BG$22:$BG$45*CC170), N($AU$22:$AU$45&gt;$AM170))
) / 1000</f>
        <v>0</v>
      </c>
      <c r="CF170" s="229">
        <f t="shared" si="483"/>
        <v>0</v>
      </c>
      <c r="CG170" s="246"/>
      <c r="CH170" s="229">
        <f t="shared" si="484"/>
        <v>0</v>
      </c>
      <c r="CI170" s="228">
        <v>35</v>
      </c>
      <c r="CJ170" s="229">
        <f t="shared" si="485"/>
        <v>48</v>
      </c>
      <c r="CK170" s="234">
        <f t="shared" si="486"/>
        <v>3.0748170731707316</v>
      </c>
      <c r="CL170" s="234" cm="1">
        <f t="array" ref="CL170">$BM170 * SUMPRODUCT(INDEX($AV$76:$AX$81,,$AI170),INDEX($AY$76:$BE$81,,$AH170), N($AU$76:$AU$81&gt;$AM170)) / CK170 / 1000</f>
        <v>0</v>
      </c>
      <c r="CM170" s="231">
        <f t="shared" si="323"/>
        <v>30</v>
      </c>
      <c r="CN170" s="229">
        <f t="shared" si="487"/>
        <v>43</v>
      </c>
      <c r="CO170" s="234">
        <f t="shared" si="488"/>
        <v>3.5018750000000001</v>
      </c>
      <c r="CP170" s="234" cm="1">
        <f t="array" ref="CP170">$BM170 * IF($AH170&lt;=2,
SUMPRODUCT(INDEX($AV$71:$AX$75,,$AI170), INDEX($AY$71:$BE$75,,$AH170), 1 / ($BF$71:$BF$75*CO170 + (1-$BF$71:$BF$75)*CK170), N($AU$71:$AU$75&gt;$AM170)),
SUMPRODUCT(INDEX($AV$66:$AX$75,,$AI170), INDEX($AY$66:$BE$75,,$AH170), 1 / ($BG$66:$BG$75*CO170 + (1-$BG$66:$BG$75)*CK170), N($AU$66:$AU$75&gt;$AM170))
) / 1000</f>
        <v>0</v>
      </c>
      <c r="CQ170" s="231">
        <f t="shared" si="326"/>
        <v>25</v>
      </c>
      <c r="CR170" s="229">
        <f t="shared" si="489"/>
        <v>38</v>
      </c>
      <c r="CS170" s="234">
        <f t="shared" si="490"/>
        <v>4.0666935483870965</v>
      </c>
      <c r="CT170" s="234" cm="1">
        <f t="array" ref="CT170">$BM170 * IF($AH170&lt;=2,
SUMPRODUCT(INDEX($AV$66:$AX$70,,$AI170), INDEX($AY$66:$BE$70,,$AH170), 1 / ($BF$66:$BF$70*CS170 + (1-$BF$66:$BF$70)*CO170), N($AU$66:$AU$70&gt;$AM170)),
SUMPRODUCT(INDEX($AV$56:$AX$65,,$AI170), INDEX($AY$56:$BE$65,,$AH170), 1 / ($BG$56:$BG$65*CS170 + (1-$BG$56:$BG$65)*CO170), N($AU$56:$AU$65&gt;$AM170))
) / 1000</f>
        <v>0</v>
      </c>
      <c r="CU170" s="231">
        <f t="shared" si="329"/>
        <v>20</v>
      </c>
      <c r="CV170" s="229">
        <f t="shared" si="491"/>
        <v>33</v>
      </c>
      <c r="CW170" s="234">
        <f t="shared" si="492"/>
        <v>4.8487499999999999</v>
      </c>
      <c r="CX170" s="234" cm="1">
        <f t="array" ref="CX170">$BM170 * IF($AH170&lt;=2,
SUMPRODUCT(INDEX($AV$61:$AX$65,,$AI170), INDEX($AY$61:$BE$65,,$AH170), 1 / ($BF$61:$BF$65*CW170 + (1-$BF$61:$BF$65)*CS170), N($AU$61:$AU$65&gt;$AM170)),
SUMPRODUCT(INDEX($AV$46:$AX$55,,$AI170), INDEX($AY$46:$BE$55,,$AH170), 1 / ($BG$46:$BG$55*CW170 + (1-$BG$46:$BG$55)*CS170), N($AU$46:$AU$55&gt;$AM170))
) / 1000</f>
        <v>0</v>
      </c>
      <c r="CY170" s="234" cm="1">
        <f t="array" ref="CY170">$BM170 * IF($AH170&lt;=2,
SUMPRODUCT(INDEX($AV$22:$AX$60,,$AI170), INDEX($AY$22:$BE$60,,$AH170), 1 / ($BF$22:$BF$60*CW170), N($AU$22:$AU$60&gt;$AM170)),
SUMPRODUCT(INDEX($AV$22:$AX$45,,$AI170), INDEX($AY$22:$BE$45,,$AH170), 1 / ($BG$22:$BG$45*CW170), N($AU$22:$AU$45&gt;$AM170))
) / 1000</f>
        <v>0</v>
      </c>
      <c r="CZ170" s="229">
        <f t="shared" si="493"/>
        <v>0</v>
      </c>
      <c r="DA170" s="246"/>
    </row>
    <row r="171" spans="1:105" s="75" customFormat="1" ht="14.25" customHeight="1" x14ac:dyDescent="0.2">
      <c r="A171" s="230" t="b">
        <f t="shared" si="291"/>
        <v>0</v>
      </c>
      <c r="B171" s="253">
        <v>150</v>
      </c>
      <c r="C171" s="266"/>
      <c r="D171" s="266"/>
      <c r="E171" s="254"/>
      <c r="F171" s="255" t="str">
        <f>IF(ISBLANK(E171), "", VLOOKUP(E171, Z!$A$2:$C$4127, 3, FALSE))</f>
        <v/>
      </c>
      <c r="G171" s="256"/>
      <c r="H171" s="256"/>
      <c r="I171" s="256"/>
      <c r="J171" s="257"/>
      <c r="K171" s="258"/>
      <c r="L171" s="267"/>
      <c r="M171" s="268"/>
      <c r="N171" s="259" t="str" cm="1">
        <f t="array" ref="N171">IF($L171&gt;0, INDEX(Clean,1+AK171,$D$1), "")</f>
        <v/>
      </c>
      <c r="O171" s="260"/>
      <c r="P171" s="260"/>
      <c r="Q171" s="261"/>
      <c r="R171" s="264">
        <f t="shared" si="469"/>
        <v>0</v>
      </c>
      <c r="S171" s="259" t="str" cm="1">
        <f t="array" ref="S171">IF($L171&gt;0, INDEX(Clean,1+AL171,$D$1), "")</f>
        <v/>
      </c>
      <c r="T171" s="260"/>
      <c r="U171" s="260"/>
      <c r="V171" s="261"/>
      <c r="W171" s="267"/>
      <c r="X171" s="267"/>
      <c r="Y171" s="257"/>
      <c r="Z171" s="264">
        <f t="shared" si="470"/>
        <v>0</v>
      </c>
      <c r="AA171" s="269"/>
      <c r="AB171" s="266"/>
      <c r="AC171" s="254"/>
      <c r="AD171" s="255" t="str">
        <f>IF(ISBLANK(AC171), "", VLOOKUP(AC171, Z!$A$2:$C$4127, 3, FALSE))</f>
        <v/>
      </c>
      <c r="AE171" s="270"/>
      <c r="AF171" s="265">
        <f t="shared" si="471"/>
        <v>0</v>
      </c>
      <c r="AG171" s="246"/>
      <c r="AH171" s="228">
        <f t="shared" si="494"/>
        <v>1</v>
      </c>
      <c r="AI171" s="228">
        <f t="shared" si="495"/>
        <v>1</v>
      </c>
      <c r="AJ171" s="228">
        <f t="shared" si="496"/>
        <v>0</v>
      </c>
      <c r="AK171" s="228">
        <v>0</v>
      </c>
      <c r="AL171" s="228">
        <v>0</v>
      </c>
      <c r="AM171" s="228">
        <f t="shared" si="472"/>
        <v>-100</v>
      </c>
      <c r="AN171" s="228" cm="1">
        <f t="array" ref="AN171">IF(ISBLANK(G171), 1, IFERROR(MATCH(G171, INDEX(Kat,,1), 0), IFERROR(MATCH(Kat, INDEX(Use,,2), 0), MATCH(Kat, INDEX(Use,,3), 0))))</f>
        <v>1</v>
      </c>
      <c r="AO171" s="246"/>
      <c r="AP171" s="228" cm="1">
        <f t="array" ref="AP171">IF(W171&gt;0, INDEX(Kat, AN171,4), 0)</f>
        <v>0</v>
      </c>
      <c r="AQ171" s="228">
        <f t="shared" si="497"/>
        <v>0</v>
      </c>
      <c r="AR171" s="228" cm="1">
        <f t="array" ref="AR171">IF(X171&gt;0, INDEX(Kat, $AN171, 4+AQ171), 0)</f>
        <v>0</v>
      </c>
      <c r="AS171" s="228" cm="1">
        <f t="array" ref="AS171">IF(X171&gt;0, INDEX(Kat, $AN171, 9+AQ171), 0)</f>
        <v>0</v>
      </c>
      <c r="AT171" s="246"/>
      <c r="AU171" s="262"/>
      <c r="AV171" s="262"/>
      <c r="AW171" s="263"/>
      <c r="AX171" s="263"/>
      <c r="AY171" s="263"/>
      <c r="AZ171" s="263"/>
      <c r="BA171" s="263"/>
      <c r="BB171" s="263"/>
      <c r="BC171" s="263"/>
      <c r="BD171" s="263"/>
      <c r="BE171" s="263"/>
      <c r="BF171" s="263"/>
      <c r="BG171" s="263"/>
      <c r="BH171" s="246"/>
      <c r="BI171" s="228" cm="1">
        <f t="array" ref="BI171">INDEX(Use, $AH171, 4)</f>
        <v>7</v>
      </c>
      <c r="BJ171" s="228">
        <f t="shared" si="473"/>
        <v>32</v>
      </c>
      <c r="BK171" s="228">
        <f t="shared" si="305"/>
        <v>13</v>
      </c>
      <c r="BL171" s="228">
        <f t="shared" si="306"/>
        <v>0</v>
      </c>
      <c r="BM171" s="233" cm="1">
        <f t="array" ref="BM171">L171/IF($M171&gt;0, INDEX($AY$22:$BE$76, $M171+20, $AH171), 1)</f>
        <v>0</v>
      </c>
      <c r="BN171" s="229">
        <f t="shared" si="474"/>
        <v>0</v>
      </c>
      <c r="BO171" s="228">
        <v>35</v>
      </c>
      <c r="BP171" s="229">
        <f t="shared" si="475"/>
        <v>48</v>
      </c>
      <c r="BQ171" s="234">
        <f t="shared" si="476"/>
        <v>3.0748170731707316</v>
      </c>
      <c r="BR171" s="234" cm="1">
        <f t="array" ref="BR171">$BM171 * SUMPRODUCT(INDEX($AV$76:$AX$81,,$AI171),INDEX($AY$76:$BE$81,,$AH171), N($AU$76:$AU$81&gt;$AM171)) / BQ171 / 1000</f>
        <v>0</v>
      </c>
      <c r="BS171" s="231">
        <f t="shared" si="310"/>
        <v>30</v>
      </c>
      <c r="BT171" s="229">
        <f t="shared" si="477"/>
        <v>43</v>
      </c>
      <c r="BU171" s="234">
        <f t="shared" si="478"/>
        <v>3.5018750000000001</v>
      </c>
      <c r="BV171" s="234" cm="1">
        <f t="array" ref="BV171">$BM171 * IF($AH171&lt;=2,
SUMPRODUCT(INDEX($AV$71:$AX$75,,$AI171), INDEX($AY$71:$BE$75,,$AH171), 1 / ($BF$71:$BF$75*BU171 + (1-$BF$71:$BF$75)*BQ171), N($AU$71:$AU$75&gt;$AM171)),
SUMPRODUCT(INDEX($AV$66:$AX$75,,$AI171), INDEX($AY$66:$BE$75,,$AH171), 1 / ($BG$66:$BG$75*BU171 + (1-$BG$66:$BG$75)*BQ171), N($AU$66:$AU$75&gt;$AM171))
) / 1000</f>
        <v>0</v>
      </c>
      <c r="BW171" s="231">
        <f t="shared" si="313"/>
        <v>25</v>
      </c>
      <c r="BX171" s="229">
        <f t="shared" si="479"/>
        <v>38</v>
      </c>
      <c r="BY171" s="234">
        <f t="shared" si="480"/>
        <v>4.0666935483870965</v>
      </c>
      <c r="BZ171" s="234" cm="1">
        <f t="array" ref="BZ171">$BM171 * IF($AH171&lt;=2,
SUMPRODUCT(INDEX($AV$66:$AX$70,,$AI171), INDEX($AY$66:$BE$70,,$AH171), 1 / ($BF$66:$BF$70*BY171 + (1-$BF$66:$BF$70)*BU171), N($AU$66:$AU$70&gt;$AM171)),
SUMPRODUCT(INDEX($AV$56:$AX$65,,$AI171), INDEX($AY$56:$BE$65,,$AH171), 1 / ($BG$56:$BG$65*BY171 + (1-$BG$56:$BG$65)*BU171), N($AU$56:$AU$65&gt;$AM171))
) / 1000</f>
        <v>0</v>
      </c>
      <c r="CA171" s="231">
        <f t="shared" si="316"/>
        <v>20</v>
      </c>
      <c r="CB171" s="229">
        <f t="shared" si="481"/>
        <v>33</v>
      </c>
      <c r="CC171" s="234">
        <f t="shared" si="482"/>
        <v>4.8487499999999999</v>
      </c>
      <c r="CD171" s="234" cm="1">
        <f t="array" ref="CD171">$BM171 * IF($AH171&lt;=2,
SUMPRODUCT(INDEX($AV$61:$AX$65,,$AI171), INDEX($AY$61:$BE$65,,$AH171), 1 / ($BF$61:$BF$65*CC171 + (1-$BF$61:$BF$65)*BY171), N($AU$61:$AU$65&gt;$AM171)),
SUMPRODUCT(INDEX($AV$46:$AX$55,,$AI171), INDEX($AY$46:$BE$55,,$AH171), 1 / ($BG$46:$BG$55*CC171 + (1-$BG$46:$BG$55)*BY171), N($AU$46:$AU$55&gt;$AM171))
) / 1000</f>
        <v>0</v>
      </c>
      <c r="CE171" s="234" cm="1">
        <f t="array" ref="CE171">$BM171 * IF($AH171&lt;=2,
SUMPRODUCT(INDEX($AV$22:$AX$60,,$AI171), INDEX($AY$22:$BE$60,,$AH171), 1 / ($BF$22:$BF$60*CC171), N($AU$22:$AU$60&gt;$AM171)),
SUMPRODUCT(INDEX($AV$22:$AX$45,,$AI171), INDEX($AY$22:$BE$45,,$AH171), 1 / ($BG$22:$BG$45*CC171), N($AU$22:$AU$45&gt;$AM171))
) / 1000</f>
        <v>0</v>
      </c>
      <c r="CF171" s="229">
        <f t="shared" si="483"/>
        <v>0</v>
      </c>
      <c r="CG171" s="246"/>
      <c r="CH171" s="229">
        <f t="shared" si="484"/>
        <v>0</v>
      </c>
      <c r="CI171" s="228">
        <v>35</v>
      </c>
      <c r="CJ171" s="229">
        <f t="shared" si="485"/>
        <v>48</v>
      </c>
      <c r="CK171" s="234">
        <f t="shared" si="486"/>
        <v>3.0748170731707316</v>
      </c>
      <c r="CL171" s="234" cm="1">
        <f t="array" ref="CL171">$BM171 * SUMPRODUCT(INDEX($AV$76:$AX$81,,$AI171),INDEX($AY$76:$BE$81,,$AH171), N($AU$76:$AU$81&gt;$AM171)) / CK171 / 1000</f>
        <v>0</v>
      </c>
      <c r="CM171" s="231">
        <f t="shared" si="323"/>
        <v>30</v>
      </c>
      <c r="CN171" s="229">
        <f t="shared" si="487"/>
        <v>43</v>
      </c>
      <c r="CO171" s="234">
        <f t="shared" si="488"/>
        <v>3.5018750000000001</v>
      </c>
      <c r="CP171" s="234" cm="1">
        <f t="array" ref="CP171">$BM171 * IF($AH171&lt;=2,
SUMPRODUCT(INDEX($AV$71:$AX$75,,$AI171), INDEX($AY$71:$BE$75,,$AH171), 1 / ($BF$71:$BF$75*CO171 + (1-$BF$71:$BF$75)*CK171), N($AU$71:$AU$75&gt;$AM171)),
SUMPRODUCT(INDEX($AV$66:$AX$75,,$AI171), INDEX($AY$66:$BE$75,,$AH171), 1 / ($BG$66:$BG$75*CO171 + (1-$BG$66:$BG$75)*CK171), N($AU$66:$AU$75&gt;$AM171))
) / 1000</f>
        <v>0</v>
      </c>
      <c r="CQ171" s="231">
        <f t="shared" si="326"/>
        <v>25</v>
      </c>
      <c r="CR171" s="229">
        <f t="shared" si="489"/>
        <v>38</v>
      </c>
      <c r="CS171" s="234">
        <f t="shared" si="490"/>
        <v>4.0666935483870965</v>
      </c>
      <c r="CT171" s="234" cm="1">
        <f t="array" ref="CT171">$BM171 * IF($AH171&lt;=2,
SUMPRODUCT(INDEX($AV$66:$AX$70,,$AI171), INDEX($AY$66:$BE$70,,$AH171), 1 / ($BF$66:$BF$70*CS171 + (1-$BF$66:$BF$70)*CO171), N($AU$66:$AU$70&gt;$AM171)),
SUMPRODUCT(INDEX($AV$56:$AX$65,,$AI171), INDEX($AY$56:$BE$65,,$AH171), 1 / ($BG$56:$BG$65*CS171 + (1-$BG$56:$BG$65)*CO171), N($AU$56:$AU$65&gt;$AM171))
) / 1000</f>
        <v>0</v>
      </c>
      <c r="CU171" s="231">
        <f t="shared" si="329"/>
        <v>20</v>
      </c>
      <c r="CV171" s="229">
        <f t="shared" si="491"/>
        <v>33</v>
      </c>
      <c r="CW171" s="234">
        <f t="shared" si="492"/>
        <v>4.8487499999999999</v>
      </c>
      <c r="CX171" s="234" cm="1">
        <f t="array" ref="CX171">$BM171 * IF($AH171&lt;=2,
SUMPRODUCT(INDEX($AV$61:$AX$65,,$AI171), INDEX($AY$61:$BE$65,,$AH171), 1 / ($BF$61:$BF$65*CW171 + (1-$BF$61:$BF$65)*CS171), N($AU$61:$AU$65&gt;$AM171)),
SUMPRODUCT(INDEX($AV$46:$AX$55,,$AI171), INDEX($AY$46:$BE$55,,$AH171), 1 / ($BG$46:$BG$55*CW171 + (1-$BG$46:$BG$55)*CS171), N($AU$46:$AU$55&gt;$AM171))
) / 1000</f>
        <v>0</v>
      </c>
      <c r="CY171" s="234" cm="1">
        <f t="array" ref="CY171">$BM171 * IF($AH171&lt;=2,
SUMPRODUCT(INDEX($AV$22:$AX$60,,$AI171), INDEX($AY$22:$BE$60,,$AH171), 1 / ($BF$22:$BF$60*CW171), N($AU$22:$AU$60&gt;$AM171)),
SUMPRODUCT(INDEX($AV$22:$AX$45,,$AI171), INDEX($AY$22:$BE$45,,$AH171), 1 / ($BG$22:$BG$45*CW171), N($AU$22:$AU$45&gt;$AM171))
) / 1000</f>
        <v>0</v>
      </c>
      <c r="CZ171" s="229">
        <f t="shared" si="493"/>
        <v>0</v>
      </c>
      <c r="DA171" s="246"/>
    </row>
    <row r="172" spans="1:105" s="75" customFormat="1" ht="14.25" customHeight="1" x14ac:dyDescent="0.2">
      <c r="A172" s="230" t="b">
        <f t="shared" si="291"/>
        <v>0</v>
      </c>
      <c r="B172" s="253">
        <v>151</v>
      </c>
      <c r="C172" s="266"/>
      <c r="D172" s="266"/>
      <c r="E172" s="254"/>
      <c r="F172" s="255" t="str">
        <f>IF(ISBLANK(E172), "", VLOOKUP(E172, Z!$A$2:$C$4127, 3, FALSE))</f>
        <v/>
      </c>
      <c r="G172" s="256"/>
      <c r="H172" s="256"/>
      <c r="I172" s="256"/>
      <c r="J172" s="257"/>
      <c r="K172" s="258"/>
      <c r="L172" s="267"/>
      <c r="M172" s="268"/>
      <c r="N172" s="259" t="str" cm="1">
        <f t="array" ref="N172">IF($L172&gt;0, INDEX(Clean,1+AK172,$D$1), "")</f>
        <v/>
      </c>
      <c r="O172" s="260"/>
      <c r="P172" s="260"/>
      <c r="Q172" s="261"/>
      <c r="R172" s="264">
        <f t="shared" si="469"/>
        <v>0</v>
      </c>
      <c r="S172" s="259" t="str" cm="1">
        <f t="array" ref="S172">IF($L172&gt;0, INDEX(Clean,1+AL172,$D$1), "")</f>
        <v/>
      </c>
      <c r="T172" s="260"/>
      <c r="U172" s="260"/>
      <c r="V172" s="261"/>
      <c r="W172" s="267"/>
      <c r="X172" s="267"/>
      <c r="Y172" s="257"/>
      <c r="Z172" s="264">
        <f t="shared" si="470"/>
        <v>0</v>
      </c>
      <c r="AA172" s="269"/>
      <c r="AB172" s="266"/>
      <c r="AC172" s="254"/>
      <c r="AD172" s="255" t="str">
        <f>IF(ISBLANK(AC172), "", VLOOKUP(AC172, Z!$A$2:$C$4127, 3, FALSE))</f>
        <v/>
      </c>
      <c r="AE172" s="270"/>
      <c r="AF172" s="265">
        <f t="shared" si="471"/>
        <v>0</v>
      </c>
      <c r="AG172" s="246"/>
      <c r="AH172" s="228">
        <f t="shared" si="494"/>
        <v>1</v>
      </c>
      <c r="AI172" s="228">
        <f t="shared" si="495"/>
        <v>1</v>
      </c>
      <c r="AJ172" s="228">
        <f t="shared" si="496"/>
        <v>0</v>
      </c>
      <c r="AK172" s="228">
        <v>0</v>
      </c>
      <c r="AL172" s="228">
        <v>0</v>
      </c>
      <c r="AM172" s="228">
        <f t="shared" si="472"/>
        <v>-100</v>
      </c>
      <c r="AN172" s="228" cm="1">
        <f t="array" ref="AN172">IF(ISBLANK(G172), 1, IFERROR(MATCH(G172, INDEX(Kat,,1), 0), IFERROR(MATCH(Kat, INDEX(Use,,2), 0), MATCH(Kat, INDEX(Use,,3), 0))))</f>
        <v>1</v>
      </c>
      <c r="AO172" s="246"/>
      <c r="AP172" s="228" cm="1">
        <f t="array" ref="AP172">IF(W172&gt;0, INDEX(Kat, AN172,4), 0)</f>
        <v>0</v>
      </c>
      <c r="AQ172" s="228">
        <f t="shared" si="497"/>
        <v>0</v>
      </c>
      <c r="AR172" s="228" cm="1">
        <f t="array" ref="AR172">IF(X172&gt;0, INDEX(Kat, $AN172, 4+AQ172), 0)</f>
        <v>0</v>
      </c>
      <c r="AS172" s="228" cm="1">
        <f t="array" ref="AS172">IF(X172&gt;0, INDEX(Kat, $AN172, 9+AQ172), 0)</f>
        <v>0</v>
      </c>
      <c r="AT172" s="246"/>
      <c r="AU172" s="262"/>
      <c r="AV172" s="262"/>
      <c r="AW172" s="263"/>
      <c r="AX172" s="263"/>
      <c r="AY172" s="263"/>
      <c r="AZ172" s="263"/>
      <c r="BA172" s="263"/>
      <c r="BB172" s="263"/>
      <c r="BC172" s="263"/>
      <c r="BD172" s="263"/>
      <c r="BE172" s="263"/>
      <c r="BF172" s="263"/>
      <c r="BG172" s="263"/>
      <c r="BH172" s="246"/>
      <c r="BI172" s="228" cm="1">
        <f t="array" ref="BI172">INDEX(Use, $AH172, 4)</f>
        <v>7</v>
      </c>
      <c r="BJ172" s="228">
        <f t="shared" si="473"/>
        <v>32</v>
      </c>
      <c r="BK172" s="228">
        <f t="shared" si="305"/>
        <v>13</v>
      </c>
      <c r="BL172" s="228">
        <f t="shared" si="306"/>
        <v>0</v>
      </c>
      <c r="BM172" s="233" cm="1">
        <f t="array" ref="BM172">L172/IF($M172&gt;0, INDEX($AY$22:$BE$76, $M172+20, $AH172), 1)</f>
        <v>0</v>
      </c>
      <c r="BN172" s="229">
        <f t="shared" si="474"/>
        <v>0</v>
      </c>
      <c r="BO172" s="228">
        <v>35</v>
      </c>
      <c r="BP172" s="229">
        <f t="shared" si="475"/>
        <v>48</v>
      </c>
      <c r="BQ172" s="234">
        <f t="shared" si="476"/>
        <v>3.0748170731707316</v>
      </c>
      <c r="BR172" s="234" cm="1">
        <f t="array" ref="BR172">$BM172 * SUMPRODUCT(INDEX($AV$76:$AX$81,,$AI172),INDEX($AY$76:$BE$81,,$AH172), N($AU$76:$AU$81&gt;$AM172)) / BQ172 / 1000</f>
        <v>0</v>
      </c>
      <c r="BS172" s="231">
        <f t="shared" si="310"/>
        <v>30</v>
      </c>
      <c r="BT172" s="229">
        <f t="shared" si="477"/>
        <v>43</v>
      </c>
      <c r="BU172" s="234">
        <f t="shared" si="478"/>
        <v>3.5018750000000001</v>
      </c>
      <c r="BV172" s="234" cm="1">
        <f t="array" ref="BV172">$BM172 * IF($AH172&lt;=2,
SUMPRODUCT(INDEX($AV$71:$AX$75,,$AI172), INDEX($AY$71:$BE$75,,$AH172), 1 / ($BF$71:$BF$75*BU172 + (1-$BF$71:$BF$75)*BQ172), N($AU$71:$AU$75&gt;$AM172)),
SUMPRODUCT(INDEX($AV$66:$AX$75,,$AI172), INDEX($AY$66:$BE$75,,$AH172), 1 / ($BG$66:$BG$75*BU172 + (1-$BG$66:$BG$75)*BQ172), N($AU$66:$AU$75&gt;$AM172))
) / 1000</f>
        <v>0</v>
      </c>
      <c r="BW172" s="231">
        <f t="shared" si="313"/>
        <v>25</v>
      </c>
      <c r="BX172" s="229">
        <f t="shared" si="479"/>
        <v>38</v>
      </c>
      <c r="BY172" s="234">
        <f t="shared" si="480"/>
        <v>4.0666935483870965</v>
      </c>
      <c r="BZ172" s="234" cm="1">
        <f t="array" ref="BZ172">$BM172 * IF($AH172&lt;=2,
SUMPRODUCT(INDEX($AV$66:$AX$70,,$AI172), INDEX($AY$66:$BE$70,,$AH172), 1 / ($BF$66:$BF$70*BY172 + (1-$BF$66:$BF$70)*BU172), N($AU$66:$AU$70&gt;$AM172)),
SUMPRODUCT(INDEX($AV$56:$AX$65,,$AI172), INDEX($AY$56:$BE$65,,$AH172), 1 / ($BG$56:$BG$65*BY172 + (1-$BG$56:$BG$65)*BU172), N($AU$56:$AU$65&gt;$AM172))
) / 1000</f>
        <v>0</v>
      </c>
      <c r="CA172" s="231">
        <f t="shared" si="316"/>
        <v>20</v>
      </c>
      <c r="CB172" s="229">
        <f t="shared" si="481"/>
        <v>33</v>
      </c>
      <c r="CC172" s="234">
        <f t="shared" si="482"/>
        <v>4.8487499999999999</v>
      </c>
      <c r="CD172" s="234" cm="1">
        <f t="array" ref="CD172">$BM172 * IF($AH172&lt;=2,
SUMPRODUCT(INDEX($AV$61:$AX$65,,$AI172), INDEX($AY$61:$BE$65,,$AH172), 1 / ($BF$61:$BF$65*CC172 + (1-$BF$61:$BF$65)*BY172), N($AU$61:$AU$65&gt;$AM172)),
SUMPRODUCT(INDEX($AV$46:$AX$55,,$AI172), INDEX($AY$46:$BE$55,,$AH172), 1 / ($BG$46:$BG$55*CC172 + (1-$BG$46:$BG$55)*BY172), N($AU$46:$AU$55&gt;$AM172))
) / 1000</f>
        <v>0</v>
      </c>
      <c r="CE172" s="234" cm="1">
        <f t="array" ref="CE172">$BM172 * IF($AH172&lt;=2,
SUMPRODUCT(INDEX($AV$22:$AX$60,,$AI172), INDEX($AY$22:$BE$60,,$AH172), 1 / ($BF$22:$BF$60*CC172), N($AU$22:$AU$60&gt;$AM172)),
SUMPRODUCT(INDEX($AV$22:$AX$45,,$AI172), INDEX($AY$22:$BE$45,,$AH172), 1 / ($BG$22:$BG$45*CC172), N($AU$22:$AU$45&gt;$AM172))
) / 1000</f>
        <v>0</v>
      </c>
      <c r="CF172" s="229">
        <f t="shared" si="483"/>
        <v>0</v>
      </c>
      <c r="CG172" s="246"/>
      <c r="CH172" s="229">
        <f t="shared" si="484"/>
        <v>0</v>
      </c>
      <c r="CI172" s="228">
        <v>35</v>
      </c>
      <c r="CJ172" s="229">
        <f t="shared" si="485"/>
        <v>48</v>
      </c>
      <c r="CK172" s="234">
        <f t="shared" si="486"/>
        <v>3.0748170731707316</v>
      </c>
      <c r="CL172" s="234" cm="1">
        <f t="array" ref="CL172">$BM172 * SUMPRODUCT(INDEX($AV$76:$AX$81,,$AI172),INDEX($AY$76:$BE$81,,$AH172), N($AU$76:$AU$81&gt;$AM172)) / CK172 / 1000</f>
        <v>0</v>
      </c>
      <c r="CM172" s="231">
        <f t="shared" si="323"/>
        <v>30</v>
      </c>
      <c r="CN172" s="229">
        <f t="shared" si="487"/>
        <v>43</v>
      </c>
      <c r="CO172" s="234">
        <f t="shared" si="488"/>
        <v>3.5018750000000001</v>
      </c>
      <c r="CP172" s="234" cm="1">
        <f t="array" ref="CP172">$BM172 * IF($AH172&lt;=2,
SUMPRODUCT(INDEX($AV$71:$AX$75,,$AI172), INDEX($AY$71:$BE$75,,$AH172), 1 / ($BF$71:$BF$75*CO172 + (1-$BF$71:$BF$75)*CK172), N($AU$71:$AU$75&gt;$AM172)),
SUMPRODUCT(INDEX($AV$66:$AX$75,,$AI172), INDEX($AY$66:$BE$75,,$AH172), 1 / ($BG$66:$BG$75*CO172 + (1-$BG$66:$BG$75)*CK172), N($AU$66:$AU$75&gt;$AM172))
) / 1000</f>
        <v>0</v>
      </c>
      <c r="CQ172" s="231">
        <f t="shared" si="326"/>
        <v>25</v>
      </c>
      <c r="CR172" s="229">
        <f t="shared" si="489"/>
        <v>38</v>
      </c>
      <c r="CS172" s="234">
        <f t="shared" si="490"/>
        <v>4.0666935483870965</v>
      </c>
      <c r="CT172" s="234" cm="1">
        <f t="array" ref="CT172">$BM172 * IF($AH172&lt;=2,
SUMPRODUCT(INDEX($AV$66:$AX$70,,$AI172), INDEX($AY$66:$BE$70,,$AH172), 1 / ($BF$66:$BF$70*CS172 + (1-$BF$66:$BF$70)*CO172), N($AU$66:$AU$70&gt;$AM172)),
SUMPRODUCT(INDEX($AV$56:$AX$65,,$AI172), INDEX($AY$56:$BE$65,,$AH172), 1 / ($BG$56:$BG$65*CS172 + (1-$BG$56:$BG$65)*CO172), N($AU$56:$AU$65&gt;$AM172))
) / 1000</f>
        <v>0</v>
      </c>
      <c r="CU172" s="231">
        <f t="shared" si="329"/>
        <v>20</v>
      </c>
      <c r="CV172" s="229">
        <f t="shared" si="491"/>
        <v>33</v>
      </c>
      <c r="CW172" s="234">
        <f t="shared" si="492"/>
        <v>4.8487499999999999</v>
      </c>
      <c r="CX172" s="234" cm="1">
        <f t="array" ref="CX172">$BM172 * IF($AH172&lt;=2,
SUMPRODUCT(INDEX($AV$61:$AX$65,,$AI172), INDEX($AY$61:$BE$65,,$AH172), 1 / ($BF$61:$BF$65*CW172 + (1-$BF$61:$BF$65)*CS172), N($AU$61:$AU$65&gt;$AM172)),
SUMPRODUCT(INDEX($AV$46:$AX$55,,$AI172), INDEX($AY$46:$BE$55,,$AH172), 1 / ($BG$46:$BG$55*CW172 + (1-$BG$46:$BG$55)*CS172), N($AU$46:$AU$55&gt;$AM172))
) / 1000</f>
        <v>0</v>
      </c>
      <c r="CY172" s="234" cm="1">
        <f t="array" ref="CY172">$BM172 * IF($AH172&lt;=2,
SUMPRODUCT(INDEX($AV$22:$AX$60,,$AI172), INDEX($AY$22:$BE$60,,$AH172), 1 / ($BF$22:$BF$60*CW172), N($AU$22:$AU$60&gt;$AM172)),
SUMPRODUCT(INDEX($AV$22:$AX$45,,$AI172), INDEX($AY$22:$BE$45,,$AH172), 1 / ($BG$22:$BG$45*CW172), N($AU$22:$AU$45&gt;$AM172))
) / 1000</f>
        <v>0</v>
      </c>
      <c r="CZ172" s="229">
        <f t="shared" si="493"/>
        <v>0</v>
      </c>
      <c r="DA172" s="246"/>
    </row>
    <row r="173" spans="1:105" s="75" customFormat="1" ht="14.25" customHeight="1" x14ac:dyDescent="0.2">
      <c r="A173" s="230" t="b">
        <f t="shared" si="291"/>
        <v>0</v>
      </c>
      <c r="B173" s="253">
        <v>152</v>
      </c>
      <c r="C173" s="266"/>
      <c r="D173" s="266"/>
      <c r="E173" s="254"/>
      <c r="F173" s="255" t="str">
        <f>IF(ISBLANK(E173), "", VLOOKUP(E173, Z!$A$2:$C$4127, 3, FALSE))</f>
        <v/>
      </c>
      <c r="G173" s="256"/>
      <c r="H173" s="256"/>
      <c r="I173" s="256"/>
      <c r="J173" s="257"/>
      <c r="K173" s="258"/>
      <c r="L173" s="267"/>
      <c r="M173" s="268"/>
      <c r="N173" s="259" t="str" cm="1">
        <f t="array" ref="N173">IF($L173&gt;0, INDEX(Clean,1+AK173,$D$1), "")</f>
        <v/>
      </c>
      <c r="O173" s="260"/>
      <c r="P173" s="260"/>
      <c r="Q173" s="261"/>
      <c r="R173" s="264">
        <f t="shared" si="469"/>
        <v>0</v>
      </c>
      <c r="S173" s="259" t="str" cm="1">
        <f t="array" ref="S173">IF($L173&gt;0, INDEX(Clean,1+AL173,$D$1), "")</f>
        <v/>
      </c>
      <c r="T173" s="260"/>
      <c r="U173" s="260"/>
      <c r="V173" s="261"/>
      <c r="W173" s="267"/>
      <c r="X173" s="267"/>
      <c r="Y173" s="257"/>
      <c r="Z173" s="264">
        <f t="shared" si="470"/>
        <v>0</v>
      </c>
      <c r="AA173" s="269"/>
      <c r="AB173" s="266"/>
      <c r="AC173" s="254"/>
      <c r="AD173" s="255" t="str">
        <f>IF(ISBLANK(AC173), "", VLOOKUP(AC173, Z!$A$2:$C$4127, 3, FALSE))</f>
        <v/>
      </c>
      <c r="AE173" s="270"/>
      <c r="AF173" s="265">
        <f t="shared" si="471"/>
        <v>0</v>
      </c>
      <c r="AG173" s="246"/>
      <c r="AH173" s="228">
        <f t="shared" si="494"/>
        <v>1</v>
      </c>
      <c r="AI173" s="228">
        <f t="shared" si="495"/>
        <v>1</v>
      </c>
      <c r="AJ173" s="228">
        <f t="shared" si="496"/>
        <v>0</v>
      </c>
      <c r="AK173" s="228">
        <v>0</v>
      </c>
      <c r="AL173" s="228">
        <v>0</v>
      </c>
      <c r="AM173" s="228">
        <f t="shared" si="472"/>
        <v>-100</v>
      </c>
      <c r="AN173" s="228" cm="1">
        <f t="array" ref="AN173">IF(ISBLANK(G173), 1, IFERROR(MATCH(G173, INDEX(Kat,,1), 0), IFERROR(MATCH(Kat, INDEX(Use,,2), 0), MATCH(Kat, INDEX(Use,,3), 0))))</f>
        <v>1</v>
      </c>
      <c r="AO173" s="246"/>
      <c r="AP173" s="228" cm="1">
        <f t="array" ref="AP173">IF(W173&gt;0, INDEX(Kat, AN173,4), 0)</f>
        <v>0</v>
      </c>
      <c r="AQ173" s="228">
        <f t="shared" si="497"/>
        <v>0</v>
      </c>
      <c r="AR173" s="228" cm="1">
        <f t="array" ref="AR173">IF(X173&gt;0, INDEX(Kat, $AN173, 4+AQ173), 0)</f>
        <v>0</v>
      </c>
      <c r="AS173" s="228" cm="1">
        <f t="array" ref="AS173">IF(X173&gt;0, INDEX(Kat, $AN173, 9+AQ173), 0)</f>
        <v>0</v>
      </c>
      <c r="AT173" s="246"/>
      <c r="AU173" s="262"/>
      <c r="AV173" s="262"/>
      <c r="AW173" s="263"/>
      <c r="AX173" s="263"/>
      <c r="AY173" s="263"/>
      <c r="AZ173" s="263"/>
      <c r="BA173" s="263"/>
      <c r="BB173" s="263"/>
      <c r="BC173" s="263"/>
      <c r="BD173" s="263"/>
      <c r="BE173" s="263"/>
      <c r="BF173" s="263"/>
      <c r="BG173" s="263"/>
      <c r="BH173" s="246"/>
      <c r="BI173" s="228" cm="1">
        <f t="array" ref="BI173">INDEX(Use, $AH173, 4)</f>
        <v>7</v>
      </c>
      <c r="BJ173" s="228">
        <f t="shared" si="473"/>
        <v>32</v>
      </c>
      <c r="BK173" s="228">
        <f t="shared" si="305"/>
        <v>13</v>
      </c>
      <c r="BL173" s="228">
        <f t="shared" si="306"/>
        <v>0</v>
      </c>
      <c r="BM173" s="233" cm="1">
        <f t="array" ref="BM173">L173/IF($M173&gt;0, INDEX($AY$22:$BE$76, $M173+20, $AH173), 1)</f>
        <v>0</v>
      </c>
      <c r="BN173" s="229">
        <f t="shared" si="474"/>
        <v>0</v>
      </c>
      <c r="BO173" s="228">
        <v>35</v>
      </c>
      <c r="BP173" s="229">
        <f t="shared" si="475"/>
        <v>48</v>
      </c>
      <c r="BQ173" s="234">
        <f t="shared" si="476"/>
        <v>3.0748170731707316</v>
      </c>
      <c r="BR173" s="234" cm="1">
        <f t="array" ref="BR173">$BM173 * SUMPRODUCT(INDEX($AV$76:$AX$81,,$AI173),INDEX($AY$76:$BE$81,,$AH173), N($AU$76:$AU$81&gt;$AM173)) / BQ173 / 1000</f>
        <v>0</v>
      </c>
      <c r="BS173" s="231">
        <f t="shared" si="310"/>
        <v>30</v>
      </c>
      <c r="BT173" s="229">
        <f t="shared" si="477"/>
        <v>43</v>
      </c>
      <c r="BU173" s="234">
        <f t="shared" si="478"/>
        <v>3.5018750000000001</v>
      </c>
      <c r="BV173" s="234" cm="1">
        <f t="array" ref="BV173">$BM173 * IF($AH173&lt;=2,
SUMPRODUCT(INDEX($AV$71:$AX$75,,$AI173), INDEX($AY$71:$BE$75,,$AH173), 1 / ($BF$71:$BF$75*BU173 + (1-$BF$71:$BF$75)*BQ173), N($AU$71:$AU$75&gt;$AM173)),
SUMPRODUCT(INDEX($AV$66:$AX$75,,$AI173), INDEX($AY$66:$BE$75,,$AH173), 1 / ($BG$66:$BG$75*BU173 + (1-$BG$66:$BG$75)*BQ173), N($AU$66:$AU$75&gt;$AM173))
) / 1000</f>
        <v>0</v>
      </c>
      <c r="BW173" s="231">
        <f t="shared" si="313"/>
        <v>25</v>
      </c>
      <c r="BX173" s="229">
        <f t="shared" si="479"/>
        <v>38</v>
      </c>
      <c r="BY173" s="234">
        <f t="shared" si="480"/>
        <v>4.0666935483870965</v>
      </c>
      <c r="BZ173" s="234" cm="1">
        <f t="array" ref="BZ173">$BM173 * IF($AH173&lt;=2,
SUMPRODUCT(INDEX($AV$66:$AX$70,,$AI173), INDEX($AY$66:$BE$70,,$AH173), 1 / ($BF$66:$BF$70*BY173 + (1-$BF$66:$BF$70)*BU173), N($AU$66:$AU$70&gt;$AM173)),
SUMPRODUCT(INDEX($AV$56:$AX$65,,$AI173), INDEX($AY$56:$BE$65,,$AH173), 1 / ($BG$56:$BG$65*BY173 + (1-$BG$56:$BG$65)*BU173), N($AU$56:$AU$65&gt;$AM173))
) / 1000</f>
        <v>0</v>
      </c>
      <c r="CA173" s="231">
        <f t="shared" si="316"/>
        <v>20</v>
      </c>
      <c r="CB173" s="229">
        <f t="shared" si="481"/>
        <v>33</v>
      </c>
      <c r="CC173" s="234">
        <f t="shared" si="482"/>
        <v>4.8487499999999999</v>
      </c>
      <c r="CD173" s="234" cm="1">
        <f t="array" ref="CD173">$BM173 * IF($AH173&lt;=2,
SUMPRODUCT(INDEX($AV$61:$AX$65,,$AI173), INDEX($AY$61:$BE$65,,$AH173), 1 / ($BF$61:$BF$65*CC173 + (1-$BF$61:$BF$65)*BY173), N($AU$61:$AU$65&gt;$AM173)),
SUMPRODUCT(INDEX($AV$46:$AX$55,,$AI173), INDEX($AY$46:$BE$55,,$AH173), 1 / ($BG$46:$BG$55*CC173 + (1-$BG$46:$BG$55)*BY173), N($AU$46:$AU$55&gt;$AM173))
) / 1000</f>
        <v>0</v>
      </c>
      <c r="CE173" s="234" cm="1">
        <f t="array" ref="CE173">$BM173 * IF($AH173&lt;=2,
SUMPRODUCT(INDEX($AV$22:$AX$60,,$AI173), INDEX($AY$22:$BE$60,,$AH173), 1 / ($BF$22:$BF$60*CC173), N($AU$22:$AU$60&gt;$AM173)),
SUMPRODUCT(INDEX($AV$22:$AX$45,,$AI173), INDEX($AY$22:$BE$45,,$AH173), 1 / ($BG$22:$BG$45*CC173), N($AU$22:$AU$45&gt;$AM173))
) / 1000</f>
        <v>0</v>
      </c>
      <c r="CF173" s="229">
        <f t="shared" si="483"/>
        <v>0</v>
      </c>
      <c r="CG173" s="246"/>
      <c r="CH173" s="229">
        <f t="shared" si="484"/>
        <v>0</v>
      </c>
      <c r="CI173" s="228">
        <v>35</v>
      </c>
      <c r="CJ173" s="229">
        <f t="shared" si="485"/>
        <v>48</v>
      </c>
      <c r="CK173" s="234">
        <f t="shared" si="486"/>
        <v>3.0748170731707316</v>
      </c>
      <c r="CL173" s="234" cm="1">
        <f t="array" ref="CL173">$BM173 * SUMPRODUCT(INDEX($AV$76:$AX$81,,$AI173),INDEX($AY$76:$BE$81,,$AH173), N($AU$76:$AU$81&gt;$AM173)) / CK173 / 1000</f>
        <v>0</v>
      </c>
      <c r="CM173" s="231">
        <f t="shared" si="323"/>
        <v>30</v>
      </c>
      <c r="CN173" s="229">
        <f t="shared" si="487"/>
        <v>43</v>
      </c>
      <c r="CO173" s="234">
        <f t="shared" si="488"/>
        <v>3.5018750000000001</v>
      </c>
      <c r="CP173" s="234" cm="1">
        <f t="array" ref="CP173">$BM173 * IF($AH173&lt;=2,
SUMPRODUCT(INDEX($AV$71:$AX$75,,$AI173), INDEX($AY$71:$BE$75,,$AH173), 1 / ($BF$71:$BF$75*CO173 + (1-$BF$71:$BF$75)*CK173), N($AU$71:$AU$75&gt;$AM173)),
SUMPRODUCT(INDEX($AV$66:$AX$75,,$AI173), INDEX($AY$66:$BE$75,,$AH173), 1 / ($BG$66:$BG$75*CO173 + (1-$BG$66:$BG$75)*CK173), N($AU$66:$AU$75&gt;$AM173))
) / 1000</f>
        <v>0</v>
      </c>
      <c r="CQ173" s="231">
        <f t="shared" si="326"/>
        <v>25</v>
      </c>
      <c r="CR173" s="229">
        <f t="shared" si="489"/>
        <v>38</v>
      </c>
      <c r="CS173" s="234">
        <f t="shared" si="490"/>
        <v>4.0666935483870965</v>
      </c>
      <c r="CT173" s="234" cm="1">
        <f t="array" ref="CT173">$BM173 * IF($AH173&lt;=2,
SUMPRODUCT(INDEX($AV$66:$AX$70,,$AI173), INDEX($AY$66:$BE$70,,$AH173), 1 / ($BF$66:$BF$70*CS173 + (1-$BF$66:$BF$70)*CO173), N($AU$66:$AU$70&gt;$AM173)),
SUMPRODUCT(INDEX($AV$56:$AX$65,,$AI173), INDEX($AY$56:$BE$65,,$AH173), 1 / ($BG$56:$BG$65*CS173 + (1-$BG$56:$BG$65)*CO173), N($AU$56:$AU$65&gt;$AM173))
) / 1000</f>
        <v>0</v>
      </c>
      <c r="CU173" s="231">
        <f t="shared" si="329"/>
        <v>20</v>
      </c>
      <c r="CV173" s="229">
        <f t="shared" si="491"/>
        <v>33</v>
      </c>
      <c r="CW173" s="234">
        <f t="shared" si="492"/>
        <v>4.8487499999999999</v>
      </c>
      <c r="CX173" s="234" cm="1">
        <f t="array" ref="CX173">$BM173 * IF($AH173&lt;=2,
SUMPRODUCT(INDEX($AV$61:$AX$65,,$AI173), INDEX($AY$61:$BE$65,,$AH173), 1 / ($BF$61:$BF$65*CW173 + (1-$BF$61:$BF$65)*CS173), N($AU$61:$AU$65&gt;$AM173)),
SUMPRODUCT(INDEX($AV$46:$AX$55,,$AI173), INDEX($AY$46:$BE$55,,$AH173), 1 / ($BG$46:$BG$55*CW173 + (1-$BG$46:$BG$55)*CS173), N($AU$46:$AU$55&gt;$AM173))
) / 1000</f>
        <v>0</v>
      </c>
      <c r="CY173" s="234" cm="1">
        <f t="array" ref="CY173">$BM173 * IF($AH173&lt;=2,
SUMPRODUCT(INDEX($AV$22:$AX$60,,$AI173), INDEX($AY$22:$BE$60,,$AH173), 1 / ($BF$22:$BF$60*CW173), N($AU$22:$AU$60&gt;$AM173)),
SUMPRODUCT(INDEX($AV$22:$AX$45,,$AI173), INDEX($AY$22:$BE$45,,$AH173), 1 / ($BG$22:$BG$45*CW173), N($AU$22:$AU$45&gt;$AM173))
) / 1000</f>
        <v>0</v>
      </c>
      <c r="CZ173" s="229">
        <f t="shared" si="493"/>
        <v>0</v>
      </c>
      <c r="DA173" s="246"/>
    </row>
    <row r="174" spans="1:105" s="75" customFormat="1" ht="14.25" customHeight="1" x14ac:dyDescent="0.2">
      <c r="A174" s="230" t="b">
        <f t="shared" si="291"/>
        <v>0</v>
      </c>
      <c r="B174" s="253">
        <v>153</v>
      </c>
      <c r="C174" s="266"/>
      <c r="D174" s="266"/>
      <c r="E174" s="254"/>
      <c r="F174" s="255" t="str">
        <f>IF(ISBLANK(E174), "", VLOOKUP(E174, Z!$A$2:$C$4127, 3, FALSE))</f>
        <v/>
      </c>
      <c r="G174" s="256"/>
      <c r="H174" s="256"/>
      <c r="I174" s="256"/>
      <c r="J174" s="257"/>
      <c r="K174" s="258"/>
      <c r="L174" s="267"/>
      <c r="M174" s="268"/>
      <c r="N174" s="259" t="str" cm="1">
        <f t="array" ref="N174">IF($L174&gt;0, INDEX(Clean,1+AK174,$D$1), "")</f>
        <v/>
      </c>
      <c r="O174" s="260"/>
      <c r="P174" s="260"/>
      <c r="Q174" s="261"/>
      <c r="R174" s="264">
        <f t="shared" si="469"/>
        <v>0</v>
      </c>
      <c r="S174" s="259" t="str" cm="1">
        <f t="array" ref="S174">IF($L174&gt;0, INDEX(Clean,1+AL174,$D$1), "")</f>
        <v/>
      </c>
      <c r="T174" s="260"/>
      <c r="U174" s="260"/>
      <c r="V174" s="261"/>
      <c r="W174" s="267"/>
      <c r="X174" s="267"/>
      <c r="Y174" s="257"/>
      <c r="Z174" s="264">
        <f t="shared" si="470"/>
        <v>0</v>
      </c>
      <c r="AA174" s="269"/>
      <c r="AB174" s="266"/>
      <c r="AC174" s="254"/>
      <c r="AD174" s="255" t="str">
        <f>IF(ISBLANK(AC174), "", VLOOKUP(AC174, Z!$A$2:$C$4127, 3, FALSE))</f>
        <v/>
      </c>
      <c r="AE174" s="270"/>
      <c r="AF174" s="265">
        <f t="shared" si="471"/>
        <v>0</v>
      </c>
      <c r="AG174" s="246"/>
      <c r="AH174" s="228">
        <f t="shared" si="494"/>
        <v>1</v>
      </c>
      <c r="AI174" s="228">
        <f t="shared" si="495"/>
        <v>1</v>
      </c>
      <c r="AJ174" s="228">
        <f t="shared" si="496"/>
        <v>0</v>
      </c>
      <c r="AK174" s="228">
        <v>0</v>
      </c>
      <c r="AL174" s="228">
        <v>0</v>
      </c>
      <c r="AM174" s="228">
        <f t="shared" si="472"/>
        <v>-100</v>
      </c>
      <c r="AN174" s="228" cm="1">
        <f t="array" ref="AN174">IF(ISBLANK(G174), 1, IFERROR(MATCH(G174, INDEX(Kat,,1), 0), IFERROR(MATCH(Kat, INDEX(Use,,2), 0), MATCH(Kat, INDEX(Use,,3), 0))))</f>
        <v>1</v>
      </c>
      <c r="AO174" s="246"/>
      <c r="AP174" s="228" cm="1">
        <f t="array" ref="AP174">IF(W174&gt;0, INDEX(Kat, AN174,4), 0)</f>
        <v>0</v>
      </c>
      <c r="AQ174" s="228">
        <f t="shared" si="497"/>
        <v>0</v>
      </c>
      <c r="AR174" s="228" cm="1">
        <f t="array" ref="AR174">IF(X174&gt;0, INDEX(Kat, $AN174, 4+AQ174), 0)</f>
        <v>0</v>
      </c>
      <c r="AS174" s="228" cm="1">
        <f t="array" ref="AS174">IF(X174&gt;0, INDEX(Kat, $AN174, 9+AQ174), 0)</f>
        <v>0</v>
      </c>
      <c r="AT174" s="246"/>
      <c r="AU174" s="262"/>
      <c r="AV174" s="262"/>
      <c r="AW174" s="263"/>
      <c r="AX174" s="263"/>
      <c r="AY174" s="263"/>
      <c r="AZ174" s="263"/>
      <c r="BA174" s="263"/>
      <c r="BB174" s="263"/>
      <c r="BC174" s="263"/>
      <c r="BD174" s="263"/>
      <c r="BE174" s="263"/>
      <c r="BF174" s="263"/>
      <c r="BG174" s="263"/>
      <c r="BH174" s="246"/>
      <c r="BI174" s="228" cm="1">
        <f t="array" ref="BI174">INDEX(Use, $AH174, 4)</f>
        <v>7</v>
      </c>
      <c r="BJ174" s="228">
        <f t="shared" si="473"/>
        <v>32</v>
      </c>
      <c r="BK174" s="228">
        <f t="shared" si="305"/>
        <v>13</v>
      </c>
      <c r="BL174" s="228">
        <f t="shared" si="306"/>
        <v>0</v>
      </c>
      <c r="BM174" s="233" cm="1">
        <f t="array" ref="BM174">L174/IF($M174&gt;0, INDEX($AY$22:$BE$76, $M174+20, $AH174), 1)</f>
        <v>0</v>
      </c>
      <c r="BN174" s="229">
        <f t="shared" si="474"/>
        <v>0</v>
      </c>
      <c r="BO174" s="228">
        <v>35</v>
      </c>
      <c r="BP174" s="229">
        <f t="shared" si="475"/>
        <v>48</v>
      </c>
      <c r="BQ174" s="234">
        <f t="shared" si="476"/>
        <v>3.0748170731707316</v>
      </c>
      <c r="BR174" s="234" cm="1">
        <f t="array" ref="BR174">$BM174 * SUMPRODUCT(INDEX($AV$76:$AX$81,,$AI174),INDEX($AY$76:$BE$81,,$AH174), N($AU$76:$AU$81&gt;$AM174)) / BQ174 / 1000</f>
        <v>0</v>
      </c>
      <c r="BS174" s="231">
        <f t="shared" si="310"/>
        <v>30</v>
      </c>
      <c r="BT174" s="229">
        <f t="shared" si="477"/>
        <v>43</v>
      </c>
      <c r="BU174" s="234">
        <f t="shared" si="478"/>
        <v>3.5018750000000001</v>
      </c>
      <c r="BV174" s="234" cm="1">
        <f t="array" ref="BV174">$BM174 * IF($AH174&lt;=2,
SUMPRODUCT(INDEX($AV$71:$AX$75,,$AI174), INDEX($AY$71:$BE$75,,$AH174), 1 / ($BF$71:$BF$75*BU174 + (1-$BF$71:$BF$75)*BQ174), N($AU$71:$AU$75&gt;$AM174)),
SUMPRODUCT(INDEX($AV$66:$AX$75,,$AI174), INDEX($AY$66:$BE$75,,$AH174), 1 / ($BG$66:$BG$75*BU174 + (1-$BG$66:$BG$75)*BQ174), N($AU$66:$AU$75&gt;$AM174))
) / 1000</f>
        <v>0</v>
      </c>
      <c r="BW174" s="231">
        <f t="shared" si="313"/>
        <v>25</v>
      </c>
      <c r="BX174" s="229">
        <f t="shared" si="479"/>
        <v>38</v>
      </c>
      <c r="BY174" s="234">
        <f t="shared" si="480"/>
        <v>4.0666935483870965</v>
      </c>
      <c r="BZ174" s="234" cm="1">
        <f t="array" ref="BZ174">$BM174 * IF($AH174&lt;=2,
SUMPRODUCT(INDEX($AV$66:$AX$70,,$AI174), INDEX($AY$66:$BE$70,,$AH174), 1 / ($BF$66:$BF$70*BY174 + (1-$BF$66:$BF$70)*BU174), N($AU$66:$AU$70&gt;$AM174)),
SUMPRODUCT(INDEX($AV$56:$AX$65,,$AI174), INDEX($AY$56:$BE$65,,$AH174), 1 / ($BG$56:$BG$65*BY174 + (1-$BG$56:$BG$65)*BU174), N($AU$56:$AU$65&gt;$AM174))
) / 1000</f>
        <v>0</v>
      </c>
      <c r="CA174" s="231">
        <f t="shared" si="316"/>
        <v>20</v>
      </c>
      <c r="CB174" s="229">
        <f t="shared" si="481"/>
        <v>33</v>
      </c>
      <c r="CC174" s="234">
        <f t="shared" si="482"/>
        <v>4.8487499999999999</v>
      </c>
      <c r="CD174" s="234" cm="1">
        <f t="array" ref="CD174">$BM174 * IF($AH174&lt;=2,
SUMPRODUCT(INDEX($AV$61:$AX$65,,$AI174), INDEX($AY$61:$BE$65,,$AH174), 1 / ($BF$61:$BF$65*CC174 + (1-$BF$61:$BF$65)*BY174), N($AU$61:$AU$65&gt;$AM174)),
SUMPRODUCT(INDEX($AV$46:$AX$55,,$AI174), INDEX($AY$46:$BE$55,,$AH174), 1 / ($BG$46:$BG$55*CC174 + (1-$BG$46:$BG$55)*BY174), N($AU$46:$AU$55&gt;$AM174))
) / 1000</f>
        <v>0</v>
      </c>
      <c r="CE174" s="234" cm="1">
        <f t="array" ref="CE174">$BM174 * IF($AH174&lt;=2,
SUMPRODUCT(INDEX($AV$22:$AX$60,,$AI174), INDEX($AY$22:$BE$60,,$AH174), 1 / ($BF$22:$BF$60*CC174), N($AU$22:$AU$60&gt;$AM174)),
SUMPRODUCT(INDEX($AV$22:$AX$45,,$AI174), INDEX($AY$22:$BE$45,,$AH174), 1 / ($BG$22:$BG$45*CC174), N($AU$22:$AU$45&gt;$AM174))
) / 1000</f>
        <v>0</v>
      </c>
      <c r="CF174" s="229">
        <f t="shared" si="483"/>
        <v>0</v>
      </c>
      <c r="CG174" s="246"/>
      <c r="CH174" s="229">
        <f t="shared" si="484"/>
        <v>0</v>
      </c>
      <c r="CI174" s="228">
        <v>35</v>
      </c>
      <c r="CJ174" s="229">
        <f t="shared" si="485"/>
        <v>48</v>
      </c>
      <c r="CK174" s="234">
        <f t="shared" si="486"/>
        <v>3.0748170731707316</v>
      </c>
      <c r="CL174" s="234" cm="1">
        <f t="array" ref="CL174">$BM174 * SUMPRODUCT(INDEX($AV$76:$AX$81,,$AI174),INDEX($AY$76:$BE$81,,$AH174), N($AU$76:$AU$81&gt;$AM174)) / CK174 / 1000</f>
        <v>0</v>
      </c>
      <c r="CM174" s="231">
        <f t="shared" si="323"/>
        <v>30</v>
      </c>
      <c r="CN174" s="229">
        <f t="shared" si="487"/>
        <v>43</v>
      </c>
      <c r="CO174" s="234">
        <f t="shared" si="488"/>
        <v>3.5018750000000001</v>
      </c>
      <c r="CP174" s="234" cm="1">
        <f t="array" ref="CP174">$BM174 * IF($AH174&lt;=2,
SUMPRODUCT(INDEX($AV$71:$AX$75,,$AI174), INDEX($AY$71:$BE$75,,$AH174), 1 / ($BF$71:$BF$75*CO174 + (1-$BF$71:$BF$75)*CK174), N($AU$71:$AU$75&gt;$AM174)),
SUMPRODUCT(INDEX($AV$66:$AX$75,,$AI174), INDEX($AY$66:$BE$75,,$AH174), 1 / ($BG$66:$BG$75*CO174 + (1-$BG$66:$BG$75)*CK174), N($AU$66:$AU$75&gt;$AM174))
) / 1000</f>
        <v>0</v>
      </c>
      <c r="CQ174" s="231">
        <f t="shared" si="326"/>
        <v>25</v>
      </c>
      <c r="CR174" s="229">
        <f t="shared" si="489"/>
        <v>38</v>
      </c>
      <c r="CS174" s="234">
        <f t="shared" si="490"/>
        <v>4.0666935483870965</v>
      </c>
      <c r="CT174" s="234" cm="1">
        <f t="array" ref="CT174">$BM174 * IF($AH174&lt;=2,
SUMPRODUCT(INDEX($AV$66:$AX$70,,$AI174), INDEX($AY$66:$BE$70,,$AH174), 1 / ($BF$66:$BF$70*CS174 + (1-$BF$66:$BF$70)*CO174), N($AU$66:$AU$70&gt;$AM174)),
SUMPRODUCT(INDEX($AV$56:$AX$65,,$AI174), INDEX($AY$56:$BE$65,,$AH174), 1 / ($BG$56:$BG$65*CS174 + (1-$BG$56:$BG$65)*CO174), N($AU$56:$AU$65&gt;$AM174))
) / 1000</f>
        <v>0</v>
      </c>
      <c r="CU174" s="231">
        <f t="shared" si="329"/>
        <v>20</v>
      </c>
      <c r="CV174" s="229">
        <f t="shared" si="491"/>
        <v>33</v>
      </c>
      <c r="CW174" s="234">
        <f t="shared" si="492"/>
        <v>4.8487499999999999</v>
      </c>
      <c r="CX174" s="234" cm="1">
        <f t="array" ref="CX174">$BM174 * IF($AH174&lt;=2,
SUMPRODUCT(INDEX($AV$61:$AX$65,,$AI174), INDEX($AY$61:$BE$65,,$AH174), 1 / ($BF$61:$BF$65*CW174 + (1-$BF$61:$BF$65)*CS174), N($AU$61:$AU$65&gt;$AM174)),
SUMPRODUCT(INDEX($AV$46:$AX$55,,$AI174), INDEX($AY$46:$BE$55,,$AH174), 1 / ($BG$46:$BG$55*CW174 + (1-$BG$46:$BG$55)*CS174), N($AU$46:$AU$55&gt;$AM174))
) / 1000</f>
        <v>0</v>
      </c>
      <c r="CY174" s="234" cm="1">
        <f t="array" ref="CY174">$BM174 * IF($AH174&lt;=2,
SUMPRODUCT(INDEX($AV$22:$AX$60,,$AI174), INDEX($AY$22:$BE$60,,$AH174), 1 / ($BF$22:$BF$60*CW174), N($AU$22:$AU$60&gt;$AM174)),
SUMPRODUCT(INDEX($AV$22:$AX$45,,$AI174), INDEX($AY$22:$BE$45,,$AH174), 1 / ($BG$22:$BG$45*CW174), N($AU$22:$AU$45&gt;$AM174))
) / 1000</f>
        <v>0</v>
      </c>
      <c r="CZ174" s="229">
        <f t="shared" si="493"/>
        <v>0</v>
      </c>
      <c r="DA174" s="246"/>
    </row>
    <row r="175" spans="1:105" s="75" customFormat="1" ht="14.25" customHeight="1" x14ac:dyDescent="0.2">
      <c r="A175" s="230" t="b">
        <f t="shared" si="291"/>
        <v>0</v>
      </c>
      <c r="B175" s="253">
        <v>154</v>
      </c>
      <c r="C175" s="266"/>
      <c r="D175" s="266"/>
      <c r="E175" s="254"/>
      <c r="F175" s="255" t="str">
        <f>IF(ISBLANK(E175), "", VLOOKUP(E175, Z!$A$2:$C$4127, 3, FALSE))</f>
        <v/>
      </c>
      <c r="G175" s="256"/>
      <c r="H175" s="256"/>
      <c r="I175" s="256"/>
      <c r="J175" s="257"/>
      <c r="K175" s="258"/>
      <c r="L175" s="267"/>
      <c r="M175" s="268"/>
      <c r="N175" s="259" t="str" cm="1">
        <f t="array" ref="N175">IF($L175&gt;0, INDEX(Clean,1+AK175,$D$1), "")</f>
        <v/>
      </c>
      <c r="O175" s="260"/>
      <c r="P175" s="260"/>
      <c r="Q175" s="261"/>
      <c r="R175" s="264">
        <f t="shared" si="469"/>
        <v>0</v>
      </c>
      <c r="S175" s="259" t="str" cm="1">
        <f t="array" ref="S175">IF($L175&gt;0, INDEX(Clean,1+AL175,$D$1), "")</f>
        <v/>
      </c>
      <c r="T175" s="260"/>
      <c r="U175" s="260"/>
      <c r="V175" s="261"/>
      <c r="W175" s="267"/>
      <c r="X175" s="267"/>
      <c r="Y175" s="257"/>
      <c r="Z175" s="264">
        <f t="shared" si="470"/>
        <v>0</v>
      </c>
      <c r="AA175" s="269"/>
      <c r="AB175" s="266"/>
      <c r="AC175" s="254"/>
      <c r="AD175" s="255" t="str">
        <f>IF(ISBLANK(AC175), "", VLOOKUP(AC175, Z!$A$2:$C$4127, 3, FALSE))</f>
        <v/>
      </c>
      <c r="AE175" s="270"/>
      <c r="AF175" s="265">
        <f t="shared" si="471"/>
        <v>0</v>
      </c>
      <c r="AG175" s="246"/>
      <c r="AH175" s="228">
        <f t="shared" si="494"/>
        <v>1</v>
      </c>
      <c r="AI175" s="228">
        <f t="shared" si="495"/>
        <v>1</v>
      </c>
      <c r="AJ175" s="228">
        <f t="shared" si="496"/>
        <v>0</v>
      </c>
      <c r="AK175" s="228">
        <v>0</v>
      </c>
      <c r="AL175" s="228">
        <v>0</v>
      </c>
      <c r="AM175" s="228">
        <f t="shared" si="472"/>
        <v>-100</v>
      </c>
      <c r="AN175" s="228" cm="1">
        <f t="array" ref="AN175">IF(ISBLANK(G175), 1, IFERROR(MATCH(G175, INDEX(Kat,,1), 0), IFERROR(MATCH(Kat, INDEX(Use,,2), 0), MATCH(Kat, INDEX(Use,,3), 0))))</f>
        <v>1</v>
      </c>
      <c r="AO175" s="246"/>
      <c r="AP175" s="228" cm="1">
        <f t="array" ref="AP175">IF(W175&gt;0, INDEX(Kat, AN175,4), 0)</f>
        <v>0</v>
      </c>
      <c r="AQ175" s="228">
        <f t="shared" si="497"/>
        <v>0</v>
      </c>
      <c r="AR175" s="228" cm="1">
        <f t="array" ref="AR175">IF(X175&gt;0, INDEX(Kat, $AN175, 4+AQ175), 0)</f>
        <v>0</v>
      </c>
      <c r="AS175" s="228" cm="1">
        <f t="array" ref="AS175">IF(X175&gt;0, INDEX(Kat, $AN175, 9+AQ175), 0)</f>
        <v>0</v>
      </c>
      <c r="AT175" s="246"/>
      <c r="AU175" s="262"/>
      <c r="AV175" s="262"/>
      <c r="AW175" s="263"/>
      <c r="AX175" s="263"/>
      <c r="AY175" s="263"/>
      <c r="AZ175" s="263"/>
      <c r="BA175" s="263"/>
      <c r="BB175" s="263"/>
      <c r="BC175" s="263"/>
      <c r="BD175" s="263"/>
      <c r="BE175" s="263"/>
      <c r="BF175" s="263"/>
      <c r="BG175" s="263"/>
      <c r="BH175" s="246"/>
      <c r="BI175" s="228" cm="1">
        <f t="array" ref="BI175">INDEX(Use, $AH175, 4)</f>
        <v>7</v>
      </c>
      <c r="BJ175" s="228">
        <f t="shared" si="473"/>
        <v>32</v>
      </c>
      <c r="BK175" s="228">
        <f t="shared" si="305"/>
        <v>13</v>
      </c>
      <c r="BL175" s="228">
        <f t="shared" si="306"/>
        <v>0</v>
      </c>
      <c r="BM175" s="233" cm="1">
        <f t="array" ref="BM175">L175/IF($M175&gt;0, INDEX($AY$22:$BE$76, $M175+20, $AH175), 1)</f>
        <v>0</v>
      </c>
      <c r="BN175" s="229">
        <f t="shared" si="474"/>
        <v>0</v>
      </c>
      <c r="BO175" s="228">
        <v>35</v>
      </c>
      <c r="BP175" s="229">
        <f t="shared" si="475"/>
        <v>48</v>
      </c>
      <c r="BQ175" s="234">
        <f t="shared" si="476"/>
        <v>3.0748170731707316</v>
      </c>
      <c r="BR175" s="234" cm="1">
        <f t="array" ref="BR175">$BM175 * SUMPRODUCT(INDEX($AV$76:$AX$81,,$AI175),INDEX($AY$76:$BE$81,,$AH175), N($AU$76:$AU$81&gt;$AM175)) / BQ175 / 1000</f>
        <v>0</v>
      </c>
      <c r="BS175" s="231">
        <f t="shared" si="310"/>
        <v>30</v>
      </c>
      <c r="BT175" s="229">
        <f t="shared" si="477"/>
        <v>43</v>
      </c>
      <c r="BU175" s="234">
        <f t="shared" si="478"/>
        <v>3.5018750000000001</v>
      </c>
      <c r="BV175" s="234" cm="1">
        <f t="array" ref="BV175">$BM175 * IF($AH175&lt;=2,
SUMPRODUCT(INDEX($AV$71:$AX$75,,$AI175), INDEX($AY$71:$BE$75,,$AH175), 1 / ($BF$71:$BF$75*BU175 + (1-$BF$71:$BF$75)*BQ175), N($AU$71:$AU$75&gt;$AM175)),
SUMPRODUCT(INDEX($AV$66:$AX$75,,$AI175), INDEX($AY$66:$BE$75,,$AH175), 1 / ($BG$66:$BG$75*BU175 + (1-$BG$66:$BG$75)*BQ175), N($AU$66:$AU$75&gt;$AM175))
) / 1000</f>
        <v>0</v>
      </c>
      <c r="BW175" s="231">
        <f t="shared" si="313"/>
        <v>25</v>
      </c>
      <c r="BX175" s="229">
        <f t="shared" si="479"/>
        <v>38</v>
      </c>
      <c r="BY175" s="234">
        <f t="shared" si="480"/>
        <v>4.0666935483870965</v>
      </c>
      <c r="BZ175" s="234" cm="1">
        <f t="array" ref="BZ175">$BM175 * IF($AH175&lt;=2,
SUMPRODUCT(INDEX($AV$66:$AX$70,,$AI175), INDEX($AY$66:$BE$70,,$AH175), 1 / ($BF$66:$BF$70*BY175 + (1-$BF$66:$BF$70)*BU175), N($AU$66:$AU$70&gt;$AM175)),
SUMPRODUCT(INDEX($AV$56:$AX$65,,$AI175), INDEX($AY$56:$BE$65,,$AH175), 1 / ($BG$56:$BG$65*BY175 + (1-$BG$56:$BG$65)*BU175), N($AU$56:$AU$65&gt;$AM175))
) / 1000</f>
        <v>0</v>
      </c>
      <c r="CA175" s="231">
        <f t="shared" si="316"/>
        <v>20</v>
      </c>
      <c r="CB175" s="229">
        <f t="shared" si="481"/>
        <v>33</v>
      </c>
      <c r="CC175" s="234">
        <f t="shared" si="482"/>
        <v>4.8487499999999999</v>
      </c>
      <c r="CD175" s="234" cm="1">
        <f t="array" ref="CD175">$BM175 * IF($AH175&lt;=2,
SUMPRODUCT(INDEX($AV$61:$AX$65,,$AI175), INDEX($AY$61:$BE$65,,$AH175), 1 / ($BF$61:$BF$65*CC175 + (1-$BF$61:$BF$65)*BY175), N($AU$61:$AU$65&gt;$AM175)),
SUMPRODUCT(INDEX($AV$46:$AX$55,,$AI175), INDEX($AY$46:$BE$55,,$AH175), 1 / ($BG$46:$BG$55*CC175 + (1-$BG$46:$BG$55)*BY175), N($AU$46:$AU$55&gt;$AM175))
) / 1000</f>
        <v>0</v>
      </c>
      <c r="CE175" s="234" cm="1">
        <f t="array" ref="CE175">$BM175 * IF($AH175&lt;=2,
SUMPRODUCT(INDEX($AV$22:$AX$60,,$AI175), INDEX($AY$22:$BE$60,,$AH175), 1 / ($BF$22:$BF$60*CC175), N($AU$22:$AU$60&gt;$AM175)),
SUMPRODUCT(INDEX($AV$22:$AX$45,,$AI175), INDEX($AY$22:$BE$45,,$AH175), 1 / ($BG$22:$BG$45*CC175), N($AU$22:$AU$45&gt;$AM175))
) / 1000</f>
        <v>0</v>
      </c>
      <c r="CF175" s="229">
        <f t="shared" si="483"/>
        <v>0</v>
      </c>
      <c r="CG175" s="246"/>
      <c r="CH175" s="229">
        <f t="shared" si="484"/>
        <v>0</v>
      </c>
      <c r="CI175" s="228">
        <v>35</v>
      </c>
      <c r="CJ175" s="229">
        <f t="shared" si="485"/>
        <v>48</v>
      </c>
      <c r="CK175" s="234">
        <f t="shared" si="486"/>
        <v>3.0748170731707316</v>
      </c>
      <c r="CL175" s="234" cm="1">
        <f t="array" ref="CL175">$BM175 * SUMPRODUCT(INDEX($AV$76:$AX$81,,$AI175),INDEX($AY$76:$BE$81,,$AH175), N($AU$76:$AU$81&gt;$AM175)) / CK175 / 1000</f>
        <v>0</v>
      </c>
      <c r="CM175" s="231">
        <f t="shared" si="323"/>
        <v>30</v>
      </c>
      <c r="CN175" s="229">
        <f t="shared" si="487"/>
        <v>43</v>
      </c>
      <c r="CO175" s="234">
        <f t="shared" si="488"/>
        <v>3.5018750000000001</v>
      </c>
      <c r="CP175" s="234" cm="1">
        <f t="array" ref="CP175">$BM175 * IF($AH175&lt;=2,
SUMPRODUCT(INDEX($AV$71:$AX$75,,$AI175), INDEX($AY$71:$BE$75,,$AH175), 1 / ($BF$71:$BF$75*CO175 + (1-$BF$71:$BF$75)*CK175), N($AU$71:$AU$75&gt;$AM175)),
SUMPRODUCT(INDEX($AV$66:$AX$75,,$AI175), INDEX($AY$66:$BE$75,,$AH175), 1 / ($BG$66:$BG$75*CO175 + (1-$BG$66:$BG$75)*CK175), N($AU$66:$AU$75&gt;$AM175))
) / 1000</f>
        <v>0</v>
      </c>
      <c r="CQ175" s="231">
        <f t="shared" si="326"/>
        <v>25</v>
      </c>
      <c r="CR175" s="229">
        <f t="shared" si="489"/>
        <v>38</v>
      </c>
      <c r="CS175" s="234">
        <f t="shared" si="490"/>
        <v>4.0666935483870965</v>
      </c>
      <c r="CT175" s="234" cm="1">
        <f t="array" ref="CT175">$BM175 * IF($AH175&lt;=2,
SUMPRODUCT(INDEX($AV$66:$AX$70,,$AI175), INDEX($AY$66:$BE$70,,$AH175), 1 / ($BF$66:$BF$70*CS175 + (1-$BF$66:$BF$70)*CO175), N($AU$66:$AU$70&gt;$AM175)),
SUMPRODUCT(INDEX($AV$56:$AX$65,,$AI175), INDEX($AY$56:$BE$65,,$AH175), 1 / ($BG$56:$BG$65*CS175 + (1-$BG$56:$BG$65)*CO175), N($AU$56:$AU$65&gt;$AM175))
) / 1000</f>
        <v>0</v>
      </c>
      <c r="CU175" s="231">
        <f t="shared" si="329"/>
        <v>20</v>
      </c>
      <c r="CV175" s="229">
        <f t="shared" si="491"/>
        <v>33</v>
      </c>
      <c r="CW175" s="234">
        <f t="shared" si="492"/>
        <v>4.8487499999999999</v>
      </c>
      <c r="CX175" s="234" cm="1">
        <f t="array" ref="CX175">$BM175 * IF($AH175&lt;=2,
SUMPRODUCT(INDEX($AV$61:$AX$65,,$AI175), INDEX($AY$61:$BE$65,,$AH175), 1 / ($BF$61:$BF$65*CW175 + (1-$BF$61:$BF$65)*CS175), N($AU$61:$AU$65&gt;$AM175)),
SUMPRODUCT(INDEX($AV$46:$AX$55,,$AI175), INDEX($AY$46:$BE$55,,$AH175), 1 / ($BG$46:$BG$55*CW175 + (1-$BG$46:$BG$55)*CS175), N($AU$46:$AU$55&gt;$AM175))
) / 1000</f>
        <v>0</v>
      </c>
      <c r="CY175" s="234" cm="1">
        <f t="array" ref="CY175">$BM175 * IF($AH175&lt;=2,
SUMPRODUCT(INDEX($AV$22:$AX$60,,$AI175), INDEX($AY$22:$BE$60,,$AH175), 1 / ($BF$22:$BF$60*CW175), N($AU$22:$AU$60&gt;$AM175)),
SUMPRODUCT(INDEX($AV$22:$AX$45,,$AI175), INDEX($AY$22:$BE$45,,$AH175), 1 / ($BG$22:$BG$45*CW175), N($AU$22:$AU$45&gt;$AM175))
) / 1000</f>
        <v>0</v>
      </c>
      <c r="CZ175" s="229">
        <f t="shared" si="493"/>
        <v>0</v>
      </c>
      <c r="DA175" s="246"/>
    </row>
    <row r="176" spans="1:105" s="75" customFormat="1" ht="14.25" customHeight="1" x14ac:dyDescent="0.2">
      <c r="A176" s="230" t="b">
        <f t="shared" si="291"/>
        <v>0</v>
      </c>
      <c r="B176" s="253">
        <v>155</v>
      </c>
      <c r="C176" s="266"/>
      <c r="D176" s="266"/>
      <c r="E176" s="254"/>
      <c r="F176" s="255" t="str">
        <f>IF(ISBLANK(E176), "", VLOOKUP(E176, Z!$A$2:$C$4127, 3, FALSE))</f>
        <v/>
      </c>
      <c r="G176" s="256"/>
      <c r="H176" s="256"/>
      <c r="I176" s="256"/>
      <c r="J176" s="257"/>
      <c r="K176" s="258"/>
      <c r="L176" s="267"/>
      <c r="M176" s="268"/>
      <c r="N176" s="259" t="str" cm="1">
        <f t="array" ref="N176">IF($L176&gt;0, INDEX(Clean,1+AK176,$D$1), "")</f>
        <v/>
      </c>
      <c r="O176" s="260"/>
      <c r="P176" s="260"/>
      <c r="Q176" s="261"/>
      <c r="R176" s="264">
        <f t="shared" si="469"/>
        <v>0</v>
      </c>
      <c r="S176" s="259" t="str" cm="1">
        <f t="array" ref="S176">IF($L176&gt;0, INDEX(Clean,1+AL176,$D$1), "")</f>
        <v/>
      </c>
      <c r="T176" s="260"/>
      <c r="U176" s="260"/>
      <c r="V176" s="261"/>
      <c r="W176" s="267"/>
      <c r="X176" s="267"/>
      <c r="Y176" s="257"/>
      <c r="Z176" s="264">
        <f t="shared" si="470"/>
        <v>0</v>
      </c>
      <c r="AA176" s="269"/>
      <c r="AB176" s="266"/>
      <c r="AC176" s="254"/>
      <c r="AD176" s="255" t="str">
        <f>IF(ISBLANK(AC176), "", VLOOKUP(AC176, Z!$A$2:$C$4127, 3, FALSE))</f>
        <v/>
      </c>
      <c r="AE176" s="270"/>
      <c r="AF176" s="265">
        <f t="shared" si="471"/>
        <v>0</v>
      </c>
      <c r="AG176" s="246"/>
      <c r="AH176" s="228">
        <f t="shared" si="494"/>
        <v>1</v>
      </c>
      <c r="AI176" s="228">
        <f t="shared" si="495"/>
        <v>1</v>
      </c>
      <c r="AJ176" s="228">
        <f t="shared" si="496"/>
        <v>0</v>
      </c>
      <c r="AK176" s="228">
        <v>0</v>
      </c>
      <c r="AL176" s="228">
        <v>0</v>
      </c>
      <c r="AM176" s="228">
        <f t="shared" si="472"/>
        <v>-100</v>
      </c>
      <c r="AN176" s="228" cm="1">
        <f t="array" ref="AN176">IF(ISBLANK(G176), 1, IFERROR(MATCH(G176, INDEX(Kat,,1), 0), IFERROR(MATCH(Kat, INDEX(Use,,2), 0), MATCH(Kat, INDEX(Use,,3), 0))))</f>
        <v>1</v>
      </c>
      <c r="AO176" s="246"/>
      <c r="AP176" s="228" cm="1">
        <f t="array" ref="AP176">IF(W176&gt;0, INDEX(Kat, AN176,4), 0)</f>
        <v>0</v>
      </c>
      <c r="AQ176" s="228">
        <f t="shared" si="497"/>
        <v>0</v>
      </c>
      <c r="AR176" s="228" cm="1">
        <f t="array" ref="AR176">IF(X176&gt;0, INDEX(Kat, $AN176, 4+AQ176), 0)</f>
        <v>0</v>
      </c>
      <c r="AS176" s="228" cm="1">
        <f t="array" ref="AS176">IF(X176&gt;0, INDEX(Kat, $AN176, 9+AQ176), 0)</f>
        <v>0</v>
      </c>
      <c r="AT176" s="246"/>
      <c r="AU176" s="262"/>
      <c r="AV176" s="262"/>
      <c r="AW176" s="263"/>
      <c r="AX176" s="263"/>
      <c r="AY176" s="263"/>
      <c r="AZ176" s="263"/>
      <c r="BA176" s="263"/>
      <c r="BB176" s="263"/>
      <c r="BC176" s="263"/>
      <c r="BD176" s="263"/>
      <c r="BE176" s="263"/>
      <c r="BF176" s="263"/>
      <c r="BG176" s="263"/>
      <c r="BH176" s="246"/>
      <c r="BI176" s="228" cm="1">
        <f t="array" ref="BI176">INDEX(Use, $AH176, 4)</f>
        <v>7</v>
      </c>
      <c r="BJ176" s="228">
        <f t="shared" si="473"/>
        <v>32</v>
      </c>
      <c r="BK176" s="228">
        <f t="shared" si="305"/>
        <v>13</v>
      </c>
      <c r="BL176" s="228">
        <f t="shared" si="306"/>
        <v>0</v>
      </c>
      <c r="BM176" s="233" cm="1">
        <f t="array" ref="BM176">L176/IF($M176&gt;0, INDEX($AY$22:$BE$76, $M176+20, $AH176), 1)</f>
        <v>0</v>
      </c>
      <c r="BN176" s="229">
        <f t="shared" si="474"/>
        <v>0</v>
      </c>
      <c r="BO176" s="228">
        <v>35</v>
      </c>
      <c r="BP176" s="229">
        <f t="shared" si="475"/>
        <v>48</v>
      </c>
      <c r="BQ176" s="234">
        <f t="shared" si="476"/>
        <v>3.0748170731707316</v>
      </c>
      <c r="BR176" s="234" cm="1">
        <f t="array" ref="BR176">$BM176 * SUMPRODUCT(INDEX($AV$76:$AX$81,,$AI176),INDEX($AY$76:$BE$81,,$AH176), N($AU$76:$AU$81&gt;$AM176)) / BQ176 / 1000</f>
        <v>0</v>
      </c>
      <c r="BS176" s="231">
        <f t="shared" si="310"/>
        <v>30</v>
      </c>
      <c r="BT176" s="229">
        <f t="shared" si="477"/>
        <v>43</v>
      </c>
      <c r="BU176" s="234">
        <f t="shared" si="478"/>
        <v>3.5018750000000001</v>
      </c>
      <c r="BV176" s="234" cm="1">
        <f t="array" ref="BV176">$BM176 * IF($AH176&lt;=2,
SUMPRODUCT(INDEX($AV$71:$AX$75,,$AI176), INDEX($AY$71:$BE$75,,$AH176), 1 / ($BF$71:$BF$75*BU176 + (1-$BF$71:$BF$75)*BQ176), N($AU$71:$AU$75&gt;$AM176)),
SUMPRODUCT(INDEX($AV$66:$AX$75,,$AI176), INDEX($AY$66:$BE$75,,$AH176), 1 / ($BG$66:$BG$75*BU176 + (1-$BG$66:$BG$75)*BQ176), N($AU$66:$AU$75&gt;$AM176))
) / 1000</f>
        <v>0</v>
      </c>
      <c r="BW176" s="231">
        <f t="shared" si="313"/>
        <v>25</v>
      </c>
      <c r="BX176" s="229">
        <f t="shared" si="479"/>
        <v>38</v>
      </c>
      <c r="BY176" s="234">
        <f t="shared" si="480"/>
        <v>4.0666935483870965</v>
      </c>
      <c r="BZ176" s="234" cm="1">
        <f t="array" ref="BZ176">$BM176 * IF($AH176&lt;=2,
SUMPRODUCT(INDEX($AV$66:$AX$70,,$AI176), INDEX($AY$66:$BE$70,,$AH176), 1 / ($BF$66:$BF$70*BY176 + (1-$BF$66:$BF$70)*BU176), N($AU$66:$AU$70&gt;$AM176)),
SUMPRODUCT(INDEX($AV$56:$AX$65,,$AI176), INDEX($AY$56:$BE$65,,$AH176), 1 / ($BG$56:$BG$65*BY176 + (1-$BG$56:$BG$65)*BU176), N($AU$56:$AU$65&gt;$AM176))
) / 1000</f>
        <v>0</v>
      </c>
      <c r="CA176" s="231">
        <f t="shared" si="316"/>
        <v>20</v>
      </c>
      <c r="CB176" s="229">
        <f t="shared" si="481"/>
        <v>33</v>
      </c>
      <c r="CC176" s="234">
        <f t="shared" si="482"/>
        <v>4.8487499999999999</v>
      </c>
      <c r="CD176" s="234" cm="1">
        <f t="array" ref="CD176">$BM176 * IF($AH176&lt;=2,
SUMPRODUCT(INDEX($AV$61:$AX$65,,$AI176), INDEX($AY$61:$BE$65,,$AH176), 1 / ($BF$61:$BF$65*CC176 + (1-$BF$61:$BF$65)*BY176), N($AU$61:$AU$65&gt;$AM176)),
SUMPRODUCT(INDEX($AV$46:$AX$55,,$AI176), INDEX($AY$46:$BE$55,,$AH176), 1 / ($BG$46:$BG$55*CC176 + (1-$BG$46:$BG$55)*BY176), N($AU$46:$AU$55&gt;$AM176))
) / 1000</f>
        <v>0</v>
      </c>
      <c r="CE176" s="234" cm="1">
        <f t="array" ref="CE176">$BM176 * IF($AH176&lt;=2,
SUMPRODUCT(INDEX($AV$22:$AX$60,,$AI176), INDEX($AY$22:$BE$60,,$AH176), 1 / ($BF$22:$BF$60*CC176), N($AU$22:$AU$60&gt;$AM176)),
SUMPRODUCT(INDEX($AV$22:$AX$45,,$AI176), INDEX($AY$22:$BE$45,,$AH176), 1 / ($BG$22:$BG$45*CC176), N($AU$22:$AU$45&gt;$AM176))
) / 1000</f>
        <v>0</v>
      </c>
      <c r="CF176" s="229">
        <f t="shared" si="483"/>
        <v>0</v>
      </c>
      <c r="CG176" s="246"/>
      <c r="CH176" s="229">
        <f t="shared" si="484"/>
        <v>0</v>
      </c>
      <c r="CI176" s="228">
        <v>35</v>
      </c>
      <c r="CJ176" s="229">
        <f t="shared" si="485"/>
        <v>48</v>
      </c>
      <c r="CK176" s="234">
        <f t="shared" si="486"/>
        <v>3.0748170731707316</v>
      </c>
      <c r="CL176" s="234" cm="1">
        <f t="array" ref="CL176">$BM176 * SUMPRODUCT(INDEX($AV$76:$AX$81,,$AI176),INDEX($AY$76:$BE$81,,$AH176), N($AU$76:$AU$81&gt;$AM176)) / CK176 / 1000</f>
        <v>0</v>
      </c>
      <c r="CM176" s="231">
        <f t="shared" si="323"/>
        <v>30</v>
      </c>
      <c r="CN176" s="229">
        <f t="shared" si="487"/>
        <v>43</v>
      </c>
      <c r="CO176" s="234">
        <f t="shared" si="488"/>
        <v>3.5018750000000001</v>
      </c>
      <c r="CP176" s="234" cm="1">
        <f t="array" ref="CP176">$BM176 * IF($AH176&lt;=2,
SUMPRODUCT(INDEX($AV$71:$AX$75,,$AI176), INDEX($AY$71:$BE$75,,$AH176), 1 / ($BF$71:$BF$75*CO176 + (1-$BF$71:$BF$75)*CK176), N($AU$71:$AU$75&gt;$AM176)),
SUMPRODUCT(INDEX($AV$66:$AX$75,,$AI176), INDEX($AY$66:$BE$75,,$AH176), 1 / ($BG$66:$BG$75*CO176 + (1-$BG$66:$BG$75)*CK176), N($AU$66:$AU$75&gt;$AM176))
) / 1000</f>
        <v>0</v>
      </c>
      <c r="CQ176" s="231">
        <f t="shared" si="326"/>
        <v>25</v>
      </c>
      <c r="CR176" s="229">
        <f t="shared" si="489"/>
        <v>38</v>
      </c>
      <c r="CS176" s="234">
        <f t="shared" si="490"/>
        <v>4.0666935483870965</v>
      </c>
      <c r="CT176" s="234" cm="1">
        <f t="array" ref="CT176">$BM176 * IF($AH176&lt;=2,
SUMPRODUCT(INDEX($AV$66:$AX$70,,$AI176), INDEX($AY$66:$BE$70,,$AH176), 1 / ($BF$66:$BF$70*CS176 + (1-$BF$66:$BF$70)*CO176), N($AU$66:$AU$70&gt;$AM176)),
SUMPRODUCT(INDEX($AV$56:$AX$65,,$AI176), INDEX($AY$56:$BE$65,,$AH176), 1 / ($BG$56:$BG$65*CS176 + (1-$BG$56:$BG$65)*CO176), N($AU$56:$AU$65&gt;$AM176))
) / 1000</f>
        <v>0</v>
      </c>
      <c r="CU176" s="231">
        <f t="shared" si="329"/>
        <v>20</v>
      </c>
      <c r="CV176" s="229">
        <f t="shared" si="491"/>
        <v>33</v>
      </c>
      <c r="CW176" s="234">
        <f t="shared" si="492"/>
        <v>4.8487499999999999</v>
      </c>
      <c r="CX176" s="234" cm="1">
        <f t="array" ref="CX176">$BM176 * IF($AH176&lt;=2,
SUMPRODUCT(INDEX($AV$61:$AX$65,,$AI176), INDEX($AY$61:$BE$65,,$AH176), 1 / ($BF$61:$BF$65*CW176 + (1-$BF$61:$BF$65)*CS176), N($AU$61:$AU$65&gt;$AM176)),
SUMPRODUCT(INDEX($AV$46:$AX$55,,$AI176), INDEX($AY$46:$BE$55,,$AH176), 1 / ($BG$46:$BG$55*CW176 + (1-$BG$46:$BG$55)*CS176), N($AU$46:$AU$55&gt;$AM176))
) / 1000</f>
        <v>0</v>
      </c>
      <c r="CY176" s="234" cm="1">
        <f t="array" ref="CY176">$BM176 * IF($AH176&lt;=2,
SUMPRODUCT(INDEX($AV$22:$AX$60,,$AI176), INDEX($AY$22:$BE$60,,$AH176), 1 / ($BF$22:$BF$60*CW176), N($AU$22:$AU$60&gt;$AM176)),
SUMPRODUCT(INDEX($AV$22:$AX$45,,$AI176), INDEX($AY$22:$BE$45,,$AH176), 1 / ($BG$22:$BG$45*CW176), N($AU$22:$AU$45&gt;$AM176))
) / 1000</f>
        <v>0</v>
      </c>
      <c r="CZ176" s="229">
        <f t="shared" si="493"/>
        <v>0</v>
      </c>
      <c r="DA176" s="246"/>
    </row>
    <row r="177" spans="1:105" s="75" customFormat="1" ht="14.25" customHeight="1" x14ac:dyDescent="0.2">
      <c r="A177" s="230" t="b">
        <f t="shared" si="291"/>
        <v>0</v>
      </c>
      <c r="B177" s="253">
        <v>156</v>
      </c>
      <c r="C177" s="266"/>
      <c r="D177" s="266"/>
      <c r="E177" s="254"/>
      <c r="F177" s="255" t="str">
        <f>IF(ISBLANK(E177), "", VLOOKUP(E177, Z!$A$2:$C$4127, 3, FALSE))</f>
        <v/>
      </c>
      <c r="G177" s="256"/>
      <c r="H177" s="256"/>
      <c r="I177" s="256"/>
      <c r="J177" s="257"/>
      <c r="K177" s="258"/>
      <c r="L177" s="267"/>
      <c r="M177" s="268"/>
      <c r="N177" s="259" t="str" cm="1">
        <f t="array" ref="N177">IF($L177&gt;0, INDEX(Clean,1+AK177,$D$1), "")</f>
        <v/>
      </c>
      <c r="O177" s="260"/>
      <c r="P177" s="260"/>
      <c r="Q177" s="261"/>
      <c r="R177" s="264">
        <f t="shared" si="469"/>
        <v>0</v>
      </c>
      <c r="S177" s="259" t="str" cm="1">
        <f t="array" ref="S177">IF($L177&gt;0, INDEX(Clean,1+AL177,$D$1), "")</f>
        <v/>
      </c>
      <c r="T177" s="260"/>
      <c r="U177" s="260"/>
      <c r="V177" s="261"/>
      <c r="W177" s="267"/>
      <c r="X177" s="267"/>
      <c r="Y177" s="257"/>
      <c r="Z177" s="264">
        <f t="shared" si="470"/>
        <v>0</v>
      </c>
      <c r="AA177" s="269"/>
      <c r="AB177" s="266"/>
      <c r="AC177" s="254"/>
      <c r="AD177" s="255" t="str">
        <f>IF(ISBLANK(AC177), "", VLOOKUP(AC177, Z!$A$2:$C$4127, 3, FALSE))</f>
        <v/>
      </c>
      <c r="AE177" s="270"/>
      <c r="AF177" s="265">
        <f t="shared" si="471"/>
        <v>0</v>
      </c>
      <c r="AG177" s="246"/>
      <c r="AH177" s="228">
        <f t="shared" si="494"/>
        <v>1</v>
      </c>
      <c r="AI177" s="228">
        <f t="shared" si="495"/>
        <v>1</v>
      </c>
      <c r="AJ177" s="228">
        <f t="shared" si="496"/>
        <v>0</v>
      </c>
      <c r="AK177" s="228">
        <v>0</v>
      </c>
      <c r="AL177" s="228">
        <v>0</v>
      </c>
      <c r="AM177" s="228">
        <f t="shared" si="472"/>
        <v>-100</v>
      </c>
      <c r="AN177" s="228" cm="1">
        <f t="array" ref="AN177">IF(ISBLANK(G177), 1, IFERROR(MATCH(G177, INDEX(Kat,,1), 0), IFERROR(MATCH(Kat, INDEX(Use,,2), 0), MATCH(Kat, INDEX(Use,,3), 0))))</f>
        <v>1</v>
      </c>
      <c r="AO177" s="246"/>
      <c r="AP177" s="228" cm="1">
        <f t="array" ref="AP177">IF(W177&gt;0, INDEX(Kat, AN177,4), 0)</f>
        <v>0</v>
      </c>
      <c r="AQ177" s="228">
        <f t="shared" si="497"/>
        <v>0</v>
      </c>
      <c r="AR177" s="228" cm="1">
        <f t="array" ref="AR177">IF(X177&gt;0, INDEX(Kat, $AN177, 4+AQ177), 0)</f>
        <v>0</v>
      </c>
      <c r="AS177" s="228" cm="1">
        <f t="array" ref="AS177">IF(X177&gt;0, INDEX(Kat, $AN177, 9+AQ177), 0)</f>
        <v>0</v>
      </c>
      <c r="AT177" s="246"/>
      <c r="AU177" s="262"/>
      <c r="AV177" s="262"/>
      <c r="AW177" s="263"/>
      <c r="AX177" s="263"/>
      <c r="AY177" s="263"/>
      <c r="AZ177" s="263"/>
      <c r="BA177" s="263"/>
      <c r="BB177" s="263"/>
      <c r="BC177" s="263"/>
      <c r="BD177" s="263"/>
      <c r="BE177" s="263"/>
      <c r="BF177" s="263"/>
      <c r="BG177" s="263"/>
      <c r="BH177" s="246"/>
      <c r="BI177" s="228" cm="1">
        <f t="array" ref="BI177">INDEX(Use, $AH177, 4)</f>
        <v>7</v>
      </c>
      <c r="BJ177" s="228">
        <f t="shared" si="473"/>
        <v>32</v>
      </c>
      <c r="BK177" s="228">
        <f t="shared" si="305"/>
        <v>13</v>
      </c>
      <c r="BL177" s="228">
        <f t="shared" si="306"/>
        <v>0</v>
      </c>
      <c r="BM177" s="233" cm="1">
        <f t="array" ref="BM177">L177/IF($M177&gt;0, INDEX($AY$22:$BE$76, $M177+20, $AH177), 1)</f>
        <v>0</v>
      </c>
      <c r="BN177" s="229">
        <f t="shared" si="474"/>
        <v>0</v>
      </c>
      <c r="BO177" s="228">
        <v>35</v>
      </c>
      <c r="BP177" s="229">
        <f t="shared" si="475"/>
        <v>48</v>
      </c>
      <c r="BQ177" s="234">
        <f t="shared" si="476"/>
        <v>3.0748170731707316</v>
      </c>
      <c r="BR177" s="234" cm="1">
        <f t="array" ref="BR177">$BM177 * SUMPRODUCT(INDEX($AV$76:$AX$81,,$AI177),INDEX($AY$76:$BE$81,,$AH177), N($AU$76:$AU$81&gt;$AM177)) / BQ177 / 1000</f>
        <v>0</v>
      </c>
      <c r="BS177" s="231">
        <f t="shared" si="310"/>
        <v>30</v>
      </c>
      <c r="BT177" s="229">
        <f t="shared" si="477"/>
        <v>43</v>
      </c>
      <c r="BU177" s="234">
        <f t="shared" si="478"/>
        <v>3.5018750000000001</v>
      </c>
      <c r="BV177" s="234" cm="1">
        <f t="array" ref="BV177">$BM177 * IF($AH177&lt;=2,
SUMPRODUCT(INDEX($AV$71:$AX$75,,$AI177), INDEX($AY$71:$BE$75,,$AH177), 1 / ($BF$71:$BF$75*BU177 + (1-$BF$71:$BF$75)*BQ177), N($AU$71:$AU$75&gt;$AM177)),
SUMPRODUCT(INDEX($AV$66:$AX$75,,$AI177), INDEX($AY$66:$BE$75,,$AH177), 1 / ($BG$66:$BG$75*BU177 + (1-$BG$66:$BG$75)*BQ177), N($AU$66:$AU$75&gt;$AM177))
) / 1000</f>
        <v>0</v>
      </c>
      <c r="BW177" s="231">
        <f t="shared" si="313"/>
        <v>25</v>
      </c>
      <c r="BX177" s="229">
        <f t="shared" si="479"/>
        <v>38</v>
      </c>
      <c r="BY177" s="234">
        <f t="shared" si="480"/>
        <v>4.0666935483870965</v>
      </c>
      <c r="BZ177" s="234" cm="1">
        <f t="array" ref="BZ177">$BM177 * IF($AH177&lt;=2,
SUMPRODUCT(INDEX($AV$66:$AX$70,,$AI177), INDEX($AY$66:$BE$70,,$AH177), 1 / ($BF$66:$BF$70*BY177 + (1-$BF$66:$BF$70)*BU177), N($AU$66:$AU$70&gt;$AM177)),
SUMPRODUCT(INDEX($AV$56:$AX$65,,$AI177), INDEX($AY$56:$BE$65,,$AH177), 1 / ($BG$56:$BG$65*BY177 + (1-$BG$56:$BG$65)*BU177), N($AU$56:$AU$65&gt;$AM177))
) / 1000</f>
        <v>0</v>
      </c>
      <c r="CA177" s="231">
        <f t="shared" si="316"/>
        <v>20</v>
      </c>
      <c r="CB177" s="229">
        <f t="shared" si="481"/>
        <v>33</v>
      </c>
      <c r="CC177" s="234">
        <f t="shared" si="482"/>
        <v>4.8487499999999999</v>
      </c>
      <c r="CD177" s="234" cm="1">
        <f t="array" ref="CD177">$BM177 * IF($AH177&lt;=2,
SUMPRODUCT(INDEX($AV$61:$AX$65,,$AI177), INDEX($AY$61:$BE$65,,$AH177), 1 / ($BF$61:$BF$65*CC177 + (1-$BF$61:$BF$65)*BY177), N($AU$61:$AU$65&gt;$AM177)),
SUMPRODUCT(INDEX($AV$46:$AX$55,,$AI177), INDEX($AY$46:$BE$55,,$AH177), 1 / ($BG$46:$BG$55*CC177 + (1-$BG$46:$BG$55)*BY177), N($AU$46:$AU$55&gt;$AM177))
) / 1000</f>
        <v>0</v>
      </c>
      <c r="CE177" s="234" cm="1">
        <f t="array" ref="CE177">$BM177 * IF($AH177&lt;=2,
SUMPRODUCT(INDEX($AV$22:$AX$60,,$AI177), INDEX($AY$22:$BE$60,,$AH177), 1 / ($BF$22:$BF$60*CC177), N($AU$22:$AU$60&gt;$AM177)),
SUMPRODUCT(INDEX($AV$22:$AX$45,,$AI177), INDEX($AY$22:$BE$45,,$AH177), 1 / ($BG$22:$BG$45*CC177), N($AU$22:$AU$45&gt;$AM177))
) / 1000</f>
        <v>0</v>
      </c>
      <c r="CF177" s="229">
        <f t="shared" si="483"/>
        <v>0</v>
      </c>
      <c r="CG177" s="246"/>
      <c r="CH177" s="229">
        <f t="shared" si="484"/>
        <v>0</v>
      </c>
      <c r="CI177" s="228">
        <v>35</v>
      </c>
      <c r="CJ177" s="229">
        <f t="shared" si="485"/>
        <v>48</v>
      </c>
      <c r="CK177" s="234">
        <f t="shared" si="486"/>
        <v>3.0748170731707316</v>
      </c>
      <c r="CL177" s="234" cm="1">
        <f t="array" ref="CL177">$BM177 * SUMPRODUCT(INDEX($AV$76:$AX$81,,$AI177),INDEX($AY$76:$BE$81,,$AH177), N($AU$76:$AU$81&gt;$AM177)) / CK177 / 1000</f>
        <v>0</v>
      </c>
      <c r="CM177" s="231">
        <f t="shared" si="323"/>
        <v>30</v>
      </c>
      <c r="CN177" s="229">
        <f t="shared" si="487"/>
        <v>43</v>
      </c>
      <c r="CO177" s="234">
        <f t="shared" si="488"/>
        <v>3.5018750000000001</v>
      </c>
      <c r="CP177" s="234" cm="1">
        <f t="array" ref="CP177">$BM177 * IF($AH177&lt;=2,
SUMPRODUCT(INDEX($AV$71:$AX$75,,$AI177), INDEX($AY$71:$BE$75,,$AH177), 1 / ($BF$71:$BF$75*CO177 + (1-$BF$71:$BF$75)*CK177), N($AU$71:$AU$75&gt;$AM177)),
SUMPRODUCT(INDEX($AV$66:$AX$75,,$AI177), INDEX($AY$66:$BE$75,,$AH177), 1 / ($BG$66:$BG$75*CO177 + (1-$BG$66:$BG$75)*CK177), N($AU$66:$AU$75&gt;$AM177))
) / 1000</f>
        <v>0</v>
      </c>
      <c r="CQ177" s="231">
        <f t="shared" si="326"/>
        <v>25</v>
      </c>
      <c r="CR177" s="229">
        <f t="shared" si="489"/>
        <v>38</v>
      </c>
      <c r="CS177" s="234">
        <f t="shared" si="490"/>
        <v>4.0666935483870965</v>
      </c>
      <c r="CT177" s="234" cm="1">
        <f t="array" ref="CT177">$BM177 * IF($AH177&lt;=2,
SUMPRODUCT(INDEX($AV$66:$AX$70,,$AI177), INDEX($AY$66:$BE$70,,$AH177), 1 / ($BF$66:$BF$70*CS177 + (1-$BF$66:$BF$70)*CO177), N($AU$66:$AU$70&gt;$AM177)),
SUMPRODUCT(INDEX($AV$56:$AX$65,,$AI177), INDEX($AY$56:$BE$65,,$AH177), 1 / ($BG$56:$BG$65*CS177 + (1-$BG$56:$BG$65)*CO177), N($AU$56:$AU$65&gt;$AM177))
) / 1000</f>
        <v>0</v>
      </c>
      <c r="CU177" s="231">
        <f t="shared" si="329"/>
        <v>20</v>
      </c>
      <c r="CV177" s="229">
        <f t="shared" si="491"/>
        <v>33</v>
      </c>
      <c r="CW177" s="234">
        <f t="shared" si="492"/>
        <v>4.8487499999999999</v>
      </c>
      <c r="CX177" s="234" cm="1">
        <f t="array" ref="CX177">$BM177 * IF($AH177&lt;=2,
SUMPRODUCT(INDEX($AV$61:$AX$65,,$AI177), INDEX($AY$61:$BE$65,,$AH177), 1 / ($BF$61:$BF$65*CW177 + (1-$BF$61:$BF$65)*CS177), N($AU$61:$AU$65&gt;$AM177)),
SUMPRODUCT(INDEX($AV$46:$AX$55,,$AI177), INDEX($AY$46:$BE$55,,$AH177), 1 / ($BG$46:$BG$55*CW177 + (1-$BG$46:$BG$55)*CS177), N($AU$46:$AU$55&gt;$AM177))
) / 1000</f>
        <v>0</v>
      </c>
      <c r="CY177" s="234" cm="1">
        <f t="array" ref="CY177">$BM177 * IF($AH177&lt;=2,
SUMPRODUCT(INDEX($AV$22:$AX$60,,$AI177), INDEX($AY$22:$BE$60,,$AH177), 1 / ($BF$22:$BF$60*CW177), N($AU$22:$AU$60&gt;$AM177)),
SUMPRODUCT(INDEX($AV$22:$AX$45,,$AI177), INDEX($AY$22:$BE$45,,$AH177), 1 / ($BG$22:$BG$45*CW177), N($AU$22:$AU$45&gt;$AM177))
) / 1000</f>
        <v>0</v>
      </c>
      <c r="CZ177" s="229">
        <f t="shared" si="493"/>
        <v>0</v>
      </c>
      <c r="DA177" s="246"/>
    </row>
    <row r="178" spans="1:105" s="75" customFormat="1" ht="14.25" customHeight="1" x14ac:dyDescent="0.2">
      <c r="A178" s="230" t="b">
        <f t="shared" si="291"/>
        <v>0</v>
      </c>
      <c r="B178" s="253">
        <v>157</v>
      </c>
      <c r="C178" s="266"/>
      <c r="D178" s="266"/>
      <c r="E178" s="254"/>
      <c r="F178" s="255" t="str">
        <f>IF(ISBLANK(E178), "", VLOOKUP(E178, Z!$A$2:$C$4127, 3, FALSE))</f>
        <v/>
      </c>
      <c r="G178" s="256"/>
      <c r="H178" s="256"/>
      <c r="I178" s="256"/>
      <c r="J178" s="257"/>
      <c r="K178" s="258"/>
      <c r="L178" s="267"/>
      <c r="M178" s="268"/>
      <c r="N178" s="259" t="str" cm="1">
        <f t="array" ref="N178">IF($L178&gt;0, INDEX(Clean,1+AK178,$D$1), "")</f>
        <v/>
      </c>
      <c r="O178" s="260"/>
      <c r="P178" s="260"/>
      <c r="Q178" s="261"/>
      <c r="R178" s="264">
        <f t="shared" si="469"/>
        <v>0</v>
      </c>
      <c r="S178" s="259" t="str" cm="1">
        <f t="array" ref="S178">IF($L178&gt;0, INDEX(Clean,1+AL178,$D$1), "")</f>
        <v/>
      </c>
      <c r="T178" s="260"/>
      <c r="U178" s="260"/>
      <c r="V178" s="261"/>
      <c r="W178" s="267"/>
      <c r="X178" s="267"/>
      <c r="Y178" s="257"/>
      <c r="Z178" s="264">
        <f t="shared" si="470"/>
        <v>0</v>
      </c>
      <c r="AA178" s="269"/>
      <c r="AB178" s="266"/>
      <c r="AC178" s="254"/>
      <c r="AD178" s="255" t="str">
        <f>IF(ISBLANK(AC178), "", VLOOKUP(AC178, Z!$A$2:$C$4127, 3, FALSE))</f>
        <v/>
      </c>
      <c r="AE178" s="270"/>
      <c r="AF178" s="265">
        <f t="shared" si="471"/>
        <v>0</v>
      </c>
      <c r="AG178" s="246"/>
      <c r="AH178" s="228">
        <f t="shared" si="494"/>
        <v>1</v>
      </c>
      <c r="AI178" s="228">
        <f t="shared" si="495"/>
        <v>1</v>
      </c>
      <c r="AJ178" s="228">
        <f t="shared" si="496"/>
        <v>0</v>
      </c>
      <c r="AK178" s="228">
        <v>0</v>
      </c>
      <c r="AL178" s="228">
        <v>0</v>
      </c>
      <c r="AM178" s="228">
        <f t="shared" si="472"/>
        <v>-100</v>
      </c>
      <c r="AN178" s="228" cm="1">
        <f t="array" ref="AN178">IF(ISBLANK(G178), 1, IFERROR(MATCH(G178, INDEX(Kat,,1), 0), IFERROR(MATCH(Kat, INDEX(Use,,2), 0), MATCH(Kat, INDEX(Use,,3), 0))))</f>
        <v>1</v>
      </c>
      <c r="AO178" s="246"/>
      <c r="AP178" s="228" cm="1">
        <f t="array" ref="AP178">IF(W178&gt;0, INDEX(Kat, AN178,4), 0)</f>
        <v>0</v>
      </c>
      <c r="AQ178" s="228">
        <f t="shared" si="497"/>
        <v>0</v>
      </c>
      <c r="AR178" s="228" cm="1">
        <f t="array" ref="AR178">IF(X178&gt;0, INDEX(Kat, $AN178, 4+AQ178), 0)</f>
        <v>0</v>
      </c>
      <c r="AS178" s="228" cm="1">
        <f t="array" ref="AS178">IF(X178&gt;0, INDEX(Kat, $AN178, 9+AQ178), 0)</f>
        <v>0</v>
      </c>
      <c r="AT178" s="246"/>
      <c r="AU178" s="262"/>
      <c r="AV178" s="262"/>
      <c r="AW178" s="263"/>
      <c r="AX178" s="263"/>
      <c r="AY178" s="263"/>
      <c r="AZ178" s="263"/>
      <c r="BA178" s="263"/>
      <c r="BB178" s="263"/>
      <c r="BC178" s="263"/>
      <c r="BD178" s="263"/>
      <c r="BE178" s="263"/>
      <c r="BF178" s="263"/>
      <c r="BG178" s="263"/>
      <c r="BH178" s="246"/>
      <c r="BI178" s="228" cm="1">
        <f t="array" ref="BI178">INDEX(Use, $AH178, 4)</f>
        <v>7</v>
      </c>
      <c r="BJ178" s="228">
        <f t="shared" si="473"/>
        <v>32</v>
      </c>
      <c r="BK178" s="228">
        <f t="shared" si="305"/>
        <v>13</v>
      </c>
      <c r="BL178" s="228">
        <f t="shared" si="306"/>
        <v>0</v>
      </c>
      <c r="BM178" s="233" cm="1">
        <f t="array" ref="BM178">L178/IF($M178&gt;0, INDEX($AY$22:$BE$76, $M178+20, $AH178), 1)</f>
        <v>0</v>
      </c>
      <c r="BN178" s="229">
        <f t="shared" si="474"/>
        <v>0</v>
      </c>
      <c r="BO178" s="228">
        <v>35</v>
      </c>
      <c r="BP178" s="229">
        <f t="shared" si="475"/>
        <v>48</v>
      </c>
      <c r="BQ178" s="234">
        <f t="shared" si="476"/>
        <v>3.0748170731707316</v>
      </c>
      <c r="BR178" s="234" cm="1">
        <f t="array" ref="BR178">$BM178 * SUMPRODUCT(INDEX($AV$76:$AX$81,,$AI178),INDEX($AY$76:$BE$81,,$AH178), N($AU$76:$AU$81&gt;$AM178)) / BQ178 / 1000</f>
        <v>0</v>
      </c>
      <c r="BS178" s="231">
        <f t="shared" si="310"/>
        <v>30</v>
      </c>
      <c r="BT178" s="229">
        <f t="shared" si="477"/>
        <v>43</v>
      </c>
      <c r="BU178" s="234">
        <f t="shared" si="478"/>
        <v>3.5018750000000001</v>
      </c>
      <c r="BV178" s="234" cm="1">
        <f t="array" ref="BV178">$BM178 * IF($AH178&lt;=2,
SUMPRODUCT(INDEX($AV$71:$AX$75,,$AI178), INDEX($AY$71:$BE$75,,$AH178), 1 / ($BF$71:$BF$75*BU178 + (1-$BF$71:$BF$75)*BQ178), N($AU$71:$AU$75&gt;$AM178)),
SUMPRODUCT(INDEX($AV$66:$AX$75,,$AI178), INDEX($AY$66:$BE$75,,$AH178), 1 / ($BG$66:$BG$75*BU178 + (1-$BG$66:$BG$75)*BQ178), N($AU$66:$AU$75&gt;$AM178))
) / 1000</f>
        <v>0</v>
      </c>
      <c r="BW178" s="231">
        <f t="shared" si="313"/>
        <v>25</v>
      </c>
      <c r="BX178" s="229">
        <f t="shared" si="479"/>
        <v>38</v>
      </c>
      <c r="BY178" s="234">
        <f t="shared" si="480"/>
        <v>4.0666935483870965</v>
      </c>
      <c r="BZ178" s="234" cm="1">
        <f t="array" ref="BZ178">$BM178 * IF($AH178&lt;=2,
SUMPRODUCT(INDEX($AV$66:$AX$70,,$AI178), INDEX($AY$66:$BE$70,,$AH178), 1 / ($BF$66:$BF$70*BY178 + (1-$BF$66:$BF$70)*BU178), N($AU$66:$AU$70&gt;$AM178)),
SUMPRODUCT(INDEX($AV$56:$AX$65,,$AI178), INDEX($AY$56:$BE$65,,$AH178), 1 / ($BG$56:$BG$65*BY178 + (1-$BG$56:$BG$65)*BU178), N($AU$56:$AU$65&gt;$AM178))
) / 1000</f>
        <v>0</v>
      </c>
      <c r="CA178" s="231">
        <f t="shared" si="316"/>
        <v>20</v>
      </c>
      <c r="CB178" s="229">
        <f t="shared" si="481"/>
        <v>33</v>
      </c>
      <c r="CC178" s="234">
        <f t="shared" si="482"/>
        <v>4.8487499999999999</v>
      </c>
      <c r="CD178" s="234" cm="1">
        <f t="array" ref="CD178">$BM178 * IF($AH178&lt;=2,
SUMPRODUCT(INDEX($AV$61:$AX$65,,$AI178), INDEX($AY$61:$BE$65,,$AH178), 1 / ($BF$61:$BF$65*CC178 + (1-$BF$61:$BF$65)*BY178), N($AU$61:$AU$65&gt;$AM178)),
SUMPRODUCT(INDEX($AV$46:$AX$55,,$AI178), INDEX($AY$46:$BE$55,,$AH178), 1 / ($BG$46:$BG$55*CC178 + (1-$BG$46:$BG$55)*BY178), N($AU$46:$AU$55&gt;$AM178))
) / 1000</f>
        <v>0</v>
      </c>
      <c r="CE178" s="234" cm="1">
        <f t="array" ref="CE178">$BM178 * IF($AH178&lt;=2,
SUMPRODUCT(INDEX($AV$22:$AX$60,,$AI178), INDEX($AY$22:$BE$60,,$AH178), 1 / ($BF$22:$BF$60*CC178), N($AU$22:$AU$60&gt;$AM178)),
SUMPRODUCT(INDEX($AV$22:$AX$45,,$AI178), INDEX($AY$22:$BE$45,,$AH178), 1 / ($BG$22:$BG$45*CC178), N($AU$22:$AU$45&gt;$AM178))
) / 1000</f>
        <v>0</v>
      </c>
      <c r="CF178" s="229">
        <f t="shared" si="483"/>
        <v>0</v>
      </c>
      <c r="CG178" s="246"/>
      <c r="CH178" s="229">
        <f t="shared" si="484"/>
        <v>0</v>
      </c>
      <c r="CI178" s="228">
        <v>35</v>
      </c>
      <c r="CJ178" s="229">
        <f t="shared" si="485"/>
        <v>48</v>
      </c>
      <c r="CK178" s="234">
        <f t="shared" si="486"/>
        <v>3.0748170731707316</v>
      </c>
      <c r="CL178" s="234" cm="1">
        <f t="array" ref="CL178">$BM178 * SUMPRODUCT(INDEX($AV$76:$AX$81,,$AI178),INDEX($AY$76:$BE$81,,$AH178), N($AU$76:$AU$81&gt;$AM178)) / CK178 / 1000</f>
        <v>0</v>
      </c>
      <c r="CM178" s="231">
        <f t="shared" si="323"/>
        <v>30</v>
      </c>
      <c r="CN178" s="229">
        <f t="shared" si="487"/>
        <v>43</v>
      </c>
      <c r="CO178" s="234">
        <f t="shared" si="488"/>
        <v>3.5018750000000001</v>
      </c>
      <c r="CP178" s="234" cm="1">
        <f t="array" ref="CP178">$BM178 * IF($AH178&lt;=2,
SUMPRODUCT(INDEX($AV$71:$AX$75,,$AI178), INDEX($AY$71:$BE$75,,$AH178), 1 / ($BF$71:$BF$75*CO178 + (1-$BF$71:$BF$75)*CK178), N($AU$71:$AU$75&gt;$AM178)),
SUMPRODUCT(INDEX($AV$66:$AX$75,,$AI178), INDEX($AY$66:$BE$75,,$AH178), 1 / ($BG$66:$BG$75*CO178 + (1-$BG$66:$BG$75)*CK178), N($AU$66:$AU$75&gt;$AM178))
) / 1000</f>
        <v>0</v>
      </c>
      <c r="CQ178" s="231">
        <f t="shared" si="326"/>
        <v>25</v>
      </c>
      <c r="CR178" s="229">
        <f t="shared" si="489"/>
        <v>38</v>
      </c>
      <c r="CS178" s="234">
        <f t="shared" si="490"/>
        <v>4.0666935483870965</v>
      </c>
      <c r="CT178" s="234" cm="1">
        <f t="array" ref="CT178">$BM178 * IF($AH178&lt;=2,
SUMPRODUCT(INDEX($AV$66:$AX$70,,$AI178), INDEX($AY$66:$BE$70,,$AH178), 1 / ($BF$66:$BF$70*CS178 + (1-$BF$66:$BF$70)*CO178), N($AU$66:$AU$70&gt;$AM178)),
SUMPRODUCT(INDEX($AV$56:$AX$65,,$AI178), INDEX($AY$56:$BE$65,,$AH178), 1 / ($BG$56:$BG$65*CS178 + (1-$BG$56:$BG$65)*CO178), N($AU$56:$AU$65&gt;$AM178))
) / 1000</f>
        <v>0</v>
      </c>
      <c r="CU178" s="231">
        <f t="shared" si="329"/>
        <v>20</v>
      </c>
      <c r="CV178" s="229">
        <f t="shared" si="491"/>
        <v>33</v>
      </c>
      <c r="CW178" s="234">
        <f t="shared" si="492"/>
        <v>4.8487499999999999</v>
      </c>
      <c r="CX178" s="234" cm="1">
        <f t="array" ref="CX178">$BM178 * IF($AH178&lt;=2,
SUMPRODUCT(INDEX($AV$61:$AX$65,,$AI178), INDEX($AY$61:$BE$65,,$AH178), 1 / ($BF$61:$BF$65*CW178 + (1-$BF$61:$BF$65)*CS178), N($AU$61:$AU$65&gt;$AM178)),
SUMPRODUCT(INDEX($AV$46:$AX$55,,$AI178), INDEX($AY$46:$BE$55,,$AH178), 1 / ($BG$46:$BG$55*CW178 + (1-$BG$46:$BG$55)*CS178), N($AU$46:$AU$55&gt;$AM178))
) / 1000</f>
        <v>0</v>
      </c>
      <c r="CY178" s="234" cm="1">
        <f t="array" ref="CY178">$BM178 * IF($AH178&lt;=2,
SUMPRODUCT(INDEX($AV$22:$AX$60,,$AI178), INDEX($AY$22:$BE$60,,$AH178), 1 / ($BF$22:$BF$60*CW178), N($AU$22:$AU$60&gt;$AM178)),
SUMPRODUCT(INDEX($AV$22:$AX$45,,$AI178), INDEX($AY$22:$BE$45,,$AH178), 1 / ($BG$22:$BG$45*CW178), N($AU$22:$AU$45&gt;$AM178))
) / 1000</f>
        <v>0</v>
      </c>
      <c r="CZ178" s="229">
        <f t="shared" si="493"/>
        <v>0</v>
      </c>
      <c r="DA178" s="246"/>
    </row>
    <row r="179" spans="1:105" s="75" customFormat="1" ht="14.25" customHeight="1" x14ac:dyDescent="0.2">
      <c r="A179" s="230" t="b">
        <f t="shared" si="291"/>
        <v>0</v>
      </c>
      <c r="B179" s="253">
        <v>158</v>
      </c>
      <c r="C179" s="266"/>
      <c r="D179" s="266"/>
      <c r="E179" s="254"/>
      <c r="F179" s="255" t="str">
        <f>IF(ISBLANK(E179), "", VLOOKUP(E179, Z!$A$2:$C$4127, 3, FALSE))</f>
        <v/>
      </c>
      <c r="G179" s="256"/>
      <c r="H179" s="256"/>
      <c r="I179" s="256"/>
      <c r="J179" s="257"/>
      <c r="K179" s="258"/>
      <c r="L179" s="267"/>
      <c r="M179" s="268"/>
      <c r="N179" s="259" t="str" cm="1">
        <f t="array" ref="N179">IF($L179&gt;0, INDEX(Clean,1+AK179,$D$1), "")</f>
        <v/>
      </c>
      <c r="O179" s="260"/>
      <c r="P179" s="260"/>
      <c r="Q179" s="261"/>
      <c r="R179" s="264">
        <f t="shared" si="469"/>
        <v>0</v>
      </c>
      <c r="S179" s="259" t="str" cm="1">
        <f t="array" ref="S179">IF($L179&gt;0, INDEX(Clean,1+AL179,$D$1), "")</f>
        <v/>
      </c>
      <c r="T179" s="260"/>
      <c r="U179" s="260"/>
      <c r="V179" s="261"/>
      <c r="W179" s="267"/>
      <c r="X179" s="267"/>
      <c r="Y179" s="257"/>
      <c r="Z179" s="264">
        <f t="shared" si="470"/>
        <v>0</v>
      </c>
      <c r="AA179" s="269"/>
      <c r="AB179" s="266"/>
      <c r="AC179" s="254"/>
      <c r="AD179" s="255" t="str">
        <f>IF(ISBLANK(AC179), "", VLOOKUP(AC179, Z!$A$2:$C$4127, 3, FALSE))</f>
        <v/>
      </c>
      <c r="AE179" s="270"/>
      <c r="AF179" s="265">
        <f t="shared" si="471"/>
        <v>0</v>
      </c>
      <c r="AG179" s="246"/>
      <c r="AH179" s="228">
        <f t="shared" si="494"/>
        <v>1</v>
      </c>
      <c r="AI179" s="228">
        <f t="shared" si="495"/>
        <v>1</v>
      </c>
      <c r="AJ179" s="228">
        <f t="shared" si="496"/>
        <v>0</v>
      </c>
      <c r="AK179" s="228">
        <v>0</v>
      </c>
      <c r="AL179" s="228">
        <v>0</v>
      </c>
      <c r="AM179" s="228">
        <f t="shared" si="472"/>
        <v>-100</v>
      </c>
      <c r="AN179" s="228" cm="1">
        <f t="array" ref="AN179">IF(ISBLANK(G179), 1, IFERROR(MATCH(G179, INDEX(Kat,,1), 0), IFERROR(MATCH(Kat, INDEX(Use,,2), 0), MATCH(Kat, INDEX(Use,,3), 0))))</f>
        <v>1</v>
      </c>
      <c r="AO179" s="246"/>
      <c r="AP179" s="228" cm="1">
        <f t="array" ref="AP179">IF(W179&gt;0, INDEX(Kat, AN179,4), 0)</f>
        <v>0</v>
      </c>
      <c r="AQ179" s="228">
        <f t="shared" si="497"/>
        <v>0</v>
      </c>
      <c r="AR179" s="228" cm="1">
        <f t="array" ref="AR179">IF(X179&gt;0, INDEX(Kat, $AN179, 4+AQ179), 0)</f>
        <v>0</v>
      </c>
      <c r="AS179" s="228" cm="1">
        <f t="array" ref="AS179">IF(X179&gt;0, INDEX(Kat, $AN179, 9+AQ179), 0)</f>
        <v>0</v>
      </c>
      <c r="AT179" s="246"/>
      <c r="AU179" s="262"/>
      <c r="AV179" s="262"/>
      <c r="AW179" s="263"/>
      <c r="AX179" s="263"/>
      <c r="AY179" s="263"/>
      <c r="AZ179" s="263"/>
      <c r="BA179" s="263"/>
      <c r="BB179" s="263"/>
      <c r="BC179" s="263"/>
      <c r="BD179" s="263"/>
      <c r="BE179" s="263"/>
      <c r="BF179" s="263"/>
      <c r="BG179" s="263"/>
      <c r="BH179" s="246"/>
      <c r="BI179" s="228" cm="1">
        <f t="array" ref="BI179">INDEX(Use, $AH179, 4)</f>
        <v>7</v>
      </c>
      <c r="BJ179" s="228">
        <f t="shared" si="473"/>
        <v>32</v>
      </c>
      <c r="BK179" s="228">
        <f t="shared" si="305"/>
        <v>13</v>
      </c>
      <c r="BL179" s="228">
        <f t="shared" si="306"/>
        <v>0</v>
      </c>
      <c r="BM179" s="233" cm="1">
        <f t="array" ref="BM179">L179/IF($M179&gt;0, INDEX($AY$22:$BE$76, $M179+20, $AH179), 1)</f>
        <v>0</v>
      </c>
      <c r="BN179" s="229">
        <f t="shared" si="474"/>
        <v>0</v>
      </c>
      <c r="BO179" s="228">
        <v>35</v>
      </c>
      <c r="BP179" s="229">
        <f t="shared" si="475"/>
        <v>48</v>
      </c>
      <c r="BQ179" s="234">
        <f t="shared" si="476"/>
        <v>3.0748170731707316</v>
      </c>
      <c r="BR179" s="234" cm="1">
        <f t="array" ref="BR179">$BM179 * SUMPRODUCT(INDEX($AV$76:$AX$81,,$AI179),INDEX($AY$76:$BE$81,,$AH179), N($AU$76:$AU$81&gt;$AM179)) / BQ179 / 1000</f>
        <v>0</v>
      </c>
      <c r="BS179" s="231">
        <f t="shared" si="310"/>
        <v>30</v>
      </c>
      <c r="BT179" s="229">
        <f t="shared" si="477"/>
        <v>43</v>
      </c>
      <c r="BU179" s="234">
        <f t="shared" si="478"/>
        <v>3.5018750000000001</v>
      </c>
      <c r="BV179" s="234" cm="1">
        <f t="array" ref="BV179">$BM179 * IF($AH179&lt;=2,
SUMPRODUCT(INDEX($AV$71:$AX$75,,$AI179), INDEX($AY$71:$BE$75,,$AH179), 1 / ($BF$71:$BF$75*BU179 + (1-$BF$71:$BF$75)*BQ179), N($AU$71:$AU$75&gt;$AM179)),
SUMPRODUCT(INDEX($AV$66:$AX$75,,$AI179), INDEX($AY$66:$BE$75,,$AH179), 1 / ($BG$66:$BG$75*BU179 + (1-$BG$66:$BG$75)*BQ179), N($AU$66:$AU$75&gt;$AM179))
) / 1000</f>
        <v>0</v>
      </c>
      <c r="BW179" s="231">
        <f t="shared" si="313"/>
        <v>25</v>
      </c>
      <c r="BX179" s="229">
        <f t="shared" si="479"/>
        <v>38</v>
      </c>
      <c r="BY179" s="234">
        <f t="shared" si="480"/>
        <v>4.0666935483870965</v>
      </c>
      <c r="BZ179" s="234" cm="1">
        <f t="array" ref="BZ179">$BM179 * IF($AH179&lt;=2,
SUMPRODUCT(INDEX($AV$66:$AX$70,,$AI179), INDEX($AY$66:$BE$70,,$AH179), 1 / ($BF$66:$BF$70*BY179 + (1-$BF$66:$BF$70)*BU179), N($AU$66:$AU$70&gt;$AM179)),
SUMPRODUCT(INDEX($AV$56:$AX$65,,$AI179), INDEX($AY$56:$BE$65,,$AH179), 1 / ($BG$56:$BG$65*BY179 + (1-$BG$56:$BG$65)*BU179), N($AU$56:$AU$65&gt;$AM179))
) / 1000</f>
        <v>0</v>
      </c>
      <c r="CA179" s="231">
        <f t="shared" si="316"/>
        <v>20</v>
      </c>
      <c r="CB179" s="229">
        <f t="shared" si="481"/>
        <v>33</v>
      </c>
      <c r="CC179" s="234">
        <f t="shared" si="482"/>
        <v>4.8487499999999999</v>
      </c>
      <c r="CD179" s="234" cm="1">
        <f t="array" ref="CD179">$BM179 * IF($AH179&lt;=2,
SUMPRODUCT(INDEX($AV$61:$AX$65,,$AI179), INDEX($AY$61:$BE$65,,$AH179), 1 / ($BF$61:$BF$65*CC179 + (1-$BF$61:$BF$65)*BY179), N($AU$61:$AU$65&gt;$AM179)),
SUMPRODUCT(INDEX($AV$46:$AX$55,,$AI179), INDEX($AY$46:$BE$55,,$AH179), 1 / ($BG$46:$BG$55*CC179 + (1-$BG$46:$BG$55)*BY179), N($AU$46:$AU$55&gt;$AM179))
) / 1000</f>
        <v>0</v>
      </c>
      <c r="CE179" s="234" cm="1">
        <f t="array" ref="CE179">$BM179 * IF($AH179&lt;=2,
SUMPRODUCT(INDEX($AV$22:$AX$60,,$AI179), INDEX($AY$22:$BE$60,,$AH179), 1 / ($BF$22:$BF$60*CC179), N($AU$22:$AU$60&gt;$AM179)),
SUMPRODUCT(INDEX($AV$22:$AX$45,,$AI179), INDEX($AY$22:$BE$45,,$AH179), 1 / ($BG$22:$BG$45*CC179), N($AU$22:$AU$45&gt;$AM179))
) / 1000</f>
        <v>0</v>
      </c>
      <c r="CF179" s="229">
        <f t="shared" si="483"/>
        <v>0</v>
      </c>
      <c r="CG179" s="246"/>
      <c r="CH179" s="229">
        <f t="shared" si="484"/>
        <v>0</v>
      </c>
      <c r="CI179" s="228">
        <v>35</v>
      </c>
      <c r="CJ179" s="229">
        <f t="shared" si="485"/>
        <v>48</v>
      </c>
      <c r="CK179" s="234">
        <f t="shared" si="486"/>
        <v>3.0748170731707316</v>
      </c>
      <c r="CL179" s="234" cm="1">
        <f t="array" ref="CL179">$BM179 * SUMPRODUCT(INDEX($AV$76:$AX$81,,$AI179),INDEX($AY$76:$BE$81,,$AH179), N($AU$76:$AU$81&gt;$AM179)) / CK179 / 1000</f>
        <v>0</v>
      </c>
      <c r="CM179" s="231">
        <f t="shared" si="323"/>
        <v>30</v>
      </c>
      <c r="CN179" s="229">
        <f t="shared" si="487"/>
        <v>43</v>
      </c>
      <c r="CO179" s="234">
        <f t="shared" si="488"/>
        <v>3.5018750000000001</v>
      </c>
      <c r="CP179" s="234" cm="1">
        <f t="array" ref="CP179">$BM179 * IF($AH179&lt;=2,
SUMPRODUCT(INDEX($AV$71:$AX$75,,$AI179), INDEX($AY$71:$BE$75,,$AH179), 1 / ($BF$71:$BF$75*CO179 + (1-$BF$71:$BF$75)*CK179), N($AU$71:$AU$75&gt;$AM179)),
SUMPRODUCT(INDEX($AV$66:$AX$75,,$AI179), INDEX($AY$66:$BE$75,,$AH179), 1 / ($BG$66:$BG$75*CO179 + (1-$BG$66:$BG$75)*CK179), N($AU$66:$AU$75&gt;$AM179))
) / 1000</f>
        <v>0</v>
      </c>
      <c r="CQ179" s="231">
        <f t="shared" si="326"/>
        <v>25</v>
      </c>
      <c r="CR179" s="229">
        <f t="shared" si="489"/>
        <v>38</v>
      </c>
      <c r="CS179" s="234">
        <f t="shared" si="490"/>
        <v>4.0666935483870965</v>
      </c>
      <c r="CT179" s="234" cm="1">
        <f t="array" ref="CT179">$BM179 * IF($AH179&lt;=2,
SUMPRODUCT(INDEX($AV$66:$AX$70,,$AI179), INDEX($AY$66:$BE$70,,$AH179), 1 / ($BF$66:$BF$70*CS179 + (1-$BF$66:$BF$70)*CO179), N($AU$66:$AU$70&gt;$AM179)),
SUMPRODUCT(INDEX($AV$56:$AX$65,,$AI179), INDEX($AY$56:$BE$65,,$AH179), 1 / ($BG$56:$BG$65*CS179 + (1-$BG$56:$BG$65)*CO179), N($AU$56:$AU$65&gt;$AM179))
) / 1000</f>
        <v>0</v>
      </c>
      <c r="CU179" s="231">
        <f t="shared" si="329"/>
        <v>20</v>
      </c>
      <c r="CV179" s="229">
        <f t="shared" si="491"/>
        <v>33</v>
      </c>
      <c r="CW179" s="234">
        <f t="shared" si="492"/>
        <v>4.8487499999999999</v>
      </c>
      <c r="CX179" s="234" cm="1">
        <f t="array" ref="CX179">$BM179 * IF($AH179&lt;=2,
SUMPRODUCT(INDEX($AV$61:$AX$65,,$AI179), INDEX($AY$61:$BE$65,,$AH179), 1 / ($BF$61:$BF$65*CW179 + (1-$BF$61:$BF$65)*CS179), N($AU$61:$AU$65&gt;$AM179)),
SUMPRODUCT(INDEX($AV$46:$AX$55,,$AI179), INDEX($AY$46:$BE$55,,$AH179), 1 / ($BG$46:$BG$55*CW179 + (1-$BG$46:$BG$55)*CS179), N($AU$46:$AU$55&gt;$AM179))
) / 1000</f>
        <v>0</v>
      </c>
      <c r="CY179" s="234" cm="1">
        <f t="array" ref="CY179">$BM179 * IF($AH179&lt;=2,
SUMPRODUCT(INDEX($AV$22:$AX$60,,$AI179), INDEX($AY$22:$BE$60,,$AH179), 1 / ($BF$22:$BF$60*CW179), N($AU$22:$AU$60&gt;$AM179)),
SUMPRODUCT(INDEX($AV$22:$AX$45,,$AI179), INDEX($AY$22:$BE$45,,$AH179), 1 / ($BG$22:$BG$45*CW179), N($AU$22:$AU$45&gt;$AM179))
) / 1000</f>
        <v>0</v>
      </c>
      <c r="CZ179" s="229">
        <f t="shared" si="493"/>
        <v>0</v>
      </c>
      <c r="DA179" s="246"/>
    </row>
    <row r="180" spans="1:105" s="75" customFormat="1" ht="14.25" customHeight="1" x14ac:dyDescent="0.2">
      <c r="A180" s="230" t="b">
        <f t="shared" si="291"/>
        <v>0</v>
      </c>
      <c r="B180" s="253">
        <v>159</v>
      </c>
      <c r="C180" s="266"/>
      <c r="D180" s="266"/>
      <c r="E180" s="254"/>
      <c r="F180" s="255" t="str">
        <f>IF(ISBLANK(E180), "", VLOOKUP(E180, Z!$A$2:$C$4127, 3, FALSE))</f>
        <v/>
      </c>
      <c r="G180" s="256"/>
      <c r="H180" s="256"/>
      <c r="I180" s="256"/>
      <c r="J180" s="257"/>
      <c r="K180" s="258"/>
      <c r="L180" s="267"/>
      <c r="M180" s="268"/>
      <c r="N180" s="259" t="str" cm="1">
        <f t="array" ref="N180">IF($L180&gt;0, INDEX(Clean,1+AK180,$D$1), "")</f>
        <v/>
      </c>
      <c r="O180" s="260"/>
      <c r="P180" s="260"/>
      <c r="Q180" s="261"/>
      <c r="R180" s="264">
        <f t="shared" si="469"/>
        <v>0</v>
      </c>
      <c r="S180" s="259" t="str" cm="1">
        <f t="array" ref="S180">IF($L180&gt;0, INDEX(Clean,1+AL180,$D$1), "")</f>
        <v/>
      </c>
      <c r="T180" s="260"/>
      <c r="U180" s="260"/>
      <c r="V180" s="261"/>
      <c r="W180" s="267"/>
      <c r="X180" s="267"/>
      <c r="Y180" s="257"/>
      <c r="Z180" s="264">
        <f t="shared" si="470"/>
        <v>0</v>
      </c>
      <c r="AA180" s="269"/>
      <c r="AB180" s="266"/>
      <c r="AC180" s="254"/>
      <c r="AD180" s="255" t="str">
        <f>IF(ISBLANK(AC180), "", VLOOKUP(AC180, Z!$A$2:$C$4127, 3, FALSE))</f>
        <v/>
      </c>
      <c r="AE180" s="270"/>
      <c r="AF180" s="265">
        <f t="shared" si="471"/>
        <v>0</v>
      </c>
      <c r="AG180" s="246"/>
      <c r="AH180" s="228">
        <f t="shared" si="494"/>
        <v>1</v>
      </c>
      <c r="AI180" s="228">
        <f t="shared" si="495"/>
        <v>1</v>
      </c>
      <c r="AJ180" s="228">
        <f t="shared" si="496"/>
        <v>0</v>
      </c>
      <c r="AK180" s="228">
        <v>0</v>
      </c>
      <c r="AL180" s="228">
        <v>0</v>
      </c>
      <c r="AM180" s="228">
        <f t="shared" si="472"/>
        <v>-100</v>
      </c>
      <c r="AN180" s="228" cm="1">
        <f t="array" ref="AN180">IF(ISBLANK(G180), 1, IFERROR(MATCH(G180, INDEX(Kat,,1), 0), IFERROR(MATCH(Kat, INDEX(Use,,2), 0), MATCH(Kat, INDEX(Use,,3), 0))))</f>
        <v>1</v>
      </c>
      <c r="AO180" s="246"/>
      <c r="AP180" s="228" cm="1">
        <f t="array" ref="AP180">IF(W180&gt;0, INDEX(Kat, AN180,4), 0)</f>
        <v>0</v>
      </c>
      <c r="AQ180" s="228">
        <f t="shared" si="497"/>
        <v>0</v>
      </c>
      <c r="AR180" s="228" cm="1">
        <f t="array" ref="AR180">IF(X180&gt;0, INDEX(Kat, $AN180, 4+AQ180), 0)</f>
        <v>0</v>
      </c>
      <c r="AS180" s="228" cm="1">
        <f t="array" ref="AS180">IF(X180&gt;0, INDEX(Kat, $AN180, 9+AQ180), 0)</f>
        <v>0</v>
      </c>
      <c r="AT180" s="246"/>
      <c r="AU180" s="262"/>
      <c r="AV180" s="262"/>
      <c r="AW180" s="263"/>
      <c r="AX180" s="263"/>
      <c r="AY180" s="263"/>
      <c r="AZ180" s="263"/>
      <c r="BA180" s="263"/>
      <c r="BB180" s="263"/>
      <c r="BC180" s="263"/>
      <c r="BD180" s="263"/>
      <c r="BE180" s="263"/>
      <c r="BF180" s="263"/>
      <c r="BG180" s="263"/>
      <c r="BH180" s="246"/>
      <c r="BI180" s="228" cm="1">
        <f t="array" ref="BI180">INDEX(Use, $AH180, 4)</f>
        <v>7</v>
      </c>
      <c r="BJ180" s="228">
        <f t="shared" si="473"/>
        <v>32</v>
      </c>
      <c r="BK180" s="228">
        <f t="shared" si="305"/>
        <v>13</v>
      </c>
      <c r="BL180" s="228">
        <f t="shared" si="306"/>
        <v>0</v>
      </c>
      <c r="BM180" s="233" cm="1">
        <f t="array" ref="BM180">L180/IF($M180&gt;0, INDEX($AY$22:$BE$76, $M180+20, $AH180), 1)</f>
        <v>0</v>
      </c>
      <c r="BN180" s="229">
        <f t="shared" si="474"/>
        <v>0</v>
      </c>
      <c r="BO180" s="228">
        <v>35</v>
      </c>
      <c r="BP180" s="229">
        <f t="shared" si="475"/>
        <v>48</v>
      </c>
      <c r="BQ180" s="234">
        <f t="shared" si="476"/>
        <v>3.0748170731707316</v>
      </c>
      <c r="BR180" s="234" cm="1">
        <f t="array" ref="BR180">$BM180 * SUMPRODUCT(INDEX($AV$76:$AX$81,,$AI180),INDEX($AY$76:$BE$81,,$AH180), N($AU$76:$AU$81&gt;$AM180)) / BQ180 / 1000</f>
        <v>0</v>
      </c>
      <c r="BS180" s="231">
        <f t="shared" si="310"/>
        <v>30</v>
      </c>
      <c r="BT180" s="229">
        <f t="shared" si="477"/>
        <v>43</v>
      </c>
      <c r="BU180" s="234">
        <f t="shared" si="478"/>
        <v>3.5018750000000001</v>
      </c>
      <c r="BV180" s="234" cm="1">
        <f t="array" ref="BV180">$BM180 * IF($AH180&lt;=2,
SUMPRODUCT(INDEX($AV$71:$AX$75,,$AI180), INDEX($AY$71:$BE$75,,$AH180), 1 / ($BF$71:$BF$75*BU180 + (1-$BF$71:$BF$75)*BQ180), N($AU$71:$AU$75&gt;$AM180)),
SUMPRODUCT(INDEX($AV$66:$AX$75,,$AI180), INDEX($AY$66:$BE$75,,$AH180), 1 / ($BG$66:$BG$75*BU180 + (1-$BG$66:$BG$75)*BQ180), N($AU$66:$AU$75&gt;$AM180))
) / 1000</f>
        <v>0</v>
      </c>
      <c r="BW180" s="231">
        <f t="shared" si="313"/>
        <v>25</v>
      </c>
      <c r="BX180" s="229">
        <f t="shared" si="479"/>
        <v>38</v>
      </c>
      <c r="BY180" s="234">
        <f t="shared" si="480"/>
        <v>4.0666935483870965</v>
      </c>
      <c r="BZ180" s="234" cm="1">
        <f t="array" ref="BZ180">$BM180 * IF($AH180&lt;=2,
SUMPRODUCT(INDEX($AV$66:$AX$70,,$AI180), INDEX($AY$66:$BE$70,,$AH180), 1 / ($BF$66:$BF$70*BY180 + (1-$BF$66:$BF$70)*BU180), N($AU$66:$AU$70&gt;$AM180)),
SUMPRODUCT(INDEX($AV$56:$AX$65,,$AI180), INDEX($AY$56:$BE$65,,$AH180), 1 / ($BG$56:$BG$65*BY180 + (1-$BG$56:$BG$65)*BU180), N($AU$56:$AU$65&gt;$AM180))
) / 1000</f>
        <v>0</v>
      </c>
      <c r="CA180" s="231">
        <f t="shared" si="316"/>
        <v>20</v>
      </c>
      <c r="CB180" s="229">
        <f t="shared" si="481"/>
        <v>33</v>
      </c>
      <c r="CC180" s="234">
        <f t="shared" si="482"/>
        <v>4.8487499999999999</v>
      </c>
      <c r="CD180" s="234" cm="1">
        <f t="array" ref="CD180">$BM180 * IF($AH180&lt;=2,
SUMPRODUCT(INDEX($AV$61:$AX$65,,$AI180), INDEX($AY$61:$BE$65,,$AH180), 1 / ($BF$61:$BF$65*CC180 + (1-$BF$61:$BF$65)*BY180), N($AU$61:$AU$65&gt;$AM180)),
SUMPRODUCT(INDEX($AV$46:$AX$55,,$AI180), INDEX($AY$46:$BE$55,,$AH180), 1 / ($BG$46:$BG$55*CC180 + (1-$BG$46:$BG$55)*BY180), N($AU$46:$AU$55&gt;$AM180))
) / 1000</f>
        <v>0</v>
      </c>
      <c r="CE180" s="234" cm="1">
        <f t="array" ref="CE180">$BM180 * IF($AH180&lt;=2,
SUMPRODUCT(INDEX($AV$22:$AX$60,,$AI180), INDEX($AY$22:$BE$60,,$AH180), 1 / ($BF$22:$BF$60*CC180), N($AU$22:$AU$60&gt;$AM180)),
SUMPRODUCT(INDEX($AV$22:$AX$45,,$AI180), INDEX($AY$22:$BE$45,,$AH180), 1 / ($BG$22:$BG$45*CC180), N($AU$22:$AU$45&gt;$AM180))
) / 1000</f>
        <v>0</v>
      </c>
      <c r="CF180" s="229">
        <f t="shared" si="483"/>
        <v>0</v>
      </c>
      <c r="CG180" s="246"/>
      <c r="CH180" s="229">
        <f t="shared" si="484"/>
        <v>0</v>
      </c>
      <c r="CI180" s="228">
        <v>35</v>
      </c>
      <c r="CJ180" s="229">
        <f t="shared" si="485"/>
        <v>48</v>
      </c>
      <c r="CK180" s="234">
        <f t="shared" si="486"/>
        <v>3.0748170731707316</v>
      </c>
      <c r="CL180" s="234" cm="1">
        <f t="array" ref="CL180">$BM180 * SUMPRODUCT(INDEX($AV$76:$AX$81,,$AI180),INDEX($AY$76:$BE$81,,$AH180), N($AU$76:$AU$81&gt;$AM180)) / CK180 / 1000</f>
        <v>0</v>
      </c>
      <c r="CM180" s="231">
        <f t="shared" si="323"/>
        <v>30</v>
      </c>
      <c r="CN180" s="229">
        <f t="shared" si="487"/>
        <v>43</v>
      </c>
      <c r="CO180" s="234">
        <f t="shared" si="488"/>
        <v>3.5018750000000001</v>
      </c>
      <c r="CP180" s="234" cm="1">
        <f t="array" ref="CP180">$BM180 * IF($AH180&lt;=2,
SUMPRODUCT(INDEX($AV$71:$AX$75,,$AI180), INDEX($AY$71:$BE$75,,$AH180), 1 / ($BF$71:$BF$75*CO180 + (1-$BF$71:$BF$75)*CK180), N($AU$71:$AU$75&gt;$AM180)),
SUMPRODUCT(INDEX($AV$66:$AX$75,,$AI180), INDEX($AY$66:$BE$75,,$AH180), 1 / ($BG$66:$BG$75*CO180 + (1-$BG$66:$BG$75)*CK180), N($AU$66:$AU$75&gt;$AM180))
) / 1000</f>
        <v>0</v>
      </c>
      <c r="CQ180" s="231">
        <f t="shared" si="326"/>
        <v>25</v>
      </c>
      <c r="CR180" s="229">
        <f t="shared" si="489"/>
        <v>38</v>
      </c>
      <c r="CS180" s="234">
        <f t="shared" si="490"/>
        <v>4.0666935483870965</v>
      </c>
      <c r="CT180" s="234" cm="1">
        <f t="array" ref="CT180">$BM180 * IF($AH180&lt;=2,
SUMPRODUCT(INDEX($AV$66:$AX$70,,$AI180), INDEX($AY$66:$BE$70,,$AH180), 1 / ($BF$66:$BF$70*CS180 + (1-$BF$66:$BF$70)*CO180), N($AU$66:$AU$70&gt;$AM180)),
SUMPRODUCT(INDEX($AV$56:$AX$65,,$AI180), INDEX($AY$56:$BE$65,,$AH180), 1 / ($BG$56:$BG$65*CS180 + (1-$BG$56:$BG$65)*CO180), N($AU$56:$AU$65&gt;$AM180))
) / 1000</f>
        <v>0</v>
      </c>
      <c r="CU180" s="231">
        <f t="shared" si="329"/>
        <v>20</v>
      </c>
      <c r="CV180" s="229">
        <f t="shared" si="491"/>
        <v>33</v>
      </c>
      <c r="CW180" s="234">
        <f t="shared" si="492"/>
        <v>4.8487499999999999</v>
      </c>
      <c r="CX180" s="234" cm="1">
        <f t="array" ref="CX180">$BM180 * IF($AH180&lt;=2,
SUMPRODUCT(INDEX($AV$61:$AX$65,,$AI180), INDEX($AY$61:$BE$65,,$AH180), 1 / ($BF$61:$BF$65*CW180 + (1-$BF$61:$BF$65)*CS180), N($AU$61:$AU$65&gt;$AM180)),
SUMPRODUCT(INDEX($AV$46:$AX$55,,$AI180), INDEX($AY$46:$BE$55,,$AH180), 1 / ($BG$46:$BG$55*CW180 + (1-$BG$46:$BG$55)*CS180), N($AU$46:$AU$55&gt;$AM180))
) / 1000</f>
        <v>0</v>
      </c>
      <c r="CY180" s="234" cm="1">
        <f t="array" ref="CY180">$BM180 * IF($AH180&lt;=2,
SUMPRODUCT(INDEX($AV$22:$AX$60,,$AI180), INDEX($AY$22:$BE$60,,$AH180), 1 / ($BF$22:$BF$60*CW180), N($AU$22:$AU$60&gt;$AM180)),
SUMPRODUCT(INDEX($AV$22:$AX$45,,$AI180), INDEX($AY$22:$BE$45,,$AH180), 1 / ($BG$22:$BG$45*CW180), N($AU$22:$AU$45&gt;$AM180))
) / 1000</f>
        <v>0</v>
      </c>
      <c r="CZ180" s="229">
        <f t="shared" si="493"/>
        <v>0</v>
      </c>
      <c r="DA180" s="246"/>
    </row>
    <row r="181" spans="1:105" s="75" customFormat="1" ht="14.25" customHeight="1" x14ac:dyDescent="0.2">
      <c r="A181" s="230" t="b">
        <f t="shared" si="291"/>
        <v>0</v>
      </c>
      <c r="B181" s="253">
        <v>160</v>
      </c>
      <c r="C181" s="266"/>
      <c r="D181" s="266"/>
      <c r="E181" s="254"/>
      <c r="F181" s="255" t="str">
        <f>IF(ISBLANK(E181), "", VLOOKUP(E181, Z!$A$2:$C$4127, 3, FALSE))</f>
        <v/>
      </c>
      <c r="G181" s="256"/>
      <c r="H181" s="256"/>
      <c r="I181" s="256"/>
      <c r="J181" s="257"/>
      <c r="K181" s="258"/>
      <c r="L181" s="267"/>
      <c r="M181" s="268"/>
      <c r="N181" s="259" t="str" cm="1">
        <f t="array" ref="N181">IF($L181&gt;0, INDEX(Clean,1+AK181,$D$1), "")</f>
        <v/>
      </c>
      <c r="O181" s="260"/>
      <c r="P181" s="260"/>
      <c r="Q181" s="261"/>
      <c r="R181" s="264">
        <f t="shared" si="469"/>
        <v>0</v>
      </c>
      <c r="S181" s="259" t="str" cm="1">
        <f t="array" ref="S181">IF($L181&gt;0, INDEX(Clean,1+AL181,$D$1), "")</f>
        <v/>
      </c>
      <c r="T181" s="260"/>
      <c r="U181" s="260"/>
      <c r="V181" s="261"/>
      <c r="W181" s="267"/>
      <c r="X181" s="267"/>
      <c r="Y181" s="257"/>
      <c r="Z181" s="264">
        <f t="shared" si="470"/>
        <v>0</v>
      </c>
      <c r="AA181" s="269"/>
      <c r="AB181" s="266"/>
      <c r="AC181" s="254"/>
      <c r="AD181" s="255" t="str">
        <f>IF(ISBLANK(AC181), "", VLOOKUP(AC181, Z!$A$2:$C$4127, 3, FALSE))</f>
        <v/>
      </c>
      <c r="AE181" s="270"/>
      <c r="AF181" s="265">
        <f t="shared" si="471"/>
        <v>0</v>
      </c>
      <c r="AG181" s="246"/>
      <c r="AH181" s="228">
        <f t="shared" si="494"/>
        <v>1</v>
      </c>
      <c r="AI181" s="228">
        <f t="shared" si="495"/>
        <v>1</v>
      </c>
      <c r="AJ181" s="228">
        <f t="shared" si="496"/>
        <v>0</v>
      </c>
      <c r="AK181" s="228">
        <v>0</v>
      </c>
      <c r="AL181" s="228">
        <v>0</v>
      </c>
      <c r="AM181" s="228">
        <f t="shared" si="472"/>
        <v>-100</v>
      </c>
      <c r="AN181" s="228" cm="1">
        <f t="array" ref="AN181">IF(ISBLANK(G181), 1, IFERROR(MATCH(G181, INDEX(Kat,,1), 0), IFERROR(MATCH(Kat, INDEX(Use,,2), 0), MATCH(Kat, INDEX(Use,,3), 0))))</f>
        <v>1</v>
      </c>
      <c r="AO181" s="246"/>
      <c r="AP181" s="228" cm="1">
        <f t="array" ref="AP181">IF(W181&gt;0, INDEX(Kat, AN181,4), 0)</f>
        <v>0</v>
      </c>
      <c r="AQ181" s="228">
        <f t="shared" si="497"/>
        <v>0</v>
      </c>
      <c r="AR181" s="228" cm="1">
        <f t="array" ref="AR181">IF(X181&gt;0, INDEX(Kat, $AN181, 4+AQ181), 0)</f>
        <v>0</v>
      </c>
      <c r="AS181" s="228" cm="1">
        <f t="array" ref="AS181">IF(X181&gt;0, INDEX(Kat, $AN181, 9+AQ181), 0)</f>
        <v>0</v>
      </c>
      <c r="AT181" s="246"/>
      <c r="AU181" s="262"/>
      <c r="AV181" s="262"/>
      <c r="AW181" s="263"/>
      <c r="AX181" s="263"/>
      <c r="AY181" s="263"/>
      <c r="AZ181" s="263"/>
      <c r="BA181" s="263"/>
      <c r="BB181" s="263"/>
      <c r="BC181" s="263"/>
      <c r="BD181" s="263"/>
      <c r="BE181" s="263"/>
      <c r="BF181" s="263"/>
      <c r="BG181" s="263"/>
      <c r="BH181" s="246"/>
      <c r="BI181" s="228" cm="1">
        <f t="array" ref="BI181">INDEX(Use, $AH181, 4)</f>
        <v>7</v>
      </c>
      <c r="BJ181" s="228">
        <f t="shared" si="473"/>
        <v>32</v>
      </c>
      <c r="BK181" s="228">
        <f t="shared" si="305"/>
        <v>13</v>
      </c>
      <c r="BL181" s="228">
        <f t="shared" si="306"/>
        <v>0</v>
      </c>
      <c r="BM181" s="233" cm="1">
        <f t="array" ref="BM181">L181/IF($M181&gt;0, INDEX($AY$22:$BE$76, $M181+20, $AH181), 1)</f>
        <v>0</v>
      </c>
      <c r="BN181" s="229">
        <f t="shared" si="474"/>
        <v>0</v>
      </c>
      <c r="BO181" s="228">
        <v>35</v>
      </c>
      <c r="BP181" s="229">
        <f t="shared" si="475"/>
        <v>48</v>
      </c>
      <c r="BQ181" s="234">
        <f t="shared" si="476"/>
        <v>3.0748170731707316</v>
      </c>
      <c r="BR181" s="234" cm="1">
        <f t="array" ref="BR181">$BM181 * SUMPRODUCT(INDEX($AV$76:$AX$81,,$AI181),INDEX($AY$76:$BE$81,,$AH181), N($AU$76:$AU$81&gt;$AM181)) / BQ181 / 1000</f>
        <v>0</v>
      </c>
      <c r="BS181" s="231">
        <f t="shared" si="310"/>
        <v>30</v>
      </c>
      <c r="BT181" s="229">
        <f t="shared" si="477"/>
        <v>43</v>
      </c>
      <c r="BU181" s="234">
        <f t="shared" si="478"/>
        <v>3.5018750000000001</v>
      </c>
      <c r="BV181" s="234" cm="1">
        <f t="array" ref="BV181">$BM181 * IF($AH181&lt;=2,
SUMPRODUCT(INDEX($AV$71:$AX$75,,$AI181), INDEX($AY$71:$BE$75,,$AH181), 1 / ($BF$71:$BF$75*BU181 + (1-$BF$71:$BF$75)*BQ181), N($AU$71:$AU$75&gt;$AM181)),
SUMPRODUCT(INDEX($AV$66:$AX$75,,$AI181), INDEX($AY$66:$BE$75,,$AH181), 1 / ($BG$66:$BG$75*BU181 + (1-$BG$66:$BG$75)*BQ181), N($AU$66:$AU$75&gt;$AM181))
) / 1000</f>
        <v>0</v>
      </c>
      <c r="BW181" s="231">
        <f t="shared" si="313"/>
        <v>25</v>
      </c>
      <c r="BX181" s="229">
        <f t="shared" si="479"/>
        <v>38</v>
      </c>
      <c r="BY181" s="234">
        <f t="shared" si="480"/>
        <v>4.0666935483870965</v>
      </c>
      <c r="BZ181" s="234" cm="1">
        <f t="array" ref="BZ181">$BM181 * IF($AH181&lt;=2,
SUMPRODUCT(INDEX($AV$66:$AX$70,,$AI181), INDEX($AY$66:$BE$70,,$AH181), 1 / ($BF$66:$BF$70*BY181 + (1-$BF$66:$BF$70)*BU181), N($AU$66:$AU$70&gt;$AM181)),
SUMPRODUCT(INDEX($AV$56:$AX$65,,$AI181), INDEX($AY$56:$BE$65,,$AH181), 1 / ($BG$56:$BG$65*BY181 + (1-$BG$56:$BG$65)*BU181), N($AU$56:$AU$65&gt;$AM181))
) / 1000</f>
        <v>0</v>
      </c>
      <c r="CA181" s="231">
        <f t="shared" si="316"/>
        <v>20</v>
      </c>
      <c r="CB181" s="229">
        <f t="shared" si="481"/>
        <v>33</v>
      </c>
      <c r="CC181" s="234">
        <f t="shared" si="482"/>
        <v>4.8487499999999999</v>
      </c>
      <c r="CD181" s="234" cm="1">
        <f t="array" ref="CD181">$BM181 * IF($AH181&lt;=2,
SUMPRODUCT(INDEX($AV$61:$AX$65,,$AI181), INDEX($AY$61:$BE$65,,$AH181), 1 / ($BF$61:$BF$65*CC181 + (1-$BF$61:$BF$65)*BY181), N($AU$61:$AU$65&gt;$AM181)),
SUMPRODUCT(INDEX($AV$46:$AX$55,,$AI181), INDEX($AY$46:$BE$55,,$AH181), 1 / ($BG$46:$BG$55*CC181 + (1-$BG$46:$BG$55)*BY181), N($AU$46:$AU$55&gt;$AM181))
) / 1000</f>
        <v>0</v>
      </c>
      <c r="CE181" s="234" cm="1">
        <f t="array" ref="CE181">$BM181 * IF($AH181&lt;=2,
SUMPRODUCT(INDEX($AV$22:$AX$60,,$AI181), INDEX($AY$22:$BE$60,,$AH181), 1 / ($BF$22:$BF$60*CC181), N($AU$22:$AU$60&gt;$AM181)),
SUMPRODUCT(INDEX($AV$22:$AX$45,,$AI181), INDEX($AY$22:$BE$45,,$AH181), 1 / ($BG$22:$BG$45*CC181), N($AU$22:$AU$45&gt;$AM181))
) / 1000</f>
        <v>0</v>
      </c>
      <c r="CF181" s="229">
        <f t="shared" si="483"/>
        <v>0</v>
      </c>
      <c r="CG181" s="246"/>
      <c r="CH181" s="229">
        <f t="shared" si="484"/>
        <v>0</v>
      </c>
      <c r="CI181" s="228">
        <v>35</v>
      </c>
      <c r="CJ181" s="229">
        <f t="shared" si="485"/>
        <v>48</v>
      </c>
      <c r="CK181" s="234">
        <f t="shared" si="486"/>
        <v>3.0748170731707316</v>
      </c>
      <c r="CL181" s="234" cm="1">
        <f t="array" ref="CL181">$BM181 * SUMPRODUCT(INDEX($AV$76:$AX$81,,$AI181),INDEX($AY$76:$BE$81,,$AH181), N($AU$76:$AU$81&gt;$AM181)) / CK181 / 1000</f>
        <v>0</v>
      </c>
      <c r="CM181" s="231">
        <f t="shared" si="323"/>
        <v>30</v>
      </c>
      <c r="CN181" s="229">
        <f t="shared" si="487"/>
        <v>43</v>
      </c>
      <c r="CO181" s="234">
        <f t="shared" si="488"/>
        <v>3.5018750000000001</v>
      </c>
      <c r="CP181" s="234" cm="1">
        <f t="array" ref="CP181">$BM181 * IF($AH181&lt;=2,
SUMPRODUCT(INDEX($AV$71:$AX$75,,$AI181), INDEX($AY$71:$BE$75,,$AH181), 1 / ($BF$71:$BF$75*CO181 + (1-$BF$71:$BF$75)*CK181), N($AU$71:$AU$75&gt;$AM181)),
SUMPRODUCT(INDEX($AV$66:$AX$75,,$AI181), INDEX($AY$66:$BE$75,,$AH181), 1 / ($BG$66:$BG$75*CO181 + (1-$BG$66:$BG$75)*CK181), N($AU$66:$AU$75&gt;$AM181))
) / 1000</f>
        <v>0</v>
      </c>
      <c r="CQ181" s="231">
        <f t="shared" si="326"/>
        <v>25</v>
      </c>
      <c r="CR181" s="229">
        <f t="shared" si="489"/>
        <v>38</v>
      </c>
      <c r="CS181" s="234">
        <f t="shared" si="490"/>
        <v>4.0666935483870965</v>
      </c>
      <c r="CT181" s="234" cm="1">
        <f t="array" ref="CT181">$BM181 * IF($AH181&lt;=2,
SUMPRODUCT(INDEX($AV$66:$AX$70,,$AI181), INDEX($AY$66:$BE$70,,$AH181), 1 / ($BF$66:$BF$70*CS181 + (1-$BF$66:$BF$70)*CO181), N($AU$66:$AU$70&gt;$AM181)),
SUMPRODUCT(INDEX($AV$56:$AX$65,,$AI181), INDEX($AY$56:$BE$65,,$AH181), 1 / ($BG$56:$BG$65*CS181 + (1-$BG$56:$BG$65)*CO181), N($AU$56:$AU$65&gt;$AM181))
) / 1000</f>
        <v>0</v>
      </c>
      <c r="CU181" s="231">
        <f t="shared" si="329"/>
        <v>20</v>
      </c>
      <c r="CV181" s="229">
        <f t="shared" si="491"/>
        <v>33</v>
      </c>
      <c r="CW181" s="234">
        <f t="shared" si="492"/>
        <v>4.8487499999999999</v>
      </c>
      <c r="CX181" s="234" cm="1">
        <f t="array" ref="CX181">$BM181 * IF($AH181&lt;=2,
SUMPRODUCT(INDEX($AV$61:$AX$65,,$AI181), INDEX($AY$61:$BE$65,,$AH181), 1 / ($BF$61:$BF$65*CW181 + (1-$BF$61:$BF$65)*CS181), N($AU$61:$AU$65&gt;$AM181)),
SUMPRODUCT(INDEX($AV$46:$AX$55,,$AI181), INDEX($AY$46:$BE$55,,$AH181), 1 / ($BG$46:$BG$55*CW181 + (1-$BG$46:$BG$55)*CS181), N($AU$46:$AU$55&gt;$AM181))
) / 1000</f>
        <v>0</v>
      </c>
      <c r="CY181" s="234" cm="1">
        <f t="array" ref="CY181">$BM181 * IF($AH181&lt;=2,
SUMPRODUCT(INDEX($AV$22:$AX$60,,$AI181), INDEX($AY$22:$BE$60,,$AH181), 1 / ($BF$22:$BF$60*CW181), N($AU$22:$AU$60&gt;$AM181)),
SUMPRODUCT(INDEX($AV$22:$AX$45,,$AI181), INDEX($AY$22:$BE$45,,$AH181), 1 / ($BG$22:$BG$45*CW181), N($AU$22:$AU$45&gt;$AM181))
) / 1000</f>
        <v>0</v>
      </c>
      <c r="CZ181" s="229">
        <f t="shared" si="493"/>
        <v>0</v>
      </c>
      <c r="DA181" s="246"/>
    </row>
    <row r="182" spans="1:105" s="75" customFormat="1" ht="14.25" customHeight="1" x14ac:dyDescent="0.2">
      <c r="A182" s="230" t="b">
        <f t="shared" si="291"/>
        <v>0</v>
      </c>
      <c r="B182" s="253">
        <v>161</v>
      </c>
      <c r="C182" s="266"/>
      <c r="D182" s="266"/>
      <c r="E182" s="254"/>
      <c r="F182" s="255" t="str">
        <f>IF(ISBLANK(E182), "", VLOOKUP(E182, Z!$A$2:$C$4127, 3, FALSE))</f>
        <v/>
      </c>
      <c r="G182" s="256"/>
      <c r="H182" s="256"/>
      <c r="I182" s="256"/>
      <c r="J182" s="257"/>
      <c r="K182" s="258"/>
      <c r="L182" s="267"/>
      <c r="M182" s="268"/>
      <c r="N182" s="259" t="str" cm="1">
        <f t="array" ref="N182">IF($L182&gt;0, INDEX(Clean,1+AK182,$D$1), "")</f>
        <v/>
      </c>
      <c r="O182" s="260"/>
      <c r="P182" s="260"/>
      <c r="Q182" s="261"/>
      <c r="R182" s="264">
        <f t="shared" si="469"/>
        <v>0</v>
      </c>
      <c r="S182" s="259" t="str" cm="1">
        <f t="array" ref="S182">IF($L182&gt;0, INDEX(Clean,1+AL182,$D$1), "")</f>
        <v/>
      </c>
      <c r="T182" s="260"/>
      <c r="U182" s="260"/>
      <c r="V182" s="261"/>
      <c r="W182" s="267"/>
      <c r="X182" s="267"/>
      <c r="Y182" s="257"/>
      <c r="Z182" s="264">
        <f t="shared" si="470"/>
        <v>0</v>
      </c>
      <c r="AA182" s="269"/>
      <c r="AB182" s="266"/>
      <c r="AC182" s="254"/>
      <c r="AD182" s="255" t="str">
        <f>IF(ISBLANK(AC182), "", VLOOKUP(AC182, Z!$A$2:$C$4127, 3, FALSE))</f>
        <v/>
      </c>
      <c r="AE182" s="270"/>
      <c r="AF182" s="265">
        <f t="shared" si="471"/>
        <v>0</v>
      </c>
      <c r="AG182" s="246"/>
      <c r="AH182" s="228">
        <f t="shared" si="494"/>
        <v>1</v>
      </c>
      <c r="AI182" s="228">
        <f t="shared" si="495"/>
        <v>1</v>
      </c>
      <c r="AJ182" s="228">
        <f t="shared" si="496"/>
        <v>0</v>
      </c>
      <c r="AK182" s="228">
        <v>0</v>
      </c>
      <c r="AL182" s="228">
        <v>0</v>
      </c>
      <c r="AM182" s="228">
        <f t="shared" si="472"/>
        <v>-100</v>
      </c>
      <c r="AN182" s="228" cm="1">
        <f t="array" ref="AN182">IF(ISBLANK(G182), 1, IFERROR(MATCH(G182, INDEX(Kat,,1), 0), IFERROR(MATCH(Kat, INDEX(Use,,2), 0), MATCH(Kat, INDEX(Use,,3), 0))))</f>
        <v>1</v>
      </c>
      <c r="AO182" s="246"/>
      <c r="AP182" s="228" cm="1">
        <f t="array" ref="AP182">IF(W182&gt;0, INDEX(Kat, AN182,4), 0)</f>
        <v>0</v>
      </c>
      <c r="AQ182" s="228">
        <f t="shared" si="497"/>
        <v>0</v>
      </c>
      <c r="AR182" s="228" cm="1">
        <f t="array" ref="AR182">IF(X182&gt;0, INDEX(Kat, $AN182, 4+AQ182), 0)</f>
        <v>0</v>
      </c>
      <c r="AS182" s="228" cm="1">
        <f t="array" ref="AS182">IF(X182&gt;0, INDEX(Kat, $AN182, 9+AQ182), 0)</f>
        <v>0</v>
      </c>
      <c r="AT182" s="246"/>
      <c r="AU182" s="262"/>
      <c r="AV182" s="262"/>
      <c r="AW182" s="263"/>
      <c r="AX182" s="263"/>
      <c r="AY182" s="263"/>
      <c r="AZ182" s="263"/>
      <c r="BA182" s="263"/>
      <c r="BB182" s="263"/>
      <c r="BC182" s="263"/>
      <c r="BD182" s="263"/>
      <c r="BE182" s="263"/>
      <c r="BF182" s="263"/>
      <c r="BG182" s="263"/>
      <c r="BH182" s="246"/>
      <c r="BI182" s="228" cm="1">
        <f t="array" ref="BI182">INDEX(Use, $AH182, 4)</f>
        <v>7</v>
      </c>
      <c r="BJ182" s="228">
        <f t="shared" si="473"/>
        <v>32</v>
      </c>
      <c r="BK182" s="228">
        <f t="shared" si="305"/>
        <v>13</v>
      </c>
      <c r="BL182" s="228">
        <f t="shared" si="306"/>
        <v>0</v>
      </c>
      <c r="BM182" s="233" cm="1">
        <f t="array" ref="BM182">L182/IF($M182&gt;0, INDEX($AY$22:$BE$76, $M182+20, $AH182), 1)</f>
        <v>0</v>
      </c>
      <c r="BN182" s="229">
        <f t="shared" si="474"/>
        <v>0</v>
      </c>
      <c r="BO182" s="228">
        <v>35</v>
      </c>
      <c r="BP182" s="229">
        <f t="shared" si="475"/>
        <v>48</v>
      </c>
      <c r="BQ182" s="234">
        <f t="shared" si="476"/>
        <v>3.0748170731707316</v>
      </c>
      <c r="BR182" s="234" cm="1">
        <f t="array" ref="BR182">$BM182 * SUMPRODUCT(INDEX($AV$76:$AX$81,,$AI182),INDEX($AY$76:$BE$81,,$AH182), N($AU$76:$AU$81&gt;$AM182)) / BQ182 / 1000</f>
        <v>0</v>
      </c>
      <c r="BS182" s="231">
        <f t="shared" si="310"/>
        <v>30</v>
      </c>
      <c r="BT182" s="229">
        <f t="shared" si="477"/>
        <v>43</v>
      </c>
      <c r="BU182" s="234">
        <f t="shared" si="478"/>
        <v>3.5018750000000001</v>
      </c>
      <c r="BV182" s="234" cm="1">
        <f t="array" ref="BV182">$BM182 * IF($AH182&lt;=2,
SUMPRODUCT(INDEX($AV$71:$AX$75,,$AI182), INDEX($AY$71:$BE$75,,$AH182), 1 / ($BF$71:$BF$75*BU182 + (1-$BF$71:$BF$75)*BQ182), N($AU$71:$AU$75&gt;$AM182)),
SUMPRODUCT(INDEX($AV$66:$AX$75,,$AI182), INDEX($AY$66:$BE$75,,$AH182), 1 / ($BG$66:$BG$75*BU182 + (1-$BG$66:$BG$75)*BQ182), N($AU$66:$AU$75&gt;$AM182))
) / 1000</f>
        <v>0</v>
      </c>
      <c r="BW182" s="231">
        <f t="shared" si="313"/>
        <v>25</v>
      </c>
      <c r="BX182" s="229">
        <f t="shared" si="479"/>
        <v>38</v>
      </c>
      <c r="BY182" s="234">
        <f t="shared" si="480"/>
        <v>4.0666935483870965</v>
      </c>
      <c r="BZ182" s="234" cm="1">
        <f t="array" ref="BZ182">$BM182 * IF($AH182&lt;=2,
SUMPRODUCT(INDEX($AV$66:$AX$70,,$AI182), INDEX($AY$66:$BE$70,,$AH182), 1 / ($BF$66:$BF$70*BY182 + (1-$BF$66:$BF$70)*BU182), N($AU$66:$AU$70&gt;$AM182)),
SUMPRODUCT(INDEX($AV$56:$AX$65,,$AI182), INDEX($AY$56:$BE$65,,$AH182), 1 / ($BG$56:$BG$65*BY182 + (1-$BG$56:$BG$65)*BU182), N($AU$56:$AU$65&gt;$AM182))
) / 1000</f>
        <v>0</v>
      </c>
      <c r="CA182" s="231">
        <f t="shared" si="316"/>
        <v>20</v>
      </c>
      <c r="CB182" s="229">
        <f t="shared" si="481"/>
        <v>33</v>
      </c>
      <c r="CC182" s="234">
        <f t="shared" si="482"/>
        <v>4.8487499999999999</v>
      </c>
      <c r="CD182" s="234" cm="1">
        <f t="array" ref="CD182">$BM182 * IF($AH182&lt;=2,
SUMPRODUCT(INDEX($AV$61:$AX$65,,$AI182), INDEX($AY$61:$BE$65,,$AH182), 1 / ($BF$61:$BF$65*CC182 + (1-$BF$61:$BF$65)*BY182), N($AU$61:$AU$65&gt;$AM182)),
SUMPRODUCT(INDEX($AV$46:$AX$55,,$AI182), INDEX($AY$46:$BE$55,,$AH182), 1 / ($BG$46:$BG$55*CC182 + (1-$BG$46:$BG$55)*BY182), N($AU$46:$AU$55&gt;$AM182))
) / 1000</f>
        <v>0</v>
      </c>
      <c r="CE182" s="234" cm="1">
        <f t="array" ref="CE182">$BM182 * IF($AH182&lt;=2,
SUMPRODUCT(INDEX($AV$22:$AX$60,,$AI182), INDEX($AY$22:$BE$60,,$AH182), 1 / ($BF$22:$BF$60*CC182), N($AU$22:$AU$60&gt;$AM182)),
SUMPRODUCT(INDEX($AV$22:$AX$45,,$AI182), INDEX($AY$22:$BE$45,,$AH182), 1 / ($BG$22:$BG$45*CC182), N($AU$22:$AU$45&gt;$AM182))
) / 1000</f>
        <v>0</v>
      </c>
      <c r="CF182" s="229">
        <f t="shared" si="483"/>
        <v>0</v>
      </c>
      <c r="CG182" s="246"/>
      <c r="CH182" s="229">
        <f t="shared" si="484"/>
        <v>0</v>
      </c>
      <c r="CI182" s="228">
        <v>35</v>
      </c>
      <c r="CJ182" s="229">
        <f t="shared" si="485"/>
        <v>48</v>
      </c>
      <c r="CK182" s="234">
        <f t="shared" si="486"/>
        <v>3.0748170731707316</v>
      </c>
      <c r="CL182" s="234" cm="1">
        <f t="array" ref="CL182">$BM182 * SUMPRODUCT(INDEX($AV$76:$AX$81,,$AI182),INDEX($AY$76:$BE$81,,$AH182), N($AU$76:$AU$81&gt;$AM182)) / CK182 / 1000</f>
        <v>0</v>
      </c>
      <c r="CM182" s="231">
        <f t="shared" si="323"/>
        <v>30</v>
      </c>
      <c r="CN182" s="229">
        <f t="shared" si="487"/>
        <v>43</v>
      </c>
      <c r="CO182" s="234">
        <f t="shared" si="488"/>
        <v>3.5018750000000001</v>
      </c>
      <c r="CP182" s="234" cm="1">
        <f t="array" ref="CP182">$BM182 * IF($AH182&lt;=2,
SUMPRODUCT(INDEX($AV$71:$AX$75,,$AI182), INDEX($AY$71:$BE$75,,$AH182), 1 / ($BF$71:$BF$75*CO182 + (1-$BF$71:$BF$75)*CK182), N($AU$71:$AU$75&gt;$AM182)),
SUMPRODUCT(INDEX($AV$66:$AX$75,,$AI182), INDEX($AY$66:$BE$75,,$AH182), 1 / ($BG$66:$BG$75*CO182 + (1-$BG$66:$BG$75)*CK182), N($AU$66:$AU$75&gt;$AM182))
) / 1000</f>
        <v>0</v>
      </c>
      <c r="CQ182" s="231">
        <f t="shared" si="326"/>
        <v>25</v>
      </c>
      <c r="CR182" s="229">
        <f t="shared" si="489"/>
        <v>38</v>
      </c>
      <c r="CS182" s="234">
        <f t="shared" si="490"/>
        <v>4.0666935483870965</v>
      </c>
      <c r="CT182" s="234" cm="1">
        <f t="array" ref="CT182">$BM182 * IF($AH182&lt;=2,
SUMPRODUCT(INDEX($AV$66:$AX$70,,$AI182), INDEX($AY$66:$BE$70,,$AH182), 1 / ($BF$66:$BF$70*CS182 + (1-$BF$66:$BF$70)*CO182), N($AU$66:$AU$70&gt;$AM182)),
SUMPRODUCT(INDEX($AV$56:$AX$65,,$AI182), INDEX($AY$56:$BE$65,,$AH182), 1 / ($BG$56:$BG$65*CS182 + (1-$BG$56:$BG$65)*CO182), N($AU$56:$AU$65&gt;$AM182))
) / 1000</f>
        <v>0</v>
      </c>
      <c r="CU182" s="231">
        <f t="shared" si="329"/>
        <v>20</v>
      </c>
      <c r="CV182" s="229">
        <f t="shared" si="491"/>
        <v>33</v>
      </c>
      <c r="CW182" s="234">
        <f t="shared" si="492"/>
        <v>4.8487499999999999</v>
      </c>
      <c r="CX182" s="234" cm="1">
        <f t="array" ref="CX182">$BM182 * IF($AH182&lt;=2,
SUMPRODUCT(INDEX($AV$61:$AX$65,,$AI182), INDEX($AY$61:$BE$65,,$AH182), 1 / ($BF$61:$BF$65*CW182 + (1-$BF$61:$BF$65)*CS182), N($AU$61:$AU$65&gt;$AM182)),
SUMPRODUCT(INDEX($AV$46:$AX$55,,$AI182), INDEX($AY$46:$BE$55,,$AH182), 1 / ($BG$46:$BG$55*CW182 + (1-$BG$46:$BG$55)*CS182), N($AU$46:$AU$55&gt;$AM182))
) / 1000</f>
        <v>0</v>
      </c>
      <c r="CY182" s="234" cm="1">
        <f t="array" ref="CY182">$BM182 * IF($AH182&lt;=2,
SUMPRODUCT(INDEX($AV$22:$AX$60,,$AI182), INDEX($AY$22:$BE$60,,$AH182), 1 / ($BF$22:$BF$60*CW182), N($AU$22:$AU$60&gt;$AM182)),
SUMPRODUCT(INDEX($AV$22:$AX$45,,$AI182), INDEX($AY$22:$BE$45,,$AH182), 1 / ($BG$22:$BG$45*CW182), N($AU$22:$AU$45&gt;$AM182))
) / 1000</f>
        <v>0</v>
      </c>
      <c r="CZ182" s="229">
        <f t="shared" si="493"/>
        <v>0</v>
      </c>
      <c r="DA182" s="246"/>
    </row>
    <row r="183" spans="1:105" s="75" customFormat="1" ht="14.25" customHeight="1" x14ac:dyDescent="0.2">
      <c r="A183" s="230" t="b">
        <f t="shared" si="291"/>
        <v>0</v>
      </c>
      <c r="B183" s="253">
        <v>162</v>
      </c>
      <c r="C183" s="266"/>
      <c r="D183" s="266"/>
      <c r="E183" s="254"/>
      <c r="F183" s="255" t="str">
        <f>IF(ISBLANK(E183), "", VLOOKUP(E183, Z!$A$2:$C$4127, 3, FALSE))</f>
        <v/>
      </c>
      <c r="G183" s="256"/>
      <c r="H183" s="256"/>
      <c r="I183" s="256"/>
      <c r="J183" s="257"/>
      <c r="K183" s="258"/>
      <c r="L183" s="267"/>
      <c r="M183" s="268"/>
      <c r="N183" s="259" t="str" cm="1">
        <f t="array" ref="N183">IF($L183&gt;0, INDEX(Clean,1+AK183,$D$1), "")</f>
        <v/>
      </c>
      <c r="O183" s="260"/>
      <c r="P183" s="260"/>
      <c r="Q183" s="261"/>
      <c r="R183" s="264">
        <f t="shared" si="469"/>
        <v>0</v>
      </c>
      <c r="S183" s="259" t="str" cm="1">
        <f t="array" ref="S183">IF($L183&gt;0, INDEX(Clean,1+AL183,$D$1), "")</f>
        <v/>
      </c>
      <c r="T183" s="260"/>
      <c r="U183" s="260"/>
      <c r="V183" s="261"/>
      <c r="W183" s="267"/>
      <c r="X183" s="267"/>
      <c r="Y183" s="257"/>
      <c r="Z183" s="264">
        <f t="shared" si="470"/>
        <v>0</v>
      </c>
      <c r="AA183" s="269"/>
      <c r="AB183" s="266"/>
      <c r="AC183" s="254"/>
      <c r="AD183" s="255" t="str">
        <f>IF(ISBLANK(AC183), "", VLOOKUP(AC183, Z!$A$2:$C$4127, 3, FALSE))</f>
        <v/>
      </c>
      <c r="AE183" s="270"/>
      <c r="AF183" s="265">
        <f t="shared" si="471"/>
        <v>0</v>
      </c>
      <c r="AG183" s="246"/>
      <c r="AH183" s="228">
        <f t="shared" si="494"/>
        <v>1</v>
      </c>
      <c r="AI183" s="228">
        <f t="shared" si="495"/>
        <v>1</v>
      </c>
      <c r="AJ183" s="228">
        <f t="shared" si="496"/>
        <v>0</v>
      </c>
      <c r="AK183" s="228">
        <v>0</v>
      </c>
      <c r="AL183" s="228">
        <v>0</v>
      </c>
      <c r="AM183" s="228">
        <f t="shared" si="472"/>
        <v>-100</v>
      </c>
      <c r="AN183" s="228" cm="1">
        <f t="array" ref="AN183">IF(ISBLANK(G183), 1, IFERROR(MATCH(G183, INDEX(Kat,,1), 0), IFERROR(MATCH(Kat, INDEX(Use,,2), 0), MATCH(Kat, INDEX(Use,,3), 0))))</f>
        <v>1</v>
      </c>
      <c r="AO183" s="246"/>
      <c r="AP183" s="228" cm="1">
        <f t="array" ref="AP183">IF(W183&gt;0, INDEX(Kat, AN183,4), 0)</f>
        <v>0</v>
      </c>
      <c r="AQ183" s="228">
        <f t="shared" si="497"/>
        <v>0</v>
      </c>
      <c r="AR183" s="228" cm="1">
        <f t="array" ref="AR183">IF(X183&gt;0, INDEX(Kat, $AN183, 4+AQ183), 0)</f>
        <v>0</v>
      </c>
      <c r="AS183" s="228" cm="1">
        <f t="array" ref="AS183">IF(X183&gt;0, INDEX(Kat, $AN183, 9+AQ183), 0)</f>
        <v>0</v>
      </c>
      <c r="AT183" s="246"/>
      <c r="AU183" s="262"/>
      <c r="AV183" s="262"/>
      <c r="AW183" s="263"/>
      <c r="AX183" s="263"/>
      <c r="AY183" s="263"/>
      <c r="AZ183" s="263"/>
      <c r="BA183" s="263"/>
      <c r="BB183" s="263"/>
      <c r="BC183" s="263"/>
      <c r="BD183" s="263"/>
      <c r="BE183" s="263"/>
      <c r="BF183" s="263"/>
      <c r="BG183" s="263"/>
      <c r="BH183" s="246"/>
      <c r="BI183" s="228" cm="1">
        <f t="array" ref="BI183">INDEX(Use, $AH183, 4)</f>
        <v>7</v>
      </c>
      <c r="BJ183" s="228">
        <f t="shared" si="473"/>
        <v>32</v>
      </c>
      <c r="BK183" s="228">
        <f t="shared" si="305"/>
        <v>13</v>
      </c>
      <c r="BL183" s="228">
        <f t="shared" si="306"/>
        <v>0</v>
      </c>
      <c r="BM183" s="233" cm="1">
        <f t="array" ref="BM183">L183/IF($M183&gt;0, INDEX($AY$22:$BE$76, $M183+20, $AH183), 1)</f>
        <v>0</v>
      </c>
      <c r="BN183" s="229">
        <f t="shared" si="474"/>
        <v>0</v>
      </c>
      <c r="BO183" s="228">
        <v>35</v>
      </c>
      <c r="BP183" s="229">
        <f t="shared" si="475"/>
        <v>48</v>
      </c>
      <c r="BQ183" s="234">
        <f t="shared" si="476"/>
        <v>3.0748170731707316</v>
      </c>
      <c r="BR183" s="234" cm="1">
        <f t="array" ref="BR183">$BM183 * SUMPRODUCT(INDEX($AV$76:$AX$81,,$AI183),INDEX($AY$76:$BE$81,,$AH183), N($AU$76:$AU$81&gt;$AM183)) / BQ183 / 1000</f>
        <v>0</v>
      </c>
      <c r="BS183" s="231">
        <f t="shared" si="310"/>
        <v>30</v>
      </c>
      <c r="BT183" s="229">
        <f t="shared" si="477"/>
        <v>43</v>
      </c>
      <c r="BU183" s="234">
        <f t="shared" si="478"/>
        <v>3.5018750000000001</v>
      </c>
      <c r="BV183" s="234" cm="1">
        <f t="array" ref="BV183">$BM183 * IF($AH183&lt;=2,
SUMPRODUCT(INDEX($AV$71:$AX$75,,$AI183), INDEX($AY$71:$BE$75,,$AH183), 1 / ($BF$71:$BF$75*BU183 + (1-$BF$71:$BF$75)*BQ183), N($AU$71:$AU$75&gt;$AM183)),
SUMPRODUCT(INDEX($AV$66:$AX$75,,$AI183), INDEX($AY$66:$BE$75,,$AH183), 1 / ($BG$66:$BG$75*BU183 + (1-$BG$66:$BG$75)*BQ183), N($AU$66:$AU$75&gt;$AM183))
) / 1000</f>
        <v>0</v>
      </c>
      <c r="BW183" s="231">
        <f t="shared" si="313"/>
        <v>25</v>
      </c>
      <c r="BX183" s="229">
        <f t="shared" si="479"/>
        <v>38</v>
      </c>
      <c r="BY183" s="234">
        <f t="shared" si="480"/>
        <v>4.0666935483870965</v>
      </c>
      <c r="BZ183" s="234" cm="1">
        <f t="array" ref="BZ183">$BM183 * IF($AH183&lt;=2,
SUMPRODUCT(INDEX($AV$66:$AX$70,,$AI183), INDEX($AY$66:$BE$70,,$AH183), 1 / ($BF$66:$BF$70*BY183 + (1-$BF$66:$BF$70)*BU183), N($AU$66:$AU$70&gt;$AM183)),
SUMPRODUCT(INDEX($AV$56:$AX$65,,$AI183), INDEX($AY$56:$BE$65,,$AH183), 1 / ($BG$56:$BG$65*BY183 + (1-$BG$56:$BG$65)*BU183), N($AU$56:$AU$65&gt;$AM183))
) / 1000</f>
        <v>0</v>
      </c>
      <c r="CA183" s="231">
        <f t="shared" si="316"/>
        <v>20</v>
      </c>
      <c r="CB183" s="229">
        <f t="shared" si="481"/>
        <v>33</v>
      </c>
      <c r="CC183" s="234">
        <f t="shared" si="482"/>
        <v>4.8487499999999999</v>
      </c>
      <c r="CD183" s="234" cm="1">
        <f t="array" ref="CD183">$BM183 * IF($AH183&lt;=2,
SUMPRODUCT(INDEX($AV$61:$AX$65,,$AI183), INDEX($AY$61:$BE$65,,$AH183), 1 / ($BF$61:$BF$65*CC183 + (1-$BF$61:$BF$65)*BY183), N($AU$61:$AU$65&gt;$AM183)),
SUMPRODUCT(INDEX($AV$46:$AX$55,,$AI183), INDEX($AY$46:$BE$55,,$AH183), 1 / ($BG$46:$BG$55*CC183 + (1-$BG$46:$BG$55)*BY183), N($AU$46:$AU$55&gt;$AM183))
) / 1000</f>
        <v>0</v>
      </c>
      <c r="CE183" s="234" cm="1">
        <f t="array" ref="CE183">$BM183 * IF($AH183&lt;=2,
SUMPRODUCT(INDEX($AV$22:$AX$60,,$AI183), INDEX($AY$22:$BE$60,,$AH183), 1 / ($BF$22:$BF$60*CC183), N($AU$22:$AU$60&gt;$AM183)),
SUMPRODUCT(INDEX($AV$22:$AX$45,,$AI183), INDEX($AY$22:$BE$45,,$AH183), 1 / ($BG$22:$BG$45*CC183), N($AU$22:$AU$45&gt;$AM183))
) / 1000</f>
        <v>0</v>
      </c>
      <c r="CF183" s="229">
        <f t="shared" si="483"/>
        <v>0</v>
      </c>
      <c r="CG183" s="246"/>
      <c r="CH183" s="229">
        <f t="shared" si="484"/>
        <v>0</v>
      </c>
      <c r="CI183" s="228">
        <v>35</v>
      </c>
      <c r="CJ183" s="229">
        <f t="shared" si="485"/>
        <v>48</v>
      </c>
      <c r="CK183" s="234">
        <f t="shared" si="486"/>
        <v>3.0748170731707316</v>
      </c>
      <c r="CL183" s="234" cm="1">
        <f t="array" ref="CL183">$BM183 * SUMPRODUCT(INDEX($AV$76:$AX$81,,$AI183),INDEX($AY$76:$BE$81,,$AH183), N($AU$76:$AU$81&gt;$AM183)) / CK183 / 1000</f>
        <v>0</v>
      </c>
      <c r="CM183" s="231">
        <f t="shared" si="323"/>
        <v>30</v>
      </c>
      <c r="CN183" s="229">
        <f t="shared" si="487"/>
        <v>43</v>
      </c>
      <c r="CO183" s="234">
        <f t="shared" si="488"/>
        <v>3.5018750000000001</v>
      </c>
      <c r="CP183" s="234" cm="1">
        <f t="array" ref="CP183">$BM183 * IF($AH183&lt;=2,
SUMPRODUCT(INDEX($AV$71:$AX$75,,$AI183), INDEX($AY$71:$BE$75,,$AH183), 1 / ($BF$71:$BF$75*CO183 + (1-$BF$71:$BF$75)*CK183), N($AU$71:$AU$75&gt;$AM183)),
SUMPRODUCT(INDEX($AV$66:$AX$75,,$AI183), INDEX($AY$66:$BE$75,,$AH183), 1 / ($BG$66:$BG$75*CO183 + (1-$BG$66:$BG$75)*CK183), N($AU$66:$AU$75&gt;$AM183))
) / 1000</f>
        <v>0</v>
      </c>
      <c r="CQ183" s="231">
        <f t="shared" si="326"/>
        <v>25</v>
      </c>
      <c r="CR183" s="229">
        <f t="shared" si="489"/>
        <v>38</v>
      </c>
      <c r="CS183" s="234">
        <f t="shared" si="490"/>
        <v>4.0666935483870965</v>
      </c>
      <c r="CT183" s="234" cm="1">
        <f t="array" ref="CT183">$BM183 * IF($AH183&lt;=2,
SUMPRODUCT(INDEX($AV$66:$AX$70,,$AI183), INDEX($AY$66:$BE$70,,$AH183), 1 / ($BF$66:$BF$70*CS183 + (1-$BF$66:$BF$70)*CO183), N($AU$66:$AU$70&gt;$AM183)),
SUMPRODUCT(INDEX($AV$56:$AX$65,,$AI183), INDEX($AY$56:$BE$65,,$AH183), 1 / ($BG$56:$BG$65*CS183 + (1-$BG$56:$BG$65)*CO183), N($AU$56:$AU$65&gt;$AM183))
) / 1000</f>
        <v>0</v>
      </c>
      <c r="CU183" s="231">
        <f t="shared" si="329"/>
        <v>20</v>
      </c>
      <c r="CV183" s="229">
        <f t="shared" si="491"/>
        <v>33</v>
      </c>
      <c r="CW183" s="234">
        <f t="shared" si="492"/>
        <v>4.8487499999999999</v>
      </c>
      <c r="CX183" s="234" cm="1">
        <f t="array" ref="CX183">$BM183 * IF($AH183&lt;=2,
SUMPRODUCT(INDEX($AV$61:$AX$65,,$AI183), INDEX($AY$61:$BE$65,,$AH183), 1 / ($BF$61:$BF$65*CW183 + (1-$BF$61:$BF$65)*CS183), N($AU$61:$AU$65&gt;$AM183)),
SUMPRODUCT(INDEX($AV$46:$AX$55,,$AI183), INDEX($AY$46:$BE$55,,$AH183), 1 / ($BG$46:$BG$55*CW183 + (1-$BG$46:$BG$55)*CS183), N($AU$46:$AU$55&gt;$AM183))
) / 1000</f>
        <v>0</v>
      </c>
      <c r="CY183" s="234" cm="1">
        <f t="array" ref="CY183">$BM183 * IF($AH183&lt;=2,
SUMPRODUCT(INDEX($AV$22:$AX$60,,$AI183), INDEX($AY$22:$BE$60,,$AH183), 1 / ($BF$22:$BF$60*CW183), N($AU$22:$AU$60&gt;$AM183)),
SUMPRODUCT(INDEX($AV$22:$AX$45,,$AI183), INDEX($AY$22:$BE$45,,$AH183), 1 / ($BG$22:$BG$45*CW183), N($AU$22:$AU$45&gt;$AM183))
) / 1000</f>
        <v>0</v>
      </c>
      <c r="CZ183" s="229">
        <f t="shared" si="493"/>
        <v>0</v>
      </c>
      <c r="DA183" s="246"/>
    </row>
    <row r="184" spans="1:105" s="75" customFormat="1" ht="14.25" customHeight="1" x14ac:dyDescent="0.2">
      <c r="A184" s="230" t="b">
        <f t="shared" si="291"/>
        <v>0</v>
      </c>
      <c r="B184" s="253">
        <v>163</v>
      </c>
      <c r="C184" s="266"/>
      <c r="D184" s="266"/>
      <c r="E184" s="254"/>
      <c r="F184" s="255" t="str">
        <f>IF(ISBLANK(E184), "", VLOOKUP(E184, Z!$A$2:$C$4127, 3, FALSE))</f>
        <v/>
      </c>
      <c r="G184" s="256"/>
      <c r="H184" s="256"/>
      <c r="I184" s="256"/>
      <c r="J184" s="257"/>
      <c r="K184" s="258"/>
      <c r="L184" s="267"/>
      <c r="M184" s="268"/>
      <c r="N184" s="259" t="str" cm="1">
        <f t="array" ref="N184">IF($L184&gt;0, INDEX(Clean,1+AK184,$D$1), "")</f>
        <v/>
      </c>
      <c r="O184" s="260"/>
      <c r="P184" s="260"/>
      <c r="Q184" s="261"/>
      <c r="R184" s="264">
        <f t="shared" si="469"/>
        <v>0</v>
      </c>
      <c r="S184" s="259" t="str" cm="1">
        <f t="array" ref="S184">IF($L184&gt;0, INDEX(Clean,1+AL184,$D$1), "")</f>
        <v/>
      </c>
      <c r="T184" s="260"/>
      <c r="U184" s="260"/>
      <c r="V184" s="261"/>
      <c r="W184" s="267"/>
      <c r="X184" s="267"/>
      <c r="Y184" s="257"/>
      <c r="Z184" s="264">
        <f t="shared" si="470"/>
        <v>0</v>
      </c>
      <c r="AA184" s="269"/>
      <c r="AB184" s="266"/>
      <c r="AC184" s="254"/>
      <c r="AD184" s="255" t="str">
        <f>IF(ISBLANK(AC184), "", VLOOKUP(AC184, Z!$A$2:$C$4127, 3, FALSE))</f>
        <v/>
      </c>
      <c r="AE184" s="270"/>
      <c r="AF184" s="265">
        <f t="shared" si="471"/>
        <v>0</v>
      </c>
      <c r="AG184" s="246"/>
      <c r="AH184" s="228">
        <f t="shared" si="494"/>
        <v>1</v>
      </c>
      <c r="AI184" s="228">
        <f t="shared" si="495"/>
        <v>1</v>
      </c>
      <c r="AJ184" s="228">
        <f t="shared" si="496"/>
        <v>0</v>
      </c>
      <c r="AK184" s="228">
        <v>0</v>
      </c>
      <c r="AL184" s="228">
        <v>0</v>
      </c>
      <c r="AM184" s="228">
        <f t="shared" si="472"/>
        <v>-100</v>
      </c>
      <c r="AN184" s="228" cm="1">
        <f t="array" ref="AN184">IF(ISBLANK(G184), 1, IFERROR(MATCH(G184, INDEX(Kat,,1), 0), IFERROR(MATCH(Kat, INDEX(Use,,2), 0), MATCH(Kat, INDEX(Use,,3), 0))))</f>
        <v>1</v>
      </c>
      <c r="AO184" s="246"/>
      <c r="AP184" s="228" cm="1">
        <f t="array" ref="AP184">IF(W184&gt;0, INDEX(Kat, AN184,4), 0)</f>
        <v>0</v>
      </c>
      <c r="AQ184" s="228">
        <f t="shared" si="497"/>
        <v>0</v>
      </c>
      <c r="AR184" s="228" cm="1">
        <f t="array" ref="AR184">IF(X184&gt;0, INDEX(Kat, $AN184, 4+AQ184), 0)</f>
        <v>0</v>
      </c>
      <c r="AS184" s="228" cm="1">
        <f t="array" ref="AS184">IF(X184&gt;0, INDEX(Kat, $AN184, 9+AQ184), 0)</f>
        <v>0</v>
      </c>
      <c r="AT184" s="246"/>
      <c r="AU184" s="262"/>
      <c r="AV184" s="262"/>
      <c r="AW184" s="263"/>
      <c r="AX184" s="263"/>
      <c r="AY184" s="263"/>
      <c r="AZ184" s="263"/>
      <c r="BA184" s="263"/>
      <c r="BB184" s="263"/>
      <c r="BC184" s="263"/>
      <c r="BD184" s="263"/>
      <c r="BE184" s="263"/>
      <c r="BF184" s="263"/>
      <c r="BG184" s="263"/>
      <c r="BH184" s="246"/>
      <c r="BI184" s="228" cm="1">
        <f t="array" ref="BI184">INDEX(Use, $AH184, 4)</f>
        <v>7</v>
      </c>
      <c r="BJ184" s="228">
        <f t="shared" si="473"/>
        <v>32</v>
      </c>
      <c r="BK184" s="228">
        <f t="shared" si="305"/>
        <v>13</v>
      </c>
      <c r="BL184" s="228">
        <f t="shared" si="306"/>
        <v>0</v>
      </c>
      <c r="BM184" s="233" cm="1">
        <f t="array" ref="BM184">L184/IF($M184&gt;0, INDEX($AY$22:$BE$76, $M184+20, $AH184), 1)</f>
        <v>0</v>
      </c>
      <c r="BN184" s="229">
        <f t="shared" si="474"/>
        <v>0</v>
      </c>
      <c r="BO184" s="228">
        <v>35</v>
      </c>
      <c r="BP184" s="229">
        <f t="shared" si="475"/>
        <v>48</v>
      </c>
      <c r="BQ184" s="234">
        <f t="shared" si="476"/>
        <v>3.0748170731707316</v>
      </c>
      <c r="BR184" s="234" cm="1">
        <f t="array" ref="BR184">$BM184 * SUMPRODUCT(INDEX($AV$76:$AX$81,,$AI184),INDEX($AY$76:$BE$81,,$AH184), N($AU$76:$AU$81&gt;$AM184)) / BQ184 / 1000</f>
        <v>0</v>
      </c>
      <c r="BS184" s="231">
        <f t="shared" si="310"/>
        <v>30</v>
      </c>
      <c r="BT184" s="229">
        <f t="shared" si="477"/>
        <v>43</v>
      </c>
      <c r="BU184" s="234">
        <f t="shared" si="478"/>
        <v>3.5018750000000001</v>
      </c>
      <c r="BV184" s="234" cm="1">
        <f t="array" ref="BV184">$BM184 * IF($AH184&lt;=2,
SUMPRODUCT(INDEX($AV$71:$AX$75,,$AI184), INDEX($AY$71:$BE$75,,$AH184), 1 / ($BF$71:$BF$75*BU184 + (1-$BF$71:$BF$75)*BQ184), N($AU$71:$AU$75&gt;$AM184)),
SUMPRODUCT(INDEX($AV$66:$AX$75,,$AI184), INDEX($AY$66:$BE$75,,$AH184), 1 / ($BG$66:$BG$75*BU184 + (1-$BG$66:$BG$75)*BQ184), N($AU$66:$AU$75&gt;$AM184))
) / 1000</f>
        <v>0</v>
      </c>
      <c r="BW184" s="231">
        <f t="shared" si="313"/>
        <v>25</v>
      </c>
      <c r="BX184" s="229">
        <f t="shared" si="479"/>
        <v>38</v>
      </c>
      <c r="BY184" s="234">
        <f t="shared" si="480"/>
        <v>4.0666935483870965</v>
      </c>
      <c r="BZ184" s="234" cm="1">
        <f t="array" ref="BZ184">$BM184 * IF($AH184&lt;=2,
SUMPRODUCT(INDEX($AV$66:$AX$70,,$AI184), INDEX($AY$66:$BE$70,,$AH184), 1 / ($BF$66:$BF$70*BY184 + (1-$BF$66:$BF$70)*BU184), N($AU$66:$AU$70&gt;$AM184)),
SUMPRODUCT(INDEX($AV$56:$AX$65,,$AI184), INDEX($AY$56:$BE$65,,$AH184), 1 / ($BG$56:$BG$65*BY184 + (1-$BG$56:$BG$65)*BU184), N($AU$56:$AU$65&gt;$AM184))
) / 1000</f>
        <v>0</v>
      </c>
      <c r="CA184" s="231">
        <f t="shared" si="316"/>
        <v>20</v>
      </c>
      <c r="CB184" s="229">
        <f t="shared" si="481"/>
        <v>33</v>
      </c>
      <c r="CC184" s="234">
        <f t="shared" si="482"/>
        <v>4.8487499999999999</v>
      </c>
      <c r="CD184" s="234" cm="1">
        <f t="array" ref="CD184">$BM184 * IF($AH184&lt;=2,
SUMPRODUCT(INDEX($AV$61:$AX$65,,$AI184), INDEX($AY$61:$BE$65,,$AH184), 1 / ($BF$61:$BF$65*CC184 + (1-$BF$61:$BF$65)*BY184), N($AU$61:$AU$65&gt;$AM184)),
SUMPRODUCT(INDEX($AV$46:$AX$55,,$AI184), INDEX($AY$46:$BE$55,,$AH184), 1 / ($BG$46:$BG$55*CC184 + (1-$BG$46:$BG$55)*BY184), N($AU$46:$AU$55&gt;$AM184))
) / 1000</f>
        <v>0</v>
      </c>
      <c r="CE184" s="234" cm="1">
        <f t="array" ref="CE184">$BM184 * IF($AH184&lt;=2,
SUMPRODUCT(INDEX($AV$22:$AX$60,,$AI184), INDEX($AY$22:$BE$60,,$AH184), 1 / ($BF$22:$BF$60*CC184), N($AU$22:$AU$60&gt;$AM184)),
SUMPRODUCT(INDEX($AV$22:$AX$45,,$AI184), INDEX($AY$22:$BE$45,,$AH184), 1 / ($BG$22:$BG$45*CC184), N($AU$22:$AU$45&gt;$AM184))
) / 1000</f>
        <v>0</v>
      </c>
      <c r="CF184" s="229">
        <f t="shared" si="483"/>
        <v>0</v>
      </c>
      <c r="CG184" s="246"/>
      <c r="CH184" s="229">
        <f t="shared" si="484"/>
        <v>0</v>
      </c>
      <c r="CI184" s="228">
        <v>35</v>
      </c>
      <c r="CJ184" s="229">
        <f t="shared" si="485"/>
        <v>48</v>
      </c>
      <c r="CK184" s="234">
        <f t="shared" si="486"/>
        <v>3.0748170731707316</v>
      </c>
      <c r="CL184" s="234" cm="1">
        <f t="array" ref="CL184">$BM184 * SUMPRODUCT(INDEX($AV$76:$AX$81,,$AI184),INDEX($AY$76:$BE$81,,$AH184), N($AU$76:$AU$81&gt;$AM184)) / CK184 / 1000</f>
        <v>0</v>
      </c>
      <c r="CM184" s="231">
        <f t="shared" si="323"/>
        <v>30</v>
      </c>
      <c r="CN184" s="229">
        <f t="shared" si="487"/>
        <v>43</v>
      </c>
      <c r="CO184" s="234">
        <f t="shared" si="488"/>
        <v>3.5018750000000001</v>
      </c>
      <c r="CP184" s="234" cm="1">
        <f t="array" ref="CP184">$BM184 * IF($AH184&lt;=2,
SUMPRODUCT(INDEX($AV$71:$AX$75,,$AI184), INDEX($AY$71:$BE$75,,$AH184), 1 / ($BF$71:$BF$75*CO184 + (1-$BF$71:$BF$75)*CK184), N($AU$71:$AU$75&gt;$AM184)),
SUMPRODUCT(INDEX($AV$66:$AX$75,,$AI184), INDEX($AY$66:$BE$75,,$AH184), 1 / ($BG$66:$BG$75*CO184 + (1-$BG$66:$BG$75)*CK184), N($AU$66:$AU$75&gt;$AM184))
) / 1000</f>
        <v>0</v>
      </c>
      <c r="CQ184" s="231">
        <f t="shared" si="326"/>
        <v>25</v>
      </c>
      <c r="CR184" s="229">
        <f t="shared" si="489"/>
        <v>38</v>
      </c>
      <c r="CS184" s="234">
        <f t="shared" si="490"/>
        <v>4.0666935483870965</v>
      </c>
      <c r="CT184" s="234" cm="1">
        <f t="array" ref="CT184">$BM184 * IF($AH184&lt;=2,
SUMPRODUCT(INDEX($AV$66:$AX$70,,$AI184), INDEX($AY$66:$BE$70,,$AH184), 1 / ($BF$66:$BF$70*CS184 + (1-$BF$66:$BF$70)*CO184), N($AU$66:$AU$70&gt;$AM184)),
SUMPRODUCT(INDEX($AV$56:$AX$65,,$AI184), INDEX($AY$56:$BE$65,,$AH184), 1 / ($BG$56:$BG$65*CS184 + (1-$BG$56:$BG$65)*CO184), N($AU$56:$AU$65&gt;$AM184))
) / 1000</f>
        <v>0</v>
      </c>
      <c r="CU184" s="231">
        <f t="shared" si="329"/>
        <v>20</v>
      </c>
      <c r="CV184" s="229">
        <f t="shared" si="491"/>
        <v>33</v>
      </c>
      <c r="CW184" s="234">
        <f t="shared" si="492"/>
        <v>4.8487499999999999</v>
      </c>
      <c r="CX184" s="234" cm="1">
        <f t="array" ref="CX184">$BM184 * IF($AH184&lt;=2,
SUMPRODUCT(INDEX($AV$61:$AX$65,,$AI184), INDEX($AY$61:$BE$65,,$AH184), 1 / ($BF$61:$BF$65*CW184 + (1-$BF$61:$BF$65)*CS184), N($AU$61:$AU$65&gt;$AM184)),
SUMPRODUCT(INDEX($AV$46:$AX$55,,$AI184), INDEX($AY$46:$BE$55,,$AH184), 1 / ($BG$46:$BG$55*CW184 + (1-$BG$46:$BG$55)*CS184), N($AU$46:$AU$55&gt;$AM184))
) / 1000</f>
        <v>0</v>
      </c>
      <c r="CY184" s="234" cm="1">
        <f t="array" ref="CY184">$BM184 * IF($AH184&lt;=2,
SUMPRODUCT(INDEX($AV$22:$AX$60,,$AI184), INDEX($AY$22:$BE$60,,$AH184), 1 / ($BF$22:$BF$60*CW184), N($AU$22:$AU$60&gt;$AM184)),
SUMPRODUCT(INDEX($AV$22:$AX$45,,$AI184), INDEX($AY$22:$BE$45,,$AH184), 1 / ($BG$22:$BG$45*CW184), N($AU$22:$AU$45&gt;$AM184))
) / 1000</f>
        <v>0</v>
      </c>
      <c r="CZ184" s="229">
        <f t="shared" si="493"/>
        <v>0</v>
      </c>
      <c r="DA184" s="246"/>
    </row>
    <row r="185" spans="1:105" s="75" customFormat="1" ht="14.25" customHeight="1" x14ac:dyDescent="0.2">
      <c r="A185" s="230" t="b">
        <f t="shared" si="291"/>
        <v>0</v>
      </c>
      <c r="B185" s="253">
        <v>164</v>
      </c>
      <c r="C185" s="266"/>
      <c r="D185" s="266"/>
      <c r="E185" s="254"/>
      <c r="F185" s="255" t="str">
        <f>IF(ISBLANK(E185), "", VLOOKUP(E185, Z!$A$2:$C$4127, 3, FALSE))</f>
        <v/>
      </c>
      <c r="G185" s="256"/>
      <c r="H185" s="256"/>
      <c r="I185" s="256"/>
      <c r="J185" s="257"/>
      <c r="K185" s="258"/>
      <c r="L185" s="267"/>
      <c r="M185" s="268"/>
      <c r="N185" s="259" t="str" cm="1">
        <f t="array" ref="N185">IF($L185&gt;0, INDEX(Clean,1+AK185,$D$1), "")</f>
        <v/>
      </c>
      <c r="O185" s="260"/>
      <c r="P185" s="260"/>
      <c r="Q185" s="261"/>
      <c r="R185" s="264">
        <f t="shared" si="469"/>
        <v>0</v>
      </c>
      <c r="S185" s="259" t="str" cm="1">
        <f t="array" ref="S185">IF($L185&gt;0, INDEX(Clean,1+AL185,$D$1), "")</f>
        <v/>
      </c>
      <c r="T185" s="260"/>
      <c r="U185" s="260"/>
      <c r="V185" s="261"/>
      <c r="W185" s="267"/>
      <c r="X185" s="267"/>
      <c r="Y185" s="257"/>
      <c r="Z185" s="264">
        <f t="shared" si="470"/>
        <v>0</v>
      </c>
      <c r="AA185" s="269"/>
      <c r="AB185" s="266"/>
      <c r="AC185" s="254"/>
      <c r="AD185" s="255" t="str">
        <f>IF(ISBLANK(AC185), "", VLOOKUP(AC185, Z!$A$2:$C$4127, 3, FALSE))</f>
        <v/>
      </c>
      <c r="AE185" s="270"/>
      <c r="AF185" s="265">
        <f t="shared" si="471"/>
        <v>0</v>
      </c>
      <c r="AG185" s="246"/>
      <c r="AH185" s="228">
        <f t="shared" si="494"/>
        <v>1</v>
      </c>
      <c r="AI185" s="228">
        <f t="shared" si="495"/>
        <v>1</v>
      </c>
      <c r="AJ185" s="228">
        <f t="shared" si="496"/>
        <v>0</v>
      </c>
      <c r="AK185" s="228">
        <v>0</v>
      </c>
      <c r="AL185" s="228">
        <v>0</v>
      </c>
      <c r="AM185" s="228">
        <f t="shared" si="472"/>
        <v>-100</v>
      </c>
      <c r="AN185" s="228" cm="1">
        <f t="array" ref="AN185">IF(ISBLANK(G185), 1, IFERROR(MATCH(G185, INDEX(Kat,,1), 0), IFERROR(MATCH(Kat, INDEX(Use,,2), 0), MATCH(Kat, INDEX(Use,,3), 0))))</f>
        <v>1</v>
      </c>
      <c r="AO185" s="246"/>
      <c r="AP185" s="228" cm="1">
        <f t="array" ref="AP185">IF(W185&gt;0, INDEX(Kat, AN185,4), 0)</f>
        <v>0</v>
      </c>
      <c r="AQ185" s="228">
        <f t="shared" si="497"/>
        <v>0</v>
      </c>
      <c r="AR185" s="228" cm="1">
        <f t="array" ref="AR185">IF(X185&gt;0, INDEX(Kat, $AN185, 4+AQ185), 0)</f>
        <v>0</v>
      </c>
      <c r="AS185" s="228" cm="1">
        <f t="array" ref="AS185">IF(X185&gt;0, INDEX(Kat, $AN185, 9+AQ185), 0)</f>
        <v>0</v>
      </c>
      <c r="AT185" s="246"/>
      <c r="AU185" s="262"/>
      <c r="AV185" s="262"/>
      <c r="AW185" s="263"/>
      <c r="AX185" s="263"/>
      <c r="AY185" s="263"/>
      <c r="AZ185" s="263"/>
      <c r="BA185" s="263"/>
      <c r="BB185" s="263"/>
      <c r="BC185" s="263"/>
      <c r="BD185" s="263"/>
      <c r="BE185" s="263"/>
      <c r="BF185" s="263"/>
      <c r="BG185" s="263"/>
      <c r="BH185" s="246"/>
      <c r="BI185" s="228" cm="1">
        <f t="array" ref="BI185">INDEX(Use, $AH185, 4)</f>
        <v>7</v>
      </c>
      <c r="BJ185" s="228">
        <f t="shared" si="473"/>
        <v>32</v>
      </c>
      <c r="BK185" s="228">
        <f t="shared" si="305"/>
        <v>13</v>
      </c>
      <c r="BL185" s="228">
        <f t="shared" si="306"/>
        <v>0</v>
      </c>
      <c r="BM185" s="233" cm="1">
        <f t="array" ref="BM185">L185/IF($M185&gt;0, INDEX($AY$22:$BE$76, $M185+20, $AH185), 1)</f>
        <v>0</v>
      </c>
      <c r="BN185" s="229">
        <f t="shared" si="474"/>
        <v>0</v>
      </c>
      <c r="BO185" s="228">
        <v>35</v>
      </c>
      <c r="BP185" s="229">
        <f t="shared" si="475"/>
        <v>48</v>
      </c>
      <c r="BQ185" s="234">
        <f t="shared" si="476"/>
        <v>3.0748170731707316</v>
      </c>
      <c r="BR185" s="234" cm="1">
        <f t="array" ref="BR185">$BM185 * SUMPRODUCT(INDEX($AV$76:$AX$81,,$AI185),INDEX($AY$76:$BE$81,,$AH185), N($AU$76:$AU$81&gt;$AM185)) / BQ185 / 1000</f>
        <v>0</v>
      </c>
      <c r="BS185" s="231">
        <f t="shared" si="310"/>
        <v>30</v>
      </c>
      <c r="BT185" s="229">
        <f t="shared" si="477"/>
        <v>43</v>
      </c>
      <c r="BU185" s="234">
        <f t="shared" si="478"/>
        <v>3.5018750000000001</v>
      </c>
      <c r="BV185" s="234" cm="1">
        <f t="array" ref="BV185">$BM185 * IF($AH185&lt;=2,
SUMPRODUCT(INDEX($AV$71:$AX$75,,$AI185), INDEX($AY$71:$BE$75,,$AH185), 1 / ($BF$71:$BF$75*BU185 + (1-$BF$71:$BF$75)*BQ185), N($AU$71:$AU$75&gt;$AM185)),
SUMPRODUCT(INDEX($AV$66:$AX$75,,$AI185), INDEX($AY$66:$BE$75,,$AH185), 1 / ($BG$66:$BG$75*BU185 + (1-$BG$66:$BG$75)*BQ185), N($AU$66:$AU$75&gt;$AM185))
) / 1000</f>
        <v>0</v>
      </c>
      <c r="BW185" s="231">
        <f t="shared" si="313"/>
        <v>25</v>
      </c>
      <c r="BX185" s="229">
        <f t="shared" si="479"/>
        <v>38</v>
      </c>
      <c r="BY185" s="234">
        <f t="shared" si="480"/>
        <v>4.0666935483870965</v>
      </c>
      <c r="BZ185" s="234" cm="1">
        <f t="array" ref="BZ185">$BM185 * IF($AH185&lt;=2,
SUMPRODUCT(INDEX($AV$66:$AX$70,,$AI185), INDEX($AY$66:$BE$70,,$AH185), 1 / ($BF$66:$BF$70*BY185 + (1-$BF$66:$BF$70)*BU185), N($AU$66:$AU$70&gt;$AM185)),
SUMPRODUCT(INDEX($AV$56:$AX$65,,$AI185), INDEX($AY$56:$BE$65,,$AH185), 1 / ($BG$56:$BG$65*BY185 + (1-$BG$56:$BG$65)*BU185), N($AU$56:$AU$65&gt;$AM185))
) / 1000</f>
        <v>0</v>
      </c>
      <c r="CA185" s="231">
        <f t="shared" si="316"/>
        <v>20</v>
      </c>
      <c r="CB185" s="229">
        <f t="shared" si="481"/>
        <v>33</v>
      </c>
      <c r="CC185" s="234">
        <f t="shared" si="482"/>
        <v>4.8487499999999999</v>
      </c>
      <c r="CD185" s="234" cm="1">
        <f t="array" ref="CD185">$BM185 * IF($AH185&lt;=2,
SUMPRODUCT(INDEX($AV$61:$AX$65,,$AI185), INDEX($AY$61:$BE$65,,$AH185), 1 / ($BF$61:$BF$65*CC185 + (1-$BF$61:$BF$65)*BY185), N($AU$61:$AU$65&gt;$AM185)),
SUMPRODUCT(INDEX($AV$46:$AX$55,,$AI185), INDEX($AY$46:$BE$55,,$AH185), 1 / ($BG$46:$BG$55*CC185 + (1-$BG$46:$BG$55)*BY185), N($AU$46:$AU$55&gt;$AM185))
) / 1000</f>
        <v>0</v>
      </c>
      <c r="CE185" s="234" cm="1">
        <f t="array" ref="CE185">$BM185 * IF($AH185&lt;=2,
SUMPRODUCT(INDEX($AV$22:$AX$60,,$AI185), INDEX($AY$22:$BE$60,,$AH185), 1 / ($BF$22:$BF$60*CC185), N($AU$22:$AU$60&gt;$AM185)),
SUMPRODUCT(INDEX($AV$22:$AX$45,,$AI185), INDEX($AY$22:$BE$45,,$AH185), 1 / ($BG$22:$BG$45*CC185), N($AU$22:$AU$45&gt;$AM185))
) / 1000</f>
        <v>0</v>
      </c>
      <c r="CF185" s="229">
        <f t="shared" si="483"/>
        <v>0</v>
      </c>
      <c r="CG185" s="246"/>
      <c r="CH185" s="229">
        <f t="shared" si="484"/>
        <v>0</v>
      </c>
      <c r="CI185" s="228">
        <v>35</v>
      </c>
      <c r="CJ185" s="229">
        <f t="shared" si="485"/>
        <v>48</v>
      </c>
      <c r="CK185" s="234">
        <f t="shared" si="486"/>
        <v>3.0748170731707316</v>
      </c>
      <c r="CL185" s="234" cm="1">
        <f t="array" ref="CL185">$BM185 * SUMPRODUCT(INDEX($AV$76:$AX$81,,$AI185),INDEX($AY$76:$BE$81,,$AH185), N($AU$76:$AU$81&gt;$AM185)) / CK185 / 1000</f>
        <v>0</v>
      </c>
      <c r="CM185" s="231">
        <f t="shared" si="323"/>
        <v>30</v>
      </c>
      <c r="CN185" s="229">
        <f t="shared" si="487"/>
        <v>43</v>
      </c>
      <c r="CO185" s="234">
        <f t="shared" si="488"/>
        <v>3.5018750000000001</v>
      </c>
      <c r="CP185" s="234" cm="1">
        <f t="array" ref="CP185">$BM185 * IF($AH185&lt;=2,
SUMPRODUCT(INDEX($AV$71:$AX$75,,$AI185), INDEX($AY$71:$BE$75,,$AH185), 1 / ($BF$71:$BF$75*CO185 + (1-$BF$71:$BF$75)*CK185), N($AU$71:$AU$75&gt;$AM185)),
SUMPRODUCT(INDEX($AV$66:$AX$75,,$AI185), INDEX($AY$66:$BE$75,,$AH185), 1 / ($BG$66:$BG$75*CO185 + (1-$BG$66:$BG$75)*CK185), N($AU$66:$AU$75&gt;$AM185))
) / 1000</f>
        <v>0</v>
      </c>
      <c r="CQ185" s="231">
        <f t="shared" si="326"/>
        <v>25</v>
      </c>
      <c r="CR185" s="229">
        <f t="shared" si="489"/>
        <v>38</v>
      </c>
      <c r="CS185" s="234">
        <f t="shared" si="490"/>
        <v>4.0666935483870965</v>
      </c>
      <c r="CT185" s="234" cm="1">
        <f t="array" ref="CT185">$BM185 * IF($AH185&lt;=2,
SUMPRODUCT(INDEX($AV$66:$AX$70,,$AI185), INDEX($AY$66:$BE$70,,$AH185), 1 / ($BF$66:$BF$70*CS185 + (1-$BF$66:$BF$70)*CO185), N($AU$66:$AU$70&gt;$AM185)),
SUMPRODUCT(INDEX($AV$56:$AX$65,,$AI185), INDEX($AY$56:$BE$65,,$AH185), 1 / ($BG$56:$BG$65*CS185 + (1-$BG$56:$BG$65)*CO185), N($AU$56:$AU$65&gt;$AM185))
) / 1000</f>
        <v>0</v>
      </c>
      <c r="CU185" s="231">
        <f t="shared" si="329"/>
        <v>20</v>
      </c>
      <c r="CV185" s="229">
        <f t="shared" si="491"/>
        <v>33</v>
      </c>
      <c r="CW185" s="234">
        <f t="shared" si="492"/>
        <v>4.8487499999999999</v>
      </c>
      <c r="CX185" s="234" cm="1">
        <f t="array" ref="CX185">$BM185 * IF($AH185&lt;=2,
SUMPRODUCT(INDEX($AV$61:$AX$65,,$AI185), INDEX($AY$61:$BE$65,,$AH185), 1 / ($BF$61:$BF$65*CW185 + (1-$BF$61:$BF$65)*CS185), N($AU$61:$AU$65&gt;$AM185)),
SUMPRODUCT(INDEX($AV$46:$AX$55,,$AI185), INDEX($AY$46:$BE$55,,$AH185), 1 / ($BG$46:$BG$55*CW185 + (1-$BG$46:$BG$55)*CS185), N($AU$46:$AU$55&gt;$AM185))
) / 1000</f>
        <v>0</v>
      </c>
      <c r="CY185" s="234" cm="1">
        <f t="array" ref="CY185">$BM185 * IF($AH185&lt;=2,
SUMPRODUCT(INDEX($AV$22:$AX$60,,$AI185), INDEX($AY$22:$BE$60,,$AH185), 1 / ($BF$22:$BF$60*CW185), N($AU$22:$AU$60&gt;$AM185)),
SUMPRODUCT(INDEX($AV$22:$AX$45,,$AI185), INDEX($AY$22:$BE$45,,$AH185), 1 / ($BG$22:$BG$45*CW185), N($AU$22:$AU$45&gt;$AM185))
) / 1000</f>
        <v>0</v>
      </c>
      <c r="CZ185" s="229">
        <f t="shared" si="493"/>
        <v>0</v>
      </c>
      <c r="DA185" s="246"/>
    </row>
    <row r="186" spans="1:105" s="75" customFormat="1" ht="14.25" customHeight="1" x14ac:dyDescent="0.2">
      <c r="A186" s="230" t="b">
        <f t="shared" si="291"/>
        <v>0</v>
      </c>
      <c r="B186" s="253">
        <v>165</v>
      </c>
      <c r="C186" s="266"/>
      <c r="D186" s="266"/>
      <c r="E186" s="254"/>
      <c r="F186" s="255" t="str">
        <f>IF(ISBLANK(E186), "", VLOOKUP(E186, Z!$A$2:$C$4127, 3, FALSE))</f>
        <v/>
      </c>
      <c r="G186" s="256"/>
      <c r="H186" s="256"/>
      <c r="I186" s="256"/>
      <c r="J186" s="257"/>
      <c r="K186" s="258"/>
      <c r="L186" s="267"/>
      <c r="M186" s="268"/>
      <c r="N186" s="259" t="str" cm="1">
        <f t="array" ref="N186">IF($L186&gt;0, INDEX(Clean,1+AK186,$D$1), "")</f>
        <v/>
      </c>
      <c r="O186" s="260"/>
      <c r="P186" s="260"/>
      <c r="Q186" s="261"/>
      <c r="R186" s="264">
        <f t="shared" ref="R186:R249" si="498">CF186*1000</f>
        <v>0</v>
      </c>
      <c r="S186" s="259" t="str" cm="1">
        <f t="array" ref="S186">IF($L186&gt;0, INDEX(Clean,1+AL186,$D$1), "")</f>
        <v/>
      </c>
      <c r="T186" s="260"/>
      <c r="U186" s="260"/>
      <c r="V186" s="261"/>
      <c r="W186" s="267"/>
      <c r="X186" s="267"/>
      <c r="Y186" s="257"/>
      <c r="Z186" s="264">
        <f t="shared" ref="Z186:Z249" si="499">(CZ186 - IF(W186&gt;0, CZ186*(W186/7)*AP186, 0) - IF(X186&gt;0, CZ186*(X186*AR186*AS186), 0))*1000</f>
        <v>0</v>
      </c>
      <c r="AA186" s="269"/>
      <c r="AB186" s="266"/>
      <c r="AC186" s="254"/>
      <c r="AD186" s="255" t="str">
        <f>IF(ISBLANK(AC186), "", VLOOKUP(AC186, Z!$A$2:$C$4127, 3, FALSE))</f>
        <v/>
      </c>
      <c r="AE186" s="270"/>
      <c r="AF186" s="265">
        <f t="shared" ref="AF186:AF249" si="500">0.75*AO$22*(R186-Z186)</f>
        <v>0</v>
      </c>
      <c r="AG186" s="246"/>
      <c r="AH186" s="228">
        <f t="shared" si="494"/>
        <v>1</v>
      </c>
      <c r="AI186" s="228">
        <f t="shared" si="495"/>
        <v>1</v>
      </c>
      <c r="AJ186" s="228">
        <f t="shared" si="496"/>
        <v>0</v>
      </c>
      <c r="AK186" s="228">
        <v>0</v>
      </c>
      <c r="AL186" s="228">
        <v>0</v>
      </c>
      <c r="AM186" s="228">
        <f t="shared" ref="AM186:AM249" si="501">IF(AND(K186="x", AH186=5), 11, IF(AND(K186="x", AH186=6), 19, -100))</f>
        <v>-100</v>
      </c>
      <c r="AN186" s="228" cm="1">
        <f t="array" ref="AN186">IF(ISBLANK(G186), 1, IFERROR(MATCH(G186, INDEX(Kat,,1), 0), IFERROR(MATCH(Kat, INDEX(Use,,2), 0), MATCH(Kat, INDEX(Use,,3), 0))))</f>
        <v>1</v>
      </c>
      <c r="AO186" s="246"/>
      <c r="AP186" s="228" cm="1">
        <f t="array" ref="AP186">IF(W186&gt;0, INDEX(Kat, AN186,4), 0)</f>
        <v>0</v>
      </c>
      <c r="AQ186" s="228">
        <f t="shared" si="497"/>
        <v>0</v>
      </c>
      <c r="AR186" s="228" cm="1">
        <f t="array" ref="AR186">IF(X186&gt;0, INDEX(Kat, $AN186, 4+AQ186), 0)</f>
        <v>0</v>
      </c>
      <c r="AS186" s="228" cm="1">
        <f t="array" ref="AS186">IF(X186&gt;0, INDEX(Kat, $AN186, 9+AQ186), 0)</f>
        <v>0</v>
      </c>
      <c r="AT186" s="246"/>
      <c r="AU186" s="262"/>
      <c r="AV186" s="262"/>
      <c r="AW186" s="263"/>
      <c r="AX186" s="263"/>
      <c r="AY186" s="263"/>
      <c r="AZ186" s="263"/>
      <c r="BA186" s="263"/>
      <c r="BB186" s="263"/>
      <c r="BC186" s="263"/>
      <c r="BD186" s="263"/>
      <c r="BE186" s="263"/>
      <c r="BF186" s="263"/>
      <c r="BG186" s="263"/>
      <c r="BH186" s="246"/>
      <c r="BI186" s="228" cm="1">
        <f t="array" ref="BI186">INDEX(Use, $AH186, 4)</f>
        <v>7</v>
      </c>
      <c r="BJ186" s="228">
        <f t="shared" ref="BJ186:BJ249" si="502">MAX(25, BI186+25)</f>
        <v>32</v>
      </c>
      <c r="BK186" s="228">
        <f t="shared" si="305"/>
        <v>13</v>
      </c>
      <c r="BL186" s="228">
        <f t="shared" si="306"/>
        <v>0</v>
      </c>
      <c r="BM186" s="233" cm="1">
        <f t="array" ref="BM186">L186/IF($M186&gt;0, INDEX($AY$22:$BE$76, $M186+20, $AH186), 1)</f>
        <v>0</v>
      </c>
      <c r="BN186" s="229">
        <f t="shared" ref="BN186:BN249" si="503">Q186 /  IF(AH186&lt;=2, 0.7 + 0.3 * (P186-20)/(35-20), 0.4 + 0.6 * (P186-5)/(35-5))</f>
        <v>0</v>
      </c>
      <c r="BO186" s="228">
        <v>35</v>
      </c>
      <c r="BP186" s="229">
        <f t="shared" ref="BP186:BP249" si="504">MAX($O186, MAX($BJ186, $BO186 + $BK186 + $BL186 + 0.35*$AK186*$BK186 + BN186))</f>
        <v>48</v>
      </c>
      <c r="BQ186" s="234">
        <f t="shared" ref="BQ186:BQ249" si="505">0.45*($BI186+273.15)/(BP186-$BI186)</f>
        <v>3.0748170731707316</v>
      </c>
      <c r="BR186" s="234" cm="1">
        <f t="array" ref="BR186">$BM186 * SUMPRODUCT(INDEX($AV$76:$AX$81,,$AI186),INDEX($AY$76:$BE$81,,$AH186), N($AU$76:$AU$81&gt;$AM186)) / BQ186 / 1000</f>
        <v>0</v>
      </c>
      <c r="BS186" s="231">
        <f t="shared" si="310"/>
        <v>30</v>
      </c>
      <c r="BT186" s="229">
        <f t="shared" ref="BT186:BT249" si="506">MAX($O186, MAX($BJ186, BS186 + $BK186 + $BL186 + IF($AH186&lt;=2, (BS186-20)/(35-20), 0.6+0.4*(BS186-5)/(35-5))*0.35*$AK186*$BK186) + IF($AH186&lt;=2,0.9,0.8)*$BN186)</f>
        <v>43</v>
      </c>
      <c r="BU186" s="234">
        <f t="shared" ref="BU186:BU249" si="507">0.45*($BI186+273.15)/(BT186-$BI186)</f>
        <v>3.5018750000000001</v>
      </c>
      <c r="BV186" s="234" cm="1">
        <f t="array" ref="BV186">$BM186 * IF($AH186&lt;=2,
SUMPRODUCT(INDEX($AV$71:$AX$75,,$AI186), INDEX($AY$71:$BE$75,,$AH186), 1 / ($BF$71:$BF$75*BU186 + (1-$BF$71:$BF$75)*BQ186), N($AU$71:$AU$75&gt;$AM186)),
SUMPRODUCT(INDEX($AV$66:$AX$75,,$AI186), INDEX($AY$66:$BE$75,,$AH186), 1 / ($BG$66:$BG$75*BU186 + (1-$BG$66:$BG$75)*BQ186), N($AU$66:$AU$75&gt;$AM186))
) / 1000</f>
        <v>0</v>
      </c>
      <c r="BW186" s="231">
        <f t="shared" si="313"/>
        <v>25</v>
      </c>
      <c r="BX186" s="229">
        <f t="shared" ref="BX186:BX249" si="508">MAX($O186, MAX($BJ186, BW186 + $BK186 + $BL186 + IF($AH186&lt;=2, (BW186-20)/(35-20), 0.6+0.4*(BW186-5)/(35-5))*0.35*$AK186*$BK186) + IF($AH186&lt;=2,0.8,0.6)*$BN186)</f>
        <v>38</v>
      </c>
      <c r="BY186" s="234">
        <f t="shared" ref="BY186:BY249" si="509">0.45*($BI186+273.15)/(BX186-$BI186)</f>
        <v>4.0666935483870965</v>
      </c>
      <c r="BZ186" s="234" cm="1">
        <f t="array" ref="BZ186">$BM186 * IF($AH186&lt;=2,
SUMPRODUCT(INDEX($AV$66:$AX$70,,$AI186), INDEX($AY$66:$BE$70,,$AH186), 1 / ($BF$66:$BF$70*BY186 + (1-$BF$66:$BF$70)*BU186), N($AU$66:$AU$70&gt;$AM186)),
SUMPRODUCT(INDEX($AV$56:$AX$65,,$AI186), INDEX($AY$56:$BE$65,,$AH186), 1 / ($BG$56:$BG$65*BY186 + (1-$BG$56:$BG$65)*BU186), N($AU$56:$AU$65&gt;$AM186))
) / 1000</f>
        <v>0</v>
      </c>
      <c r="CA186" s="231">
        <f t="shared" si="316"/>
        <v>20</v>
      </c>
      <c r="CB186" s="229">
        <f t="shared" ref="CB186:CB249" si="510">MAX($O186, MAX($BJ186, CA186 + $BK186 + $BL186 + IF($AH186&lt;=2, (CA186-20)/(35-20), 0.6+0.4*(CA186-5)/(35-5))*0.35*$AK186*$BK186) + IF($AH186&lt;=2,0.7,0.4)*$BN186)</f>
        <v>33</v>
      </c>
      <c r="CC186" s="234">
        <f t="shared" ref="CC186:CC249" si="511">0.45*($BI186+273.15)/(CB186-$BI186)</f>
        <v>4.8487499999999999</v>
      </c>
      <c r="CD186" s="234" cm="1">
        <f t="array" ref="CD186">$BM186 * IF($AH186&lt;=2,
SUMPRODUCT(INDEX($AV$61:$AX$65,,$AI186), INDEX($AY$61:$BE$65,,$AH186), 1 / ($BF$61:$BF$65*CC186 + (1-$BF$61:$BF$65)*BY186), N($AU$61:$AU$65&gt;$AM186)),
SUMPRODUCT(INDEX($AV$46:$AX$55,,$AI186), INDEX($AY$46:$BE$55,,$AH186), 1 / ($BG$46:$BG$55*CC186 + (1-$BG$46:$BG$55)*BY186), N($AU$46:$AU$55&gt;$AM186))
) / 1000</f>
        <v>0</v>
      </c>
      <c r="CE186" s="234" cm="1">
        <f t="array" ref="CE186">$BM186 * IF($AH186&lt;=2,
SUMPRODUCT(INDEX($AV$22:$AX$60,,$AI186), INDEX($AY$22:$BE$60,,$AH186), 1 / ($BF$22:$BF$60*CC186), N($AU$22:$AU$60&gt;$AM186)),
SUMPRODUCT(INDEX($AV$22:$AX$45,,$AI186), INDEX($AY$22:$BE$45,,$AH186), 1 / ($BG$22:$BG$45*CC186), N($AU$22:$AU$45&gt;$AM186))
) / 1000</f>
        <v>0</v>
      </c>
      <c r="CF186" s="229">
        <f t="shared" ref="CF186:CF249" si="512">BR186+BV186+BZ186+CD186+CE186</f>
        <v>0</v>
      </c>
      <c r="CG186" s="246"/>
      <c r="CH186" s="229">
        <f t="shared" ref="CH186:CH249" si="513">V186 /  IF(AH186&lt;=2, 0.7 + 0.3 * (U186-20)/(35-20), 0.4 + 0.6 * (U186-5)/(35-5))</f>
        <v>0</v>
      </c>
      <c r="CI186" s="228">
        <v>35</v>
      </c>
      <c r="CJ186" s="229">
        <f t="shared" ref="CJ186:CJ249" si="514">MAX($T186, MAX($BJ186, $BO186 + $BK186 + $BL186 + 0.35*$AL186*$BK186 + CH186))</f>
        <v>48</v>
      </c>
      <c r="CK186" s="234">
        <f t="shared" ref="CK186:CK249" si="515">0.45*($BI186+273.15)/(CJ186-$BI186)</f>
        <v>3.0748170731707316</v>
      </c>
      <c r="CL186" s="234" cm="1">
        <f t="array" ref="CL186">$BM186 * SUMPRODUCT(INDEX($AV$76:$AX$81,,$AI186),INDEX($AY$76:$BE$81,,$AH186), N($AU$76:$AU$81&gt;$AM186)) / CK186 / 1000</f>
        <v>0</v>
      </c>
      <c r="CM186" s="231">
        <f t="shared" si="323"/>
        <v>30</v>
      </c>
      <c r="CN186" s="229">
        <f t="shared" ref="CN186:CN249" si="516">MAX($T186, MAX($BJ186, CM186 + $BK186 + $BL186 + IF($AH186&lt;=2, (CM186-20)/(35-20), 0.6+0.4*(CM186-5)/(35-5))*0.35*$AL186*$BK186) + IF($AH186&lt;=2,0.9,0.8)*$CH186)</f>
        <v>43</v>
      </c>
      <c r="CO186" s="234">
        <f t="shared" ref="CO186:CO249" si="517">0.45*($BI186+273.15)/(CN186-$BI186)</f>
        <v>3.5018750000000001</v>
      </c>
      <c r="CP186" s="234" cm="1">
        <f t="array" ref="CP186">$BM186 * IF($AH186&lt;=2,
SUMPRODUCT(INDEX($AV$71:$AX$75,,$AI186), INDEX($AY$71:$BE$75,,$AH186), 1 / ($BF$71:$BF$75*CO186 + (1-$BF$71:$BF$75)*CK186), N($AU$71:$AU$75&gt;$AM186)),
SUMPRODUCT(INDEX($AV$66:$AX$75,,$AI186), INDEX($AY$66:$BE$75,,$AH186), 1 / ($BG$66:$BG$75*CO186 + (1-$BG$66:$BG$75)*CK186), N($AU$66:$AU$75&gt;$AM186))
) / 1000</f>
        <v>0</v>
      </c>
      <c r="CQ186" s="231">
        <f t="shared" si="326"/>
        <v>25</v>
      </c>
      <c r="CR186" s="229">
        <f t="shared" ref="CR186:CR249" si="518">MAX($T186, MAX($BJ186, CQ186 + $BK186 + $BL186 + IF($AH186&lt;=2, (CQ186-20)/(35-20), 0.6+0.4*(CQ186-5)/(35-5))*0.35*$AL186*$BK186) + IF($AH186&lt;=2,0.8,0.6)*$CH186)</f>
        <v>38</v>
      </c>
      <c r="CS186" s="234">
        <f t="shared" ref="CS186:CS249" si="519">0.45*($BI186+273.15)/(CR186-$BI186)</f>
        <v>4.0666935483870965</v>
      </c>
      <c r="CT186" s="234" cm="1">
        <f t="array" ref="CT186">$BM186 * IF($AH186&lt;=2,
SUMPRODUCT(INDEX($AV$66:$AX$70,,$AI186), INDEX($AY$66:$BE$70,,$AH186), 1 / ($BF$66:$BF$70*CS186 + (1-$BF$66:$BF$70)*CO186), N($AU$66:$AU$70&gt;$AM186)),
SUMPRODUCT(INDEX($AV$56:$AX$65,,$AI186), INDEX($AY$56:$BE$65,,$AH186), 1 / ($BG$56:$BG$65*CS186 + (1-$BG$56:$BG$65)*CO186), N($AU$56:$AU$65&gt;$AM186))
) / 1000</f>
        <v>0</v>
      </c>
      <c r="CU186" s="231">
        <f t="shared" si="329"/>
        <v>20</v>
      </c>
      <c r="CV186" s="229">
        <f t="shared" ref="CV186:CV249" si="520">MAX($T186, MAX($BJ186, CU186 + $BK186 + $BL186 + IF($AH186&lt;=2, (CU186-20)/(35-20), 0.6+0.4*(CU186-5)/(35-5))*0.35*$AL186*$BK186) + IF($AH186&lt;=2,0.7,0.4)*$CH186)</f>
        <v>33</v>
      </c>
      <c r="CW186" s="234">
        <f t="shared" ref="CW186:CW249" si="521">0.45*($BI186+273.15)/(CV186-$BI186)</f>
        <v>4.8487499999999999</v>
      </c>
      <c r="CX186" s="234" cm="1">
        <f t="array" ref="CX186">$BM186 * IF($AH186&lt;=2,
SUMPRODUCT(INDEX($AV$61:$AX$65,,$AI186), INDEX($AY$61:$BE$65,,$AH186), 1 / ($BF$61:$BF$65*CW186 + (1-$BF$61:$BF$65)*CS186), N($AU$61:$AU$65&gt;$AM186)),
SUMPRODUCT(INDEX($AV$46:$AX$55,,$AI186), INDEX($AY$46:$BE$55,,$AH186), 1 / ($BG$46:$BG$55*CW186 + (1-$BG$46:$BG$55)*CS186), N($AU$46:$AU$55&gt;$AM186))
) / 1000</f>
        <v>0</v>
      </c>
      <c r="CY186" s="234" cm="1">
        <f t="array" ref="CY186">$BM186 * IF($AH186&lt;=2,
SUMPRODUCT(INDEX($AV$22:$AX$60,,$AI186), INDEX($AY$22:$BE$60,,$AH186), 1 / ($BF$22:$BF$60*CW186), N($AU$22:$AU$60&gt;$AM186)),
SUMPRODUCT(INDEX($AV$22:$AX$45,,$AI186), INDEX($AY$22:$BE$45,,$AH186), 1 / ($BG$22:$BG$45*CW186), N($AU$22:$AU$45&gt;$AM186))
) / 1000</f>
        <v>0</v>
      </c>
      <c r="CZ186" s="229">
        <f t="shared" ref="CZ186:CZ249" si="522">CL186+CP186+CT186+CX186+CY186</f>
        <v>0</v>
      </c>
      <c r="DA186" s="246"/>
    </row>
    <row r="187" spans="1:105" s="75" customFormat="1" ht="14.25" customHeight="1" x14ac:dyDescent="0.2">
      <c r="A187" s="230" t="b">
        <f t="shared" si="291"/>
        <v>0</v>
      </c>
      <c r="B187" s="253">
        <v>166</v>
      </c>
      <c r="C187" s="266"/>
      <c r="D187" s="266"/>
      <c r="E187" s="254"/>
      <c r="F187" s="255" t="str">
        <f>IF(ISBLANK(E187), "", VLOOKUP(E187, Z!$A$2:$C$4127, 3, FALSE))</f>
        <v/>
      </c>
      <c r="G187" s="256"/>
      <c r="H187" s="256"/>
      <c r="I187" s="256"/>
      <c r="J187" s="257"/>
      <c r="K187" s="258"/>
      <c r="L187" s="267"/>
      <c r="M187" s="268"/>
      <c r="N187" s="259" t="str" cm="1">
        <f t="array" ref="N187">IF($L187&gt;0, INDEX(Clean,1+AK187,$D$1), "")</f>
        <v/>
      </c>
      <c r="O187" s="260"/>
      <c r="P187" s="260"/>
      <c r="Q187" s="261"/>
      <c r="R187" s="264">
        <f t="shared" si="498"/>
        <v>0</v>
      </c>
      <c r="S187" s="259" t="str" cm="1">
        <f t="array" ref="S187">IF($L187&gt;0, INDEX(Clean,1+AL187,$D$1), "")</f>
        <v/>
      </c>
      <c r="T187" s="260"/>
      <c r="U187" s="260"/>
      <c r="V187" s="261"/>
      <c r="W187" s="267"/>
      <c r="X187" s="267"/>
      <c r="Y187" s="257"/>
      <c r="Z187" s="264">
        <f t="shared" si="499"/>
        <v>0</v>
      </c>
      <c r="AA187" s="269"/>
      <c r="AB187" s="266"/>
      <c r="AC187" s="254"/>
      <c r="AD187" s="255" t="str">
        <f>IF(ISBLANK(AC187), "", VLOOKUP(AC187, Z!$A$2:$C$4127, 3, FALSE))</f>
        <v/>
      </c>
      <c r="AE187" s="270"/>
      <c r="AF187" s="265">
        <f t="shared" si="500"/>
        <v>0</v>
      </c>
      <c r="AG187" s="246"/>
      <c r="AH187" s="228">
        <f t="shared" ref="AH187:AH250" si="523">IF(ISBLANK(I187), 1, IFERROR(MATCH(I187, INDEX(Use,,1), 0), IFERROR(MATCH(I187, INDEX(Use,,2), 0), MATCH(I187, INDEX(Use,,3), 0))))</f>
        <v>1</v>
      </c>
      <c r="AI187" s="228">
        <f t="shared" ref="AI187:AI250" si="524">IF(ISBLANK(H187), 1, IFERROR(MATCH(H187, INDEX(Loc,,1), 0), IFERROR(MATCH(H187, INDEX(Loc,,2), 0), MATCH(H187, INDEX(Loc,,3), 0))))</f>
        <v>1</v>
      </c>
      <c r="AJ187" s="228">
        <f t="shared" ref="AJ187:AJ250" si="525">_xlfn.IFNA(IF(IFERROR(MATCH(J187, INDEX(Medium,,1), 0), IFERROR(MATCH(J187, INDEX(Medium,,2), 0), MATCH(J187, INDEX(Medium,,3), 0))) = 2, 1, 0), 0)</f>
        <v>0</v>
      </c>
      <c r="AK187" s="228">
        <v>0</v>
      </c>
      <c r="AL187" s="228">
        <v>0</v>
      </c>
      <c r="AM187" s="228">
        <f t="shared" si="501"/>
        <v>-100</v>
      </c>
      <c r="AN187" s="228" cm="1">
        <f t="array" ref="AN187">IF(ISBLANK(G187), 1, IFERROR(MATCH(G187, INDEX(Kat,,1), 0), IFERROR(MATCH(Kat, INDEX(Use,,2), 0), MATCH(Kat, INDEX(Use,,3), 0))))</f>
        <v>1</v>
      </c>
      <c r="AO187" s="246"/>
      <c r="AP187" s="228" cm="1">
        <f t="array" ref="AP187">IF(W187&gt;0, INDEX(Kat, AN187,4), 0)</f>
        <v>0</v>
      </c>
      <c r="AQ187" s="228">
        <f t="shared" ref="AQ187:AQ250" si="526">IF(ISBLANK(Y187), 0, IFERROR(MATCH(Y187, INDEX(Month,,1), 0), IFERROR(MATCH(Y187, INDEX(Month,,2), 0), MATCH(Y187, INDEX(Month,,3), 0))))</f>
        <v>0</v>
      </c>
      <c r="AR187" s="228" cm="1">
        <f t="array" ref="AR187">IF(X187&gt;0, INDEX(Kat, $AN187, 4+AQ187), 0)</f>
        <v>0</v>
      </c>
      <c r="AS187" s="228" cm="1">
        <f t="array" ref="AS187">IF(X187&gt;0, INDEX(Kat, $AN187, 9+AQ187), 0)</f>
        <v>0</v>
      </c>
      <c r="AT187" s="246"/>
      <c r="AU187" s="262"/>
      <c r="AV187" s="262"/>
      <c r="AW187" s="263"/>
      <c r="AX187" s="263"/>
      <c r="AY187" s="263"/>
      <c r="AZ187" s="263"/>
      <c r="BA187" s="263"/>
      <c r="BB187" s="263"/>
      <c r="BC187" s="263"/>
      <c r="BD187" s="263"/>
      <c r="BE187" s="263"/>
      <c r="BF187" s="263"/>
      <c r="BG187" s="263"/>
      <c r="BH187" s="246"/>
      <c r="BI187" s="228" cm="1">
        <f t="array" ref="BI187">INDEX(Use, $AH187, 4)</f>
        <v>7</v>
      </c>
      <c r="BJ187" s="228">
        <f t="shared" si="502"/>
        <v>32</v>
      </c>
      <c r="BK187" s="228">
        <f t="shared" si="305"/>
        <v>13</v>
      </c>
      <c r="BL187" s="228">
        <f t="shared" si="306"/>
        <v>0</v>
      </c>
      <c r="BM187" s="233" cm="1">
        <f t="array" ref="BM187">L187/IF($M187&gt;0, INDEX($AY$22:$BE$76, $M187+20, $AH187), 1)</f>
        <v>0</v>
      </c>
      <c r="BN187" s="229">
        <f t="shared" si="503"/>
        <v>0</v>
      </c>
      <c r="BO187" s="228">
        <v>35</v>
      </c>
      <c r="BP187" s="229">
        <f t="shared" si="504"/>
        <v>48</v>
      </c>
      <c r="BQ187" s="234">
        <f t="shared" si="505"/>
        <v>3.0748170731707316</v>
      </c>
      <c r="BR187" s="234" cm="1">
        <f t="array" ref="BR187">$BM187 * SUMPRODUCT(INDEX($AV$76:$AX$81,,$AI187),INDEX($AY$76:$BE$81,,$AH187), N($AU$76:$AU$81&gt;$AM187)) / BQ187 / 1000</f>
        <v>0</v>
      </c>
      <c r="BS187" s="231">
        <f t="shared" si="310"/>
        <v>30</v>
      </c>
      <c r="BT187" s="229">
        <f t="shared" si="506"/>
        <v>43</v>
      </c>
      <c r="BU187" s="234">
        <f t="shared" si="507"/>
        <v>3.5018750000000001</v>
      </c>
      <c r="BV187" s="234" cm="1">
        <f t="array" ref="BV187">$BM187 * IF($AH187&lt;=2,
SUMPRODUCT(INDEX($AV$71:$AX$75,,$AI187), INDEX($AY$71:$BE$75,,$AH187), 1 / ($BF$71:$BF$75*BU187 + (1-$BF$71:$BF$75)*BQ187), N($AU$71:$AU$75&gt;$AM187)),
SUMPRODUCT(INDEX($AV$66:$AX$75,,$AI187), INDEX($AY$66:$BE$75,,$AH187), 1 / ($BG$66:$BG$75*BU187 + (1-$BG$66:$BG$75)*BQ187), N($AU$66:$AU$75&gt;$AM187))
) / 1000</f>
        <v>0</v>
      </c>
      <c r="BW187" s="231">
        <f t="shared" si="313"/>
        <v>25</v>
      </c>
      <c r="BX187" s="229">
        <f t="shared" si="508"/>
        <v>38</v>
      </c>
      <c r="BY187" s="234">
        <f t="shared" si="509"/>
        <v>4.0666935483870965</v>
      </c>
      <c r="BZ187" s="234" cm="1">
        <f t="array" ref="BZ187">$BM187 * IF($AH187&lt;=2,
SUMPRODUCT(INDEX($AV$66:$AX$70,,$AI187), INDEX($AY$66:$BE$70,,$AH187), 1 / ($BF$66:$BF$70*BY187 + (1-$BF$66:$BF$70)*BU187), N($AU$66:$AU$70&gt;$AM187)),
SUMPRODUCT(INDEX($AV$56:$AX$65,,$AI187), INDEX($AY$56:$BE$65,,$AH187), 1 / ($BG$56:$BG$65*BY187 + (1-$BG$56:$BG$65)*BU187), N($AU$56:$AU$65&gt;$AM187))
) / 1000</f>
        <v>0</v>
      </c>
      <c r="CA187" s="231">
        <f t="shared" si="316"/>
        <v>20</v>
      </c>
      <c r="CB187" s="229">
        <f t="shared" si="510"/>
        <v>33</v>
      </c>
      <c r="CC187" s="234">
        <f t="shared" si="511"/>
        <v>4.8487499999999999</v>
      </c>
      <c r="CD187" s="234" cm="1">
        <f t="array" ref="CD187">$BM187 * IF($AH187&lt;=2,
SUMPRODUCT(INDEX($AV$61:$AX$65,,$AI187), INDEX($AY$61:$BE$65,,$AH187), 1 / ($BF$61:$BF$65*CC187 + (1-$BF$61:$BF$65)*BY187), N($AU$61:$AU$65&gt;$AM187)),
SUMPRODUCT(INDEX($AV$46:$AX$55,,$AI187), INDEX($AY$46:$BE$55,,$AH187), 1 / ($BG$46:$BG$55*CC187 + (1-$BG$46:$BG$55)*BY187), N($AU$46:$AU$55&gt;$AM187))
) / 1000</f>
        <v>0</v>
      </c>
      <c r="CE187" s="234" cm="1">
        <f t="array" ref="CE187">$BM187 * IF($AH187&lt;=2,
SUMPRODUCT(INDEX($AV$22:$AX$60,,$AI187), INDEX($AY$22:$BE$60,,$AH187), 1 / ($BF$22:$BF$60*CC187), N($AU$22:$AU$60&gt;$AM187)),
SUMPRODUCT(INDEX($AV$22:$AX$45,,$AI187), INDEX($AY$22:$BE$45,,$AH187), 1 / ($BG$22:$BG$45*CC187), N($AU$22:$AU$45&gt;$AM187))
) / 1000</f>
        <v>0</v>
      </c>
      <c r="CF187" s="229">
        <f t="shared" si="512"/>
        <v>0</v>
      </c>
      <c r="CG187" s="246"/>
      <c r="CH187" s="229">
        <f t="shared" si="513"/>
        <v>0</v>
      </c>
      <c r="CI187" s="228">
        <v>35</v>
      </c>
      <c r="CJ187" s="229">
        <f t="shared" si="514"/>
        <v>48</v>
      </c>
      <c r="CK187" s="234">
        <f t="shared" si="515"/>
        <v>3.0748170731707316</v>
      </c>
      <c r="CL187" s="234" cm="1">
        <f t="array" ref="CL187">$BM187 * SUMPRODUCT(INDEX($AV$76:$AX$81,,$AI187),INDEX($AY$76:$BE$81,,$AH187), N($AU$76:$AU$81&gt;$AM187)) / CK187 / 1000</f>
        <v>0</v>
      </c>
      <c r="CM187" s="231">
        <f t="shared" si="323"/>
        <v>30</v>
      </c>
      <c r="CN187" s="229">
        <f t="shared" si="516"/>
        <v>43</v>
      </c>
      <c r="CO187" s="234">
        <f t="shared" si="517"/>
        <v>3.5018750000000001</v>
      </c>
      <c r="CP187" s="234" cm="1">
        <f t="array" ref="CP187">$BM187 * IF($AH187&lt;=2,
SUMPRODUCT(INDEX($AV$71:$AX$75,,$AI187), INDEX($AY$71:$BE$75,,$AH187), 1 / ($BF$71:$BF$75*CO187 + (1-$BF$71:$BF$75)*CK187), N($AU$71:$AU$75&gt;$AM187)),
SUMPRODUCT(INDEX($AV$66:$AX$75,,$AI187), INDEX($AY$66:$BE$75,,$AH187), 1 / ($BG$66:$BG$75*CO187 + (1-$BG$66:$BG$75)*CK187), N($AU$66:$AU$75&gt;$AM187))
) / 1000</f>
        <v>0</v>
      </c>
      <c r="CQ187" s="231">
        <f t="shared" si="326"/>
        <v>25</v>
      </c>
      <c r="CR187" s="229">
        <f t="shared" si="518"/>
        <v>38</v>
      </c>
      <c r="CS187" s="234">
        <f t="shared" si="519"/>
        <v>4.0666935483870965</v>
      </c>
      <c r="CT187" s="234" cm="1">
        <f t="array" ref="CT187">$BM187 * IF($AH187&lt;=2,
SUMPRODUCT(INDEX($AV$66:$AX$70,,$AI187), INDEX($AY$66:$BE$70,,$AH187), 1 / ($BF$66:$BF$70*CS187 + (1-$BF$66:$BF$70)*CO187), N($AU$66:$AU$70&gt;$AM187)),
SUMPRODUCT(INDEX($AV$56:$AX$65,,$AI187), INDEX($AY$56:$BE$65,,$AH187), 1 / ($BG$56:$BG$65*CS187 + (1-$BG$56:$BG$65)*CO187), N($AU$56:$AU$65&gt;$AM187))
) / 1000</f>
        <v>0</v>
      </c>
      <c r="CU187" s="231">
        <f t="shared" si="329"/>
        <v>20</v>
      </c>
      <c r="CV187" s="229">
        <f t="shared" si="520"/>
        <v>33</v>
      </c>
      <c r="CW187" s="234">
        <f t="shared" si="521"/>
        <v>4.8487499999999999</v>
      </c>
      <c r="CX187" s="234" cm="1">
        <f t="array" ref="CX187">$BM187 * IF($AH187&lt;=2,
SUMPRODUCT(INDEX($AV$61:$AX$65,,$AI187), INDEX($AY$61:$BE$65,,$AH187), 1 / ($BF$61:$BF$65*CW187 + (1-$BF$61:$BF$65)*CS187), N($AU$61:$AU$65&gt;$AM187)),
SUMPRODUCT(INDEX($AV$46:$AX$55,,$AI187), INDEX($AY$46:$BE$55,,$AH187), 1 / ($BG$46:$BG$55*CW187 + (1-$BG$46:$BG$55)*CS187), N($AU$46:$AU$55&gt;$AM187))
) / 1000</f>
        <v>0</v>
      </c>
      <c r="CY187" s="234" cm="1">
        <f t="array" ref="CY187">$BM187 * IF($AH187&lt;=2,
SUMPRODUCT(INDEX($AV$22:$AX$60,,$AI187), INDEX($AY$22:$BE$60,,$AH187), 1 / ($BF$22:$BF$60*CW187), N($AU$22:$AU$60&gt;$AM187)),
SUMPRODUCT(INDEX($AV$22:$AX$45,,$AI187), INDEX($AY$22:$BE$45,,$AH187), 1 / ($BG$22:$BG$45*CW187), N($AU$22:$AU$45&gt;$AM187))
) / 1000</f>
        <v>0</v>
      </c>
      <c r="CZ187" s="229">
        <f t="shared" si="522"/>
        <v>0</v>
      </c>
      <c r="DA187" s="246"/>
    </row>
    <row r="188" spans="1:105" s="75" customFormat="1" ht="14.25" customHeight="1" x14ac:dyDescent="0.2">
      <c r="A188" s="230" t="b">
        <f t="shared" si="291"/>
        <v>0</v>
      </c>
      <c r="B188" s="253">
        <v>167</v>
      </c>
      <c r="C188" s="266"/>
      <c r="D188" s="266"/>
      <c r="E188" s="254"/>
      <c r="F188" s="255" t="str">
        <f>IF(ISBLANK(E188), "", VLOOKUP(E188, Z!$A$2:$C$4127, 3, FALSE))</f>
        <v/>
      </c>
      <c r="G188" s="256"/>
      <c r="H188" s="256"/>
      <c r="I188" s="256"/>
      <c r="J188" s="257"/>
      <c r="K188" s="258"/>
      <c r="L188" s="267"/>
      <c r="M188" s="268"/>
      <c r="N188" s="259" t="str" cm="1">
        <f t="array" ref="N188">IF($L188&gt;0, INDEX(Clean,1+AK188,$D$1), "")</f>
        <v/>
      </c>
      <c r="O188" s="260"/>
      <c r="P188" s="260"/>
      <c r="Q188" s="261"/>
      <c r="R188" s="264">
        <f t="shared" si="498"/>
        <v>0</v>
      </c>
      <c r="S188" s="259" t="str" cm="1">
        <f t="array" ref="S188">IF($L188&gt;0, INDEX(Clean,1+AL188,$D$1), "")</f>
        <v/>
      </c>
      <c r="T188" s="260"/>
      <c r="U188" s="260"/>
      <c r="V188" s="261"/>
      <c r="W188" s="267"/>
      <c r="X188" s="267"/>
      <c r="Y188" s="257"/>
      <c r="Z188" s="264">
        <f t="shared" si="499"/>
        <v>0</v>
      </c>
      <c r="AA188" s="269"/>
      <c r="AB188" s="266"/>
      <c r="AC188" s="254"/>
      <c r="AD188" s="255" t="str">
        <f>IF(ISBLANK(AC188), "", VLOOKUP(AC188, Z!$A$2:$C$4127, 3, FALSE))</f>
        <v/>
      </c>
      <c r="AE188" s="270"/>
      <c r="AF188" s="265">
        <f t="shared" si="500"/>
        <v>0</v>
      </c>
      <c r="AG188" s="246"/>
      <c r="AH188" s="228">
        <f t="shared" si="523"/>
        <v>1</v>
      </c>
      <c r="AI188" s="228">
        <f t="shared" si="524"/>
        <v>1</v>
      </c>
      <c r="AJ188" s="228">
        <f t="shared" si="525"/>
        <v>0</v>
      </c>
      <c r="AK188" s="228">
        <v>0</v>
      </c>
      <c r="AL188" s="228">
        <v>0</v>
      </c>
      <c r="AM188" s="228">
        <f t="shared" si="501"/>
        <v>-100</v>
      </c>
      <c r="AN188" s="228" cm="1">
        <f t="array" ref="AN188">IF(ISBLANK(G188), 1, IFERROR(MATCH(G188, INDEX(Kat,,1), 0), IFERROR(MATCH(Kat, INDEX(Use,,2), 0), MATCH(Kat, INDEX(Use,,3), 0))))</f>
        <v>1</v>
      </c>
      <c r="AO188" s="246"/>
      <c r="AP188" s="228" cm="1">
        <f t="array" ref="AP188">IF(W188&gt;0, INDEX(Kat, AN188,4), 0)</f>
        <v>0</v>
      </c>
      <c r="AQ188" s="228">
        <f t="shared" si="526"/>
        <v>0</v>
      </c>
      <c r="AR188" s="228" cm="1">
        <f t="array" ref="AR188">IF(X188&gt;0, INDEX(Kat, $AN188, 4+AQ188), 0)</f>
        <v>0</v>
      </c>
      <c r="AS188" s="228" cm="1">
        <f t="array" ref="AS188">IF(X188&gt;0, INDEX(Kat, $AN188, 9+AQ188), 0)</f>
        <v>0</v>
      </c>
      <c r="AT188" s="246"/>
      <c r="AU188" s="262"/>
      <c r="AV188" s="262"/>
      <c r="AW188" s="263"/>
      <c r="AX188" s="263"/>
      <c r="AY188" s="263"/>
      <c r="AZ188" s="263"/>
      <c r="BA188" s="263"/>
      <c r="BB188" s="263"/>
      <c r="BC188" s="263"/>
      <c r="BD188" s="263"/>
      <c r="BE188" s="263"/>
      <c r="BF188" s="263"/>
      <c r="BG188" s="263"/>
      <c r="BH188" s="246"/>
      <c r="BI188" s="228" cm="1">
        <f t="array" ref="BI188">INDEX(Use, $AH188, 4)</f>
        <v>7</v>
      </c>
      <c r="BJ188" s="228">
        <f t="shared" si="502"/>
        <v>32</v>
      </c>
      <c r="BK188" s="228">
        <f t="shared" si="305"/>
        <v>13</v>
      </c>
      <c r="BL188" s="228">
        <f t="shared" si="306"/>
        <v>0</v>
      </c>
      <c r="BM188" s="233" cm="1">
        <f t="array" ref="BM188">L188/IF($M188&gt;0, INDEX($AY$22:$BE$76, $M188+20, $AH188), 1)</f>
        <v>0</v>
      </c>
      <c r="BN188" s="229">
        <f t="shared" si="503"/>
        <v>0</v>
      </c>
      <c r="BO188" s="228">
        <v>35</v>
      </c>
      <c r="BP188" s="229">
        <f t="shared" si="504"/>
        <v>48</v>
      </c>
      <c r="BQ188" s="234">
        <f t="shared" si="505"/>
        <v>3.0748170731707316</v>
      </c>
      <c r="BR188" s="234" cm="1">
        <f t="array" ref="BR188">$BM188 * SUMPRODUCT(INDEX($AV$76:$AX$81,,$AI188),INDEX($AY$76:$BE$81,,$AH188), N($AU$76:$AU$81&gt;$AM188)) / BQ188 / 1000</f>
        <v>0</v>
      </c>
      <c r="BS188" s="231">
        <f t="shared" si="310"/>
        <v>30</v>
      </c>
      <c r="BT188" s="229">
        <f t="shared" si="506"/>
        <v>43</v>
      </c>
      <c r="BU188" s="234">
        <f t="shared" si="507"/>
        <v>3.5018750000000001</v>
      </c>
      <c r="BV188" s="234" cm="1">
        <f t="array" ref="BV188">$BM188 * IF($AH188&lt;=2,
SUMPRODUCT(INDEX($AV$71:$AX$75,,$AI188), INDEX($AY$71:$BE$75,,$AH188), 1 / ($BF$71:$BF$75*BU188 + (1-$BF$71:$BF$75)*BQ188), N($AU$71:$AU$75&gt;$AM188)),
SUMPRODUCT(INDEX($AV$66:$AX$75,,$AI188), INDEX($AY$66:$BE$75,,$AH188), 1 / ($BG$66:$BG$75*BU188 + (1-$BG$66:$BG$75)*BQ188), N($AU$66:$AU$75&gt;$AM188))
) / 1000</f>
        <v>0</v>
      </c>
      <c r="BW188" s="231">
        <f t="shared" si="313"/>
        <v>25</v>
      </c>
      <c r="BX188" s="229">
        <f t="shared" si="508"/>
        <v>38</v>
      </c>
      <c r="BY188" s="234">
        <f t="shared" si="509"/>
        <v>4.0666935483870965</v>
      </c>
      <c r="BZ188" s="234" cm="1">
        <f t="array" ref="BZ188">$BM188 * IF($AH188&lt;=2,
SUMPRODUCT(INDEX($AV$66:$AX$70,,$AI188), INDEX($AY$66:$BE$70,,$AH188), 1 / ($BF$66:$BF$70*BY188 + (1-$BF$66:$BF$70)*BU188), N($AU$66:$AU$70&gt;$AM188)),
SUMPRODUCT(INDEX($AV$56:$AX$65,,$AI188), INDEX($AY$56:$BE$65,,$AH188), 1 / ($BG$56:$BG$65*BY188 + (1-$BG$56:$BG$65)*BU188), N($AU$56:$AU$65&gt;$AM188))
) / 1000</f>
        <v>0</v>
      </c>
      <c r="CA188" s="231">
        <f t="shared" si="316"/>
        <v>20</v>
      </c>
      <c r="CB188" s="229">
        <f t="shared" si="510"/>
        <v>33</v>
      </c>
      <c r="CC188" s="234">
        <f t="shared" si="511"/>
        <v>4.8487499999999999</v>
      </c>
      <c r="CD188" s="234" cm="1">
        <f t="array" ref="CD188">$BM188 * IF($AH188&lt;=2,
SUMPRODUCT(INDEX($AV$61:$AX$65,,$AI188), INDEX($AY$61:$BE$65,,$AH188), 1 / ($BF$61:$BF$65*CC188 + (1-$BF$61:$BF$65)*BY188), N($AU$61:$AU$65&gt;$AM188)),
SUMPRODUCT(INDEX($AV$46:$AX$55,,$AI188), INDEX($AY$46:$BE$55,,$AH188), 1 / ($BG$46:$BG$55*CC188 + (1-$BG$46:$BG$55)*BY188), N($AU$46:$AU$55&gt;$AM188))
) / 1000</f>
        <v>0</v>
      </c>
      <c r="CE188" s="234" cm="1">
        <f t="array" ref="CE188">$BM188 * IF($AH188&lt;=2,
SUMPRODUCT(INDEX($AV$22:$AX$60,,$AI188), INDEX($AY$22:$BE$60,,$AH188), 1 / ($BF$22:$BF$60*CC188), N($AU$22:$AU$60&gt;$AM188)),
SUMPRODUCT(INDEX($AV$22:$AX$45,,$AI188), INDEX($AY$22:$BE$45,,$AH188), 1 / ($BG$22:$BG$45*CC188), N($AU$22:$AU$45&gt;$AM188))
) / 1000</f>
        <v>0</v>
      </c>
      <c r="CF188" s="229">
        <f t="shared" si="512"/>
        <v>0</v>
      </c>
      <c r="CG188" s="246"/>
      <c r="CH188" s="229">
        <f t="shared" si="513"/>
        <v>0</v>
      </c>
      <c r="CI188" s="228">
        <v>35</v>
      </c>
      <c r="CJ188" s="229">
        <f t="shared" si="514"/>
        <v>48</v>
      </c>
      <c r="CK188" s="234">
        <f t="shared" si="515"/>
        <v>3.0748170731707316</v>
      </c>
      <c r="CL188" s="234" cm="1">
        <f t="array" ref="CL188">$BM188 * SUMPRODUCT(INDEX($AV$76:$AX$81,,$AI188),INDEX($AY$76:$BE$81,,$AH188), N($AU$76:$AU$81&gt;$AM188)) / CK188 / 1000</f>
        <v>0</v>
      </c>
      <c r="CM188" s="231">
        <f t="shared" si="323"/>
        <v>30</v>
      </c>
      <c r="CN188" s="229">
        <f t="shared" si="516"/>
        <v>43</v>
      </c>
      <c r="CO188" s="234">
        <f t="shared" si="517"/>
        <v>3.5018750000000001</v>
      </c>
      <c r="CP188" s="234" cm="1">
        <f t="array" ref="CP188">$BM188 * IF($AH188&lt;=2,
SUMPRODUCT(INDEX($AV$71:$AX$75,,$AI188), INDEX($AY$71:$BE$75,,$AH188), 1 / ($BF$71:$BF$75*CO188 + (1-$BF$71:$BF$75)*CK188), N($AU$71:$AU$75&gt;$AM188)),
SUMPRODUCT(INDEX($AV$66:$AX$75,,$AI188), INDEX($AY$66:$BE$75,,$AH188), 1 / ($BG$66:$BG$75*CO188 + (1-$BG$66:$BG$75)*CK188), N($AU$66:$AU$75&gt;$AM188))
) / 1000</f>
        <v>0</v>
      </c>
      <c r="CQ188" s="231">
        <f t="shared" si="326"/>
        <v>25</v>
      </c>
      <c r="CR188" s="229">
        <f t="shared" si="518"/>
        <v>38</v>
      </c>
      <c r="CS188" s="234">
        <f t="shared" si="519"/>
        <v>4.0666935483870965</v>
      </c>
      <c r="CT188" s="234" cm="1">
        <f t="array" ref="CT188">$BM188 * IF($AH188&lt;=2,
SUMPRODUCT(INDEX($AV$66:$AX$70,,$AI188), INDEX($AY$66:$BE$70,,$AH188), 1 / ($BF$66:$BF$70*CS188 + (1-$BF$66:$BF$70)*CO188), N($AU$66:$AU$70&gt;$AM188)),
SUMPRODUCT(INDEX($AV$56:$AX$65,,$AI188), INDEX($AY$56:$BE$65,,$AH188), 1 / ($BG$56:$BG$65*CS188 + (1-$BG$56:$BG$65)*CO188), N($AU$56:$AU$65&gt;$AM188))
) / 1000</f>
        <v>0</v>
      </c>
      <c r="CU188" s="231">
        <f t="shared" si="329"/>
        <v>20</v>
      </c>
      <c r="CV188" s="229">
        <f t="shared" si="520"/>
        <v>33</v>
      </c>
      <c r="CW188" s="234">
        <f t="shared" si="521"/>
        <v>4.8487499999999999</v>
      </c>
      <c r="CX188" s="234" cm="1">
        <f t="array" ref="CX188">$BM188 * IF($AH188&lt;=2,
SUMPRODUCT(INDEX($AV$61:$AX$65,,$AI188), INDEX($AY$61:$BE$65,,$AH188), 1 / ($BF$61:$BF$65*CW188 + (1-$BF$61:$BF$65)*CS188), N($AU$61:$AU$65&gt;$AM188)),
SUMPRODUCT(INDEX($AV$46:$AX$55,,$AI188), INDEX($AY$46:$BE$55,,$AH188), 1 / ($BG$46:$BG$55*CW188 + (1-$BG$46:$BG$55)*CS188), N($AU$46:$AU$55&gt;$AM188))
) / 1000</f>
        <v>0</v>
      </c>
      <c r="CY188" s="234" cm="1">
        <f t="array" ref="CY188">$BM188 * IF($AH188&lt;=2,
SUMPRODUCT(INDEX($AV$22:$AX$60,,$AI188), INDEX($AY$22:$BE$60,,$AH188), 1 / ($BF$22:$BF$60*CW188), N($AU$22:$AU$60&gt;$AM188)),
SUMPRODUCT(INDEX($AV$22:$AX$45,,$AI188), INDEX($AY$22:$BE$45,,$AH188), 1 / ($BG$22:$BG$45*CW188), N($AU$22:$AU$45&gt;$AM188))
) / 1000</f>
        <v>0</v>
      </c>
      <c r="CZ188" s="229">
        <f t="shared" si="522"/>
        <v>0</v>
      </c>
      <c r="DA188" s="246"/>
    </row>
    <row r="189" spans="1:105" s="75" customFormat="1" ht="14.25" customHeight="1" x14ac:dyDescent="0.2">
      <c r="A189" s="230" t="b">
        <f t="shared" si="291"/>
        <v>0</v>
      </c>
      <c r="B189" s="253">
        <v>168</v>
      </c>
      <c r="C189" s="266"/>
      <c r="D189" s="266"/>
      <c r="E189" s="254"/>
      <c r="F189" s="255" t="str">
        <f>IF(ISBLANK(E189), "", VLOOKUP(E189, Z!$A$2:$C$4127, 3, FALSE))</f>
        <v/>
      </c>
      <c r="G189" s="256"/>
      <c r="H189" s="256"/>
      <c r="I189" s="256"/>
      <c r="J189" s="257"/>
      <c r="K189" s="258"/>
      <c r="L189" s="267"/>
      <c r="M189" s="268"/>
      <c r="N189" s="259" t="str" cm="1">
        <f t="array" ref="N189">IF($L189&gt;0, INDEX(Clean,1+AK189,$D$1), "")</f>
        <v/>
      </c>
      <c r="O189" s="260"/>
      <c r="P189" s="260"/>
      <c r="Q189" s="261"/>
      <c r="R189" s="264">
        <f t="shared" si="498"/>
        <v>0</v>
      </c>
      <c r="S189" s="259" t="str" cm="1">
        <f t="array" ref="S189">IF($L189&gt;0, INDEX(Clean,1+AL189,$D$1), "")</f>
        <v/>
      </c>
      <c r="T189" s="260"/>
      <c r="U189" s="260"/>
      <c r="V189" s="261"/>
      <c r="W189" s="267"/>
      <c r="X189" s="267"/>
      <c r="Y189" s="257"/>
      <c r="Z189" s="264">
        <f t="shared" si="499"/>
        <v>0</v>
      </c>
      <c r="AA189" s="269"/>
      <c r="AB189" s="266"/>
      <c r="AC189" s="254"/>
      <c r="AD189" s="255" t="str">
        <f>IF(ISBLANK(AC189), "", VLOOKUP(AC189, Z!$A$2:$C$4127, 3, FALSE))</f>
        <v/>
      </c>
      <c r="AE189" s="270"/>
      <c r="AF189" s="265">
        <f t="shared" si="500"/>
        <v>0</v>
      </c>
      <c r="AG189" s="246"/>
      <c r="AH189" s="228">
        <f t="shared" si="523"/>
        <v>1</v>
      </c>
      <c r="AI189" s="228">
        <f t="shared" si="524"/>
        <v>1</v>
      </c>
      <c r="AJ189" s="228">
        <f t="shared" si="525"/>
        <v>0</v>
      </c>
      <c r="AK189" s="228">
        <v>0</v>
      </c>
      <c r="AL189" s="228">
        <v>0</v>
      </c>
      <c r="AM189" s="228">
        <f t="shared" si="501"/>
        <v>-100</v>
      </c>
      <c r="AN189" s="228" cm="1">
        <f t="array" ref="AN189">IF(ISBLANK(G189), 1, IFERROR(MATCH(G189, INDEX(Kat,,1), 0), IFERROR(MATCH(Kat, INDEX(Use,,2), 0), MATCH(Kat, INDEX(Use,,3), 0))))</f>
        <v>1</v>
      </c>
      <c r="AO189" s="246"/>
      <c r="AP189" s="228" cm="1">
        <f t="array" ref="AP189">IF(W189&gt;0, INDEX(Kat, AN189,4), 0)</f>
        <v>0</v>
      </c>
      <c r="AQ189" s="228">
        <f t="shared" si="526"/>
        <v>0</v>
      </c>
      <c r="AR189" s="228" cm="1">
        <f t="array" ref="AR189">IF(X189&gt;0, INDEX(Kat, $AN189, 4+AQ189), 0)</f>
        <v>0</v>
      </c>
      <c r="AS189" s="228" cm="1">
        <f t="array" ref="AS189">IF(X189&gt;0, INDEX(Kat, $AN189, 9+AQ189), 0)</f>
        <v>0</v>
      </c>
      <c r="AT189" s="246"/>
      <c r="AU189" s="262"/>
      <c r="AV189" s="262"/>
      <c r="AW189" s="263"/>
      <c r="AX189" s="263"/>
      <c r="AY189" s="263"/>
      <c r="AZ189" s="263"/>
      <c r="BA189" s="263"/>
      <c r="BB189" s="263"/>
      <c r="BC189" s="263"/>
      <c r="BD189" s="263"/>
      <c r="BE189" s="263"/>
      <c r="BF189" s="263"/>
      <c r="BG189" s="263"/>
      <c r="BH189" s="246"/>
      <c r="BI189" s="228" cm="1">
        <f t="array" ref="BI189">INDEX(Use, $AH189, 4)</f>
        <v>7</v>
      </c>
      <c r="BJ189" s="228">
        <f t="shared" si="502"/>
        <v>32</v>
      </c>
      <c r="BK189" s="228">
        <f t="shared" si="305"/>
        <v>13</v>
      </c>
      <c r="BL189" s="228">
        <f t="shared" si="306"/>
        <v>0</v>
      </c>
      <c r="BM189" s="233" cm="1">
        <f t="array" ref="BM189">L189/IF($M189&gt;0, INDEX($AY$22:$BE$76, $M189+20, $AH189), 1)</f>
        <v>0</v>
      </c>
      <c r="BN189" s="229">
        <f t="shared" si="503"/>
        <v>0</v>
      </c>
      <c r="BO189" s="228">
        <v>35</v>
      </c>
      <c r="BP189" s="229">
        <f t="shared" si="504"/>
        <v>48</v>
      </c>
      <c r="BQ189" s="234">
        <f t="shared" si="505"/>
        <v>3.0748170731707316</v>
      </c>
      <c r="BR189" s="234" cm="1">
        <f t="array" ref="BR189">$BM189 * SUMPRODUCT(INDEX($AV$76:$AX$81,,$AI189),INDEX($AY$76:$BE$81,,$AH189), N($AU$76:$AU$81&gt;$AM189)) / BQ189 / 1000</f>
        <v>0</v>
      </c>
      <c r="BS189" s="231">
        <f t="shared" si="310"/>
        <v>30</v>
      </c>
      <c r="BT189" s="229">
        <f t="shared" si="506"/>
        <v>43</v>
      </c>
      <c r="BU189" s="234">
        <f t="shared" si="507"/>
        <v>3.5018750000000001</v>
      </c>
      <c r="BV189" s="234" cm="1">
        <f t="array" ref="BV189">$BM189 * IF($AH189&lt;=2,
SUMPRODUCT(INDEX($AV$71:$AX$75,,$AI189), INDEX($AY$71:$BE$75,,$AH189), 1 / ($BF$71:$BF$75*BU189 + (1-$BF$71:$BF$75)*BQ189), N($AU$71:$AU$75&gt;$AM189)),
SUMPRODUCT(INDEX($AV$66:$AX$75,,$AI189), INDEX($AY$66:$BE$75,,$AH189), 1 / ($BG$66:$BG$75*BU189 + (1-$BG$66:$BG$75)*BQ189), N($AU$66:$AU$75&gt;$AM189))
) / 1000</f>
        <v>0</v>
      </c>
      <c r="BW189" s="231">
        <f t="shared" si="313"/>
        <v>25</v>
      </c>
      <c r="BX189" s="229">
        <f t="shared" si="508"/>
        <v>38</v>
      </c>
      <c r="BY189" s="234">
        <f t="shared" si="509"/>
        <v>4.0666935483870965</v>
      </c>
      <c r="BZ189" s="234" cm="1">
        <f t="array" ref="BZ189">$BM189 * IF($AH189&lt;=2,
SUMPRODUCT(INDEX($AV$66:$AX$70,,$AI189), INDEX($AY$66:$BE$70,,$AH189), 1 / ($BF$66:$BF$70*BY189 + (1-$BF$66:$BF$70)*BU189), N($AU$66:$AU$70&gt;$AM189)),
SUMPRODUCT(INDEX($AV$56:$AX$65,,$AI189), INDEX($AY$56:$BE$65,,$AH189), 1 / ($BG$56:$BG$65*BY189 + (1-$BG$56:$BG$65)*BU189), N($AU$56:$AU$65&gt;$AM189))
) / 1000</f>
        <v>0</v>
      </c>
      <c r="CA189" s="231">
        <f t="shared" si="316"/>
        <v>20</v>
      </c>
      <c r="CB189" s="229">
        <f t="shared" si="510"/>
        <v>33</v>
      </c>
      <c r="CC189" s="234">
        <f t="shared" si="511"/>
        <v>4.8487499999999999</v>
      </c>
      <c r="CD189" s="234" cm="1">
        <f t="array" ref="CD189">$BM189 * IF($AH189&lt;=2,
SUMPRODUCT(INDEX($AV$61:$AX$65,,$AI189), INDEX($AY$61:$BE$65,,$AH189), 1 / ($BF$61:$BF$65*CC189 + (1-$BF$61:$BF$65)*BY189), N($AU$61:$AU$65&gt;$AM189)),
SUMPRODUCT(INDEX($AV$46:$AX$55,,$AI189), INDEX($AY$46:$BE$55,,$AH189), 1 / ($BG$46:$BG$55*CC189 + (1-$BG$46:$BG$55)*BY189), N($AU$46:$AU$55&gt;$AM189))
) / 1000</f>
        <v>0</v>
      </c>
      <c r="CE189" s="234" cm="1">
        <f t="array" ref="CE189">$BM189 * IF($AH189&lt;=2,
SUMPRODUCT(INDEX($AV$22:$AX$60,,$AI189), INDEX($AY$22:$BE$60,,$AH189), 1 / ($BF$22:$BF$60*CC189), N($AU$22:$AU$60&gt;$AM189)),
SUMPRODUCT(INDEX($AV$22:$AX$45,,$AI189), INDEX($AY$22:$BE$45,,$AH189), 1 / ($BG$22:$BG$45*CC189), N($AU$22:$AU$45&gt;$AM189))
) / 1000</f>
        <v>0</v>
      </c>
      <c r="CF189" s="229">
        <f t="shared" si="512"/>
        <v>0</v>
      </c>
      <c r="CG189" s="246"/>
      <c r="CH189" s="229">
        <f t="shared" si="513"/>
        <v>0</v>
      </c>
      <c r="CI189" s="228">
        <v>35</v>
      </c>
      <c r="CJ189" s="229">
        <f t="shared" si="514"/>
        <v>48</v>
      </c>
      <c r="CK189" s="234">
        <f t="shared" si="515"/>
        <v>3.0748170731707316</v>
      </c>
      <c r="CL189" s="234" cm="1">
        <f t="array" ref="CL189">$BM189 * SUMPRODUCT(INDEX($AV$76:$AX$81,,$AI189),INDEX($AY$76:$BE$81,,$AH189), N($AU$76:$AU$81&gt;$AM189)) / CK189 / 1000</f>
        <v>0</v>
      </c>
      <c r="CM189" s="231">
        <f t="shared" si="323"/>
        <v>30</v>
      </c>
      <c r="CN189" s="229">
        <f t="shared" si="516"/>
        <v>43</v>
      </c>
      <c r="CO189" s="234">
        <f t="shared" si="517"/>
        <v>3.5018750000000001</v>
      </c>
      <c r="CP189" s="234" cm="1">
        <f t="array" ref="CP189">$BM189 * IF($AH189&lt;=2,
SUMPRODUCT(INDEX($AV$71:$AX$75,,$AI189), INDEX($AY$71:$BE$75,,$AH189), 1 / ($BF$71:$BF$75*CO189 + (1-$BF$71:$BF$75)*CK189), N($AU$71:$AU$75&gt;$AM189)),
SUMPRODUCT(INDEX($AV$66:$AX$75,,$AI189), INDEX($AY$66:$BE$75,,$AH189), 1 / ($BG$66:$BG$75*CO189 + (1-$BG$66:$BG$75)*CK189), N($AU$66:$AU$75&gt;$AM189))
) / 1000</f>
        <v>0</v>
      </c>
      <c r="CQ189" s="231">
        <f t="shared" si="326"/>
        <v>25</v>
      </c>
      <c r="CR189" s="229">
        <f t="shared" si="518"/>
        <v>38</v>
      </c>
      <c r="CS189" s="234">
        <f t="shared" si="519"/>
        <v>4.0666935483870965</v>
      </c>
      <c r="CT189" s="234" cm="1">
        <f t="array" ref="CT189">$BM189 * IF($AH189&lt;=2,
SUMPRODUCT(INDEX($AV$66:$AX$70,,$AI189), INDEX($AY$66:$BE$70,,$AH189), 1 / ($BF$66:$BF$70*CS189 + (1-$BF$66:$BF$70)*CO189), N($AU$66:$AU$70&gt;$AM189)),
SUMPRODUCT(INDEX($AV$56:$AX$65,,$AI189), INDEX($AY$56:$BE$65,,$AH189), 1 / ($BG$56:$BG$65*CS189 + (1-$BG$56:$BG$65)*CO189), N($AU$56:$AU$65&gt;$AM189))
) / 1000</f>
        <v>0</v>
      </c>
      <c r="CU189" s="231">
        <f t="shared" si="329"/>
        <v>20</v>
      </c>
      <c r="CV189" s="229">
        <f t="shared" si="520"/>
        <v>33</v>
      </c>
      <c r="CW189" s="234">
        <f t="shared" si="521"/>
        <v>4.8487499999999999</v>
      </c>
      <c r="CX189" s="234" cm="1">
        <f t="array" ref="CX189">$BM189 * IF($AH189&lt;=2,
SUMPRODUCT(INDEX($AV$61:$AX$65,,$AI189), INDEX($AY$61:$BE$65,,$AH189), 1 / ($BF$61:$BF$65*CW189 + (1-$BF$61:$BF$65)*CS189), N($AU$61:$AU$65&gt;$AM189)),
SUMPRODUCT(INDEX($AV$46:$AX$55,,$AI189), INDEX($AY$46:$BE$55,,$AH189), 1 / ($BG$46:$BG$55*CW189 + (1-$BG$46:$BG$55)*CS189), N($AU$46:$AU$55&gt;$AM189))
) / 1000</f>
        <v>0</v>
      </c>
      <c r="CY189" s="234" cm="1">
        <f t="array" ref="CY189">$BM189 * IF($AH189&lt;=2,
SUMPRODUCT(INDEX($AV$22:$AX$60,,$AI189), INDEX($AY$22:$BE$60,,$AH189), 1 / ($BF$22:$BF$60*CW189), N($AU$22:$AU$60&gt;$AM189)),
SUMPRODUCT(INDEX($AV$22:$AX$45,,$AI189), INDEX($AY$22:$BE$45,,$AH189), 1 / ($BG$22:$BG$45*CW189), N($AU$22:$AU$45&gt;$AM189))
) / 1000</f>
        <v>0</v>
      </c>
      <c r="CZ189" s="229">
        <f t="shared" si="522"/>
        <v>0</v>
      </c>
      <c r="DA189" s="246"/>
    </row>
    <row r="190" spans="1:105" s="75" customFormat="1" ht="14.25" customHeight="1" x14ac:dyDescent="0.2">
      <c r="A190" s="230" t="b">
        <f t="shared" si="291"/>
        <v>0</v>
      </c>
      <c r="B190" s="253">
        <v>169</v>
      </c>
      <c r="C190" s="266"/>
      <c r="D190" s="266"/>
      <c r="E190" s="254"/>
      <c r="F190" s="255" t="str">
        <f>IF(ISBLANK(E190), "", VLOOKUP(E190, Z!$A$2:$C$4127, 3, FALSE))</f>
        <v/>
      </c>
      <c r="G190" s="256"/>
      <c r="H190" s="256"/>
      <c r="I190" s="256"/>
      <c r="J190" s="257"/>
      <c r="K190" s="258"/>
      <c r="L190" s="267"/>
      <c r="M190" s="268"/>
      <c r="N190" s="259" t="str" cm="1">
        <f t="array" ref="N190">IF($L190&gt;0, INDEX(Clean,1+AK190,$D$1), "")</f>
        <v/>
      </c>
      <c r="O190" s="260"/>
      <c r="P190" s="260"/>
      <c r="Q190" s="261"/>
      <c r="R190" s="264">
        <f t="shared" si="498"/>
        <v>0</v>
      </c>
      <c r="S190" s="259" t="str" cm="1">
        <f t="array" ref="S190">IF($L190&gt;0, INDEX(Clean,1+AL190,$D$1), "")</f>
        <v/>
      </c>
      <c r="T190" s="260"/>
      <c r="U190" s="260"/>
      <c r="V190" s="261"/>
      <c r="W190" s="267"/>
      <c r="X190" s="267"/>
      <c r="Y190" s="257"/>
      <c r="Z190" s="264">
        <f t="shared" si="499"/>
        <v>0</v>
      </c>
      <c r="AA190" s="269"/>
      <c r="AB190" s="266"/>
      <c r="AC190" s="254"/>
      <c r="AD190" s="255" t="str">
        <f>IF(ISBLANK(AC190), "", VLOOKUP(AC190, Z!$A$2:$C$4127, 3, FALSE))</f>
        <v/>
      </c>
      <c r="AE190" s="270"/>
      <c r="AF190" s="265">
        <f t="shared" si="500"/>
        <v>0</v>
      </c>
      <c r="AG190" s="246"/>
      <c r="AH190" s="228">
        <f t="shared" si="523"/>
        <v>1</v>
      </c>
      <c r="AI190" s="228">
        <f t="shared" si="524"/>
        <v>1</v>
      </c>
      <c r="AJ190" s="228">
        <f t="shared" si="525"/>
        <v>0</v>
      </c>
      <c r="AK190" s="228">
        <v>0</v>
      </c>
      <c r="AL190" s="228">
        <v>0</v>
      </c>
      <c r="AM190" s="228">
        <f t="shared" si="501"/>
        <v>-100</v>
      </c>
      <c r="AN190" s="228" cm="1">
        <f t="array" ref="AN190">IF(ISBLANK(G190), 1, IFERROR(MATCH(G190, INDEX(Kat,,1), 0), IFERROR(MATCH(Kat, INDEX(Use,,2), 0), MATCH(Kat, INDEX(Use,,3), 0))))</f>
        <v>1</v>
      </c>
      <c r="AO190" s="246"/>
      <c r="AP190" s="228" cm="1">
        <f t="array" ref="AP190">IF(W190&gt;0, INDEX(Kat, AN190,4), 0)</f>
        <v>0</v>
      </c>
      <c r="AQ190" s="228">
        <f t="shared" si="526"/>
        <v>0</v>
      </c>
      <c r="AR190" s="228" cm="1">
        <f t="array" ref="AR190">IF(X190&gt;0, INDEX(Kat, $AN190, 4+AQ190), 0)</f>
        <v>0</v>
      </c>
      <c r="AS190" s="228" cm="1">
        <f t="array" ref="AS190">IF(X190&gt;0, INDEX(Kat, $AN190, 9+AQ190), 0)</f>
        <v>0</v>
      </c>
      <c r="AT190" s="246"/>
      <c r="AU190" s="262"/>
      <c r="AV190" s="262"/>
      <c r="AW190" s="263"/>
      <c r="AX190" s="263"/>
      <c r="AY190" s="263"/>
      <c r="AZ190" s="263"/>
      <c r="BA190" s="263"/>
      <c r="BB190" s="263"/>
      <c r="BC190" s="263"/>
      <c r="BD190" s="263"/>
      <c r="BE190" s="263"/>
      <c r="BF190" s="263"/>
      <c r="BG190" s="263"/>
      <c r="BH190" s="246"/>
      <c r="BI190" s="228" cm="1">
        <f t="array" ref="BI190">INDEX(Use, $AH190, 4)</f>
        <v>7</v>
      </c>
      <c r="BJ190" s="228">
        <f t="shared" si="502"/>
        <v>32</v>
      </c>
      <c r="BK190" s="228">
        <f t="shared" si="305"/>
        <v>13</v>
      </c>
      <c r="BL190" s="228">
        <f t="shared" si="306"/>
        <v>0</v>
      </c>
      <c r="BM190" s="233" cm="1">
        <f t="array" ref="BM190">L190/IF($M190&gt;0, INDEX($AY$22:$BE$76, $M190+20, $AH190), 1)</f>
        <v>0</v>
      </c>
      <c r="BN190" s="229">
        <f t="shared" si="503"/>
        <v>0</v>
      </c>
      <c r="BO190" s="228">
        <v>35</v>
      </c>
      <c r="BP190" s="229">
        <f t="shared" si="504"/>
        <v>48</v>
      </c>
      <c r="BQ190" s="234">
        <f t="shared" si="505"/>
        <v>3.0748170731707316</v>
      </c>
      <c r="BR190" s="234" cm="1">
        <f t="array" ref="BR190">$BM190 * SUMPRODUCT(INDEX($AV$76:$AX$81,,$AI190),INDEX($AY$76:$BE$81,,$AH190), N($AU$76:$AU$81&gt;$AM190)) / BQ190 / 1000</f>
        <v>0</v>
      </c>
      <c r="BS190" s="231">
        <f t="shared" si="310"/>
        <v>30</v>
      </c>
      <c r="BT190" s="229">
        <f t="shared" si="506"/>
        <v>43</v>
      </c>
      <c r="BU190" s="234">
        <f t="shared" si="507"/>
        <v>3.5018750000000001</v>
      </c>
      <c r="BV190" s="234" cm="1">
        <f t="array" ref="BV190">$BM190 * IF($AH190&lt;=2,
SUMPRODUCT(INDEX($AV$71:$AX$75,,$AI190), INDEX($AY$71:$BE$75,,$AH190), 1 / ($BF$71:$BF$75*BU190 + (1-$BF$71:$BF$75)*BQ190), N($AU$71:$AU$75&gt;$AM190)),
SUMPRODUCT(INDEX($AV$66:$AX$75,,$AI190), INDEX($AY$66:$BE$75,,$AH190), 1 / ($BG$66:$BG$75*BU190 + (1-$BG$66:$BG$75)*BQ190), N($AU$66:$AU$75&gt;$AM190))
) / 1000</f>
        <v>0</v>
      </c>
      <c r="BW190" s="231">
        <f t="shared" si="313"/>
        <v>25</v>
      </c>
      <c r="BX190" s="229">
        <f t="shared" si="508"/>
        <v>38</v>
      </c>
      <c r="BY190" s="234">
        <f t="shared" si="509"/>
        <v>4.0666935483870965</v>
      </c>
      <c r="BZ190" s="234" cm="1">
        <f t="array" ref="BZ190">$BM190 * IF($AH190&lt;=2,
SUMPRODUCT(INDEX($AV$66:$AX$70,,$AI190), INDEX($AY$66:$BE$70,,$AH190), 1 / ($BF$66:$BF$70*BY190 + (1-$BF$66:$BF$70)*BU190), N($AU$66:$AU$70&gt;$AM190)),
SUMPRODUCT(INDEX($AV$56:$AX$65,,$AI190), INDEX($AY$56:$BE$65,,$AH190), 1 / ($BG$56:$BG$65*BY190 + (1-$BG$56:$BG$65)*BU190), N($AU$56:$AU$65&gt;$AM190))
) / 1000</f>
        <v>0</v>
      </c>
      <c r="CA190" s="231">
        <f t="shared" si="316"/>
        <v>20</v>
      </c>
      <c r="CB190" s="229">
        <f t="shared" si="510"/>
        <v>33</v>
      </c>
      <c r="CC190" s="234">
        <f t="shared" si="511"/>
        <v>4.8487499999999999</v>
      </c>
      <c r="CD190" s="234" cm="1">
        <f t="array" ref="CD190">$BM190 * IF($AH190&lt;=2,
SUMPRODUCT(INDEX($AV$61:$AX$65,,$AI190), INDEX($AY$61:$BE$65,,$AH190), 1 / ($BF$61:$BF$65*CC190 + (1-$BF$61:$BF$65)*BY190), N($AU$61:$AU$65&gt;$AM190)),
SUMPRODUCT(INDEX($AV$46:$AX$55,,$AI190), INDEX($AY$46:$BE$55,,$AH190), 1 / ($BG$46:$BG$55*CC190 + (1-$BG$46:$BG$55)*BY190), N($AU$46:$AU$55&gt;$AM190))
) / 1000</f>
        <v>0</v>
      </c>
      <c r="CE190" s="234" cm="1">
        <f t="array" ref="CE190">$BM190 * IF($AH190&lt;=2,
SUMPRODUCT(INDEX($AV$22:$AX$60,,$AI190), INDEX($AY$22:$BE$60,,$AH190), 1 / ($BF$22:$BF$60*CC190), N($AU$22:$AU$60&gt;$AM190)),
SUMPRODUCT(INDEX($AV$22:$AX$45,,$AI190), INDEX($AY$22:$BE$45,,$AH190), 1 / ($BG$22:$BG$45*CC190), N($AU$22:$AU$45&gt;$AM190))
) / 1000</f>
        <v>0</v>
      </c>
      <c r="CF190" s="229">
        <f t="shared" si="512"/>
        <v>0</v>
      </c>
      <c r="CG190" s="246"/>
      <c r="CH190" s="229">
        <f t="shared" si="513"/>
        <v>0</v>
      </c>
      <c r="CI190" s="228">
        <v>35</v>
      </c>
      <c r="CJ190" s="229">
        <f t="shared" si="514"/>
        <v>48</v>
      </c>
      <c r="CK190" s="234">
        <f t="shared" si="515"/>
        <v>3.0748170731707316</v>
      </c>
      <c r="CL190" s="234" cm="1">
        <f t="array" ref="CL190">$BM190 * SUMPRODUCT(INDEX($AV$76:$AX$81,,$AI190),INDEX($AY$76:$BE$81,,$AH190), N($AU$76:$AU$81&gt;$AM190)) / CK190 / 1000</f>
        <v>0</v>
      </c>
      <c r="CM190" s="231">
        <f t="shared" si="323"/>
        <v>30</v>
      </c>
      <c r="CN190" s="229">
        <f t="shared" si="516"/>
        <v>43</v>
      </c>
      <c r="CO190" s="234">
        <f t="shared" si="517"/>
        <v>3.5018750000000001</v>
      </c>
      <c r="CP190" s="234" cm="1">
        <f t="array" ref="CP190">$BM190 * IF($AH190&lt;=2,
SUMPRODUCT(INDEX($AV$71:$AX$75,,$AI190), INDEX($AY$71:$BE$75,,$AH190), 1 / ($BF$71:$BF$75*CO190 + (1-$BF$71:$BF$75)*CK190), N($AU$71:$AU$75&gt;$AM190)),
SUMPRODUCT(INDEX($AV$66:$AX$75,,$AI190), INDEX($AY$66:$BE$75,,$AH190), 1 / ($BG$66:$BG$75*CO190 + (1-$BG$66:$BG$75)*CK190), N($AU$66:$AU$75&gt;$AM190))
) / 1000</f>
        <v>0</v>
      </c>
      <c r="CQ190" s="231">
        <f t="shared" si="326"/>
        <v>25</v>
      </c>
      <c r="CR190" s="229">
        <f t="shared" si="518"/>
        <v>38</v>
      </c>
      <c r="CS190" s="234">
        <f t="shared" si="519"/>
        <v>4.0666935483870965</v>
      </c>
      <c r="CT190" s="234" cm="1">
        <f t="array" ref="CT190">$BM190 * IF($AH190&lt;=2,
SUMPRODUCT(INDEX($AV$66:$AX$70,,$AI190), INDEX($AY$66:$BE$70,,$AH190), 1 / ($BF$66:$BF$70*CS190 + (1-$BF$66:$BF$70)*CO190), N($AU$66:$AU$70&gt;$AM190)),
SUMPRODUCT(INDEX($AV$56:$AX$65,,$AI190), INDEX($AY$56:$BE$65,,$AH190), 1 / ($BG$56:$BG$65*CS190 + (1-$BG$56:$BG$65)*CO190), N($AU$56:$AU$65&gt;$AM190))
) / 1000</f>
        <v>0</v>
      </c>
      <c r="CU190" s="231">
        <f t="shared" si="329"/>
        <v>20</v>
      </c>
      <c r="CV190" s="229">
        <f t="shared" si="520"/>
        <v>33</v>
      </c>
      <c r="CW190" s="234">
        <f t="shared" si="521"/>
        <v>4.8487499999999999</v>
      </c>
      <c r="CX190" s="234" cm="1">
        <f t="array" ref="CX190">$BM190 * IF($AH190&lt;=2,
SUMPRODUCT(INDEX($AV$61:$AX$65,,$AI190), INDEX($AY$61:$BE$65,,$AH190), 1 / ($BF$61:$BF$65*CW190 + (1-$BF$61:$BF$65)*CS190), N($AU$61:$AU$65&gt;$AM190)),
SUMPRODUCT(INDEX($AV$46:$AX$55,,$AI190), INDEX($AY$46:$BE$55,,$AH190), 1 / ($BG$46:$BG$55*CW190 + (1-$BG$46:$BG$55)*CS190), N($AU$46:$AU$55&gt;$AM190))
) / 1000</f>
        <v>0</v>
      </c>
      <c r="CY190" s="234" cm="1">
        <f t="array" ref="CY190">$BM190 * IF($AH190&lt;=2,
SUMPRODUCT(INDEX($AV$22:$AX$60,,$AI190), INDEX($AY$22:$BE$60,,$AH190), 1 / ($BF$22:$BF$60*CW190), N($AU$22:$AU$60&gt;$AM190)),
SUMPRODUCT(INDEX($AV$22:$AX$45,,$AI190), INDEX($AY$22:$BE$45,,$AH190), 1 / ($BG$22:$BG$45*CW190), N($AU$22:$AU$45&gt;$AM190))
) / 1000</f>
        <v>0</v>
      </c>
      <c r="CZ190" s="229">
        <f t="shared" si="522"/>
        <v>0</v>
      </c>
      <c r="DA190" s="246"/>
    </row>
    <row r="191" spans="1:105" s="75" customFormat="1" ht="14.25" customHeight="1" x14ac:dyDescent="0.2">
      <c r="A191" s="230" t="b">
        <f t="shared" si="291"/>
        <v>0</v>
      </c>
      <c r="B191" s="253">
        <v>170</v>
      </c>
      <c r="C191" s="266"/>
      <c r="D191" s="266"/>
      <c r="E191" s="254"/>
      <c r="F191" s="255" t="str">
        <f>IF(ISBLANK(E191), "", VLOOKUP(E191, Z!$A$2:$C$4127, 3, FALSE))</f>
        <v/>
      </c>
      <c r="G191" s="256"/>
      <c r="H191" s="256"/>
      <c r="I191" s="256"/>
      <c r="J191" s="257"/>
      <c r="K191" s="258"/>
      <c r="L191" s="267"/>
      <c r="M191" s="268"/>
      <c r="N191" s="259" t="str" cm="1">
        <f t="array" ref="N191">IF($L191&gt;0, INDEX(Clean,1+AK191,$D$1), "")</f>
        <v/>
      </c>
      <c r="O191" s="260"/>
      <c r="P191" s="260"/>
      <c r="Q191" s="261"/>
      <c r="R191" s="264">
        <f t="shared" si="498"/>
        <v>0</v>
      </c>
      <c r="S191" s="259" t="str" cm="1">
        <f t="array" ref="S191">IF($L191&gt;0, INDEX(Clean,1+AL191,$D$1), "")</f>
        <v/>
      </c>
      <c r="T191" s="260"/>
      <c r="U191" s="260"/>
      <c r="V191" s="261"/>
      <c r="W191" s="267"/>
      <c r="X191" s="267"/>
      <c r="Y191" s="257"/>
      <c r="Z191" s="264">
        <f t="shared" si="499"/>
        <v>0</v>
      </c>
      <c r="AA191" s="269"/>
      <c r="AB191" s="266"/>
      <c r="AC191" s="254"/>
      <c r="AD191" s="255" t="str">
        <f>IF(ISBLANK(AC191), "", VLOOKUP(AC191, Z!$A$2:$C$4127, 3, FALSE))</f>
        <v/>
      </c>
      <c r="AE191" s="270"/>
      <c r="AF191" s="265">
        <f t="shared" si="500"/>
        <v>0</v>
      </c>
      <c r="AG191" s="246"/>
      <c r="AH191" s="228">
        <f t="shared" si="523"/>
        <v>1</v>
      </c>
      <c r="AI191" s="228">
        <f t="shared" si="524"/>
        <v>1</v>
      </c>
      <c r="AJ191" s="228">
        <f t="shared" si="525"/>
        <v>0</v>
      </c>
      <c r="AK191" s="228">
        <v>0</v>
      </c>
      <c r="AL191" s="228">
        <v>0</v>
      </c>
      <c r="AM191" s="228">
        <f t="shared" si="501"/>
        <v>-100</v>
      </c>
      <c r="AN191" s="228" cm="1">
        <f t="array" ref="AN191">IF(ISBLANK(G191), 1, IFERROR(MATCH(G191, INDEX(Kat,,1), 0), IFERROR(MATCH(Kat, INDEX(Use,,2), 0), MATCH(Kat, INDEX(Use,,3), 0))))</f>
        <v>1</v>
      </c>
      <c r="AO191" s="246"/>
      <c r="AP191" s="228" cm="1">
        <f t="array" ref="AP191">IF(W191&gt;0, INDEX(Kat, AN191,4), 0)</f>
        <v>0</v>
      </c>
      <c r="AQ191" s="228">
        <f t="shared" si="526"/>
        <v>0</v>
      </c>
      <c r="AR191" s="228" cm="1">
        <f t="array" ref="AR191">IF(X191&gt;0, INDEX(Kat, $AN191, 4+AQ191), 0)</f>
        <v>0</v>
      </c>
      <c r="AS191" s="228" cm="1">
        <f t="array" ref="AS191">IF(X191&gt;0, INDEX(Kat, $AN191, 9+AQ191), 0)</f>
        <v>0</v>
      </c>
      <c r="AT191" s="246"/>
      <c r="AU191" s="262"/>
      <c r="AV191" s="262"/>
      <c r="AW191" s="263"/>
      <c r="AX191" s="263"/>
      <c r="AY191" s="263"/>
      <c r="AZ191" s="263"/>
      <c r="BA191" s="263"/>
      <c r="BB191" s="263"/>
      <c r="BC191" s="263"/>
      <c r="BD191" s="263"/>
      <c r="BE191" s="263"/>
      <c r="BF191" s="263"/>
      <c r="BG191" s="263"/>
      <c r="BH191" s="246"/>
      <c r="BI191" s="228" cm="1">
        <f t="array" ref="BI191">INDEX(Use, $AH191, 4)</f>
        <v>7</v>
      </c>
      <c r="BJ191" s="228">
        <f t="shared" si="502"/>
        <v>32</v>
      </c>
      <c r="BK191" s="228">
        <f t="shared" si="305"/>
        <v>13</v>
      </c>
      <c r="BL191" s="228">
        <f t="shared" si="306"/>
        <v>0</v>
      </c>
      <c r="BM191" s="233" cm="1">
        <f t="array" ref="BM191">L191/IF($M191&gt;0, INDEX($AY$22:$BE$76, $M191+20, $AH191), 1)</f>
        <v>0</v>
      </c>
      <c r="BN191" s="229">
        <f t="shared" si="503"/>
        <v>0</v>
      </c>
      <c r="BO191" s="228">
        <v>35</v>
      </c>
      <c r="BP191" s="229">
        <f t="shared" si="504"/>
        <v>48</v>
      </c>
      <c r="BQ191" s="234">
        <f t="shared" si="505"/>
        <v>3.0748170731707316</v>
      </c>
      <c r="BR191" s="234" cm="1">
        <f t="array" ref="BR191">$BM191 * SUMPRODUCT(INDEX($AV$76:$AX$81,,$AI191),INDEX($AY$76:$BE$81,,$AH191), N($AU$76:$AU$81&gt;$AM191)) / BQ191 / 1000</f>
        <v>0</v>
      </c>
      <c r="BS191" s="231">
        <f t="shared" si="310"/>
        <v>30</v>
      </c>
      <c r="BT191" s="229">
        <f t="shared" si="506"/>
        <v>43</v>
      </c>
      <c r="BU191" s="234">
        <f t="shared" si="507"/>
        <v>3.5018750000000001</v>
      </c>
      <c r="BV191" s="234" cm="1">
        <f t="array" ref="BV191">$BM191 * IF($AH191&lt;=2,
SUMPRODUCT(INDEX($AV$71:$AX$75,,$AI191), INDEX($AY$71:$BE$75,,$AH191), 1 / ($BF$71:$BF$75*BU191 + (1-$BF$71:$BF$75)*BQ191), N($AU$71:$AU$75&gt;$AM191)),
SUMPRODUCT(INDEX($AV$66:$AX$75,,$AI191), INDEX($AY$66:$BE$75,,$AH191), 1 / ($BG$66:$BG$75*BU191 + (1-$BG$66:$BG$75)*BQ191), N($AU$66:$AU$75&gt;$AM191))
) / 1000</f>
        <v>0</v>
      </c>
      <c r="BW191" s="231">
        <f t="shared" si="313"/>
        <v>25</v>
      </c>
      <c r="BX191" s="229">
        <f t="shared" si="508"/>
        <v>38</v>
      </c>
      <c r="BY191" s="234">
        <f t="shared" si="509"/>
        <v>4.0666935483870965</v>
      </c>
      <c r="BZ191" s="234" cm="1">
        <f t="array" ref="BZ191">$BM191 * IF($AH191&lt;=2,
SUMPRODUCT(INDEX($AV$66:$AX$70,,$AI191), INDEX($AY$66:$BE$70,,$AH191), 1 / ($BF$66:$BF$70*BY191 + (1-$BF$66:$BF$70)*BU191), N($AU$66:$AU$70&gt;$AM191)),
SUMPRODUCT(INDEX($AV$56:$AX$65,,$AI191), INDEX($AY$56:$BE$65,,$AH191), 1 / ($BG$56:$BG$65*BY191 + (1-$BG$56:$BG$65)*BU191), N($AU$56:$AU$65&gt;$AM191))
) / 1000</f>
        <v>0</v>
      </c>
      <c r="CA191" s="231">
        <f t="shared" si="316"/>
        <v>20</v>
      </c>
      <c r="CB191" s="229">
        <f t="shared" si="510"/>
        <v>33</v>
      </c>
      <c r="CC191" s="234">
        <f t="shared" si="511"/>
        <v>4.8487499999999999</v>
      </c>
      <c r="CD191" s="234" cm="1">
        <f t="array" ref="CD191">$BM191 * IF($AH191&lt;=2,
SUMPRODUCT(INDEX($AV$61:$AX$65,,$AI191), INDEX($AY$61:$BE$65,,$AH191), 1 / ($BF$61:$BF$65*CC191 + (1-$BF$61:$BF$65)*BY191), N($AU$61:$AU$65&gt;$AM191)),
SUMPRODUCT(INDEX($AV$46:$AX$55,,$AI191), INDEX($AY$46:$BE$55,,$AH191), 1 / ($BG$46:$BG$55*CC191 + (1-$BG$46:$BG$55)*BY191), N($AU$46:$AU$55&gt;$AM191))
) / 1000</f>
        <v>0</v>
      </c>
      <c r="CE191" s="234" cm="1">
        <f t="array" ref="CE191">$BM191 * IF($AH191&lt;=2,
SUMPRODUCT(INDEX($AV$22:$AX$60,,$AI191), INDEX($AY$22:$BE$60,,$AH191), 1 / ($BF$22:$BF$60*CC191), N($AU$22:$AU$60&gt;$AM191)),
SUMPRODUCT(INDEX($AV$22:$AX$45,,$AI191), INDEX($AY$22:$BE$45,,$AH191), 1 / ($BG$22:$BG$45*CC191), N($AU$22:$AU$45&gt;$AM191))
) / 1000</f>
        <v>0</v>
      </c>
      <c r="CF191" s="229">
        <f t="shared" si="512"/>
        <v>0</v>
      </c>
      <c r="CG191" s="246"/>
      <c r="CH191" s="229">
        <f t="shared" si="513"/>
        <v>0</v>
      </c>
      <c r="CI191" s="228">
        <v>35</v>
      </c>
      <c r="CJ191" s="229">
        <f t="shared" si="514"/>
        <v>48</v>
      </c>
      <c r="CK191" s="234">
        <f t="shared" si="515"/>
        <v>3.0748170731707316</v>
      </c>
      <c r="CL191" s="234" cm="1">
        <f t="array" ref="CL191">$BM191 * SUMPRODUCT(INDEX($AV$76:$AX$81,,$AI191),INDEX($AY$76:$BE$81,,$AH191), N($AU$76:$AU$81&gt;$AM191)) / CK191 / 1000</f>
        <v>0</v>
      </c>
      <c r="CM191" s="231">
        <f t="shared" si="323"/>
        <v>30</v>
      </c>
      <c r="CN191" s="229">
        <f t="shared" si="516"/>
        <v>43</v>
      </c>
      <c r="CO191" s="234">
        <f t="shared" si="517"/>
        <v>3.5018750000000001</v>
      </c>
      <c r="CP191" s="234" cm="1">
        <f t="array" ref="CP191">$BM191 * IF($AH191&lt;=2,
SUMPRODUCT(INDEX($AV$71:$AX$75,,$AI191), INDEX($AY$71:$BE$75,,$AH191), 1 / ($BF$71:$BF$75*CO191 + (1-$BF$71:$BF$75)*CK191), N($AU$71:$AU$75&gt;$AM191)),
SUMPRODUCT(INDEX($AV$66:$AX$75,,$AI191), INDEX($AY$66:$BE$75,,$AH191), 1 / ($BG$66:$BG$75*CO191 + (1-$BG$66:$BG$75)*CK191), N($AU$66:$AU$75&gt;$AM191))
) / 1000</f>
        <v>0</v>
      </c>
      <c r="CQ191" s="231">
        <f t="shared" si="326"/>
        <v>25</v>
      </c>
      <c r="CR191" s="229">
        <f t="shared" si="518"/>
        <v>38</v>
      </c>
      <c r="CS191" s="234">
        <f t="shared" si="519"/>
        <v>4.0666935483870965</v>
      </c>
      <c r="CT191" s="234" cm="1">
        <f t="array" ref="CT191">$BM191 * IF($AH191&lt;=2,
SUMPRODUCT(INDEX($AV$66:$AX$70,,$AI191), INDEX($AY$66:$BE$70,,$AH191), 1 / ($BF$66:$BF$70*CS191 + (1-$BF$66:$BF$70)*CO191), N($AU$66:$AU$70&gt;$AM191)),
SUMPRODUCT(INDEX($AV$56:$AX$65,,$AI191), INDEX($AY$56:$BE$65,,$AH191), 1 / ($BG$56:$BG$65*CS191 + (1-$BG$56:$BG$65)*CO191), N($AU$56:$AU$65&gt;$AM191))
) / 1000</f>
        <v>0</v>
      </c>
      <c r="CU191" s="231">
        <f t="shared" si="329"/>
        <v>20</v>
      </c>
      <c r="CV191" s="229">
        <f t="shared" si="520"/>
        <v>33</v>
      </c>
      <c r="CW191" s="234">
        <f t="shared" si="521"/>
        <v>4.8487499999999999</v>
      </c>
      <c r="CX191" s="234" cm="1">
        <f t="array" ref="CX191">$BM191 * IF($AH191&lt;=2,
SUMPRODUCT(INDEX($AV$61:$AX$65,,$AI191), INDEX($AY$61:$BE$65,,$AH191), 1 / ($BF$61:$BF$65*CW191 + (1-$BF$61:$BF$65)*CS191), N($AU$61:$AU$65&gt;$AM191)),
SUMPRODUCT(INDEX($AV$46:$AX$55,,$AI191), INDEX($AY$46:$BE$55,,$AH191), 1 / ($BG$46:$BG$55*CW191 + (1-$BG$46:$BG$55)*CS191), N($AU$46:$AU$55&gt;$AM191))
) / 1000</f>
        <v>0</v>
      </c>
      <c r="CY191" s="234" cm="1">
        <f t="array" ref="CY191">$BM191 * IF($AH191&lt;=2,
SUMPRODUCT(INDEX($AV$22:$AX$60,,$AI191), INDEX($AY$22:$BE$60,,$AH191), 1 / ($BF$22:$BF$60*CW191), N($AU$22:$AU$60&gt;$AM191)),
SUMPRODUCT(INDEX($AV$22:$AX$45,,$AI191), INDEX($AY$22:$BE$45,,$AH191), 1 / ($BG$22:$BG$45*CW191), N($AU$22:$AU$45&gt;$AM191))
) / 1000</f>
        <v>0</v>
      </c>
      <c r="CZ191" s="229">
        <f t="shared" si="522"/>
        <v>0</v>
      </c>
      <c r="DA191" s="246"/>
    </row>
    <row r="192" spans="1:105" s="75" customFormat="1" ht="14.25" customHeight="1" x14ac:dyDescent="0.2">
      <c r="A192" s="230" t="b">
        <f t="shared" si="291"/>
        <v>0</v>
      </c>
      <c r="B192" s="253">
        <v>171</v>
      </c>
      <c r="C192" s="266"/>
      <c r="D192" s="266"/>
      <c r="E192" s="254"/>
      <c r="F192" s="255" t="str">
        <f>IF(ISBLANK(E192), "", VLOOKUP(E192, Z!$A$2:$C$4127, 3, FALSE))</f>
        <v/>
      </c>
      <c r="G192" s="256"/>
      <c r="H192" s="256"/>
      <c r="I192" s="256"/>
      <c r="J192" s="257"/>
      <c r="K192" s="258"/>
      <c r="L192" s="267"/>
      <c r="M192" s="268"/>
      <c r="N192" s="259" t="str" cm="1">
        <f t="array" ref="N192">IF($L192&gt;0, INDEX(Clean,1+AK192,$D$1), "")</f>
        <v/>
      </c>
      <c r="O192" s="260"/>
      <c r="P192" s="260"/>
      <c r="Q192" s="261"/>
      <c r="R192" s="264">
        <f t="shared" si="498"/>
        <v>0</v>
      </c>
      <c r="S192" s="259" t="str" cm="1">
        <f t="array" ref="S192">IF($L192&gt;0, INDEX(Clean,1+AL192,$D$1), "")</f>
        <v/>
      </c>
      <c r="T192" s="260"/>
      <c r="U192" s="260"/>
      <c r="V192" s="261"/>
      <c r="W192" s="267"/>
      <c r="X192" s="267"/>
      <c r="Y192" s="257"/>
      <c r="Z192" s="264">
        <f t="shared" si="499"/>
        <v>0</v>
      </c>
      <c r="AA192" s="269"/>
      <c r="AB192" s="266"/>
      <c r="AC192" s="254"/>
      <c r="AD192" s="255" t="str">
        <f>IF(ISBLANK(AC192), "", VLOOKUP(AC192, Z!$A$2:$C$4127, 3, FALSE))</f>
        <v/>
      </c>
      <c r="AE192" s="270"/>
      <c r="AF192" s="265">
        <f t="shared" si="500"/>
        <v>0</v>
      </c>
      <c r="AG192" s="246"/>
      <c r="AH192" s="228">
        <f t="shared" si="523"/>
        <v>1</v>
      </c>
      <c r="AI192" s="228">
        <f t="shared" si="524"/>
        <v>1</v>
      </c>
      <c r="AJ192" s="228">
        <f t="shared" si="525"/>
        <v>0</v>
      </c>
      <c r="AK192" s="228">
        <v>0</v>
      </c>
      <c r="AL192" s="228">
        <v>0</v>
      </c>
      <c r="AM192" s="228">
        <f t="shared" si="501"/>
        <v>-100</v>
      </c>
      <c r="AN192" s="228" cm="1">
        <f t="array" ref="AN192">IF(ISBLANK(G192), 1, IFERROR(MATCH(G192, INDEX(Kat,,1), 0), IFERROR(MATCH(Kat, INDEX(Use,,2), 0), MATCH(Kat, INDEX(Use,,3), 0))))</f>
        <v>1</v>
      </c>
      <c r="AO192" s="246"/>
      <c r="AP192" s="228" cm="1">
        <f t="array" ref="AP192">IF(W192&gt;0, INDEX(Kat, AN192,4), 0)</f>
        <v>0</v>
      </c>
      <c r="AQ192" s="228">
        <f t="shared" si="526"/>
        <v>0</v>
      </c>
      <c r="AR192" s="228" cm="1">
        <f t="array" ref="AR192">IF(X192&gt;0, INDEX(Kat, $AN192, 4+AQ192), 0)</f>
        <v>0</v>
      </c>
      <c r="AS192" s="228" cm="1">
        <f t="array" ref="AS192">IF(X192&gt;0, INDEX(Kat, $AN192, 9+AQ192), 0)</f>
        <v>0</v>
      </c>
      <c r="AT192" s="246"/>
      <c r="AU192" s="262"/>
      <c r="AV192" s="262"/>
      <c r="AW192" s="263"/>
      <c r="AX192" s="263"/>
      <c r="AY192" s="263"/>
      <c r="AZ192" s="263"/>
      <c r="BA192" s="263"/>
      <c r="BB192" s="263"/>
      <c r="BC192" s="263"/>
      <c r="BD192" s="263"/>
      <c r="BE192" s="263"/>
      <c r="BF192" s="263"/>
      <c r="BG192" s="263"/>
      <c r="BH192" s="246"/>
      <c r="BI192" s="228" cm="1">
        <f t="array" ref="BI192">INDEX(Use, $AH192, 4)</f>
        <v>7</v>
      </c>
      <c r="BJ192" s="228">
        <f t="shared" si="502"/>
        <v>32</v>
      </c>
      <c r="BK192" s="228">
        <f t="shared" si="305"/>
        <v>13</v>
      </c>
      <c r="BL192" s="228">
        <f t="shared" si="306"/>
        <v>0</v>
      </c>
      <c r="BM192" s="233" cm="1">
        <f t="array" ref="BM192">L192/IF($M192&gt;0, INDEX($AY$22:$BE$76, $M192+20, $AH192), 1)</f>
        <v>0</v>
      </c>
      <c r="BN192" s="229">
        <f t="shared" si="503"/>
        <v>0</v>
      </c>
      <c r="BO192" s="228">
        <v>35</v>
      </c>
      <c r="BP192" s="229">
        <f t="shared" si="504"/>
        <v>48</v>
      </c>
      <c r="BQ192" s="234">
        <f t="shared" si="505"/>
        <v>3.0748170731707316</v>
      </c>
      <c r="BR192" s="234" cm="1">
        <f t="array" ref="BR192">$BM192 * SUMPRODUCT(INDEX($AV$76:$AX$81,,$AI192),INDEX($AY$76:$BE$81,,$AH192), N($AU$76:$AU$81&gt;$AM192)) / BQ192 / 1000</f>
        <v>0</v>
      </c>
      <c r="BS192" s="231">
        <f t="shared" si="310"/>
        <v>30</v>
      </c>
      <c r="BT192" s="229">
        <f t="shared" si="506"/>
        <v>43</v>
      </c>
      <c r="BU192" s="234">
        <f t="shared" si="507"/>
        <v>3.5018750000000001</v>
      </c>
      <c r="BV192" s="234" cm="1">
        <f t="array" ref="BV192">$BM192 * IF($AH192&lt;=2,
SUMPRODUCT(INDEX($AV$71:$AX$75,,$AI192), INDEX($AY$71:$BE$75,,$AH192), 1 / ($BF$71:$BF$75*BU192 + (1-$BF$71:$BF$75)*BQ192), N($AU$71:$AU$75&gt;$AM192)),
SUMPRODUCT(INDEX($AV$66:$AX$75,,$AI192), INDEX($AY$66:$BE$75,,$AH192), 1 / ($BG$66:$BG$75*BU192 + (1-$BG$66:$BG$75)*BQ192), N($AU$66:$AU$75&gt;$AM192))
) / 1000</f>
        <v>0</v>
      </c>
      <c r="BW192" s="231">
        <f t="shared" si="313"/>
        <v>25</v>
      </c>
      <c r="BX192" s="229">
        <f t="shared" si="508"/>
        <v>38</v>
      </c>
      <c r="BY192" s="234">
        <f t="shared" si="509"/>
        <v>4.0666935483870965</v>
      </c>
      <c r="BZ192" s="234" cm="1">
        <f t="array" ref="BZ192">$BM192 * IF($AH192&lt;=2,
SUMPRODUCT(INDEX($AV$66:$AX$70,,$AI192), INDEX($AY$66:$BE$70,,$AH192), 1 / ($BF$66:$BF$70*BY192 + (1-$BF$66:$BF$70)*BU192), N($AU$66:$AU$70&gt;$AM192)),
SUMPRODUCT(INDEX($AV$56:$AX$65,,$AI192), INDEX($AY$56:$BE$65,,$AH192), 1 / ($BG$56:$BG$65*BY192 + (1-$BG$56:$BG$65)*BU192), N($AU$56:$AU$65&gt;$AM192))
) / 1000</f>
        <v>0</v>
      </c>
      <c r="CA192" s="231">
        <f t="shared" si="316"/>
        <v>20</v>
      </c>
      <c r="CB192" s="229">
        <f t="shared" si="510"/>
        <v>33</v>
      </c>
      <c r="CC192" s="234">
        <f t="shared" si="511"/>
        <v>4.8487499999999999</v>
      </c>
      <c r="CD192" s="234" cm="1">
        <f t="array" ref="CD192">$BM192 * IF($AH192&lt;=2,
SUMPRODUCT(INDEX($AV$61:$AX$65,,$AI192), INDEX($AY$61:$BE$65,,$AH192), 1 / ($BF$61:$BF$65*CC192 + (1-$BF$61:$BF$65)*BY192), N($AU$61:$AU$65&gt;$AM192)),
SUMPRODUCT(INDEX($AV$46:$AX$55,,$AI192), INDEX($AY$46:$BE$55,,$AH192), 1 / ($BG$46:$BG$55*CC192 + (1-$BG$46:$BG$55)*BY192), N($AU$46:$AU$55&gt;$AM192))
) / 1000</f>
        <v>0</v>
      </c>
      <c r="CE192" s="234" cm="1">
        <f t="array" ref="CE192">$BM192 * IF($AH192&lt;=2,
SUMPRODUCT(INDEX($AV$22:$AX$60,,$AI192), INDEX($AY$22:$BE$60,,$AH192), 1 / ($BF$22:$BF$60*CC192), N($AU$22:$AU$60&gt;$AM192)),
SUMPRODUCT(INDEX($AV$22:$AX$45,,$AI192), INDEX($AY$22:$BE$45,,$AH192), 1 / ($BG$22:$BG$45*CC192), N($AU$22:$AU$45&gt;$AM192))
) / 1000</f>
        <v>0</v>
      </c>
      <c r="CF192" s="229">
        <f t="shared" si="512"/>
        <v>0</v>
      </c>
      <c r="CG192" s="246"/>
      <c r="CH192" s="229">
        <f t="shared" si="513"/>
        <v>0</v>
      </c>
      <c r="CI192" s="228">
        <v>35</v>
      </c>
      <c r="CJ192" s="229">
        <f t="shared" si="514"/>
        <v>48</v>
      </c>
      <c r="CK192" s="234">
        <f t="shared" si="515"/>
        <v>3.0748170731707316</v>
      </c>
      <c r="CL192" s="234" cm="1">
        <f t="array" ref="CL192">$BM192 * SUMPRODUCT(INDEX($AV$76:$AX$81,,$AI192),INDEX($AY$76:$BE$81,,$AH192), N($AU$76:$AU$81&gt;$AM192)) / CK192 / 1000</f>
        <v>0</v>
      </c>
      <c r="CM192" s="231">
        <f t="shared" si="323"/>
        <v>30</v>
      </c>
      <c r="CN192" s="229">
        <f t="shared" si="516"/>
        <v>43</v>
      </c>
      <c r="CO192" s="234">
        <f t="shared" si="517"/>
        <v>3.5018750000000001</v>
      </c>
      <c r="CP192" s="234" cm="1">
        <f t="array" ref="CP192">$BM192 * IF($AH192&lt;=2,
SUMPRODUCT(INDEX($AV$71:$AX$75,,$AI192), INDEX($AY$71:$BE$75,,$AH192), 1 / ($BF$71:$BF$75*CO192 + (1-$BF$71:$BF$75)*CK192), N($AU$71:$AU$75&gt;$AM192)),
SUMPRODUCT(INDEX($AV$66:$AX$75,,$AI192), INDEX($AY$66:$BE$75,,$AH192), 1 / ($BG$66:$BG$75*CO192 + (1-$BG$66:$BG$75)*CK192), N($AU$66:$AU$75&gt;$AM192))
) / 1000</f>
        <v>0</v>
      </c>
      <c r="CQ192" s="231">
        <f t="shared" si="326"/>
        <v>25</v>
      </c>
      <c r="CR192" s="229">
        <f t="shared" si="518"/>
        <v>38</v>
      </c>
      <c r="CS192" s="234">
        <f t="shared" si="519"/>
        <v>4.0666935483870965</v>
      </c>
      <c r="CT192" s="234" cm="1">
        <f t="array" ref="CT192">$BM192 * IF($AH192&lt;=2,
SUMPRODUCT(INDEX($AV$66:$AX$70,,$AI192), INDEX($AY$66:$BE$70,,$AH192), 1 / ($BF$66:$BF$70*CS192 + (1-$BF$66:$BF$70)*CO192), N($AU$66:$AU$70&gt;$AM192)),
SUMPRODUCT(INDEX($AV$56:$AX$65,,$AI192), INDEX($AY$56:$BE$65,,$AH192), 1 / ($BG$56:$BG$65*CS192 + (1-$BG$56:$BG$65)*CO192), N($AU$56:$AU$65&gt;$AM192))
) / 1000</f>
        <v>0</v>
      </c>
      <c r="CU192" s="231">
        <f t="shared" si="329"/>
        <v>20</v>
      </c>
      <c r="CV192" s="229">
        <f t="shared" si="520"/>
        <v>33</v>
      </c>
      <c r="CW192" s="234">
        <f t="shared" si="521"/>
        <v>4.8487499999999999</v>
      </c>
      <c r="CX192" s="234" cm="1">
        <f t="array" ref="CX192">$BM192 * IF($AH192&lt;=2,
SUMPRODUCT(INDEX($AV$61:$AX$65,,$AI192), INDEX($AY$61:$BE$65,,$AH192), 1 / ($BF$61:$BF$65*CW192 + (1-$BF$61:$BF$65)*CS192), N($AU$61:$AU$65&gt;$AM192)),
SUMPRODUCT(INDEX($AV$46:$AX$55,,$AI192), INDEX($AY$46:$BE$55,,$AH192), 1 / ($BG$46:$BG$55*CW192 + (1-$BG$46:$BG$55)*CS192), N($AU$46:$AU$55&gt;$AM192))
) / 1000</f>
        <v>0</v>
      </c>
      <c r="CY192" s="234" cm="1">
        <f t="array" ref="CY192">$BM192 * IF($AH192&lt;=2,
SUMPRODUCT(INDEX($AV$22:$AX$60,,$AI192), INDEX($AY$22:$BE$60,,$AH192), 1 / ($BF$22:$BF$60*CW192), N($AU$22:$AU$60&gt;$AM192)),
SUMPRODUCT(INDEX($AV$22:$AX$45,,$AI192), INDEX($AY$22:$BE$45,,$AH192), 1 / ($BG$22:$BG$45*CW192), N($AU$22:$AU$45&gt;$AM192))
) / 1000</f>
        <v>0</v>
      </c>
      <c r="CZ192" s="229">
        <f t="shared" si="522"/>
        <v>0</v>
      </c>
      <c r="DA192" s="246"/>
    </row>
    <row r="193" spans="1:105" s="75" customFormat="1" ht="14.25" customHeight="1" x14ac:dyDescent="0.2">
      <c r="A193" s="230" t="b">
        <f t="shared" si="291"/>
        <v>0</v>
      </c>
      <c r="B193" s="253">
        <v>172</v>
      </c>
      <c r="C193" s="266"/>
      <c r="D193" s="266"/>
      <c r="E193" s="254"/>
      <c r="F193" s="255" t="str">
        <f>IF(ISBLANK(E193), "", VLOOKUP(E193, Z!$A$2:$C$4127, 3, FALSE))</f>
        <v/>
      </c>
      <c r="G193" s="256"/>
      <c r="H193" s="256"/>
      <c r="I193" s="256"/>
      <c r="J193" s="257"/>
      <c r="K193" s="258"/>
      <c r="L193" s="267"/>
      <c r="M193" s="268"/>
      <c r="N193" s="259" t="str" cm="1">
        <f t="array" ref="N193">IF($L193&gt;0, INDEX(Clean,1+AK193,$D$1), "")</f>
        <v/>
      </c>
      <c r="O193" s="260"/>
      <c r="P193" s="260"/>
      <c r="Q193" s="261"/>
      <c r="R193" s="264">
        <f t="shared" si="498"/>
        <v>0</v>
      </c>
      <c r="S193" s="259" t="str" cm="1">
        <f t="array" ref="S193">IF($L193&gt;0, INDEX(Clean,1+AL193,$D$1), "")</f>
        <v/>
      </c>
      <c r="T193" s="260"/>
      <c r="U193" s="260"/>
      <c r="V193" s="261"/>
      <c r="W193" s="267"/>
      <c r="X193" s="267"/>
      <c r="Y193" s="257"/>
      <c r="Z193" s="264">
        <f t="shared" si="499"/>
        <v>0</v>
      </c>
      <c r="AA193" s="269"/>
      <c r="AB193" s="266"/>
      <c r="AC193" s="254"/>
      <c r="AD193" s="255" t="str">
        <f>IF(ISBLANK(AC193), "", VLOOKUP(AC193, Z!$A$2:$C$4127, 3, FALSE))</f>
        <v/>
      </c>
      <c r="AE193" s="270"/>
      <c r="AF193" s="265">
        <f t="shared" si="500"/>
        <v>0</v>
      </c>
      <c r="AG193" s="246"/>
      <c r="AH193" s="228">
        <f t="shared" si="523"/>
        <v>1</v>
      </c>
      <c r="AI193" s="228">
        <f t="shared" si="524"/>
        <v>1</v>
      </c>
      <c r="AJ193" s="228">
        <f t="shared" si="525"/>
        <v>0</v>
      </c>
      <c r="AK193" s="228">
        <v>0</v>
      </c>
      <c r="AL193" s="228">
        <v>0</v>
      </c>
      <c r="AM193" s="228">
        <f t="shared" si="501"/>
        <v>-100</v>
      </c>
      <c r="AN193" s="228" cm="1">
        <f t="array" ref="AN193">IF(ISBLANK(G193), 1, IFERROR(MATCH(G193, INDEX(Kat,,1), 0), IFERROR(MATCH(Kat, INDEX(Use,,2), 0), MATCH(Kat, INDEX(Use,,3), 0))))</f>
        <v>1</v>
      </c>
      <c r="AO193" s="246"/>
      <c r="AP193" s="228" cm="1">
        <f t="array" ref="AP193">IF(W193&gt;0, INDEX(Kat, AN193,4), 0)</f>
        <v>0</v>
      </c>
      <c r="AQ193" s="228">
        <f t="shared" si="526"/>
        <v>0</v>
      </c>
      <c r="AR193" s="228" cm="1">
        <f t="array" ref="AR193">IF(X193&gt;0, INDEX(Kat, $AN193, 4+AQ193), 0)</f>
        <v>0</v>
      </c>
      <c r="AS193" s="228" cm="1">
        <f t="array" ref="AS193">IF(X193&gt;0, INDEX(Kat, $AN193, 9+AQ193), 0)</f>
        <v>0</v>
      </c>
      <c r="AT193" s="246"/>
      <c r="AU193" s="262"/>
      <c r="AV193" s="262"/>
      <c r="AW193" s="263"/>
      <c r="AX193" s="263"/>
      <c r="AY193" s="263"/>
      <c r="AZ193" s="263"/>
      <c r="BA193" s="263"/>
      <c r="BB193" s="263"/>
      <c r="BC193" s="263"/>
      <c r="BD193" s="263"/>
      <c r="BE193" s="263"/>
      <c r="BF193" s="263"/>
      <c r="BG193" s="263"/>
      <c r="BH193" s="246"/>
      <c r="BI193" s="228" cm="1">
        <f t="array" ref="BI193">INDEX(Use, $AH193, 4)</f>
        <v>7</v>
      </c>
      <c r="BJ193" s="228">
        <f t="shared" si="502"/>
        <v>32</v>
      </c>
      <c r="BK193" s="228">
        <f t="shared" si="305"/>
        <v>13</v>
      </c>
      <c r="BL193" s="228">
        <f t="shared" si="306"/>
        <v>0</v>
      </c>
      <c r="BM193" s="233" cm="1">
        <f t="array" ref="BM193">L193/IF($M193&gt;0, INDEX($AY$22:$BE$76, $M193+20, $AH193), 1)</f>
        <v>0</v>
      </c>
      <c r="BN193" s="229">
        <f t="shared" si="503"/>
        <v>0</v>
      </c>
      <c r="BO193" s="228">
        <v>35</v>
      </c>
      <c r="BP193" s="229">
        <f t="shared" si="504"/>
        <v>48</v>
      </c>
      <c r="BQ193" s="234">
        <f t="shared" si="505"/>
        <v>3.0748170731707316</v>
      </c>
      <c r="BR193" s="234" cm="1">
        <f t="array" ref="BR193">$BM193 * SUMPRODUCT(INDEX($AV$76:$AX$81,,$AI193),INDEX($AY$76:$BE$81,,$AH193), N($AU$76:$AU$81&gt;$AM193)) / BQ193 / 1000</f>
        <v>0</v>
      </c>
      <c r="BS193" s="231">
        <f t="shared" si="310"/>
        <v>30</v>
      </c>
      <c r="BT193" s="229">
        <f t="shared" si="506"/>
        <v>43</v>
      </c>
      <c r="BU193" s="234">
        <f t="shared" si="507"/>
        <v>3.5018750000000001</v>
      </c>
      <c r="BV193" s="234" cm="1">
        <f t="array" ref="BV193">$BM193 * IF($AH193&lt;=2,
SUMPRODUCT(INDEX($AV$71:$AX$75,,$AI193), INDEX($AY$71:$BE$75,,$AH193), 1 / ($BF$71:$BF$75*BU193 + (1-$BF$71:$BF$75)*BQ193), N($AU$71:$AU$75&gt;$AM193)),
SUMPRODUCT(INDEX($AV$66:$AX$75,,$AI193), INDEX($AY$66:$BE$75,,$AH193), 1 / ($BG$66:$BG$75*BU193 + (1-$BG$66:$BG$75)*BQ193), N($AU$66:$AU$75&gt;$AM193))
) / 1000</f>
        <v>0</v>
      </c>
      <c r="BW193" s="231">
        <f t="shared" si="313"/>
        <v>25</v>
      </c>
      <c r="BX193" s="229">
        <f t="shared" si="508"/>
        <v>38</v>
      </c>
      <c r="BY193" s="234">
        <f t="shared" si="509"/>
        <v>4.0666935483870965</v>
      </c>
      <c r="BZ193" s="234" cm="1">
        <f t="array" ref="BZ193">$BM193 * IF($AH193&lt;=2,
SUMPRODUCT(INDEX($AV$66:$AX$70,,$AI193), INDEX($AY$66:$BE$70,,$AH193), 1 / ($BF$66:$BF$70*BY193 + (1-$BF$66:$BF$70)*BU193), N($AU$66:$AU$70&gt;$AM193)),
SUMPRODUCT(INDEX($AV$56:$AX$65,,$AI193), INDEX($AY$56:$BE$65,,$AH193), 1 / ($BG$56:$BG$65*BY193 + (1-$BG$56:$BG$65)*BU193), N($AU$56:$AU$65&gt;$AM193))
) / 1000</f>
        <v>0</v>
      </c>
      <c r="CA193" s="231">
        <f t="shared" si="316"/>
        <v>20</v>
      </c>
      <c r="CB193" s="229">
        <f t="shared" si="510"/>
        <v>33</v>
      </c>
      <c r="CC193" s="234">
        <f t="shared" si="511"/>
        <v>4.8487499999999999</v>
      </c>
      <c r="CD193" s="234" cm="1">
        <f t="array" ref="CD193">$BM193 * IF($AH193&lt;=2,
SUMPRODUCT(INDEX($AV$61:$AX$65,,$AI193), INDEX($AY$61:$BE$65,,$AH193), 1 / ($BF$61:$BF$65*CC193 + (1-$BF$61:$BF$65)*BY193), N($AU$61:$AU$65&gt;$AM193)),
SUMPRODUCT(INDEX($AV$46:$AX$55,,$AI193), INDEX($AY$46:$BE$55,,$AH193), 1 / ($BG$46:$BG$55*CC193 + (1-$BG$46:$BG$55)*BY193), N($AU$46:$AU$55&gt;$AM193))
) / 1000</f>
        <v>0</v>
      </c>
      <c r="CE193" s="234" cm="1">
        <f t="array" ref="CE193">$BM193 * IF($AH193&lt;=2,
SUMPRODUCT(INDEX($AV$22:$AX$60,,$AI193), INDEX($AY$22:$BE$60,,$AH193), 1 / ($BF$22:$BF$60*CC193), N($AU$22:$AU$60&gt;$AM193)),
SUMPRODUCT(INDEX($AV$22:$AX$45,,$AI193), INDEX($AY$22:$BE$45,,$AH193), 1 / ($BG$22:$BG$45*CC193), N($AU$22:$AU$45&gt;$AM193))
) / 1000</f>
        <v>0</v>
      </c>
      <c r="CF193" s="229">
        <f t="shared" si="512"/>
        <v>0</v>
      </c>
      <c r="CG193" s="246"/>
      <c r="CH193" s="229">
        <f t="shared" si="513"/>
        <v>0</v>
      </c>
      <c r="CI193" s="228">
        <v>35</v>
      </c>
      <c r="CJ193" s="229">
        <f t="shared" si="514"/>
        <v>48</v>
      </c>
      <c r="CK193" s="234">
        <f t="shared" si="515"/>
        <v>3.0748170731707316</v>
      </c>
      <c r="CL193" s="234" cm="1">
        <f t="array" ref="CL193">$BM193 * SUMPRODUCT(INDEX($AV$76:$AX$81,,$AI193),INDEX($AY$76:$BE$81,,$AH193), N($AU$76:$AU$81&gt;$AM193)) / CK193 / 1000</f>
        <v>0</v>
      </c>
      <c r="CM193" s="231">
        <f t="shared" si="323"/>
        <v>30</v>
      </c>
      <c r="CN193" s="229">
        <f t="shared" si="516"/>
        <v>43</v>
      </c>
      <c r="CO193" s="234">
        <f t="shared" si="517"/>
        <v>3.5018750000000001</v>
      </c>
      <c r="CP193" s="234" cm="1">
        <f t="array" ref="CP193">$BM193 * IF($AH193&lt;=2,
SUMPRODUCT(INDEX($AV$71:$AX$75,,$AI193), INDEX($AY$71:$BE$75,,$AH193), 1 / ($BF$71:$BF$75*CO193 + (1-$BF$71:$BF$75)*CK193), N($AU$71:$AU$75&gt;$AM193)),
SUMPRODUCT(INDEX($AV$66:$AX$75,,$AI193), INDEX($AY$66:$BE$75,,$AH193), 1 / ($BG$66:$BG$75*CO193 + (1-$BG$66:$BG$75)*CK193), N($AU$66:$AU$75&gt;$AM193))
) / 1000</f>
        <v>0</v>
      </c>
      <c r="CQ193" s="231">
        <f t="shared" si="326"/>
        <v>25</v>
      </c>
      <c r="CR193" s="229">
        <f t="shared" si="518"/>
        <v>38</v>
      </c>
      <c r="CS193" s="234">
        <f t="shared" si="519"/>
        <v>4.0666935483870965</v>
      </c>
      <c r="CT193" s="234" cm="1">
        <f t="array" ref="CT193">$BM193 * IF($AH193&lt;=2,
SUMPRODUCT(INDEX($AV$66:$AX$70,,$AI193), INDEX($AY$66:$BE$70,,$AH193), 1 / ($BF$66:$BF$70*CS193 + (1-$BF$66:$BF$70)*CO193), N($AU$66:$AU$70&gt;$AM193)),
SUMPRODUCT(INDEX($AV$56:$AX$65,,$AI193), INDEX($AY$56:$BE$65,,$AH193), 1 / ($BG$56:$BG$65*CS193 + (1-$BG$56:$BG$65)*CO193), N($AU$56:$AU$65&gt;$AM193))
) / 1000</f>
        <v>0</v>
      </c>
      <c r="CU193" s="231">
        <f t="shared" si="329"/>
        <v>20</v>
      </c>
      <c r="CV193" s="229">
        <f t="shared" si="520"/>
        <v>33</v>
      </c>
      <c r="CW193" s="234">
        <f t="shared" si="521"/>
        <v>4.8487499999999999</v>
      </c>
      <c r="CX193" s="234" cm="1">
        <f t="array" ref="CX193">$BM193 * IF($AH193&lt;=2,
SUMPRODUCT(INDEX($AV$61:$AX$65,,$AI193), INDEX($AY$61:$BE$65,,$AH193), 1 / ($BF$61:$BF$65*CW193 + (1-$BF$61:$BF$65)*CS193), N($AU$61:$AU$65&gt;$AM193)),
SUMPRODUCT(INDEX($AV$46:$AX$55,,$AI193), INDEX($AY$46:$BE$55,,$AH193), 1 / ($BG$46:$BG$55*CW193 + (1-$BG$46:$BG$55)*CS193), N($AU$46:$AU$55&gt;$AM193))
) / 1000</f>
        <v>0</v>
      </c>
      <c r="CY193" s="234" cm="1">
        <f t="array" ref="CY193">$BM193 * IF($AH193&lt;=2,
SUMPRODUCT(INDEX($AV$22:$AX$60,,$AI193), INDEX($AY$22:$BE$60,,$AH193), 1 / ($BF$22:$BF$60*CW193), N($AU$22:$AU$60&gt;$AM193)),
SUMPRODUCT(INDEX($AV$22:$AX$45,,$AI193), INDEX($AY$22:$BE$45,,$AH193), 1 / ($BG$22:$BG$45*CW193), N($AU$22:$AU$45&gt;$AM193))
) / 1000</f>
        <v>0</v>
      </c>
      <c r="CZ193" s="229">
        <f t="shared" si="522"/>
        <v>0</v>
      </c>
      <c r="DA193" s="246"/>
    </row>
    <row r="194" spans="1:105" s="75" customFormat="1" ht="14.25" customHeight="1" x14ac:dyDescent="0.2">
      <c r="A194" s="230" t="b">
        <f t="shared" si="291"/>
        <v>0</v>
      </c>
      <c r="B194" s="253">
        <v>173</v>
      </c>
      <c r="C194" s="266"/>
      <c r="D194" s="266"/>
      <c r="E194" s="254"/>
      <c r="F194" s="255" t="str">
        <f>IF(ISBLANK(E194), "", VLOOKUP(E194, Z!$A$2:$C$4127, 3, FALSE))</f>
        <v/>
      </c>
      <c r="G194" s="256"/>
      <c r="H194" s="256"/>
      <c r="I194" s="256"/>
      <c r="J194" s="257"/>
      <c r="K194" s="258"/>
      <c r="L194" s="267"/>
      <c r="M194" s="268"/>
      <c r="N194" s="259" t="str" cm="1">
        <f t="array" ref="N194">IF($L194&gt;0, INDEX(Clean,1+AK194,$D$1), "")</f>
        <v/>
      </c>
      <c r="O194" s="260"/>
      <c r="P194" s="260"/>
      <c r="Q194" s="261"/>
      <c r="R194" s="264">
        <f t="shared" si="498"/>
        <v>0</v>
      </c>
      <c r="S194" s="259" t="str" cm="1">
        <f t="array" ref="S194">IF($L194&gt;0, INDEX(Clean,1+AL194,$D$1), "")</f>
        <v/>
      </c>
      <c r="T194" s="260"/>
      <c r="U194" s="260"/>
      <c r="V194" s="261"/>
      <c r="W194" s="267"/>
      <c r="X194" s="267"/>
      <c r="Y194" s="257"/>
      <c r="Z194" s="264">
        <f t="shared" si="499"/>
        <v>0</v>
      </c>
      <c r="AA194" s="269"/>
      <c r="AB194" s="266"/>
      <c r="AC194" s="254"/>
      <c r="AD194" s="255" t="str">
        <f>IF(ISBLANK(AC194), "", VLOOKUP(AC194, Z!$A$2:$C$4127, 3, FALSE))</f>
        <v/>
      </c>
      <c r="AE194" s="270"/>
      <c r="AF194" s="265">
        <f t="shared" si="500"/>
        <v>0</v>
      </c>
      <c r="AG194" s="246"/>
      <c r="AH194" s="228">
        <f t="shared" si="523"/>
        <v>1</v>
      </c>
      <c r="AI194" s="228">
        <f t="shared" si="524"/>
        <v>1</v>
      </c>
      <c r="AJ194" s="228">
        <f t="shared" si="525"/>
        <v>0</v>
      </c>
      <c r="AK194" s="228">
        <v>0</v>
      </c>
      <c r="AL194" s="228">
        <v>0</v>
      </c>
      <c r="AM194" s="228">
        <f t="shared" si="501"/>
        <v>-100</v>
      </c>
      <c r="AN194" s="228" cm="1">
        <f t="array" ref="AN194">IF(ISBLANK(G194), 1, IFERROR(MATCH(G194, INDEX(Kat,,1), 0), IFERROR(MATCH(Kat, INDEX(Use,,2), 0), MATCH(Kat, INDEX(Use,,3), 0))))</f>
        <v>1</v>
      </c>
      <c r="AO194" s="246"/>
      <c r="AP194" s="228" cm="1">
        <f t="array" ref="AP194">IF(W194&gt;0, INDEX(Kat, AN194,4), 0)</f>
        <v>0</v>
      </c>
      <c r="AQ194" s="228">
        <f t="shared" si="526"/>
        <v>0</v>
      </c>
      <c r="AR194" s="228" cm="1">
        <f t="array" ref="AR194">IF(X194&gt;0, INDEX(Kat, $AN194, 4+AQ194), 0)</f>
        <v>0</v>
      </c>
      <c r="AS194" s="228" cm="1">
        <f t="array" ref="AS194">IF(X194&gt;0, INDEX(Kat, $AN194, 9+AQ194), 0)</f>
        <v>0</v>
      </c>
      <c r="AT194" s="246"/>
      <c r="AU194" s="262"/>
      <c r="AV194" s="262"/>
      <c r="AW194" s="263"/>
      <c r="AX194" s="263"/>
      <c r="AY194" s="263"/>
      <c r="AZ194" s="263"/>
      <c r="BA194" s="263"/>
      <c r="BB194" s="263"/>
      <c r="BC194" s="263"/>
      <c r="BD194" s="263"/>
      <c r="BE194" s="263"/>
      <c r="BF194" s="263"/>
      <c r="BG194" s="263"/>
      <c r="BH194" s="246"/>
      <c r="BI194" s="228" cm="1">
        <f t="array" ref="BI194">INDEX(Use, $AH194, 4)</f>
        <v>7</v>
      </c>
      <c r="BJ194" s="228">
        <f t="shared" si="502"/>
        <v>32</v>
      </c>
      <c r="BK194" s="228">
        <f t="shared" si="305"/>
        <v>13</v>
      </c>
      <c r="BL194" s="228">
        <f t="shared" si="306"/>
        <v>0</v>
      </c>
      <c r="BM194" s="233" cm="1">
        <f t="array" ref="BM194">L194/IF($M194&gt;0, INDEX($AY$22:$BE$76, $M194+20, $AH194), 1)</f>
        <v>0</v>
      </c>
      <c r="BN194" s="229">
        <f t="shared" si="503"/>
        <v>0</v>
      </c>
      <c r="BO194" s="228">
        <v>35</v>
      </c>
      <c r="BP194" s="229">
        <f t="shared" si="504"/>
        <v>48</v>
      </c>
      <c r="BQ194" s="234">
        <f t="shared" si="505"/>
        <v>3.0748170731707316</v>
      </c>
      <c r="BR194" s="234" cm="1">
        <f t="array" ref="BR194">$BM194 * SUMPRODUCT(INDEX($AV$76:$AX$81,,$AI194),INDEX($AY$76:$BE$81,,$AH194), N($AU$76:$AU$81&gt;$AM194)) / BQ194 / 1000</f>
        <v>0</v>
      </c>
      <c r="BS194" s="231">
        <f t="shared" si="310"/>
        <v>30</v>
      </c>
      <c r="BT194" s="229">
        <f t="shared" si="506"/>
        <v>43</v>
      </c>
      <c r="BU194" s="234">
        <f t="shared" si="507"/>
        <v>3.5018750000000001</v>
      </c>
      <c r="BV194" s="234" cm="1">
        <f t="array" ref="BV194">$BM194 * IF($AH194&lt;=2,
SUMPRODUCT(INDEX($AV$71:$AX$75,,$AI194), INDEX($AY$71:$BE$75,,$AH194), 1 / ($BF$71:$BF$75*BU194 + (1-$BF$71:$BF$75)*BQ194), N($AU$71:$AU$75&gt;$AM194)),
SUMPRODUCT(INDEX($AV$66:$AX$75,,$AI194), INDEX($AY$66:$BE$75,,$AH194), 1 / ($BG$66:$BG$75*BU194 + (1-$BG$66:$BG$75)*BQ194), N($AU$66:$AU$75&gt;$AM194))
) / 1000</f>
        <v>0</v>
      </c>
      <c r="BW194" s="231">
        <f t="shared" si="313"/>
        <v>25</v>
      </c>
      <c r="BX194" s="229">
        <f t="shared" si="508"/>
        <v>38</v>
      </c>
      <c r="BY194" s="234">
        <f t="shared" si="509"/>
        <v>4.0666935483870965</v>
      </c>
      <c r="BZ194" s="234" cm="1">
        <f t="array" ref="BZ194">$BM194 * IF($AH194&lt;=2,
SUMPRODUCT(INDEX($AV$66:$AX$70,,$AI194), INDEX($AY$66:$BE$70,,$AH194), 1 / ($BF$66:$BF$70*BY194 + (1-$BF$66:$BF$70)*BU194), N($AU$66:$AU$70&gt;$AM194)),
SUMPRODUCT(INDEX($AV$56:$AX$65,,$AI194), INDEX($AY$56:$BE$65,,$AH194), 1 / ($BG$56:$BG$65*BY194 + (1-$BG$56:$BG$65)*BU194), N($AU$56:$AU$65&gt;$AM194))
) / 1000</f>
        <v>0</v>
      </c>
      <c r="CA194" s="231">
        <f t="shared" si="316"/>
        <v>20</v>
      </c>
      <c r="CB194" s="229">
        <f t="shared" si="510"/>
        <v>33</v>
      </c>
      <c r="CC194" s="234">
        <f t="shared" si="511"/>
        <v>4.8487499999999999</v>
      </c>
      <c r="CD194" s="234" cm="1">
        <f t="array" ref="CD194">$BM194 * IF($AH194&lt;=2,
SUMPRODUCT(INDEX($AV$61:$AX$65,,$AI194), INDEX($AY$61:$BE$65,,$AH194), 1 / ($BF$61:$BF$65*CC194 + (1-$BF$61:$BF$65)*BY194), N($AU$61:$AU$65&gt;$AM194)),
SUMPRODUCT(INDEX($AV$46:$AX$55,,$AI194), INDEX($AY$46:$BE$55,,$AH194), 1 / ($BG$46:$BG$55*CC194 + (1-$BG$46:$BG$55)*BY194), N($AU$46:$AU$55&gt;$AM194))
) / 1000</f>
        <v>0</v>
      </c>
      <c r="CE194" s="234" cm="1">
        <f t="array" ref="CE194">$BM194 * IF($AH194&lt;=2,
SUMPRODUCT(INDEX($AV$22:$AX$60,,$AI194), INDEX($AY$22:$BE$60,,$AH194), 1 / ($BF$22:$BF$60*CC194), N($AU$22:$AU$60&gt;$AM194)),
SUMPRODUCT(INDEX($AV$22:$AX$45,,$AI194), INDEX($AY$22:$BE$45,,$AH194), 1 / ($BG$22:$BG$45*CC194), N($AU$22:$AU$45&gt;$AM194))
) / 1000</f>
        <v>0</v>
      </c>
      <c r="CF194" s="229">
        <f t="shared" si="512"/>
        <v>0</v>
      </c>
      <c r="CG194" s="246"/>
      <c r="CH194" s="229">
        <f t="shared" si="513"/>
        <v>0</v>
      </c>
      <c r="CI194" s="228">
        <v>35</v>
      </c>
      <c r="CJ194" s="229">
        <f t="shared" si="514"/>
        <v>48</v>
      </c>
      <c r="CK194" s="234">
        <f t="shared" si="515"/>
        <v>3.0748170731707316</v>
      </c>
      <c r="CL194" s="234" cm="1">
        <f t="array" ref="CL194">$BM194 * SUMPRODUCT(INDEX($AV$76:$AX$81,,$AI194),INDEX($AY$76:$BE$81,,$AH194), N($AU$76:$AU$81&gt;$AM194)) / CK194 / 1000</f>
        <v>0</v>
      </c>
      <c r="CM194" s="231">
        <f t="shared" si="323"/>
        <v>30</v>
      </c>
      <c r="CN194" s="229">
        <f t="shared" si="516"/>
        <v>43</v>
      </c>
      <c r="CO194" s="234">
        <f t="shared" si="517"/>
        <v>3.5018750000000001</v>
      </c>
      <c r="CP194" s="234" cm="1">
        <f t="array" ref="CP194">$BM194 * IF($AH194&lt;=2,
SUMPRODUCT(INDEX($AV$71:$AX$75,,$AI194), INDEX($AY$71:$BE$75,,$AH194), 1 / ($BF$71:$BF$75*CO194 + (1-$BF$71:$BF$75)*CK194), N($AU$71:$AU$75&gt;$AM194)),
SUMPRODUCT(INDEX($AV$66:$AX$75,,$AI194), INDEX($AY$66:$BE$75,,$AH194), 1 / ($BG$66:$BG$75*CO194 + (1-$BG$66:$BG$75)*CK194), N($AU$66:$AU$75&gt;$AM194))
) / 1000</f>
        <v>0</v>
      </c>
      <c r="CQ194" s="231">
        <f t="shared" si="326"/>
        <v>25</v>
      </c>
      <c r="CR194" s="229">
        <f t="shared" si="518"/>
        <v>38</v>
      </c>
      <c r="CS194" s="234">
        <f t="shared" si="519"/>
        <v>4.0666935483870965</v>
      </c>
      <c r="CT194" s="234" cm="1">
        <f t="array" ref="CT194">$BM194 * IF($AH194&lt;=2,
SUMPRODUCT(INDEX($AV$66:$AX$70,,$AI194), INDEX($AY$66:$BE$70,,$AH194), 1 / ($BF$66:$BF$70*CS194 + (1-$BF$66:$BF$70)*CO194), N($AU$66:$AU$70&gt;$AM194)),
SUMPRODUCT(INDEX($AV$56:$AX$65,,$AI194), INDEX($AY$56:$BE$65,,$AH194), 1 / ($BG$56:$BG$65*CS194 + (1-$BG$56:$BG$65)*CO194), N($AU$56:$AU$65&gt;$AM194))
) / 1000</f>
        <v>0</v>
      </c>
      <c r="CU194" s="231">
        <f t="shared" si="329"/>
        <v>20</v>
      </c>
      <c r="CV194" s="229">
        <f t="shared" si="520"/>
        <v>33</v>
      </c>
      <c r="CW194" s="234">
        <f t="shared" si="521"/>
        <v>4.8487499999999999</v>
      </c>
      <c r="CX194" s="234" cm="1">
        <f t="array" ref="CX194">$BM194 * IF($AH194&lt;=2,
SUMPRODUCT(INDEX($AV$61:$AX$65,,$AI194), INDEX($AY$61:$BE$65,,$AH194), 1 / ($BF$61:$BF$65*CW194 + (1-$BF$61:$BF$65)*CS194), N($AU$61:$AU$65&gt;$AM194)),
SUMPRODUCT(INDEX($AV$46:$AX$55,,$AI194), INDEX($AY$46:$BE$55,,$AH194), 1 / ($BG$46:$BG$55*CW194 + (1-$BG$46:$BG$55)*CS194), N($AU$46:$AU$55&gt;$AM194))
) / 1000</f>
        <v>0</v>
      </c>
      <c r="CY194" s="234" cm="1">
        <f t="array" ref="CY194">$BM194 * IF($AH194&lt;=2,
SUMPRODUCT(INDEX($AV$22:$AX$60,,$AI194), INDEX($AY$22:$BE$60,,$AH194), 1 / ($BF$22:$BF$60*CW194), N($AU$22:$AU$60&gt;$AM194)),
SUMPRODUCT(INDEX($AV$22:$AX$45,,$AI194), INDEX($AY$22:$BE$45,,$AH194), 1 / ($BG$22:$BG$45*CW194), N($AU$22:$AU$45&gt;$AM194))
) / 1000</f>
        <v>0</v>
      </c>
      <c r="CZ194" s="229">
        <f t="shared" si="522"/>
        <v>0</v>
      </c>
      <c r="DA194" s="246"/>
    </row>
    <row r="195" spans="1:105" s="75" customFormat="1" ht="14.25" customHeight="1" x14ac:dyDescent="0.2">
      <c r="A195" s="230" t="b">
        <f t="shared" si="291"/>
        <v>0</v>
      </c>
      <c r="B195" s="253">
        <v>174</v>
      </c>
      <c r="C195" s="266"/>
      <c r="D195" s="266"/>
      <c r="E195" s="254"/>
      <c r="F195" s="255" t="str">
        <f>IF(ISBLANK(E195), "", VLOOKUP(E195, Z!$A$2:$C$4127, 3, FALSE))</f>
        <v/>
      </c>
      <c r="G195" s="256"/>
      <c r="H195" s="256"/>
      <c r="I195" s="256"/>
      <c r="J195" s="257"/>
      <c r="K195" s="258"/>
      <c r="L195" s="267"/>
      <c r="M195" s="268"/>
      <c r="N195" s="259" t="str" cm="1">
        <f t="array" ref="N195">IF($L195&gt;0, INDEX(Clean,1+AK195,$D$1), "")</f>
        <v/>
      </c>
      <c r="O195" s="260"/>
      <c r="P195" s="260"/>
      <c r="Q195" s="261"/>
      <c r="R195" s="264">
        <f t="shared" si="498"/>
        <v>0</v>
      </c>
      <c r="S195" s="259" t="str" cm="1">
        <f t="array" ref="S195">IF($L195&gt;0, INDEX(Clean,1+AL195,$D$1), "")</f>
        <v/>
      </c>
      <c r="T195" s="260"/>
      <c r="U195" s="260"/>
      <c r="V195" s="261"/>
      <c r="W195" s="267"/>
      <c r="X195" s="267"/>
      <c r="Y195" s="257"/>
      <c r="Z195" s="264">
        <f t="shared" si="499"/>
        <v>0</v>
      </c>
      <c r="AA195" s="269"/>
      <c r="AB195" s="266"/>
      <c r="AC195" s="254"/>
      <c r="AD195" s="255" t="str">
        <f>IF(ISBLANK(AC195), "", VLOOKUP(AC195, Z!$A$2:$C$4127, 3, FALSE))</f>
        <v/>
      </c>
      <c r="AE195" s="270"/>
      <c r="AF195" s="265">
        <f t="shared" si="500"/>
        <v>0</v>
      </c>
      <c r="AG195" s="246"/>
      <c r="AH195" s="228">
        <f t="shared" si="523"/>
        <v>1</v>
      </c>
      <c r="AI195" s="228">
        <f t="shared" si="524"/>
        <v>1</v>
      </c>
      <c r="AJ195" s="228">
        <f t="shared" si="525"/>
        <v>0</v>
      </c>
      <c r="AK195" s="228">
        <v>0</v>
      </c>
      <c r="AL195" s="228">
        <v>0</v>
      </c>
      <c r="AM195" s="228">
        <f t="shared" si="501"/>
        <v>-100</v>
      </c>
      <c r="AN195" s="228" cm="1">
        <f t="array" ref="AN195">IF(ISBLANK(G195), 1, IFERROR(MATCH(G195, INDEX(Kat,,1), 0), IFERROR(MATCH(Kat, INDEX(Use,,2), 0), MATCH(Kat, INDEX(Use,,3), 0))))</f>
        <v>1</v>
      </c>
      <c r="AO195" s="246"/>
      <c r="AP195" s="228" cm="1">
        <f t="array" ref="AP195">IF(W195&gt;0, INDEX(Kat, AN195,4), 0)</f>
        <v>0</v>
      </c>
      <c r="AQ195" s="228">
        <f t="shared" si="526"/>
        <v>0</v>
      </c>
      <c r="AR195" s="228" cm="1">
        <f t="array" ref="AR195">IF(X195&gt;0, INDEX(Kat, $AN195, 4+AQ195), 0)</f>
        <v>0</v>
      </c>
      <c r="AS195" s="228" cm="1">
        <f t="array" ref="AS195">IF(X195&gt;0, INDEX(Kat, $AN195, 9+AQ195), 0)</f>
        <v>0</v>
      </c>
      <c r="AT195" s="246"/>
      <c r="AU195" s="262"/>
      <c r="AV195" s="262"/>
      <c r="AW195" s="263"/>
      <c r="AX195" s="263"/>
      <c r="AY195" s="263"/>
      <c r="AZ195" s="263"/>
      <c r="BA195" s="263"/>
      <c r="BB195" s="263"/>
      <c r="BC195" s="263"/>
      <c r="BD195" s="263"/>
      <c r="BE195" s="263"/>
      <c r="BF195" s="263"/>
      <c r="BG195" s="263"/>
      <c r="BH195" s="246"/>
      <c r="BI195" s="228" cm="1">
        <f t="array" ref="BI195">INDEX(Use, $AH195, 4)</f>
        <v>7</v>
      </c>
      <c r="BJ195" s="228">
        <f t="shared" si="502"/>
        <v>32</v>
      </c>
      <c r="BK195" s="228">
        <f t="shared" si="305"/>
        <v>13</v>
      </c>
      <c r="BL195" s="228">
        <f t="shared" si="306"/>
        <v>0</v>
      </c>
      <c r="BM195" s="233" cm="1">
        <f t="array" ref="BM195">L195/IF($M195&gt;0, INDEX($AY$22:$BE$76, $M195+20, $AH195), 1)</f>
        <v>0</v>
      </c>
      <c r="BN195" s="229">
        <f t="shared" si="503"/>
        <v>0</v>
      </c>
      <c r="BO195" s="228">
        <v>35</v>
      </c>
      <c r="BP195" s="229">
        <f t="shared" si="504"/>
        <v>48</v>
      </c>
      <c r="BQ195" s="234">
        <f t="shared" si="505"/>
        <v>3.0748170731707316</v>
      </c>
      <c r="BR195" s="234" cm="1">
        <f t="array" ref="BR195">$BM195 * SUMPRODUCT(INDEX($AV$76:$AX$81,,$AI195),INDEX($AY$76:$BE$81,,$AH195), N($AU$76:$AU$81&gt;$AM195)) / BQ195 / 1000</f>
        <v>0</v>
      </c>
      <c r="BS195" s="231">
        <f t="shared" si="310"/>
        <v>30</v>
      </c>
      <c r="BT195" s="229">
        <f t="shared" si="506"/>
        <v>43</v>
      </c>
      <c r="BU195" s="234">
        <f t="shared" si="507"/>
        <v>3.5018750000000001</v>
      </c>
      <c r="BV195" s="234" cm="1">
        <f t="array" ref="BV195">$BM195 * IF($AH195&lt;=2,
SUMPRODUCT(INDEX($AV$71:$AX$75,,$AI195), INDEX($AY$71:$BE$75,,$AH195), 1 / ($BF$71:$BF$75*BU195 + (1-$BF$71:$BF$75)*BQ195), N($AU$71:$AU$75&gt;$AM195)),
SUMPRODUCT(INDEX($AV$66:$AX$75,,$AI195), INDEX($AY$66:$BE$75,,$AH195), 1 / ($BG$66:$BG$75*BU195 + (1-$BG$66:$BG$75)*BQ195), N($AU$66:$AU$75&gt;$AM195))
) / 1000</f>
        <v>0</v>
      </c>
      <c r="BW195" s="231">
        <f t="shared" si="313"/>
        <v>25</v>
      </c>
      <c r="BX195" s="229">
        <f t="shared" si="508"/>
        <v>38</v>
      </c>
      <c r="BY195" s="234">
        <f t="shared" si="509"/>
        <v>4.0666935483870965</v>
      </c>
      <c r="BZ195" s="234" cm="1">
        <f t="array" ref="BZ195">$BM195 * IF($AH195&lt;=2,
SUMPRODUCT(INDEX($AV$66:$AX$70,,$AI195), INDEX($AY$66:$BE$70,,$AH195), 1 / ($BF$66:$BF$70*BY195 + (1-$BF$66:$BF$70)*BU195), N($AU$66:$AU$70&gt;$AM195)),
SUMPRODUCT(INDEX($AV$56:$AX$65,,$AI195), INDEX($AY$56:$BE$65,,$AH195), 1 / ($BG$56:$BG$65*BY195 + (1-$BG$56:$BG$65)*BU195), N($AU$56:$AU$65&gt;$AM195))
) / 1000</f>
        <v>0</v>
      </c>
      <c r="CA195" s="231">
        <f t="shared" si="316"/>
        <v>20</v>
      </c>
      <c r="CB195" s="229">
        <f t="shared" si="510"/>
        <v>33</v>
      </c>
      <c r="CC195" s="234">
        <f t="shared" si="511"/>
        <v>4.8487499999999999</v>
      </c>
      <c r="CD195" s="234" cm="1">
        <f t="array" ref="CD195">$BM195 * IF($AH195&lt;=2,
SUMPRODUCT(INDEX($AV$61:$AX$65,,$AI195), INDEX($AY$61:$BE$65,,$AH195), 1 / ($BF$61:$BF$65*CC195 + (1-$BF$61:$BF$65)*BY195), N($AU$61:$AU$65&gt;$AM195)),
SUMPRODUCT(INDEX($AV$46:$AX$55,,$AI195), INDEX($AY$46:$BE$55,,$AH195), 1 / ($BG$46:$BG$55*CC195 + (1-$BG$46:$BG$55)*BY195), N($AU$46:$AU$55&gt;$AM195))
) / 1000</f>
        <v>0</v>
      </c>
      <c r="CE195" s="234" cm="1">
        <f t="array" ref="CE195">$BM195 * IF($AH195&lt;=2,
SUMPRODUCT(INDEX($AV$22:$AX$60,,$AI195), INDEX($AY$22:$BE$60,,$AH195), 1 / ($BF$22:$BF$60*CC195), N($AU$22:$AU$60&gt;$AM195)),
SUMPRODUCT(INDEX($AV$22:$AX$45,,$AI195), INDEX($AY$22:$BE$45,,$AH195), 1 / ($BG$22:$BG$45*CC195), N($AU$22:$AU$45&gt;$AM195))
) / 1000</f>
        <v>0</v>
      </c>
      <c r="CF195" s="229">
        <f t="shared" si="512"/>
        <v>0</v>
      </c>
      <c r="CG195" s="246"/>
      <c r="CH195" s="229">
        <f t="shared" si="513"/>
        <v>0</v>
      </c>
      <c r="CI195" s="228">
        <v>35</v>
      </c>
      <c r="CJ195" s="229">
        <f t="shared" si="514"/>
        <v>48</v>
      </c>
      <c r="CK195" s="234">
        <f t="shared" si="515"/>
        <v>3.0748170731707316</v>
      </c>
      <c r="CL195" s="234" cm="1">
        <f t="array" ref="CL195">$BM195 * SUMPRODUCT(INDEX($AV$76:$AX$81,,$AI195),INDEX($AY$76:$BE$81,,$AH195), N($AU$76:$AU$81&gt;$AM195)) / CK195 / 1000</f>
        <v>0</v>
      </c>
      <c r="CM195" s="231">
        <f t="shared" si="323"/>
        <v>30</v>
      </c>
      <c r="CN195" s="229">
        <f t="shared" si="516"/>
        <v>43</v>
      </c>
      <c r="CO195" s="234">
        <f t="shared" si="517"/>
        <v>3.5018750000000001</v>
      </c>
      <c r="CP195" s="234" cm="1">
        <f t="array" ref="CP195">$BM195 * IF($AH195&lt;=2,
SUMPRODUCT(INDEX($AV$71:$AX$75,,$AI195), INDEX($AY$71:$BE$75,,$AH195), 1 / ($BF$71:$BF$75*CO195 + (1-$BF$71:$BF$75)*CK195), N($AU$71:$AU$75&gt;$AM195)),
SUMPRODUCT(INDEX($AV$66:$AX$75,,$AI195), INDEX($AY$66:$BE$75,,$AH195), 1 / ($BG$66:$BG$75*CO195 + (1-$BG$66:$BG$75)*CK195), N($AU$66:$AU$75&gt;$AM195))
) / 1000</f>
        <v>0</v>
      </c>
      <c r="CQ195" s="231">
        <f t="shared" si="326"/>
        <v>25</v>
      </c>
      <c r="CR195" s="229">
        <f t="shared" si="518"/>
        <v>38</v>
      </c>
      <c r="CS195" s="234">
        <f t="shared" si="519"/>
        <v>4.0666935483870965</v>
      </c>
      <c r="CT195" s="234" cm="1">
        <f t="array" ref="CT195">$BM195 * IF($AH195&lt;=2,
SUMPRODUCT(INDEX($AV$66:$AX$70,,$AI195), INDEX($AY$66:$BE$70,,$AH195), 1 / ($BF$66:$BF$70*CS195 + (1-$BF$66:$BF$70)*CO195), N($AU$66:$AU$70&gt;$AM195)),
SUMPRODUCT(INDEX($AV$56:$AX$65,,$AI195), INDEX($AY$56:$BE$65,,$AH195), 1 / ($BG$56:$BG$65*CS195 + (1-$BG$56:$BG$65)*CO195), N($AU$56:$AU$65&gt;$AM195))
) / 1000</f>
        <v>0</v>
      </c>
      <c r="CU195" s="231">
        <f t="shared" si="329"/>
        <v>20</v>
      </c>
      <c r="CV195" s="229">
        <f t="shared" si="520"/>
        <v>33</v>
      </c>
      <c r="CW195" s="234">
        <f t="shared" si="521"/>
        <v>4.8487499999999999</v>
      </c>
      <c r="CX195" s="234" cm="1">
        <f t="array" ref="CX195">$BM195 * IF($AH195&lt;=2,
SUMPRODUCT(INDEX($AV$61:$AX$65,,$AI195), INDEX($AY$61:$BE$65,,$AH195), 1 / ($BF$61:$BF$65*CW195 + (1-$BF$61:$BF$65)*CS195), N($AU$61:$AU$65&gt;$AM195)),
SUMPRODUCT(INDEX($AV$46:$AX$55,,$AI195), INDEX($AY$46:$BE$55,,$AH195), 1 / ($BG$46:$BG$55*CW195 + (1-$BG$46:$BG$55)*CS195), N($AU$46:$AU$55&gt;$AM195))
) / 1000</f>
        <v>0</v>
      </c>
      <c r="CY195" s="234" cm="1">
        <f t="array" ref="CY195">$BM195 * IF($AH195&lt;=2,
SUMPRODUCT(INDEX($AV$22:$AX$60,,$AI195), INDEX($AY$22:$BE$60,,$AH195), 1 / ($BF$22:$BF$60*CW195), N($AU$22:$AU$60&gt;$AM195)),
SUMPRODUCT(INDEX($AV$22:$AX$45,,$AI195), INDEX($AY$22:$BE$45,,$AH195), 1 / ($BG$22:$BG$45*CW195), N($AU$22:$AU$45&gt;$AM195))
) / 1000</f>
        <v>0</v>
      </c>
      <c r="CZ195" s="229">
        <f t="shared" si="522"/>
        <v>0</v>
      </c>
      <c r="DA195" s="246"/>
    </row>
    <row r="196" spans="1:105" s="75" customFormat="1" ht="14.25" customHeight="1" x14ac:dyDescent="0.2">
      <c r="A196" s="230" t="b">
        <f t="shared" si="291"/>
        <v>0</v>
      </c>
      <c r="B196" s="253">
        <v>175</v>
      </c>
      <c r="C196" s="266"/>
      <c r="D196" s="266"/>
      <c r="E196" s="254"/>
      <c r="F196" s="255" t="str">
        <f>IF(ISBLANK(E196), "", VLOOKUP(E196, Z!$A$2:$C$4127, 3, FALSE))</f>
        <v/>
      </c>
      <c r="G196" s="256"/>
      <c r="H196" s="256"/>
      <c r="I196" s="256"/>
      <c r="J196" s="257"/>
      <c r="K196" s="258"/>
      <c r="L196" s="267"/>
      <c r="M196" s="268"/>
      <c r="N196" s="259" t="str" cm="1">
        <f t="array" ref="N196">IF($L196&gt;0, INDEX(Clean,1+AK196,$D$1), "")</f>
        <v/>
      </c>
      <c r="O196" s="260"/>
      <c r="P196" s="260"/>
      <c r="Q196" s="261"/>
      <c r="R196" s="264">
        <f t="shared" si="498"/>
        <v>0</v>
      </c>
      <c r="S196" s="259" t="str" cm="1">
        <f t="array" ref="S196">IF($L196&gt;0, INDEX(Clean,1+AL196,$D$1), "")</f>
        <v/>
      </c>
      <c r="T196" s="260"/>
      <c r="U196" s="260"/>
      <c r="V196" s="261"/>
      <c r="W196" s="267"/>
      <c r="X196" s="267"/>
      <c r="Y196" s="257"/>
      <c r="Z196" s="264">
        <f t="shared" si="499"/>
        <v>0</v>
      </c>
      <c r="AA196" s="269"/>
      <c r="AB196" s="266"/>
      <c r="AC196" s="254"/>
      <c r="AD196" s="255" t="str">
        <f>IF(ISBLANK(AC196), "", VLOOKUP(AC196, Z!$A$2:$C$4127, 3, FALSE))</f>
        <v/>
      </c>
      <c r="AE196" s="270"/>
      <c r="AF196" s="265">
        <f t="shared" si="500"/>
        <v>0</v>
      </c>
      <c r="AG196" s="246"/>
      <c r="AH196" s="228">
        <f t="shared" si="523"/>
        <v>1</v>
      </c>
      <c r="AI196" s="228">
        <f t="shared" si="524"/>
        <v>1</v>
      </c>
      <c r="AJ196" s="228">
        <f t="shared" si="525"/>
        <v>0</v>
      </c>
      <c r="AK196" s="228">
        <v>0</v>
      </c>
      <c r="AL196" s="228">
        <v>0</v>
      </c>
      <c r="AM196" s="228">
        <f t="shared" si="501"/>
        <v>-100</v>
      </c>
      <c r="AN196" s="228" cm="1">
        <f t="array" ref="AN196">IF(ISBLANK(G196), 1, IFERROR(MATCH(G196, INDEX(Kat,,1), 0), IFERROR(MATCH(Kat, INDEX(Use,,2), 0), MATCH(Kat, INDEX(Use,,3), 0))))</f>
        <v>1</v>
      </c>
      <c r="AO196" s="246"/>
      <c r="AP196" s="228" cm="1">
        <f t="array" ref="AP196">IF(W196&gt;0, INDEX(Kat, AN196,4), 0)</f>
        <v>0</v>
      </c>
      <c r="AQ196" s="228">
        <f t="shared" si="526"/>
        <v>0</v>
      </c>
      <c r="AR196" s="228" cm="1">
        <f t="array" ref="AR196">IF(X196&gt;0, INDEX(Kat, $AN196, 4+AQ196), 0)</f>
        <v>0</v>
      </c>
      <c r="AS196" s="228" cm="1">
        <f t="array" ref="AS196">IF(X196&gt;0, INDEX(Kat, $AN196, 9+AQ196), 0)</f>
        <v>0</v>
      </c>
      <c r="AT196" s="246"/>
      <c r="AU196" s="262"/>
      <c r="AV196" s="262"/>
      <c r="AW196" s="263"/>
      <c r="AX196" s="263"/>
      <c r="AY196" s="263"/>
      <c r="AZ196" s="263"/>
      <c r="BA196" s="263"/>
      <c r="BB196" s="263"/>
      <c r="BC196" s="263"/>
      <c r="BD196" s="263"/>
      <c r="BE196" s="263"/>
      <c r="BF196" s="263"/>
      <c r="BG196" s="263"/>
      <c r="BH196" s="246"/>
      <c r="BI196" s="228" cm="1">
        <f t="array" ref="BI196">INDEX(Use, $AH196, 4)</f>
        <v>7</v>
      </c>
      <c r="BJ196" s="228">
        <f t="shared" si="502"/>
        <v>32</v>
      </c>
      <c r="BK196" s="228">
        <f t="shared" si="305"/>
        <v>13</v>
      </c>
      <c r="BL196" s="228">
        <f t="shared" si="306"/>
        <v>0</v>
      </c>
      <c r="BM196" s="233" cm="1">
        <f t="array" ref="BM196">L196/IF($M196&gt;0, INDEX($AY$22:$BE$76, $M196+20, $AH196), 1)</f>
        <v>0</v>
      </c>
      <c r="BN196" s="229">
        <f t="shared" si="503"/>
        <v>0</v>
      </c>
      <c r="BO196" s="228">
        <v>35</v>
      </c>
      <c r="BP196" s="229">
        <f t="shared" si="504"/>
        <v>48</v>
      </c>
      <c r="BQ196" s="234">
        <f t="shared" si="505"/>
        <v>3.0748170731707316</v>
      </c>
      <c r="BR196" s="234" cm="1">
        <f t="array" ref="BR196">$BM196 * SUMPRODUCT(INDEX($AV$76:$AX$81,,$AI196),INDEX($AY$76:$BE$81,,$AH196), N($AU$76:$AU$81&gt;$AM196)) / BQ196 / 1000</f>
        <v>0</v>
      </c>
      <c r="BS196" s="231">
        <f t="shared" si="310"/>
        <v>30</v>
      </c>
      <c r="BT196" s="229">
        <f t="shared" si="506"/>
        <v>43</v>
      </c>
      <c r="BU196" s="234">
        <f t="shared" si="507"/>
        <v>3.5018750000000001</v>
      </c>
      <c r="BV196" s="234" cm="1">
        <f t="array" ref="BV196">$BM196 * IF($AH196&lt;=2,
SUMPRODUCT(INDEX($AV$71:$AX$75,,$AI196), INDEX($AY$71:$BE$75,,$AH196), 1 / ($BF$71:$BF$75*BU196 + (1-$BF$71:$BF$75)*BQ196), N($AU$71:$AU$75&gt;$AM196)),
SUMPRODUCT(INDEX($AV$66:$AX$75,,$AI196), INDEX($AY$66:$BE$75,,$AH196), 1 / ($BG$66:$BG$75*BU196 + (1-$BG$66:$BG$75)*BQ196), N($AU$66:$AU$75&gt;$AM196))
) / 1000</f>
        <v>0</v>
      </c>
      <c r="BW196" s="231">
        <f t="shared" si="313"/>
        <v>25</v>
      </c>
      <c r="BX196" s="229">
        <f t="shared" si="508"/>
        <v>38</v>
      </c>
      <c r="BY196" s="234">
        <f t="shared" si="509"/>
        <v>4.0666935483870965</v>
      </c>
      <c r="BZ196" s="234" cm="1">
        <f t="array" ref="BZ196">$BM196 * IF($AH196&lt;=2,
SUMPRODUCT(INDEX($AV$66:$AX$70,,$AI196), INDEX($AY$66:$BE$70,,$AH196), 1 / ($BF$66:$BF$70*BY196 + (1-$BF$66:$BF$70)*BU196), N($AU$66:$AU$70&gt;$AM196)),
SUMPRODUCT(INDEX($AV$56:$AX$65,,$AI196), INDEX($AY$56:$BE$65,,$AH196), 1 / ($BG$56:$BG$65*BY196 + (1-$BG$56:$BG$65)*BU196), N($AU$56:$AU$65&gt;$AM196))
) / 1000</f>
        <v>0</v>
      </c>
      <c r="CA196" s="231">
        <f t="shared" si="316"/>
        <v>20</v>
      </c>
      <c r="CB196" s="229">
        <f t="shared" si="510"/>
        <v>33</v>
      </c>
      <c r="CC196" s="234">
        <f t="shared" si="511"/>
        <v>4.8487499999999999</v>
      </c>
      <c r="CD196" s="234" cm="1">
        <f t="array" ref="CD196">$BM196 * IF($AH196&lt;=2,
SUMPRODUCT(INDEX($AV$61:$AX$65,,$AI196), INDEX($AY$61:$BE$65,,$AH196), 1 / ($BF$61:$BF$65*CC196 + (1-$BF$61:$BF$65)*BY196), N($AU$61:$AU$65&gt;$AM196)),
SUMPRODUCT(INDEX($AV$46:$AX$55,,$AI196), INDEX($AY$46:$BE$55,,$AH196), 1 / ($BG$46:$BG$55*CC196 + (1-$BG$46:$BG$55)*BY196), N($AU$46:$AU$55&gt;$AM196))
) / 1000</f>
        <v>0</v>
      </c>
      <c r="CE196" s="234" cm="1">
        <f t="array" ref="CE196">$BM196 * IF($AH196&lt;=2,
SUMPRODUCT(INDEX($AV$22:$AX$60,,$AI196), INDEX($AY$22:$BE$60,,$AH196), 1 / ($BF$22:$BF$60*CC196), N($AU$22:$AU$60&gt;$AM196)),
SUMPRODUCT(INDEX($AV$22:$AX$45,,$AI196), INDEX($AY$22:$BE$45,,$AH196), 1 / ($BG$22:$BG$45*CC196), N($AU$22:$AU$45&gt;$AM196))
) / 1000</f>
        <v>0</v>
      </c>
      <c r="CF196" s="229">
        <f t="shared" si="512"/>
        <v>0</v>
      </c>
      <c r="CG196" s="246"/>
      <c r="CH196" s="229">
        <f t="shared" si="513"/>
        <v>0</v>
      </c>
      <c r="CI196" s="228">
        <v>35</v>
      </c>
      <c r="CJ196" s="229">
        <f t="shared" si="514"/>
        <v>48</v>
      </c>
      <c r="CK196" s="234">
        <f t="shared" si="515"/>
        <v>3.0748170731707316</v>
      </c>
      <c r="CL196" s="234" cm="1">
        <f t="array" ref="CL196">$BM196 * SUMPRODUCT(INDEX($AV$76:$AX$81,,$AI196),INDEX($AY$76:$BE$81,,$AH196), N($AU$76:$AU$81&gt;$AM196)) / CK196 / 1000</f>
        <v>0</v>
      </c>
      <c r="CM196" s="231">
        <f t="shared" si="323"/>
        <v>30</v>
      </c>
      <c r="CN196" s="229">
        <f t="shared" si="516"/>
        <v>43</v>
      </c>
      <c r="CO196" s="234">
        <f t="shared" si="517"/>
        <v>3.5018750000000001</v>
      </c>
      <c r="CP196" s="234" cm="1">
        <f t="array" ref="CP196">$BM196 * IF($AH196&lt;=2,
SUMPRODUCT(INDEX($AV$71:$AX$75,,$AI196), INDEX($AY$71:$BE$75,,$AH196), 1 / ($BF$71:$BF$75*CO196 + (1-$BF$71:$BF$75)*CK196), N($AU$71:$AU$75&gt;$AM196)),
SUMPRODUCT(INDEX($AV$66:$AX$75,,$AI196), INDEX($AY$66:$BE$75,,$AH196), 1 / ($BG$66:$BG$75*CO196 + (1-$BG$66:$BG$75)*CK196), N($AU$66:$AU$75&gt;$AM196))
) / 1000</f>
        <v>0</v>
      </c>
      <c r="CQ196" s="231">
        <f t="shared" si="326"/>
        <v>25</v>
      </c>
      <c r="CR196" s="229">
        <f t="shared" si="518"/>
        <v>38</v>
      </c>
      <c r="CS196" s="234">
        <f t="shared" si="519"/>
        <v>4.0666935483870965</v>
      </c>
      <c r="CT196" s="234" cm="1">
        <f t="array" ref="CT196">$BM196 * IF($AH196&lt;=2,
SUMPRODUCT(INDEX($AV$66:$AX$70,,$AI196), INDEX($AY$66:$BE$70,,$AH196), 1 / ($BF$66:$BF$70*CS196 + (1-$BF$66:$BF$70)*CO196), N($AU$66:$AU$70&gt;$AM196)),
SUMPRODUCT(INDEX($AV$56:$AX$65,,$AI196), INDEX($AY$56:$BE$65,,$AH196), 1 / ($BG$56:$BG$65*CS196 + (1-$BG$56:$BG$65)*CO196), N($AU$56:$AU$65&gt;$AM196))
) / 1000</f>
        <v>0</v>
      </c>
      <c r="CU196" s="231">
        <f t="shared" si="329"/>
        <v>20</v>
      </c>
      <c r="CV196" s="229">
        <f t="shared" si="520"/>
        <v>33</v>
      </c>
      <c r="CW196" s="234">
        <f t="shared" si="521"/>
        <v>4.8487499999999999</v>
      </c>
      <c r="CX196" s="234" cm="1">
        <f t="array" ref="CX196">$BM196 * IF($AH196&lt;=2,
SUMPRODUCT(INDEX($AV$61:$AX$65,,$AI196), INDEX($AY$61:$BE$65,,$AH196), 1 / ($BF$61:$BF$65*CW196 + (1-$BF$61:$BF$65)*CS196), N($AU$61:$AU$65&gt;$AM196)),
SUMPRODUCT(INDEX($AV$46:$AX$55,,$AI196), INDEX($AY$46:$BE$55,,$AH196), 1 / ($BG$46:$BG$55*CW196 + (1-$BG$46:$BG$55)*CS196), N($AU$46:$AU$55&gt;$AM196))
) / 1000</f>
        <v>0</v>
      </c>
      <c r="CY196" s="234" cm="1">
        <f t="array" ref="CY196">$BM196 * IF($AH196&lt;=2,
SUMPRODUCT(INDEX($AV$22:$AX$60,,$AI196), INDEX($AY$22:$BE$60,,$AH196), 1 / ($BF$22:$BF$60*CW196), N($AU$22:$AU$60&gt;$AM196)),
SUMPRODUCT(INDEX($AV$22:$AX$45,,$AI196), INDEX($AY$22:$BE$45,,$AH196), 1 / ($BG$22:$BG$45*CW196), N($AU$22:$AU$45&gt;$AM196))
) / 1000</f>
        <v>0</v>
      </c>
      <c r="CZ196" s="229">
        <f t="shared" si="522"/>
        <v>0</v>
      </c>
      <c r="DA196" s="246"/>
    </row>
    <row r="197" spans="1:105" s="75" customFormat="1" ht="14.25" customHeight="1" x14ac:dyDescent="0.2">
      <c r="A197" s="230" t="b">
        <f t="shared" si="291"/>
        <v>0</v>
      </c>
      <c r="B197" s="253">
        <v>176</v>
      </c>
      <c r="C197" s="266"/>
      <c r="D197" s="266"/>
      <c r="E197" s="254"/>
      <c r="F197" s="255" t="str">
        <f>IF(ISBLANK(E197), "", VLOOKUP(E197, Z!$A$2:$C$4127, 3, FALSE))</f>
        <v/>
      </c>
      <c r="G197" s="256"/>
      <c r="H197" s="256"/>
      <c r="I197" s="256"/>
      <c r="J197" s="257"/>
      <c r="K197" s="258"/>
      <c r="L197" s="267"/>
      <c r="M197" s="268"/>
      <c r="N197" s="259" t="str" cm="1">
        <f t="array" ref="N197">IF($L197&gt;0, INDEX(Clean,1+AK197,$D$1), "")</f>
        <v/>
      </c>
      <c r="O197" s="260"/>
      <c r="P197" s="260"/>
      <c r="Q197" s="261"/>
      <c r="R197" s="264">
        <f t="shared" si="498"/>
        <v>0</v>
      </c>
      <c r="S197" s="259" t="str" cm="1">
        <f t="array" ref="S197">IF($L197&gt;0, INDEX(Clean,1+AL197,$D$1), "")</f>
        <v/>
      </c>
      <c r="T197" s="260"/>
      <c r="U197" s="260"/>
      <c r="V197" s="261"/>
      <c r="W197" s="267"/>
      <c r="X197" s="267"/>
      <c r="Y197" s="257"/>
      <c r="Z197" s="264">
        <f t="shared" si="499"/>
        <v>0</v>
      </c>
      <c r="AA197" s="269"/>
      <c r="AB197" s="266"/>
      <c r="AC197" s="254"/>
      <c r="AD197" s="255" t="str">
        <f>IF(ISBLANK(AC197), "", VLOOKUP(AC197, Z!$A$2:$C$4127, 3, FALSE))</f>
        <v/>
      </c>
      <c r="AE197" s="270"/>
      <c r="AF197" s="265">
        <f t="shared" si="500"/>
        <v>0</v>
      </c>
      <c r="AG197" s="246"/>
      <c r="AH197" s="228">
        <f t="shared" si="523"/>
        <v>1</v>
      </c>
      <c r="AI197" s="228">
        <f t="shared" si="524"/>
        <v>1</v>
      </c>
      <c r="AJ197" s="228">
        <f t="shared" si="525"/>
        <v>0</v>
      </c>
      <c r="AK197" s="228">
        <v>0</v>
      </c>
      <c r="AL197" s="228">
        <v>0</v>
      </c>
      <c r="AM197" s="228">
        <f t="shared" si="501"/>
        <v>-100</v>
      </c>
      <c r="AN197" s="228" cm="1">
        <f t="array" ref="AN197">IF(ISBLANK(G197), 1, IFERROR(MATCH(G197, INDEX(Kat,,1), 0), IFERROR(MATCH(Kat, INDEX(Use,,2), 0), MATCH(Kat, INDEX(Use,,3), 0))))</f>
        <v>1</v>
      </c>
      <c r="AO197" s="246"/>
      <c r="AP197" s="228" cm="1">
        <f t="array" ref="AP197">IF(W197&gt;0, INDEX(Kat, AN197,4), 0)</f>
        <v>0</v>
      </c>
      <c r="AQ197" s="228">
        <f t="shared" si="526"/>
        <v>0</v>
      </c>
      <c r="AR197" s="228" cm="1">
        <f t="array" ref="AR197">IF(X197&gt;0, INDEX(Kat, $AN197, 4+AQ197), 0)</f>
        <v>0</v>
      </c>
      <c r="AS197" s="228" cm="1">
        <f t="array" ref="AS197">IF(X197&gt;0, INDEX(Kat, $AN197, 9+AQ197), 0)</f>
        <v>0</v>
      </c>
      <c r="AT197" s="246"/>
      <c r="AU197" s="262"/>
      <c r="AV197" s="262"/>
      <c r="AW197" s="263"/>
      <c r="AX197" s="263"/>
      <c r="AY197" s="263"/>
      <c r="AZ197" s="263"/>
      <c r="BA197" s="263"/>
      <c r="BB197" s="263"/>
      <c r="BC197" s="263"/>
      <c r="BD197" s="263"/>
      <c r="BE197" s="263"/>
      <c r="BF197" s="263"/>
      <c r="BG197" s="263"/>
      <c r="BH197" s="246"/>
      <c r="BI197" s="228" cm="1">
        <f t="array" ref="BI197">INDEX(Use, $AH197, 4)</f>
        <v>7</v>
      </c>
      <c r="BJ197" s="228">
        <f t="shared" si="502"/>
        <v>32</v>
      </c>
      <c r="BK197" s="228">
        <f t="shared" si="305"/>
        <v>13</v>
      </c>
      <c r="BL197" s="228">
        <f t="shared" si="306"/>
        <v>0</v>
      </c>
      <c r="BM197" s="233" cm="1">
        <f t="array" ref="BM197">L197/IF($M197&gt;0, INDEX($AY$22:$BE$76, $M197+20, $AH197), 1)</f>
        <v>0</v>
      </c>
      <c r="BN197" s="229">
        <f t="shared" si="503"/>
        <v>0</v>
      </c>
      <c r="BO197" s="228">
        <v>35</v>
      </c>
      <c r="BP197" s="229">
        <f t="shared" si="504"/>
        <v>48</v>
      </c>
      <c r="BQ197" s="234">
        <f t="shared" si="505"/>
        <v>3.0748170731707316</v>
      </c>
      <c r="BR197" s="234" cm="1">
        <f t="array" ref="BR197">$BM197 * SUMPRODUCT(INDEX($AV$76:$AX$81,,$AI197),INDEX($AY$76:$BE$81,,$AH197), N($AU$76:$AU$81&gt;$AM197)) / BQ197 / 1000</f>
        <v>0</v>
      </c>
      <c r="BS197" s="231">
        <f t="shared" si="310"/>
        <v>30</v>
      </c>
      <c r="BT197" s="229">
        <f t="shared" si="506"/>
        <v>43</v>
      </c>
      <c r="BU197" s="234">
        <f t="shared" si="507"/>
        <v>3.5018750000000001</v>
      </c>
      <c r="BV197" s="234" cm="1">
        <f t="array" ref="BV197">$BM197 * IF($AH197&lt;=2,
SUMPRODUCT(INDEX($AV$71:$AX$75,,$AI197), INDEX($AY$71:$BE$75,,$AH197), 1 / ($BF$71:$BF$75*BU197 + (1-$BF$71:$BF$75)*BQ197), N($AU$71:$AU$75&gt;$AM197)),
SUMPRODUCT(INDEX($AV$66:$AX$75,,$AI197), INDEX($AY$66:$BE$75,,$AH197), 1 / ($BG$66:$BG$75*BU197 + (1-$BG$66:$BG$75)*BQ197), N($AU$66:$AU$75&gt;$AM197))
) / 1000</f>
        <v>0</v>
      </c>
      <c r="BW197" s="231">
        <f t="shared" si="313"/>
        <v>25</v>
      </c>
      <c r="BX197" s="229">
        <f t="shared" si="508"/>
        <v>38</v>
      </c>
      <c r="BY197" s="234">
        <f t="shared" si="509"/>
        <v>4.0666935483870965</v>
      </c>
      <c r="BZ197" s="234" cm="1">
        <f t="array" ref="BZ197">$BM197 * IF($AH197&lt;=2,
SUMPRODUCT(INDEX($AV$66:$AX$70,,$AI197), INDEX($AY$66:$BE$70,,$AH197), 1 / ($BF$66:$BF$70*BY197 + (1-$BF$66:$BF$70)*BU197), N($AU$66:$AU$70&gt;$AM197)),
SUMPRODUCT(INDEX($AV$56:$AX$65,,$AI197), INDEX($AY$56:$BE$65,,$AH197), 1 / ($BG$56:$BG$65*BY197 + (1-$BG$56:$BG$65)*BU197), N($AU$56:$AU$65&gt;$AM197))
) / 1000</f>
        <v>0</v>
      </c>
      <c r="CA197" s="231">
        <f t="shared" si="316"/>
        <v>20</v>
      </c>
      <c r="CB197" s="229">
        <f t="shared" si="510"/>
        <v>33</v>
      </c>
      <c r="CC197" s="234">
        <f t="shared" si="511"/>
        <v>4.8487499999999999</v>
      </c>
      <c r="CD197" s="234" cm="1">
        <f t="array" ref="CD197">$BM197 * IF($AH197&lt;=2,
SUMPRODUCT(INDEX($AV$61:$AX$65,,$AI197), INDEX($AY$61:$BE$65,,$AH197), 1 / ($BF$61:$BF$65*CC197 + (1-$BF$61:$BF$65)*BY197), N($AU$61:$AU$65&gt;$AM197)),
SUMPRODUCT(INDEX($AV$46:$AX$55,,$AI197), INDEX($AY$46:$BE$55,,$AH197), 1 / ($BG$46:$BG$55*CC197 + (1-$BG$46:$BG$55)*BY197), N($AU$46:$AU$55&gt;$AM197))
) / 1000</f>
        <v>0</v>
      </c>
      <c r="CE197" s="234" cm="1">
        <f t="array" ref="CE197">$BM197 * IF($AH197&lt;=2,
SUMPRODUCT(INDEX($AV$22:$AX$60,,$AI197), INDEX($AY$22:$BE$60,,$AH197), 1 / ($BF$22:$BF$60*CC197), N($AU$22:$AU$60&gt;$AM197)),
SUMPRODUCT(INDEX($AV$22:$AX$45,,$AI197), INDEX($AY$22:$BE$45,,$AH197), 1 / ($BG$22:$BG$45*CC197), N($AU$22:$AU$45&gt;$AM197))
) / 1000</f>
        <v>0</v>
      </c>
      <c r="CF197" s="229">
        <f t="shared" si="512"/>
        <v>0</v>
      </c>
      <c r="CG197" s="246"/>
      <c r="CH197" s="229">
        <f t="shared" si="513"/>
        <v>0</v>
      </c>
      <c r="CI197" s="228">
        <v>35</v>
      </c>
      <c r="CJ197" s="229">
        <f t="shared" si="514"/>
        <v>48</v>
      </c>
      <c r="CK197" s="234">
        <f t="shared" si="515"/>
        <v>3.0748170731707316</v>
      </c>
      <c r="CL197" s="234" cm="1">
        <f t="array" ref="CL197">$BM197 * SUMPRODUCT(INDEX($AV$76:$AX$81,,$AI197),INDEX($AY$76:$BE$81,,$AH197), N($AU$76:$AU$81&gt;$AM197)) / CK197 / 1000</f>
        <v>0</v>
      </c>
      <c r="CM197" s="231">
        <f t="shared" si="323"/>
        <v>30</v>
      </c>
      <c r="CN197" s="229">
        <f t="shared" si="516"/>
        <v>43</v>
      </c>
      <c r="CO197" s="234">
        <f t="shared" si="517"/>
        <v>3.5018750000000001</v>
      </c>
      <c r="CP197" s="234" cm="1">
        <f t="array" ref="CP197">$BM197 * IF($AH197&lt;=2,
SUMPRODUCT(INDEX($AV$71:$AX$75,,$AI197), INDEX($AY$71:$BE$75,,$AH197), 1 / ($BF$71:$BF$75*CO197 + (1-$BF$71:$BF$75)*CK197), N($AU$71:$AU$75&gt;$AM197)),
SUMPRODUCT(INDEX($AV$66:$AX$75,,$AI197), INDEX($AY$66:$BE$75,,$AH197), 1 / ($BG$66:$BG$75*CO197 + (1-$BG$66:$BG$75)*CK197), N($AU$66:$AU$75&gt;$AM197))
) / 1000</f>
        <v>0</v>
      </c>
      <c r="CQ197" s="231">
        <f t="shared" si="326"/>
        <v>25</v>
      </c>
      <c r="CR197" s="229">
        <f t="shared" si="518"/>
        <v>38</v>
      </c>
      <c r="CS197" s="234">
        <f t="shared" si="519"/>
        <v>4.0666935483870965</v>
      </c>
      <c r="CT197" s="234" cm="1">
        <f t="array" ref="CT197">$BM197 * IF($AH197&lt;=2,
SUMPRODUCT(INDEX($AV$66:$AX$70,,$AI197), INDEX($AY$66:$BE$70,,$AH197), 1 / ($BF$66:$BF$70*CS197 + (1-$BF$66:$BF$70)*CO197), N($AU$66:$AU$70&gt;$AM197)),
SUMPRODUCT(INDEX($AV$56:$AX$65,,$AI197), INDEX($AY$56:$BE$65,,$AH197), 1 / ($BG$56:$BG$65*CS197 + (1-$BG$56:$BG$65)*CO197), N($AU$56:$AU$65&gt;$AM197))
) / 1000</f>
        <v>0</v>
      </c>
      <c r="CU197" s="231">
        <f t="shared" si="329"/>
        <v>20</v>
      </c>
      <c r="CV197" s="229">
        <f t="shared" si="520"/>
        <v>33</v>
      </c>
      <c r="CW197" s="234">
        <f t="shared" si="521"/>
        <v>4.8487499999999999</v>
      </c>
      <c r="CX197" s="234" cm="1">
        <f t="array" ref="CX197">$BM197 * IF($AH197&lt;=2,
SUMPRODUCT(INDEX($AV$61:$AX$65,,$AI197), INDEX($AY$61:$BE$65,,$AH197), 1 / ($BF$61:$BF$65*CW197 + (1-$BF$61:$BF$65)*CS197), N($AU$61:$AU$65&gt;$AM197)),
SUMPRODUCT(INDEX($AV$46:$AX$55,,$AI197), INDEX($AY$46:$BE$55,,$AH197), 1 / ($BG$46:$BG$55*CW197 + (1-$BG$46:$BG$55)*CS197), N($AU$46:$AU$55&gt;$AM197))
) / 1000</f>
        <v>0</v>
      </c>
      <c r="CY197" s="234" cm="1">
        <f t="array" ref="CY197">$BM197 * IF($AH197&lt;=2,
SUMPRODUCT(INDEX($AV$22:$AX$60,,$AI197), INDEX($AY$22:$BE$60,,$AH197), 1 / ($BF$22:$BF$60*CW197), N($AU$22:$AU$60&gt;$AM197)),
SUMPRODUCT(INDEX($AV$22:$AX$45,,$AI197), INDEX($AY$22:$BE$45,,$AH197), 1 / ($BG$22:$BG$45*CW197), N($AU$22:$AU$45&gt;$AM197))
) / 1000</f>
        <v>0</v>
      </c>
      <c r="CZ197" s="229">
        <f t="shared" si="522"/>
        <v>0</v>
      </c>
      <c r="DA197" s="246"/>
    </row>
    <row r="198" spans="1:105" s="75" customFormat="1" ht="14.25" customHeight="1" x14ac:dyDescent="0.2">
      <c r="A198" s="230" t="b">
        <f t="shared" si="291"/>
        <v>0</v>
      </c>
      <c r="B198" s="253">
        <v>177</v>
      </c>
      <c r="C198" s="266"/>
      <c r="D198" s="266"/>
      <c r="E198" s="254"/>
      <c r="F198" s="255" t="str">
        <f>IF(ISBLANK(E198), "", VLOOKUP(E198, Z!$A$2:$C$4127, 3, FALSE))</f>
        <v/>
      </c>
      <c r="G198" s="256"/>
      <c r="H198" s="256"/>
      <c r="I198" s="256"/>
      <c r="J198" s="257"/>
      <c r="K198" s="258"/>
      <c r="L198" s="267"/>
      <c r="M198" s="268"/>
      <c r="N198" s="259" t="str" cm="1">
        <f t="array" ref="N198">IF($L198&gt;0, INDEX(Clean,1+AK198,$D$1), "")</f>
        <v/>
      </c>
      <c r="O198" s="260"/>
      <c r="P198" s="260"/>
      <c r="Q198" s="261"/>
      <c r="R198" s="264">
        <f t="shared" si="498"/>
        <v>0</v>
      </c>
      <c r="S198" s="259" t="str" cm="1">
        <f t="array" ref="S198">IF($L198&gt;0, INDEX(Clean,1+AL198,$D$1), "")</f>
        <v/>
      </c>
      <c r="T198" s="260"/>
      <c r="U198" s="260"/>
      <c r="V198" s="261"/>
      <c r="W198" s="267"/>
      <c r="X198" s="267"/>
      <c r="Y198" s="257"/>
      <c r="Z198" s="264">
        <f t="shared" si="499"/>
        <v>0</v>
      </c>
      <c r="AA198" s="269"/>
      <c r="AB198" s="266"/>
      <c r="AC198" s="254"/>
      <c r="AD198" s="255" t="str">
        <f>IF(ISBLANK(AC198), "", VLOOKUP(AC198, Z!$A$2:$C$4127, 3, FALSE))</f>
        <v/>
      </c>
      <c r="AE198" s="270"/>
      <c r="AF198" s="265">
        <f t="shared" si="500"/>
        <v>0</v>
      </c>
      <c r="AG198" s="246"/>
      <c r="AH198" s="228">
        <f t="shared" si="523"/>
        <v>1</v>
      </c>
      <c r="AI198" s="228">
        <f t="shared" si="524"/>
        <v>1</v>
      </c>
      <c r="AJ198" s="228">
        <f t="shared" si="525"/>
        <v>0</v>
      </c>
      <c r="AK198" s="228">
        <v>0</v>
      </c>
      <c r="AL198" s="228">
        <v>0</v>
      </c>
      <c r="AM198" s="228">
        <f t="shared" si="501"/>
        <v>-100</v>
      </c>
      <c r="AN198" s="228" cm="1">
        <f t="array" ref="AN198">IF(ISBLANK(G198), 1, IFERROR(MATCH(G198, INDEX(Kat,,1), 0), IFERROR(MATCH(Kat, INDEX(Use,,2), 0), MATCH(Kat, INDEX(Use,,3), 0))))</f>
        <v>1</v>
      </c>
      <c r="AO198" s="246"/>
      <c r="AP198" s="228" cm="1">
        <f t="array" ref="AP198">IF(W198&gt;0, INDEX(Kat, AN198,4), 0)</f>
        <v>0</v>
      </c>
      <c r="AQ198" s="228">
        <f t="shared" si="526"/>
        <v>0</v>
      </c>
      <c r="AR198" s="228" cm="1">
        <f t="array" ref="AR198">IF(X198&gt;0, INDEX(Kat, $AN198, 4+AQ198), 0)</f>
        <v>0</v>
      </c>
      <c r="AS198" s="228" cm="1">
        <f t="array" ref="AS198">IF(X198&gt;0, INDEX(Kat, $AN198, 9+AQ198), 0)</f>
        <v>0</v>
      </c>
      <c r="AT198" s="246"/>
      <c r="AU198" s="262"/>
      <c r="AV198" s="262"/>
      <c r="AW198" s="263"/>
      <c r="AX198" s="263"/>
      <c r="AY198" s="263"/>
      <c r="AZ198" s="263"/>
      <c r="BA198" s="263"/>
      <c r="BB198" s="263"/>
      <c r="BC198" s="263"/>
      <c r="BD198" s="263"/>
      <c r="BE198" s="263"/>
      <c r="BF198" s="263"/>
      <c r="BG198" s="263"/>
      <c r="BH198" s="246"/>
      <c r="BI198" s="228" cm="1">
        <f t="array" ref="BI198">INDEX(Use, $AH198, 4)</f>
        <v>7</v>
      </c>
      <c r="BJ198" s="228">
        <f t="shared" si="502"/>
        <v>32</v>
      </c>
      <c r="BK198" s="228">
        <f t="shared" si="305"/>
        <v>13</v>
      </c>
      <c r="BL198" s="228">
        <f t="shared" si="306"/>
        <v>0</v>
      </c>
      <c r="BM198" s="233" cm="1">
        <f t="array" ref="BM198">L198/IF($M198&gt;0, INDEX($AY$22:$BE$76, $M198+20, $AH198), 1)</f>
        <v>0</v>
      </c>
      <c r="BN198" s="229">
        <f t="shared" si="503"/>
        <v>0</v>
      </c>
      <c r="BO198" s="228">
        <v>35</v>
      </c>
      <c r="BP198" s="229">
        <f t="shared" si="504"/>
        <v>48</v>
      </c>
      <c r="BQ198" s="234">
        <f t="shared" si="505"/>
        <v>3.0748170731707316</v>
      </c>
      <c r="BR198" s="234" cm="1">
        <f t="array" ref="BR198">$BM198 * SUMPRODUCT(INDEX($AV$76:$AX$81,,$AI198),INDEX($AY$76:$BE$81,,$AH198), N($AU$76:$AU$81&gt;$AM198)) / BQ198 / 1000</f>
        <v>0</v>
      </c>
      <c r="BS198" s="231">
        <f t="shared" si="310"/>
        <v>30</v>
      </c>
      <c r="BT198" s="229">
        <f t="shared" si="506"/>
        <v>43</v>
      </c>
      <c r="BU198" s="234">
        <f t="shared" si="507"/>
        <v>3.5018750000000001</v>
      </c>
      <c r="BV198" s="234" cm="1">
        <f t="array" ref="BV198">$BM198 * IF($AH198&lt;=2,
SUMPRODUCT(INDEX($AV$71:$AX$75,,$AI198), INDEX($AY$71:$BE$75,,$AH198), 1 / ($BF$71:$BF$75*BU198 + (1-$BF$71:$BF$75)*BQ198), N($AU$71:$AU$75&gt;$AM198)),
SUMPRODUCT(INDEX($AV$66:$AX$75,,$AI198), INDEX($AY$66:$BE$75,,$AH198), 1 / ($BG$66:$BG$75*BU198 + (1-$BG$66:$BG$75)*BQ198), N($AU$66:$AU$75&gt;$AM198))
) / 1000</f>
        <v>0</v>
      </c>
      <c r="BW198" s="231">
        <f t="shared" si="313"/>
        <v>25</v>
      </c>
      <c r="BX198" s="229">
        <f t="shared" si="508"/>
        <v>38</v>
      </c>
      <c r="BY198" s="234">
        <f t="shared" si="509"/>
        <v>4.0666935483870965</v>
      </c>
      <c r="BZ198" s="234" cm="1">
        <f t="array" ref="BZ198">$BM198 * IF($AH198&lt;=2,
SUMPRODUCT(INDEX($AV$66:$AX$70,,$AI198), INDEX($AY$66:$BE$70,,$AH198), 1 / ($BF$66:$BF$70*BY198 + (1-$BF$66:$BF$70)*BU198), N($AU$66:$AU$70&gt;$AM198)),
SUMPRODUCT(INDEX($AV$56:$AX$65,,$AI198), INDEX($AY$56:$BE$65,,$AH198), 1 / ($BG$56:$BG$65*BY198 + (1-$BG$56:$BG$65)*BU198), N($AU$56:$AU$65&gt;$AM198))
) / 1000</f>
        <v>0</v>
      </c>
      <c r="CA198" s="231">
        <f t="shared" si="316"/>
        <v>20</v>
      </c>
      <c r="CB198" s="229">
        <f t="shared" si="510"/>
        <v>33</v>
      </c>
      <c r="CC198" s="234">
        <f t="shared" si="511"/>
        <v>4.8487499999999999</v>
      </c>
      <c r="CD198" s="234" cm="1">
        <f t="array" ref="CD198">$BM198 * IF($AH198&lt;=2,
SUMPRODUCT(INDEX($AV$61:$AX$65,,$AI198), INDEX($AY$61:$BE$65,,$AH198), 1 / ($BF$61:$BF$65*CC198 + (1-$BF$61:$BF$65)*BY198), N($AU$61:$AU$65&gt;$AM198)),
SUMPRODUCT(INDEX($AV$46:$AX$55,,$AI198), INDEX($AY$46:$BE$55,,$AH198), 1 / ($BG$46:$BG$55*CC198 + (1-$BG$46:$BG$55)*BY198), N($AU$46:$AU$55&gt;$AM198))
) / 1000</f>
        <v>0</v>
      </c>
      <c r="CE198" s="234" cm="1">
        <f t="array" ref="CE198">$BM198 * IF($AH198&lt;=2,
SUMPRODUCT(INDEX($AV$22:$AX$60,,$AI198), INDEX($AY$22:$BE$60,,$AH198), 1 / ($BF$22:$BF$60*CC198), N($AU$22:$AU$60&gt;$AM198)),
SUMPRODUCT(INDEX($AV$22:$AX$45,,$AI198), INDEX($AY$22:$BE$45,,$AH198), 1 / ($BG$22:$BG$45*CC198), N($AU$22:$AU$45&gt;$AM198))
) / 1000</f>
        <v>0</v>
      </c>
      <c r="CF198" s="229">
        <f t="shared" si="512"/>
        <v>0</v>
      </c>
      <c r="CG198" s="246"/>
      <c r="CH198" s="229">
        <f t="shared" si="513"/>
        <v>0</v>
      </c>
      <c r="CI198" s="228">
        <v>35</v>
      </c>
      <c r="CJ198" s="229">
        <f t="shared" si="514"/>
        <v>48</v>
      </c>
      <c r="CK198" s="234">
        <f t="shared" si="515"/>
        <v>3.0748170731707316</v>
      </c>
      <c r="CL198" s="234" cm="1">
        <f t="array" ref="CL198">$BM198 * SUMPRODUCT(INDEX($AV$76:$AX$81,,$AI198),INDEX($AY$76:$BE$81,,$AH198), N($AU$76:$AU$81&gt;$AM198)) / CK198 / 1000</f>
        <v>0</v>
      </c>
      <c r="CM198" s="231">
        <f t="shared" si="323"/>
        <v>30</v>
      </c>
      <c r="CN198" s="229">
        <f t="shared" si="516"/>
        <v>43</v>
      </c>
      <c r="CO198" s="234">
        <f t="shared" si="517"/>
        <v>3.5018750000000001</v>
      </c>
      <c r="CP198" s="234" cm="1">
        <f t="array" ref="CP198">$BM198 * IF($AH198&lt;=2,
SUMPRODUCT(INDEX($AV$71:$AX$75,,$AI198), INDEX($AY$71:$BE$75,,$AH198), 1 / ($BF$71:$BF$75*CO198 + (1-$BF$71:$BF$75)*CK198), N($AU$71:$AU$75&gt;$AM198)),
SUMPRODUCT(INDEX($AV$66:$AX$75,,$AI198), INDEX($AY$66:$BE$75,,$AH198), 1 / ($BG$66:$BG$75*CO198 + (1-$BG$66:$BG$75)*CK198), N($AU$66:$AU$75&gt;$AM198))
) / 1000</f>
        <v>0</v>
      </c>
      <c r="CQ198" s="231">
        <f t="shared" si="326"/>
        <v>25</v>
      </c>
      <c r="CR198" s="229">
        <f t="shared" si="518"/>
        <v>38</v>
      </c>
      <c r="CS198" s="234">
        <f t="shared" si="519"/>
        <v>4.0666935483870965</v>
      </c>
      <c r="CT198" s="234" cm="1">
        <f t="array" ref="CT198">$BM198 * IF($AH198&lt;=2,
SUMPRODUCT(INDEX($AV$66:$AX$70,,$AI198), INDEX($AY$66:$BE$70,,$AH198), 1 / ($BF$66:$BF$70*CS198 + (1-$BF$66:$BF$70)*CO198), N($AU$66:$AU$70&gt;$AM198)),
SUMPRODUCT(INDEX($AV$56:$AX$65,,$AI198), INDEX($AY$56:$BE$65,,$AH198), 1 / ($BG$56:$BG$65*CS198 + (1-$BG$56:$BG$65)*CO198), N($AU$56:$AU$65&gt;$AM198))
) / 1000</f>
        <v>0</v>
      </c>
      <c r="CU198" s="231">
        <f t="shared" si="329"/>
        <v>20</v>
      </c>
      <c r="CV198" s="229">
        <f t="shared" si="520"/>
        <v>33</v>
      </c>
      <c r="CW198" s="234">
        <f t="shared" si="521"/>
        <v>4.8487499999999999</v>
      </c>
      <c r="CX198" s="234" cm="1">
        <f t="array" ref="CX198">$BM198 * IF($AH198&lt;=2,
SUMPRODUCT(INDEX($AV$61:$AX$65,,$AI198), INDEX($AY$61:$BE$65,,$AH198), 1 / ($BF$61:$BF$65*CW198 + (1-$BF$61:$BF$65)*CS198), N($AU$61:$AU$65&gt;$AM198)),
SUMPRODUCT(INDEX($AV$46:$AX$55,,$AI198), INDEX($AY$46:$BE$55,,$AH198), 1 / ($BG$46:$BG$55*CW198 + (1-$BG$46:$BG$55)*CS198), N($AU$46:$AU$55&gt;$AM198))
) / 1000</f>
        <v>0</v>
      </c>
      <c r="CY198" s="234" cm="1">
        <f t="array" ref="CY198">$BM198 * IF($AH198&lt;=2,
SUMPRODUCT(INDEX($AV$22:$AX$60,,$AI198), INDEX($AY$22:$BE$60,,$AH198), 1 / ($BF$22:$BF$60*CW198), N($AU$22:$AU$60&gt;$AM198)),
SUMPRODUCT(INDEX($AV$22:$AX$45,,$AI198), INDEX($AY$22:$BE$45,,$AH198), 1 / ($BG$22:$BG$45*CW198), N($AU$22:$AU$45&gt;$AM198))
) / 1000</f>
        <v>0</v>
      </c>
      <c r="CZ198" s="229">
        <f t="shared" si="522"/>
        <v>0</v>
      </c>
      <c r="DA198" s="246"/>
    </row>
    <row r="199" spans="1:105" s="75" customFormat="1" ht="14.25" customHeight="1" x14ac:dyDescent="0.2">
      <c r="A199" s="230" t="b">
        <f t="shared" si="291"/>
        <v>0</v>
      </c>
      <c r="B199" s="253">
        <v>178</v>
      </c>
      <c r="C199" s="266"/>
      <c r="D199" s="266"/>
      <c r="E199" s="254"/>
      <c r="F199" s="255" t="str">
        <f>IF(ISBLANK(E199), "", VLOOKUP(E199, Z!$A$2:$C$4127, 3, FALSE))</f>
        <v/>
      </c>
      <c r="G199" s="256"/>
      <c r="H199" s="256"/>
      <c r="I199" s="256"/>
      <c r="J199" s="257"/>
      <c r="K199" s="258"/>
      <c r="L199" s="267"/>
      <c r="M199" s="268"/>
      <c r="N199" s="259" t="str" cm="1">
        <f t="array" ref="N199">IF($L199&gt;0, INDEX(Clean,1+AK199,$D$1), "")</f>
        <v/>
      </c>
      <c r="O199" s="260"/>
      <c r="P199" s="260"/>
      <c r="Q199" s="261"/>
      <c r="R199" s="264">
        <f t="shared" si="498"/>
        <v>0</v>
      </c>
      <c r="S199" s="259" t="str" cm="1">
        <f t="array" ref="S199">IF($L199&gt;0, INDEX(Clean,1+AL199,$D$1), "")</f>
        <v/>
      </c>
      <c r="T199" s="260"/>
      <c r="U199" s="260"/>
      <c r="V199" s="261"/>
      <c r="W199" s="267"/>
      <c r="X199" s="267"/>
      <c r="Y199" s="257"/>
      <c r="Z199" s="264">
        <f t="shared" si="499"/>
        <v>0</v>
      </c>
      <c r="AA199" s="269"/>
      <c r="AB199" s="266"/>
      <c r="AC199" s="254"/>
      <c r="AD199" s="255" t="str">
        <f>IF(ISBLANK(AC199), "", VLOOKUP(AC199, Z!$A$2:$C$4127, 3, FALSE))</f>
        <v/>
      </c>
      <c r="AE199" s="270"/>
      <c r="AF199" s="265">
        <f t="shared" si="500"/>
        <v>0</v>
      </c>
      <c r="AG199" s="246"/>
      <c r="AH199" s="228">
        <f t="shared" si="523"/>
        <v>1</v>
      </c>
      <c r="AI199" s="228">
        <f t="shared" si="524"/>
        <v>1</v>
      </c>
      <c r="AJ199" s="228">
        <f t="shared" si="525"/>
        <v>0</v>
      </c>
      <c r="AK199" s="228">
        <v>0</v>
      </c>
      <c r="AL199" s="228">
        <v>0</v>
      </c>
      <c r="AM199" s="228">
        <f t="shared" si="501"/>
        <v>-100</v>
      </c>
      <c r="AN199" s="228" cm="1">
        <f t="array" ref="AN199">IF(ISBLANK(G199), 1, IFERROR(MATCH(G199, INDEX(Kat,,1), 0), IFERROR(MATCH(Kat, INDEX(Use,,2), 0), MATCH(Kat, INDEX(Use,,3), 0))))</f>
        <v>1</v>
      </c>
      <c r="AO199" s="246"/>
      <c r="AP199" s="228" cm="1">
        <f t="array" ref="AP199">IF(W199&gt;0, INDEX(Kat, AN199,4), 0)</f>
        <v>0</v>
      </c>
      <c r="AQ199" s="228">
        <f t="shared" si="526"/>
        <v>0</v>
      </c>
      <c r="AR199" s="228" cm="1">
        <f t="array" ref="AR199">IF(X199&gt;0, INDEX(Kat, $AN199, 4+AQ199), 0)</f>
        <v>0</v>
      </c>
      <c r="AS199" s="228" cm="1">
        <f t="array" ref="AS199">IF(X199&gt;0, INDEX(Kat, $AN199, 9+AQ199), 0)</f>
        <v>0</v>
      </c>
      <c r="AT199" s="246"/>
      <c r="AU199" s="262"/>
      <c r="AV199" s="262"/>
      <c r="AW199" s="263"/>
      <c r="AX199" s="263"/>
      <c r="AY199" s="263"/>
      <c r="AZ199" s="263"/>
      <c r="BA199" s="263"/>
      <c r="BB199" s="263"/>
      <c r="BC199" s="263"/>
      <c r="BD199" s="263"/>
      <c r="BE199" s="263"/>
      <c r="BF199" s="263"/>
      <c r="BG199" s="263"/>
      <c r="BH199" s="246"/>
      <c r="BI199" s="228" cm="1">
        <f t="array" ref="BI199">INDEX(Use, $AH199, 4)</f>
        <v>7</v>
      </c>
      <c r="BJ199" s="228">
        <f t="shared" si="502"/>
        <v>32</v>
      </c>
      <c r="BK199" s="228">
        <f t="shared" si="305"/>
        <v>13</v>
      </c>
      <c r="BL199" s="228">
        <f t="shared" si="306"/>
        <v>0</v>
      </c>
      <c r="BM199" s="233" cm="1">
        <f t="array" ref="BM199">L199/IF($M199&gt;0, INDEX($AY$22:$BE$76, $M199+20, $AH199), 1)</f>
        <v>0</v>
      </c>
      <c r="BN199" s="229">
        <f t="shared" si="503"/>
        <v>0</v>
      </c>
      <c r="BO199" s="228">
        <v>35</v>
      </c>
      <c r="BP199" s="229">
        <f t="shared" si="504"/>
        <v>48</v>
      </c>
      <c r="BQ199" s="234">
        <f t="shared" si="505"/>
        <v>3.0748170731707316</v>
      </c>
      <c r="BR199" s="234" cm="1">
        <f t="array" ref="BR199">$BM199 * SUMPRODUCT(INDEX($AV$76:$AX$81,,$AI199),INDEX($AY$76:$BE$81,,$AH199), N($AU$76:$AU$81&gt;$AM199)) / BQ199 / 1000</f>
        <v>0</v>
      </c>
      <c r="BS199" s="231">
        <f t="shared" si="310"/>
        <v>30</v>
      </c>
      <c r="BT199" s="229">
        <f t="shared" si="506"/>
        <v>43</v>
      </c>
      <c r="BU199" s="234">
        <f t="shared" si="507"/>
        <v>3.5018750000000001</v>
      </c>
      <c r="BV199" s="234" cm="1">
        <f t="array" ref="BV199">$BM199 * IF($AH199&lt;=2,
SUMPRODUCT(INDEX($AV$71:$AX$75,,$AI199), INDEX($AY$71:$BE$75,,$AH199), 1 / ($BF$71:$BF$75*BU199 + (1-$BF$71:$BF$75)*BQ199), N($AU$71:$AU$75&gt;$AM199)),
SUMPRODUCT(INDEX($AV$66:$AX$75,,$AI199), INDEX($AY$66:$BE$75,,$AH199), 1 / ($BG$66:$BG$75*BU199 + (1-$BG$66:$BG$75)*BQ199), N($AU$66:$AU$75&gt;$AM199))
) / 1000</f>
        <v>0</v>
      </c>
      <c r="BW199" s="231">
        <f t="shared" si="313"/>
        <v>25</v>
      </c>
      <c r="BX199" s="229">
        <f t="shared" si="508"/>
        <v>38</v>
      </c>
      <c r="BY199" s="234">
        <f t="shared" si="509"/>
        <v>4.0666935483870965</v>
      </c>
      <c r="BZ199" s="234" cm="1">
        <f t="array" ref="BZ199">$BM199 * IF($AH199&lt;=2,
SUMPRODUCT(INDEX($AV$66:$AX$70,,$AI199), INDEX($AY$66:$BE$70,,$AH199), 1 / ($BF$66:$BF$70*BY199 + (1-$BF$66:$BF$70)*BU199), N($AU$66:$AU$70&gt;$AM199)),
SUMPRODUCT(INDEX($AV$56:$AX$65,,$AI199), INDEX($AY$56:$BE$65,,$AH199), 1 / ($BG$56:$BG$65*BY199 + (1-$BG$56:$BG$65)*BU199), N($AU$56:$AU$65&gt;$AM199))
) / 1000</f>
        <v>0</v>
      </c>
      <c r="CA199" s="231">
        <f t="shared" si="316"/>
        <v>20</v>
      </c>
      <c r="CB199" s="229">
        <f t="shared" si="510"/>
        <v>33</v>
      </c>
      <c r="CC199" s="234">
        <f t="shared" si="511"/>
        <v>4.8487499999999999</v>
      </c>
      <c r="CD199" s="234" cm="1">
        <f t="array" ref="CD199">$BM199 * IF($AH199&lt;=2,
SUMPRODUCT(INDEX($AV$61:$AX$65,,$AI199), INDEX($AY$61:$BE$65,,$AH199), 1 / ($BF$61:$BF$65*CC199 + (1-$BF$61:$BF$65)*BY199), N($AU$61:$AU$65&gt;$AM199)),
SUMPRODUCT(INDEX($AV$46:$AX$55,,$AI199), INDEX($AY$46:$BE$55,,$AH199), 1 / ($BG$46:$BG$55*CC199 + (1-$BG$46:$BG$55)*BY199), N($AU$46:$AU$55&gt;$AM199))
) / 1000</f>
        <v>0</v>
      </c>
      <c r="CE199" s="234" cm="1">
        <f t="array" ref="CE199">$BM199 * IF($AH199&lt;=2,
SUMPRODUCT(INDEX($AV$22:$AX$60,,$AI199), INDEX($AY$22:$BE$60,,$AH199), 1 / ($BF$22:$BF$60*CC199), N($AU$22:$AU$60&gt;$AM199)),
SUMPRODUCT(INDEX($AV$22:$AX$45,,$AI199), INDEX($AY$22:$BE$45,,$AH199), 1 / ($BG$22:$BG$45*CC199), N($AU$22:$AU$45&gt;$AM199))
) / 1000</f>
        <v>0</v>
      </c>
      <c r="CF199" s="229">
        <f t="shared" si="512"/>
        <v>0</v>
      </c>
      <c r="CG199" s="246"/>
      <c r="CH199" s="229">
        <f t="shared" si="513"/>
        <v>0</v>
      </c>
      <c r="CI199" s="228">
        <v>35</v>
      </c>
      <c r="CJ199" s="229">
        <f t="shared" si="514"/>
        <v>48</v>
      </c>
      <c r="CK199" s="234">
        <f t="shared" si="515"/>
        <v>3.0748170731707316</v>
      </c>
      <c r="CL199" s="234" cm="1">
        <f t="array" ref="CL199">$BM199 * SUMPRODUCT(INDEX($AV$76:$AX$81,,$AI199),INDEX($AY$76:$BE$81,,$AH199), N($AU$76:$AU$81&gt;$AM199)) / CK199 / 1000</f>
        <v>0</v>
      </c>
      <c r="CM199" s="231">
        <f t="shared" si="323"/>
        <v>30</v>
      </c>
      <c r="CN199" s="229">
        <f t="shared" si="516"/>
        <v>43</v>
      </c>
      <c r="CO199" s="234">
        <f t="shared" si="517"/>
        <v>3.5018750000000001</v>
      </c>
      <c r="CP199" s="234" cm="1">
        <f t="array" ref="CP199">$BM199 * IF($AH199&lt;=2,
SUMPRODUCT(INDEX($AV$71:$AX$75,,$AI199), INDEX($AY$71:$BE$75,,$AH199), 1 / ($BF$71:$BF$75*CO199 + (1-$BF$71:$BF$75)*CK199), N($AU$71:$AU$75&gt;$AM199)),
SUMPRODUCT(INDEX($AV$66:$AX$75,,$AI199), INDEX($AY$66:$BE$75,,$AH199), 1 / ($BG$66:$BG$75*CO199 + (1-$BG$66:$BG$75)*CK199), N($AU$66:$AU$75&gt;$AM199))
) / 1000</f>
        <v>0</v>
      </c>
      <c r="CQ199" s="231">
        <f t="shared" si="326"/>
        <v>25</v>
      </c>
      <c r="CR199" s="229">
        <f t="shared" si="518"/>
        <v>38</v>
      </c>
      <c r="CS199" s="234">
        <f t="shared" si="519"/>
        <v>4.0666935483870965</v>
      </c>
      <c r="CT199" s="234" cm="1">
        <f t="array" ref="CT199">$BM199 * IF($AH199&lt;=2,
SUMPRODUCT(INDEX($AV$66:$AX$70,,$AI199), INDEX($AY$66:$BE$70,,$AH199), 1 / ($BF$66:$BF$70*CS199 + (1-$BF$66:$BF$70)*CO199), N($AU$66:$AU$70&gt;$AM199)),
SUMPRODUCT(INDEX($AV$56:$AX$65,,$AI199), INDEX($AY$56:$BE$65,,$AH199), 1 / ($BG$56:$BG$65*CS199 + (1-$BG$56:$BG$65)*CO199), N($AU$56:$AU$65&gt;$AM199))
) / 1000</f>
        <v>0</v>
      </c>
      <c r="CU199" s="231">
        <f t="shared" si="329"/>
        <v>20</v>
      </c>
      <c r="CV199" s="229">
        <f t="shared" si="520"/>
        <v>33</v>
      </c>
      <c r="CW199" s="234">
        <f t="shared" si="521"/>
        <v>4.8487499999999999</v>
      </c>
      <c r="CX199" s="234" cm="1">
        <f t="array" ref="CX199">$BM199 * IF($AH199&lt;=2,
SUMPRODUCT(INDEX($AV$61:$AX$65,,$AI199), INDEX($AY$61:$BE$65,,$AH199), 1 / ($BF$61:$BF$65*CW199 + (1-$BF$61:$BF$65)*CS199), N($AU$61:$AU$65&gt;$AM199)),
SUMPRODUCT(INDEX($AV$46:$AX$55,,$AI199), INDEX($AY$46:$BE$55,,$AH199), 1 / ($BG$46:$BG$55*CW199 + (1-$BG$46:$BG$55)*CS199), N($AU$46:$AU$55&gt;$AM199))
) / 1000</f>
        <v>0</v>
      </c>
      <c r="CY199" s="234" cm="1">
        <f t="array" ref="CY199">$BM199 * IF($AH199&lt;=2,
SUMPRODUCT(INDEX($AV$22:$AX$60,,$AI199), INDEX($AY$22:$BE$60,,$AH199), 1 / ($BF$22:$BF$60*CW199), N($AU$22:$AU$60&gt;$AM199)),
SUMPRODUCT(INDEX($AV$22:$AX$45,,$AI199), INDEX($AY$22:$BE$45,,$AH199), 1 / ($BG$22:$BG$45*CW199), N($AU$22:$AU$45&gt;$AM199))
) / 1000</f>
        <v>0</v>
      </c>
      <c r="CZ199" s="229">
        <f t="shared" si="522"/>
        <v>0</v>
      </c>
      <c r="DA199" s="246"/>
    </row>
    <row r="200" spans="1:105" s="75" customFormat="1" ht="14.25" customHeight="1" x14ac:dyDescent="0.2">
      <c r="A200" s="230" t="b">
        <f t="shared" si="291"/>
        <v>0</v>
      </c>
      <c r="B200" s="253">
        <v>179</v>
      </c>
      <c r="C200" s="266"/>
      <c r="D200" s="266"/>
      <c r="E200" s="254"/>
      <c r="F200" s="255" t="str">
        <f>IF(ISBLANK(E200), "", VLOOKUP(E200, Z!$A$2:$C$4127, 3, FALSE))</f>
        <v/>
      </c>
      <c r="G200" s="256"/>
      <c r="H200" s="256"/>
      <c r="I200" s="256"/>
      <c r="J200" s="257"/>
      <c r="K200" s="258"/>
      <c r="L200" s="267"/>
      <c r="M200" s="268"/>
      <c r="N200" s="259" t="str" cm="1">
        <f t="array" ref="N200">IF($L200&gt;0, INDEX(Clean,1+AK200,$D$1), "")</f>
        <v/>
      </c>
      <c r="O200" s="260"/>
      <c r="P200" s="260"/>
      <c r="Q200" s="261"/>
      <c r="R200" s="264">
        <f t="shared" si="498"/>
        <v>0</v>
      </c>
      <c r="S200" s="259" t="str" cm="1">
        <f t="array" ref="S200">IF($L200&gt;0, INDEX(Clean,1+AL200,$D$1), "")</f>
        <v/>
      </c>
      <c r="T200" s="260"/>
      <c r="U200" s="260"/>
      <c r="V200" s="261"/>
      <c r="W200" s="267"/>
      <c r="X200" s="267"/>
      <c r="Y200" s="257"/>
      <c r="Z200" s="264">
        <f t="shared" si="499"/>
        <v>0</v>
      </c>
      <c r="AA200" s="269"/>
      <c r="AB200" s="266"/>
      <c r="AC200" s="254"/>
      <c r="AD200" s="255" t="str">
        <f>IF(ISBLANK(AC200), "", VLOOKUP(AC200, Z!$A$2:$C$4127, 3, FALSE))</f>
        <v/>
      </c>
      <c r="AE200" s="270"/>
      <c r="AF200" s="265">
        <f t="shared" si="500"/>
        <v>0</v>
      </c>
      <c r="AG200" s="246"/>
      <c r="AH200" s="228">
        <f t="shared" si="523"/>
        <v>1</v>
      </c>
      <c r="AI200" s="228">
        <f t="shared" si="524"/>
        <v>1</v>
      </c>
      <c r="AJ200" s="228">
        <f t="shared" si="525"/>
        <v>0</v>
      </c>
      <c r="AK200" s="228">
        <v>0</v>
      </c>
      <c r="AL200" s="228">
        <v>0</v>
      </c>
      <c r="AM200" s="228">
        <f t="shared" si="501"/>
        <v>-100</v>
      </c>
      <c r="AN200" s="228" cm="1">
        <f t="array" ref="AN200">IF(ISBLANK(G200), 1, IFERROR(MATCH(G200, INDEX(Kat,,1), 0), IFERROR(MATCH(Kat, INDEX(Use,,2), 0), MATCH(Kat, INDEX(Use,,3), 0))))</f>
        <v>1</v>
      </c>
      <c r="AO200" s="246"/>
      <c r="AP200" s="228" cm="1">
        <f t="array" ref="AP200">IF(W200&gt;0, INDEX(Kat, AN200,4), 0)</f>
        <v>0</v>
      </c>
      <c r="AQ200" s="228">
        <f t="shared" si="526"/>
        <v>0</v>
      </c>
      <c r="AR200" s="228" cm="1">
        <f t="array" ref="AR200">IF(X200&gt;0, INDEX(Kat, $AN200, 4+AQ200), 0)</f>
        <v>0</v>
      </c>
      <c r="AS200" s="228" cm="1">
        <f t="array" ref="AS200">IF(X200&gt;0, INDEX(Kat, $AN200, 9+AQ200), 0)</f>
        <v>0</v>
      </c>
      <c r="AT200" s="246"/>
      <c r="AU200" s="262"/>
      <c r="AV200" s="262"/>
      <c r="AW200" s="263"/>
      <c r="AX200" s="263"/>
      <c r="AY200" s="263"/>
      <c r="AZ200" s="263"/>
      <c r="BA200" s="263"/>
      <c r="BB200" s="263"/>
      <c r="BC200" s="263"/>
      <c r="BD200" s="263"/>
      <c r="BE200" s="263"/>
      <c r="BF200" s="263"/>
      <c r="BG200" s="263"/>
      <c r="BH200" s="246"/>
      <c r="BI200" s="228" cm="1">
        <f t="array" ref="BI200">INDEX(Use, $AH200, 4)</f>
        <v>7</v>
      </c>
      <c r="BJ200" s="228">
        <f t="shared" si="502"/>
        <v>32</v>
      </c>
      <c r="BK200" s="228">
        <f t="shared" si="305"/>
        <v>13</v>
      </c>
      <c r="BL200" s="228">
        <f t="shared" si="306"/>
        <v>0</v>
      </c>
      <c r="BM200" s="233" cm="1">
        <f t="array" ref="BM200">L200/IF($M200&gt;0, INDEX($AY$22:$BE$76, $M200+20, $AH200), 1)</f>
        <v>0</v>
      </c>
      <c r="BN200" s="229">
        <f t="shared" si="503"/>
        <v>0</v>
      </c>
      <c r="BO200" s="228">
        <v>35</v>
      </c>
      <c r="BP200" s="229">
        <f t="shared" si="504"/>
        <v>48</v>
      </c>
      <c r="BQ200" s="234">
        <f t="shared" si="505"/>
        <v>3.0748170731707316</v>
      </c>
      <c r="BR200" s="234" cm="1">
        <f t="array" ref="BR200">$BM200 * SUMPRODUCT(INDEX($AV$76:$AX$81,,$AI200),INDEX($AY$76:$BE$81,,$AH200), N($AU$76:$AU$81&gt;$AM200)) / BQ200 / 1000</f>
        <v>0</v>
      </c>
      <c r="BS200" s="231">
        <f t="shared" si="310"/>
        <v>30</v>
      </c>
      <c r="BT200" s="229">
        <f t="shared" si="506"/>
        <v>43</v>
      </c>
      <c r="BU200" s="234">
        <f t="shared" si="507"/>
        <v>3.5018750000000001</v>
      </c>
      <c r="BV200" s="234" cm="1">
        <f t="array" ref="BV200">$BM200 * IF($AH200&lt;=2,
SUMPRODUCT(INDEX($AV$71:$AX$75,,$AI200), INDEX($AY$71:$BE$75,,$AH200), 1 / ($BF$71:$BF$75*BU200 + (1-$BF$71:$BF$75)*BQ200), N($AU$71:$AU$75&gt;$AM200)),
SUMPRODUCT(INDEX($AV$66:$AX$75,,$AI200), INDEX($AY$66:$BE$75,,$AH200), 1 / ($BG$66:$BG$75*BU200 + (1-$BG$66:$BG$75)*BQ200), N($AU$66:$AU$75&gt;$AM200))
) / 1000</f>
        <v>0</v>
      </c>
      <c r="BW200" s="231">
        <f t="shared" si="313"/>
        <v>25</v>
      </c>
      <c r="BX200" s="229">
        <f t="shared" si="508"/>
        <v>38</v>
      </c>
      <c r="BY200" s="234">
        <f t="shared" si="509"/>
        <v>4.0666935483870965</v>
      </c>
      <c r="BZ200" s="234" cm="1">
        <f t="array" ref="BZ200">$BM200 * IF($AH200&lt;=2,
SUMPRODUCT(INDEX($AV$66:$AX$70,,$AI200), INDEX($AY$66:$BE$70,,$AH200), 1 / ($BF$66:$BF$70*BY200 + (1-$BF$66:$BF$70)*BU200), N($AU$66:$AU$70&gt;$AM200)),
SUMPRODUCT(INDEX($AV$56:$AX$65,,$AI200), INDEX($AY$56:$BE$65,,$AH200), 1 / ($BG$56:$BG$65*BY200 + (1-$BG$56:$BG$65)*BU200), N($AU$56:$AU$65&gt;$AM200))
) / 1000</f>
        <v>0</v>
      </c>
      <c r="CA200" s="231">
        <f t="shared" si="316"/>
        <v>20</v>
      </c>
      <c r="CB200" s="229">
        <f t="shared" si="510"/>
        <v>33</v>
      </c>
      <c r="CC200" s="234">
        <f t="shared" si="511"/>
        <v>4.8487499999999999</v>
      </c>
      <c r="CD200" s="234" cm="1">
        <f t="array" ref="CD200">$BM200 * IF($AH200&lt;=2,
SUMPRODUCT(INDEX($AV$61:$AX$65,,$AI200), INDEX($AY$61:$BE$65,,$AH200), 1 / ($BF$61:$BF$65*CC200 + (1-$BF$61:$BF$65)*BY200), N($AU$61:$AU$65&gt;$AM200)),
SUMPRODUCT(INDEX($AV$46:$AX$55,,$AI200), INDEX($AY$46:$BE$55,,$AH200), 1 / ($BG$46:$BG$55*CC200 + (1-$BG$46:$BG$55)*BY200), N($AU$46:$AU$55&gt;$AM200))
) / 1000</f>
        <v>0</v>
      </c>
      <c r="CE200" s="234" cm="1">
        <f t="array" ref="CE200">$BM200 * IF($AH200&lt;=2,
SUMPRODUCT(INDEX($AV$22:$AX$60,,$AI200), INDEX($AY$22:$BE$60,,$AH200), 1 / ($BF$22:$BF$60*CC200), N($AU$22:$AU$60&gt;$AM200)),
SUMPRODUCT(INDEX($AV$22:$AX$45,,$AI200), INDEX($AY$22:$BE$45,,$AH200), 1 / ($BG$22:$BG$45*CC200), N($AU$22:$AU$45&gt;$AM200))
) / 1000</f>
        <v>0</v>
      </c>
      <c r="CF200" s="229">
        <f t="shared" si="512"/>
        <v>0</v>
      </c>
      <c r="CG200" s="246"/>
      <c r="CH200" s="229">
        <f t="shared" si="513"/>
        <v>0</v>
      </c>
      <c r="CI200" s="228">
        <v>35</v>
      </c>
      <c r="CJ200" s="229">
        <f t="shared" si="514"/>
        <v>48</v>
      </c>
      <c r="CK200" s="234">
        <f t="shared" si="515"/>
        <v>3.0748170731707316</v>
      </c>
      <c r="CL200" s="234" cm="1">
        <f t="array" ref="CL200">$BM200 * SUMPRODUCT(INDEX($AV$76:$AX$81,,$AI200),INDEX($AY$76:$BE$81,,$AH200), N($AU$76:$AU$81&gt;$AM200)) / CK200 / 1000</f>
        <v>0</v>
      </c>
      <c r="CM200" s="231">
        <f t="shared" si="323"/>
        <v>30</v>
      </c>
      <c r="CN200" s="229">
        <f t="shared" si="516"/>
        <v>43</v>
      </c>
      <c r="CO200" s="234">
        <f t="shared" si="517"/>
        <v>3.5018750000000001</v>
      </c>
      <c r="CP200" s="234" cm="1">
        <f t="array" ref="CP200">$BM200 * IF($AH200&lt;=2,
SUMPRODUCT(INDEX($AV$71:$AX$75,,$AI200), INDEX($AY$71:$BE$75,,$AH200), 1 / ($BF$71:$BF$75*CO200 + (1-$BF$71:$BF$75)*CK200), N($AU$71:$AU$75&gt;$AM200)),
SUMPRODUCT(INDEX($AV$66:$AX$75,,$AI200), INDEX($AY$66:$BE$75,,$AH200), 1 / ($BG$66:$BG$75*CO200 + (1-$BG$66:$BG$75)*CK200), N($AU$66:$AU$75&gt;$AM200))
) / 1000</f>
        <v>0</v>
      </c>
      <c r="CQ200" s="231">
        <f t="shared" si="326"/>
        <v>25</v>
      </c>
      <c r="CR200" s="229">
        <f t="shared" si="518"/>
        <v>38</v>
      </c>
      <c r="CS200" s="234">
        <f t="shared" si="519"/>
        <v>4.0666935483870965</v>
      </c>
      <c r="CT200" s="234" cm="1">
        <f t="array" ref="CT200">$BM200 * IF($AH200&lt;=2,
SUMPRODUCT(INDEX($AV$66:$AX$70,,$AI200), INDEX($AY$66:$BE$70,,$AH200), 1 / ($BF$66:$BF$70*CS200 + (1-$BF$66:$BF$70)*CO200), N($AU$66:$AU$70&gt;$AM200)),
SUMPRODUCT(INDEX($AV$56:$AX$65,,$AI200), INDEX($AY$56:$BE$65,,$AH200), 1 / ($BG$56:$BG$65*CS200 + (1-$BG$56:$BG$65)*CO200), N($AU$56:$AU$65&gt;$AM200))
) / 1000</f>
        <v>0</v>
      </c>
      <c r="CU200" s="231">
        <f t="shared" si="329"/>
        <v>20</v>
      </c>
      <c r="CV200" s="229">
        <f t="shared" si="520"/>
        <v>33</v>
      </c>
      <c r="CW200" s="234">
        <f t="shared" si="521"/>
        <v>4.8487499999999999</v>
      </c>
      <c r="CX200" s="234" cm="1">
        <f t="array" ref="CX200">$BM200 * IF($AH200&lt;=2,
SUMPRODUCT(INDEX($AV$61:$AX$65,,$AI200), INDEX($AY$61:$BE$65,,$AH200), 1 / ($BF$61:$BF$65*CW200 + (1-$BF$61:$BF$65)*CS200), N($AU$61:$AU$65&gt;$AM200)),
SUMPRODUCT(INDEX($AV$46:$AX$55,,$AI200), INDEX($AY$46:$BE$55,,$AH200), 1 / ($BG$46:$BG$55*CW200 + (1-$BG$46:$BG$55)*CS200), N($AU$46:$AU$55&gt;$AM200))
) / 1000</f>
        <v>0</v>
      </c>
      <c r="CY200" s="234" cm="1">
        <f t="array" ref="CY200">$BM200 * IF($AH200&lt;=2,
SUMPRODUCT(INDEX($AV$22:$AX$60,,$AI200), INDEX($AY$22:$BE$60,,$AH200), 1 / ($BF$22:$BF$60*CW200), N($AU$22:$AU$60&gt;$AM200)),
SUMPRODUCT(INDEX($AV$22:$AX$45,,$AI200), INDEX($AY$22:$BE$45,,$AH200), 1 / ($BG$22:$BG$45*CW200), N($AU$22:$AU$45&gt;$AM200))
) / 1000</f>
        <v>0</v>
      </c>
      <c r="CZ200" s="229">
        <f t="shared" si="522"/>
        <v>0</v>
      </c>
      <c r="DA200" s="246"/>
    </row>
    <row r="201" spans="1:105" s="75" customFormat="1" ht="14.25" customHeight="1" x14ac:dyDescent="0.2">
      <c r="A201" s="230" t="b">
        <f t="shared" si="291"/>
        <v>0</v>
      </c>
      <c r="B201" s="253">
        <v>180</v>
      </c>
      <c r="C201" s="266"/>
      <c r="D201" s="266"/>
      <c r="E201" s="254"/>
      <c r="F201" s="255" t="str">
        <f>IF(ISBLANK(E201), "", VLOOKUP(E201, Z!$A$2:$C$4127, 3, FALSE))</f>
        <v/>
      </c>
      <c r="G201" s="256"/>
      <c r="H201" s="256"/>
      <c r="I201" s="256"/>
      <c r="J201" s="257"/>
      <c r="K201" s="258"/>
      <c r="L201" s="267"/>
      <c r="M201" s="268"/>
      <c r="N201" s="259" t="str" cm="1">
        <f t="array" ref="N201">IF($L201&gt;0, INDEX(Clean,1+AK201,$D$1), "")</f>
        <v/>
      </c>
      <c r="O201" s="260"/>
      <c r="P201" s="260"/>
      <c r="Q201" s="261"/>
      <c r="R201" s="264">
        <f t="shared" si="498"/>
        <v>0</v>
      </c>
      <c r="S201" s="259" t="str" cm="1">
        <f t="array" ref="S201">IF($L201&gt;0, INDEX(Clean,1+AL201,$D$1), "")</f>
        <v/>
      </c>
      <c r="T201" s="260"/>
      <c r="U201" s="260"/>
      <c r="V201" s="261"/>
      <c r="W201" s="267"/>
      <c r="X201" s="267"/>
      <c r="Y201" s="257"/>
      <c r="Z201" s="264">
        <f t="shared" si="499"/>
        <v>0</v>
      </c>
      <c r="AA201" s="269"/>
      <c r="AB201" s="266"/>
      <c r="AC201" s="254"/>
      <c r="AD201" s="255" t="str">
        <f>IF(ISBLANK(AC201), "", VLOOKUP(AC201, Z!$A$2:$C$4127, 3, FALSE))</f>
        <v/>
      </c>
      <c r="AE201" s="270"/>
      <c r="AF201" s="265">
        <f t="shared" si="500"/>
        <v>0</v>
      </c>
      <c r="AG201" s="246"/>
      <c r="AH201" s="228">
        <f t="shared" si="523"/>
        <v>1</v>
      </c>
      <c r="AI201" s="228">
        <f t="shared" si="524"/>
        <v>1</v>
      </c>
      <c r="AJ201" s="228">
        <f t="shared" si="525"/>
        <v>0</v>
      </c>
      <c r="AK201" s="228">
        <v>0</v>
      </c>
      <c r="AL201" s="228">
        <v>0</v>
      </c>
      <c r="AM201" s="228">
        <f t="shared" si="501"/>
        <v>-100</v>
      </c>
      <c r="AN201" s="228" cm="1">
        <f t="array" ref="AN201">IF(ISBLANK(G201), 1, IFERROR(MATCH(G201, INDEX(Kat,,1), 0), IFERROR(MATCH(Kat, INDEX(Use,,2), 0), MATCH(Kat, INDEX(Use,,3), 0))))</f>
        <v>1</v>
      </c>
      <c r="AO201" s="246"/>
      <c r="AP201" s="228" cm="1">
        <f t="array" ref="AP201">IF(W201&gt;0, INDEX(Kat, AN201,4), 0)</f>
        <v>0</v>
      </c>
      <c r="AQ201" s="228">
        <f t="shared" si="526"/>
        <v>0</v>
      </c>
      <c r="AR201" s="228" cm="1">
        <f t="array" ref="AR201">IF(X201&gt;0, INDEX(Kat, $AN201, 4+AQ201), 0)</f>
        <v>0</v>
      </c>
      <c r="AS201" s="228" cm="1">
        <f t="array" ref="AS201">IF(X201&gt;0, INDEX(Kat, $AN201, 9+AQ201), 0)</f>
        <v>0</v>
      </c>
      <c r="AT201" s="246"/>
      <c r="AU201" s="262"/>
      <c r="AV201" s="262"/>
      <c r="AW201" s="263"/>
      <c r="AX201" s="263"/>
      <c r="AY201" s="263"/>
      <c r="AZ201" s="263"/>
      <c r="BA201" s="263"/>
      <c r="BB201" s="263"/>
      <c r="BC201" s="263"/>
      <c r="BD201" s="263"/>
      <c r="BE201" s="263"/>
      <c r="BF201" s="263"/>
      <c r="BG201" s="263"/>
      <c r="BH201" s="246"/>
      <c r="BI201" s="228" cm="1">
        <f t="array" ref="BI201">INDEX(Use, $AH201, 4)</f>
        <v>7</v>
      </c>
      <c r="BJ201" s="228">
        <f t="shared" si="502"/>
        <v>32</v>
      </c>
      <c r="BK201" s="228">
        <f t="shared" si="305"/>
        <v>13</v>
      </c>
      <c r="BL201" s="228">
        <f t="shared" si="306"/>
        <v>0</v>
      </c>
      <c r="BM201" s="233" cm="1">
        <f t="array" ref="BM201">L201/IF($M201&gt;0, INDEX($AY$22:$BE$76, $M201+20, $AH201), 1)</f>
        <v>0</v>
      </c>
      <c r="BN201" s="229">
        <f t="shared" si="503"/>
        <v>0</v>
      </c>
      <c r="BO201" s="228">
        <v>35</v>
      </c>
      <c r="BP201" s="229">
        <f t="shared" si="504"/>
        <v>48</v>
      </c>
      <c r="BQ201" s="234">
        <f t="shared" si="505"/>
        <v>3.0748170731707316</v>
      </c>
      <c r="BR201" s="234" cm="1">
        <f t="array" ref="BR201">$BM201 * SUMPRODUCT(INDEX($AV$76:$AX$81,,$AI201),INDEX($AY$76:$BE$81,,$AH201), N($AU$76:$AU$81&gt;$AM201)) / BQ201 / 1000</f>
        <v>0</v>
      </c>
      <c r="BS201" s="231">
        <f t="shared" si="310"/>
        <v>30</v>
      </c>
      <c r="BT201" s="229">
        <f t="shared" si="506"/>
        <v>43</v>
      </c>
      <c r="BU201" s="234">
        <f t="shared" si="507"/>
        <v>3.5018750000000001</v>
      </c>
      <c r="BV201" s="234" cm="1">
        <f t="array" ref="BV201">$BM201 * IF($AH201&lt;=2,
SUMPRODUCT(INDEX($AV$71:$AX$75,,$AI201), INDEX($AY$71:$BE$75,,$AH201), 1 / ($BF$71:$BF$75*BU201 + (1-$BF$71:$BF$75)*BQ201), N($AU$71:$AU$75&gt;$AM201)),
SUMPRODUCT(INDEX($AV$66:$AX$75,,$AI201), INDEX($AY$66:$BE$75,,$AH201), 1 / ($BG$66:$BG$75*BU201 + (1-$BG$66:$BG$75)*BQ201), N($AU$66:$AU$75&gt;$AM201))
) / 1000</f>
        <v>0</v>
      </c>
      <c r="BW201" s="231">
        <f t="shared" si="313"/>
        <v>25</v>
      </c>
      <c r="BX201" s="229">
        <f t="shared" si="508"/>
        <v>38</v>
      </c>
      <c r="BY201" s="234">
        <f t="shared" si="509"/>
        <v>4.0666935483870965</v>
      </c>
      <c r="BZ201" s="234" cm="1">
        <f t="array" ref="BZ201">$BM201 * IF($AH201&lt;=2,
SUMPRODUCT(INDEX($AV$66:$AX$70,,$AI201), INDEX($AY$66:$BE$70,,$AH201), 1 / ($BF$66:$BF$70*BY201 + (1-$BF$66:$BF$70)*BU201), N($AU$66:$AU$70&gt;$AM201)),
SUMPRODUCT(INDEX($AV$56:$AX$65,,$AI201), INDEX($AY$56:$BE$65,,$AH201), 1 / ($BG$56:$BG$65*BY201 + (1-$BG$56:$BG$65)*BU201), N($AU$56:$AU$65&gt;$AM201))
) / 1000</f>
        <v>0</v>
      </c>
      <c r="CA201" s="231">
        <f t="shared" si="316"/>
        <v>20</v>
      </c>
      <c r="CB201" s="229">
        <f t="shared" si="510"/>
        <v>33</v>
      </c>
      <c r="CC201" s="234">
        <f t="shared" si="511"/>
        <v>4.8487499999999999</v>
      </c>
      <c r="CD201" s="234" cm="1">
        <f t="array" ref="CD201">$BM201 * IF($AH201&lt;=2,
SUMPRODUCT(INDEX($AV$61:$AX$65,,$AI201), INDEX($AY$61:$BE$65,,$AH201), 1 / ($BF$61:$BF$65*CC201 + (1-$BF$61:$BF$65)*BY201), N($AU$61:$AU$65&gt;$AM201)),
SUMPRODUCT(INDEX($AV$46:$AX$55,,$AI201), INDEX($AY$46:$BE$55,,$AH201), 1 / ($BG$46:$BG$55*CC201 + (1-$BG$46:$BG$55)*BY201), N($AU$46:$AU$55&gt;$AM201))
) / 1000</f>
        <v>0</v>
      </c>
      <c r="CE201" s="234" cm="1">
        <f t="array" ref="CE201">$BM201 * IF($AH201&lt;=2,
SUMPRODUCT(INDEX($AV$22:$AX$60,,$AI201), INDEX($AY$22:$BE$60,,$AH201), 1 / ($BF$22:$BF$60*CC201), N($AU$22:$AU$60&gt;$AM201)),
SUMPRODUCT(INDEX($AV$22:$AX$45,,$AI201), INDEX($AY$22:$BE$45,,$AH201), 1 / ($BG$22:$BG$45*CC201), N($AU$22:$AU$45&gt;$AM201))
) / 1000</f>
        <v>0</v>
      </c>
      <c r="CF201" s="229">
        <f t="shared" si="512"/>
        <v>0</v>
      </c>
      <c r="CG201" s="246"/>
      <c r="CH201" s="229">
        <f t="shared" si="513"/>
        <v>0</v>
      </c>
      <c r="CI201" s="228">
        <v>35</v>
      </c>
      <c r="CJ201" s="229">
        <f t="shared" si="514"/>
        <v>48</v>
      </c>
      <c r="CK201" s="234">
        <f t="shared" si="515"/>
        <v>3.0748170731707316</v>
      </c>
      <c r="CL201" s="234" cm="1">
        <f t="array" ref="CL201">$BM201 * SUMPRODUCT(INDEX($AV$76:$AX$81,,$AI201),INDEX($AY$76:$BE$81,,$AH201), N($AU$76:$AU$81&gt;$AM201)) / CK201 / 1000</f>
        <v>0</v>
      </c>
      <c r="CM201" s="231">
        <f t="shared" si="323"/>
        <v>30</v>
      </c>
      <c r="CN201" s="229">
        <f t="shared" si="516"/>
        <v>43</v>
      </c>
      <c r="CO201" s="234">
        <f t="shared" si="517"/>
        <v>3.5018750000000001</v>
      </c>
      <c r="CP201" s="234" cm="1">
        <f t="array" ref="CP201">$BM201 * IF($AH201&lt;=2,
SUMPRODUCT(INDEX($AV$71:$AX$75,,$AI201), INDEX($AY$71:$BE$75,,$AH201), 1 / ($BF$71:$BF$75*CO201 + (1-$BF$71:$BF$75)*CK201), N($AU$71:$AU$75&gt;$AM201)),
SUMPRODUCT(INDEX($AV$66:$AX$75,,$AI201), INDEX($AY$66:$BE$75,,$AH201), 1 / ($BG$66:$BG$75*CO201 + (1-$BG$66:$BG$75)*CK201), N($AU$66:$AU$75&gt;$AM201))
) / 1000</f>
        <v>0</v>
      </c>
      <c r="CQ201" s="231">
        <f t="shared" si="326"/>
        <v>25</v>
      </c>
      <c r="CR201" s="229">
        <f t="shared" si="518"/>
        <v>38</v>
      </c>
      <c r="CS201" s="234">
        <f t="shared" si="519"/>
        <v>4.0666935483870965</v>
      </c>
      <c r="CT201" s="234" cm="1">
        <f t="array" ref="CT201">$BM201 * IF($AH201&lt;=2,
SUMPRODUCT(INDEX($AV$66:$AX$70,,$AI201), INDEX($AY$66:$BE$70,,$AH201), 1 / ($BF$66:$BF$70*CS201 + (1-$BF$66:$BF$70)*CO201), N($AU$66:$AU$70&gt;$AM201)),
SUMPRODUCT(INDEX($AV$56:$AX$65,,$AI201), INDEX($AY$56:$BE$65,,$AH201), 1 / ($BG$56:$BG$65*CS201 + (1-$BG$56:$BG$65)*CO201), N($AU$56:$AU$65&gt;$AM201))
) / 1000</f>
        <v>0</v>
      </c>
      <c r="CU201" s="231">
        <f t="shared" si="329"/>
        <v>20</v>
      </c>
      <c r="CV201" s="229">
        <f t="shared" si="520"/>
        <v>33</v>
      </c>
      <c r="CW201" s="234">
        <f t="shared" si="521"/>
        <v>4.8487499999999999</v>
      </c>
      <c r="CX201" s="234" cm="1">
        <f t="array" ref="CX201">$BM201 * IF($AH201&lt;=2,
SUMPRODUCT(INDEX($AV$61:$AX$65,,$AI201), INDEX($AY$61:$BE$65,,$AH201), 1 / ($BF$61:$BF$65*CW201 + (1-$BF$61:$BF$65)*CS201), N($AU$61:$AU$65&gt;$AM201)),
SUMPRODUCT(INDEX($AV$46:$AX$55,,$AI201), INDEX($AY$46:$BE$55,,$AH201), 1 / ($BG$46:$BG$55*CW201 + (1-$BG$46:$BG$55)*CS201), N($AU$46:$AU$55&gt;$AM201))
) / 1000</f>
        <v>0</v>
      </c>
      <c r="CY201" s="234" cm="1">
        <f t="array" ref="CY201">$BM201 * IF($AH201&lt;=2,
SUMPRODUCT(INDEX($AV$22:$AX$60,,$AI201), INDEX($AY$22:$BE$60,,$AH201), 1 / ($BF$22:$BF$60*CW201), N($AU$22:$AU$60&gt;$AM201)),
SUMPRODUCT(INDEX($AV$22:$AX$45,,$AI201), INDEX($AY$22:$BE$45,,$AH201), 1 / ($BG$22:$BG$45*CW201), N($AU$22:$AU$45&gt;$AM201))
) / 1000</f>
        <v>0</v>
      </c>
      <c r="CZ201" s="229">
        <f t="shared" si="522"/>
        <v>0</v>
      </c>
      <c r="DA201" s="246"/>
    </row>
    <row r="202" spans="1:105" s="75" customFormat="1" ht="14.25" customHeight="1" x14ac:dyDescent="0.2">
      <c r="A202" s="230" t="b">
        <f t="shared" si="291"/>
        <v>0</v>
      </c>
      <c r="B202" s="253">
        <v>181</v>
      </c>
      <c r="C202" s="266"/>
      <c r="D202" s="266"/>
      <c r="E202" s="254"/>
      <c r="F202" s="255" t="str">
        <f>IF(ISBLANK(E202), "", VLOOKUP(E202, Z!$A$2:$C$4127, 3, FALSE))</f>
        <v/>
      </c>
      <c r="G202" s="256"/>
      <c r="H202" s="256"/>
      <c r="I202" s="256"/>
      <c r="J202" s="257"/>
      <c r="K202" s="258"/>
      <c r="L202" s="267"/>
      <c r="M202" s="268"/>
      <c r="N202" s="259" t="str" cm="1">
        <f t="array" ref="N202">IF($L202&gt;0, INDEX(Clean,1+AK202,$D$1), "")</f>
        <v/>
      </c>
      <c r="O202" s="260"/>
      <c r="P202" s="260"/>
      <c r="Q202" s="261"/>
      <c r="R202" s="264">
        <f t="shared" si="498"/>
        <v>0</v>
      </c>
      <c r="S202" s="259" t="str" cm="1">
        <f t="array" ref="S202">IF($L202&gt;0, INDEX(Clean,1+AL202,$D$1), "")</f>
        <v/>
      </c>
      <c r="T202" s="260"/>
      <c r="U202" s="260"/>
      <c r="V202" s="261"/>
      <c r="W202" s="267"/>
      <c r="X202" s="267"/>
      <c r="Y202" s="257"/>
      <c r="Z202" s="264">
        <f t="shared" si="499"/>
        <v>0</v>
      </c>
      <c r="AA202" s="269"/>
      <c r="AB202" s="266"/>
      <c r="AC202" s="254"/>
      <c r="AD202" s="255" t="str">
        <f>IF(ISBLANK(AC202), "", VLOOKUP(AC202, Z!$A$2:$C$4127, 3, FALSE))</f>
        <v/>
      </c>
      <c r="AE202" s="270"/>
      <c r="AF202" s="265">
        <f t="shared" si="500"/>
        <v>0</v>
      </c>
      <c r="AG202" s="246"/>
      <c r="AH202" s="228">
        <f t="shared" si="523"/>
        <v>1</v>
      </c>
      <c r="AI202" s="228">
        <f t="shared" si="524"/>
        <v>1</v>
      </c>
      <c r="AJ202" s="228">
        <f t="shared" si="525"/>
        <v>0</v>
      </c>
      <c r="AK202" s="228">
        <v>0</v>
      </c>
      <c r="AL202" s="228">
        <v>0</v>
      </c>
      <c r="AM202" s="228">
        <f t="shared" si="501"/>
        <v>-100</v>
      </c>
      <c r="AN202" s="228" cm="1">
        <f t="array" ref="AN202">IF(ISBLANK(G202), 1, IFERROR(MATCH(G202, INDEX(Kat,,1), 0), IFERROR(MATCH(Kat, INDEX(Use,,2), 0), MATCH(Kat, INDEX(Use,,3), 0))))</f>
        <v>1</v>
      </c>
      <c r="AO202" s="246"/>
      <c r="AP202" s="228" cm="1">
        <f t="array" ref="AP202">IF(W202&gt;0, INDEX(Kat, AN202,4), 0)</f>
        <v>0</v>
      </c>
      <c r="AQ202" s="228">
        <f t="shared" si="526"/>
        <v>0</v>
      </c>
      <c r="AR202" s="228" cm="1">
        <f t="array" ref="AR202">IF(X202&gt;0, INDEX(Kat, $AN202, 4+AQ202), 0)</f>
        <v>0</v>
      </c>
      <c r="AS202" s="228" cm="1">
        <f t="array" ref="AS202">IF(X202&gt;0, INDEX(Kat, $AN202, 9+AQ202), 0)</f>
        <v>0</v>
      </c>
      <c r="AT202" s="246"/>
      <c r="AU202" s="262"/>
      <c r="AV202" s="262"/>
      <c r="AW202" s="263"/>
      <c r="AX202" s="263"/>
      <c r="AY202" s="263"/>
      <c r="AZ202" s="263"/>
      <c r="BA202" s="263"/>
      <c r="BB202" s="263"/>
      <c r="BC202" s="263"/>
      <c r="BD202" s="263"/>
      <c r="BE202" s="263"/>
      <c r="BF202" s="263"/>
      <c r="BG202" s="263"/>
      <c r="BH202" s="246"/>
      <c r="BI202" s="228" cm="1">
        <f t="array" ref="BI202">INDEX(Use, $AH202, 4)</f>
        <v>7</v>
      </c>
      <c r="BJ202" s="228">
        <f t="shared" si="502"/>
        <v>32</v>
      </c>
      <c r="BK202" s="228">
        <f t="shared" si="305"/>
        <v>13</v>
      </c>
      <c r="BL202" s="228">
        <f t="shared" si="306"/>
        <v>0</v>
      </c>
      <c r="BM202" s="233" cm="1">
        <f t="array" ref="BM202">L202/IF($M202&gt;0, INDEX($AY$22:$BE$76, $M202+20, $AH202), 1)</f>
        <v>0</v>
      </c>
      <c r="BN202" s="229">
        <f t="shared" si="503"/>
        <v>0</v>
      </c>
      <c r="BO202" s="228">
        <v>35</v>
      </c>
      <c r="BP202" s="229">
        <f t="shared" si="504"/>
        <v>48</v>
      </c>
      <c r="BQ202" s="234">
        <f t="shared" si="505"/>
        <v>3.0748170731707316</v>
      </c>
      <c r="BR202" s="234" cm="1">
        <f t="array" ref="BR202">$BM202 * SUMPRODUCT(INDEX($AV$76:$AX$81,,$AI202),INDEX($AY$76:$BE$81,,$AH202), N($AU$76:$AU$81&gt;$AM202)) / BQ202 / 1000</f>
        <v>0</v>
      </c>
      <c r="BS202" s="231">
        <f t="shared" si="310"/>
        <v>30</v>
      </c>
      <c r="BT202" s="229">
        <f t="shared" si="506"/>
        <v>43</v>
      </c>
      <c r="BU202" s="234">
        <f t="shared" si="507"/>
        <v>3.5018750000000001</v>
      </c>
      <c r="BV202" s="234" cm="1">
        <f t="array" ref="BV202">$BM202 * IF($AH202&lt;=2,
SUMPRODUCT(INDEX($AV$71:$AX$75,,$AI202), INDEX($AY$71:$BE$75,,$AH202), 1 / ($BF$71:$BF$75*BU202 + (1-$BF$71:$BF$75)*BQ202), N($AU$71:$AU$75&gt;$AM202)),
SUMPRODUCT(INDEX($AV$66:$AX$75,,$AI202), INDEX($AY$66:$BE$75,,$AH202), 1 / ($BG$66:$BG$75*BU202 + (1-$BG$66:$BG$75)*BQ202), N($AU$66:$AU$75&gt;$AM202))
) / 1000</f>
        <v>0</v>
      </c>
      <c r="BW202" s="231">
        <f t="shared" si="313"/>
        <v>25</v>
      </c>
      <c r="BX202" s="229">
        <f t="shared" si="508"/>
        <v>38</v>
      </c>
      <c r="BY202" s="234">
        <f t="shared" si="509"/>
        <v>4.0666935483870965</v>
      </c>
      <c r="BZ202" s="234" cm="1">
        <f t="array" ref="BZ202">$BM202 * IF($AH202&lt;=2,
SUMPRODUCT(INDEX($AV$66:$AX$70,,$AI202), INDEX($AY$66:$BE$70,,$AH202), 1 / ($BF$66:$BF$70*BY202 + (1-$BF$66:$BF$70)*BU202), N($AU$66:$AU$70&gt;$AM202)),
SUMPRODUCT(INDEX($AV$56:$AX$65,,$AI202), INDEX($AY$56:$BE$65,,$AH202), 1 / ($BG$56:$BG$65*BY202 + (1-$BG$56:$BG$65)*BU202), N($AU$56:$AU$65&gt;$AM202))
) / 1000</f>
        <v>0</v>
      </c>
      <c r="CA202" s="231">
        <f t="shared" si="316"/>
        <v>20</v>
      </c>
      <c r="CB202" s="229">
        <f t="shared" si="510"/>
        <v>33</v>
      </c>
      <c r="CC202" s="234">
        <f t="shared" si="511"/>
        <v>4.8487499999999999</v>
      </c>
      <c r="CD202" s="234" cm="1">
        <f t="array" ref="CD202">$BM202 * IF($AH202&lt;=2,
SUMPRODUCT(INDEX($AV$61:$AX$65,,$AI202), INDEX($AY$61:$BE$65,,$AH202), 1 / ($BF$61:$BF$65*CC202 + (1-$BF$61:$BF$65)*BY202), N($AU$61:$AU$65&gt;$AM202)),
SUMPRODUCT(INDEX($AV$46:$AX$55,,$AI202), INDEX($AY$46:$BE$55,,$AH202), 1 / ($BG$46:$BG$55*CC202 + (1-$BG$46:$BG$55)*BY202), N($AU$46:$AU$55&gt;$AM202))
) / 1000</f>
        <v>0</v>
      </c>
      <c r="CE202" s="234" cm="1">
        <f t="array" ref="CE202">$BM202 * IF($AH202&lt;=2,
SUMPRODUCT(INDEX($AV$22:$AX$60,,$AI202), INDEX($AY$22:$BE$60,,$AH202), 1 / ($BF$22:$BF$60*CC202), N($AU$22:$AU$60&gt;$AM202)),
SUMPRODUCT(INDEX($AV$22:$AX$45,,$AI202), INDEX($AY$22:$BE$45,,$AH202), 1 / ($BG$22:$BG$45*CC202), N($AU$22:$AU$45&gt;$AM202))
) / 1000</f>
        <v>0</v>
      </c>
      <c r="CF202" s="229">
        <f t="shared" si="512"/>
        <v>0</v>
      </c>
      <c r="CG202" s="246"/>
      <c r="CH202" s="229">
        <f t="shared" si="513"/>
        <v>0</v>
      </c>
      <c r="CI202" s="228">
        <v>35</v>
      </c>
      <c r="CJ202" s="229">
        <f t="shared" si="514"/>
        <v>48</v>
      </c>
      <c r="CK202" s="234">
        <f t="shared" si="515"/>
        <v>3.0748170731707316</v>
      </c>
      <c r="CL202" s="234" cm="1">
        <f t="array" ref="CL202">$BM202 * SUMPRODUCT(INDEX($AV$76:$AX$81,,$AI202),INDEX($AY$76:$BE$81,,$AH202), N($AU$76:$AU$81&gt;$AM202)) / CK202 / 1000</f>
        <v>0</v>
      </c>
      <c r="CM202" s="231">
        <f t="shared" si="323"/>
        <v>30</v>
      </c>
      <c r="CN202" s="229">
        <f t="shared" si="516"/>
        <v>43</v>
      </c>
      <c r="CO202" s="234">
        <f t="shared" si="517"/>
        <v>3.5018750000000001</v>
      </c>
      <c r="CP202" s="234" cm="1">
        <f t="array" ref="CP202">$BM202 * IF($AH202&lt;=2,
SUMPRODUCT(INDEX($AV$71:$AX$75,,$AI202), INDEX($AY$71:$BE$75,,$AH202), 1 / ($BF$71:$BF$75*CO202 + (1-$BF$71:$BF$75)*CK202), N($AU$71:$AU$75&gt;$AM202)),
SUMPRODUCT(INDEX($AV$66:$AX$75,,$AI202), INDEX($AY$66:$BE$75,,$AH202), 1 / ($BG$66:$BG$75*CO202 + (1-$BG$66:$BG$75)*CK202), N($AU$66:$AU$75&gt;$AM202))
) / 1000</f>
        <v>0</v>
      </c>
      <c r="CQ202" s="231">
        <f t="shared" si="326"/>
        <v>25</v>
      </c>
      <c r="CR202" s="229">
        <f t="shared" si="518"/>
        <v>38</v>
      </c>
      <c r="CS202" s="234">
        <f t="shared" si="519"/>
        <v>4.0666935483870965</v>
      </c>
      <c r="CT202" s="234" cm="1">
        <f t="array" ref="CT202">$BM202 * IF($AH202&lt;=2,
SUMPRODUCT(INDEX($AV$66:$AX$70,,$AI202), INDEX($AY$66:$BE$70,,$AH202), 1 / ($BF$66:$BF$70*CS202 + (1-$BF$66:$BF$70)*CO202), N($AU$66:$AU$70&gt;$AM202)),
SUMPRODUCT(INDEX($AV$56:$AX$65,,$AI202), INDEX($AY$56:$BE$65,,$AH202), 1 / ($BG$56:$BG$65*CS202 + (1-$BG$56:$BG$65)*CO202), N($AU$56:$AU$65&gt;$AM202))
) / 1000</f>
        <v>0</v>
      </c>
      <c r="CU202" s="231">
        <f t="shared" si="329"/>
        <v>20</v>
      </c>
      <c r="CV202" s="229">
        <f t="shared" si="520"/>
        <v>33</v>
      </c>
      <c r="CW202" s="234">
        <f t="shared" si="521"/>
        <v>4.8487499999999999</v>
      </c>
      <c r="CX202" s="234" cm="1">
        <f t="array" ref="CX202">$BM202 * IF($AH202&lt;=2,
SUMPRODUCT(INDEX($AV$61:$AX$65,,$AI202), INDEX($AY$61:$BE$65,,$AH202), 1 / ($BF$61:$BF$65*CW202 + (1-$BF$61:$BF$65)*CS202), N($AU$61:$AU$65&gt;$AM202)),
SUMPRODUCT(INDEX($AV$46:$AX$55,,$AI202), INDEX($AY$46:$BE$55,,$AH202), 1 / ($BG$46:$BG$55*CW202 + (1-$BG$46:$BG$55)*CS202), N($AU$46:$AU$55&gt;$AM202))
) / 1000</f>
        <v>0</v>
      </c>
      <c r="CY202" s="234" cm="1">
        <f t="array" ref="CY202">$BM202 * IF($AH202&lt;=2,
SUMPRODUCT(INDEX($AV$22:$AX$60,,$AI202), INDEX($AY$22:$BE$60,,$AH202), 1 / ($BF$22:$BF$60*CW202), N($AU$22:$AU$60&gt;$AM202)),
SUMPRODUCT(INDEX($AV$22:$AX$45,,$AI202), INDEX($AY$22:$BE$45,,$AH202), 1 / ($BG$22:$BG$45*CW202), N($AU$22:$AU$45&gt;$AM202))
) / 1000</f>
        <v>0</v>
      </c>
      <c r="CZ202" s="229">
        <f t="shared" si="522"/>
        <v>0</v>
      </c>
      <c r="DA202" s="246"/>
    </row>
    <row r="203" spans="1:105" s="75" customFormat="1" ht="14.25" customHeight="1" x14ac:dyDescent="0.2">
      <c r="A203" s="230" t="b">
        <f t="shared" si="291"/>
        <v>0</v>
      </c>
      <c r="B203" s="253">
        <v>182</v>
      </c>
      <c r="C203" s="266"/>
      <c r="D203" s="266"/>
      <c r="E203" s="254"/>
      <c r="F203" s="255" t="str">
        <f>IF(ISBLANK(E203), "", VLOOKUP(E203, Z!$A$2:$C$4127, 3, FALSE))</f>
        <v/>
      </c>
      <c r="G203" s="256"/>
      <c r="H203" s="256"/>
      <c r="I203" s="256"/>
      <c r="J203" s="257"/>
      <c r="K203" s="258"/>
      <c r="L203" s="267"/>
      <c r="M203" s="268"/>
      <c r="N203" s="259" t="str" cm="1">
        <f t="array" ref="N203">IF($L203&gt;0, INDEX(Clean,1+AK203,$D$1), "")</f>
        <v/>
      </c>
      <c r="O203" s="260"/>
      <c r="P203" s="260"/>
      <c r="Q203" s="261"/>
      <c r="R203" s="264">
        <f t="shared" si="498"/>
        <v>0</v>
      </c>
      <c r="S203" s="259" t="str" cm="1">
        <f t="array" ref="S203">IF($L203&gt;0, INDEX(Clean,1+AL203,$D$1), "")</f>
        <v/>
      </c>
      <c r="T203" s="260"/>
      <c r="U203" s="260"/>
      <c r="V203" s="261"/>
      <c r="W203" s="267"/>
      <c r="X203" s="267"/>
      <c r="Y203" s="257"/>
      <c r="Z203" s="264">
        <f t="shared" si="499"/>
        <v>0</v>
      </c>
      <c r="AA203" s="269"/>
      <c r="AB203" s="266"/>
      <c r="AC203" s="254"/>
      <c r="AD203" s="255" t="str">
        <f>IF(ISBLANK(AC203), "", VLOOKUP(AC203, Z!$A$2:$C$4127, 3, FALSE))</f>
        <v/>
      </c>
      <c r="AE203" s="270"/>
      <c r="AF203" s="265">
        <f t="shared" si="500"/>
        <v>0</v>
      </c>
      <c r="AG203" s="246"/>
      <c r="AH203" s="228">
        <f t="shared" si="523"/>
        <v>1</v>
      </c>
      <c r="AI203" s="228">
        <f t="shared" si="524"/>
        <v>1</v>
      </c>
      <c r="AJ203" s="228">
        <f t="shared" si="525"/>
        <v>0</v>
      </c>
      <c r="AK203" s="228">
        <v>0</v>
      </c>
      <c r="AL203" s="228">
        <v>0</v>
      </c>
      <c r="AM203" s="228">
        <f t="shared" si="501"/>
        <v>-100</v>
      </c>
      <c r="AN203" s="228" cm="1">
        <f t="array" ref="AN203">IF(ISBLANK(G203), 1, IFERROR(MATCH(G203, INDEX(Kat,,1), 0), IFERROR(MATCH(Kat, INDEX(Use,,2), 0), MATCH(Kat, INDEX(Use,,3), 0))))</f>
        <v>1</v>
      </c>
      <c r="AO203" s="246"/>
      <c r="AP203" s="228" cm="1">
        <f t="array" ref="AP203">IF(W203&gt;0, INDEX(Kat, AN203,4), 0)</f>
        <v>0</v>
      </c>
      <c r="AQ203" s="228">
        <f t="shared" si="526"/>
        <v>0</v>
      </c>
      <c r="AR203" s="228" cm="1">
        <f t="array" ref="AR203">IF(X203&gt;0, INDEX(Kat, $AN203, 4+AQ203), 0)</f>
        <v>0</v>
      </c>
      <c r="AS203" s="228" cm="1">
        <f t="array" ref="AS203">IF(X203&gt;0, INDEX(Kat, $AN203, 9+AQ203), 0)</f>
        <v>0</v>
      </c>
      <c r="AT203" s="246"/>
      <c r="AU203" s="262"/>
      <c r="AV203" s="262"/>
      <c r="AW203" s="263"/>
      <c r="AX203" s="263"/>
      <c r="AY203" s="263"/>
      <c r="AZ203" s="263"/>
      <c r="BA203" s="263"/>
      <c r="BB203" s="263"/>
      <c r="BC203" s="263"/>
      <c r="BD203" s="263"/>
      <c r="BE203" s="263"/>
      <c r="BF203" s="263"/>
      <c r="BG203" s="263"/>
      <c r="BH203" s="246"/>
      <c r="BI203" s="228" cm="1">
        <f t="array" ref="BI203">INDEX(Use, $AH203, 4)</f>
        <v>7</v>
      </c>
      <c r="BJ203" s="228">
        <f t="shared" si="502"/>
        <v>32</v>
      </c>
      <c r="BK203" s="228">
        <f t="shared" si="305"/>
        <v>13</v>
      </c>
      <c r="BL203" s="228">
        <f t="shared" si="306"/>
        <v>0</v>
      </c>
      <c r="BM203" s="233" cm="1">
        <f t="array" ref="BM203">L203/IF($M203&gt;0, INDEX($AY$22:$BE$76, $M203+20, $AH203), 1)</f>
        <v>0</v>
      </c>
      <c r="BN203" s="229">
        <f t="shared" si="503"/>
        <v>0</v>
      </c>
      <c r="BO203" s="228">
        <v>35</v>
      </c>
      <c r="BP203" s="229">
        <f t="shared" si="504"/>
        <v>48</v>
      </c>
      <c r="BQ203" s="234">
        <f t="shared" si="505"/>
        <v>3.0748170731707316</v>
      </c>
      <c r="BR203" s="234" cm="1">
        <f t="array" ref="BR203">$BM203 * SUMPRODUCT(INDEX($AV$76:$AX$81,,$AI203),INDEX($AY$76:$BE$81,,$AH203), N($AU$76:$AU$81&gt;$AM203)) / BQ203 / 1000</f>
        <v>0</v>
      </c>
      <c r="BS203" s="231">
        <f t="shared" si="310"/>
        <v>30</v>
      </c>
      <c r="BT203" s="229">
        <f t="shared" si="506"/>
        <v>43</v>
      </c>
      <c r="BU203" s="234">
        <f t="shared" si="507"/>
        <v>3.5018750000000001</v>
      </c>
      <c r="BV203" s="234" cm="1">
        <f t="array" ref="BV203">$BM203 * IF($AH203&lt;=2,
SUMPRODUCT(INDEX($AV$71:$AX$75,,$AI203), INDEX($AY$71:$BE$75,,$AH203), 1 / ($BF$71:$BF$75*BU203 + (1-$BF$71:$BF$75)*BQ203), N($AU$71:$AU$75&gt;$AM203)),
SUMPRODUCT(INDEX($AV$66:$AX$75,,$AI203), INDEX($AY$66:$BE$75,,$AH203), 1 / ($BG$66:$BG$75*BU203 + (1-$BG$66:$BG$75)*BQ203), N($AU$66:$AU$75&gt;$AM203))
) / 1000</f>
        <v>0</v>
      </c>
      <c r="BW203" s="231">
        <f t="shared" si="313"/>
        <v>25</v>
      </c>
      <c r="BX203" s="229">
        <f t="shared" si="508"/>
        <v>38</v>
      </c>
      <c r="BY203" s="234">
        <f t="shared" si="509"/>
        <v>4.0666935483870965</v>
      </c>
      <c r="BZ203" s="234" cm="1">
        <f t="array" ref="BZ203">$BM203 * IF($AH203&lt;=2,
SUMPRODUCT(INDEX($AV$66:$AX$70,,$AI203), INDEX($AY$66:$BE$70,,$AH203), 1 / ($BF$66:$BF$70*BY203 + (1-$BF$66:$BF$70)*BU203), N($AU$66:$AU$70&gt;$AM203)),
SUMPRODUCT(INDEX($AV$56:$AX$65,,$AI203), INDEX($AY$56:$BE$65,,$AH203), 1 / ($BG$56:$BG$65*BY203 + (1-$BG$56:$BG$65)*BU203), N($AU$56:$AU$65&gt;$AM203))
) / 1000</f>
        <v>0</v>
      </c>
      <c r="CA203" s="231">
        <f t="shared" si="316"/>
        <v>20</v>
      </c>
      <c r="CB203" s="229">
        <f t="shared" si="510"/>
        <v>33</v>
      </c>
      <c r="CC203" s="234">
        <f t="shared" si="511"/>
        <v>4.8487499999999999</v>
      </c>
      <c r="CD203" s="234" cm="1">
        <f t="array" ref="CD203">$BM203 * IF($AH203&lt;=2,
SUMPRODUCT(INDEX($AV$61:$AX$65,,$AI203), INDEX($AY$61:$BE$65,,$AH203), 1 / ($BF$61:$BF$65*CC203 + (1-$BF$61:$BF$65)*BY203), N($AU$61:$AU$65&gt;$AM203)),
SUMPRODUCT(INDEX($AV$46:$AX$55,,$AI203), INDEX($AY$46:$BE$55,,$AH203), 1 / ($BG$46:$BG$55*CC203 + (1-$BG$46:$BG$55)*BY203), N($AU$46:$AU$55&gt;$AM203))
) / 1000</f>
        <v>0</v>
      </c>
      <c r="CE203" s="234" cm="1">
        <f t="array" ref="CE203">$BM203 * IF($AH203&lt;=2,
SUMPRODUCT(INDEX($AV$22:$AX$60,,$AI203), INDEX($AY$22:$BE$60,,$AH203), 1 / ($BF$22:$BF$60*CC203), N($AU$22:$AU$60&gt;$AM203)),
SUMPRODUCT(INDEX($AV$22:$AX$45,,$AI203), INDEX($AY$22:$BE$45,,$AH203), 1 / ($BG$22:$BG$45*CC203), N($AU$22:$AU$45&gt;$AM203))
) / 1000</f>
        <v>0</v>
      </c>
      <c r="CF203" s="229">
        <f t="shared" si="512"/>
        <v>0</v>
      </c>
      <c r="CG203" s="246"/>
      <c r="CH203" s="229">
        <f t="shared" si="513"/>
        <v>0</v>
      </c>
      <c r="CI203" s="228">
        <v>35</v>
      </c>
      <c r="CJ203" s="229">
        <f t="shared" si="514"/>
        <v>48</v>
      </c>
      <c r="CK203" s="234">
        <f t="shared" si="515"/>
        <v>3.0748170731707316</v>
      </c>
      <c r="CL203" s="234" cm="1">
        <f t="array" ref="CL203">$BM203 * SUMPRODUCT(INDEX($AV$76:$AX$81,,$AI203),INDEX($AY$76:$BE$81,,$AH203), N($AU$76:$AU$81&gt;$AM203)) / CK203 / 1000</f>
        <v>0</v>
      </c>
      <c r="CM203" s="231">
        <f t="shared" si="323"/>
        <v>30</v>
      </c>
      <c r="CN203" s="229">
        <f t="shared" si="516"/>
        <v>43</v>
      </c>
      <c r="CO203" s="234">
        <f t="shared" si="517"/>
        <v>3.5018750000000001</v>
      </c>
      <c r="CP203" s="234" cm="1">
        <f t="array" ref="CP203">$BM203 * IF($AH203&lt;=2,
SUMPRODUCT(INDEX($AV$71:$AX$75,,$AI203), INDEX($AY$71:$BE$75,,$AH203), 1 / ($BF$71:$BF$75*CO203 + (1-$BF$71:$BF$75)*CK203), N($AU$71:$AU$75&gt;$AM203)),
SUMPRODUCT(INDEX($AV$66:$AX$75,,$AI203), INDEX($AY$66:$BE$75,,$AH203), 1 / ($BG$66:$BG$75*CO203 + (1-$BG$66:$BG$75)*CK203), N($AU$66:$AU$75&gt;$AM203))
) / 1000</f>
        <v>0</v>
      </c>
      <c r="CQ203" s="231">
        <f t="shared" si="326"/>
        <v>25</v>
      </c>
      <c r="CR203" s="229">
        <f t="shared" si="518"/>
        <v>38</v>
      </c>
      <c r="CS203" s="234">
        <f t="shared" si="519"/>
        <v>4.0666935483870965</v>
      </c>
      <c r="CT203" s="234" cm="1">
        <f t="array" ref="CT203">$BM203 * IF($AH203&lt;=2,
SUMPRODUCT(INDEX($AV$66:$AX$70,,$AI203), INDEX($AY$66:$BE$70,,$AH203), 1 / ($BF$66:$BF$70*CS203 + (1-$BF$66:$BF$70)*CO203), N($AU$66:$AU$70&gt;$AM203)),
SUMPRODUCT(INDEX($AV$56:$AX$65,,$AI203), INDEX($AY$56:$BE$65,,$AH203), 1 / ($BG$56:$BG$65*CS203 + (1-$BG$56:$BG$65)*CO203), N($AU$56:$AU$65&gt;$AM203))
) / 1000</f>
        <v>0</v>
      </c>
      <c r="CU203" s="231">
        <f t="shared" si="329"/>
        <v>20</v>
      </c>
      <c r="CV203" s="229">
        <f t="shared" si="520"/>
        <v>33</v>
      </c>
      <c r="CW203" s="234">
        <f t="shared" si="521"/>
        <v>4.8487499999999999</v>
      </c>
      <c r="CX203" s="234" cm="1">
        <f t="array" ref="CX203">$BM203 * IF($AH203&lt;=2,
SUMPRODUCT(INDEX($AV$61:$AX$65,,$AI203), INDEX($AY$61:$BE$65,,$AH203), 1 / ($BF$61:$BF$65*CW203 + (1-$BF$61:$BF$65)*CS203), N($AU$61:$AU$65&gt;$AM203)),
SUMPRODUCT(INDEX($AV$46:$AX$55,,$AI203), INDEX($AY$46:$BE$55,,$AH203), 1 / ($BG$46:$BG$55*CW203 + (1-$BG$46:$BG$55)*CS203), N($AU$46:$AU$55&gt;$AM203))
) / 1000</f>
        <v>0</v>
      </c>
      <c r="CY203" s="234" cm="1">
        <f t="array" ref="CY203">$BM203 * IF($AH203&lt;=2,
SUMPRODUCT(INDEX($AV$22:$AX$60,,$AI203), INDEX($AY$22:$BE$60,,$AH203), 1 / ($BF$22:$BF$60*CW203), N($AU$22:$AU$60&gt;$AM203)),
SUMPRODUCT(INDEX($AV$22:$AX$45,,$AI203), INDEX($AY$22:$BE$45,,$AH203), 1 / ($BG$22:$BG$45*CW203), N($AU$22:$AU$45&gt;$AM203))
) / 1000</f>
        <v>0</v>
      </c>
      <c r="CZ203" s="229">
        <f t="shared" si="522"/>
        <v>0</v>
      </c>
      <c r="DA203" s="246"/>
    </row>
    <row r="204" spans="1:105" s="75" customFormat="1" ht="14.25" customHeight="1" x14ac:dyDescent="0.2">
      <c r="A204" s="230" t="b">
        <f t="shared" si="291"/>
        <v>0</v>
      </c>
      <c r="B204" s="253">
        <v>183</v>
      </c>
      <c r="C204" s="266"/>
      <c r="D204" s="266"/>
      <c r="E204" s="254"/>
      <c r="F204" s="255" t="str">
        <f>IF(ISBLANK(E204), "", VLOOKUP(E204, Z!$A$2:$C$4127, 3, FALSE))</f>
        <v/>
      </c>
      <c r="G204" s="256"/>
      <c r="H204" s="256"/>
      <c r="I204" s="256"/>
      <c r="J204" s="257"/>
      <c r="K204" s="258"/>
      <c r="L204" s="267"/>
      <c r="M204" s="268"/>
      <c r="N204" s="259" t="str" cm="1">
        <f t="array" ref="N204">IF($L204&gt;0, INDEX(Clean,1+AK204,$D$1), "")</f>
        <v/>
      </c>
      <c r="O204" s="260"/>
      <c r="P204" s="260"/>
      <c r="Q204" s="261"/>
      <c r="R204" s="264">
        <f t="shared" si="498"/>
        <v>0</v>
      </c>
      <c r="S204" s="259" t="str" cm="1">
        <f t="array" ref="S204">IF($L204&gt;0, INDEX(Clean,1+AL204,$D$1), "")</f>
        <v/>
      </c>
      <c r="T204" s="260"/>
      <c r="U204" s="260"/>
      <c r="V204" s="261"/>
      <c r="W204" s="267"/>
      <c r="X204" s="267"/>
      <c r="Y204" s="257"/>
      <c r="Z204" s="264">
        <f t="shared" si="499"/>
        <v>0</v>
      </c>
      <c r="AA204" s="269"/>
      <c r="AB204" s="266"/>
      <c r="AC204" s="254"/>
      <c r="AD204" s="255" t="str">
        <f>IF(ISBLANK(AC204), "", VLOOKUP(AC204, Z!$A$2:$C$4127, 3, FALSE))</f>
        <v/>
      </c>
      <c r="AE204" s="270"/>
      <c r="AF204" s="265">
        <f t="shared" si="500"/>
        <v>0</v>
      </c>
      <c r="AG204" s="246"/>
      <c r="AH204" s="228">
        <f t="shared" si="523"/>
        <v>1</v>
      </c>
      <c r="AI204" s="228">
        <f t="shared" si="524"/>
        <v>1</v>
      </c>
      <c r="AJ204" s="228">
        <f t="shared" si="525"/>
        <v>0</v>
      </c>
      <c r="AK204" s="228">
        <v>0</v>
      </c>
      <c r="AL204" s="228">
        <v>0</v>
      </c>
      <c r="AM204" s="228">
        <f t="shared" si="501"/>
        <v>-100</v>
      </c>
      <c r="AN204" s="228" cm="1">
        <f t="array" ref="AN204">IF(ISBLANK(G204), 1, IFERROR(MATCH(G204, INDEX(Kat,,1), 0), IFERROR(MATCH(Kat, INDEX(Use,,2), 0), MATCH(Kat, INDEX(Use,,3), 0))))</f>
        <v>1</v>
      </c>
      <c r="AO204" s="246"/>
      <c r="AP204" s="228" cm="1">
        <f t="array" ref="AP204">IF(W204&gt;0, INDEX(Kat, AN204,4), 0)</f>
        <v>0</v>
      </c>
      <c r="AQ204" s="228">
        <f t="shared" si="526"/>
        <v>0</v>
      </c>
      <c r="AR204" s="228" cm="1">
        <f t="array" ref="AR204">IF(X204&gt;0, INDEX(Kat, $AN204, 4+AQ204), 0)</f>
        <v>0</v>
      </c>
      <c r="AS204" s="228" cm="1">
        <f t="array" ref="AS204">IF(X204&gt;0, INDEX(Kat, $AN204, 9+AQ204), 0)</f>
        <v>0</v>
      </c>
      <c r="AT204" s="246"/>
      <c r="AU204" s="262"/>
      <c r="AV204" s="262"/>
      <c r="AW204" s="263"/>
      <c r="AX204" s="263"/>
      <c r="AY204" s="263"/>
      <c r="AZ204" s="263"/>
      <c r="BA204" s="263"/>
      <c r="BB204" s="263"/>
      <c r="BC204" s="263"/>
      <c r="BD204" s="263"/>
      <c r="BE204" s="263"/>
      <c r="BF204" s="263"/>
      <c r="BG204" s="263"/>
      <c r="BH204" s="246"/>
      <c r="BI204" s="228" cm="1">
        <f t="array" ref="BI204">INDEX(Use, $AH204, 4)</f>
        <v>7</v>
      </c>
      <c r="BJ204" s="228">
        <f t="shared" si="502"/>
        <v>32</v>
      </c>
      <c r="BK204" s="228">
        <f t="shared" si="305"/>
        <v>13</v>
      </c>
      <c r="BL204" s="228">
        <f t="shared" si="306"/>
        <v>0</v>
      </c>
      <c r="BM204" s="233" cm="1">
        <f t="array" ref="BM204">L204/IF($M204&gt;0, INDEX($AY$22:$BE$76, $M204+20, $AH204), 1)</f>
        <v>0</v>
      </c>
      <c r="BN204" s="229">
        <f t="shared" si="503"/>
        <v>0</v>
      </c>
      <c r="BO204" s="228">
        <v>35</v>
      </c>
      <c r="BP204" s="229">
        <f t="shared" si="504"/>
        <v>48</v>
      </c>
      <c r="BQ204" s="234">
        <f t="shared" si="505"/>
        <v>3.0748170731707316</v>
      </c>
      <c r="BR204" s="234" cm="1">
        <f t="array" ref="BR204">$BM204 * SUMPRODUCT(INDEX($AV$76:$AX$81,,$AI204),INDEX($AY$76:$BE$81,,$AH204), N($AU$76:$AU$81&gt;$AM204)) / BQ204 / 1000</f>
        <v>0</v>
      </c>
      <c r="BS204" s="231">
        <f t="shared" si="310"/>
        <v>30</v>
      </c>
      <c r="BT204" s="229">
        <f t="shared" si="506"/>
        <v>43</v>
      </c>
      <c r="BU204" s="234">
        <f t="shared" si="507"/>
        <v>3.5018750000000001</v>
      </c>
      <c r="BV204" s="234" cm="1">
        <f t="array" ref="BV204">$BM204 * IF($AH204&lt;=2,
SUMPRODUCT(INDEX($AV$71:$AX$75,,$AI204), INDEX($AY$71:$BE$75,,$AH204), 1 / ($BF$71:$BF$75*BU204 + (1-$BF$71:$BF$75)*BQ204), N($AU$71:$AU$75&gt;$AM204)),
SUMPRODUCT(INDEX($AV$66:$AX$75,,$AI204), INDEX($AY$66:$BE$75,,$AH204), 1 / ($BG$66:$BG$75*BU204 + (1-$BG$66:$BG$75)*BQ204), N($AU$66:$AU$75&gt;$AM204))
) / 1000</f>
        <v>0</v>
      </c>
      <c r="BW204" s="231">
        <f t="shared" si="313"/>
        <v>25</v>
      </c>
      <c r="BX204" s="229">
        <f t="shared" si="508"/>
        <v>38</v>
      </c>
      <c r="BY204" s="234">
        <f t="shared" si="509"/>
        <v>4.0666935483870965</v>
      </c>
      <c r="BZ204" s="234" cm="1">
        <f t="array" ref="BZ204">$BM204 * IF($AH204&lt;=2,
SUMPRODUCT(INDEX($AV$66:$AX$70,,$AI204), INDEX($AY$66:$BE$70,,$AH204), 1 / ($BF$66:$BF$70*BY204 + (1-$BF$66:$BF$70)*BU204), N($AU$66:$AU$70&gt;$AM204)),
SUMPRODUCT(INDEX($AV$56:$AX$65,,$AI204), INDEX($AY$56:$BE$65,,$AH204), 1 / ($BG$56:$BG$65*BY204 + (1-$BG$56:$BG$65)*BU204), N($AU$56:$AU$65&gt;$AM204))
) / 1000</f>
        <v>0</v>
      </c>
      <c r="CA204" s="231">
        <f t="shared" si="316"/>
        <v>20</v>
      </c>
      <c r="CB204" s="229">
        <f t="shared" si="510"/>
        <v>33</v>
      </c>
      <c r="CC204" s="234">
        <f t="shared" si="511"/>
        <v>4.8487499999999999</v>
      </c>
      <c r="CD204" s="234" cm="1">
        <f t="array" ref="CD204">$BM204 * IF($AH204&lt;=2,
SUMPRODUCT(INDEX($AV$61:$AX$65,,$AI204), INDEX($AY$61:$BE$65,,$AH204), 1 / ($BF$61:$BF$65*CC204 + (1-$BF$61:$BF$65)*BY204), N($AU$61:$AU$65&gt;$AM204)),
SUMPRODUCT(INDEX($AV$46:$AX$55,,$AI204), INDEX($AY$46:$BE$55,,$AH204), 1 / ($BG$46:$BG$55*CC204 + (1-$BG$46:$BG$55)*BY204), N($AU$46:$AU$55&gt;$AM204))
) / 1000</f>
        <v>0</v>
      </c>
      <c r="CE204" s="234" cm="1">
        <f t="array" ref="CE204">$BM204 * IF($AH204&lt;=2,
SUMPRODUCT(INDEX($AV$22:$AX$60,,$AI204), INDEX($AY$22:$BE$60,,$AH204), 1 / ($BF$22:$BF$60*CC204), N($AU$22:$AU$60&gt;$AM204)),
SUMPRODUCT(INDEX($AV$22:$AX$45,,$AI204), INDEX($AY$22:$BE$45,,$AH204), 1 / ($BG$22:$BG$45*CC204), N($AU$22:$AU$45&gt;$AM204))
) / 1000</f>
        <v>0</v>
      </c>
      <c r="CF204" s="229">
        <f t="shared" si="512"/>
        <v>0</v>
      </c>
      <c r="CG204" s="246"/>
      <c r="CH204" s="229">
        <f t="shared" si="513"/>
        <v>0</v>
      </c>
      <c r="CI204" s="228">
        <v>35</v>
      </c>
      <c r="CJ204" s="229">
        <f t="shared" si="514"/>
        <v>48</v>
      </c>
      <c r="CK204" s="234">
        <f t="shared" si="515"/>
        <v>3.0748170731707316</v>
      </c>
      <c r="CL204" s="234" cm="1">
        <f t="array" ref="CL204">$BM204 * SUMPRODUCT(INDEX($AV$76:$AX$81,,$AI204),INDEX($AY$76:$BE$81,,$AH204), N($AU$76:$AU$81&gt;$AM204)) / CK204 / 1000</f>
        <v>0</v>
      </c>
      <c r="CM204" s="231">
        <f t="shared" si="323"/>
        <v>30</v>
      </c>
      <c r="CN204" s="229">
        <f t="shared" si="516"/>
        <v>43</v>
      </c>
      <c r="CO204" s="234">
        <f t="shared" si="517"/>
        <v>3.5018750000000001</v>
      </c>
      <c r="CP204" s="234" cm="1">
        <f t="array" ref="CP204">$BM204 * IF($AH204&lt;=2,
SUMPRODUCT(INDEX($AV$71:$AX$75,,$AI204), INDEX($AY$71:$BE$75,,$AH204), 1 / ($BF$71:$BF$75*CO204 + (1-$BF$71:$BF$75)*CK204), N($AU$71:$AU$75&gt;$AM204)),
SUMPRODUCT(INDEX($AV$66:$AX$75,,$AI204), INDEX($AY$66:$BE$75,,$AH204), 1 / ($BG$66:$BG$75*CO204 + (1-$BG$66:$BG$75)*CK204), N($AU$66:$AU$75&gt;$AM204))
) / 1000</f>
        <v>0</v>
      </c>
      <c r="CQ204" s="231">
        <f t="shared" si="326"/>
        <v>25</v>
      </c>
      <c r="CR204" s="229">
        <f t="shared" si="518"/>
        <v>38</v>
      </c>
      <c r="CS204" s="234">
        <f t="shared" si="519"/>
        <v>4.0666935483870965</v>
      </c>
      <c r="CT204" s="234" cm="1">
        <f t="array" ref="CT204">$BM204 * IF($AH204&lt;=2,
SUMPRODUCT(INDEX($AV$66:$AX$70,,$AI204), INDEX($AY$66:$BE$70,,$AH204), 1 / ($BF$66:$BF$70*CS204 + (1-$BF$66:$BF$70)*CO204), N($AU$66:$AU$70&gt;$AM204)),
SUMPRODUCT(INDEX($AV$56:$AX$65,,$AI204), INDEX($AY$56:$BE$65,,$AH204), 1 / ($BG$56:$BG$65*CS204 + (1-$BG$56:$BG$65)*CO204), N($AU$56:$AU$65&gt;$AM204))
) / 1000</f>
        <v>0</v>
      </c>
      <c r="CU204" s="231">
        <f t="shared" si="329"/>
        <v>20</v>
      </c>
      <c r="CV204" s="229">
        <f t="shared" si="520"/>
        <v>33</v>
      </c>
      <c r="CW204" s="234">
        <f t="shared" si="521"/>
        <v>4.8487499999999999</v>
      </c>
      <c r="CX204" s="234" cm="1">
        <f t="array" ref="CX204">$BM204 * IF($AH204&lt;=2,
SUMPRODUCT(INDEX($AV$61:$AX$65,,$AI204), INDEX($AY$61:$BE$65,,$AH204), 1 / ($BF$61:$BF$65*CW204 + (1-$BF$61:$BF$65)*CS204), N($AU$61:$AU$65&gt;$AM204)),
SUMPRODUCT(INDEX($AV$46:$AX$55,,$AI204), INDEX($AY$46:$BE$55,,$AH204), 1 / ($BG$46:$BG$55*CW204 + (1-$BG$46:$BG$55)*CS204), N($AU$46:$AU$55&gt;$AM204))
) / 1000</f>
        <v>0</v>
      </c>
      <c r="CY204" s="234" cm="1">
        <f t="array" ref="CY204">$BM204 * IF($AH204&lt;=2,
SUMPRODUCT(INDEX($AV$22:$AX$60,,$AI204), INDEX($AY$22:$BE$60,,$AH204), 1 / ($BF$22:$BF$60*CW204), N($AU$22:$AU$60&gt;$AM204)),
SUMPRODUCT(INDEX($AV$22:$AX$45,,$AI204), INDEX($AY$22:$BE$45,,$AH204), 1 / ($BG$22:$BG$45*CW204), N($AU$22:$AU$45&gt;$AM204))
) / 1000</f>
        <v>0</v>
      </c>
      <c r="CZ204" s="229">
        <f t="shared" si="522"/>
        <v>0</v>
      </c>
      <c r="DA204" s="246"/>
    </row>
    <row r="205" spans="1:105" s="75" customFormat="1" ht="14.25" customHeight="1" x14ac:dyDescent="0.2">
      <c r="A205" s="230" t="b">
        <f t="shared" si="291"/>
        <v>0</v>
      </c>
      <c r="B205" s="253">
        <v>184</v>
      </c>
      <c r="C205" s="266"/>
      <c r="D205" s="266"/>
      <c r="E205" s="254"/>
      <c r="F205" s="255" t="str">
        <f>IF(ISBLANK(E205), "", VLOOKUP(E205, Z!$A$2:$C$4127, 3, FALSE))</f>
        <v/>
      </c>
      <c r="G205" s="256"/>
      <c r="H205" s="256"/>
      <c r="I205" s="256"/>
      <c r="J205" s="257"/>
      <c r="K205" s="258"/>
      <c r="L205" s="267"/>
      <c r="M205" s="268"/>
      <c r="N205" s="259" t="str" cm="1">
        <f t="array" ref="N205">IF($L205&gt;0, INDEX(Clean,1+AK205,$D$1), "")</f>
        <v/>
      </c>
      <c r="O205" s="260"/>
      <c r="P205" s="260"/>
      <c r="Q205" s="261"/>
      <c r="R205" s="264">
        <f t="shared" si="498"/>
        <v>0</v>
      </c>
      <c r="S205" s="259" t="str" cm="1">
        <f t="array" ref="S205">IF($L205&gt;0, INDEX(Clean,1+AL205,$D$1), "")</f>
        <v/>
      </c>
      <c r="T205" s="260"/>
      <c r="U205" s="260"/>
      <c r="V205" s="261"/>
      <c r="W205" s="267"/>
      <c r="X205" s="267"/>
      <c r="Y205" s="257"/>
      <c r="Z205" s="264">
        <f t="shared" si="499"/>
        <v>0</v>
      </c>
      <c r="AA205" s="269"/>
      <c r="AB205" s="266"/>
      <c r="AC205" s="254"/>
      <c r="AD205" s="255" t="str">
        <f>IF(ISBLANK(AC205), "", VLOOKUP(AC205, Z!$A$2:$C$4127, 3, FALSE))</f>
        <v/>
      </c>
      <c r="AE205" s="270"/>
      <c r="AF205" s="265">
        <f t="shared" si="500"/>
        <v>0</v>
      </c>
      <c r="AG205" s="246"/>
      <c r="AH205" s="228">
        <f t="shared" si="523"/>
        <v>1</v>
      </c>
      <c r="AI205" s="228">
        <f t="shared" si="524"/>
        <v>1</v>
      </c>
      <c r="AJ205" s="228">
        <f t="shared" si="525"/>
        <v>0</v>
      </c>
      <c r="AK205" s="228">
        <v>0</v>
      </c>
      <c r="AL205" s="228">
        <v>0</v>
      </c>
      <c r="AM205" s="228">
        <f t="shared" si="501"/>
        <v>-100</v>
      </c>
      <c r="AN205" s="228" cm="1">
        <f t="array" ref="AN205">IF(ISBLANK(G205), 1, IFERROR(MATCH(G205, INDEX(Kat,,1), 0), IFERROR(MATCH(Kat, INDEX(Use,,2), 0), MATCH(Kat, INDEX(Use,,3), 0))))</f>
        <v>1</v>
      </c>
      <c r="AO205" s="246"/>
      <c r="AP205" s="228" cm="1">
        <f t="array" ref="AP205">IF(W205&gt;0, INDEX(Kat, AN205,4), 0)</f>
        <v>0</v>
      </c>
      <c r="AQ205" s="228">
        <f t="shared" si="526"/>
        <v>0</v>
      </c>
      <c r="AR205" s="228" cm="1">
        <f t="array" ref="AR205">IF(X205&gt;0, INDEX(Kat, $AN205, 4+AQ205), 0)</f>
        <v>0</v>
      </c>
      <c r="AS205" s="228" cm="1">
        <f t="array" ref="AS205">IF(X205&gt;0, INDEX(Kat, $AN205, 9+AQ205), 0)</f>
        <v>0</v>
      </c>
      <c r="AT205" s="246"/>
      <c r="AU205" s="262"/>
      <c r="AV205" s="262"/>
      <c r="AW205" s="263"/>
      <c r="AX205" s="263"/>
      <c r="AY205" s="263"/>
      <c r="AZ205" s="263"/>
      <c r="BA205" s="263"/>
      <c r="BB205" s="263"/>
      <c r="BC205" s="263"/>
      <c r="BD205" s="263"/>
      <c r="BE205" s="263"/>
      <c r="BF205" s="263"/>
      <c r="BG205" s="263"/>
      <c r="BH205" s="246"/>
      <c r="BI205" s="228" cm="1">
        <f t="array" ref="BI205">INDEX(Use, $AH205, 4)</f>
        <v>7</v>
      </c>
      <c r="BJ205" s="228">
        <f t="shared" si="502"/>
        <v>32</v>
      </c>
      <c r="BK205" s="228">
        <f t="shared" si="305"/>
        <v>13</v>
      </c>
      <c r="BL205" s="228">
        <f t="shared" si="306"/>
        <v>0</v>
      </c>
      <c r="BM205" s="233" cm="1">
        <f t="array" ref="BM205">L205/IF($M205&gt;0, INDEX($AY$22:$BE$76, $M205+20, $AH205), 1)</f>
        <v>0</v>
      </c>
      <c r="BN205" s="229">
        <f t="shared" si="503"/>
        <v>0</v>
      </c>
      <c r="BO205" s="228">
        <v>35</v>
      </c>
      <c r="BP205" s="229">
        <f t="shared" si="504"/>
        <v>48</v>
      </c>
      <c r="BQ205" s="234">
        <f t="shared" si="505"/>
        <v>3.0748170731707316</v>
      </c>
      <c r="BR205" s="234" cm="1">
        <f t="array" ref="BR205">$BM205 * SUMPRODUCT(INDEX($AV$76:$AX$81,,$AI205),INDEX($AY$76:$BE$81,,$AH205), N($AU$76:$AU$81&gt;$AM205)) / BQ205 / 1000</f>
        <v>0</v>
      </c>
      <c r="BS205" s="231">
        <f t="shared" si="310"/>
        <v>30</v>
      </c>
      <c r="BT205" s="229">
        <f t="shared" si="506"/>
        <v>43</v>
      </c>
      <c r="BU205" s="234">
        <f t="shared" si="507"/>
        <v>3.5018750000000001</v>
      </c>
      <c r="BV205" s="234" cm="1">
        <f t="array" ref="BV205">$BM205 * IF($AH205&lt;=2,
SUMPRODUCT(INDEX($AV$71:$AX$75,,$AI205), INDEX($AY$71:$BE$75,,$AH205), 1 / ($BF$71:$BF$75*BU205 + (1-$BF$71:$BF$75)*BQ205), N($AU$71:$AU$75&gt;$AM205)),
SUMPRODUCT(INDEX($AV$66:$AX$75,,$AI205), INDEX($AY$66:$BE$75,,$AH205), 1 / ($BG$66:$BG$75*BU205 + (1-$BG$66:$BG$75)*BQ205), N($AU$66:$AU$75&gt;$AM205))
) / 1000</f>
        <v>0</v>
      </c>
      <c r="BW205" s="231">
        <f t="shared" si="313"/>
        <v>25</v>
      </c>
      <c r="BX205" s="229">
        <f t="shared" si="508"/>
        <v>38</v>
      </c>
      <c r="BY205" s="234">
        <f t="shared" si="509"/>
        <v>4.0666935483870965</v>
      </c>
      <c r="BZ205" s="234" cm="1">
        <f t="array" ref="BZ205">$BM205 * IF($AH205&lt;=2,
SUMPRODUCT(INDEX($AV$66:$AX$70,,$AI205), INDEX($AY$66:$BE$70,,$AH205), 1 / ($BF$66:$BF$70*BY205 + (1-$BF$66:$BF$70)*BU205), N($AU$66:$AU$70&gt;$AM205)),
SUMPRODUCT(INDEX($AV$56:$AX$65,,$AI205), INDEX($AY$56:$BE$65,,$AH205), 1 / ($BG$56:$BG$65*BY205 + (1-$BG$56:$BG$65)*BU205), N($AU$56:$AU$65&gt;$AM205))
) / 1000</f>
        <v>0</v>
      </c>
      <c r="CA205" s="231">
        <f t="shared" si="316"/>
        <v>20</v>
      </c>
      <c r="CB205" s="229">
        <f t="shared" si="510"/>
        <v>33</v>
      </c>
      <c r="CC205" s="234">
        <f t="shared" si="511"/>
        <v>4.8487499999999999</v>
      </c>
      <c r="CD205" s="234" cm="1">
        <f t="array" ref="CD205">$BM205 * IF($AH205&lt;=2,
SUMPRODUCT(INDEX($AV$61:$AX$65,,$AI205), INDEX($AY$61:$BE$65,,$AH205), 1 / ($BF$61:$BF$65*CC205 + (1-$BF$61:$BF$65)*BY205), N($AU$61:$AU$65&gt;$AM205)),
SUMPRODUCT(INDEX($AV$46:$AX$55,,$AI205), INDEX($AY$46:$BE$55,,$AH205), 1 / ($BG$46:$BG$55*CC205 + (1-$BG$46:$BG$55)*BY205), N($AU$46:$AU$55&gt;$AM205))
) / 1000</f>
        <v>0</v>
      </c>
      <c r="CE205" s="234" cm="1">
        <f t="array" ref="CE205">$BM205 * IF($AH205&lt;=2,
SUMPRODUCT(INDEX($AV$22:$AX$60,,$AI205), INDEX($AY$22:$BE$60,,$AH205), 1 / ($BF$22:$BF$60*CC205), N($AU$22:$AU$60&gt;$AM205)),
SUMPRODUCT(INDEX($AV$22:$AX$45,,$AI205), INDEX($AY$22:$BE$45,,$AH205), 1 / ($BG$22:$BG$45*CC205), N($AU$22:$AU$45&gt;$AM205))
) / 1000</f>
        <v>0</v>
      </c>
      <c r="CF205" s="229">
        <f t="shared" si="512"/>
        <v>0</v>
      </c>
      <c r="CG205" s="246"/>
      <c r="CH205" s="229">
        <f t="shared" si="513"/>
        <v>0</v>
      </c>
      <c r="CI205" s="228">
        <v>35</v>
      </c>
      <c r="CJ205" s="229">
        <f t="shared" si="514"/>
        <v>48</v>
      </c>
      <c r="CK205" s="234">
        <f t="shared" si="515"/>
        <v>3.0748170731707316</v>
      </c>
      <c r="CL205" s="234" cm="1">
        <f t="array" ref="CL205">$BM205 * SUMPRODUCT(INDEX($AV$76:$AX$81,,$AI205),INDEX($AY$76:$BE$81,,$AH205), N($AU$76:$AU$81&gt;$AM205)) / CK205 / 1000</f>
        <v>0</v>
      </c>
      <c r="CM205" s="231">
        <f t="shared" si="323"/>
        <v>30</v>
      </c>
      <c r="CN205" s="229">
        <f t="shared" si="516"/>
        <v>43</v>
      </c>
      <c r="CO205" s="234">
        <f t="shared" si="517"/>
        <v>3.5018750000000001</v>
      </c>
      <c r="CP205" s="234" cm="1">
        <f t="array" ref="CP205">$BM205 * IF($AH205&lt;=2,
SUMPRODUCT(INDEX($AV$71:$AX$75,,$AI205), INDEX($AY$71:$BE$75,,$AH205), 1 / ($BF$71:$BF$75*CO205 + (1-$BF$71:$BF$75)*CK205), N($AU$71:$AU$75&gt;$AM205)),
SUMPRODUCT(INDEX($AV$66:$AX$75,,$AI205), INDEX($AY$66:$BE$75,,$AH205), 1 / ($BG$66:$BG$75*CO205 + (1-$BG$66:$BG$75)*CK205), N($AU$66:$AU$75&gt;$AM205))
) / 1000</f>
        <v>0</v>
      </c>
      <c r="CQ205" s="231">
        <f t="shared" si="326"/>
        <v>25</v>
      </c>
      <c r="CR205" s="229">
        <f t="shared" si="518"/>
        <v>38</v>
      </c>
      <c r="CS205" s="234">
        <f t="shared" si="519"/>
        <v>4.0666935483870965</v>
      </c>
      <c r="CT205" s="234" cm="1">
        <f t="array" ref="CT205">$BM205 * IF($AH205&lt;=2,
SUMPRODUCT(INDEX($AV$66:$AX$70,,$AI205), INDEX($AY$66:$BE$70,,$AH205), 1 / ($BF$66:$BF$70*CS205 + (1-$BF$66:$BF$70)*CO205), N($AU$66:$AU$70&gt;$AM205)),
SUMPRODUCT(INDEX($AV$56:$AX$65,,$AI205), INDEX($AY$56:$BE$65,,$AH205), 1 / ($BG$56:$BG$65*CS205 + (1-$BG$56:$BG$65)*CO205), N($AU$56:$AU$65&gt;$AM205))
) / 1000</f>
        <v>0</v>
      </c>
      <c r="CU205" s="231">
        <f t="shared" si="329"/>
        <v>20</v>
      </c>
      <c r="CV205" s="229">
        <f t="shared" si="520"/>
        <v>33</v>
      </c>
      <c r="CW205" s="234">
        <f t="shared" si="521"/>
        <v>4.8487499999999999</v>
      </c>
      <c r="CX205" s="234" cm="1">
        <f t="array" ref="CX205">$BM205 * IF($AH205&lt;=2,
SUMPRODUCT(INDEX($AV$61:$AX$65,,$AI205), INDEX($AY$61:$BE$65,,$AH205), 1 / ($BF$61:$BF$65*CW205 + (1-$BF$61:$BF$65)*CS205), N($AU$61:$AU$65&gt;$AM205)),
SUMPRODUCT(INDEX($AV$46:$AX$55,,$AI205), INDEX($AY$46:$BE$55,,$AH205), 1 / ($BG$46:$BG$55*CW205 + (1-$BG$46:$BG$55)*CS205), N($AU$46:$AU$55&gt;$AM205))
) / 1000</f>
        <v>0</v>
      </c>
      <c r="CY205" s="234" cm="1">
        <f t="array" ref="CY205">$BM205 * IF($AH205&lt;=2,
SUMPRODUCT(INDEX($AV$22:$AX$60,,$AI205), INDEX($AY$22:$BE$60,,$AH205), 1 / ($BF$22:$BF$60*CW205), N($AU$22:$AU$60&gt;$AM205)),
SUMPRODUCT(INDEX($AV$22:$AX$45,,$AI205), INDEX($AY$22:$BE$45,,$AH205), 1 / ($BG$22:$BG$45*CW205), N($AU$22:$AU$45&gt;$AM205))
) / 1000</f>
        <v>0</v>
      </c>
      <c r="CZ205" s="229">
        <f t="shared" si="522"/>
        <v>0</v>
      </c>
      <c r="DA205" s="246"/>
    </row>
    <row r="206" spans="1:105" s="75" customFormat="1" ht="14.25" customHeight="1" x14ac:dyDescent="0.2">
      <c r="A206" s="230" t="b">
        <f t="shared" si="291"/>
        <v>0</v>
      </c>
      <c r="B206" s="253">
        <v>185</v>
      </c>
      <c r="C206" s="266"/>
      <c r="D206" s="266"/>
      <c r="E206" s="254"/>
      <c r="F206" s="255" t="str">
        <f>IF(ISBLANK(E206), "", VLOOKUP(E206, Z!$A$2:$C$4127, 3, FALSE))</f>
        <v/>
      </c>
      <c r="G206" s="256"/>
      <c r="H206" s="256"/>
      <c r="I206" s="256"/>
      <c r="J206" s="257"/>
      <c r="K206" s="258"/>
      <c r="L206" s="267"/>
      <c r="M206" s="268"/>
      <c r="N206" s="259" t="str" cm="1">
        <f t="array" ref="N206">IF($L206&gt;0, INDEX(Clean,1+AK206,$D$1), "")</f>
        <v/>
      </c>
      <c r="O206" s="260"/>
      <c r="P206" s="260"/>
      <c r="Q206" s="261"/>
      <c r="R206" s="264">
        <f t="shared" si="498"/>
        <v>0</v>
      </c>
      <c r="S206" s="259" t="str" cm="1">
        <f t="array" ref="S206">IF($L206&gt;0, INDEX(Clean,1+AL206,$D$1), "")</f>
        <v/>
      </c>
      <c r="T206" s="260"/>
      <c r="U206" s="260"/>
      <c r="V206" s="261"/>
      <c r="W206" s="267"/>
      <c r="X206" s="267"/>
      <c r="Y206" s="257"/>
      <c r="Z206" s="264">
        <f t="shared" si="499"/>
        <v>0</v>
      </c>
      <c r="AA206" s="269"/>
      <c r="AB206" s="266"/>
      <c r="AC206" s="254"/>
      <c r="AD206" s="255" t="str">
        <f>IF(ISBLANK(AC206), "", VLOOKUP(AC206, Z!$A$2:$C$4127, 3, FALSE))</f>
        <v/>
      </c>
      <c r="AE206" s="270"/>
      <c r="AF206" s="265">
        <f t="shared" si="500"/>
        <v>0</v>
      </c>
      <c r="AG206" s="246"/>
      <c r="AH206" s="228">
        <f t="shared" si="523"/>
        <v>1</v>
      </c>
      <c r="AI206" s="228">
        <f t="shared" si="524"/>
        <v>1</v>
      </c>
      <c r="AJ206" s="228">
        <f t="shared" si="525"/>
        <v>0</v>
      </c>
      <c r="AK206" s="228">
        <v>0</v>
      </c>
      <c r="AL206" s="228">
        <v>0</v>
      </c>
      <c r="AM206" s="228">
        <f t="shared" si="501"/>
        <v>-100</v>
      </c>
      <c r="AN206" s="228" cm="1">
        <f t="array" ref="AN206">IF(ISBLANK(G206), 1, IFERROR(MATCH(G206, INDEX(Kat,,1), 0), IFERROR(MATCH(Kat, INDEX(Use,,2), 0), MATCH(Kat, INDEX(Use,,3), 0))))</f>
        <v>1</v>
      </c>
      <c r="AO206" s="246"/>
      <c r="AP206" s="228" cm="1">
        <f t="array" ref="AP206">IF(W206&gt;0, INDEX(Kat, AN206,4), 0)</f>
        <v>0</v>
      </c>
      <c r="AQ206" s="228">
        <f t="shared" si="526"/>
        <v>0</v>
      </c>
      <c r="AR206" s="228" cm="1">
        <f t="array" ref="AR206">IF(X206&gt;0, INDEX(Kat, $AN206, 4+AQ206), 0)</f>
        <v>0</v>
      </c>
      <c r="AS206" s="228" cm="1">
        <f t="array" ref="AS206">IF(X206&gt;0, INDEX(Kat, $AN206, 9+AQ206), 0)</f>
        <v>0</v>
      </c>
      <c r="AT206" s="246"/>
      <c r="AU206" s="262"/>
      <c r="AV206" s="262"/>
      <c r="AW206" s="263"/>
      <c r="AX206" s="263"/>
      <c r="AY206" s="263"/>
      <c r="AZ206" s="263"/>
      <c r="BA206" s="263"/>
      <c r="BB206" s="263"/>
      <c r="BC206" s="263"/>
      <c r="BD206" s="263"/>
      <c r="BE206" s="263"/>
      <c r="BF206" s="263"/>
      <c r="BG206" s="263"/>
      <c r="BH206" s="246"/>
      <c r="BI206" s="228" cm="1">
        <f t="array" ref="BI206">INDEX(Use, $AH206, 4)</f>
        <v>7</v>
      </c>
      <c r="BJ206" s="228">
        <f t="shared" si="502"/>
        <v>32</v>
      </c>
      <c r="BK206" s="228">
        <f t="shared" si="305"/>
        <v>13</v>
      </c>
      <c r="BL206" s="228">
        <f t="shared" si="306"/>
        <v>0</v>
      </c>
      <c r="BM206" s="233" cm="1">
        <f t="array" ref="BM206">L206/IF($M206&gt;0, INDEX($AY$22:$BE$76, $M206+20, $AH206), 1)</f>
        <v>0</v>
      </c>
      <c r="BN206" s="229">
        <f t="shared" si="503"/>
        <v>0</v>
      </c>
      <c r="BO206" s="228">
        <v>35</v>
      </c>
      <c r="BP206" s="229">
        <f t="shared" si="504"/>
        <v>48</v>
      </c>
      <c r="BQ206" s="234">
        <f t="shared" si="505"/>
        <v>3.0748170731707316</v>
      </c>
      <c r="BR206" s="234" cm="1">
        <f t="array" ref="BR206">$BM206 * SUMPRODUCT(INDEX($AV$76:$AX$81,,$AI206),INDEX($AY$76:$BE$81,,$AH206), N($AU$76:$AU$81&gt;$AM206)) / BQ206 / 1000</f>
        <v>0</v>
      </c>
      <c r="BS206" s="231">
        <f t="shared" si="310"/>
        <v>30</v>
      </c>
      <c r="BT206" s="229">
        <f t="shared" si="506"/>
        <v>43</v>
      </c>
      <c r="BU206" s="234">
        <f t="shared" si="507"/>
        <v>3.5018750000000001</v>
      </c>
      <c r="BV206" s="234" cm="1">
        <f t="array" ref="BV206">$BM206 * IF($AH206&lt;=2,
SUMPRODUCT(INDEX($AV$71:$AX$75,,$AI206), INDEX($AY$71:$BE$75,,$AH206), 1 / ($BF$71:$BF$75*BU206 + (1-$BF$71:$BF$75)*BQ206), N($AU$71:$AU$75&gt;$AM206)),
SUMPRODUCT(INDEX($AV$66:$AX$75,,$AI206), INDEX($AY$66:$BE$75,,$AH206), 1 / ($BG$66:$BG$75*BU206 + (1-$BG$66:$BG$75)*BQ206), N($AU$66:$AU$75&gt;$AM206))
) / 1000</f>
        <v>0</v>
      </c>
      <c r="BW206" s="231">
        <f t="shared" si="313"/>
        <v>25</v>
      </c>
      <c r="BX206" s="229">
        <f t="shared" si="508"/>
        <v>38</v>
      </c>
      <c r="BY206" s="234">
        <f t="shared" si="509"/>
        <v>4.0666935483870965</v>
      </c>
      <c r="BZ206" s="234" cm="1">
        <f t="array" ref="BZ206">$BM206 * IF($AH206&lt;=2,
SUMPRODUCT(INDEX($AV$66:$AX$70,,$AI206), INDEX($AY$66:$BE$70,,$AH206), 1 / ($BF$66:$BF$70*BY206 + (1-$BF$66:$BF$70)*BU206), N($AU$66:$AU$70&gt;$AM206)),
SUMPRODUCT(INDEX($AV$56:$AX$65,,$AI206), INDEX($AY$56:$BE$65,,$AH206), 1 / ($BG$56:$BG$65*BY206 + (1-$BG$56:$BG$65)*BU206), N($AU$56:$AU$65&gt;$AM206))
) / 1000</f>
        <v>0</v>
      </c>
      <c r="CA206" s="231">
        <f t="shared" si="316"/>
        <v>20</v>
      </c>
      <c r="CB206" s="229">
        <f t="shared" si="510"/>
        <v>33</v>
      </c>
      <c r="CC206" s="234">
        <f t="shared" si="511"/>
        <v>4.8487499999999999</v>
      </c>
      <c r="CD206" s="234" cm="1">
        <f t="array" ref="CD206">$BM206 * IF($AH206&lt;=2,
SUMPRODUCT(INDEX($AV$61:$AX$65,,$AI206), INDEX($AY$61:$BE$65,,$AH206), 1 / ($BF$61:$BF$65*CC206 + (1-$BF$61:$BF$65)*BY206), N($AU$61:$AU$65&gt;$AM206)),
SUMPRODUCT(INDEX($AV$46:$AX$55,,$AI206), INDEX($AY$46:$BE$55,,$AH206), 1 / ($BG$46:$BG$55*CC206 + (1-$BG$46:$BG$55)*BY206), N($AU$46:$AU$55&gt;$AM206))
) / 1000</f>
        <v>0</v>
      </c>
      <c r="CE206" s="234" cm="1">
        <f t="array" ref="CE206">$BM206 * IF($AH206&lt;=2,
SUMPRODUCT(INDEX($AV$22:$AX$60,,$AI206), INDEX($AY$22:$BE$60,,$AH206), 1 / ($BF$22:$BF$60*CC206), N($AU$22:$AU$60&gt;$AM206)),
SUMPRODUCT(INDEX($AV$22:$AX$45,,$AI206), INDEX($AY$22:$BE$45,,$AH206), 1 / ($BG$22:$BG$45*CC206), N($AU$22:$AU$45&gt;$AM206))
) / 1000</f>
        <v>0</v>
      </c>
      <c r="CF206" s="229">
        <f t="shared" si="512"/>
        <v>0</v>
      </c>
      <c r="CG206" s="246"/>
      <c r="CH206" s="229">
        <f t="shared" si="513"/>
        <v>0</v>
      </c>
      <c r="CI206" s="228">
        <v>35</v>
      </c>
      <c r="CJ206" s="229">
        <f t="shared" si="514"/>
        <v>48</v>
      </c>
      <c r="CK206" s="234">
        <f t="shared" si="515"/>
        <v>3.0748170731707316</v>
      </c>
      <c r="CL206" s="234" cm="1">
        <f t="array" ref="CL206">$BM206 * SUMPRODUCT(INDEX($AV$76:$AX$81,,$AI206),INDEX($AY$76:$BE$81,,$AH206), N($AU$76:$AU$81&gt;$AM206)) / CK206 / 1000</f>
        <v>0</v>
      </c>
      <c r="CM206" s="231">
        <f t="shared" si="323"/>
        <v>30</v>
      </c>
      <c r="CN206" s="229">
        <f t="shared" si="516"/>
        <v>43</v>
      </c>
      <c r="CO206" s="234">
        <f t="shared" si="517"/>
        <v>3.5018750000000001</v>
      </c>
      <c r="CP206" s="234" cm="1">
        <f t="array" ref="CP206">$BM206 * IF($AH206&lt;=2,
SUMPRODUCT(INDEX($AV$71:$AX$75,,$AI206), INDEX($AY$71:$BE$75,,$AH206), 1 / ($BF$71:$BF$75*CO206 + (1-$BF$71:$BF$75)*CK206), N($AU$71:$AU$75&gt;$AM206)),
SUMPRODUCT(INDEX($AV$66:$AX$75,,$AI206), INDEX($AY$66:$BE$75,,$AH206), 1 / ($BG$66:$BG$75*CO206 + (1-$BG$66:$BG$75)*CK206), N($AU$66:$AU$75&gt;$AM206))
) / 1000</f>
        <v>0</v>
      </c>
      <c r="CQ206" s="231">
        <f t="shared" si="326"/>
        <v>25</v>
      </c>
      <c r="CR206" s="229">
        <f t="shared" si="518"/>
        <v>38</v>
      </c>
      <c r="CS206" s="234">
        <f t="shared" si="519"/>
        <v>4.0666935483870965</v>
      </c>
      <c r="CT206" s="234" cm="1">
        <f t="array" ref="CT206">$BM206 * IF($AH206&lt;=2,
SUMPRODUCT(INDEX($AV$66:$AX$70,,$AI206), INDEX($AY$66:$BE$70,,$AH206), 1 / ($BF$66:$BF$70*CS206 + (1-$BF$66:$BF$70)*CO206), N($AU$66:$AU$70&gt;$AM206)),
SUMPRODUCT(INDEX($AV$56:$AX$65,,$AI206), INDEX($AY$56:$BE$65,,$AH206), 1 / ($BG$56:$BG$65*CS206 + (1-$BG$56:$BG$65)*CO206), N($AU$56:$AU$65&gt;$AM206))
) / 1000</f>
        <v>0</v>
      </c>
      <c r="CU206" s="231">
        <f t="shared" si="329"/>
        <v>20</v>
      </c>
      <c r="CV206" s="229">
        <f t="shared" si="520"/>
        <v>33</v>
      </c>
      <c r="CW206" s="234">
        <f t="shared" si="521"/>
        <v>4.8487499999999999</v>
      </c>
      <c r="CX206" s="234" cm="1">
        <f t="array" ref="CX206">$BM206 * IF($AH206&lt;=2,
SUMPRODUCT(INDEX($AV$61:$AX$65,,$AI206), INDEX($AY$61:$BE$65,,$AH206), 1 / ($BF$61:$BF$65*CW206 + (1-$BF$61:$BF$65)*CS206), N($AU$61:$AU$65&gt;$AM206)),
SUMPRODUCT(INDEX($AV$46:$AX$55,,$AI206), INDEX($AY$46:$BE$55,,$AH206), 1 / ($BG$46:$BG$55*CW206 + (1-$BG$46:$BG$55)*CS206), N($AU$46:$AU$55&gt;$AM206))
) / 1000</f>
        <v>0</v>
      </c>
      <c r="CY206" s="234" cm="1">
        <f t="array" ref="CY206">$BM206 * IF($AH206&lt;=2,
SUMPRODUCT(INDEX($AV$22:$AX$60,,$AI206), INDEX($AY$22:$BE$60,,$AH206), 1 / ($BF$22:$BF$60*CW206), N($AU$22:$AU$60&gt;$AM206)),
SUMPRODUCT(INDEX($AV$22:$AX$45,,$AI206), INDEX($AY$22:$BE$45,,$AH206), 1 / ($BG$22:$BG$45*CW206), N($AU$22:$AU$45&gt;$AM206))
) / 1000</f>
        <v>0</v>
      </c>
      <c r="CZ206" s="229">
        <f t="shared" si="522"/>
        <v>0</v>
      </c>
      <c r="DA206" s="246"/>
    </row>
    <row r="207" spans="1:105" s="75" customFormat="1" ht="14.25" customHeight="1" x14ac:dyDescent="0.2">
      <c r="A207" s="230" t="b">
        <f t="shared" si="291"/>
        <v>0</v>
      </c>
      <c r="B207" s="253">
        <v>186</v>
      </c>
      <c r="C207" s="266"/>
      <c r="D207" s="266"/>
      <c r="E207" s="254"/>
      <c r="F207" s="255" t="str">
        <f>IF(ISBLANK(E207), "", VLOOKUP(E207, Z!$A$2:$C$4127, 3, FALSE))</f>
        <v/>
      </c>
      <c r="G207" s="256"/>
      <c r="H207" s="256"/>
      <c r="I207" s="256"/>
      <c r="J207" s="257"/>
      <c r="K207" s="258"/>
      <c r="L207" s="267"/>
      <c r="M207" s="268"/>
      <c r="N207" s="259" t="str" cm="1">
        <f t="array" ref="N207">IF($L207&gt;0, INDEX(Clean,1+AK207,$D$1), "")</f>
        <v/>
      </c>
      <c r="O207" s="260"/>
      <c r="P207" s="260"/>
      <c r="Q207" s="261"/>
      <c r="R207" s="264">
        <f t="shared" si="498"/>
        <v>0</v>
      </c>
      <c r="S207" s="259" t="str" cm="1">
        <f t="array" ref="S207">IF($L207&gt;0, INDEX(Clean,1+AL207,$D$1), "")</f>
        <v/>
      </c>
      <c r="T207" s="260"/>
      <c r="U207" s="260"/>
      <c r="V207" s="261"/>
      <c r="W207" s="267"/>
      <c r="X207" s="267"/>
      <c r="Y207" s="257"/>
      <c r="Z207" s="264">
        <f t="shared" si="499"/>
        <v>0</v>
      </c>
      <c r="AA207" s="269"/>
      <c r="AB207" s="266"/>
      <c r="AC207" s="254"/>
      <c r="AD207" s="255" t="str">
        <f>IF(ISBLANK(AC207), "", VLOOKUP(AC207, Z!$A$2:$C$4127, 3, FALSE))</f>
        <v/>
      </c>
      <c r="AE207" s="270"/>
      <c r="AF207" s="265">
        <f t="shared" si="500"/>
        <v>0</v>
      </c>
      <c r="AG207" s="246"/>
      <c r="AH207" s="228">
        <f t="shared" si="523"/>
        <v>1</v>
      </c>
      <c r="AI207" s="228">
        <f t="shared" si="524"/>
        <v>1</v>
      </c>
      <c r="AJ207" s="228">
        <f t="shared" si="525"/>
        <v>0</v>
      </c>
      <c r="AK207" s="228">
        <v>0</v>
      </c>
      <c r="AL207" s="228">
        <v>0</v>
      </c>
      <c r="AM207" s="228">
        <f t="shared" si="501"/>
        <v>-100</v>
      </c>
      <c r="AN207" s="228" cm="1">
        <f t="array" ref="AN207">IF(ISBLANK(G207), 1, IFERROR(MATCH(G207, INDEX(Kat,,1), 0), IFERROR(MATCH(Kat, INDEX(Use,,2), 0), MATCH(Kat, INDEX(Use,,3), 0))))</f>
        <v>1</v>
      </c>
      <c r="AO207" s="246"/>
      <c r="AP207" s="228" cm="1">
        <f t="array" ref="AP207">IF(W207&gt;0, INDEX(Kat, AN207,4), 0)</f>
        <v>0</v>
      </c>
      <c r="AQ207" s="228">
        <f t="shared" si="526"/>
        <v>0</v>
      </c>
      <c r="AR207" s="228" cm="1">
        <f t="array" ref="AR207">IF(X207&gt;0, INDEX(Kat, $AN207, 4+AQ207), 0)</f>
        <v>0</v>
      </c>
      <c r="AS207" s="228" cm="1">
        <f t="array" ref="AS207">IF(X207&gt;0, INDEX(Kat, $AN207, 9+AQ207), 0)</f>
        <v>0</v>
      </c>
      <c r="AT207" s="246"/>
      <c r="AU207" s="262"/>
      <c r="AV207" s="262"/>
      <c r="AW207" s="263"/>
      <c r="AX207" s="263"/>
      <c r="AY207" s="263"/>
      <c r="AZ207" s="263"/>
      <c r="BA207" s="263"/>
      <c r="BB207" s="263"/>
      <c r="BC207" s="263"/>
      <c r="BD207" s="263"/>
      <c r="BE207" s="263"/>
      <c r="BF207" s="263"/>
      <c r="BG207" s="263"/>
      <c r="BH207" s="246"/>
      <c r="BI207" s="228" cm="1">
        <f t="array" ref="BI207">INDEX(Use, $AH207, 4)</f>
        <v>7</v>
      </c>
      <c r="BJ207" s="228">
        <f t="shared" si="502"/>
        <v>32</v>
      </c>
      <c r="BK207" s="228">
        <f t="shared" si="305"/>
        <v>13</v>
      </c>
      <c r="BL207" s="228">
        <f t="shared" si="306"/>
        <v>0</v>
      </c>
      <c r="BM207" s="233" cm="1">
        <f t="array" ref="BM207">L207/IF($M207&gt;0, INDEX($AY$22:$BE$76, $M207+20, $AH207), 1)</f>
        <v>0</v>
      </c>
      <c r="BN207" s="229">
        <f t="shared" si="503"/>
        <v>0</v>
      </c>
      <c r="BO207" s="228">
        <v>35</v>
      </c>
      <c r="BP207" s="229">
        <f t="shared" si="504"/>
        <v>48</v>
      </c>
      <c r="BQ207" s="234">
        <f t="shared" si="505"/>
        <v>3.0748170731707316</v>
      </c>
      <c r="BR207" s="234" cm="1">
        <f t="array" ref="BR207">$BM207 * SUMPRODUCT(INDEX($AV$76:$AX$81,,$AI207),INDEX($AY$76:$BE$81,,$AH207), N($AU$76:$AU$81&gt;$AM207)) / BQ207 / 1000</f>
        <v>0</v>
      </c>
      <c r="BS207" s="231">
        <f t="shared" si="310"/>
        <v>30</v>
      </c>
      <c r="BT207" s="229">
        <f t="shared" si="506"/>
        <v>43</v>
      </c>
      <c r="BU207" s="234">
        <f t="shared" si="507"/>
        <v>3.5018750000000001</v>
      </c>
      <c r="BV207" s="234" cm="1">
        <f t="array" ref="BV207">$BM207 * IF($AH207&lt;=2,
SUMPRODUCT(INDEX($AV$71:$AX$75,,$AI207), INDEX($AY$71:$BE$75,,$AH207), 1 / ($BF$71:$BF$75*BU207 + (1-$BF$71:$BF$75)*BQ207), N($AU$71:$AU$75&gt;$AM207)),
SUMPRODUCT(INDEX($AV$66:$AX$75,,$AI207), INDEX($AY$66:$BE$75,,$AH207), 1 / ($BG$66:$BG$75*BU207 + (1-$BG$66:$BG$75)*BQ207), N($AU$66:$AU$75&gt;$AM207))
) / 1000</f>
        <v>0</v>
      </c>
      <c r="BW207" s="231">
        <f t="shared" si="313"/>
        <v>25</v>
      </c>
      <c r="BX207" s="229">
        <f t="shared" si="508"/>
        <v>38</v>
      </c>
      <c r="BY207" s="234">
        <f t="shared" si="509"/>
        <v>4.0666935483870965</v>
      </c>
      <c r="BZ207" s="234" cm="1">
        <f t="array" ref="BZ207">$BM207 * IF($AH207&lt;=2,
SUMPRODUCT(INDEX($AV$66:$AX$70,,$AI207), INDEX($AY$66:$BE$70,,$AH207), 1 / ($BF$66:$BF$70*BY207 + (1-$BF$66:$BF$70)*BU207), N($AU$66:$AU$70&gt;$AM207)),
SUMPRODUCT(INDEX($AV$56:$AX$65,,$AI207), INDEX($AY$56:$BE$65,,$AH207), 1 / ($BG$56:$BG$65*BY207 + (1-$BG$56:$BG$65)*BU207), N($AU$56:$AU$65&gt;$AM207))
) / 1000</f>
        <v>0</v>
      </c>
      <c r="CA207" s="231">
        <f t="shared" si="316"/>
        <v>20</v>
      </c>
      <c r="CB207" s="229">
        <f t="shared" si="510"/>
        <v>33</v>
      </c>
      <c r="CC207" s="234">
        <f t="shared" si="511"/>
        <v>4.8487499999999999</v>
      </c>
      <c r="CD207" s="234" cm="1">
        <f t="array" ref="CD207">$BM207 * IF($AH207&lt;=2,
SUMPRODUCT(INDEX($AV$61:$AX$65,,$AI207), INDEX($AY$61:$BE$65,,$AH207), 1 / ($BF$61:$BF$65*CC207 + (1-$BF$61:$BF$65)*BY207), N($AU$61:$AU$65&gt;$AM207)),
SUMPRODUCT(INDEX($AV$46:$AX$55,,$AI207), INDEX($AY$46:$BE$55,,$AH207), 1 / ($BG$46:$BG$55*CC207 + (1-$BG$46:$BG$55)*BY207), N($AU$46:$AU$55&gt;$AM207))
) / 1000</f>
        <v>0</v>
      </c>
      <c r="CE207" s="234" cm="1">
        <f t="array" ref="CE207">$BM207 * IF($AH207&lt;=2,
SUMPRODUCT(INDEX($AV$22:$AX$60,,$AI207), INDEX($AY$22:$BE$60,,$AH207), 1 / ($BF$22:$BF$60*CC207), N($AU$22:$AU$60&gt;$AM207)),
SUMPRODUCT(INDEX($AV$22:$AX$45,,$AI207), INDEX($AY$22:$BE$45,,$AH207), 1 / ($BG$22:$BG$45*CC207), N($AU$22:$AU$45&gt;$AM207))
) / 1000</f>
        <v>0</v>
      </c>
      <c r="CF207" s="229">
        <f t="shared" si="512"/>
        <v>0</v>
      </c>
      <c r="CG207" s="246"/>
      <c r="CH207" s="229">
        <f t="shared" si="513"/>
        <v>0</v>
      </c>
      <c r="CI207" s="228">
        <v>35</v>
      </c>
      <c r="CJ207" s="229">
        <f t="shared" si="514"/>
        <v>48</v>
      </c>
      <c r="CK207" s="234">
        <f t="shared" si="515"/>
        <v>3.0748170731707316</v>
      </c>
      <c r="CL207" s="234" cm="1">
        <f t="array" ref="CL207">$BM207 * SUMPRODUCT(INDEX($AV$76:$AX$81,,$AI207),INDEX($AY$76:$BE$81,,$AH207), N($AU$76:$AU$81&gt;$AM207)) / CK207 / 1000</f>
        <v>0</v>
      </c>
      <c r="CM207" s="231">
        <f t="shared" si="323"/>
        <v>30</v>
      </c>
      <c r="CN207" s="229">
        <f t="shared" si="516"/>
        <v>43</v>
      </c>
      <c r="CO207" s="234">
        <f t="shared" si="517"/>
        <v>3.5018750000000001</v>
      </c>
      <c r="CP207" s="234" cm="1">
        <f t="array" ref="CP207">$BM207 * IF($AH207&lt;=2,
SUMPRODUCT(INDEX($AV$71:$AX$75,,$AI207), INDEX($AY$71:$BE$75,,$AH207), 1 / ($BF$71:$BF$75*CO207 + (1-$BF$71:$BF$75)*CK207), N($AU$71:$AU$75&gt;$AM207)),
SUMPRODUCT(INDEX($AV$66:$AX$75,,$AI207), INDEX($AY$66:$BE$75,,$AH207), 1 / ($BG$66:$BG$75*CO207 + (1-$BG$66:$BG$75)*CK207), N($AU$66:$AU$75&gt;$AM207))
) / 1000</f>
        <v>0</v>
      </c>
      <c r="CQ207" s="231">
        <f t="shared" si="326"/>
        <v>25</v>
      </c>
      <c r="CR207" s="229">
        <f t="shared" si="518"/>
        <v>38</v>
      </c>
      <c r="CS207" s="234">
        <f t="shared" si="519"/>
        <v>4.0666935483870965</v>
      </c>
      <c r="CT207" s="234" cm="1">
        <f t="array" ref="CT207">$BM207 * IF($AH207&lt;=2,
SUMPRODUCT(INDEX($AV$66:$AX$70,,$AI207), INDEX($AY$66:$BE$70,,$AH207), 1 / ($BF$66:$BF$70*CS207 + (1-$BF$66:$BF$70)*CO207), N($AU$66:$AU$70&gt;$AM207)),
SUMPRODUCT(INDEX($AV$56:$AX$65,,$AI207), INDEX($AY$56:$BE$65,,$AH207), 1 / ($BG$56:$BG$65*CS207 + (1-$BG$56:$BG$65)*CO207), N($AU$56:$AU$65&gt;$AM207))
) / 1000</f>
        <v>0</v>
      </c>
      <c r="CU207" s="231">
        <f t="shared" si="329"/>
        <v>20</v>
      </c>
      <c r="CV207" s="229">
        <f t="shared" si="520"/>
        <v>33</v>
      </c>
      <c r="CW207" s="234">
        <f t="shared" si="521"/>
        <v>4.8487499999999999</v>
      </c>
      <c r="CX207" s="234" cm="1">
        <f t="array" ref="CX207">$BM207 * IF($AH207&lt;=2,
SUMPRODUCT(INDEX($AV$61:$AX$65,,$AI207), INDEX($AY$61:$BE$65,,$AH207), 1 / ($BF$61:$BF$65*CW207 + (1-$BF$61:$BF$65)*CS207), N($AU$61:$AU$65&gt;$AM207)),
SUMPRODUCT(INDEX($AV$46:$AX$55,,$AI207), INDEX($AY$46:$BE$55,,$AH207), 1 / ($BG$46:$BG$55*CW207 + (1-$BG$46:$BG$55)*CS207), N($AU$46:$AU$55&gt;$AM207))
) / 1000</f>
        <v>0</v>
      </c>
      <c r="CY207" s="234" cm="1">
        <f t="array" ref="CY207">$BM207 * IF($AH207&lt;=2,
SUMPRODUCT(INDEX($AV$22:$AX$60,,$AI207), INDEX($AY$22:$BE$60,,$AH207), 1 / ($BF$22:$BF$60*CW207), N($AU$22:$AU$60&gt;$AM207)),
SUMPRODUCT(INDEX($AV$22:$AX$45,,$AI207), INDEX($AY$22:$BE$45,,$AH207), 1 / ($BG$22:$BG$45*CW207), N($AU$22:$AU$45&gt;$AM207))
) / 1000</f>
        <v>0</v>
      </c>
      <c r="CZ207" s="229">
        <f t="shared" si="522"/>
        <v>0</v>
      </c>
      <c r="DA207" s="246"/>
    </row>
    <row r="208" spans="1:105" s="75" customFormat="1" ht="14.25" customHeight="1" x14ac:dyDescent="0.2">
      <c r="A208" s="230" t="b">
        <f t="shared" si="291"/>
        <v>0</v>
      </c>
      <c r="B208" s="253">
        <v>187</v>
      </c>
      <c r="C208" s="266"/>
      <c r="D208" s="266"/>
      <c r="E208" s="254"/>
      <c r="F208" s="255" t="str">
        <f>IF(ISBLANK(E208), "", VLOOKUP(E208, Z!$A$2:$C$4127, 3, FALSE))</f>
        <v/>
      </c>
      <c r="G208" s="256"/>
      <c r="H208" s="256"/>
      <c r="I208" s="256"/>
      <c r="J208" s="257"/>
      <c r="K208" s="258"/>
      <c r="L208" s="267"/>
      <c r="M208" s="268"/>
      <c r="N208" s="259" t="str" cm="1">
        <f t="array" ref="N208">IF($L208&gt;0, INDEX(Clean,1+AK208,$D$1), "")</f>
        <v/>
      </c>
      <c r="O208" s="260"/>
      <c r="P208" s="260"/>
      <c r="Q208" s="261"/>
      <c r="R208" s="264">
        <f t="shared" si="498"/>
        <v>0</v>
      </c>
      <c r="S208" s="259" t="str" cm="1">
        <f t="array" ref="S208">IF($L208&gt;0, INDEX(Clean,1+AL208,$D$1), "")</f>
        <v/>
      </c>
      <c r="T208" s="260"/>
      <c r="U208" s="260"/>
      <c r="V208" s="261"/>
      <c r="W208" s="267"/>
      <c r="X208" s="267"/>
      <c r="Y208" s="257"/>
      <c r="Z208" s="264">
        <f t="shared" si="499"/>
        <v>0</v>
      </c>
      <c r="AA208" s="269"/>
      <c r="AB208" s="266"/>
      <c r="AC208" s="254"/>
      <c r="AD208" s="255" t="str">
        <f>IF(ISBLANK(AC208), "", VLOOKUP(AC208, Z!$A$2:$C$4127, 3, FALSE))</f>
        <v/>
      </c>
      <c r="AE208" s="270"/>
      <c r="AF208" s="265">
        <f t="shared" si="500"/>
        <v>0</v>
      </c>
      <c r="AG208" s="246"/>
      <c r="AH208" s="228">
        <f t="shared" si="523"/>
        <v>1</v>
      </c>
      <c r="AI208" s="228">
        <f t="shared" si="524"/>
        <v>1</v>
      </c>
      <c r="AJ208" s="228">
        <f t="shared" si="525"/>
        <v>0</v>
      </c>
      <c r="AK208" s="228">
        <v>0</v>
      </c>
      <c r="AL208" s="228">
        <v>0</v>
      </c>
      <c r="AM208" s="228">
        <f t="shared" si="501"/>
        <v>-100</v>
      </c>
      <c r="AN208" s="228" cm="1">
        <f t="array" ref="AN208">IF(ISBLANK(G208), 1, IFERROR(MATCH(G208, INDEX(Kat,,1), 0), IFERROR(MATCH(Kat, INDEX(Use,,2), 0), MATCH(Kat, INDEX(Use,,3), 0))))</f>
        <v>1</v>
      </c>
      <c r="AO208" s="246"/>
      <c r="AP208" s="228" cm="1">
        <f t="array" ref="AP208">IF(W208&gt;0, INDEX(Kat, AN208,4), 0)</f>
        <v>0</v>
      </c>
      <c r="AQ208" s="228">
        <f t="shared" si="526"/>
        <v>0</v>
      </c>
      <c r="AR208" s="228" cm="1">
        <f t="array" ref="AR208">IF(X208&gt;0, INDEX(Kat, $AN208, 4+AQ208), 0)</f>
        <v>0</v>
      </c>
      <c r="AS208" s="228" cm="1">
        <f t="array" ref="AS208">IF(X208&gt;0, INDEX(Kat, $AN208, 9+AQ208), 0)</f>
        <v>0</v>
      </c>
      <c r="AT208" s="246"/>
      <c r="AU208" s="262"/>
      <c r="AV208" s="262"/>
      <c r="AW208" s="263"/>
      <c r="AX208" s="263"/>
      <c r="AY208" s="263"/>
      <c r="AZ208" s="263"/>
      <c r="BA208" s="263"/>
      <c r="BB208" s="263"/>
      <c r="BC208" s="263"/>
      <c r="BD208" s="263"/>
      <c r="BE208" s="263"/>
      <c r="BF208" s="263"/>
      <c r="BG208" s="263"/>
      <c r="BH208" s="246"/>
      <c r="BI208" s="228" cm="1">
        <f t="array" ref="BI208">INDEX(Use, $AH208, 4)</f>
        <v>7</v>
      </c>
      <c r="BJ208" s="228">
        <f t="shared" si="502"/>
        <v>32</v>
      </c>
      <c r="BK208" s="228">
        <f t="shared" si="305"/>
        <v>13</v>
      </c>
      <c r="BL208" s="228">
        <f t="shared" si="306"/>
        <v>0</v>
      </c>
      <c r="BM208" s="233" cm="1">
        <f t="array" ref="BM208">L208/IF($M208&gt;0, INDEX($AY$22:$BE$76, $M208+20, $AH208), 1)</f>
        <v>0</v>
      </c>
      <c r="BN208" s="229">
        <f t="shared" si="503"/>
        <v>0</v>
      </c>
      <c r="BO208" s="228">
        <v>35</v>
      </c>
      <c r="BP208" s="229">
        <f t="shared" si="504"/>
        <v>48</v>
      </c>
      <c r="BQ208" s="234">
        <f t="shared" si="505"/>
        <v>3.0748170731707316</v>
      </c>
      <c r="BR208" s="234" cm="1">
        <f t="array" ref="BR208">$BM208 * SUMPRODUCT(INDEX($AV$76:$AX$81,,$AI208),INDEX($AY$76:$BE$81,,$AH208), N($AU$76:$AU$81&gt;$AM208)) / BQ208 / 1000</f>
        <v>0</v>
      </c>
      <c r="BS208" s="231">
        <f t="shared" si="310"/>
        <v>30</v>
      </c>
      <c r="BT208" s="229">
        <f t="shared" si="506"/>
        <v>43</v>
      </c>
      <c r="BU208" s="234">
        <f t="shared" si="507"/>
        <v>3.5018750000000001</v>
      </c>
      <c r="BV208" s="234" cm="1">
        <f t="array" ref="BV208">$BM208 * IF($AH208&lt;=2,
SUMPRODUCT(INDEX($AV$71:$AX$75,,$AI208), INDEX($AY$71:$BE$75,,$AH208), 1 / ($BF$71:$BF$75*BU208 + (1-$BF$71:$BF$75)*BQ208), N($AU$71:$AU$75&gt;$AM208)),
SUMPRODUCT(INDEX($AV$66:$AX$75,,$AI208), INDEX($AY$66:$BE$75,,$AH208), 1 / ($BG$66:$BG$75*BU208 + (1-$BG$66:$BG$75)*BQ208), N($AU$66:$AU$75&gt;$AM208))
) / 1000</f>
        <v>0</v>
      </c>
      <c r="BW208" s="231">
        <f t="shared" si="313"/>
        <v>25</v>
      </c>
      <c r="BX208" s="229">
        <f t="shared" si="508"/>
        <v>38</v>
      </c>
      <c r="BY208" s="234">
        <f t="shared" si="509"/>
        <v>4.0666935483870965</v>
      </c>
      <c r="BZ208" s="234" cm="1">
        <f t="array" ref="BZ208">$BM208 * IF($AH208&lt;=2,
SUMPRODUCT(INDEX($AV$66:$AX$70,,$AI208), INDEX($AY$66:$BE$70,,$AH208), 1 / ($BF$66:$BF$70*BY208 + (1-$BF$66:$BF$70)*BU208), N($AU$66:$AU$70&gt;$AM208)),
SUMPRODUCT(INDEX($AV$56:$AX$65,,$AI208), INDEX($AY$56:$BE$65,,$AH208), 1 / ($BG$56:$BG$65*BY208 + (1-$BG$56:$BG$65)*BU208), N($AU$56:$AU$65&gt;$AM208))
) / 1000</f>
        <v>0</v>
      </c>
      <c r="CA208" s="231">
        <f t="shared" si="316"/>
        <v>20</v>
      </c>
      <c r="CB208" s="229">
        <f t="shared" si="510"/>
        <v>33</v>
      </c>
      <c r="CC208" s="234">
        <f t="shared" si="511"/>
        <v>4.8487499999999999</v>
      </c>
      <c r="CD208" s="234" cm="1">
        <f t="array" ref="CD208">$BM208 * IF($AH208&lt;=2,
SUMPRODUCT(INDEX($AV$61:$AX$65,,$AI208), INDEX($AY$61:$BE$65,,$AH208), 1 / ($BF$61:$BF$65*CC208 + (1-$BF$61:$BF$65)*BY208), N($AU$61:$AU$65&gt;$AM208)),
SUMPRODUCT(INDEX($AV$46:$AX$55,,$AI208), INDEX($AY$46:$BE$55,,$AH208), 1 / ($BG$46:$BG$55*CC208 + (1-$BG$46:$BG$55)*BY208), N($AU$46:$AU$55&gt;$AM208))
) / 1000</f>
        <v>0</v>
      </c>
      <c r="CE208" s="234" cm="1">
        <f t="array" ref="CE208">$BM208 * IF($AH208&lt;=2,
SUMPRODUCT(INDEX($AV$22:$AX$60,,$AI208), INDEX($AY$22:$BE$60,,$AH208), 1 / ($BF$22:$BF$60*CC208), N($AU$22:$AU$60&gt;$AM208)),
SUMPRODUCT(INDEX($AV$22:$AX$45,,$AI208), INDEX($AY$22:$BE$45,,$AH208), 1 / ($BG$22:$BG$45*CC208), N($AU$22:$AU$45&gt;$AM208))
) / 1000</f>
        <v>0</v>
      </c>
      <c r="CF208" s="229">
        <f t="shared" si="512"/>
        <v>0</v>
      </c>
      <c r="CG208" s="246"/>
      <c r="CH208" s="229">
        <f t="shared" si="513"/>
        <v>0</v>
      </c>
      <c r="CI208" s="228">
        <v>35</v>
      </c>
      <c r="CJ208" s="229">
        <f t="shared" si="514"/>
        <v>48</v>
      </c>
      <c r="CK208" s="234">
        <f t="shared" si="515"/>
        <v>3.0748170731707316</v>
      </c>
      <c r="CL208" s="234" cm="1">
        <f t="array" ref="CL208">$BM208 * SUMPRODUCT(INDEX($AV$76:$AX$81,,$AI208),INDEX($AY$76:$BE$81,,$AH208), N($AU$76:$AU$81&gt;$AM208)) / CK208 / 1000</f>
        <v>0</v>
      </c>
      <c r="CM208" s="231">
        <f t="shared" si="323"/>
        <v>30</v>
      </c>
      <c r="CN208" s="229">
        <f t="shared" si="516"/>
        <v>43</v>
      </c>
      <c r="CO208" s="234">
        <f t="shared" si="517"/>
        <v>3.5018750000000001</v>
      </c>
      <c r="CP208" s="234" cm="1">
        <f t="array" ref="CP208">$BM208 * IF($AH208&lt;=2,
SUMPRODUCT(INDEX($AV$71:$AX$75,,$AI208), INDEX($AY$71:$BE$75,,$AH208), 1 / ($BF$71:$BF$75*CO208 + (1-$BF$71:$BF$75)*CK208), N($AU$71:$AU$75&gt;$AM208)),
SUMPRODUCT(INDEX($AV$66:$AX$75,,$AI208), INDEX($AY$66:$BE$75,,$AH208), 1 / ($BG$66:$BG$75*CO208 + (1-$BG$66:$BG$75)*CK208), N($AU$66:$AU$75&gt;$AM208))
) / 1000</f>
        <v>0</v>
      </c>
      <c r="CQ208" s="231">
        <f t="shared" si="326"/>
        <v>25</v>
      </c>
      <c r="CR208" s="229">
        <f t="shared" si="518"/>
        <v>38</v>
      </c>
      <c r="CS208" s="234">
        <f t="shared" si="519"/>
        <v>4.0666935483870965</v>
      </c>
      <c r="CT208" s="234" cm="1">
        <f t="array" ref="CT208">$BM208 * IF($AH208&lt;=2,
SUMPRODUCT(INDEX($AV$66:$AX$70,,$AI208), INDEX($AY$66:$BE$70,,$AH208), 1 / ($BF$66:$BF$70*CS208 + (1-$BF$66:$BF$70)*CO208), N($AU$66:$AU$70&gt;$AM208)),
SUMPRODUCT(INDEX($AV$56:$AX$65,,$AI208), INDEX($AY$56:$BE$65,,$AH208), 1 / ($BG$56:$BG$65*CS208 + (1-$BG$56:$BG$65)*CO208), N($AU$56:$AU$65&gt;$AM208))
) / 1000</f>
        <v>0</v>
      </c>
      <c r="CU208" s="231">
        <f t="shared" si="329"/>
        <v>20</v>
      </c>
      <c r="CV208" s="229">
        <f t="shared" si="520"/>
        <v>33</v>
      </c>
      <c r="CW208" s="234">
        <f t="shared" si="521"/>
        <v>4.8487499999999999</v>
      </c>
      <c r="CX208" s="234" cm="1">
        <f t="array" ref="CX208">$BM208 * IF($AH208&lt;=2,
SUMPRODUCT(INDEX($AV$61:$AX$65,,$AI208), INDEX($AY$61:$BE$65,,$AH208), 1 / ($BF$61:$BF$65*CW208 + (1-$BF$61:$BF$65)*CS208), N($AU$61:$AU$65&gt;$AM208)),
SUMPRODUCT(INDEX($AV$46:$AX$55,,$AI208), INDEX($AY$46:$BE$55,,$AH208), 1 / ($BG$46:$BG$55*CW208 + (1-$BG$46:$BG$55)*CS208), N($AU$46:$AU$55&gt;$AM208))
) / 1000</f>
        <v>0</v>
      </c>
      <c r="CY208" s="234" cm="1">
        <f t="array" ref="CY208">$BM208 * IF($AH208&lt;=2,
SUMPRODUCT(INDEX($AV$22:$AX$60,,$AI208), INDEX($AY$22:$BE$60,,$AH208), 1 / ($BF$22:$BF$60*CW208), N($AU$22:$AU$60&gt;$AM208)),
SUMPRODUCT(INDEX($AV$22:$AX$45,,$AI208), INDEX($AY$22:$BE$45,,$AH208), 1 / ($BG$22:$BG$45*CW208), N($AU$22:$AU$45&gt;$AM208))
) / 1000</f>
        <v>0</v>
      </c>
      <c r="CZ208" s="229">
        <f t="shared" si="522"/>
        <v>0</v>
      </c>
      <c r="DA208" s="246"/>
    </row>
    <row r="209" spans="1:105" s="75" customFormat="1" ht="14.25" customHeight="1" x14ac:dyDescent="0.2">
      <c r="A209" s="230" t="b">
        <f t="shared" si="291"/>
        <v>0</v>
      </c>
      <c r="B209" s="253">
        <v>188</v>
      </c>
      <c r="C209" s="266"/>
      <c r="D209" s="266"/>
      <c r="E209" s="254"/>
      <c r="F209" s="255" t="str">
        <f>IF(ISBLANK(E209), "", VLOOKUP(E209, Z!$A$2:$C$4127, 3, FALSE))</f>
        <v/>
      </c>
      <c r="G209" s="256"/>
      <c r="H209" s="256"/>
      <c r="I209" s="256"/>
      <c r="J209" s="257"/>
      <c r="K209" s="258"/>
      <c r="L209" s="267"/>
      <c r="M209" s="268"/>
      <c r="N209" s="259" t="str" cm="1">
        <f t="array" ref="N209">IF($L209&gt;0, INDEX(Clean,1+AK209,$D$1), "")</f>
        <v/>
      </c>
      <c r="O209" s="260"/>
      <c r="P209" s="260"/>
      <c r="Q209" s="261"/>
      <c r="R209" s="264">
        <f t="shared" si="498"/>
        <v>0</v>
      </c>
      <c r="S209" s="259" t="str" cm="1">
        <f t="array" ref="S209">IF($L209&gt;0, INDEX(Clean,1+AL209,$D$1), "")</f>
        <v/>
      </c>
      <c r="T209" s="260"/>
      <c r="U209" s="260"/>
      <c r="V209" s="261"/>
      <c r="W209" s="267"/>
      <c r="X209" s="267"/>
      <c r="Y209" s="257"/>
      <c r="Z209" s="264">
        <f t="shared" si="499"/>
        <v>0</v>
      </c>
      <c r="AA209" s="269"/>
      <c r="AB209" s="266"/>
      <c r="AC209" s="254"/>
      <c r="AD209" s="255" t="str">
        <f>IF(ISBLANK(AC209), "", VLOOKUP(AC209, Z!$A$2:$C$4127, 3, FALSE))</f>
        <v/>
      </c>
      <c r="AE209" s="270"/>
      <c r="AF209" s="265">
        <f t="shared" si="500"/>
        <v>0</v>
      </c>
      <c r="AG209" s="246"/>
      <c r="AH209" s="228">
        <f t="shared" si="523"/>
        <v>1</v>
      </c>
      <c r="AI209" s="228">
        <f t="shared" si="524"/>
        <v>1</v>
      </c>
      <c r="AJ209" s="228">
        <f t="shared" si="525"/>
        <v>0</v>
      </c>
      <c r="AK209" s="228">
        <v>0</v>
      </c>
      <c r="AL209" s="228">
        <v>0</v>
      </c>
      <c r="AM209" s="228">
        <f t="shared" si="501"/>
        <v>-100</v>
      </c>
      <c r="AN209" s="228" cm="1">
        <f t="array" ref="AN209">IF(ISBLANK(G209), 1, IFERROR(MATCH(G209, INDEX(Kat,,1), 0), IFERROR(MATCH(Kat, INDEX(Use,,2), 0), MATCH(Kat, INDEX(Use,,3), 0))))</f>
        <v>1</v>
      </c>
      <c r="AO209" s="246"/>
      <c r="AP209" s="228" cm="1">
        <f t="array" ref="AP209">IF(W209&gt;0, INDEX(Kat, AN209,4), 0)</f>
        <v>0</v>
      </c>
      <c r="AQ209" s="228">
        <f t="shared" si="526"/>
        <v>0</v>
      </c>
      <c r="AR209" s="228" cm="1">
        <f t="array" ref="AR209">IF(X209&gt;0, INDEX(Kat, $AN209, 4+AQ209), 0)</f>
        <v>0</v>
      </c>
      <c r="AS209" s="228" cm="1">
        <f t="array" ref="AS209">IF(X209&gt;0, INDEX(Kat, $AN209, 9+AQ209), 0)</f>
        <v>0</v>
      </c>
      <c r="AT209" s="246"/>
      <c r="AU209" s="262"/>
      <c r="AV209" s="262"/>
      <c r="AW209" s="263"/>
      <c r="AX209" s="263"/>
      <c r="AY209" s="263"/>
      <c r="AZ209" s="263"/>
      <c r="BA209" s="263"/>
      <c r="BB209" s="263"/>
      <c r="BC209" s="263"/>
      <c r="BD209" s="263"/>
      <c r="BE209" s="263"/>
      <c r="BF209" s="263"/>
      <c r="BG209" s="263"/>
      <c r="BH209" s="246"/>
      <c r="BI209" s="228" cm="1">
        <f t="array" ref="BI209">INDEX(Use, $AH209, 4)</f>
        <v>7</v>
      </c>
      <c r="BJ209" s="228">
        <f t="shared" si="502"/>
        <v>32</v>
      </c>
      <c r="BK209" s="228">
        <f t="shared" si="305"/>
        <v>13</v>
      </c>
      <c r="BL209" s="228">
        <f t="shared" si="306"/>
        <v>0</v>
      </c>
      <c r="BM209" s="233" cm="1">
        <f t="array" ref="BM209">L209/IF($M209&gt;0, INDEX($AY$22:$BE$76, $M209+20, $AH209), 1)</f>
        <v>0</v>
      </c>
      <c r="BN209" s="229">
        <f t="shared" si="503"/>
        <v>0</v>
      </c>
      <c r="BO209" s="228">
        <v>35</v>
      </c>
      <c r="BP209" s="229">
        <f t="shared" si="504"/>
        <v>48</v>
      </c>
      <c r="BQ209" s="234">
        <f t="shared" si="505"/>
        <v>3.0748170731707316</v>
      </c>
      <c r="BR209" s="234" cm="1">
        <f t="array" ref="BR209">$BM209 * SUMPRODUCT(INDEX($AV$76:$AX$81,,$AI209),INDEX($AY$76:$BE$81,,$AH209), N($AU$76:$AU$81&gt;$AM209)) / BQ209 / 1000</f>
        <v>0</v>
      </c>
      <c r="BS209" s="231">
        <f t="shared" si="310"/>
        <v>30</v>
      </c>
      <c r="BT209" s="229">
        <f t="shared" si="506"/>
        <v>43</v>
      </c>
      <c r="BU209" s="234">
        <f t="shared" si="507"/>
        <v>3.5018750000000001</v>
      </c>
      <c r="BV209" s="234" cm="1">
        <f t="array" ref="BV209">$BM209 * IF($AH209&lt;=2,
SUMPRODUCT(INDEX($AV$71:$AX$75,,$AI209), INDEX($AY$71:$BE$75,,$AH209), 1 / ($BF$71:$BF$75*BU209 + (1-$BF$71:$BF$75)*BQ209), N($AU$71:$AU$75&gt;$AM209)),
SUMPRODUCT(INDEX($AV$66:$AX$75,,$AI209), INDEX($AY$66:$BE$75,,$AH209), 1 / ($BG$66:$BG$75*BU209 + (1-$BG$66:$BG$75)*BQ209), N($AU$66:$AU$75&gt;$AM209))
) / 1000</f>
        <v>0</v>
      </c>
      <c r="BW209" s="231">
        <f t="shared" si="313"/>
        <v>25</v>
      </c>
      <c r="BX209" s="229">
        <f t="shared" si="508"/>
        <v>38</v>
      </c>
      <c r="BY209" s="234">
        <f t="shared" si="509"/>
        <v>4.0666935483870965</v>
      </c>
      <c r="BZ209" s="234" cm="1">
        <f t="array" ref="BZ209">$BM209 * IF($AH209&lt;=2,
SUMPRODUCT(INDEX($AV$66:$AX$70,,$AI209), INDEX($AY$66:$BE$70,,$AH209), 1 / ($BF$66:$BF$70*BY209 + (1-$BF$66:$BF$70)*BU209), N($AU$66:$AU$70&gt;$AM209)),
SUMPRODUCT(INDEX($AV$56:$AX$65,,$AI209), INDEX($AY$56:$BE$65,,$AH209), 1 / ($BG$56:$BG$65*BY209 + (1-$BG$56:$BG$65)*BU209), N($AU$56:$AU$65&gt;$AM209))
) / 1000</f>
        <v>0</v>
      </c>
      <c r="CA209" s="231">
        <f t="shared" si="316"/>
        <v>20</v>
      </c>
      <c r="CB209" s="229">
        <f t="shared" si="510"/>
        <v>33</v>
      </c>
      <c r="CC209" s="234">
        <f t="shared" si="511"/>
        <v>4.8487499999999999</v>
      </c>
      <c r="CD209" s="234" cm="1">
        <f t="array" ref="CD209">$BM209 * IF($AH209&lt;=2,
SUMPRODUCT(INDEX($AV$61:$AX$65,,$AI209), INDEX($AY$61:$BE$65,,$AH209), 1 / ($BF$61:$BF$65*CC209 + (1-$BF$61:$BF$65)*BY209), N($AU$61:$AU$65&gt;$AM209)),
SUMPRODUCT(INDEX($AV$46:$AX$55,,$AI209), INDEX($AY$46:$BE$55,,$AH209), 1 / ($BG$46:$BG$55*CC209 + (1-$BG$46:$BG$55)*BY209), N($AU$46:$AU$55&gt;$AM209))
) / 1000</f>
        <v>0</v>
      </c>
      <c r="CE209" s="234" cm="1">
        <f t="array" ref="CE209">$BM209 * IF($AH209&lt;=2,
SUMPRODUCT(INDEX($AV$22:$AX$60,,$AI209), INDEX($AY$22:$BE$60,,$AH209), 1 / ($BF$22:$BF$60*CC209), N($AU$22:$AU$60&gt;$AM209)),
SUMPRODUCT(INDEX($AV$22:$AX$45,,$AI209), INDEX($AY$22:$BE$45,,$AH209), 1 / ($BG$22:$BG$45*CC209), N($AU$22:$AU$45&gt;$AM209))
) / 1000</f>
        <v>0</v>
      </c>
      <c r="CF209" s="229">
        <f t="shared" si="512"/>
        <v>0</v>
      </c>
      <c r="CG209" s="246"/>
      <c r="CH209" s="229">
        <f t="shared" si="513"/>
        <v>0</v>
      </c>
      <c r="CI209" s="228">
        <v>35</v>
      </c>
      <c r="CJ209" s="229">
        <f t="shared" si="514"/>
        <v>48</v>
      </c>
      <c r="CK209" s="234">
        <f t="shared" si="515"/>
        <v>3.0748170731707316</v>
      </c>
      <c r="CL209" s="234" cm="1">
        <f t="array" ref="CL209">$BM209 * SUMPRODUCT(INDEX($AV$76:$AX$81,,$AI209),INDEX($AY$76:$BE$81,,$AH209), N($AU$76:$AU$81&gt;$AM209)) / CK209 / 1000</f>
        <v>0</v>
      </c>
      <c r="CM209" s="231">
        <f t="shared" si="323"/>
        <v>30</v>
      </c>
      <c r="CN209" s="229">
        <f t="shared" si="516"/>
        <v>43</v>
      </c>
      <c r="CO209" s="234">
        <f t="shared" si="517"/>
        <v>3.5018750000000001</v>
      </c>
      <c r="CP209" s="234" cm="1">
        <f t="array" ref="CP209">$BM209 * IF($AH209&lt;=2,
SUMPRODUCT(INDEX($AV$71:$AX$75,,$AI209), INDEX($AY$71:$BE$75,,$AH209), 1 / ($BF$71:$BF$75*CO209 + (1-$BF$71:$BF$75)*CK209), N($AU$71:$AU$75&gt;$AM209)),
SUMPRODUCT(INDEX($AV$66:$AX$75,,$AI209), INDEX($AY$66:$BE$75,,$AH209), 1 / ($BG$66:$BG$75*CO209 + (1-$BG$66:$BG$75)*CK209), N($AU$66:$AU$75&gt;$AM209))
) / 1000</f>
        <v>0</v>
      </c>
      <c r="CQ209" s="231">
        <f t="shared" si="326"/>
        <v>25</v>
      </c>
      <c r="CR209" s="229">
        <f t="shared" si="518"/>
        <v>38</v>
      </c>
      <c r="CS209" s="234">
        <f t="shared" si="519"/>
        <v>4.0666935483870965</v>
      </c>
      <c r="CT209" s="234" cm="1">
        <f t="array" ref="CT209">$BM209 * IF($AH209&lt;=2,
SUMPRODUCT(INDEX($AV$66:$AX$70,,$AI209), INDEX($AY$66:$BE$70,,$AH209), 1 / ($BF$66:$BF$70*CS209 + (1-$BF$66:$BF$70)*CO209), N($AU$66:$AU$70&gt;$AM209)),
SUMPRODUCT(INDEX($AV$56:$AX$65,,$AI209), INDEX($AY$56:$BE$65,,$AH209), 1 / ($BG$56:$BG$65*CS209 + (1-$BG$56:$BG$65)*CO209), N($AU$56:$AU$65&gt;$AM209))
) / 1000</f>
        <v>0</v>
      </c>
      <c r="CU209" s="231">
        <f t="shared" si="329"/>
        <v>20</v>
      </c>
      <c r="CV209" s="229">
        <f t="shared" si="520"/>
        <v>33</v>
      </c>
      <c r="CW209" s="234">
        <f t="shared" si="521"/>
        <v>4.8487499999999999</v>
      </c>
      <c r="CX209" s="234" cm="1">
        <f t="array" ref="CX209">$BM209 * IF($AH209&lt;=2,
SUMPRODUCT(INDEX($AV$61:$AX$65,,$AI209), INDEX($AY$61:$BE$65,,$AH209), 1 / ($BF$61:$BF$65*CW209 + (1-$BF$61:$BF$65)*CS209), N($AU$61:$AU$65&gt;$AM209)),
SUMPRODUCT(INDEX($AV$46:$AX$55,,$AI209), INDEX($AY$46:$BE$55,,$AH209), 1 / ($BG$46:$BG$55*CW209 + (1-$BG$46:$BG$55)*CS209), N($AU$46:$AU$55&gt;$AM209))
) / 1000</f>
        <v>0</v>
      </c>
      <c r="CY209" s="234" cm="1">
        <f t="array" ref="CY209">$BM209 * IF($AH209&lt;=2,
SUMPRODUCT(INDEX($AV$22:$AX$60,,$AI209), INDEX($AY$22:$BE$60,,$AH209), 1 / ($BF$22:$BF$60*CW209), N($AU$22:$AU$60&gt;$AM209)),
SUMPRODUCT(INDEX($AV$22:$AX$45,,$AI209), INDEX($AY$22:$BE$45,,$AH209), 1 / ($BG$22:$BG$45*CW209), N($AU$22:$AU$45&gt;$AM209))
) / 1000</f>
        <v>0</v>
      </c>
      <c r="CZ209" s="229">
        <f t="shared" si="522"/>
        <v>0</v>
      </c>
      <c r="DA209" s="246"/>
    </row>
    <row r="210" spans="1:105" s="75" customFormat="1" ht="14.25" customHeight="1" x14ac:dyDescent="0.2">
      <c r="A210" s="230" t="b">
        <f t="shared" si="291"/>
        <v>0</v>
      </c>
      <c r="B210" s="253">
        <v>189</v>
      </c>
      <c r="C210" s="266"/>
      <c r="D210" s="266"/>
      <c r="E210" s="254"/>
      <c r="F210" s="255" t="str">
        <f>IF(ISBLANK(E210), "", VLOOKUP(E210, Z!$A$2:$C$4127, 3, FALSE))</f>
        <v/>
      </c>
      <c r="G210" s="256"/>
      <c r="H210" s="256"/>
      <c r="I210" s="256"/>
      <c r="J210" s="257"/>
      <c r="K210" s="258"/>
      <c r="L210" s="267"/>
      <c r="M210" s="268"/>
      <c r="N210" s="259" t="str" cm="1">
        <f t="array" ref="N210">IF($L210&gt;0, INDEX(Clean,1+AK210,$D$1), "")</f>
        <v/>
      </c>
      <c r="O210" s="260"/>
      <c r="P210" s="260"/>
      <c r="Q210" s="261"/>
      <c r="R210" s="264">
        <f t="shared" si="498"/>
        <v>0</v>
      </c>
      <c r="S210" s="259" t="str" cm="1">
        <f t="array" ref="S210">IF($L210&gt;0, INDEX(Clean,1+AL210,$D$1), "")</f>
        <v/>
      </c>
      <c r="T210" s="260"/>
      <c r="U210" s="260"/>
      <c r="V210" s="261"/>
      <c r="W210" s="267"/>
      <c r="X210" s="267"/>
      <c r="Y210" s="257"/>
      <c r="Z210" s="264">
        <f t="shared" si="499"/>
        <v>0</v>
      </c>
      <c r="AA210" s="269"/>
      <c r="AB210" s="266"/>
      <c r="AC210" s="254"/>
      <c r="AD210" s="255" t="str">
        <f>IF(ISBLANK(AC210), "", VLOOKUP(AC210, Z!$A$2:$C$4127, 3, FALSE))</f>
        <v/>
      </c>
      <c r="AE210" s="270"/>
      <c r="AF210" s="265">
        <f t="shared" si="500"/>
        <v>0</v>
      </c>
      <c r="AG210" s="246"/>
      <c r="AH210" s="228">
        <f t="shared" si="523"/>
        <v>1</v>
      </c>
      <c r="AI210" s="228">
        <f t="shared" si="524"/>
        <v>1</v>
      </c>
      <c r="AJ210" s="228">
        <f t="shared" si="525"/>
        <v>0</v>
      </c>
      <c r="AK210" s="228">
        <v>0</v>
      </c>
      <c r="AL210" s="228">
        <v>0</v>
      </c>
      <c r="AM210" s="228">
        <f t="shared" si="501"/>
        <v>-100</v>
      </c>
      <c r="AN210" s="228" cm="1">
        <f t="array" ref="AN210">IF(ISBLANK(G210), 1, IFERROR(MATCH(G210, INDEX(Kat,,1), 0), IFERROR(MATCH(Kat, INDEX(Use,,2), 0), MATCH(Kat, INDEX(Use,,3), 0))))</f>
        <v>1</v>
      </c>
      <c r="AO210" s="246"/>
      <c r="AP210" s="228" cm="1">
        <f t="array" ref="AP210">IF(W210&gt;0, INDEX(Kat, AN210,4), 0)</f>
        <v>0</v>
      </c>
      <c r="AQ210" s="228">
        <f t="shared" si="526"/>
        <v>0</v>
      </c>
      <c r="AR210" s="228" cm="1">
        <f t="array" ref="AR210">IF(X210&gt;0, INDEX(Kat, $AN210, 4+AQ210), 0)</f>
        <v>0</v>
      </c>
      <c r="AS210" s="228" cm="1">
        <f t="array" ref="AS210">IF(X210&gt;0, INDEX(Kat, $AN210, 9+AQ210), 0)</f>
        <v>0</v>
      </c>
      <c r="AT210" s="246"/>
      <c r="AU210" s="262"/>
      <c r="AV210" s="262"/>
      <c r="AW210" s="263"/>
      <c r="AX210" s="263"/>
      <c r="AY210" s="263"/>
      <c r="AZ210" s="263"/>
      <c r="BA210" s="263"/>
      <c r="BB210" s="263"/>
      <c r="BC210" s="263"/>
      <c r="BD210" s="263"/>
      <c r="BE210" s="263"/>
      <c r="BF210" s="263"/>
      <c r="BG210" s="263"/>
      <c r="BH210" s="246"/>
      <c r="BI210" s="228" cm="1">
        <f t="array" ref="BI210">INDEX(Use, $AH210, 4)</f>
        <v>7</v>
      </c>
      <c r="BJ210" s="228">
        <f t="shared" si="502"/>
        <v>32</v>
      </c>
      <c r="BK210" s="228">
        <f t="shared" si="305"/>
        <v>13</v>
      </c>
      <c r="BL210" s="228">
        <f t="shared" si="306"/>
        <v>0</v>
      </c>
      <c r="BM210" s="233" cm="1">
        <f t="array" ref="BM210">L210/IF($M210&gt;0, INDEX($AY$22:$BE$76, $M210+20, $AH210), 1)</f>
        <v>0</v>
      </c>
      <c r="BN210" s="229">
        <f t="shared" si="503"/>
        <v>0</v>
      </c>
      <c r="BO210" s="228">
        <v>35</v>
      </c>
      <c r="BP210" s="229">
        <f t="shared" si="504"/>
        <v>48</v>
      </c>
      <c r="BQ210" s="234">
        <f t="shared" si="505"/>
        <v>3.0748170731707316</v>
      </c>
      <c r="BR210" s="234" cm="1">
        <f t="array" ref="BR210">$BM210 * SUMPRODUCT(INDEX($AV$76:$AX$81,,$AI210),INDEX($AY$76:$BE$81,,$AH210), N($AU$76:$AU$81&gt;$AM210)) / BQ210 / 1000</f>
        <v>0</v>
      </c>
      <c r="BS210" s="231">
        <f t="shared" si="310"/>
        <v>30</v>
      </c>
      <c r="BT210" s="229">
        <f t="shared" si="506"/>
        <v>43</v>
      </c>
      <c r="BU210" s="234">
        <f t="shared" si="507"/>
        <v>3.5018750000000001</v>
      </c>
      <c r="BV210" s="234" cm="1">
        <f t="array" ref="BV210">$BM210 * IF($AH210&lt;=2,
SUMPRODUCT(INDEX($AV$71:$AX$75,,$AI210), INDEX($AY$71:$BE$75,,$AH210), 1 / ($BF$71:$BF$75*BU210 + (1-$BF$71:$BF$75)*BQ210), N($AU$71:$AU$75&gt;$AM210)),
SUMPRODUCT(INDEX($AV$66:$AX$75,,$AI210), INDEX($AY$66:$BE$75,,$AH210), 1 / ($BG$66:$BG$75*BU210 + (1-$BG$66:$BG$75)*BQ210), N($AU$66:$AU$75&gt;$AM210))
) / 1000</f>
        <v>0</v>
      </c>
      <c r="BW210" s="231">
        <f t="shared" si="313"/>
        <v>25</v>
      </c>
      <c r="BX210" s="229">
        <f t="shared" si="508"/>
        <v>38</v>
      </c>
      <c r="BY210" s="234">
        <f t="shared" si="509"/>
        <v>4.0666935483870965</v>
      </c>
      <c r="BZ210" s="234" cm="1">
        <f t="array" ref="BZ210">$BM210 * IF($AH210&lt;=2,
SUMPRODUCT(INDEX($AV$66:$AX$70,,$AI210), INDEX($AY$66:$BE$70,,$AH210), 1 / ($BF$66:$BF$70*BY210 + (1-$BF$66:$BF$70)*BU210), N($AU$66:$AU$70&gt;$AM210)),
SUMPRODUCT(INDEX($AV$56:$AX$65,,$AI210), INDEX($AY$56:$BE$65,,$AH210), 1 / ($BG$56:$BG$65*BY210 + (1-$BG$56:$BG$65)*BU210), N($AU$56:$AU$65&gt;$AM210))
) / 1000</f>
        <v>0</v>
      </c>
      <c r="CA210" s="231">
        <f t="shared" si="316"/>
        <v>20</v>
      </c>
      <c r="CB210" s="229">
        <f t="shared" si="510"/>
        <v>33</v>
      </c>
      <c r="CC210" s="234">
        <f t="shared" si="511"/>
        <v>4.8487499999999999</v>
      </c>
      <c r="CD210" s="234" cm="1">
        <f t="array" ref="CD210">$BM210 * IF($AH210&lt;=2,
SUMPRODUCT(INDEX($AV$61:$AX$65,,$AI210), INDEX($AY$61:$BE$65,,$AH210), 1 / ($BF$61:$BF$65*CC210 + (1-$BF$61:$BF$65)*BY210), N($AU$61:$AU$65&gt;$AM210)),
SUMPRODUCT(INDEX($AV$46:$AX$55,,$AI210), INDEX($AY$46:$BE$55,,$AH210), 1 / ($BG$46:$BG$55*CC210 + (1-$BG$46:$BG$55)*BY210), N($AU$46:$AU$55&gt;$AM210))
) / 1000</f>
        <v>0</v>
      </c>
      <c r="CE210" s="234" cm="1">
        <f t="array" ref="CE210">$BM210 * IF($AH210&lt;=2,
SUMPRODUCT(INDEX($AV$22:$AX$60,,$AI210), INDEX($AY$22:$BE$60,,$AH210), 1 / ($BF$22:$BF$60*CC210), N($AU$22:$AU$60&gt;$AM210)),
SUMPRODUCT(INDEX($AV$22:$AX$45,,$AI210), INDEX($AY$22:$BE$45,,$AH210), 1 / ($BG$22:$BG$45*CC210), N($AU$22:$AU$45&gt;$AM210))
) / 1000</f>
        <v>0</v>
      </c>
      <c r="CF210" s="229">
        <f t="shared" si="512"/>
        <v>0</v>
      </c>
      <c r="CG210" s="246"/>
      <c r="CH210" s="229">
        <f t="shared" si="513"/>
        <v>0</v>
      </c>
      <c r="CI210" s="228">
        <v>35</v>
      </c>
      <c r="CJ210" s="229">
        <f t="shared" si="514"/>
        <v>48</v>
      </c>
      <c r="CK210" s="234">
        <f t="shared" si="515"/>
        <v>3.0748170731707316</v>
      </c>
      <c r="CL210" s="234" cm="1">
        <f t="array" ref="CL210">$BM210 * SUMPRODUCT(INDEX($AV$76:$AX$81,,$AI210),INDEX($AY$76:$BE$81,,$AH210), N($AU$76:$AU$81&gt;$AM210)) / CK210 / 1000</f>
        <v>0</v>
      </c>
      <c r="CM210" s="231">
        <f t="shared" si="323"/>
        <v>30</v>
      </c>
      <c r="CN210" s="229">
        <f t="shared" si="516"/>
        <v>43</v>
      </c>
      <c r="CO210" s="234">
        <f t="shared" si="517"/>
        <v>3.5018750000000001</v>
      </c>
      <c r="CP210" s="234" cm="1">
        <f t="array" ref="CP210">$BM210 * IF($AH210&lt;=2,
SUMPRODUCT(INDEX($AV$71:$AX$75,,$AI210), INDEX($AY$71:$BE$75,,$AH210), 1 / ($BF$71:$BF$75*CO210 + (1-$BF$71:$BF$75)*CK210), N($AU$71:$AU$75&gt;$AM210)),
SUMPRODUCT(INDEX($AV$66:$AX$75,,$AI210), INDEX($AY$66:$BE$75,,$AH210), 1 / ($BG$66:$BG$75*CO210 + (1-$BG$66:$BG$75)*CK210), N($AU$66:$AU$75&gt;$AM210))
) / 1000</f>
        <v>0</v>
      </c>
      <c r="CQ210" s="231">
        <f t="shared" si="326"/>
        <v>25</v>
      </c>
      <c r="CR210" s="229">
        <f t="shared" si="518"/>
        <v>38</v>
      </c>
      <c r="CS210" s="234">
        <f t="shared" si="519"/>
        <v>4.0666935483870965</v>
      </c>
      <c r="CT210" s="234" cm="1">
        <f t="array" ref="CT210">$BM210 * IF($AH210&lt;=2,
SUMPRODUCT(INDEX($AV$66:$AX$70,,$AI210), INDEX($AY$66:$BE$70,,$AH210), 1 / ($BF$66:$BF$70*CS210 + (1-$BF$66:$BF$70)*CO210), N($AU$66:$AU$70&gt;$AM210)),
SUMPRODUCT(INDEX($AV$56:$AX$65,,$AI210), INDEX($AY$56:$BE$65,,$AH210), 1 / ($BG$56:$BG$65*CS210 + (1-$BG$56:$BG$65)*CO210), N($AU$56:$AU$65&gt;$AM210))
) / 1000</f>
        <v>0</v>
      </c>
      <c r="CU210" s="231">
        <f t="shared" si="329"/>
        <v>20</v>
      </c>
      <c r="CV210" s="229">
        <f t="shared" si="520"/>
        <v>33</v>
      </c>
      <c r="CW210" s="234">
        <f t="shared" si="521"/>
        <v>4.8487499999999999</v>
      </c>
      <c r="CX210" s="234" cm="1">
        <f t="array" ref="CX210">$BM210 * IF($AH210&lt;=2,
SUMPRODUCT(INDEX($AV$61:$AX$65,,$AI210), INDEX($AY$61:$BE$65,,$AH210), 1 / ($BF$61:$BF$65*CW210 + (1-$BF$61:$BF$65)*CS210), N($AU$61:$AU$65&gt;$AM210)),
SUMPRODUCT(INDEX($AV$46:$AX$55,,$AI210), INDEX($AY$46:$BE$55,,$AH210), 1 / ($BG$46:$BG$55*CW210 + (1-$BG$46:$BG$55)*CS210), N($AU$46:$AU$55&gt;$AM210))
) / 1000</f>
        <v>0</v>
      </c>
      <c r="CY210" s="234" cm="1">
        <f t="array" ref="CY210">$BM210 * IF($AH210&lt;=2,
SUMPRODUCT(INDEX($AV$22:$AX$60,,$AI210), INDEX($AY$22:$BE$60,,$AH210), 1 / ($BF$22:$BF$60*CW210), N($AU$22:$AU$60&gt;$AM210)),
SUMPRODUCT(INDEX($AV$22:$AX$45,,$AI210), INDEX($AY$22:$BE$45,,$AH210), 1 / ($BG$22:$BG$45*CW210), N($AU$22:$AU$45&gt;$AM210))
) / 1000</f>
        <v>0</v>
      </c>
      <c r="CZ210" s="229">
        <f t="shared" si="522"/>
        <v>0</v>
      </c>
      <c r="DA210" s="246"/>
    </row>
    <row r="211" spans="1:105" s="75" customFormat="1" ht="14.25" customHeight="1" x14ac:dyDescent="0.2">
      <c r="A211" s="230" t="b">
        <f t="shared" si="291"/>
        <v>0</v>
      </c>
      <c r="B211" s="253">
        <v>190</v>
      </c>
      <c r="C211" s="266"/>
      <c r="D211" s="266"/>
      <c r="E211" s="254"/>
      <c r="F211" s="255" t="str">
        <f>IF(ISBLANK(E211), "", VLOOKUP(E211, Z!$A$2:$C$4127, 3, FALSE))</f>
        <v/>
      </c>
      <c r="G211" s="256"/>
      <c r="H211" s="256"/>
      <c r="I211" s="256"/>
      <c r="J211" s="257"/>
      <c r="K211" s="258"/>
      <c r="L211" s="267"/>
      <c r="M211" s="268"/>
      <c r="N211" s="259" t="str" cm="1">
        <f t="array" ref="N211">IF($L211&gt;0, INDEX(Clean,1+AK211,$D$1), "")</f>
        <v/>
      </c>
      <c r="O211" s="260"/>
      <c r="P211" s="260"/>
      <c r="Q211" s="261"/>
      <c r="R211" s="264">
        <f t="shared" si="498"/>
        <v>0</v>
      </c>
      <c r="S211" s="259" t="str" cm="1">
        <f t="array" ref="S211">IF($L211&gt;0, INDEX(Clean,1+AL211,$D$1), "")</f>
        <v/>
      </c>
      <c r="T211" s="260"/>
      <c r="U211" s="260"/>
      <c r="V211" s="261"/>
      <c r="W211" s="267"/>
      <c r="X211" s="267"/>
      <c r="Y211" s="257"/>
      <c r="Z211" s="264">
        <f t="shared" si="499"/>
        <v>0</v>
      </c>
      <c r="AA211" s="269"/>
      <c r="AB211" s="266"/>
      <c r="AC211" s="254"/>
      <c r="AD211" s="255" t="str">
        <f>IF(ISBLANK(AC211), "", VLOOKUP(AC211, Z!$A$2:$C$4127, 3, FALSE))</f>
        <v/>
      </c>
      <c r="AE211" s="270"/>
      <c r="AF211" s="265">
        <f t="shared" si="500"/>
        <v>0</v>
      </c>
      <c r="AG211" s="246"/>
      <c r="AH211" s="228">
        <f t="shared" si="523"/>
        <v>1</v>
      </c>
      <c r="AI211" s="228">
        <f t="shared" si="524"/>
        <v>1</v>
      </c>
      <c r="AJ211" s="228">
        <f t="shared" si="525"/>
        <v>0</v>
      </c>
      <c r="AK211" s="228">
        <v>0</v>
      </c>
      <c r="AL211" s="228">
        <v>0</v>
      </c>
      <c r="AM211" s="228">
        <f t="shared" si="501"/>
        <v>-100</v>
      </c>
      <c r="AN211" s="228" cm="1">
        <f t="array" ref="AN211">IF(ISBLANK(G211), 1, IFERROR(MATCH(G211, INDEX(Kat,,1), 0), IFERROR(MATCH(Kat, INDEX(Use,,2), 0), MATCH(Kat, INDEX(Use,,3), 0))))</f>
        <v>1</v>
      </c>
      <c r="AO211" s="246"/>
      <c r="AP211" s="228" cm="1">
        <f t="array" ref="AP211">IF(W211&gt;0, INDEX(Kat, AN211,4), 0)</f>
        <v>0</v>
      </c>
      <c r="AQ211" s="228">
        <f t="shared" si="526"/>
        <v>0</v>
      </c>
      <c r="AR211" s="228" cm="1">
        <f t="array" ref="AR211">IF(X211&gt;0, INDEX(Kat, $AN211, 4+AQ211), 0)</f>
        <v>0</v>
      </c>
      <c r="AS211" s="228" cm="1">
        <f t="array" ref="AS211">IF(X211&gt;0, INDEX(Kat, $AN211, 9+AQ211), 0)</f>
        <v>0</v>
      </c>
      <c r="AT211" s="246"/>
      <c r="AU211" s="262"/>
      <c r="AV211" s="262"/>
      <c r="AW211" s="263"/>
      <c r="AX211" s="263"/>
      <c r="AY211" s="263"/>
      <c r="AZ211" s="263"/>
      <c r="BA211" s="263"/>
      <c r="BB211" s="263"/>
      <c r="BC211" s="263"/>
      <c r="BD211" s="263"/>
      <c r="BE211" s="263"/>
      <c r="BF211" s="263"/>
      <c r="BG211" s="263"/>
      <c r="BH211" s="246"/>
      <c r="BI211" s="228" cm="1">
        <f t="array" ref="BI211">INDEX(Use, $AH211, 4)</f>
        <v>7</v>
      </c>
      <c r="BJ211" s="228">
        <f t="shared" si="502"/>
        <v>32</v>
      </c>
      <c r="BK211" s="228">
        <f t="shared" si="305"/>
        <v>13</v>
      </c>
      <c r="BL211" s="228">
        <f t="shared" si="306"/>
        <v>0</v>
      </c>
      <c r="BM211" s="233" cm="1">
        <f t="array" ref="BM211">L211/IF($M211&gt;0, INDEX($AY$22:$BE$76, $M211+20, $AH211), 1)</f>
        <v>0</v>
      </c>
      <c r="BN211" s="229">
        <f t="shared" si="503"/>
        <v>0</v>
      </c>
      <c r="BO211" s="228">
        <v>35</v>
      </c>
      <c r="BP211" s="229">
        <f t="shared" si="504"/>
        <v>48</v>
      </c>
      <c r="BQ211" s="234">
        <f t="shared" si="505"/>
        <v>3.0748170731707316</v>
      </c>
      <c r="BR211" s="234" cm="1">
        <f t="array" ref="BR211">$BM211 * SUMPRODUCT(INDEX($AV$76:$AX$81,,$AI211),INDEX($AY$76:$BE$81,,$AH211), N($AU$76:$AU$81&gt;$AM211)) / BQ211 / 1000</f>
        <v>0</v>
      </c>
      <c r="BS211" s="231">
        <f t="shared" si="310"/>
        <v>30</v>
      </c>
      <c r="BT211" s="229">
        <f t="shared" si="506"/>
        <v>43</v>
      </c>
      <c r="BU211" s="234">
        <f t="shared" si="507"/>
        <v>3.5018750000000001</v>
      </c>
      <c r="BV211" s="234" cm="1">
        <f t="array" ref="BV211">$BM211 * IF($AH211&lt;=2,
SUMPRODUCT(INDEX($AV$71:$AX$75,,$AI211), INDEX($AY$71:$BE$75,,$AH211), 1 / ($BF$71:$BF$75*BU211 + (1-$BF$71:$BF$75)*BQ211), N($AU$71:$AU$75&gt;$AM211)),
SUMPRODUCT(INDEX($AV$66:$AX$75,,$AI211), INDEX($AY$66:$BE$75,,$AH211), 1 / ($BG$66:$BG$75*BU211 + (1-$BG$66:$BG$75)*BQ211), N($AU$66:$AU$75&gt;$AM211))
) / 1000</f>
        <v>0</v>
      </c>
      <c r="BW211" s="231">
        <f t="shared" si="313"/>
        <v>25</v>
      </c>
      <c r="BX211" s="229">
        <f t="shared" si="508"/>
        <v>38</v>
      </c>
      <c r="BY211" s="234">
        <f t="shared" si="509"/>
        <v>4.0666935483870965</v>
      </c>
      <c r="BZ211" s="234" cm="1">
        <f t="array" ref="BZ211">$BM211 * IF($AH211&lt;=2,
SUMPRODUCT(INDEX($AV$66:$AX$70,,$AI211), INDEX($AY$66:$BE$70,,$AH211), 1 / ($BF$66:$BF$70*BY211 + (1-$BF$66:$BF$70)*BU211), N($AU$66:$AU$70&gt;$AM211)),
SUMPRODUCT(INDEX($AV$56:$AX$65,,$AI211), INDEX($AY$56:$BE$65,,$AH211), 1 / ($BG$56:$BG$65*BY211 + (1-$BG$56:$BG$65)*BU211), N($AU$56:$AU$65&gt;$AM211))
) / 1000</f>
        <v>0</v>
      </c>
      <c r="CA211" s="231">
        <f t="shared" si="316"/>
        <v>20</v>
      </c>
      <c r="CB211" s="229">
        <f t="shared" si="510"/>
        <v>33</v>
      </c>
      <c r="CC211" s="234">
        <f t="shared" si="511"/>
        <v>4.8487499999999999</v>
      </c>
      <c r="CD211" s="234" cm="1">
        <f t="array" ref="CD211">$BM211 * IF($AH211&lt;=2,
SUMPRODUCT(INDEX($AV$61:$AX$65,,$AI211), INDEX($AY$61:$BE$65,,$AH211), 1 / ($BF$61:$BF$65*CC211 + (1-$BF$61:$BF$65)*BY211), N($AU$61:$AU$65&gt;$AM211)),
SUMPRODUCT(INDEX($AV$46:$AX$55,,$AI211), INDEX($AY$46:$BE$55,,$AH211), 1 / ($BG$46:$BG$55*CC211 + (1-$BG$46:$BG$55)*BY211), N($AU$46:$AU$55&gt;$AM211))
) / 1000</f>
        <v>0</v>
      </c>
      <c r="CE211" s="234" cm="1">
        <f t="array" ref="CE211">$BM211 * IF($AH211&lt;=2,
SUMPRODUCT(INDEX($AV$22:$AX$60,,$AI211), INDEX($AY$22:$BE$60,,$AH211), 1 / ($BF$22:$BF$60*CC211), N($AU$22:$AU$60&gt;$AM211)),
SUMPRODUCT(INDEX($AV$22:$AX$45,,$AI211), INDEX($AY$22:$BE$45,,$AH211), 1 / ($BG$22:$BG$45*CC211), N($AU$22:$AU$45&gt;$AM211))
) / 1000</f>
        <v>0</v>
      </c>
      <c r="CF211" s="229">
        <f t="shared" si="512"/>
        <v>0</v>
      </c>
      <c r="CG211" s="246"/>
      <c r="CH211" s="229">
        <f t="shared" si="513"/>
        <v>0</v>
      </c>
      <c r="CI211" s="228">
        <v>35</v>
      </c>
      <c r="CJ211" s="229">
        <f t="shared" si="514"/>
        <v>48</v>
      </c>
      <c r="CK211" s="234">
        <f t="shared" si="515"/>
        <v>3.0748170731707316</v>
      </c>
      <c r="CL211" s="234" cm="1">
        <f t="array" ref="CL211">$BM211 * SUMPRODUCT(INDEX($AV$76:$AX$81,,$AI211),INDEX($AY$76:$BE$81,,$AH211), N($AU$76:$AU$81&gt;$AM211)) / CK211 / 1000</f>
        <v>0</v>
      </c>
      <c r="CM211" s="231">
        <f t="shared" si="323"/>
        <v>30</v>
      </c>
      <c r="CN211" s="229">
        <f t="shared" si="516"/>
        <v>43</v>
      </c>
      <c r="CO211" s="234">
        <f t="shared" si="517"/>
        <v>3.5018750000000001</v>
      </c>
      <c r="CP211" s="234" cm="1">
        <f t="array" ref="CP211">$BM211 * IF($AH211&lt;=2,
SUMPRODUCT(INDEX($AV$71:$AX$75,,$AI211), INDEX($AY$71:$BE$75,,$AH211), 1 / ($BF$71:$BF$75*CO211 + (1-$BF$71:$BF$75)*CK211), N($AU$71:$AU$75&gt;$AM211)),
SUMPRODUCT(INDEX($AV$66:$AX$75,,$AI211), INDEX($AY$66:$BE$75,,$AH211), 1 / ($BG$66:$BG$75*CO211 + (1-$BG$66:$BG$75)*CK211), N($AU$66:$AU$75&gt;$AM211))
) / 1000</f>
        <v>0</v>
      </c>
      <c r="CQ211" s="231">
        <f t="shared" si="326"/>
        <v>25</v>
      </c>
      <c r="CR211" s="229">
        <f t="shared" si="518"/>
        <v>38</v>
      </c>
      <c r="CS211" s="234">
        <f t="shared" si="519"/>
        <v>4.0666935483870965</v>
      </c>
      <c r="CT211" s="234" cm="1">
        <f t="array" ref="CT211">$BM211 * IF($AH211&lt;=2,
SUMPRODUCT(INDEX($AV$66:$AX$70,,$AI211), INDEX($AY$66:$BE$70,,$AH211), 1 / ($BF$66:$BF$70*CS211 + (1-$BF$66:$BF$70)*CO211), N($AU$66:$AU$70&gt;$AM211)),
SUMPRODUCT(INDEX($AV$56:$AX$65,,$AI211), INDEX($AY$56:$BE$65,,$AH211), 1 / ($BG$56:$BG$65*CS211 + (1-$BG$56:$BG$65)*CO211), N($AU$56:$AU$65&gt;$AM211))
) / 1000</f>
        <v>0</v>
      </c>
      <c r="CU211" s="231">
        <f t="shared" si="329"/>
        <v>20</v>
      </c>
      <c r="CV211" s="229">
        <f t="shared" si="520"/>
        <v>33</v>
      </c>
      <c r="CW211" s="234">
        <f t="shared" si="521"/>
        <v>4.8487499999999999</v>
      </c>
      <c r="CX211" s="234" cm="1">
        <f t="array" ref="CX211">$BM211 * IF($AH211&lt;=2,
SUMPRODUCT(INDEX($AV$61:$AX$65,,$AI211), INDEX($AY$61:$BE$65,,$AH211), 1 / ($BF$61:$BF$65*CW211 + (1-$BF$61:$BF$65)*CS211), N($AU$61:$AU$65&gt;$AM211)),
SUMPRODUCT(INDEX($AV$46:$AX$55,,$AI211), INDEX($AY$46:$BE$55,,$AH211), 1 / ($BG$46:$BG$55*CW211 + (1-$BG$46:$BG$55)*CS211), N($AU$46:$AU$55&gt;$AM211))
) / 1000</f>
        <v>0</v>
      </c>
      <c r="CY211" s="234" cm="1">
        <f t="array" ref="CY211">$BM211 * IF($AH211&lt;=2,
SUMPRODUCT(INDEX($AV$22:$AX$60,,$AI211), INDEX($AY$22:$BE$60,,$AH211), 1 / ($BF$22:$BF$60*CW211), N($AU$22:$AU$60&gt;$AM211)),
SUMPRODUCT(INDEX($AV$22:$AX$45,,$AI211), INDEX($AY$22:$BE$45,,$AH211), 1 / ($BG$22:$BG$45*CW211), N($AU$22:$AU$45&gt;$AM211))
) / 1000</f>
        <v>0</v>
      </c>
      <c r="CZ211" s="229">
        <f t="shared" si="522"/>
        <v>0</v>
      </c>
      <c r="DA211" s="246"/>
    </row>
    <row r="212" spans="1:105" s="75" customFormat="1" ht="14.25" customHeight="1" x14ac:dyDescent="0.2">
      <c r="A212" s="230" t="b">
        <f t="shared" si="291"/>
        <v>0</v>
      </c>
      <c r="B212" s="253">
        <v>191</v>
      </c>
      <c r="C212" s="266"/>
      <c r="D212" s="266"/>
      <c r="E212" s="254"/>
      <c r="F212" s="255" t="str">
        <f>IF(ISBLANK(E212), "", VLOOKUP(E212, Z!$A$2:$C$4127, 3, FALSE))</f>
        <v/>
      </c>
      <c r="G212" s="256"/>
      <c r="H212" s="256"/>
      <c r="I212" s="256"/>
      <c r="J212" s="257"/>
      <c r="K212" s="258"/>
      <c r="L212" s="267"/>
      <c r="M212" s="268"/>
      <c r="N212" s="259" t="str" cm="1">
        <f t="array" ref="N212">IF($L212&gt;0, INDEX(Clean,1+AK212,$D$1), "")</f>
        <v/>
      </c>
      <c r="O212" s="260"/>
      <c r="P212" s="260"/>
      <c r="Q212" s="261"/>
      <c r="R212" s="264">
        <f t="shared" si="498"/>
        <v>0</v>
      </c>
      <c r="S212" s="259" t="str" cm="1">
        <f t="array" ref="S212">IF($L212&gt;0, INDEX(Clean,1+AL212,$D$1), "")</f>
        <v/>
      </c>
      <c r="T212" s="260"/>
      <c r="U212" s="260"/>
      <c r="V212" s="261"/>
      <c r="W212" s="267"/>
      <c r="X212" s="267"/>
      <c r="Y212" s="257"/>
      <c r="Z212" s="264">
        <f t="shared" si="499"/>
        <v>0</v>
      </c>
      <c r="AA212" s="269"/>
      <c r="AB212" s="266"/>
      <c r="AC212" s="254"/>
      <c r="AD212" s="255" t="str">
        <f>IF(ISBLANK(AC212), "", VLOOKUP(AC212, Z!$A$2:$C$4127, 3, FALSE))</f>
        <v/>
      </c>
      <c r="AE212" s="270"/>
      <c r="AF212" s="265">
        <f t="shared" si="500"/>
        <v>0</v>
      </c>
      <c r="AG212" s="246"/>
      <c r="AH212" s="228">
        <f t="shared" si="523"/>
        <v>1</v>
      </c>
      <c r="AI212" s="228">
        <f t="shared" si="524"/>
        <v>1</v>
      </c>
      <c r="AJ212" s="228">
        <f t="shared" si="525"/>
        <v>0</v>
      </c>
      <c r="AK212" s="228">
        <v>0</v>
      </c>
      <c r="AL212" s="228">
        <v>0</v>
      </c>
      <c r="AM212" s="228">
        <f t="shared" si="501"/>
        <v>-100</v>
      </c>
      <c r="AN212" s="228" cm="1">
        <f t="array" ref="AN212">IF(ISBLANK(G212), 1, IFERROR(MATCH(G212, INDEX(Kat,,1), 0), IFERROR(MATCH(Kat, INDEX(Use,,2), 0), MATCH(Kat, INDEX(Use,,3), 0))))</f>
        <v>1</v>
      </c>
      <c r="AO212" s="246"/>
      <c r="AP212" s="228" cm="1">
        <f t="array" ref="AP212">IF(W212&gt;0, INDEX(Kat, AN212,4), 0)</f>
        <v>0</v>
      </c>
      <c r="AQ212" s="228">
        <f t="shared" si="526"/>
        <v>0</v>
      </c>
      <c r="AR212" s="228" cm="1">
        <f t="array" ref="AR212">IF(X212&gt;0, INDEX(Kat, $AN212, 4+AQ212), 0)</f>
        <v>0</v>
      </c>
      <c r="AS212" s="228" cm="1">
        <f t="array" ref="AS212">IF(X212&gt;0, INDEX(Kat, $AN212, 9+AQ212), 0)</f>
        <v>0</v>
      </c>
      <c r="AT212" s="246"/>
      <c r="AU212" s="262"/>
      <c r="AV212" s="262"/>
      <c r="AW212" s="263"/>
      <c r="AX212" s="263"/>
      <c r="AY212" s="263"/>
      <c r="AZ212" s="263"/>
      <c r="BA212" s="263"/>
      <c r="BB212" s="263"/>
      <c r="BC212" s="263"/>
      <c r="BD212" s="263"/>
      <c r="BE212" s="263"/>
      <c r="BF212" s="263"/>
      <c r="BG212" s="263"/>
      <c r="BH212" s="246"/>
      <c r="BI212" s="228" cm="1">
        <f t="array" ref="BI212">INDEX(Use, $AH212, 4)</f>
        <v>7</v>
      </c>
      <c r="BJ212" s="228">
        <f t="shared" si="502"/>
        <v>32</v>
      </c>
      <c r="BK212" s="228">
        <f t="shared" si="305"/>
        <v>13</v>
      </c>
      <c r="BL212" s="228">
        <f t="shared" si="306"/>
        <v>0</v>
      </c>
      <c r="BM212" s="233" cm="1">
        <f t="array" ref="BM212">L212/IF($M212&gt;0, INDEX($AY$22:$BE$76, $M212+20, $AH212), 1)</f>
        <v>0</v>
      </c>
      <c r="BN212" s="229">
        <f t="shared" si="503"/>
        <v>0</v>
      </c>
      <c r="BO212" s="228">
        <v>35</v>
      </c>
      <c r="BP212" s="229">
        <f t="shared" si="504"/>
        <v>48</v>
      </c>
      <c r="BQ212" s="234">
        <f t="shared" si="505"/>
        <v>3.0748170731707316</v>
      </c>
      <c r="BR212" s="234" cm="1">
        <f t="array" ref="BR212">$BM212 * SUMPRODUCT(INDEX($AV$76:$AX$81,,$AI212),INDEX($AY$76:$BE$81,,$AH212), N($AU$76:$AU$81&gt;$AM212)) / BQ212 / 1000</f>
        <v>0</v>
      </c>
      <c r="BS212" s="231">
        <f t="shared" si="310"/>
        <v>30</v>
      </c>
      <c r="BT212" s="229">
        <f t="shared" si="506"/>
        <v>43</v>
      </c>
      <c r="BU212" s="234">
        <f t="shared" si="507"/>
        <v>3.5018750000000001</v>
      </c>
      <c r="BV212" s="234" cm="1">
        <f t="array" ref="BV212">$BM212 * IF($AH212&lt;=2,
SUMPRODUCT(INDEX($AV$71:$AX$75,,$AI212), INDEX($AY$71:$BE$75,,$AH212), 1 / ($BF$71:$BF$75*BU212 + (1-$BF$71:$BF$75)*BQ212), N($AU$71:$AU$75&gt;$AM212)),
SUMPRODUCT(INDEX($AV$66:$AX$75,,$AI212), INDEX($AY$66:$BE$75,,$AH212), 1 / ($BG$66:$BG$75*BU212 + (1-$BG$66:$BG$75)*BQ212), N($AU$66:$AU$75&gt;$AM212))
) / 1000</f>
        <v>0</v>
      </c>
      <c r="BW212" s="231">
        <f t="shared" si="313"/>
        <v>25</v>
      </c>
      <c r="BX212" s="229">
        <f t="shared" si="508"/>
        <v>38</v>
      </c>
      <c r="BY212" s="234">
        <f t="shared" si="509"/>
        <v>4.0666935483870965</v>
      </c>
      <c r="BZ212" s="234" cm="1">
        <f t="array" ref="BZ212">$BM212 * IF($AH212&lt;=2,
SUMPRODUCT(INDEX($AV$66:$AX$70,,$AI212), INDEX($AY$66:$BE$70,,$AH212), 1 / ($BF$66:$BF$70*BY212 + (1-$BF$66:$BF$70)*BU212), N($AU$66:$AU$70&gt;$AM212)),
SUMPRODUCT(INDEX($AV$56:$AX$65,,$AI212), INDEX($AY$56:$BE$65,,$AH212), 1 / ($BG$56:$BG$65*BY212 + (1-$BG$56:$BG$65)*BU212), N($AU$56:$AU$65&gt;$AM212))
) / 1000</f>
        <v>0</v>
      </c>
      <c r="CA212" s="231">
        <f t="shared" si="316"/>
        <v>20</v>
      </c>
      <c r="CB212" s="229">
        <f t="shared" si="510"/>
        <v>33</v>
      </c>
      <c r="CC212" s="234">
        <f t="shared" si="511"/>
        <v>4.8487499999999999</v>
      </c>
      <c r="CD212" s="234" cm="1">
        <f t="array" ref="CD212">$BM212 * IF($AH212&lt;=2,
SUMPRODUCT(INDEX($AV$61:$AX$65,,$AI212), INDEX($AY$61:$BE$65,,$AH212), 1 / ($BF$61:$BF$65*CC212 + (1-$BF$61:$BF$65)*BY212), N($AU$61:$AU$65&gt;$AM212)),
SUMPRODUCT(INDEX($AV$46:$AX$55,,$AI212), INDEX($AY$46:$BE$55,,$AH212), 1 / ($BG$46:$BG$55*CC212 + (1-$BG$46:$BG$55)*BY212), N($AU$46:$AU$55&gt;$AM212))
) / 1000</f>
        <v>0</v>
      </c>
      <c r="CE212" s="234" cm="1">
        <f t="array" ref="CE212">$BM212 * IF($AH212&lt;=2,
SUMPRODUCT(INDEX($AV$22:$AX$60,,$AI212), INDEX($AY$22:$BE$60,,$AH212), 1 / ($BF$22:$BF$60*CC212), N($AU$22:$AU$60&gt;$AM212)),
SUMPRODUCT(INDEX($AV$22:$AX$45,,$AI212), INDEX($AY$22:$BE$45,,$AH212), 1 / ($BG$22:$BG$45*CC212), N($AU$22:$AU$45&gt;$AM212))
) / 1000</f>
        <v>0</v>
      </c>
      <c r="CF212" s="229">
        <f t="shared" si="512"/>
        <v>0</v>
      </c>
      <c r="CG212" s="246"/>
      <c r="CH212" s="229">
        <f t="shared" si="513"/>
        <v>0</v>
      </c>
      <c r="CI212" s="228">
        <v>35</v>
      </c>
      <c r="CJ212" s="229">
        <f t="shared" si="514"/>
        <v>48</v>
      </c>
      <c r="CK212" s="234">
        <f t="shared" si="515"/>
        <v>3.0748170731707316</v>
      </c>
      <c r="CL212" s="234" cm="1">
        <f t="array" ref="CL212">$BM212 * SUMPRODUCT(INDEX($AV$76:$AX$81,,$AI212),INDEX($AY$76:$BE$81,,$AH212), N($AU$76:$AU$81&gt;$AM212)) / CK212 / 1000</f>
        <v>0</v>
      </c>
      <c r="CM212" s="231">
        <f t="shared" si="323"/>
        <v>30</v>
      </c>
      <c r="CN212" s="229">
        <f t="shared" si="516"/>
        <v>43</v>
      </c>
      <c r="CO212" s="234">
        <f t="shared" si="517"/>
        <v>3.5018750000000001</v>
      </c>
      <c r="CP212" s="234" cm="1">
        <f t="array" ref="CP212">$BM212 * IF($AH212&lt;=2,
SUMPRODUCT(INDEX($AV$71:$AX$75,,$AI212), INDEX($AY$71:$BE$75,,$AH212), 1 / ($BF$71:$BF$75*CO212 + (1-$BF$71:$BF$75)*CK212), N($AU$71:$AU$75&gt;$AM212)),
SUMPRODUCT(INDEX($AV$66:$AX$75,,$AI212), INDEX($AY$66:$BE$75,,$AH212), 1 / ($BG$66:$BG$75*CO212 + (1-$BG$66:$BG$75)*CK212), N($AU$66:$AU$75&gt;$AM212))
) / 1000</f>
        <v>0</v>
      </c>
      <c r="CQ212" s="231">
        <f t="shared" si="326"/>
        <v>25</v>
      </c>
      <c r="CR212" s="229">
        <f t="shared" si="518"/>
        <v>38</v>
      </c>
      <c r="CS212" s="234">
        <f t="shared" si="519"/>
        <v>4.0666935483870965</v>
      </c>
      <c r="CT212" s="234" cm="1">
        <f t="array" ref="CT212">$BM212 * IF($AH212&lt;=2,
SUMPRODUCT(INDEX($AV$66:$AX$70,,$AI212), INDEX($AY$66:$BE$70,,$AH212), 1 / ($BF$66:$BF$70*CS212 + (1-$BF$66:$BF$70)*CO212), N($AU$66:$AU$70&gt;$AM212)),
SUMPRODUCT(INDEX($AV$56:$AX$65,,$AI212), INDEX($AY$56:$BE$65,,$AH212), 1 / ($BG$56:$BG$65*CS212 + (1-$BG$56:$BG$65)*CO212), N($AU$56:$AU$65&gt;$AM212))
) / 1000</f>
        <v>0</v>
      </c>
      <c r="CU212" s="231">
        <f t="shared" si="329"/>
        <v>20</v>
      </c>
      <c r="CV212" s="229">
        <f t="shared" si="520"/>
        <v>33</v>
      </c>
      <c r="CW212" s="234">
        <f t="shared" si="521"/>
        <v>4.8487499999999999</v>
      </c>
      <c r="CX212" s="234" cm="1">
        <f t="array" ref="CX212">$BM212 * IF($AH212&lt;=2,
SUMPRODUCT(INDEX($AV$61:$AX$65,,$AI212), INDEX($AY$61:$BE$65,,$AH212), 1 / ($BF$61:$BF$65*CW212 + (1-$BF$61:$BF$65)*CS212), N($AU$61:$AU$65&gt;$AM212)),
SUMPRODUCT(INDEX($AV$46:$AX$55,,$AI212), INDEX($AY$46:$BE$55,,$AH212), 1 / ($BG$46:$BG$55*CW212 + (1-$BG$46:$BG$55)*CS212), N($AU$46:$AU$55&gt;$AM212))
) / 1000</f>
        <v>0</v>
      </c>
      <c r="CY212" s="234" cm="1">
        <f t="array" ref="CY212">$BM212 * IF($AH212&lt;=2,
SUMPRODUCT(INDEX($AV$22:$AX$60,,$AI212), INDEX($AY$22:$BE$60,,$AH212), 1 / ($BF$22:$BF$60*CW212), N($AU$22:$AU$60&gt;$AM212)),
SUMPRODUCT(INDEX($AV$22:$AX$45,,$AI212), INDEX($AY$22:$BE$45,,$AH212), 1 / ($BG$22:$BG$45*CW212), N($AU$22:$AU$45&gt;$AM212))
) / 1000</f>
        <v>0</v>
      </c>
      <c r="CZ212" s="229">
        <f t="shared" si="522"/>
        <v>0</v>
      </c>
      <c r="DA212" s="246"/>
    </row>
    <row r="213" spans="1:105" s="75" customFormat="1" ht="14.25" customHeight="1" x14ac:dyDescent="0.2">
      <c r="A213" s="230" t="b">
        <f t="shared" si="291"/>
        <v>0</v>
      </c>
      <c r="B213" s="253">
        <v>192</v>
      </c>
      <c r="C213" s="266"/>
      <c r="D213" s="266"/>
      <c r="E213" s="254"/>
      <c r="F213" s="255" t="str">
        <f>IF(ISBLANK(E213), "", VLOOKUP(E213, Z!$A$2:$C$4127, 3, FALSE))</f>
        <v/>
      </c>
      <c r="G213" s="256"/>
      <c r="H213" s="256"/>
      <c r="I213" s="256"/>
      <c r="J213" s="257"/>
      <c r="K213" s="258"/>
      <c r="L213" s="267"/>
      <c r="M213" s="268"/>
      <c r="N213" s="259" t="str" cm="1">
        <f t="array" ref="N213">IF($L213&gt;0, INDEX(Clean,1+AK213,$D$1), "")</f>
        <v/>
      </c>
      <c r="O213" s="260"/>
      <c r="P213" s="260"/>
      <c r="Q213" s="261"/>
      <c r="R213" s="264">
        <f t="shared" si="498"/>
        <v>0</v>
      </c>
      <c r="S213" s="259" t="str" cm="1">
        <f t="array" ref="S213">IF($L213&gt;0, INDEX(Clean,1+AL213,$D$1), "")</f>
        <v/>
      </c>
      <c r="T213" s="260"/>
      <c r="U213" s="260"/>
      <c r="V213" s="261"/>
      <c r="W213" s="267"/>
      <c r="X213" s="267"/>
      <c r="Y213" s="257"/>
      <c r="Z213" s="264">
        <f t="shared" si="499"/>
        <v>0</v>
      </c>
      <c r="AA213" s="269"/>
      <c r="AB213" s="266"/>
      <c r="AC213" s="254"/>
      <c r="AD213" s="255" t="str">
        <f>IF(ISBLANK(AC213), "", VLOOKUP(AC213, Z!$A$2:$C$4127, 3, FALSE))</f>
        <v/>
      </c>
      <c r="AE213" s="270"/>
      <c r="AF213" s="265">
        <f t="shared" si="500"/>
        <v>0</v>
      </c>
      <c r="AG213" s="246"/>
      <c r="AH213" s="228">
        <f t="shared" si="523"/>
        <v>1</v>
      </c>
      <c r="AI213" s="228">
        <f t="shared" si="524"/>
        <v>1</v>
      </c>
      <c r="AJ213" s="228">
        <f t="shared" si="525"/>
        <v>0</v>
      </c>
      <c r="AK213" s="228">
        <v>0</v>
      </c>
      <c r="AL213" s="228">
        <v>0</v>
      </c>
      <c r="AM213" s="228">
        <f t="shared" si="501"/>
        <v>-100</v>
      </c>
      <c r="AN213" s="228" cm="1">
        <f t="array" ref="AN213">IF(ISBLANK(G213), 1, IFERROR(MATCH(G213, INDEX(Kat,,1), 0), IFERROR(MATCH(Kat, INDEX(Use,,2), 0), MATCH(Kat, INDEX(Use,,3), 0))))</f>
        <v>1</v>
      </c>
      <c r="AO213" s="246"/>
      <c r="AP213" s="228" cm="1">
        <f t="array" ref="AP213">IF(W213&gt;0, INDEX(Kat, AN213,4), 0)</f>
        <v>0</v>
      </c>
      <c r="AQ213" s="228">
        <f t="shared" si="526"/>
        <v>0</v>
      </c>
      <c r="AR213" s="228" cm="1">
        <f t="array" ref="AR213">IF(X213&gt;0, INDEX(Kat, $AN213, 4+AQ213), 0)</f>
        <v>0</v>
      </c>
      <c r="AS213" s="228" cm="1">
        <f t="array" ref="AS213">IF(X213&gt;0, INDEX(Kat, $AN213, 9+AQ213), 0)</f>
        <v>0</v>
      </c>
      <c r="AT213" s="246"/>
      <c r="AU213" s="262"/>
      <c r="AV213" s="262"/>
      <c r="AW213" s="263"/>
      <c r="AX213" s="263"/>
      <c r="AY213" s="263"/>
      <c r="AZ213" s="263"/>
      <c r="BA213" s="263"/>
      <c r="BB213" s="263"/>
      <c r="BC213" s="263"/>
      <c r="BD213" s="263"/>
      <c r="BE213" s="263"/>
      <c r="BF213" s="263"/>
      <c r="BG213" s="263"/>
      <c r="BH213" s="246"/>
      <c r="BI213" s="228" cm="1">
        <f t="array" ref="BI213">INDEX(Use, $AH213, 4)</f>
        <v>7</v>
      </c>
      <c r="BJ213" s="228">
        <f t="shared" si="502"/>
        <v>32</v>
      </c>
      <c r="BK213" s="228">
        <f t="shared" si="305"/>
        <v>13</v>
      </c>
      <c r="BL213" s="228">
        <f t="shared" si="306"/>
        <v>0</v>
      </c>
      <c r="BM213" s="233" cm="1">
        <f t="array" ref="BM213">L213/IF($M213&gt;0, INDEX($AY$22:$BE$76, $M213+20, $AH213), 1)</f>
        <v>0</v>
      </c>
      <c r="BN213" s="229">
        <f t="shared" si="503"/>
        <v>0</v>
      </c>
      <c r="BO213" s="228">
        <v>35</v>
      </c>
      <c r="BP213" s="229">
        <f t="shared" si="504"/>
        <v>48</v>
      </c>
      <c r="BQ213" s="234">
        <f t="shared" si="505"/>
        <v>3.0748170731707316</v>
      </c>
      <c r="BR213" s="234" cm="1">
        <f t="array" ref="BR213">$BM213 * SUMPRODUCT(INDEX($AV$76:$AX$81,,$AI213),INDEX($AY$76:$BE$81,,$AH213), N($AU$76:$AU$81&gt;$AM213)) / BQ213 / 1000</f>
        <v>0</v>
      </c>
      <c r="BS213" s="231">
        <f t="shared" si="310"/>
        <v>30</v>
      </c>
      <c r="BT213" s="229">
        <f t="shared" si="506"/>
        <v>43</v>
      </c>
      <c r="BU213" s="234">
        <f t="shared" si="507"/>
        <v>3.5018750000000001</v>
      </c>
      <c r="BV213" s="234" cm="1">
        <f t="array" ref="BV213">$BM213 * IF($AH213&lt;=2,
SUMPRODUCT(INDEX($AV$71:$AX$75,,$AI213), INDEX($AY$71:$BE$75,,$AH213), 1 / ($BF$71:$BF$75*BU213 + (1-$BF$71:$BF$75)*BQ213), N($AU$71:$AU$75&gt;$AM213)),
SUMPRODUCT(INDEX($AV$66:$AX$75,,$AI213), INDEX($AY$66:$BE$75,,$AH213), 1 / ($BG$66:$BG$75*BU213 + (1-$BG$66:$BG$75)*BQ213), N($AU$66:$AU$75&gt;$AM213))
) / 1000</f>
        <v>0</v>
      </c>
      <c r="BW213" s="231">
        <f t="shared" si="313"/>
        <v>25</v>
      </c>
      <c r="BX213" s="229">
        <f t="shared" si="508"/>
        <v>38</v>
      </c>
      <c r="BY213" s="234">
        <f t="shared" si="509"/>
        <v>4.0666935483870965</v>
      </c>
      <c r="BZ213" s="234" cm="1">
        <f t="array" ref="BZ213">$BM213 * IF($AH213&lt;=2,
SUMPRODUCT(INDEX($AV$66:$AX$70,,$AI213), INDEX($AY$66:$BE$70,,$AH213), 1 / ($BF$66:$BF$70*BY213 + (1-$BF$66:$BF$70)*BU213), N($AU$66:$AU$70&gt;$AM213)),
SUMPRODUCT(INDEX($AV$56:$AX$65,,$AI213), INDEX($AY$56:$BE$65,,$AH213), 1 / ($BG$56:$BG$65*BY213 + (1-$BG$56:$BG$65)*BU213), N($AU$56:$AU$65&gt;$AM213))
) / 1000</f>
        <v>0</v>
      </c>
      <c r="CA213" s="231">
        <f t="shared" si="316"/>
        <v>20</v>
      </c>
      <c r="CB213" s="229">
        <f t="shared" si="510"/>
        <v>33</v>
      </c>
      <c r="CC213" s="234">
        <f t="shared" si="511"/>
        <v>4.8487499999999999</v>
      </c>
      <c r="CD213" s="234" cm="1">
        <f t="array" ref="CD213">$BM213 * IF($AH213&lt;=2,
SUMPRODUCT(INDEX($AV$61:$AX$65,,$AI213), INDEX($AY$61:$BE$65,,$AH213), 1 / ($BF$61:$BF$65*CC213 + (1-$BF$61:$BF$65)*BY213), N($AU$61:$AU$65&gt;$AM213)),
SUMPRODUCT(INDEX($AV$46:$AX$55,,$AI213), INDEX($AY$46:$BE$55,,$AH213), 1 / ($BG$46:$BG$55*CC213 + (1-$BG$46:$BG$55)*BY213), N($AU$46:$AU$55&gt;$AM213))
) / 1000</f>
        <v>0</v>
      </c>
      <c r="CE213" s="234" cm="1">
        <f t="array" ref="CE213">$BM213 * IF($AH213&lt;=2,
SUMPRODUCT(INDEX($AV$22:$AX$60,,$AI213), INDEX($AY$22:$BE$60,,$AH213), 1 / ($BF$22:$BF$60*CC213), N($AU$22:$AU$60&gt;$AM213)),
SUMPRODUCT(INDEX($AV$22:$AX$45,,$AI213), INDEX($AY$22:$BE$45,,$AH213), 1 / ($BG$22:$BG$45*CC213), N($AU$22:$AU$45&gt;$AM213))
) / 1000</f>
        <v>0</v>
      </c>
      <c r="CF213" s="229">
        <f t="shared" si="512"/>
        <v>0</v>
      </c>
      <c r="CG213" s="246"/>
      <c r="CH213" s="229">
        <f t="shared" si="513"/>
        <v>0</v>
      </c>
      <c r="CI213" s="228">
        <v>35</v>
      </c>
      <c r="CJ213" s="229">
        <f t="shared" si="514"/>
        <v>48</v>
      </c>
      <c r="CK213" s="234">
        <f t="shared" si="515"/>
        <v>3.0748170731707316</v>
      </c>
      <c r="CL213" s="234" cm="1">
        <f t="array" ref="CL213">$BM213 * SUMPRODUCT(INDEX($AV$76:$AX$81,,$AI213),INDEX($AY$76:$BE$81,,$AH213), N($AU$76:$AU$81&gt;$AM213)) / CK213 / 1000</f>
        <v>0</v>
      </c>
      <c r="CM213" s="231">
        <f t="shared" si="323"/>
        <v>30</v>
      </c>
      <c r="CN213" s="229">
        <f t="shared" si="516"/>
        <v>43</v>
      </c>
      <c r="CO213" s="234">
        <f t="shared" si="517"/>
        <v>3.5018750000000001</v>
      </c>
      <c r="CP213" s="234" cm="1">
        <f t="array" ref="CP213">$BM213 * IF($AH213&lt;=2,
SUMPRODUCT(INDEX($AV$71:$AX$75,,$AI213), INDEX($AY$71:$BE$75,,$AH213), 1 / ($BF$71:$BF$75*CO213 + (1-$BF$71:$BF$75)*CK213), N($AU$71:$AU$75&gt;$AM213)),
SUMPRODUCT(INDEX($AV$66:$AX$75,,$AI213), INDEX($AY$66:$BE$75,,$AH213), 1 / ($BG$66:$BG$75*CO213 + (1-$BG$66:$BG$75)*CK213), N($AU$66:$AU$75&gt;$AM213))
) / 1000</f>
        <v>0</v>
      </c>
      <c r="CQ213" s="231">
        <f t="shared" si="326"/>
        <v>25</v>
      </c>
      <c r="CR213" s="229">
        <f t="shared" si="518"/>
        <v>38</v>
      </c>
      <c r="CS213" s="234">
        <f t="shared" si="519"/>
        <v>4.0666935483870965</v>
      </c>
      <c r="CT213" s="234" cm="1">
        <f t="array" ref="CT213">$BM213 * IF($AH213&lt;=2,
SUMPRODUCT(INDEX($AV$66:$AX$70,,$AI213), INDEX($AY$66:$BE$70,,$AH213), 1 / ($BF$66:$BF$70*CS213 + (1-$BF$66:$BF$70)*CO213), N($AU$66:$AU$70&gt;$AM213)),
SUMPRODUCT(INDEX($AV$56:$AX$65,,$AI213), INDEX($AY$56:$BE$65,,$AH213), 1 / ($BG$56:$BG$65*CS213 + (1-$BG$56:$BG$65)*CO213), N($AU$56:$AU$65&gt;$AM213))
) / 1000</f>
        <v>0</v>
      </c>
      <c r="CU213" s="231">
        <f t="shared" si="329"/>
        <v>20</v>
      </c>
      <c r="CV213" s="229">
        <f t="shared" si="520"/>
        <v>33</v>
      </c>
      <c r="CW213" s="234">
        <f t="shared" si="521"/>
        <v>4.8487499999999999</v>
      </c>
      <c r="CX213" s="234" cm="1">
        <f t="array" ref="CX213">$BM213 * IF($AH213&lt;=2,
SUMPRODUCT(INDEX($AV$61:$AX$65,,$AI213), INDEX($AY$61:$BE$65,,$AH213), 1 / ($BF$61:$BF$65*CW213 + (1-$BF$61:$BF$65)*CS213), N($AU$61:$AU$65&gt;$AM213)),
SUMPRODUCT(INDEX($AV$46:$AX$55,,$AI213), INDEX($AY$46:$BE$55,,$AH213), 1 / ($BG$46:$BG$55*CW213 + (1-$BG$46:$BG$55)*CS213), N($AU$46:$AU$55&gt;$AM213))
) / 1000</f>
        <v>0</v>
      </c>
      <c r="CY213" s="234" cm="1">
        <f t="array" ref="CY213">$BM213 * IF($AH213&lt;=2,
SUMPRODUCT(INDEX($AV$22:$AX$60,,$AI213), INDEX($AY$22:$BE$60,,$AH213), 1 / ($BF$22:$BF$60*CW213), N($AU$22:$AU$60&gt;$AM213)),
SUMPRODUCT(INDEX($AV$22:$AX$45,,$AI213), INDEX($AY$22:$BE$45,,$AH213), 1 / ($BG$22:$BG$45*CW213), N($AU$22:$AU$45&gt;$AM213))
) / 1000</f>
        <v>0</v>
      </c>
      <c r="CZ213" s="229">
        <f t="shared" si="522"/>
        <v>0</v>
      </c>
      <c r="DA213" s="246"/>
    </row>
    <row r="214" spans="1:105" s="75" customFormat="1" ht="14.25" customHeight="1" x14ac:dyDescent="0.2">
      <c r="A214" s="230" t="b">
        <f t="shared" si="291"/>
        <v>0</v>
      </c>
      <c r="B214" s="253">
        <v>193</v>
      </c>
      <c r="C214" s="266"/>
      <c r="D214" s="266"/>
      <c r="E214" s="254"/>
      <c r="F214" s="255" t="str">
        <f>IF(ISBLANK(E214), "", VLOOKUP(E214, Z!$A$2:$C$4127, 3, FALSE))</f>
        <v/>
      </c>
      <c r="G214" s="256"/>
      <c r="H214" s="256"/>
      <c r="I214" s="256"/>
      <c r="J214" s="257"/>
      <c r="K214" s="258"/>
      <c r="L214" s="267"/>
      <c r="M214" s="268"/>
      <c r="N214" s="259" t="str" cm="1">
        <f t="array" ref="N214">IF($L214&gt;0, INDEX(Clean,1+AK214,$D$1), "")</f>
        <v/>
      </c>
      <c r="O214" s="260"/>
      <c r="P214" s="260"/>
      <c r="Q214" s="261"/>
      <c r="R214" s="264">
        <f t="shared" si="498"/>
        <v>0</v>
      </c>
      <c r="S214" s="259" t="str" cm="1">
        <f t="array" ref="S214">IF($L214&gt;0, INDEX(Clean,1+AL214,$D$1), "")</f>
        <v/>
      </c>
      <c r="T214" s="260"/>
      <c r="U214" s="260"/>
      <c r="V214" s="261"/>
      <c r="W214" s="267"/>
      <c r="X214" s="267"/>
      <c r="Y214" s="257"/>
      <c r="Z214" s="264">
        <f t="shared" si="499"/>
        <v>0</v>
      </c>
      <c r="AA214" s="269"/>
      <c r="AB214" s="266"/>
      <c r="AC214" s="254"/>
      <c r="AD214" s="255" t="str">
        <f>IF(ISBLANK(AC214), "", VLOOKUP(AC214, Z!$A$2:$C$4127, 3, FALSE))</f>
        <v/>
      </c>
      <c r="AE214" s="270"/>
      <c r="AF214" s="265">
        <f t="shared" si="500"/>
        <v>0</v>
      </c>
      <c r="AG214" s="246"/>
      <c r="AH214" s="228">
        <f t="shared" si="523"/>
        <v>1</v>
      </c>
      <c r="AI214" s="228">
        <f t="shared" si="524"/>
        <v>1</v>
      </c>
      <c r="AJ214" s="228">
        <f t="shared" si="525"/>
        <v>0</v>
      </c>
      <c r="AK214" s="228">
        <v>0</v>
      </c>
      <c r="AL214" s="228">
        <v>0</v>
      </c>
      <c r="AM214" s="228">
        <f t="shared" si="501"/>
        <v>-100</v>
      </c>
      <c r="AN214" s="228" cm="1">
        <f t="array" ref="AN214">IF(ISBLANK(G214), 1, IFERROR(MATCH(G214, INDEX(Kat,,1), 0), IFERROR(MATCH(Kat, INDEX(Use,,2), 0), MATCH(Kat, INDEX(Use,,3), 0))))</f>
        <v>1</v>
      </c>
      <c r="AO214" s="246"/>
      <c r="AP214" s="228" cm="1">
        <f t="array" ref="AP214">IF(W214&gt;0, INDEX(Kat, AN214,4), 0)</f>
        <v>0</v>
      </c>
      <c r="AQ214" s="228">
        <f t="shared" si="526"/>
        <v>0</v>
      </c>
      <c r="AR214" s="228" cm="1">
        <f t="array" ref="AR214">IF(X214&gt;0, INDEX(Kat, $AN214, 4+AQ214), 0)</f>
        <v>0</v>
      </c>
      <c r="AS214" s="228" cm="1">
        <f t="array" ref="AS214">IF(X214&gt;0, INDEX(Kat, $AN214, 9+AQ214), 0)</f>
        <v>0</v>
      </c>
      <c r="AT214" s="246"/>
      <c r="AU214" s="262"/>
      <c r="AV214" s="262"/>
      <c r="AW214" s="263"/>
      <c r="AX214" s="263"/>
      <c r="AY214" s="263"/>
      <c r="AZ214" s="263"/>
      <c r="BA214" s="263"/>
      <c r="BB214" s="263"/>
      <c r="BC214" s="263"/>
      <c r="BD214" s="263"/>
      <c r="BE214" s="263"/>
      <c r="BF214" s="263"/>
      <c r="BG214" s="263"/>
      <c r="BH214" s="246"/>
      <c r="BI214" s="228" cm="1">
        <f t="array" ref="BI214">INDEX(Use, $AH214, 4)</f>
        <v>7</v>
      </c>
      <c r="BJ214" s="228">
        <f t="shared" si="502"/>
        <v>32</v>
      </c>
      <c r="BK214" s="228">
        <f t="shared" si="305"/>
        <v>13</v>
      </c>
      <c r="BL214" s="228">
        <f t="shared" si="306"/>
        <v>0</v>
      </c>
      <c r="BM214" s="233" cm="1">
        <f t="array" ref="BM214">L214/IF($M214&gt;0, INDEX($AY$22:$BE$76, $M214+20, $AH214), 1)</f>
        <v>0</v>
      </c>
      <c r="BN214" s="229">
        <f t="shared" si="503"/>
        <v>0</v>
      </c>
      <c r="BO214" s="228">
        <v>35</v>
      </c>
      <c r="BP214" s="229">
        <f t="shared" si="504"/>
        <v>48</v>
      </c>
      <c r="BQ214" s="234">
        <f t="shared" si="505"/>
        <v>3.0748170731707316</v>
      </c>
      <c r="BR214" s="234" cm="1">
        <f t="array" ref="BR214">$BM214 * SUMPRODUCT(INDEX($AV$76:$AX$81,,$AI214),INDEX($AY$76:$BE$81,,$AH214), N($AU$76:$AU$81&gt;$AM214)) / BQ214 / 1000</f>
        <v>0</v>
      </c>
      <c r="BS214" s="231">
        <f t="shared" si="310"/>
        <v>30</v>
      </c>
      <c r="BT214" s="229">
        <f t="shared" si="506"/>
        <v>43</v>
      </c>
      <c r="BU214" s="234">
        <f t="shared" si="507"/>
        <v>3.5018750000000001</v>
      </c>
      <c r="BV214" s="234" cm="1">
        <f t="array" ref="BV214">$BM214 * IF($AH214&lt;=2,
SUMPRODUCT(INDEX($AV$71:$AX$75,,$AI214), INDEX($AY$71:$BE$75,,$AH214), 1 / ($BF$71:$BF$75*BU214 + (1-$BF$71:$BF$75)*BQ214), N($AU$71:$AU$75&gt;$AM214)),
SUMPRODUCT(INDEX($AV$66:$AX$75,,$AI214), INDEX($AY$66:$BE$75,,$AH214), 1 / ($BG$66:$BG$75*BU214 + (1-$BG$66:$BG$75)*BQ214), N($AU$66:$AU$75&gt;$AM214))
) / 1000</f>
        <v>0</v>
      </c>
      <c r="BW214" s="231">
        <f t="shared" si="313"/>
        <v>25</v>
      </c>
      <c r="BX214" s="229">
        <f t="shared" si="508"/>
        <v>38</v>
      </c>
      <c r="BY214" s="234">
        <f t="shared" si="509"/>
        <v>4.0666935483870965</v>
      </c>
      <c r="BZ214" s="234" cm="1">
        <f t="array" ref="BZ214">$BM214 * IF($AH214&lt;=2,
SUMPRODUCT(INDEX($AV$66:$AX$70,,$AI214), INDEX($AY$66:$BE$70,,$AH214), 1 / ($BF$66:$BF$70*BY214 + (1-$BF$66:$BF$70)*BU214), N($AU$66:$AU$70&gt;$AM214)),
SUMPRODUCT(INDEX($AV$56:$AX$65,,$AI214), INDEX($AY$56:$BE$65,,$AH214), 1 / ($BG$56:$BG$65*BY214 + (1-$BG$56:$BG$65)*BU214), N($AU$56:$AU$65&gt;$AM214))
) / 1000</f>
        <v>0</v>
      </c>
      <c r="CA214" s="231">
        <f t="shared" si="316"/>
        <v>20</v>
      </c>
      <c r="CB214" s="229">
        <f t="shared" si="510"/>
        <v>33</v>
      </c>
      <c r="CC214" s="234">
        <f t="shared" si="511"/>
        <v>4.8487499999999999</v>
      </c>
      <c r="CD214" s="234" cm="1">
        <f t="array" ref="CD214">$BM214 * IF($AH214&lt;=2,
SUMPRODUCT(INDEX($AV$61:$AX$65,,$AI214), INDEX($AY$61:$BE$65,,$AH214), 1 / ($BF$61:$BF$65*CC214 + (1-$BF$61:$BF$65)*BY214), N($AU$61:$AU$65&gt;$AM214)),
SUMPRODUCT(INDEX($AV$46:$AX$55,,$AI214), INDEX($AY$46:$BE$55,,$AH214), 1 / ($BG$46:$BG$55*CC214 + (1-$BG$46:$BG$55)*BY214), N($AU$46:$AU$55&gt;$AM214))
) / 1000</f>
        <v>0</v>
      </c>
      <c r="CE214" s="234" cm="1">
        <f t="array" ref="CE214">$BM214 * IF($AH214&lt;=2,
SUMPRODUCT(INDEX($AV$22:$AX$60,,$AI214), INDEX($AY$22:$BE$60,,$AH214), 1 / ($BF$22:$BF$60*CC214), N($AU$22:$AU$60&gt;$AM214)),
SUMPRODUCT(INDEX($AV$22:$AX$45,,$AI214), INDEX($AY$22:$BE$45,,$AH214), 1 / ($BG$22:$BG$45*CC214), N($AU$22:$AU$45&gt;$AM214))
) / 1000</f>
        <v>0</v>
      </c>
      <c r="CF214" s="229">
        <f t="shared" si="512"/>
        <v>0</v>
      </c>
      <c r="CG214" s="246"/>
      <c r="CH214" s="229">
        <f t="shared" si="513"/>
        <v>0</v>
      </c>
      <c r="CI214" s="228">
        <v>35</v>
      </c>
      <c r="CJ214" s="229">
        <f t="shared" si="514"/>
        <v>48</v>
      </c>
      <c r="CK214" s="234">
        <f t="shared" si="515"/>
        <v>3.0748170731707316</v>
      </c>
      <c r="CL214" s="234" cm="1">
        <f t="array" ref="CL214">$BM214 * SUMPRODUCT(INDEX($AV$76:$AX$81,,$AI214),INDEX($AY$76:$BE$81,,$AH214), N($AU$76:$AU$81&gt;$AM214)) / CK214 / 1000</f>
        <v>0</v>
      </c>
      <c r="CM214" s="231">
        <f t="shared" si="323"/>
        <v>30</v>
      </c>
      <c r="CN214" s="229">
        <f t="shared" si="516"/>
        <v>43</v>
      </c>
      <c r="CO214" s="234">
        <f t="shared" si="517"/>
        <v>3.5018750000000001</v>
      </c>
      <c r="CP214" s="234" cm="1">
        <f t="array" ref="CP214">$BM214 * IF($AH214&lt;=2,
SUMPRODUCT(INDEX($AV$71:$AX$75,,$AI214), INDEX($AY$71:$BE$75,,$AH214), 1 / ($BF$71:$BF$75*CO214 + (1-$BF$71:$BF$75)*CK214), N($AU$71:$AU$75&gt;$AM214)),
SUMPRODUCT(INDEX($AV$66:$AX$75,,$AI214), INDEX($AY$66:$BE$75,,$AH214), 1 / ($BG$66:$BG$75*CO214 + (1-$BG$66:$BG$75)*CK214), N($AU$66:$AU$75&gt;$AM214))
) / 1000</f>
        <v>0</v>
      </c>
      <c r="CQ214" s="231">
        <f t="shared" si="326"/>
        <v>25</v>
      </c>
      <c r="CR214" s="229">
        <f t="shared" si="518"/>
        <v>38</v>
      </c>
      <c r="CS214" s="234">
        <f t="shared" si="519"/>
        <v>4.0666935483870965</v>
      </c>
      <c r="CT214" s="234" cm="1">
        <f t="array" ref="CT214">$BM214 * IF($AH214&lt;=2,
SUMPRODUCT(INDEX($AV$66:$AX$70,,$AI214), INDEX($AY$66:$BE$70,,$AH214), 1 / ($BF$66:$BF$70*CS214 + (1-$BF$66:$BF$70)*CO214), N($AU$66:$AU$70&gt;$AM214)),
SUMPRODUCT(INDEX($AV$56:$AX$65,,$AI214), INDEX($AY$56:$BE$65,,$AH214), 1 / ($BG$56:$BG$65*CS214 + (1-$BG$56:$BG$65)*CO214), N($AU$56:$AU$65&gt;$AM214))
) / 1000</f>
        <v>0</v>
      </c>
      <c r="CU214" s="231">
        <f t="shared" si="329"/>
        <v>20</v>
      </c>
      <c r="CV214" s="229">
        <f t="shared" si="520"/>
        <v>33</v>
      </c>
      <c r="CW214" s="234">
        <f t="shared" si="521"/>
        <v>4.8487499999999999</v>
      </c>
      <c r="CX214" s="234" cm="1">
        <f t="array" ref="CX214">$BM214 * IF($AH214&lt;=2,
SUMPRODUCT(INDEX($AV$61:$AX$65,,$AI214), INDEX($AY$61:$BE$65,,$AH214), 1 / ($BF$61:$BF$65*CW214 + (1-$BF$61:$BF$65)*CS214), N($AU$61:$AU$65&gt;$AM214)),
SUMPRODUCT(INDEX($AV$46:$AX$55,,$AI214), INDEX($AY$46:$BE$55,,$AH214), 1 / ($BG$46:$BG$55*CW214 + (1-$BG$46:$BG$55)*CS214), N($AU$46:$AU$55&gt;$AM214))
) / 1000</f>
        <v>0</v>
      </c>
      <c r="CY214" s="234" cm="1">
        <f t="array" ref="CY214">$BM214 * IF($AH214&lt;=2,
SUMPRODUCT(INDEX($AV$22:$AX$60,,$AI214), INDEX($AY$22:$BE$60,,$AH214), 1 / ($BF$22:$BF$60*CW214), N($AU$22:$AU$60&gt;$AM214)),
SUMPRODUCT(INDEX($AV$22:$AX$45,,$AI214), INDEX($AY$22:$BE$45,,$AH214), 1 / ($BG$22:$BG$45*CW214), N($AU$22:$AU$45&gt;$AM214))
) / 1000</f>
        <v>0</v>
      </c>
      <c r="CZ214" s="229">
        <f t="shared" si="522"/>
        <v>0</v>
      </c>
      <c r="DA214" s="246"/>
    </row>
    <row r="215" spans="1:105" s="75" customFormat="1" ht="14.25" customHeight="1" x14ac:dyDescent="0.2">
      <c r="A215" s="230" t="b">
        <f t="shared" si="291"/>
        <v>0</v>
      </c>
      <c r="B215" s="253">
        <v>194</v>
      </c>
      <c r="C215" s="266"/>
      <c r="D215" s="266"/>
      <c r="E215" s="254"/>
      <c r="F215" s="255" t="str">
        <f>IF(ISBLANK(E215), "", VLOOKUP(E215, Z!$A$2:$C$4127, 3, FALSE))</f>
        <v/>
      </c>
      <c r="G215" s="256"/>
      <c r="H215" s="256"/>
      <c r="I215" s="256"/>
      <c r="J215" s="257"/>
      <c r="K215" s="258"/>
      <c r="L215" s="267"/>
      <c r="M215" s="268"/>
      <c r="N215" s="259" t="str" cm="1">
        <f t="array" ref="N215">IF($L215&gt;0, INDEX(Clean,1+AK215,$D$1), "")</f>
        <v/>
      </c>
      <c r="O215" s="260"/>
      <c r="P215" s="260"/>
      <c r="Q215" s="261"/>
      <c r="R215" s="264">
        <f t="shared" si="498"/>
        <v>0</v>
      </c>
      <c r="S215" s="259" t="str" cm="1">
        <f t="array" ref="S215">IF($L215&gt;0, INDEX(Clean,1+AL215,$D$1), "")</f>
        <v/>
      </c>
      <c r="T215" s="260"/>
      <c r="U215" s="260"/>
      <c r="V215" s="261"/>
      <c r="W215" s="267"/>
      <c r="X215" s="267"/>
      <c r="Y215" s="257"/>
      <c r="Z215" s="264">
        <f t="shared" si="499"/>
        <v>0</v>
      </c>
      <c r="AA215" s="269"/>
      <c r="AB215" s="266"/>
      <c r="AC215" s="254"/>
      <c r="AD215" s="255" t="str">
        <f>IF(ISBLANK(AC215), "", VLOOKUP(AC215, Z!$A$2:$C$4127, 3, FALSE))</f>
        <v/>
      </c>
      <c r="AE215" s="270"/>
      <c r="AF215" s="265">
        <f t="shared" si="500"/>
        <v>0</v>
      </c>
      <c r="AG215" s="246"/>
      <c r="AH215" s="228">
        <f t="shared" si="523"/>
        <v>1</v>
      </c>
      <c r="AI215" s="228">
        <f t="shared" si="524"/>
        <v>1</v>
      </c>
      <c r="AJ215" s="228">
        <f t="shared" si="525"/>
        <v>0</v>
      </c>
      <c r="AK215" s="228">
        <v>0</v>
      </c>
      <c r="AL215" s="228">
        <v>0</v>
      </c>
      <c r="AM215" s="228">
        <f t="shared" si="501"/>
        <v>-100</v>
      </c>
      <c r="AN215" s="228" cm="1">
        <f t="array" ref="AN215">IF(ISBLANK(G215), 1, IFERROR(MATCH(G215, INDEX(Kat,,1), 0), IFERROR(MATCH(Kat, INDEX(Use,,2), 0), MATCH(Kat, INDEX(Use,,3), 0))))</f>
        <v>1</v>
      </c>
      <c r="AO215" s="246"/>
      <c r="AP215" s="228" cm="1">
        <f t="array" ref="AP215">IF(W215&gt;0, INDEX(Kat, AN215,4), 0)</f>
        <v>0</v>
      </c>
      <c r="AQ215" s="228">
        <f t="shared" si="526"/>
        <v>0</v>
      </c>
      <c r="AR215" s="228" cm="1">
        <f t="array" ref="AR215">IF(X215&gt;0, INDEX(Kat, $AN215, 4+AQ215), 0)</f>
        <v>0</v>
      </c>
      <c r="AS215" s="228" cm="1">
        <f t="array" ref="AS215">IF(X215&gt;0, INDEX(Kat, $AN215, 9+AQ215), 0)</f>
        <v>0</v>
      </c>
      <c r="AT215" s="246"/>
      <c r="AU215" s="262"/>
      <c r="AV215" s="262"/>
      <c r="AW215" s="263"/>
      <c r="AX215" s="263"/>
      <c r="AY215" s="263"/>
      <c r="AZ215" s="263"/>
      <c r="BA215" s="263"/>
      <c r="BB215" s="263"/>
      <c r="BC215" s="263"/>
      <c r="BD215" s="263"/>
      <c r="BE215" s="263"/>
      <c r="BF215" s="263"/>
      <c r="BG215" s="263"/>
      <c r="BH215" s="246"/>
      <c r="BI215" s="228" cm="1">
        <f t="array" ref="BI215">INDEX(Use, $AH215, 4)</f>
        <v>7</v>
      </c>
      <c r="BJ215" s="228">
        <f t="shared" si="502"/>
        <v>32</v>
      </c>
      <c r="BK215" s="228">
        <f t="shared" si="305"/>
        <v>13</v>
      </c>
      <c r="BL215" s="228">
        <f t="shared" si="306"/>
        <v>0</v>
      </c>
      <c r="BM215" s="233" cm="1">
        <f t="array" ref="BM215">L215/IF($M215&gt;0, INDEX($AY$22:$BE$76, $M215+20, $AH215), 1)</f>
        <v>0</v>
      </c>
      <c r="BN215" s="229">
        <f t="shared" si="503"/>
        <v>0</v>
      </c>
      <c r="BO215" s="228">
        <v>35</v>
      </c>
      <c r="BP215" s="229">
        <f t="shared" si="504"/>
        <v>48</v>
      </c>
      <c r="BQ215" s="234">
        <f t="shared" si="505"/>
        <v>3.0748170731707316</v>
      </c>
      <c r="BR215" s="234" cm="1">
        <f t="array" ref="BR215">$BM215 * SUMPRODUCT(INDEX($AV$76:$AX$81,,$AI215),INDEX($AY$76:$BE$81,,$AH215), N($AU$76:$AU$81&gt;$AM215)) / BQ215 / 1000</f>
        <v>0</v>
      </c>
      <c r="BS215" s="231">
        <f t="shared" si="310"/>
        <v>30</v>
      </c>
      <c r="BT215" s="229">
        <f t="shared" si="506"/>
        <v>43</v>
      </c>
      <c r="BU215" s="234">
        <f t="shared" si="507"/>
        <v>3.5018750000000001</v>
      </c>
      <c r="BV215" s="234" cm="1">
        <f t="array" ref="BV215">$BM215 * IF($AH215&lt;=2,
SUMPRODUCT(INDEX($AV$71:$AX$75,,$AI215), INDEX($AY$71:$BE$75,,$AH215), 1 / ($BF$71:$BF$75*BU215 + (1-$BF$71:$BF$75)*BQ215), N($AU$71:$AU$75&gt;$AM215)),
SUMPRODUCT(INDEX($AV$66:$AX$75,,$AI215), INDEX($AY$66:$BE$75,,$AH215), 1 / ($BG$66:$BG$75*BU215 + (1-$BG$66:$BG$75)*BQ215), N($AU$66:$AU$75&gt;$AM215))
) / 1000</f>
        <v>0</v>
      </c>
      <c r="BW215" s="231">
        <f t="shared" si="313"/>
        <v>25</v>
      </c>
      <c r="BX215" s="229">
        <f t="shared" si="508"/>
        <v>38</v>
      </c>
      <c r="BY215" s="234">
        <f t="shared" si="509"/>
        <v>4.0666935483870965</v>
      </c>
      <c r="BZ215" s="234" cm="1">
        <f t="array" ref="BZ215">$BM215 * IF($AH215&lt;=2,
SUMPRODUCT(INDEX($AV$66:$AX$70,,$AI215), INDEX($AY$66:$BE$70,,$AH215), 1 / ($BF$66:$BF$70*BY215 + (1-$BF$66:$BF$70)*BU215), N($AU$66:$AU$70&gt;$AM215)),
SUMPRODUCT(INDEX($AV$56:$AX$65,,$AI215), INDEX($AY$56:$BE$65,,$AH215), 1 / ($BG$56:$BG$65*BY215 + (1-$BG$56:$BG$65)*BU215), N($AU$56:$AU$65&gt;$AM215))
) / 1000</f>
        <v>0</v>
      </c>
      <c r="CA215" s="231">
        <f t="shared" si="316"/>
        <v>20</v>
      </c>
      <c r="CB215" s="229">
        <f t="shared" si="510"/>
        <v>33</v>
      </c>
      <c r="CC215" s="234">
        <f t="shared" si="511"/>
        <v>4.8487499999999999</v>
      </c>
      <c r="CD215" s="234" cm="1">
        <f t="array" ref="CD215">$BM215 * IF($AH215&lt;=2,
SUMPRODUCT(INDEX($AV$61:$AX$65,,$AI215), INDEX($AY$61:$BE$65,,$AH215), 1 / ($BF$61:$BF$65*CC215 + (1-$BF$61:$BF$65)*BY215), N($AU$61:$AU$65&gt;$AM215)),
SUMPRODUCT(INDEX($AV$46:$AX$55,,$AI215), INDEX($AY$46:$BE$55,,$AH215), 1 / ($BG$46:$BG$55*CC215 + (1-$BG$46:$BG$55)*BY215), N($AU$46:$AU$55&gt;$AM215))
) / 1000</f>
        <v>0</v>
      </c>
      <c r="CE215" s="234" cm="1">
        <f t="array" ref="CE215">$BM215 * IF($AH215&lt;=2,
SUMPRODUCT(INDEX($AV$22:$AX$60,,$AI215), INDEX($AY$22:$BE$60,,$AH215), 1 / ($BF$22:$BF$60*CC215), N($AU$22:$AU$60&gt;$AM215)),
SUMPRODUCT(INDEX($AV$22:$AX$45,,$AI215), INDEX($AY$22:$BE$45,,$AH215), 1 / ($BG$22:$BG$45*CC215), N($AU$22:$AU$45&gt;$AM215))
) / 1000</f>
        <v>0</v>
      </c>
      <c r="CF215" s="229">
        <f t="shared" si="512"/>
        <v>0</v>
      </c>
      <c r="CG215" s="246"/>
      <c r="CH215" s="229">
        <f t="shared" si="513"/>
        <v>0</v>
      </c>
      <c r="CI215" s="228">
        <v>35</v>
      </c>
      <c r="CJ215" s="229">
        <f t="shared" si="514"/>
        <v>48</v>
      </c>
      <c r="CK215" s="234">
        <f t="shared" si="515"/>
        <v>3.0748170731707316</v>
      </c>
      <c r="CL215" s="234" cm="1">
        <f t="array" ref="CL215">$BM215 * SUMPRODUCT(INDEX($AV$76:$AX$81,,$AI215),INDEX($AY$76:$BE$81,,$AH215), N($AU$76:$AU$81&gt;$AM215)) / CK215 / 1000</f>
        <v>0</v>
      </c>
      <c r="CM215" s="231">
        <f t="shared" si="323"/>
        <v>30</v>
      </c>
      <c r="CN215" s="229">
        <f t="shared" si="516"/>
        <v>43</v>
      </c>
      <c r="CO215" s="234">
        <f t="shared" si="517"/>
        <v>3.5018750000000001</v>
      </c>
      <c r="CP215" s="234" cm="1">
        <f t="array" ref="CP215">$BM215 * IF($AH215&lt;=2,
SUMPRODUCT(INDEX($AV$71:$AX$75,,$AI215), INDEX($AY$71:$BE$75,,$AH215), 1 / ($BF$71:$BF$75*CO215 + (1-$BF$71:$BF$75)*CK215), N($AU$71:$AU$75&gt;$AM215)),
SUMPRODUCT(INDEX($AV$66:$AX$75,,$AI215), INDEX($AY$66:$BE$75,,$AH215), 1 / ($BG$66:$BG$75*CO215 + (1-$BG$66:$BG$75)*CK215), N($AU$66:$AU$75&gt;$AM215))
) / 1000</f>
        <v>0</v>
      </c>
      <c r="CQ215" s="231">
        <f t="shared" si="326"/>
        <v>25</v>
      </c>
      <c r="CR215" s="229">
        <f t="shared" si="518"/>
        <v>38</v>
      </c>
      <c r="CS215" s="234">
        <f t="shared" si="519"/>
        <v>4.0666935483870965</v>
      </c>
      <c r="CT215" s="234" cm="1">
        <f t="array" ref="CT215">$BM215 * IF($AH215&lt;=2,
SUMPRODUCT(INDEX($AV$66:$AX$70,,$AI215), INDEX($AY$66:$BE$70,,$AH215), 1 / ($BF$66:$BF$70*CS215 + (1-$BF$66:$BF$70)*CO215), N($AU$66:$AU$70&gt;$AM215)),
SUMPRODUCT(INDEX($AV$56:$AX$65,,$AI215), INDEX($AY$56:$BE$65,,$AH215), 1 / ($BG$56:$BG$65*CS215 + (1-$BG$56:$BG$65)*CO215), N($AU$56:$AU$65&gt;$AM215))
) / 1000</f>
        <v>0</v>
      </c>
      <c r="CU215" s="231">
        <f t="shared" si="329"/>
        <v>20</v>
      </c>
      <c r="CV215" s="229">
        <f t="shared" si="520"/>
        <v>33</v>
      </c>
      <c r="CW215" s="234">
        <f t="shared" si="521"/>
        <v>4.8487499999999999</v>
      </c>
      <c r="CX215" s="234" cm="1">
        <f t="array" ref="CX215">$BM215 * IF($AH215&lt;=2,
SUMPRODUCT(INDEX($AV$61:$AX$65,,$AI215), INDEX($AY$61:$BE$65,,$AH215), 1 / ($BF$61:$BF$65*CW215 + (1-$BF$61:$BF$65)*CS215), N($AU$61:$AU$65&gt;$AM215)),
SUMPRODUCT(INDEX($AV$46:$AX$55,,$AI215), INDEX($AY$46:$BE$55,,$AH215), 1 / ($BG$46:$BG$55*CW215 + (1-$BG$46:$BG$55)*CS215), N($AU$46:$AU$55&gt;$AM215))
) / 1000</f>
        <v>0</v>
      </c>
      <c r="CY215" s="234" cm="1">
        <f t="array" ref="CY215">$BM215 * IF($AH215&lt;=2,
SUMPRODUCT(INDEX($AV$22:$AX$60,,$AI215), INDEX($AY$22:$BE$60,,$AH215), 1 / ($BF$22:$BF$60*CW215), N($AU$22:$AU$60&gt;$AM215)),
SUMPRODUCT(INDEX($AV$22:$AX$45,,$AI215), INDEX($AY$22:$BE$45,,$AH215), 1 / ($BG$22:$BG$45*CW215), N($AU$22:$AU$45&gt;$AM215))
) / 1000</f>
        <v>0</v>
      </c>
      <c r="CZ215" s="229">
        <f t="shared" si="522"/>
        <v>0</v>
      </c>
      <c r="DA215" s="246"/>
    </row>
    <row r="216" spans="1:105" s="75" customFormat="1" ht="14.25" customHeight="1" x14ac:dyDescent="0.2">
      <c r="A216" s="230" t="b">
        <f t="shared" si="291"/>
        <v>0</v>
      </c>
      <c r="B216" s="253">
        <v>195</v>
      </c>
      <c r="C216" s="266"/>
      <c r="D216" s="266"/>
      <c r="E216" s="254"/>
      <c r="F216" s="255" t="str">
        <f>IF(ISBLANK(E216), "", VLOOKUP(E216, Z!$A$2:$C$4127, 3, FALSE))</f>
        <v/>
      </c>
      <c r="G216" s="256"/>
      <c r="H216" s="256"/>
      <c r="I216" s="256"/>
      <c r="J216" s="257"/>
      <c r="K216" s="258"/>
      <c r="L216" s="267"/>
      <c r="M216" s="268"/>
      <c r="N216" s="259" t="str" cm="1">
        <f t="array" ref="N216">IF($L216&gt;0, INDEX(Clean,1+AK216,$D$1), "")</f>
        <v/>
      </c>
      <c r="O216" s="260"/>
      <c r="P216" s="260"/>
      <c r="Q216" s="261"/>
      <c r="R216" s="264">
        <f t="shared" si="498"/>
        <v>0</v>
      </c>
      <c r="S216" s="259" t="str" cm="1">
        <f t="array" ref="S216">IF($L216&gt;0, INDEX(Clean,1+AL216,$D$1), "")</f>
        <v/>
      </c>
      <c r="T216" s="260"/>
      <c r="U216" s="260"/>
      <c r="V216" s="261"/>
      <c r="W216" s="267"/>
      <c r="X216" s="267"/>
      <c r="Y216" s="257"/>
      <c r="Z216" s="264">
        <f t="shared" si="499"/>
        <v>0</v>
      </c>
      <c r="AA216" s="269"/>
      <c r="AB216" s="266"/>
      <c r="AC216" s="254"/>
      <c r="AD216" s="255" t="str">
        <f>IF(ISBLANK(AC216), "", VLOOKUP(AC216, Z!$A$2:$C$4127, 3, FALSE))</f>
        <v/>
      </c>
      <c r="AE216" s="270"/>
      <c r="AF216" s="265">
        <f t="shared" si="500"/>
        <v>0</v>
      </c>
      <c r="AG216" s="246"/>
      <c r="AH216" s="228">
        <f t="shared" si="523"/>
        <v>1</v>
      </c>
      <c r="AI216" s="228">
        <f t="shared" si="524"/>
        <v>1</v>
      </c>
      <c r="AJ216" s="228">
        <f t="shared" si="525"/>
        <v>0</v>
      </c>
      <c r="AK216" s="228">
        <v>0</v>
      </c>
      <c r="AL216" s="228">
        <v>0</v>
      </c>
      <c r="AM216" s="228">
        <f t="shared" si="501"/>
        <v>-100</v>
      </c>
      <c r="AN216" s="228" cm="1">
        <f t="array" ref="AN216">IF(ISBLANK(G216), 1, IFERROR(MATCH(G216, INDEX(Kat,,1), 0), IFERROR(MATCH(Kat, INDEX(Use,,2), 0), MATCH(Kat, INDEX(Use,,3), 0))))</f>
        <v>1</v>
      </c>
      <c r="AO216" s="246"/>
      <c r="AP216" s="228" cm="1">
        <f t="array" ref="AP216">IF(W216&gt;0, INDEX(Kat, AN216,4), 0)</f>
        <v>0</v>
      </c>
      <c r="AQ216" s="228">
        <f t="shared" si="526"/>
        <v>0</v>
      </c>
      <c r="AR216" s="228" cm="1">
        <f t="array" ref="AR216">IF(X216&gt;0, INDEX(Kat, $AN216, 4+AQ216), 0)</f>
        <v>0</v>
      </c>
      <c r="AS216" s="228" cm="1">
        <f t="array" ref="AS216">IF(X216&gt;0, INDEX(Kat, $AN216, 9+AQ216), 0)</f>
        <v>0</v>
      </c>
      <c r="AT216" s="246"/>
      <c r="AU216" s="262"/>
      <c r="AV216" s="262"/>
      <c r="AW216" s="263"/>
      <c r="AX216" s="263"/>
      <c r="AY216" s="263"/>
      <c r="AZ216" s="263"/>
      <c r="BA216" s="263"/>
      <c r="BB216" s="263"/>
      <c r="BC216" s="263"/>
      <c r="BD216" s="263"/>
      <c r="BE216" s="263"/>
      <c r="BF216" s="263"/>
      <c r="BG216" s="263"/>
      <c r="BH216" s="246"/>
      <c r="BI216" s="228" cm="1">
        <f t="array" ref="BI216">INDEX(Use, $AH216, 4)</f>
        <v>7</v>
      </c>
      <c r="BJ216" s="228">
        <f t="shared" si="502"/>
        <v>32</v>
      </c>
      <c r="BK216" s="228">
        <f t="shared" si="305"/>
        <v>13</v>
      </c>
      <c r="BL216" s="228">
        <f t="shared" si="306"/>
        <v>0</v>
      </c>
      <c r="BM216" s="233" cm="1">
        <f t="array" ref="BM216">L216/IF($M216&gt;0, INDEX($AY$22:$BE$76, $M216+20, $AH216), 1)</f>
        <v>0</v>
      </c>
      <c r="BN216" s="229">
        <f t="shared" si="503"/>
        <v>0</v>
      </c>
      <c r="BO216" s="228">
        <v>35</v>
      </c>
      <c r="BP216" s="229">
        <f t="shared" si="504"/>
        <v>48</v>
      </c>
      <c r="BQ216" s="234">
        <f t="shared" si="505"/>
        <v>3.0748170731707316</v>
      </c>
      <c r="BR216" s="234" cm="1">
        <f t="array" ref="BR216">$BM216 * SUMPRODUCT(INDEX($AV$76:$AX$81,,$AI216),INDEX($AY$76:$BE$81,,$AH216), N($AU$76:$AU$81&gt;$AM216)) / BQ216 / 1000</f>
        <v>0</v>
      </c>
      <c r="BS216" s="231">
        <f t="shared" si="310"/>
        <v>30</v>
      </c>
      <c r="BT216" s="229">
        <f t="shared" si="506"/>
        <v>43</v>
      </c>
      <c r="BU216" s="234">
        <f t="shared" si="507"/>
        <v>3.5018750000000001</v>
      </c>
      <c r="BV216" s="234" cm="1">
        <f t="array" ref="BV216">$BM216 * IF($AH216&lt;=2,
SUMPRODUCT(INDEX($AV$71:$AX$75,,$AI216), INDEX($AY$71:$BE$75,,$AH216), 1 / ($BF$71:$BF$75*BU216 + (1-$BF$71:$BF$75)*BQ216), N($AU$71:$AU$75&gt;$AM216)),
SUMPRODUCT(INDEX($AV$66:$AX$75,,$AI216), INDEX($AY$66:$BE$75,,$AH216), 1 / ($BG$66:$BG$75*BU216 + (1-$BG$66:$BG$75)*BQ216), N($AU$66:$AU$75&gt;$AM216))
) / 1000</f>
        <v>0</v>
      </c>
      <c r="BW216" s="231">
        <f t="shared" si="313"/>
        <v>25</v>
      </c>
      <c r="BX216" s="229">
        <f t="shared" si="508"/>
        <v>38</v>
      </c>
      <c r="BY216" s="234">
        <f t="shared" si="509"/>
        <v>4.0666935483870965</v>
      </c>
      <c r="BZ216" s="234" cm="1">
        <f t="array" ref="BZ216">$BM216 * IF($AH216&lt;=2,
SUMPRODUCT(INDEX($AV$66:$AX$70,,$AI216), INDEX($AY$66:$BE$70,,$AH216), 1 / ($BF$66:$BF$70*BY216 + (1-$BF$66:$BF$70)*BU216), N($AU$66:$AU$70&gt;$AM216)),
SUMPRODUCT(INDEX($AV$56:$AX$65,,$AI216), INDEX($AY$56:$BE$65,,$AH216), 1 / ($BG$56:$BG$65*BY216 + (1-$BG$56:$BG$65)*BU216), N($AU$56:$AU$65&gt;$AM216))
) / 1000</f>
        <v>0</v>
      </c>
      <c r="CA216" s="231">
        <f t="shared" si="316"/>
        <v>20</v>
      </c>
      <c r="CB216" s="229">
        <f t="shared" si="510"/>
        <v>33</v>
      </c>
      <c r="CC216" s="234">
        <f t="shared" si="511"/>
        <v>4.8487499999999999</v>
      </c>
      <c r="CD216" s="234" cm="1">
        <f t="array" ref="CD216">$BM216 * IF($AH216&lt;=2,
SUMPRODUCT(INDEX($AV$61:$AX$65,,$AI216), INDEX($AY$61:$BE$65,,$AH216), 1 / ($BF$61:$BF$65*CC216 + (1-$BF$61:$BF$65)*BY216), N($AU$61:$AU$65&gt;$AM216)),
SUMPRODUCT(INDEX($AV$46:$AX$55,,$AI216), INDEX($AY$46:$BE$55,,$AH216), 1 / ($BG$46:$BG$55*CC216 + (1-$BG$46:$BG$55)*BY216), N($AU$46:$AU$55&gt;$AM216))
) / 1000</f>
        <v>0</v>
      </c>
      <c r="CE216" s="234" cm="1">
        <f t="array" ref="CE216">$BM216 * IF($AH216&lt;=2,
SUMPRODUCT(INDEX($AV$22:$AX$60,,$AI216), INDEX($AY$22:$BE$60,,$AH216), 1 / ($BF$22:$BF$60*CC216), N($AU$22:$AU$60&gt;$AM216)),
SUMPRODUCT(INDEX($AV$22:$AX$45,,$AI216), INDEX($AY$22:$BE$45,,$AH216), 1 / ($BG$22:$BG$45*CC216), N($AU$22:$AU$45&gt;$AM216))
) / 1000</f>
        <v>0</v>
      </c>
      <c r="CF216" s="229">
        <f t="shared" si="512"/>
        <v>0</v>
      </c>
      <c r="CG216" s="246"/>
      <c r="CH216" s="229">
        <f t="shared" si="513"/>
        <v>0</v>
      </c>
      <c r="CI216" s="228">
        <v>35</v>
      </c>
      <c r="CJ216" s="229">
        <f t="shared" si="514"/>
        <v>48</v>
      </c>
      <c r="CK216" s="234">
        <f t="shared" si="515"/>
        <v>3.0748170731707316</v>
      </c>
      <c r="CL216" s="234" cm="1">
        <f t="array" ref="CL216">$BM216 * SUMPRODUCT(INDEX($AV$76:$AX$81,,$AI216),INDEX($AY$76:$BE$81,,$AH216), N($AU$76:$AU$81&gt;$AM216)) / CK216 / 1000</f>
        <v>0</v>
      </c>
      <c r="CM216" s="231">
        <f t="shared" si="323"/>
        <v>30</v>
      </c>
      <c r="CN216" s="229">
        <f t="shared" si="516"/>
        <v>43</v>
      </c>
      <c r="CO216" s="234">
        <f t="shared" si="517"/>
        <v>3.5018750000000001</v>
      </c>
      <c r="CP216" s="234" cm="1">
        <f t="array" ref="CP216">$BM216 * IF($AH216&lt;=2,
SUMPRODUCT(INDEX($AV$71:$AX$75,,$AI216), INDEX($AY$71:$BE$75,,$AH216), 1 / ($BF$71:$BF$75*CO216 + (1-$BF$71:$BF$75)*CK216), N($AU$71:$AU$75&gt;$AM216)),
SUMPRODUCT(INDEX($AV$66:$AX$75,,$AI216), INDEX($AY$66:$BE$75,,$AH216), 1 / ($BG$66:$BG$75*CO216 + (1-$BG$66:$BG$75)*CK216), N($AU$66:$AU$75&gt;$AM216))
) / 1000</f>
        <v>0</v>
      </c>
      <c r="CQ216" s="231">
        <f t="shared" si="326"/>
        <v>25</v>
      </c>
      <c r="CR216" s="229">
        <f t="shared" si="518"/>
        <v>38</v>
      </c>
      <c r="CS216" s="234">
        <f t="shared" si="519"/>
        <v>4.0666935483870965</v>
      </c>
      <c r="CT216" s="234" cm="1">
        <f t="array" ref="CT216">$BM216 * IF($AH216&lt;=2,
SUMPRODUCT(INDEX($AV$66:$AX$70,,$AI216), INDEX($AY$66:$BE$70,,$AH216), 1 / ($BF$66:$BF$70*CS216 + (1-$BF$66:$BF$70)*CO216), N($AU$66:$AU$70&gt;$AM216)),
SUMPRODUCT(INDEX($AV$56:$AX$65,,$AI216), INDEX($AY$56:$BE$65,,$AH216), 1 / ($BG$56:$BG$65*CS216 + (1-$BG$56:$BG$65)*CO216), N($AU$56:$AU$65&gt;$AM216))
) / 1000</f>
        <v>0</v>
      </c>
      <c r="CU216" s="231">
        <f t="shared" si="329"/>
        <v>20</v>
      </c>
      <c r="CV216" s="229">
        <f t="shared" si="520"/>
        <v>33</v>
      </c>
      <c r="CW216" s="234">
        <f t="shared" si="521"/>
        <v>4.8487499999999999</v>
      </c>
      <c r="CX216" s="234" cm="1">
        <f t="array" ref="CX216">$BM216 * IF($AH216&lt;=2,
SUMPRODUCT(INDEX($AV$61:$AX$65,,$AI216), INDEX($AY$61:$BE$65,,$AH216), 1 / ($BF$61:$BF$65*CW216 + (1-$BF$61:$BF$65)*CS216), N($AU$61:$AU$65&gt;$AM216)),
SUMPRODUCT(INDEX($AV$46:$AX$55,,$AI216), INDEX($AY$46:$BE$55,,$AH216), 1 / ($BG$46:$BG$55*CW216 + (1-$BG$46:$BG$55)*CS216), N($AU$46:$AU$55&gt;$AM216))
) / 1000</f>
        <v>0</v>
      </c>
      <c r="CY216" s="234" cm="1">
        <f t="array" ref="CY216">$BM216 * IF($AH216&lt;=2,
SUMPRODUCT(INDEX($AV$22:$AX$60,,$AI216), INDEX($AY$22:$BE$60,,$AH216), 1 / ($BF$22:$BF$60*CW216), N($AU$22:$AU$60&gt;$AM216)),
SUMPRODUCT(INDEX($AV$22:$AX$45,,$AI216), INDEX($AY$22:$BE$45,,$AH216), 1 / ($BG$22:$BG$45*CW216), N($AU$22:$AU$45&gt;$AM216))
) / 1000</f>
        <v>0</v>
      </c>
      <c r="CZ216" s="229">
        <f t="shared" si="522"/>
        <v>0</v>
      </c>
      <c r="DA216" s="246"/>
    </row>
    <row r="217" spans="1:105" s="75" customFormat="1" ht="14.25" customHeight="1" x14ac:dyDescent="0.2">
      <c r="A217" s="230" t="b">
        <f t="shared" si="291"/>
        <v>0</v>
      </c>
      <c r="B217" s="253">
        <v>196</v>
      </c>
      <c r="C217" s="266"/>
      <c r="D217" s="266"/>
      <c r="E217" s="254"/>
      <c r="F217" s="255" t="str">
        <f>IF(ISBLANK(E217), "", VLOOKUP(E217, Z!$A$2:$C$4127, 3, FALSE))</f>
        <v/>
      </c>
      <c r="G217" s="256"/>
      <c r="H217" s="256"/>
      <c r="I217" s="256"/>
      <c r="J217" s="257"/>
      <c r="K217" s="258"/>
      <c r="L217" s="267"/>
      <c r="M217" s="268"/>
      <c r="N217" s="259" t="str" cm="1">
        <f t="array" ref="N217">IF($L217&gt;0, INDEX(Clean,1+AK217,$D$1), "")</f>
        <v/>
      </c>
      <c r="O217" s="260"/>
      <c r="P217" s="260"/>
      <c r="Q217" s="261"/>
      <c r="R217" s="264">
        <f t="shared" si="498"/>
        <v>0</v>
      </c>
      <c r="S217" s="259" t="str" cm="1">
        <f t="array" ref="S217">IF($L217&gt;0, INDEX(Clean,1+AL217,$D$1), "")</f>
        <v/>
      </c>
      <c r="T217" s="260"/>
      <c r="U217" s="260"/>
      <c r="V217" s="261"/>
      <c r="W217" s="267"/>
      <c r="X217" s="267"/>
      <c r="Y217" s="257"/>
      <c r="Z217" s="264">
        <f t="shared" si="499"/>
        <v>0</v>
      </c>
      <c r="AA217" s="269"/>
      <c r="AB217" s="266"/>
      <c r="AC217" s="254"/>
      <c r="AD217" s="255" t="str">
        <f>IF(ISBLANK(AC217), "", VLOOKUP(AC217, Z!$A$2:$C$4127, 3, FALSE))</f>
        <v/>
      </c>
      <c r="AE217" s="270"/>
      <c r="AF217" s="265">
        <f t="shared" si="500"/>
        <v>0</v>
      </c>
      <c r="AG217" s="246"/>
      <c r="AH217" s="228">
        <f t="shared" si="523"/>
        <v>1</v>
      </c>
      <c r="AI217" s="228">
        <f t="shared" si="524"/>
        <v>1</v>
      </c>
      <c r="AJ217" s="228">
        <f t="shared" si="525"/>
        <v>0</v>
      </c>
      <c r="AK217" s="228">
        <v>0</v>
      </c>
      <c r="AL217" s="228">
        <v>0</v>
      </c>
      <c r="AM217" s="228">
        <f t="shared" si="501"/>
        <v>-100</v>
      </c>
      <c r="AN217" s="228" cm="1">
        <f t="array" ref="AN217">IF(ISBLANK(G217), 1, IFERROR(MATCH(G217, INDEX(Kat,,1), 0), IFERROR(MATCH(Kat, INDEX(Use,,2), 0), MATCH(Kat, INDEX(Use,,3), 0))))</f>
        <v>1</v>
      </c>
      <c r="AO217" s="246"/>
      <c r="AP217" s="228" cm="1">
        <f t="array" ref="AP217">IF(W217&gt;0, INDEX(Kat, AN217,4), 0)</f>
        <v>0</v>
      </c>
      <c r="AQ217" s="228">
        <f t="shared" si="526"/>
        <v>0</v>
      </c>
      <c r="AR217" s="228" cm="1">
        <f t="array" ref="AR217">IF(X217&gt;0, INDEX(Kat, $AN217, 4+AQ217), 0)</f>
        <v>0</v>
      </c>
      <c r="AS217" s="228" cm="1">
        <f t="array" ref="AS217">IF(X217&gt;0, INDEX(Kat, $AN217, 9+AQ217), 0)</f>
        <v>0</v>
      </c>
      <c r="AT217" s="246"/>
      <c r="AU217" s="262"/>
      <c r="AV217" s="262"/>
      <c r="AW217" s="263"/>
      <c r="AX217" s="263"/>
      <c r="AY217" s="263"/>
      <c r="AZ217" s="263"/>
      <c r="BA217" s="263"/>
      <c r="BB217" s="263"/>
      <c r="BC217" s="263"/>
      <c r="BD217" s="263"/>
      <c r="BE217" s="263"/>
      <c r="BF217" s="263"/>
      <c r="BG217" s="263"/>
      <c r="BH217" s="246"/>
      <c r="BI217" s="228" cm="1">
        <f t="array" ref="BI217">INDEX(Use, $AH217, 4)</f>
        <v>7</v>
      </c>
      <c r="BJ217" s="228">
        <f t="shared" si="502"/>
        <v>32</v>
      </c>
      <c r="BK217" s="228">
        <f t="shared" si="305"/>
        <v>13</v>
      </c>
      <c r="BL217" s="228">
        <f t="shared" si="306"/>
        <v>0</v>
      </c>
      <c r="BM217" s="233" cm="1">
        <f t="array" ref="BM217">L217/IF($M217&gt;0, INDEX($AY$22:$BE$76, $M217+20, $AH217), 1)</f>
        <v>0</v>
      </c>
      <c r="BN217" s="229">
        <f t="shared" si="503"/>
        <v>0</v>
      </c>
      <c r="BO217" s="228">
        <v>35</v>
      </c>
      <c r="BP217" s="229">
        <f t="shared" si="504"/>
        <v>48</v>
      </c>
      <c r="BQ217" s="234">
        <f t="shared" si="505"/>
        <v>3.0748170731707316</v>
      </c>
      <c r="BR217" s="234" cm="1">
        <f t="array" ref="BR217">$BM217 * SUMPRODUCT(INDEX($AV$76:$AX$81,,$AI217),INDEX($AY$76:$BE$81,,$AH217), N($AU$76:$AU$81&gt;$AM217)) / BQ217 / 1000</f>
        <v>0</v>
      </c>
      <c r="BS217" s="231">
        <f t="shared" si="310"/>
        <v>30</v>
      </c>
      <c r="BT217" s="229">
        <f t="shared" si="506"/>
        <v>43</v>
      </c>
      <c r="BU217" s="234">
        <f t="shared" si="507"/>
        <v>3.5018750000000001</v>
      </c>
      <c r="BV217" s="234" cm="1">
        <f t="array" ref="BV217">$BM217 * IF($AH217&lt;=2,
SUMPRODUCT(INDEX($AV$71:$AX$75,,$AI217), INDEX($AY$71:$BE$75,,$AH217), 1 / ($BF$71:$BF$75*BU217 + (1-$BF$71:$BF$75)*BQ217), N($AU$71:$AU$75&gt;$AM217)),
SUMPRODUCT(INDEX($AV$66:$AX$75,,$AI217), INDEX($AY$66:$BE$75,,$AH217), 1 / ($BG$66:$BG$75*BU217 + (1-$BG$66:$BG$75)*BQ217), N($AU$66:$AU$75&gt;$AM217))
) / 1000</f>
        <v>0</v>
      </c>
      <c r="BW217" s="231">
        <f t="shared" si="313"/>
        <v>25</v>
      </c>
      <c r="BX217" s="229">
        <f t="shared" si="508"/>
        <v>38</v>
      </c>
      <c r="BY217" s="234">
        <f t="shared" si="509"/>
        <v>4.0666935483870965</v>
      </c>
      <c r="BZ217" s="234" cm="1">
        <f t="array" ref="BZ217">$BM217 * IF($AH217&lt;=2,
SUMPRODUCT(INDEX($AV$66:$AX$70,,$AI217), INDEX($AY$66:$BE$70,,$AH217), 1 / ($BF$66:$BF$70*BY217 + (1-$BF$66:$BF$70)*BU217), N($AU$66:$AU$70&gt;$AM217)),
SUMPRODUCT(INDEX($AV$56:$AX$65,,$AI217), INDEX($AY$56:$BE$65,,$AH217), 1 / ($BG$56:$BG$65*BY217 + (1-$BG$56:$BG$65)*BU217), N($AU$56:$AU$65&gt;$AM217))
) / 1000</f>
        <v>0</v>
      </c>
      <c r="CA217" s="231">
        <f t="shared" si="316"/>
        <v>20</v>
      </c>
      <c r="CB217" s="229">
        <f t="shared" si="510"/>
        <v>33</v>
      </c>
      <c r="CC217" s="234">
        <f t="shared" si="511"/>
        <v>4.8487499999999999</v>
      </c>
      <c r="CD217" s="234" cm="1">
        <f t="array" ref="CD217">$BM217 * IF($AH217&lt;=2,
SUMPRODUCT(INDEX($AV$61:$AX$65,,$AI217), INDEX($AY$61:$BE$65,,$AH217), 1 / ($BF$61:$BF$65*CC217 + (1-$BF$61:$BF$65)*BY217), N($AU$61:$AU$65&gt;$AM217)),
SUMPRODUCT(INDEX($AV$46:$AX$55,,$AI217), INDEX($AY$46:$BE$55,,$AH217), 1 / ($BG$46:$BG$55*CC217 + (1-$BG$46:$BG$55)*BY217), N($AU$46:$AU$55&gt;$AM217))
) / 1000</f>
        <v>0</v>
      </c>
      <c r="CE217" s="234" cm="1">
        <f t="array" ref="CE217">$BM217 * IF($AH217&lt;=2,
SUMPRODUCT(INDEX($AV$22:$AX$60,,$AI217), INDEX($AY$22:$BE$60,,$AH217), 1 / ($BF$22:$BF$60*CC217), N($AU$22:$AU$60&gt;$AM217)),
SUMPRODUCT(INDEX($AV$22:$AX$45,,$AI217), INDEX($AY$22:$BE$45,,$AH217), 1 / ($BG$22:$BG$45*CC217), N($AU$22:$AU$45&gt;$AM217))
) / 1000</f>
        <v>0</v>
      </c>
      <c r="CF217" s="229">
        <f t="shared" si="512"/>
        <v>0</v>
      </c>
      <c r="CG217" s="246"/>
      <c r="CH217" s="229">
        <f t="shared" si="513"/>
        <v>0</v>
      </c>
      <c r="CI217" s="228">
        <v>35</v>
      </c>
      <c r="CJ217" s="229">
        <f t="shared" si="514"/>
        <v>48</v>
      </c>
      <c r="CK217" s="234">
        <f t="shared" si="515"/>
        <v>3.0748170731707316</v>
      </c>
      <c r="CL217" s="234" cm="1">
        <f t="array" ref="CL217">$BM217 * SUMPRODUCT(INDEX($AV$76:$AX$81,,$AI217),INDEX($AY$76:$BE$81,,$AH217), N($AU$76:$AU$81&gt;$AM217)) / CK217 / 1000</f>
        <v>0</v>
      </c>
      <c r="CM217" s="231">
        <f t="shared" si="323"/>
        <v>30</v>
      </c>
      <c r="CN217" s="229">
        <f t="shared" si="516"/>
        <v>43</v>
      </c>
      <c r="CO217" s="234">
        <f t="shared" si="517"/>
        <v>3.5018750000000001</v>
      </c>
      <c r="CP217" s="234" cm="1">
        <f t="array" ref="CP217">$BM217 * IF($AH217&lt;=2,
SUMPRODUCT(INDEX($AV$71:$AX$75,,$AI217), INDEX($AY$71:$BE$75,,$AH217), 1 / ($BF$71:$BF$75*CO217 + (1-$BF$71:$BF$75)*CK217), N($AU$71:$AU$75&gt;$AM217)),
SUMPRODUCT(INDEX($AV$66:$AX$75,,$AI217), INDEX($AY$66:$BE$75,,$AH217), 1 / ($BG$66:$BG$75*CO217 + (1-$BG$66:$BG$75)*CK217), N($AU$66:$AU$75&gt;$AM217))
) / 1000</f>
        <v>0</v>
      </c>
      <c r="CQ217" s="231">
        <f t="shared" si="326"/>
        <v>25</v>
      </c>
      <c r="CR217" s="229">
        <f t="shared" si="518"/>
        <v>38</v>
      </c>
      <c r="CS217" s="234">
        <f t="shared" si="519"/>
        <v>4.0666935483870965</v>
      </c>
      <c r="CT217" s="234" cm="1">
        <f t="array" ref="CT217">$BM217 * IF($AH217&lt;=2,
SUMPRODUCT(INDEX($AV$66:$AX$70,,$AI217), INDEX($AY$66:$BE$70,,$AH217), 1 / ($BF$66:$BF$70*CS217 + (1-$BF$66:$BF$70)*CO217), N($AU$66:$AU$70&gt;$AM217)),
SUMPRODUCT(INDEX($AV$56:$AX$65,,$AI217), INDEX($AY$56:$BE$65,,$AH217), 1 / ($BG$56:$BG$65*CS217 + (1-$BG$56:$BG$65)*CO217), N($AU$56:$AU$65&gt;$AM217))
) / 1000</f>
        <v>0</v>
      </c>
      <c r="CU217" s="231">
        <f t="shared" si="329"/>
        <v>20</v>
      </c>
      <c r="CV217" s="229">
        <f t="shared" si="520"/>
        <v>33</v>
      </c>
      <c r="CW217" s="234">
        <f t="shared" si="521"/>
        <v>4.8487499999999999</v>
      </c>
      <c r="CX217" s="234" cm="1">
        <f t="array" ref="CX217">$BM217 * IF($AH217&lt;=2,
SUMPRODUCT(INDEX($AV$61:$AX$65,,$AI217), INDEX($AY$61:$BE$65,,$AH217), 1 / ($BF$61:$BF$65*CW217 + (1-$BF$61:$BF$65)*CS217), N($AU$61:$AU$65&gt;$AM217)),
SUMPRODUCT(INDEX($AV$46:$AX$55,,$AI217), INDEX($AY$46:$BE$55,,$AH217), 1 / ($BG$46:$BG$55*CW217 + (1-$BG$46:$BG$55)*CS217), N($AU$46:$AU$55&gt;$AM217))
) / 1000</f>
        <v>0</v>
      </c>
      <c r="CY217" s="234" cm="1">
        <f t="array" ref="CY217">$BM217 * IF($AH217&lt;=2,
SUMPRODUCT(INDEX($AV$22:$AX$60,,$AI217), INDEX($AY$22:$BE$60,,$AH217), 1 / ($BF$22:$BF$60*CW217), N($AU$22:$AU$60&gt;$AM217)),
SUMPRODUCT(INDEX($AV$22:$AX$45,,$AI217), INDEX($AY$22:$BE$45,,$AH217), 1 / ($BG$22:$BG$45*CW217), N($AU$22:$AU$45&gt;$AM217))
) / 1000</f>
        <v>0</v>
      </c>
      <c r="CZ217" s="229">
        <f t="shared" si="522"/>
        <v>0</v>
      </c>
      <c r="DA217" s="246"/>
    </row>
    <row r="218" spans="1:105" s="75" customFormat="1" ht="14.25" customHeight="1" x14ac:dyDescent="0.2">
      <c r="A218" s="230" t="b">
        <f t="shared" si="291"/>
        <v>0</v>
      </c>
      <c r="B218" s="253">
        <v>197</v>
      </c>
      <c r="C218" s="266"/>
      <c r="D218" s="266"/>
      <c r="E218" s="254"/>
      <c r="F218" s="255" t="str">
        <f>IF(ISBLANK(E218), "", VLOOKUP(E218, Z!$A$2:$C$4127, 3, FALSE))</f>
        <v/>
      </c>
      <c r="G218" s="256"/>
      <c r="H218" s="256"/>
      <c r="I218" s="256"/>
      <c r="J218" s="257"/>
      <c r="K218" s="258"/>
      <c r="L218" s="267"/>
      <c r="M218" s="268"/>
      <c r="N218" s="259" t="str" cm="1">
        <f t="array" ref="N218">IF($L218&gt;0, INDEX(Clean,1+AK218,$D$1), "")</f>
        <v/>
      </c>
      <c r="O218" s="260"/>
      <c r="P218" s="260"/>
      <c r="Q218" s="261"/>
      <c r="R218" s="264">
        <f t="shared" si="498"/>
        <v>0</v>
      </c>
      <c r="S218" s="259" t="str" cm="1">
        <f t="array" ref="S218">IF($L218&gt;0, INDEX(Clean,1+AL218,$D$1), "")</f>
        <v/>
      </c>
      <c r="T218" s="260"/>
      <c r="U218" s="260"/>
      <c r="V218" s="261"/>
      <c r="W218" s="267"/>
      <c r="X218" s="267"/>
      <c r="Y218" s="257"/>
      <c r="Z218" s="264">
        <f t="shared" si="499"/>
        <v>0</v>
      </c>
      <c r="AA218" s="269"/>
      <c r="AB218" s="266"/>
      <c r="AC218" s="254"/>
      <c r="AD218" s="255" t="str">
        <f>IF(ISBLANK(AC218), "", VLOOKUP(AC218, Z!$A$2:$C$4127, 3, FALSE))</f>
        <v/>
      </c>
      <c r="AE218" s="270"/>
      <c r="AF218" s="265">
        <f t="shared" si="500"/>
        <v>0</v>
      </c>
      <c r="AG218" s="246"/>
      <c r="AH218" s="228">
        <f t="shared" si="523"/>
        <v>1</v>
      </c>
      <c r="AI218" s="228">
        <f t="shared" si="524"/>
        <v>1</v>
      </c>
      <c r="AJ218" s="228">
        <f t="shared" si="525"/>
        <v>0</v>
      </c>
      <c r="AK218" s="228">
        <v>0</v>
      </c>
      <c r="AL218" s="228">
        <v>0</v>
      </c>
      <c r="AM218" s="228">
        <f t="shared" si="501"/>
        <v>-100</v>
      </c>
      <c r="AN218" s="228" cm="1">
        <f t="array" ref="AN218">IF(ISBLANK(G218), 1, IFERROR(MATCH(G218, INDEX(Kat,,1), 0), IFERROR(MATCH(Kat, INDEX(Use,,2), 0), MATCH(Kat, INDEX(Use,,3), 0))))</f>
        <v>1</v>
      </c>
      <c r="AO218" s="246"/>
      <c r="AP218" s="228" cm="1">
        <f t="array" ref="AP218">IF(W218&gt;0, INDEX(Kat, AN218,4), 0)</f>
        <v>0</v>
      </c>
      <c r="AQ218" s="228">
        <f t="shared" si="526"/>
        <v>0</v>
      </c>
      <c r="AR218" s="228" cm="1">
        <f t="array" ref="AR218">IF(X218&gt;0, INDEX(Kat, $AN218, 4+AQ218), 0)</f>
        <v>0</v>
      </c>
      <c r="AS218" s="228" cm="1">
        <f t="array" ref="AS218">IF(X218&gt;0, INDEX(Kat, $AN218, 9+AQ218), 0)</f>
        <v>0</v>
      </c>
      <c r="AT218" s="246"/>
      <c r="AU218" s="262"/>
      <c r="AV218" s="262"/>
      <c r="AW218" s="263"/>
      <c r="AX218" s="263"/>
      <c r="AY218" s="263"/>
      <c r="AZ218" s="263"/>
      <c r="BA218" s="263"/>
      <c r="BB218" s="263"/>
      <c r="BC218" s="263"/>
      <c r="BD218" s="263"/>
      <c r="BE218" s="263"/>
      <c r="BF218" s="263"/>
      <c r="BG218" s="263"/>
      <c r="BH218" s="246"/>
      <c r="BI218" s="228" cm="1">
        <f t="array" ref="BI218">INDEX(Use, $AH218, 4)</f>
        <v>7</v>
      </c>
      <c r="BJ218" s="228">
        <f t="shared" si="502"/>
        <v>32</v>
      </c>
      <c r="BK218" s="228">
        <f t="shared" si="305"/>
        <v>13</v>
      </c>
      <c r="BL218" s="228">
        <f t="shared" si="306"/>
        <v>0</v>
      </c>
      <c r="BM218" s="233" cm="1">
        <f t="array" ref="BM218">L218/IF($M218&gt;0, INDEX($AY$22:$BE$76, $M218+20, $AH218), 1)</f>
        <v>0</v>
      </c>
      <c r="BN218" s="229">
        <f t="shared" si="503"/>
        <v>0</v>
      </c>
      <c r="BO218" s="228">
        <v>35</v>
      </c>
      <c r="BP218" s="229">
        <f t="shared" si="504"/>
        <v>48</v>
      </c>
      <c r="BQ218" s="234">
        <f t="shared" si="505"/>
        <v>3.0748170731707316</v>
      </c>
      <c r="BR218" s="234" cm="1">
        <f t="array" ref="BR218">$BM218 * SUMPRODUCT(INDEX($AV$76:$AX$81,,$AI218),INDEX($AY$76:$BE$81,,$AH218), N($AU$76:$AU$81&gt;$AM218)) / BQ218 / 1000</f>
        <v>0</v>
      </c>
      <c r="BS218" s="231">
        <f t="shared" si="310"/>
        <v>30</v>
      </c>
      <c r="BT218" s="229">
        <f t="shared" si="506"/>
        <v>43</v>
      </c>
      <c r="BU218" s="234">
        <f t="shared" si="507"/>
        <v>3.5018750000000001</v>
      </c>
      <c r="BV218" s="234" cm="1">
        <f t="array" ref="BV218">$BM218 * IF($AH218&lt;=2,
SUMPRODUCT(INDEX($AV$71:$AX$75,,$AI218), INDEX($AY$71:$BE$75,,$AH218), 1 / ($BF$71:$BF$75*BU218 + (1-$BF$71:$BF$75)*BQ218), N($AU$71:$AU$75&gt;$AM218)),
SUMPRODUCT(INDEX($AV$66:$AX$75,,$AI218), INDEX($AY$66:$BE$75,,$AH218), 1 / ($BG$66:$BG$75*BU218 + (1-$BG$66:$BG$75)*BQ218), N($AU$66:$AU$75&gt;$AM218))
) / 1000</f>
        <v>0</v>
      </c>
      <c r="BW218" s="231">
        <f t="shared" si="313"/>
        <v>25</v>
      </c>
      <c r="BX218" s="229">
        <f t="shared" si="508"/>
        <v>38</v>
      </c>
      <c r="BY218" s="234">
        <f t="shared" si="509"/>
        <v>4.0666935483870965</v>
      </c>
      <c r="BZ218" s="234" cm="1">
        <f t="array" ref="BZ218">$BM218 * IF($AH218&lt;=2,
SUMPRODUCT(INDEX($AV$66:$AX$70,,$AI218), INDEX($AY$66:$BE$70,,$AH218), 1 / ($BF$66:$BF$70*BY218 + (1-$BF$66:$BF$70)*BU218), N($AU$66:$AU$70&gt;$AM218)),
SUMPRODUCT(INDEX($AV$56:$AX$65,,$AI218), INDEX($AY$56:$BE$65,,$AH218), 1 / ($BG$56:$BG$65*BY218 + (1-$BG$56:$BG$65)*BU218), N($AU$56:$AU$65&gt;$AM218))
) / 1000</f>
        <v>0</v>
      </c>
      <c r="CA218" s="231">
        <f t="shared" si="316"/>
        <v>20</v>
      </c>
      <c r="CB218" s="229">
        <f t="shared" si="510"/>
        <v>33</v>
      </c>
      <c r="CC218" s="234">
        <f t="shared" si="511"/>
        <v>4.8487499999999999</v>
      </c>
      <c r="CD218" s="234" cm="1">
        <f t="array" ref="CD218">$BM218 * IF($AH218&lt;=2,
SUMPRODUCT(INDEX($AV$61:$AX$65,,$AI218), INDEX($AY$61:$BE$65,,$AH218), 1 / ($BF$61:$BF$65*CC218 + (1-$BF$61:$BF$65)*BY218), N($AU$61:$AU$65&gt;$AM218)),
SUMPRODUCT(INDEX($AV$46:$AX$55,,$AI218), INDEX($AY$46:$BE$55,,$AH218), 1 / ($BG$46:$BG$55*CC218 + (1-$BG$46:$BG$55)*BY218), N($AU$46:$AU$55&gt;$AM218))
) / 1000</f>
        <v>0</v>
      </c>
      <c r="CE218" s="234" cm="1">
        <f t="array" ref="CE218">$BM218 * IF($AH218&lt;=2,
SUMPRODUCT(INDEX($AV$22:$AX$60,,$AI218), INDEX($AY$22:$BE$60,,$AH218), 1 / ($BF$22:$BF$60*CC218), N($AU$22:$AU$60&gt;$AM218)),
SUMPRODUCT(INDEX($AV$22:$AX$45,,$AI218), INDEX($AY$22:$BE$45,,$AH218), 1 / ($BG$22:$BG$45*CC218), N($AU$22:$AU$45&gt;$AM218))
) / 1000</f>
        <v>0</v>
      </c>
      <c r="CF218" s="229">
        <f t="shared" si="512"/>
        <v>0</v>
      </c>
      <c r="CG218" s="246"/>
      <c r="CH218" s="229">
        <f t="shared" si="513"/>
        <v>0</v>
      </c>
      <c r="CI218" s="228">
        <v>35</v>
      </c>
      <c r="CJ218" s="229">
        <f t="shared" si="514"/>
        <v>48</v>
      </c>
      <c r="CK218" s="234">
        <f t="shared" si="515"/>
        <v>3.0748170731707316</v>
      </c>
      <c r="CL218" s="234" cm="1">
        <f t="array" ref="CL218">$BM218 * SUMPRODUCT(INDEX($AV$76:$AX$81,,$AI218),INDEX($AY$76:$BE$81,,$AH218), N($AU$76:$AU$81&gt;$AM218)) / CK218 / 1000</f>
        <v>0</v>
      </c>
      <c r="CM218" s="231">
        <f t="shared" si="323"/>
        <v>30</v>
      </c>
      <c r="CN218" s="229">
        <f t="shared" si="516"/>
        <v>43</v>
      </c>
      <c r="CO218" s="234">
        <f t="shared" si="517"/>
        <v>3.5018750000000001</v>
      </c>
      <c r="CP218" s="234" cm="1">
        <f t="array" ref="CP218">$BM218 * IF($AH218&lt;=2,
SUMPRODUCT(INDEX($AV$71:$AX$75,,$AI218), INDEX($AY$71:$BE$75,,$AH218), 1 / ($BF$71:$BF$75*CO218 + (1-$BF$71:$BF$75)*CK218), N($AU$71:$AU$75&gt;$AM218)),
SUMPRODUCT(INDEX($AV$66:$AX$75,,$AI218), INDEX($AY$66:$BE$75,,$AH218), 1 / ($BG$66:$BG$75*CO218 + (1-$BG$66:$BG$75)*CK218), N($AU$66:$AU$75&gt;$AM218))
) / 1000</f>
        <v>0</v>
      </c>
      <c r="CQ218" s="231">
        <f t="shared" si="326"/>
        <v>25</v>
      </c>
      <c r="CR218" s="229">
        <f t="shared" si="518"/>
        <v>38</v>
      </c>
      <c r="CS218" s="234">
        <f t="shared" si="519"/>
        <v>4.0666935483870965</v>
      </c>
      <c r="CT218" s="234" cm="1">
        <f t="array" ref="CT218">$BM218 * IF($AH218&lt;=2,
SUMPRODUCT(INDEX($AV$66:$AX$70,,$AI218), INDEX($AY$66:$BE$70,,$AH218), 1 / ($BF$66:$BF$70*CS218 + (1-$BF$66:$BF$70)*CO218), N($AU$66:$AU$70&gt;$AM218)),
SUMPRODUCT(INDEX($AV$56:$AX$65,,$AI218), INDEX($AY$56:$BE$65,,$AH218), 1 / ($BG$56:$BG$65*CS218 + (1-$BG$56:$BG$65)*CO218), N($AU$56:$AU$65&gt;$AM218))
) / 1000</f>
        <v>0</v>
      </c>
      <c r="CU218" s="231">
        <f t="shared" si="329"/>
        <v>20</v>
      </c>
      <c r="CV218" s="229">
        <f t="shared" si="520"/>
        <v>33</v>
      </c>
      <c r="CW218" s="234">
        <f t="shared" si="521"/>
        <v>4.8487499999999999</v>
      </c>
      <c r="CX218" s="234" cm="1">
        <f t="array" ref="CX218">$BM218 * IF($AH218&lt;=2,
SUMPRODUCT(INDEX($AV$61:$AX$65,,$AI218), INDEX($AY$61:$BE$65,,$AH218), 1 / ($BF$61:$BF$65*CW218 + (1-$BF$61:$BF$65)*CS218), N($AU$61:$AU$65&gt;$AM218)),
SUMPRODUCT(INDEX($AV$46:$AX$55,,$AI218), INDEX($AY$46:$BE$55,,$AH218), 1 / ($BG$46:$BG$55*CW218 + (1-$BG$46:$BG$55)*CS218), N($AU$46:$AU$55&gt;$AM218))
) / 1000</f>
        <v>0</v>
      </c>
      <c r="CY218" s="234" cm="1">
        <f t="array" ref="CY218">$BM218 * IF($AH218&lt;=2,
SUMPRODUCT(INDEX($AV$22:$AX$60,,$AI218), INDEX($AY$22:$BE$60,,$AH218), 1 / ($BF$22:$BF$60*CW218), N($AU$22:$AU$60&gt;$AM218)),
SUMPRODUCT(INDEX($AV$22:$AX$45,,$AI218), INDEX($AY$22:$BE$45,,$AH218), 1 / ($BG$22:$BG$45*CW218), N($AU$22:$AU$45&gt;$AM218))
) / 1000</f>
        <v>0</v>
      </c>
      <c r="CZ218" s="229">
        <f t="shared" si="522"/>
        <v>0</v>
      </c>
      <c r="DA218" s="246"/>
    </row>
    <row r="219" spans="1:105" s="75" customFormat="1" ht="14.25" customHeight="1" x14ac:dyDescent="0.2">
      <c r="A219" s="230" t="b">
        <f t="shared" si="291"/>
        <v>0</v>
      </c>
      <c r="B219" s="253">
        <v>198</v>
      </c>
      <c r="C219" s="266"/>
      <c r="D219" s="266"/>
      <c r="E219" s="254"/>
      <c r="F219" s="255" t="str">
        <f>IF(ISBLANK(E219), "", VLOOKUP(E219, Z!$A$2:$C$4127, 3, FALSE))</f>
        <v/>
      </c>
      <c r="G219" s="256"/>
      <c r="H219" s="256"/>
      <c r="I219" s="256"/>
      <c r="J219" s="257"/>
      <c r="K219" s="258"/>
      <c r="L219" s="267"/>
      <c r="M219" s="268"/>
      <c r="N219" s="259" t="str" cm="1">
        <f t="array" ref="N219">IF($L219&gt;0, INDEX(Clean,1+AK219,$D$1), "")</f>
        <v/>
      </c>
      <c r="O219" s="260"/>
      <c r="P219" s="260"/>
      <c r="Q219" s="261"/>
      <c r="R219" s="264">
        <f t="shared" si="498"/>
        <v>0</v>
      </c>
      <c r="S219" s="259" t="str" cm="1">
        <f t="array" ref="S219">IF($L219&gt;0, INDEX(Clean,1+AL219,$D$1), "")</f>
        <v/>
      </c>
      <c r="T219" s="260"/>
      <c r="U219" s="260"/>
      <c r="V219" s="261"/>
      <c r="W219" s="267"/>
      <c r="X219" s="267"/>
      <c r="Y219" s="257"/>
      <c r="Z219" s="264">
        <f t="shared" si="499"/>
        <v>0</v>
      </c>
      <c r="AA219" s="269"/>
      <c r="AB219" s="266"/>
      <c r="AC219" s="254"/>
      <c r="AD219" s="255" t="str">
        <f>IF(ISBLANK(AC219), "", VLOOKUP(AC219, Z!$A$2:$C$4127, 3, FALSE))</f>
        <v/>
      </c>
      <c r="AE219" s="270"/>
      <c r="AF219" s="265">
        <f t="shared" si="500"/>
        <v>0</v>
      </c>
      <c r="AG219" s="246"/>
      <c r="AH219" s="228">
        <f t="shared" si="523"/>
        <v>1</v>
      </c>
      <c r="AI219" s="228">
        <f t="shared" si="524"/>
        <v>1</v>
      </c>
      <c r="AJ219" s="228">
        <f t="shared" si="525"/>
        <v>0</v>
      </c>
      <c r="AK219" s="228">
        <v>0</v>
      </c>
      <c r="AL219" s="228">
        <v>0</v>
      </c>
      <c r="AM219" s="228">
        <f t="shared" si="501"/>
        <v>-100</v>
      </c>
      <c r="AN219" s="228" cm="1">
        <f t="array" ref="AN219">IF(ISBLANK(G219), 1, IFERROR(MATCH(G219, INDEX(Kat,,1), 0), IFERROR(MATCH(Kat, INDEX(Use,,2), 0), MATCH(Kat, INDEX(Use,,3), 0))))</f>
        <v>1</v>
      </c>
      <c r="AO219" s="246"/>
      <c r="AP219" s="228" cm="1">
        <f t="array" ref="AP219">IF(W219&gt;0, INDEX(Kat, AN219,4), 0)</f>
        <v>0</v>
      </c>
      <c r="AQ219" s="228">
        <f t="shared" si="526"/>
        <v>0</v>
      </c>
      <c r="AR219" s="228" cm="1">
        <f t="array" ref="AR219">IF(X219&gt;0, INDEX(Kat, $AN219, 4+AQ219), 0)</f>
        <v>0</v>
      </c>
      <c r="AS219" s="228" cm="1">
        <f t="array" ref="AS219">IF(X219&gt;0, INDEX(Kat, $AN219, 9+AQ219), 0)</f>
        <v>0</v>
      </c>
      <c r="AT219" s="246"/>
      <c r="AU219" s="262"/>
      <c r="AV219" s="262"/>
      <c r="AW219" s="263"/>
      <c r="AX219" s="263"/>
      <c r="AY219" s="263"/>
      <c r="AZ219" s="263"/>
      <c r="BA219" s="263"/>
      <c r="BB219" s="263"/>
      <c r="BC219" s="263"/>
      <c r="BD219" s="263"/>
      <c r="BE219" s="263"/>
      <c r="BF219" s="263"/>
      <c r="BG219" s="263"/>
      <c r="BH219" s="246"/>
      <c r="BI219" s="228" cm="1">
        <f t="array" ref="BI219">INDEX(Use, $AH219, 4)</f>
        <v>7</v>
      </c>
      <c r="BJ219" s="228">
        <f t="shared" si="502"/>
        <v>32</v>
      </c>
      <c r="BK219" s="228">
        <f t="shared" si="305"/>
        <v>13</v>
      </c>
      <c r="BL219" s="228">
        <f t="shared" si="306"/>
        <v>0</v>
      </c>
      <c r="BM219" s="233" cm="1">
        <f t="array" ref="BM219">L219/IF($M219&gt;0, INDEX($AY$22:$BE$76, $M219+20, $AH219), 1)</f>
        <v>0</v>
      </c>
      <c r="BN219" s="229">
        <f t="shared" si="503"/>
        <v>0</v>
      </c>
      <c r="BO219" s="228">
        <v>35</v>
      </c>
      <c r="BP219" s="229">
        <f t="shared" si="504"/>
        <v>48</v>
      </c>
      <c r="BQ219" s="234">
        <f t="shared" si="505"/>
        <v>3.0748170731707316</v>
      </c>
      <c r="BR219" s="234" cm="1">
        <f t="array" ref="BR219">$BM219 * SUMPRODUCT(INDEX($AV$76:$AX$81,,$AI219),INDEX($AY$76:$BE$81,,$AH219), N($AU$76:$AU$81&gt;$AM219)) / BQ219 / 1000</f>
        <v>0</v>
      </c>
      <c r="BS219" s="231">
        <f t="shared" si="310"/>
        <v>30</v>
      </c>
      <c r="BT219" s="229">
        <f t="shared" si="506"/>
        <v>43</v>
      </c>
      <c r="BU219" s="234">
        <f t="shared" si="507"/>
        <v>3.5018750000000001</v>
      </c>
      <c r="BV219" s="234" cm="1">
        <f t="array" ref="BV219">$BM219 * IF($AH219&lt;=2,
SUMPRODUCT(INDEX($AV$71:$AX$75,,$AI219), INDEX($AY$71:$BE$75,,$AH219), 1 / ($BF$71:$BF$75*BU219 + (1-$BF$71:$BF$75)*BQ219), N($AU$71:$AU$75&gt;$AM219)),
SUMPRODUCT(INDEX($AV$66:$AX$75,,$AI219), INDEX($AY$66:$BE$75,,$AH219), 1 / ($BG$66:$BG$75*BU219 + (1-$BG$66:$BG$75)*BQ219), N($AU$66:$AU$75&gt;$AM219))
) / 1000</f>
        <v>0</v>
      </c>
      <c r="BW219" s="231">
        <f t="shared" si="313"/>
        <v>25</v>
      </c>
      <c r="BX219" s="229">
        <f t="shared" si="508"/>
        <v>38</v>
      </c>
      <c r="BY219" s="234">
        <f t="shared" si="509"/>
        <v>4.0666935483870965</v>
      </c>
      <c r="BZ219" s="234" cm="1">
        <f t="array" ref="BZ219">$BM219 * IF($AH219&lt;=2,
SUMPRODUCT(INDEX($AV$66:$AX$70,,$AI219), INDEX($AY$66:$BE$70,,$AH219), 1 / ($BF$66:$BF$70*BY219 + (1-$BF$66:$BF$70)*BU219), N($AU$66:$AU$70&gt;$AM219)),
SUMPRODUCT(INDEX($AV$56:$AX$65,,$AI219), INDEX($AY$56:$BE$65,,$AH219), 1 / ($BG$56:$BG$65*BY219 + (1-$BG$56:$BG$65)*BU219), N($AU$56:$AU$65&gt;$AM219))
) / 1000</f>
        <v>0</v>
      </c>
      <c r="CA219" s="231">
        <f t="shared" si="316"/>
        <v>20</v>
      </c>
      <c r="CB219" s="229">
        <f t="shared" si="510"/>
        <v>33</v>
      </c>
      <c r="CC219" s="234">
        <f t="shared" si="511"/>
        <v>4.8487499999999999</v>
      </c>
      <c r="CD219" s="234" cm="1">
        <f t="array" ref="CD219">$BM219 * IF($AH219&lt;=2,
SUMPRODUCT(INDEX($AV$61:$AX$65,,$AI219), INDEX($AY$61:$BE$65,,$AH219), 1 / ($BF$61:$BF$65*CC219 + (1-$BF$61:$BF$65)*BY219), N($AU$61:$AU$65&gt;$AM219)),
SUMPRODUCT(INDEX($AV$46:$AX$55,,$AI219), INDEX($AY$46:$BE$55,,$AH219), 1 / ($BG$46:$BG$55*CC219 + (1-$BG$46:$BG$55)*BY219), N($AU$46:$AU$55&gt;$AM219))
) / 1000</f>
        <v>0</v>
      </c>
      <c r="CE219" s="234" cm="1">
        <f t="array" ref="CE219">$BM219 * IF($AH219&lt;=2,
SUMPRODUCT(INDEX($AV$22:$AX$60,,$AI219), INDEX($AY$22:$BE$60,,$AH219), 1 / ($BF$22:$BF$60*CC219), N($AU$22:$AU$60&gt;$AM219)),
SUMPRODUCT(INDEX($AV$22:$AX$45,,$AI219), INDEX($AY$22:$BE$45,,$AH219), 1 / ($BG$22:$BG$45*CC219), N($AU$22:$AU$45&gt;$AM219))
) / 1000</f>
        <v>0</v>
      </c>
      <c r="CF219" s="229">
        <f t="shared" si="512"/>
        <v>0</v>
      </c>
      <c r="CG219" s="246"/>
      <c r="CH219" s="229">
        <f t="shared" si="513"/>
        <v>0</v>
      </c>
      <c r="CI219" s="228">
        <v>35</v>
      </c>
      <c r="CJ219" s="229">
        <f t="shared" si="514"/>
        <v>48</v>
      </c>
      <c r="CK219" s="234">
        <f t="shared" si="515"/>
        <v>3.0748170731707316</v>
      </c>
      <c r="CL219" s="234" cm="1">
        <f t="array" ref="CL219">$BM219 * SUMPRODUCT(INDEX($AV$76:$AX$81,,$AI219),INDEX($AY$76:$BE$81,,$AH219), N($AU$76:$AU$81&gt;$AM219)) / CK219 / 1000</f>
        <v>0</v>
      </c>
      <c r="CM219" s="231">
        <f t="shared" si="323"/>
        <v>30</v>
      </c>
      <c r="CN219" s="229">
        <f t="shared" si="516"/>
        <v>43</v>
      </c>
      <c r="CO219" s="234">
        <f t="shared" si="517"/>
        <v>3.5018750000000001</v>
      </c>
      <c r="CP219" s="234" cm="1">
        <f t="array" ref="CP219">$BM219 * IF($AH219&lt;=2,
SUMPRODUCT(INDEX($AV$71:$AX$75,,$AI219), INDEX($AY$71:$BE$75,,$AH219), 1 / ($BF$71:$BF$75*CO219 + (1-$BF$71:$BF$75)*CK219), N($AU$71:$AU$75&gt;$AM219)),
SUMPRODUCT(INDEX($AV$66:$AX$75,,$AI219), INDEX($AY$66:$BE$75,,$AH219), 1 / ($BG$66:$BG$75*CO219 + (1-$BG$66:$BG$75)*CK219), N($AU$66:$AU$75&gt;$AM219))
) / 1000</f>
        <v>0</v>
      </c>
      <c r="CQ219" s="231">
        <f t="shared" si="326"/>
        <v>25</v>
      </c>
      <c r="CR219" s="229">
        <f t="shared" si="518"/>
        <v>38</v>
      </c>
      <c r="CS219" s="234">
        <f t="shared" si="519"/>
        <v>4.0666935483870965</v>
      </c>
      <c r="CT219" s="234" cm="1">
        <f t="array" ref="CT219">$BM219 * IF($AH219&lt;=2,
SUMPRODUCT(INDEX($AV$66:$AX$70,,$AI219), INDEX($AY$66:$BE$70,,$AH219), 1 / ($BF$66:$BF$70*CS219 + (1-$BF$66:$BF$70)*CO219), N($AU$66:$AU$70&gt;$AM219)),
SUMPRODUCT(INDEX($AV$56:$AX$65,,$AI219), INDEX($AY$56:$BE$65,,$AH219), 1 / ($BG$56:$BG$65*CS219 + (1-$BG$56:$BG$65)*CO219), N($AU$56:$AU$65&gt;$AM219))
) / 1000</f>
        <v>0</v>
      </c>
      <c r="CU219" s="231">
        <f t="shared" si="329"/>
        <v>20</v>
      </c>
      <c r="CV219" s="229">
        <f t="shared" si="520"/>
        <v>33</v>
      </c>
      <c r="CW219" s="234">
        <f t="shared" si="521"/>
        <v>4.8487499999999999</v>
      </c>
      <c r="CX219" s="234" cm="1">
        <f t="array" ref="CX219">$BM219 * IF($AH219&lt;=2,
SUMPRODUCT(INDEX($AV$61:$AX$65,,$AI219), INDEX($AY$61:$BE$65,,$AH219), 1 / ($BF$61:$BF$65*CW219 + (1-$BF$61:$BF$65)*CS219), N($AU$61:$AU$65&gt;$AM219)),
SUMPRODUCT(INDEX($AV$46:$AX$55,,$AI219), INDEX($AY$46:$BE$55,,$AH219), 1 / ($BG$46:$BG$55*CW219 + (1-$BG$46:$BG$55)*CS219), N($AU$46:$AU$55&gt;$AM219))
) / 1000</f>
        <v>0</v>
      </c>
      <c r="CY219" s="234" cm="1">
        <f t="array" ref="CY219">$BM219 * IF($AH219&lt;=2,
SUMPRODUCT(INDEX($AV$22:$AX$60,,$AI219), INDEX($AY$22:$BE$60,,$AH219), 1 / ($BF$22:$BF$60*CW219), N($AU$22:$AU$60&gt;$AM219)),
SUMPRODUCT(INDEX($AV$22:$AX$45,,$AI219), INDEX($AY$22:$BE$45,,$AH219), 1 / ($BG$22:$BG$45*CW219), N($AU$22:$AU$45&gt;$AM219))
) / 1000</f>
        <v>0</v>
      </c>
      <c r="CZ219" s="229">
        <f t="shared" si="522"/>
        <v>0</v>
      </c>
      <c r="DA219" s="246"/>
    </row>
    <row r="220" spans="1:105" s="75" customFormat="1" ht="14.25" customHeight="1" x14ac:dyDescent="0.2">
      <c r="A220" s="230" t="b">
        <f t="shared" si="291"/>
        <v>0</v>
      </c>
      <c r="B220" s="253">
        <v>199</v>
      </c>
      <c r="C220" s="266"/>
      <c r="D220" s="266"/>
      <c r="E220" s="254"/>
      <c r="F220" s="255" t="str">
        <f>IF(ISBLANK(E220), "", VLOOKUP(E220, Z!$A$2:$C$4127, 3, FALSE))</f>
        <v/>
      </c>
      <c r="G220" s="256"/>
      <c r="H220" s="256"/>
      <c r="I220" s="256"/>
      <c r="J220" s="257"/>
      <c r="K220" s="258"/>
      <c r="L220" s="267"/>
      <c r="M220" s="268"/>
      <c r="N220" s="259" t="str" cm="1">
        <f t="array" ref="N220">IF($L220&gt;0, INDEX(Clean,1+AK220,$D$1), "")</f>
        <v/>
      </c>
      <c r="O220" s="260"/>
      <c r="P220" s="260"/>
      <c r="Q220" s="261"/>
      <c r="R220" s="264">
        <f t="shared" si="498"/>
        <v>0</v>
      </c>
      <c r="S220" s="259" t="str" cm="1">
        <f t="array" ref="S220">IF($L220&gt;0, INDEX(Clean,1+AL220,$D$1), "")</f>
        <v/>
      </c>
      <c r="T220" s="260"/>
      <c r="U220" s="260"/>
      <c r="V220" s="261"/>
      <c r="W220" s="267"/>
      <c r="X220" s="267"/>
      <c r="Y220" s="257"/>
      <c r="Z220" s="264">
        <f t="shared" si="499"/>
        <v>0</v>
      </c>
      <c r="AA220" s="269"/>
      <c r="AB220" s="266"/>
      <c r="AC220" s="254"/>
      <c r="AD220" s="255" t="str">
        <f>IF(ISBLANK(AC220), "", VLOOKUP(AC220, Z!$A$2:$C$4127, 3, FALSE))</f>
        <v/>
      </c>
      <c r="AE220" s="270"/>
      <c r="AF220" s="265">
        <f t="shared" si="500"/>
        <v>0</v>
      </c>
      <c r="AG220" s="246"/>
      <c r="AH220" s="228">
        <f t="shared" si="523"/>
        <v>1</v>
      </c>
      <c r="AI220" s="228">
        <f t="shared" si="524"/>
        <v>1</v>
      </c>
      <c r="AJ220" s="228">
        <f t="shared" si="525"/>
        <v>0</v>
      </c>
      <c r="AK220" s="228">
        <v>0</v>
      </c>
      <c r="AL220" s="228">
        <v>0</v>
      </c>
      <c r="AM220" s="228">
        <f t="shared" si="501"/>
        <v>-100</v>
      </c>
      <c r="AN220" s="228" cm="1">
        <f t="array" ref="AN220">IF(ISBLANK(G220), 1, IFERROR(MATCH(G220, INDEX(Kat,,1), 0), IFERROR(MATCH(Kat, INDEX(Use,,2), 0), MATCH(Kat, INDEX(Use,,3), 0))))</f>
        <v>1</v>
      </c>
      <c r="AO220" s="246"/>
      <c r="AP220" s="228" cm="1">
        <f t="array" ref="AP220">IF(W220&gt;0, INDEX(Kat, AN220,4), 0)</f>
        <v>0</v>
      </c>
      <c r="AQ220" s="228">
        <f t="shared" si="526"/>
        <v>0</v>
      </c>
      <c r="AR220" s="228" cm="1">
        <f t="array" ref="AR220">IF(X220&gt;0, INDEX(Kat, $AN220, 4+AQ220), 0)</f>
        <v>0</v>
      </c>
      <c r="AS220" s="228" cm="1">
        <f t="array" ref="AS220">IF(X220&gt;0, INDEX(Kat, $AN220, 9+AQ220), 0)</f>
        <v>0</v>
      </c>
      <c r="AT220" s="246"/>
      <c r="AU220" s="262"/>
      <c r="AV220" s="262"/>
      <c r="AW220" s="263"/>
      <c r="AX220" s="263"/>
      <c r="AY220" s="263"/>
      <c r="AZ220" s="263"/>
      <c r="BA220" s="263"/>
      <c r="BB220" s="263"/>
      <c r="BC220" s="263"/>
      <c r="BD220" s="263"/>
      <c r="BE220" s="263"/>
      <c r="BF220" s="263"/>
      <c r="BG220" s="263"/>
      <c r="BH220" s="246"/>
      <c r="BI220" s="228" cm="1">
        <f t="array" ref="BI220">INDEX(Use, $AH220, 4)</f>
        <v>7</v>
      </c>
      <c r="BJ220" s="228">
        <f t="shared" si="502"/>
        <v>32</v>
      </c>
      <c r="BK220" s="228">
        <f t="shared" si="305"/>
        <v>13</v>
      </c>
      <c r="BL220" s="228">
        <f t="shared" si="306"/>
        <v>0</v>
      </c>
      <c r="BM220" s="233" cm="1">
        <f t="array" ref="BM220">L220/IF($M220&gt;0, INDEX($AY$22:$BE$76, $M220+20, $AH220), 1)</f>
        <v>0</v>
      </c>
      <c r="BN220" s="229">
        <f t="shared" si="503"/>
        <v>0</v>
      </c>
      <c r="BO220" s="228">
        <v>35</v>
      </c>
      <c r="BP220" s="229">
        <f t="shared" si="504"/>
        <v>48</v>
      </c>
      <c r="BQ220" s="234">
        <f t="shared" si="505"/>
        <v>3.0748170731707316</v>
      </c>
      <c r="BR220" s="234" cm="1">
        <f t="array" ref="BR220">$BM220 * SUMPRODUCT(INDEX($AV$76:$AX$81,,$AI220),INDEX($AY$76:$BE$81,,$AH220), N($AU$76:$AU$81&gt;$AM220)) / BQ220 / 1000</f>
        <v>0</v>
      </c>
      <c r="BS220" s="231">
        <f t="shared" si="310"/>
        <v>30</v>
      </c>
      <c r="BT220" s="229">
        <f t="shared" si="506"/>
        <v>43</v>
      </c>
      <c r="BU220" s="234">
        <f t="shared" si="507"/>
        <v>3.5018750000000001</v>
      </c>
      <c r="BV220" s="234" cm="1">
        <f t="array" ref="BV220">$BM220 * IF($AH220&lt;=2,
SUMPRODUCT(INDEX($AV$71:$AX$75,,$AI220), INDEX($AY$71:$BE$75,,$AH220), 1 / ($BF$71:$BF$75*BU220 + (1-$BF$71:$BF$75)*BQ220), N($AU$71:$AU$75&gt;$AM220)),
SUMPRODUCT(INDEX($AV$66:$AX$75,,$AI220), INDEX($AY$66:$BE$75,,$AH220), 1 / ($BG$66:$BG$75*BU220 + (1-$BG$66:$BG$75)*BQ220), N($AU$66:$AU$75&gt;$AM220))
) / 1000</f>
        <v>0</v>
      </c>
      <c r="BW220" s="231">
        <f t="shared" si="313"/>
        <v>25</v>
      </c>
      <c r="BX220" s="229">
        <f t="shared" si="508"/>
        <v>38</v>
      </c>
      <c r="BY220" s="234">
        <f t="shared" si="509"/>
        <v>4.0666935483870965</v>
      </c>
      <c r="BZ220" s="234" cm="1">
        <f t="array" ref="BZ220">$BM220 * IF($AH220&lt;=2,
SUMPRODUCT(INDEX($AV$66:$AX$70,,$AI220), INDEX($AY$66:$BE$70,,$AH220), 1 / ($BF$66:$BF$70*BY220 + (1-$BF$66:$BF$70)*BU220), N($AU$66:$AU$70&gt;$AM220)),
SUMPRODUCT(INDEX($AV$56:$AX$65,,$AI220), INDEX($AY$56:$BE$65,,$AH220), 1 / ($BG$56:$BG$65*BY220 + (1-$BG$56:$BG$65)*BU220), N($AU$56:$AU$65&gt;$AM220))
) / 1000</f>
        <v>0</v>
      </c>
      <c r="CA220" s="231">
        <f t="shared" si="316"/>
        <v>20</v>
      </c>
      <c r="CB220" s="229">
        <f t="shared" si="510"/>
        <v>33</v>
      </c>
      <c r="CC220" s="234">
        <f t="shared" si="511"/>
        <v>4.8487499999999999</v>
      </c>
      <c r="CD220" s="234" cm="1">
        <f t="array" ref="CD220">$BM220 * IF($AH220&lt;=2,
SUMPRODUCT(INDEX($AV$61:$AX$65,,$AI220), INDEX($AY$61:$BE$65,,$AH220), 1 / ($BF$61:$BF$65*CC220 + (1-$BF$61:$BF$65)*BY220), N($AU$61:$AU$65&gt;$AM220)),
SUMPRODUCT(INDEX($AV$46:$AX$55,,$AI220), INDEX($AY$46:$BE$55,,$AH220), 1 / ($BG$46:$BG$55*CC220 + (1-$BG$46:$BG$55)*BY220), N($AU$46:$AU$55&gt;$AM220))
) / 1000</f>
        <v>0</v>
      </c>
      <c r="CE220" s="234" cm="1">
        <f t="array" ref="CE220">$BM220 * IF($AH220&lt;=2,
SUMPRODUCT(INDEX($AV$22:$AX$60,,$AI220), INDEX($AY$22:$BE$60,,$AH220), 1 / ($BF$22:$BF$60*CC220), N($AU$22:$AU$60&gt;$AM220)),
SUMPRODUCT(INDEX($AV$22:$AX$45,,$AI220), INDEX($AY$22:$BE$45,,$AH220), 1 / ($BG$22:$BG$45*CC220), N($AU$22:$AU$45&gt;$AM220))
) / 1000</f>
        <v>0</v>
      </c>
      <c r="CF220" s="229">
        <f t="shared" si="512"/>
        <v>0</v>
      </c>
      <c r="CG220" s="246"/>
      <c r="CH220" s="229">
        <f t="shared" si="513"/>
        <v>0</v>
      </c>
      <c r="CI220" s="228">
        <v>35</v>
      </c>
      <c r="CJ220" s="229">
        <f t="shared" si="514"/>
        <v>48</v>
      </c>
      <c r="CK220" s="234">
        <f t="shared" si="515"/>
        <v>3.0748170731707316</v>
      </c>
      <c r="CL220" s="234" cm="1">
        <f t="array" ref="CL220">$BM220 * SUMPRODUCT(INDEX($AV$76:$AX$81,,$AI220),INDEX($AY$76:$BE$81,,$AH220), N($AU$76:$AU$81&gt;$AM220)) / CK220 / 1000</f>
        <v>0</v>
      </c>
      <c r="CM220" s="231">
        <f t="shared" si="323"/>
        <v>30</v>
      </c>
      <c r="CN220" s="229">
        <f t="shared" si="516"/>
        <v>43</v>
      </c>
      <c r="CO220" s="234">
        <f t="shared" si="517"/>
        <v>3.5018750000000001</v>
      </c>
      <c r="CP220" s="234" cm="1">
        <f t="array" ref="CP220">$BM220 * IF($AH220&lt;=2,
SUMPRODUCT(INDEX($AV$71:$AX$75,,$AI220), INDEX($AY$71:$BE$75,,$AH220), 1 / ($BF$71:$BF$75*CO220 + (1-$BF$71:$BF$75)*CK220), N($AU$71:$AU$75&gt;$AM220)),
SUMPRODUCT(INDEX($AV$66:$AX$75,,$AI220), INDEX($AY$66:$BE$75,,$AH220), 1 / ($BG$66:$BG$75*CO220 + (1-$BG$66:$BG$75)*CK220), N($AU$66:$AU$75&gt;$AM220))
) / 1000</f>
        <v>0</v>
      </c>
      <c r="CQ220" s="231">
        <f t="shared" si="326"/>
        <v>25</v>
      </c>
      <c r="CR220" s="229">
        <f t="shared" si="518"/>
        <v>38</v>
      </c>
      <c r="CS220" s="234">
        <f t="shared" si="519"/>
        <v>4.0666935483870965</v>
      </c>
      <c r="CT220" s="234" cm="1">
        <f t="array" ref="CT220">$BM220 * IF($AH220&lt;=2,
SUMPRODUCT(INDEX($AV$66:$AX$70,,$AI220), INDEX($AY$66:$BE$70,,$AH220), 1 / ($BF$66:$BF$70*CS220 + (1-$BF$66:$BF$70)*CO220), N($AU$66:$AU$70&gt;$AM220)),
SUMPRODUCT(INDEX($AV$56:$AX$65,,$AI220), INDEX($AY$56:$BE$65,,$AH220), 1 / ($BG$56:$BG$65*CS220 + (1-$BG$56:$BG$65)*CO220), N($AU$56:$AU$65&gt;$AM220))
) / 1000</f>
        <v>0</v>
      </c>
      <c r="CU220" s="231">
        <f t="shared" si="329"/>
        <v>20</v>
      </c>
      <c r="CV220" s="229">
        <f t="shared" si="520"/>
        <v>33</v>
      </c>
      <c r="CW220" s="234">
        <f t="shared" si="521"/>
        <v>4.8487499999999999</v>
      </c>
      <c r="CX220" s="234" cm="1">
        <f t="array" ref="CX220">$BM220 * IF($AH220&lt;=2,
SUMPRODUCT(INDEX($AV$61:$AX$65,,$AI220), INDEX($AY$61:$BE$65,,$AH220), 1 / ($BF$61:$BF$65*CW220 + (1-$BF$61:$BF$65)*CS220), N($AU$61:$AU$65&gt;$AM220)),
SUMPRODUCT(INDEX($AV$46:$AX$55,,$AI220), INDEX($AY$46:$BE$55,,$AH220), 1 / ($BG$46:$BG$55*CW220 + (1-$BG$46:$BG$55)*CS220), N($AU$46:$AU$55&gt;$AM220))
) / 1000</f>
        <v>0</v>
      </c>
      <c r="CY220" s="234" cm="1">
        <f t="array" ref="CY220">$BM220 * IF($AH220&lt;=2,
SUMPRODUCT(INDEX($AV$22:$AX$60,,$AI220), INDEX($AY$22:$BE$60,,$AH220), 1 / ($BF$22:$BF$60*CW220), N($AU$22:$AU$60&gt;$AM220)),
SUMPRODUCT(INDEX($AV$22:$AX$45,,$AI220), INDEX($AY$22:$BE$45,,$AH220), 1 / ($BG$22:$BG$45*CW220), N($AU$22:$AU$45&gt;$AM220))
) / 1000</f>
        <v>0</v>
      </c>
      <c r="CZ220" s="229">
        <f t="shared" si="522"/>
        <v>0</v>
      </c>
      <c r="DA220" s="246"/>
    </row>
    <row r="221" spans="1:105" s="75" customFormat="1" ht="14.25" customHeight="1" x14ac:dyDescent="0.2">
      <c r="A221" s="230" t="b">
        <f t="shared" si="291"/>
        <v>0</v>
      </c>
      <c r="B221" s="253">
        <v>200</v>
      </c>
      <c r="C221" s="266"/>
      <c r="D221" s="266"/>
      <c r="E221" s="254"/>
      <c r="F221" s="255" t="str">
        <f>IF(ISBLANK(E221), "", VLOOKUP(E221, Z!$A$2:$C$4127, 3, FALSE))</f>
        <v/>
      </c>
      <c r="G221" s="256"/>
      <c r="H221" s="256"/>
      <c r="I221" s="256"/>
      <c r="J221" s="257"/>
      <c r="K221" s="258"/>
      <c r="L221" s="267"/>
      <c r="M221" s="268"/>
      <c r="N221" s="259" t="str" cm="1">
        <f t="array" ref="N221">IF($L221&gt;0, INDEX(Clean,1+AK221,$D$1), "")</f>
        <v/>
      </c>
      <c r="O221" s="260"/>
      <c r="P221" s="260"/>
      <c r="Q221" s="261"/>
      <c r="R221" s="264">
        <f t="shared" si="498"/>
        <v>0</v>
      </c>
      <c r="S221" s="259" t="str" cm="1">
        <f t="array" ref="S221">IF($L221&gt;0, INDEX(Clean,1+AL221,$D$1), "")</f>
        <v/>
      </c>
      <c r="T221" s="260"/>
      <c r="U221" s="260"/>
      <c r="V221" s="261"/>
      <c r="W221" s="267"/>
      <c r="X221" s="267"/>
      <c r="Y221" s="257"/>
      <c r="Z221" s="264">
        <f t="shared" si="499"/>
        <v>0</v>
      </c>
      <c r="AA221" s="269"/>
      <c r="AB221" s="266"/>
      <c r="AC221" s="254"/>
      <c r="AD221" s="255" t="str">
        <f>IF(ISBLANK(AC221), "", VLOOKUP(AC221, Z!$A$2:$C$4127, 3, FALSE))</f>
        <v/>
      </c>
      <c r="AE221" s="270"/>
      <c r="AF221" s="265">
        <f t="shared" si="500"/>
        <v>0</v>
      </c>
      <c r="AG221" s="246"/>
      <c r="AH221" s="228">
        <f t="shared" si="523"/>
        <v>1</v>
      </c>
      <c r="AI221" s="228">
        <f t="shared" si="524"/>
        <v>1</v>
      </c>
      <c r="AJ221" s="228">
        <f t="shared" si="525"/>
        <v>0</v>
      </c>
      <c r="AK221" s="228">
        <v>0</v>
      </c>
      <c r="AL221" s="228">
        <v>0</v>
      </c>
      <c r="AM221" s="228">
        <f t="shared" si="501"/>
        <v>-100</v>
      </c>
      <c r="AN221" s="228" cm="1">
        <f t="array" ref="AN221">IF(ISBLANK(G221), 1, IFERROR(MATCH(G221, INDEX(Kat,,1), 0), IFERROR(MATCH(Kat, INDEX(Use,,2), 0), MATCH(Kat, INDEX(Use,,3), 0))))</f>
        <v>1</v>
      </c>
      <c r="AO221" s="246"/>
      <c r="AP221" s="228" cm="1">
        <f t="array" ref="AP221">IF(W221&gt;0, INDEX(Kat, AN221,4), 0)</f>
        <v>0</v>
      </c>
      <c r="AQ221" s="228">
        <f t="shared" si="526"/>
        <v>0</v>
      </c>
      <c r="AR221" s="228" cm="1">
        <f t="array" ref="AR221">IF(X221&gt;0, INDEX(Kat, $AN221, 4+AQ221), 0)</f>
        <v>0</v>
      </c>
      <c r="AS221" s="228" cm="1">
        <f t="array" ref="AS221">IF(X221&gt;0, INDEX(Kat, $AN221, 9+AQ221), 0)</f>
        <v>0</v>
      </c>
      <c r="AT221" s="246"/>
      <c r="AU221" s="262"/>
      <c r="AV221" s="262"/>
      <c r="AW221" s="263"/>
      <c r="AX221" s="263"/>
      <c r="AY221" s="263"/>
      <c r="AZ221" s="263"/>
      <c r="BA221" s="263"/>
      <c r="BB221" s="263"/>
      <c r="BC221" s="263"/>
      <c r="BD221" s="263"/>
      <c r="BE221" s="263"/>
      <c r="BF221" s="263"/>
      <c r="BG221" s="263"/>
      <c r="BH221" s="246"/>
      <c r="BI221" s="228" cm="1">
        <f t="array" ref="BI221">INDEX(Use, $AH221, 4)</f>
        <v>7</v>
      </c>
      <c r="BJ221" s="228">
        <f t="shared" si="502"/>
        <v>32</v>
      </c>
      <c r="BK221" s="228">
        <f t="shared" si="305"/>
        <v>13</v>
      </c>
      <c r="BL221" s="228">
        <f t="shared" si="306"/>
        <v>0</v>
      </c>
      <c r="BM221" s="233" cm="1">
        <f t="array" ref="BM221">L221/IF($M221&gt;0, INDEX($AY$22:$BE$76, $M221+20, $AH221), 1)</f>
        <v>0</v>
      </c>
      <c r="BN221" s="229">
        <f t="shared" si="503"/>
        <v>0</v>
      </c>
      <c r="BO221" s="228">
        <v>35</v>
      </c>
      <c r="BP221" s="229">
        <f t="shared" si="504"/>
        <v>48</v>
      </c>
      <c r="BQ221" s="234">
        <f t="shared" si="505"/>
        <v>3.0748170731707316</v>
      </c>
      <c r="BR221" s="234" cm="1">
        <f t="array" ref="BR221">$BM221 * SUMPRODUCT(INDEX($AV$76:$AX$81,,$AI221),INDEX($AY$76:$BE$81,,$AH221), N($AU$76:$AU$81&gt;$AM221)) / BQ221 / 1000</f>
        <v>0</v>
      </c>
      <c r="BS221" s="231">
        <f t="shared" si="310"/>
        <v>30</v>
      </c>
      <c r="BT221" s="229">
        <f t="shared" si="506"/>
        <v>43</v>
      </c>
      <c r="BU221" s="234">
        <f t="shared" si="507"/>
        <v>3.5018750000000001</v>
      </c>
      <c r="BV221" s="234" cm="1">
        <f t="array" ref="BV221">$BM221 * IF($AH221&lt;=2,
SUMPRODUCT(INDEX($AV$71:$AX$75,,$AI221), INDEX($AY$71:$BE$75,,$AH221), 1 / ($BF$71:$BF$75*BU221 + (1-$BF$71:$BF$75)*BQ221), N($AU$71:$AU$75&gt;$AM221)),
SUMPRODUCT(INDEX($AV$66:$AX$75,,$AI221), INDEX($AY$66:$BE$75,,$AH221), 1 / ($BG$66:$BG$75*BU221 + (1-$BG$66:$BG$75)*BQ221), N($AU$66:$AU$75&gt;$AM221))
) / 1000</f>
        <v>0</v>
      </c>
      <c r="BW221" s="231">
        <f t="shared" si="313"/>
        <v>25</v>
      </c>
      <c r="BX221" s="229">
        <f t="shared" si="508"/>
        <v>38</v>
      </c>
      <c r="BY221" s="234">
        <f t="shared" si="509"/>
        <v>4.0666935483870965</v>
      </c>
      <c r="BZ221" s="234" cm="1">
        <f t="array" ref="BZ221">$BM221 * IF($AH221&lt;=2,
SUMPRODUCT(INDEX($AV$66:$AX$70,,$AI221), INDEX($AY$66:$BE$70,,$AH221), 1 / ($BF$66:$BF$70*BY221 + (1-$BF$66:$BF$70)*BU221), N($AU$66:$AU$70&gt;$AM221)),
SUMPRODUCT(INDEX($AV$56:$AX$65,,$AI221), INDEX($AY$56:$BE$65,,$AH221), 1 / ($BG$56:$BG$65*BY221 + (1-$BG$56:$BG$65)*BU221), N($AU$56:$AU$65&gt;$AM221))
) / 1000</f>
        <v>0</v>
      </c>
      <c r="CA221" s="231">
        <f t="shared" si="316"/>
        <v>20</v>
      </c>
      <c r="CB221" s="229">
        <f t="shared" si="510"/>
        <v>33</v>
      </c>
      <c r="CC221" s="234">
        <f t="shared" si="511"/>
        <v>4.8487499999999999</v>
      </c>
      <c r="CD221" s="234" cm="1">
        <f t="array" ref="CD221">$BM221 * IF($AH221&lt;=2,
SUMPRODUCT(INDEX($AV$61:$AX$65,,$AI221), INDEX($AY$61:$BE$65,,$AH221), 1 / ($BF$61:$BF$65*CC221 + (1-$BF$61:$BF$65)*BY221), N($AU$61:$AU$65&gt;$AM221)),
SUMPRODUCT(INDEX($AV$46:$AX$55,,$AI221), INDEX($AY$46:$BE$55,,$AH221), 1 / ($BG$46:$BG$55*CC221 + (1-$BG$46:$BG$55)*BY221), N($AU$46:$AU$55&gt;$AM221))
) / 1000</f>
        <v>0</v>
      </c>
      <c r="CE221" s="234" cm="1">
        <f t="array" ref="CE221">$BM221 * IF($AH221&lt;=2,
SUMPRODUCT(INDEX($AV$22:$AX$60,,$AI221), INDEX($AY$22:$BE$60,,$AH221), 1 / ($BF$22:$BF$60*CC221), N($AU$22:$AU$60&gt;$AM221)),
SUMPRODUCT(INDEX($AV$22:$AX$45,,$AI221), INDEX($AY$22:$BE$45,,$AH221), 1 / ($BG$22:$BG$45*CC221), N($AU$22:$AU$45&gt;$AM221))
) / 1000</f>
        <v>0</v>
      </c>
      <c r="CF221" s="229">
        <f t="shared" si="512"/>
        <v>0</v>
      </c>
      <c r="CG221" s="246"/>
      <c r="CH221" s="229">
        <f t="shared" si="513"/>
        <v>0</v>
      </c>
      <c r="CI221" s="228">
        <v>35</v>
      </c>
      <c r="CJ221" s="229">
        <f t="shared" si="514"/>
        <v>48</v>
      </c>
      <c r="CK221" s="234">
        <f t="shared" si="515"/>
        <v>3.0748170731707316</v>
      </c>
      <c r="CL221" s="234" cm="1">
        <f t="array" ref="CL221">$BM221 * SUMPRODUCT(INDEX($AV$76:$AX$81,,$AI221),INDEX($AY$76:$BE$81,,$AH221), N($AU$76:$AU$81&gt;$AM221)) / CK221 / 1000</f>
        <v>0</v>
      </c>
      <c r="CM221" s="231">
        <f t="shared" si="323"/>
        <v>30</v>
      </c>
      <c r="CN221" s="229">
        <f t="shared" si="516"/>
        <v>43</v>
      </c>
      <c r="CO221" s="234">
        <f t="shared" si="517"/>
        <v>3.5018750000000001</v>
      </c>
      <c r="CP221" s="234" cm="1">
        <f t="array" ref="CP221">$BM221 * IF($AH221&lt;=2,
SUMPRODUCT(INDEX($AV$71:$AX$75,,$AI221), INDEX($AY$71:$BE$75,,$AH221), 1 / ($BF$71:$BF$75*CO221 + (1-$BF$71:$BF$75)*CK221), N($AU$71:$AU$75&gt;$AM221)),
SUMPRODUCT(INDEX($AV$66:$AX$75,,$AI221), INDEX($AY$66:$BE$75,,$AH221), 1 / ($BG$66:$BG$75*CO221 + (1-$BG$66:$BG$75)*CK221), N($AU$66:$AU$75&gt;$AM221))
) / 1000</f>
        <v>0</v>
      </c>
      <c r="CQ221" s="231">
        <f t="shared" si="326"/>
        <v>25</v>
      </c>
      <c r="CR221" s="229">
        <f t="shared" si="518"/>
        <v>38</v>
      </c>
      <c r="CS221" s="234">
        <f t="shared" si="519"/>
        <v>4.0666935483870965</v>
      </c>
      <c r="CT221" s="234" cm="1">
        <f t="array" ref="CT221">$BM221 * IF($AH221&lt;=2,
SUMPRODUCT(INDEX($AV$66:$AX$70,,$AI221), INDEX($AY$66:$BE$70,,$AH221), 1 / ($BF$66:$BF$70*CS221 + (1-$BF$66:$BF$70)*CO221), N($AU$66:$AU$70&gt;$AM221)),
SUMPRODUCT(INDEX($AV$56:$AX$65,,$AI221), INDEX($AY$56:$BE$65,,$AH221), 1 / ($BG$56:$BG$65*CS221 + (1-$BG$56:$BG$65)*CO221), N($AU$56:$AU$65&gt;$AM221))
) / 1000</f>
        <v>0</v>
      </c>
      <c r="CU221" s="231">
        <f t="shared" si="329"/>
        <v>20</v>
      </c>
      <c r="CV221" s="229">
        <f t="shared" si="520"/>
        <v>33</v>
      </c>
      <c r="CW221" s="234">
        <f t="shared" si="521"/>
        <v>4.8487499999999999</v>
      </c>
      <c r="CX221" s="234" cm="1">
        <f t="array" ref="CX221">$BM221 * IF($AH221&lt;=2,
SUMPRODUCT(INDEX($AV$61:$AX$65,,$AI221), INDEX($AY$61:$BE$65,,$AH221), 1 / ($BF$61:$BF$65*CW221 + (1-$BF$61:$BF$65)*CS221), N($AU$61:$AU$65&gt;$AM221)),
SUMPRODUCT(INDEX($AV$46:$AX$55,,$AI221), INDEX($AY$46:$BE$55,,$AH221), 1 / ($BG$46:$BG$55*CW221 + (1-$BG$46:$BG$55)*CS221), N($AU$46:$AU$55&gt;$AM221))
) / 1000</f>
        <v>0</v>
      </c>
      <c r="CY221" s="234" cm="1">
        <f t="array" ref="CY221">$BM221 * IF($AH221&lt;=2,
SUMPRODUCT(INDEX($AV$22:$AX$60,,$AI221), INDEX($AY$22:$BE$60,,$AH221), 1 / ($BF$22:$BF$60*CW221), N($AU$22:$AU$60&gt;$AM221)),
SUMPRODUCT(INDEX($AV$22:$AX$45,,$AI221), INDEX($AY$22:$BE$45,,$AH221), 1 / ($BG$22:$BG$45*CW221), N($AU$22:$AU$45&gt;$AM221))
) / 1000</f>
        <v>0</v>
      </c>
      <c r="CZ221" s="229">
        <f t="shared" si="522"/>
        <v>0</v>
      </c>
      <c r="DA221" s="246"/>
    </row>
    <row r="222" spans="1:105" s="75" customFormat="1" ht="14.25" customHeight="1" x14ac:dyDescent="0.2">
      <c r="A222" s="230" t="b">
        <f t="shared" si="291"/>
        <v>0</v>
      </c>
      <c r="B222" s="253">
        <v>201</v>
      </c>
      <c r="C222" s="266"/>
      <c r="D222" s="266"/>
      <c r="E222" s="254"/>
      <c r="F222" s="255" t="str">
        <f>IF(ISBLANK(E222), "", VLOOKUP(E222, Z!$A$2:$C$4127, 3, FALSE))</f>
        <v/>
      </c>
      <c r="G222" s="256"/>
      <c r="H222" s="256"/>
      <c r="I222" s="256"/>
      <c r="J222" s="257"/>
      <c r="K222" s="258"/>
      <c r="L222" s="267"/>
      <c r="M222" s="268"/>
      <c r="N222" s="259" t="str" cm="1">
        <f t="array" ref="N222">IF($L222&gt;0, INDEX(Clean,1+AK222,$D$1), "")</f>
        <v/>
      </c>
      <c r="O222" s="260"/>
      <c r="P222" s="260"/>
      <c r="Q222" s="261"/>
      <c r="R222" s="264">
        <f t="shared" si="498"/>
        <v>0</v>
      </c>
      <c r="S222" s="259" t="str" cm="1">
        <f t="array" ref="S222">IF($L222&gt;0, INDEX(Clean,1+AL222,$D$1), "")</f>
        <v/>
      </c>
      <c r="T222" s="260"/>
      <c r="U222" s="260"/>
      <c r="V222" s="261"/>
      <c r="W222" s="267"/>
      <c r="X222" s="267"/>
      <c r="Y222" s="257"/>
      <c r="Z222" s="264">
        <f t="shared" si="499"/>
        <v>0</v>
      </c>
      <c r="AA222" s="269"/>
      <c r="AB222" s="266"/>
      <c r="AC222" s="254"/>
      <c r="AD222" s="255" t="str">
        <f>IF(ISBLANK(AC222), "", VLOOKUP(AC222, Z!$A$2:$C$4127, 3, FALSE))</f>
        <v/>
      </c>
      <c r="AE222" s="270"/>
      <c r="AF222" s="265">
        <f t="shared" si="500"/>
        <v>0</v>
      </c>
      <c r="AG222" s="246"/>
      <c r="AH222" s="228">
        <f t="shared" si="523"/>
        <v>1</v>
      </c>
      <c r="AI222" s="228">
        <f t="shared" si="524"/>
        <v>1</v>
      </c>
      <c r="AJ222" s="228">
        <f t="shared" si="525"/>
        <v>0</v>
      </c>
      <c r="AK222" s="228">
        <v>0</v>
      </c>
      <c r="AL222" s="228">
        <v>0</v>
      </c>
      <c r="AM222" s="228">
        <f t="shared" si="501"/>
        <v>-100</v>
      </c>
      <c r="AN222" s="228" cm="1">
        <f t="array" ref="AN222">IF(ISBLANK(G222), 1, IFERROR(MATCH(G222, INDEX(Kat,,1), 0), IFERROR(MATCH(Kat, INDEX(Use,,2), 0), MATCH(Kat, INDEX(Use,,3), 0))))</f>
        <v>1</v>
      </c>
      <c r="AO222" s="246"/>
      <c r="AP222" s="228" cm="1">
        <f t="array" ref="AP222">IF(W222&gt;0, INDEX(Kat, AN222,4), 0)</f>
        <v>0</v>
      </c>
      <c r="AQ222" s="228">
        <f t="shared" si="526"/>
        <v>0</v>
      </c>
      <c r="AR222" s="228" cm="1">
        <f t="array" ref="AR222">IF(X222&gt;0, INDEX(Kat, $AN222, 4+AQ222), 0)</f>
        <v>0</v>
      </c>
      <c r="AS222" s="228" cm="1">
        <f t="array" ref="AS222">IF(X222&gt;0, INDEX(Kat, $AN222, 9+AQ222), 0)</f>
        <v>0</v>
      </c>
      <c r="AT222" s="246"/>
      <c r="AU222" s="262"/>
      <c r="AV222" s="262"/>
      <c r="AW222" s="263"/>
      <c r="AX222" s="263"/>
      <c r="AY222" s="263"/>
      <c r="AZ222" s="263"/>
      <c r="BA222" s="263"/>
      <c r="BB222" s="263"/>
      <c r="BC222" s="263"/>
      <c r="BD222" s="263"/>
      <c r="BE222" s="263"/>
      <c r="BF222" s="263"/>
      <c r="BG222" s="263"/>
      <c r="BH222" s="246"/>
      <c r="BI222" s="228" cm="1">
        <f t="array" ref="BI222">INDEX(Use, $AH222, 4)</f>
        <v>7</v>
      </c>
      <c r="BJ222" s="228">
        <f t="shared" si="502"/>
        <v>32</v>
      </c>
      <c r="BK222" s="228">
        <f t="shared" si="305"/>
        <v>13</v>
      </c>
      <c r="BL222" s="228">
        <f t="shared" si="306"/>
        <v>0</v>
      </c>
      <c r="BM222" s="233" cm="1">
        <f t="array" ref="BM222">L222/IF($M222&gt;0, INDEX($AY$22:$BE$76, $M222+20, $AH222), 1)</f>
        <v>0</v>
      </c>
      <c r="BN222" s="229">
        <f t="shared" si="503"/>
        <v>0</v>
      </c>
      <c r="BO222" s="228">
        <v>35</v>
      </c>
      <c r="BP222" s="229">
        <f t="shared" si="504"/>
        <v>48</v>
      </c>
      <c r="BQ222" s="234">
        <f t="shared" si="505"/>
        <v>3.0748170731707316</v>
      </c>
      <c r="BR222" s="234" cm="1">
        <f t="array" ref="BR222">$BM222 * SUMPRODUCT(INDEX($AV$76:$AX$81,,$AI222),INDEX($AY$76:$BE$81,,$AH222), N($AU$76:$AU$81&gt;$AM222)) / BQ222 / 1000</f>
        <v>0</v>
      </c>
      <c r="BS222" s="231">
        <f t="shared" si="310"/>
        <v>30</v>
      </c>
      <c r="BT222" s="229">
        <f t="shared" si="506"/>
        <v>43</v>
      </c>
      <c r="BU222" s="234">
        <f t="shared" si="507"/>
        <v>3.5018750000000001</v>
      </c>
      <c r="BV222" s="234" cm="1">
        <f t="array" ref="BV222">$BM222 * IF($AH222&lt;=2,
SUMPRODUCT(INDEX($AV$71:$AX$75,,$AI222), INDEX($AY$71:$BE$75,,$AH222), 1 / ($BF$71:$BF$75*BU222 + (1-$BF$71:$BF$75)*BQ222), N($AU$71:$AU$75&gt;$AM222)),
SUMPRODUCT(INDEX($AV$66:$AX$75,,$AI222), INDEX($AY$66:$BE$75,,$AH222), 1 / ($BG$66:$BG$75*BU222 + (1-$BG$66:$BG$75)*BQ222), N($AU$66:$AU$75&gt;$AM222))
) / 1000</f>
        <v>0</v>
      </c>
      <c r="BW222" s="231">
        <f t="shared" si="313"/>
        <v>25</v>
      </c>
      <c r="BX222" s="229">
        <f t="shared" si="508"/>
        <v>38</v>
      </c>
      <c r="BY222" s="234">
        <f t="shared" si="509"/>
        <v>4.0666935483870965</v>
      </c>
      <c r="BZ222" s="234" cm="1">
        <f t="array" ref="BZ222">$BM222 * IF($AH222&lt;=2,
SUMPRODUCT(INDEX($AV$66:$AX$70,,$AI222), INDEX($AY$66:$BE$70,,$AH222), 1 / ($BF$66:$BF$70*BY222 + (1-$BF$66:$BF$70)*BU222), N($AU$66:$AU$70&gt;$AM222)),
SUMPRODUCT(INDEX($AV$56:$AX$65,,$AI222), INDEX($AY$56:$BE$65,,$AH222), 1 / ($BG$56:$BG$65*BY222 + (1-$BG$56:$BG$65)*BU222), N($AU$56:$AU$65&gt;$AM222))
) / 1000</f>
        <v>0</v>
      </c>
      <c r="CA222" s="231">
        <f t="shared" si="316"/>
        <v>20</v>
      </c>
      <c r="CB222" s="229">
        <f t="shared" si="510"/>
        <v>33</v>
      </c>
      <c r="CC222" s="234">
        <f t="shared" si="511"/>
        <v>4.8487499999999999</v>
      </c>
      <c r="CD222" s="234" cm="1">
        <f t="array" ref="CD222">$BM222 * IF($AH222&lt;=2,
SUMPRODUCT(INDEX($AV$61:$AX$65,,$AI222), INDEX($AY$61:$BE$65,,$AH222), 1 / ($BF$61:$BF$65*CC222 + (1-$BF$61:$BF$65)*BY222), N($AU$61:$AU$65&gt;$AM222)),
SUMPRODUCT(INDEX($AV$46:$AX$55,,$AI222), INDEX($AY$46:$BE$55,,$AH222), 1 / ($BG$46:$BG$55*CC222 + (1-$BG$46:$BG$55)*BY222), N($AU$46:$AU$55&gt;$AM222))
) / 1000</f>
        <v>0</v>
      </c>
      <c r="CE222" s="234" cm="1">
        <f t="array" ref="CE222">$BM222 * IF($AH222&lt;=2,
SUMPRODUCT(INDEX($AV$22:$AX$60,,$AI222), INDEX($AY$22:$BE$60,,$AH222), 1 / ($BF$22:$BF$60*CC222), N($AU$22:$AU$60&gt;$AM222)),
SUMPRODUCT(INDEX($AV$22:$AX$45,,$AI222), INDEX($AY$22:$BE$45,,$AH222), 1 / ($BG$22:$BG$45*CC222), N($AU$22:$AU$45&gt;$AM222))
) / 1000</f>
        <v>0</v>
      </c>
      <c r="CF222" s="229">
        <f t="shared" si="512"/>
        <v>0</v>
      </c>
      <c r="CG222" s="246"/>
      <c r="CH222" s="229">
        <f t="shared" si="513"/>
        <v>0</v>
      </c>
      <c r="CI222" s="228">
        <v>35</v>
      </c>
      <c r="CJ222" s="229">
        <f t="shared" si="514"/>
        <v>48</v>
      </c>
      <c r="CK222" s="234">
        <f t="shared" si="515"/>
        <v>3.0748170731707316</v>
      </c>
      <c r="CL222" s="234" cm="1">
        <f t="array" ref="CL222">$BM222 * SUMPRODUCT(INDEX($AV$76:$AX$81,,$AI222),INDEX($AY$76:$BE$81,,$AH222), N($AU$76:$AU$81&gt;$AM222)) / CK222 / 1000</f>
        <v>0</v>
      </c>
      <c r="CM222" s="231">
        <f t="shared" si="323"/>
        <v>30</v>
      </c>
      <c r="CN222" s="229">
        <f t="shared" si="516"/>
        <v>43</v>
      </c>
      <c r="CO222" s="234">
        <f t="shared" si="517"/>
        <v>3.5018750000000001</v>
      </c>
      <c r="CP222" s="234" cm="1">
        <f t="array" ref="CP222">$BM222 * IF($AH222&lt;=2,
SUMPRODUCT(INDEX($AV$71:$AX$75,,$AI222), INDEX($AY$71:$BE$75,,$AH222), 1 / ($BF$71:$BF$75*CO222 + (1-$BF$71:$BF$75)*CK222), N($AU$71:$AU$75&gt;$AM222)),
SUMPRODUCT(INDEX($AV$66:$AX$75,,$AI222), INDEX($AY$66:$BE$75,,$AH222), 1 / ($BG$66:$BG$75*CO222 + (1-$BG$66:$BG$75)*CK222), N($AU$66:$AU$75&gt;$AM222))
) / 1000</f>
        <v>0</v>
      </c>
      <c r="CQ222" s="231">
        <f t="shared" si="326"/>
        <v>25</v>
      </c>
      <c r="CR222" s="229">
        <f t="shared" si="518"/>
        <v>38</v>
      </c>
      <c r="CS222" s="234">
        <f t="shared" si="519"/>
        <v>4.0666935483870965</v>
      </c>
      <c r="CT222" s="234" cm="1">
        <f t="array" ref="CT222">$BM222 * IF($AH222&lt;=2,
SUMPRODUCT(INDEX($AV$66:$AX$70,,$AI222), INDEX($AY$66:$BE$70,,$AH222), 1 / ($BF$66:$BF$70*CS222 + (1-$BF$66:$BF$70)*CO222), N($AU$66:$AU$70&gt;$AM222)),
SUMPRODUCT(INDEX($AV$56:$AX$65,,$AI222), INDEX($AY$56:$BE$65,,$AH222), 1 / ($BG$56:$BG$65*CS222 + (1-$BG$56:$BG$65)*CO222), N($AU$56:$AU$65&gt;$AM222))
) / 1000</f>
        <v>0</v>
      </c>
      <c r="CU222" s="231">
        <f t="shared" si="329"/>
        <v>20</v>
      </c>
      <c r="CV222" s="229">
        <f t="shared" si="520"/>
        <v>33</v>
      </c>
      <c r="CW222" s="234">
        <f t="shared" si="521"/>
        <v>4.8487499999999999</v>
      </c>
      <c r="CX222" s="234" cm="1">
        <f t="array" ref="CX222">$BM222 * IF($AH222&lt;=2,
SUMPRODUCT(INDEX($AV$61:$AX$65,,$AI222), INDEX($AY$61:$BE$65,,$AH222), 1 / ($BF$61:$BF$65*CW222 + (1-$BF$61:$BF$65)*CS222), N($AU$61:$AU$65&gt;$AM222)),
SUMPRODUCT(INDEX($AV$46:$AX$55,,$AI222), INDEX($AY$46:$BE$55,,$AH222), 1 / ($BG$46:$BG$55*CW222 + (1-$BG$46:$BG$55)*CS222), N($AU$46:$AU$55&gt;$AM222))
) / 1000</f>
        <v>0</v>
      </c>
      <c r="CY222" s="234" cm="1">
        <f t="array" ref="CY222">$BM222 * IF($AH222&lt;=2,
SUMPRODUCT(INDEX($AV$22:$AX$60,,$AI222), INDEX($AY$22:$BE$60,,$AH222), 1 / ($BF$22:$BF$60*CW222), N($AU$22:$AU$60&gt;$AM222)),
SUMPRODUCT(INDEX($AV$22:$AX$45,,$AI222), INDEX($AY$22:$BE$45,,$AH222), 1 / ($BG$22:$BG$45*CW222), N($AU$22:$AU$45&gt;$AM222))
) / 1000</f>
        <v>0</v>
      </c>
      <c r="CZ222" s="229">
        <f t="shared" si="522"/>
        <v>0</v>
      </c>
      <c r="DA222" s="246"/>
    </row>
    <row r="223" spans="1:105" s="75" customFormat="1" ht="14.25" customHeight="1" x14ac:dyDescent="0.2">
      <c r="A223" s="230" t="b">
        <f t="shared" si="291"/>
        <v>0</v>
      </c>
      <c r="B223" s="253">
        <v>202</v>
      </c>
      <c r="C223" s="266"/>
      <c r="D223" s="266"/>
      <c r="E223" s="254"/>
      <c r="F223" s="255" t="str">
        <f>IF(ISBLANK(E223), "", VLOOKUP(E223, Z!$A$2:$C$4127, 3, FALSE))</f>
        <v/>
      </c>
      <c r="G223" s="256"/>
      <c r="H223" s="256"/>
      <c r="I223" s="256"/>
      <c r="J223" s="257"/>
      <c r="K223" s="258"/>
      <c r="L223" s="267"/>
      <c r="M223" s="268"/>
      <c r="N223" s="259" t="str" cm="1">
        <f t="array" ref="N223">IF($L223&gt;0, INDEX(Clean,1+AK223,$D$1), "")</f>
        <v/>
      </c>
      <c r="O223" s="260"/>
      <c r="P223" s="260"/>
      <c r="Q223" s="261"/>
      <c r="R223" s="264">
        <f t="shared" si="498"/>
        <v>0</v>
      </c>
      <c r="S223" s="259" t="str" cm="1">
        <f t="array" ref="S223">IF($L223&gt;0, INDEX(Clean,1+AL223,$D$1), "")</f>
        <v/>
      </c>
      <c r="T223" s="260"/>
      <c r="U223" s="260"/>
      <c r="V223" s="261"/>
      <c r="W223" s="267"/>
      <c r="X223" s="267"/>
      <c r="Y223" s="257"/>
      <c r="Z223" s="264">
        <f t="shared" si="499"/>
        <v>0</v>
      </c>
      <c r="AA223" s="269"/>
      <c r="AB223" s="266"/>
      <c r="AC223" s="254"/>
      <c r="AD223" s="255" t="str">
        <f>IF(ISBLANK(AC223), "", VLOOKUP(AC223, Z!$A$2:$C$4127, 3, FALSE))</f>
        <v/>
      </c>
      <c r="AE223" s="270"/>
      <c r="AF223" s="265">
        <f t="shared" si="500"/>
        <v>0</v>
      </c>
      <c r="AG223" s="246"/>
      <c r="AH223" s="228">
        <f t="shared" si="523"/>
        <v>1</v>
      </c>
      <c r="AI223" s="228">
        <f t="shared" si="524"/>
        <v>1</v>
      </c>
      <c r="AJ223" s="228">
        <f t="shared" si="525"/>
        <v>0</v>
      </c>
      <c r="AK223" s="228">
        <v>0</v>
      </c>
      <c r="AL223" s="228">
        <v>0</v>
      </c>
      <c r="AM223" s="228">
        <f t="shared" si="501"/>
        <v>-100</v>
      </c>
      <c r="AN223" s="228" cm="1">
        <f t="array" ref="AN223">IF(ISBLANK(G223), 1, IFERROR(MATCH(G223, INDEX(Kat,,1), 0), IFERROR(MATCH(Kat, INDEX(Use,,2), 0), MATCH(Kat, INDEX(Use,,3), 0))))</f>
        <v>1</v>
      </c>
      <c r="AO223" s="246"/>
      <c r="AP223" s="228" cm="1">
        <f t="array" ref="AP223">IF(W223&gt;0, INDEX(Kat, AN223,4), 0)</f>
        <v>0</v>
      </c>
      <c r="AQ223" s="228">
        <f t="shared" si="526"/>
        <v>0</v>
      </c>
      <c r="AR223" s="228" cm="1">
        <f t="array" ref="AR223">IF(X223&gt;0, INDEX(Kat, $AN223, 4+AQ223), 0)</f>
        <v>0</v>
      </c>
      <c r="AS223" s="228" cm="1">
        <f t="array" ref="AS223">IF(X223&gt;0, INDEX(Kat, $AN223, 9+AQ223), 0)</f>
        <v>0</v>
      </c>
      <c r="AT223" s="246"/>
      <c r="AU223" s="262"/>
      <c r="AV223" s="262"/>
      <c r="AW223" s="263"/>
      <c r="AX223" s="263"/>
      <c r="AY223" s="263"/>
      <c r="AZ223" s="263"/>
      <c r="BA223" s="263"/>
      <c r="BB223" s="263"/>
      <c r="BC223" s="263"/>
      <c r="BD223" s="263"/>
      <c r="BE223" s="263"/>
      <c r="BF223" s="263"/>
      <c r="BG223" s="263"/>
      <c r="BH223" s="246"/>
      <c r="BI223" s="228" cm="1">
        <f t="array" ref="BI223">INDEX(Use, $AH223, 4)</f>
        <v>7</v>
      </c>
      <c r="BJ223" s="228">
        <f t="shared" si="502"/>
        <v>32</v>
      </c>
      <c r="BK223" s="228">
        <f t="shared" si="305"/>
        <v>13</v>
      </c>
      <c r="BL223" s="228">
        <f t="shared" si="306"/>
        <v>0</v>
      </c>
      <c r="BM223" s="233" cm="1">
        <f t="array" ref="BM223">L223/IF($M223&gt;0, INDEX($AY$22:$BE$76, $M223+20, $AH223), 1)</f>
        <v>0</v>
      </c>
      <c r="BN223" s="229">
        <f t="shared" si="503"/>
        <v>0</v>
      </c>
      <c r="BO223" s="228">
        <v>35</v>
      </c>
      <c r="BP223" s="229">
        <f t="shared" si="504"/>
        <v>48</v>
      </c>
      <c r="BQ223" s="234">
        <f t="shared" si="505"/>
        <v>3.0748170731707316</v>
      </c>
      <c r="BR223" s="234" cm="1">
        <f t="array" ref="BR223">$BM223 * SUMPRODUCT(INDEX($AV$76:$AX$81,,$AI223),INDEX($AY$76:$BE$81,,$AH223), N($AU$76:$AU$81&gt;$AM223)) / BQ223 / 1000</f>
        <v>0</v>
      </c>
      <c r="BS223" s="231">
        <f t="shared" si="310"/>
        <v>30</v>
      </c>
      <c r="BT223" s="229">
        <f t="shared" si="506"/>
        <v>43</v>
      </c>
      <c r="BU223" s="234">
        <f t="shared" si="507"/>
        <v>3.5018750000000001</v>
      </c>
      <c r="BV223" s="234" cm="1">
        <f t="array" ref="BV223">$BM223 * IF($AH223&lt;=2,
SUMPRODUCT(INDEX($AV$71:$AX$75,,$AI223), INDEX($AY$71:$BE$75,,$AH223), 1 / ($BF$71:$BF$75*BU223 + (1-$BF$71:$BF$75)*BQ223), N($AU$71:$AU$75&gt;$AM223)),
SUMPRODUCT(INDEX($AV$66:$AX$75,,$AI223), INDEX($AY$66:$BE$75,,$AH223), 1 / ($BG$66:$BG$75*BU223 + (1-$BG$66:$BG$75)*BQ223), N($AU$66:$AU$75&gt;$AM223))
) / 1000</f>
        <v>0</v>
      </c>
      <c r="BW223" s="231">
        <f t="shared" si="313"/>
        <v>25</v>
      </c>
      <c r="BX223" s="229">
        <f t="shared" si="508"/>
        <v>38</v>
      </c>
      <c r="BY223" s="234">
        <f t="shared" si="509"/>
        <v>4.0666935483870965</v>
      </c>
      <c r="BZ223" s="234" cm="1">
        <f t="array" ref="BZ223">$BM223 * IF($AH223&lt;=2,
SUMPRODUCT(INDEX($AV$66:$AX$70,,$AI223), INDEX($AY$66:$BE$70,,$AH223), 1 / ($BF$66:$BF$70*BY223 + (1-$BF$66:$BF$70)*BU223), N($AU$66:$AU$70&gt;$AM223)),
SUMPRODUCT(INDEX($AV$56:$AX$65,,$AI223), INDEX($AY$56:$BE$65,,$AH223), 1 / ($BG$56:$BG$65*BY223 + (1-$BG$56:$BG$65)*BU223), N($AU$56:$AU$65&gt;$AM223))
) / 1000</f>
        <v>0</v>
      </c>
      <c r="CA223" s="231">
        <f t="shared" si="316"/>
        <v>20</v>
      </c>
      <c r="CB223" s="229">
        <f t="shared" si="510"/>
        <v>33</v>
      </c>
      <c r="CC223" s="234">
        <f t="shared" si="511"/>
        <v>4.8487499999999999</v>
      </c>
      <c r="CD223" s="234" cm="1">
        <f t="array" ref="CD223">$BM223 * IF($AH223&lt;=2,
SUMPRODUCT(INDEX($AV$61:$AX$65,,$AI223), INDEX($AY$61:$BE$65,,$AH223), 1 / ($BF$61:$BF$65*CC223 + (1-$BF$61:$BF$65)*BY223), N($AU$61:$AU$65&gt;$AM223)),
SUMPRODUCT(INDEX($AV$46:$AX$55,,$AI223), INDEX($AY$46:$BE$55,,$AH223), 1 / ($BG$46:$BG$55*CC223 + (1-$BG$46:$BG$55)*BY223), N($AU$46:$AU$55&gt;$AM223))
) / 1000</f>
        <v>0</v>
      </c>
      <c r="CE223" s="234" cm="1">
        <f t="array" ref="CE223">$BM223 * IF($AH223&lt;=2,
SUMPRODUCT(INDEX($AV$22:$AX$60,,$AI223), INDEX($AY$22:$BE$60,,$AH223), 1 / ($BF$22:$BF$60*CC223), N($AU$22:$AU$60&gt;$AM223)),
SUMPRODUCT(INDEX($AV$22:$AX$45,,$AI223), INDEX($AY$22:$BE$45,,$AH223), 1 / ($BG$22:$BG$45*CC223), N($AU$22:$AU$45&gt;$AM223))
) / 1000</f>
        <v>0</v>
      </c>
      <c r="CF223" s="229">
        <f t="shared" si="512"/>
        <v>0</v>
      </c>
      <c r="CG223" s="246"/>
      <c r="CH223" s="229">
        <f t="shared" si="513"/>
        <v>0</v>
      </c>
      <c r="CI223" s="228">
        <v>35</v>
      </c>
      <c r="CJ223" s="229">
        <f t="shared" si="514"/>
        <v>48</v>
      </c>
      <c r="CK223" s="234">
        <f t="shared" si="515"/>
        <v>3.0748170731707316</v>
      </c>
      <c r="CL223" s="234" cm="1">
        <f t="array" ref="CL223">$BM223 * SUMPRODUCT(INDEX($AV$76:$AX$81,,$AI223),INDEX($AY$76:$BE$81,,$AH223), N($AU$76:$AU$81&gt;$AM223)) / CK223 / 1000</f>
        <v>0</v>
      </c>
      <c r="CM223" s="231">
        <f t="shared" si="323"/>
        <v>30</v>
      </c>
      <c r="CN223" s="229">
        <f t="shared" si="516"/>
        <v>43</v>
      </c>
      <c r="CO223" s="234">
        <f t="shared" si="517"/>
        <v>3.5018750000000001</v>
      </c>
      <c r="CP223" s="234" cm="1">
        <f t="array" ref="CP223">$BM223 * IF($AH223&lt;=2,
SUMPRODUCT(INDEX($AV$71:$AX$75,,$AI223), INDEX($AY$71:$BE$75,,$AH223), 1 / ($BF$71:$BF$75*CO223 + (1-$BF$71:$BF$75)*CK223), N($AU$71:$AU$75&gt;$AM223)),
SUMPRODUCT(INDEX($AV$66:$AX$75,,$AI223), INDEX($AY$66:$BE$75,,$AH223), 1 / ($BG$66:$BG$75*CO223 + (1-$BG$66:$BG$75)*CK223), N($AU$66:$AU$75&gt;$AM223))
) / 1000</f>
        <v>0</v>
      </c>
      <c r="CQ223" s="231">
        <f t="shared" si="326"/>
        <v>25</v>
      </c>
      <c r="CR223" s="229">
        <f t="shared" si="518"/>
        <v>38</v>
      </c>
      <c r="CS223" s="234">
        <f t="shared" si="519"/>
        <v>4.0666935483870965</v>
      </c>
      <c r="CT223" s="234" cm="1">
        <f t="array" ref="CT223">$BM223 * IF($AH223&lt;=2,
SUMPRODUCT(INDEX($AV$66:$AX$70,,$AI223), INDEX($AY$66:$BE$70,,$AH223), 1 / ($BF$66:$BF$70*CS223 + (1-$BF$66:$BF$70)*CO223), N($AU$66:$AU$70&gt;$AM223)),
SUMPRODUCT(INDEX($AV$56:$AX$65,,$AI223), INDEX($AY$56:$BE$65,,$AH223), 1 / ($BG$56:$BG$65*CS223 + (1-$BG$56:$BG$65)*CO223), N($AU$56:$AU$65&gt;$AM223))
) / 1000</f>
        <v>0</v>
      </c>
      <c r="CU223" s="231">
        <f t="shared" si="329"/>
        <v>20</v>
      </c>
      <c r="CV223" s="229">
        <f t="shared" si="520"/>
        <v>33</v>
      </c>
      <c r="CW223" s="234">
        <f t="shared" si="521"/>
        <v>4.8487499999999999</v>
      </c>
      <c r="CX223" s="234" cm="1">
        <f t="array" ref="CX223">$BM223 * IF($AH223&lt;=2,
SUMPRODUCT(INDEX($AV$61:$AX$65,,$AI223), INDEX($AY$61:$BE$65,,$AH223), 1 / ($BF$61:$BF$65*CW223 + (1-$BF$61:$BF$65)*CS223), N($AU$61:$AU$65&gt;$AM223)),
SUMPRODUCT(INDEX($AV$46:$AX$55,,$AI223), INDEX($AY$46:$BE$55,,$AH223), 1 / ($BG$46:$BG$55*CW223 + (1-$BG$46:$BG$55)*CS223), N($AU$46:$AU$55&gt;$AM223))
) / 1000</f>
        <v>0</v>
      </c>
      <c r="CY223" s="234" cm="1">
        <f t="array" ref="CY223">$BM223 * IF($AH223&lt;=2,
SUMPRODUCT(INDEX($AV$22:$AX$60,,$AI223), INDEX($AY$22:$BE$60,,$AH223), 1 / ($BF$22:$BF$60*CW223), N($AU$22:$AU$60&gt;$AM223)),
SUMPRODUCT(INDEX($AV$22:$AX$45,,$AI223), INDEX($AY$22:$BE$45,,$AH223), 1 / ($BG$22:$BG$45*CW223), N($AU$22:$AU$45&gt;$AM223))
) / 1000</f>
        <v>0</v>
      </c>
      <c r="CZ223" s="229">
        <f t="shared" si="522"/>
        <v>0</v>
      </c>
      <c r="DA223" s="246"/>
    </row>
    <row r="224" spans="1:105" s="75" customFormat="1" ht="14.25" customHeight="1" x14ac:dyDescent="0.2">
      <c r="A224" s="230" t="b">
        <f t="shared" si="291"/>
        <v>0</v>
      </c>
      <c r="B224" s="253">
        <v>203</v>
      </c>
      <c r="C224" s="266"/>
      <c r="D224" s="266"/>
      <c r="E224" s="254"/>
      <c r="F224" s="255" t="str">
        <f>IF(ISBLANK(E224), "", VLOOKUP(E224, Z!$A$2:$C$4127, 3, FALSE))</f>
        <v/>
      </c>
      <c r="G224" s="256"/>
      <c r="H224" s="256"/>
      <c r="I224" s="256"/>
      <c r="J224" s="257"/>
      <c r="K224" s="258"/>
      <c r="L224" s="267"/>
      <c r="M224" s="268"/>
      <c r="N224" s="259" t="str" cm="1">
        <f t="array" ref="N224">IF($L224&gt;0, INDEX(Clean,1+AK224,$D$1), "")</f>
        <v/>
      </c>
      <c r="O224" s="260"/>
      <c r="P224" s="260"/>
      <c r="Q224" s="261"/>
      <c r="R224" s="264">
        <f t="shared" si="498"/>
        <v>0</v>
      </c>
      <c r="S224" s="259" t="str" cm="1">
        <f t="array" ref="S224">IF($L224&gt;0, INDEX(Clean,1+AL224,$D$1), "")</f>
        <v/>
      </c>
      <c r="T224" s="260"/>
      <c r="U224" s="260"/>
      <c r="V224" s="261"/>
      <c r="W224" s="267"/>
      <c r="X224" s="267"/>
      <c r="Y224" s="257"/>
      <c r="Z224" s="264">
        <f t="shared" si="499"/>
        <v>0</v>
      </c>
      <c r="AA224" s="269"/>
      <c r="AB224" s="266"/>
      <c r="AC224" s="254"/>
      <c r="AD224" s="255" t="str">
        <f>IF(ISBLANK(AC224), "", VLOOKUP(AC224, Z!$A$2:$C$4127, 3, FALSE))</f>
        <v/>
      </c>
      <c r="AE224" s="270"/>
      <c r="AF224" s="265">
        <f t="shared" si="500"/>
        <v>0</v>
      </c>
      <c r="AG224" s="246"/>
      <c r="AH224" s="228">
        <f t="shared" si="523"/>
        <v>1</v>
      </c>
      <c r="AI224" s="228">
        <f t="shared" si="524"/>
        <v>1</v>
      </c>
      <c r="AJ224" s="228">
        <f t="shared" si="525"/>
        <v>0</v>
      </c>
      <c r="AK224" s="228">
        <v>0</v>
      </c>
      <c r="AL224" s="228">
        <v>0</v>
      </c>
      <c r="AM224" s="228">
        <f t="shared" si="501"/>
        <v>-100</v>
      </c>
      <c r="AN224" s="228" cm="1">
        <f t="array" ref="AN224">IF(ISBLANK(G224), 1, IFERROR(MATCH(G224, INDEX(Kat,,1), 0), IFERROR(MATCH(Kat, INDEX(Use,,2), 0), MATCH(Kat, INDEX(Use,,3), 0))))</f>
        <v>1</v>
      </c>
      <c r="AO224" s="246"/>
      <c r="AP224" s="228" cm="1">
        <f t="array" ref="AP224">IF(W224&gt;0, INDEX(Kat, AN224,4), 0)</f>
        <v>0</v>
      </c>
      <c r="AQ224" s="228">
        <f t="shared" si="526"/>
        <v>0</v>
      </c>
      <c r="AR224" s="228" cm="1">
        <f t="array" ref="AR224">IF(X224&gt;0, INDEX(Kat, $AN224, 4+AQ224), 0)</f>
        <v>0</v>
      </c>
      <c r="AS224" s="228" cm="1">
        <f t="array" ref="AS224">IF(X224&gt;0, INDEX(Kat, $AN224, 9+AQ224), 0)</f>
        <v>0</v>
      </c>
      <c r="AT224" s="246"/>
      <c r="AU224" s="262"/>
      <c r="AV224" s="262"/>
      <c r="AW224" s="263"/>
      <c r="AX224" s="263"/>
      <c r="AY224" s="263"/>
      <c r="AZ224" s="263"/>
      <c r="BA224" s="263"/>
      <c r="BB224" s="263"/>
      <c r="BC224" s="263"/>
      <c r="BD224" s="263"/>
      <c r="BE224" s="263"/>
      <c r="BF224" s="263"/>
      <c r="BG224" s="263"/>
      <c r="BH224" s="246"/>
      <c r="BI224" s="228" cm="1">
        <f t="array" ref="BI224">INDEX(Use, $AH224, 4)</f>
        <v>7</v>
      </c>
      <c r="BJ224" s="228">
        <f t="shared" si="502"/>
        <v>32</v>
      </c>
      <c r="BK224" s="228">
        <f t="shared" si="305"/>
        <v>13</v>
      </c>
      <c r="BL224" s="228">
        <f t="shared" si="306"/>
        <v>0</v>
      </c>
      <c r="BM224" s="233" cm="1">
        <f t="array" ref="BM224">L224/IF($M224&gt;0, INDEX($AY$22:$BE$76, $M224+20, $AH224), 1)</f>
        <v>0</v>
      </c>
      <c r="BN224" s="229">
        <f t="shared" si="503"/>
        <v>0</v>
      </c>
      <c r="BO224" s="228">
        <v>35</v>
      </c>
      <c r="BP224" s="229">
        <f t="shared" si="504"/>
        <v>48</v>
      </c>
      <c r="BQ224" s="234">
        <f t="shared" si="505"/>
        <v>3.0748170731707316</v>
      </c>
      <c r="BR224" s="234" cm="1">
        <f t="array" ref="BR224">$BM224 * SUMPRODUCT(INDEX($AV$76:$AX$81,,$AI224),INDEX($AY$76:$BE$81,,$AH224), N($AU$76:$AU$81&gt;$AM224)) / BQ224 / 1000</f>
        <v>0</v>
      </c>
      <c r="BS224" s="231">
        <f t="shared" si="310"/>
        <v>30</v>
      </c>
      <c r="BT224" s="229">
        <f t="shared" si="506"/>
        <v>43</v>
      </c>
      <c r="BU224" s="234">
        <f t="shared" si="507"/>
        <v>3.5018750000000001</v>
      </c>
      <c r="BV224" s="234" cm="1">
        <f t="array" ref="BV224">$BM224 * IF($AH224&lt;=2,
SUMPRODUCT(INDEX($AV$71:$AX$75,,$AI224), INDEX($AY$71:$BE$75,,$AH224), 1 / ($BF$71:$BF$75*BU224 + (1-$BF$71:$BF$75)*BQ224), N($AU$71:$AU$75&gt;$AM224)),
SUMPRODUCT(INDEX($AV$66:$AX$75,,$AI224), INDEX($AY$66:$BE$75,,$AH224), 1 / ($BG$66:$BG$75*BU224 + (1-$BG$66:$BG$75)*BQ224), N($AU$66:$AU$75&gt;$AM224))
) / 1000</f>
        <v>0</v>
      </c>
      <c r="BW224" s="231">
        <f t="shared" si="313"/>
        <v>25</v>
      </c>
      <c r="BX224" s="229">
        <f t="shared" si="508"/>
        <v>38</v>
      </c>
      <c r="BY224" s="234">
        <f t="shared" si="509"/>
        <v>4.0666935483870965</v>
      </c>
      <c r="BZ224" s="234" cm="1">
        <f t="array" ref="BZ224">$BM224 * IF($AH224&lt;=2,
SUMPRODUCT(INDEX($AV$66:$AX$70,,$AI224), INDEX($AY$66:$BE$70,,$AH224), 1 / ($BF$66:$BF$70*BY224 + (1-$BF$66:$BF$70)*BU224), N($AU$66:$AU$70&gt;$AM224)),
SUMPRODUCT(INDEX($AV$56:$AX$65,,$AI224), INDEX($AY$56:$BE$65,,$AH224), 1 / ($BG$56:$BG$65*BY224 + (1-$BG$56:$BG$65)*BU224), N($AU$56:$AU$65&gt;$AM224))
) / 1000</f>
        <v>0</v>
      </c>
      <c r="CA224" s="231">
        <f t="shared" si="316"/>
        <v>20</v>
      </c>
      <c r="CB224" s="229">
        <f t="shared" si="510"/>
        <v>33</v>
      </c>
      <c r="CC224" s="234">
        <f t="shared" si="511"/>
        <v>4.8487499999999999</v>
      </c>
      <c r="CD224" s="234" cm="1">
        <f t="array" ref="CD224">$BM224 * IF($AH224&lt;=2,
SUMPRODUCT(INDEX($AV$61:$AX$65,,$AI224), INDEX($AY$61:$BE$65,,$AH224), 1 / ($BF$61:$BF$65*CC224 + (1-$BF$61:$BF$65)*BY224), N($AU$61:$AU$65&gt;$AM224)),
SUMPRODUCT(INDEX($AV$46:$AX$55,,$AI224), INDEX($AY$46:$BE$55,,$AH224), 1 / ($BG$46:$BG$55*CC224 + (1-$BG$46:$BG$55)*BY224), N($AU$46:$AU$55&gt;$AM224))
) / 1000</f>
        <v>0</v>
      </c>
      <c r="CE224" s="234" cm="1">
        <f t="array" ref="CE224">$BM224 * IF($AH224&lt;=2,
SUMPRODUCT(INDEX($AV$22:$AX$60,,$AI224), INDEX($AY$22:$BE$60,,$AH224), 1 / ($BF$22:$BF$60*CC224), N($AU$22:$AU$60&gt;$AM224)),
SUMPRODUCT(INDEX($AV$22:$AX$45,,$AI224), INDEX($AY$22:$BE$45,,$AH224), 1 / ($BG$22:$BG$45*CC224), N($AU$22:$AU$45&gt;$AM224))
) / 1000</f>
        <v>0</v>
      </c>
      <c r="CF224" s="229">
        <f t="shared" si="512"/>
        <v>0</v>
      </c>
      <c r="CG224" s="246"/>
      <c r="CH224" s="229">
        <f t="shared" si="513"/>
        <v>0</v>
      </c>
      <c r="CI224" s="228">
        <v>35</v>
      </c>
      <c r="CJ224" s="229">
        <f t="shared" si="514"/>
        <v>48</v>
      </c>
      <c r="CK224" s="234">
        <f t="shared" si="515"/>
        <v>3.0748170731707316</v>
      </c>
      <c r="CL224" s="234" cm="1">
        <f t="array" ref="CL224">$BM224 * SUMPRODUCT(INDEX($AV$76:$AX$81,,$AI224),INDEX($AY$76:$BE$81,,$AH224), N($AU$76:$AU$81&gt;$AM224)) / CK224 / 1000</f>
        <v>0</v>
      </c>
      <c r="CM224" s="231">
        <f t="shared" si="323"/>
        <v>30</v>
      </c>
      <c r="CN224" s="229">
        <f t="shared" si="516"/>
        <v>43</v>
      </c>
      <c r="CO224" s="234">
        <f t="shared" si="517"/>
        <v>3.5018750000000001</v>
      </c>
      <c r="CP224" s="234" cm="1">
        <f t="array" ref="CP224">$BM224 * IF($AH224&lt;=2,
SUMPRODUCT(INDEX($AV$71:$AX$75,,$AI224), INDEX($AY$71:$BE$75,,$AH224), 1 / ($BF$71:$BF$75*CO224 + (1-$BF$71:$BF$75)*CK224), N($AU$71:$AU$75&gt;$AM224)),
SUMPRODUCT(INDEX($AV$66:$AX$75,,$AI224), INDEX($AY$66:$BE$75,,$AH224), 1 / ($BG$66:$BG$75*CO224 + (1-$BG$66:$BG$75)*CK224), N($AU$66:$AU$75&gt;$AM224))
) / 1000</f>
        <v>0</v>
      </c>
      <c r="CQ224" s="231">
        <f t="shared" si="326"/>
        <v>25</v>
      </c>
      <c r="CR224" s="229">
        <f t="shared" si="518"/>
        <v>38</v>
      </c>
      <c r="CS224" s="234">
        <f t="shared" si="519"/>
        <v>4.0666935483870965</v>
      </c>
      <c r="CT224" s="234" cm="1">
        <f t="array" ref="CT224">$BM224 * IF($AH224&lt;=2,
SUMPRODUCT(INDEX($AV$66:$AX$70,,$AI224), INDEX($AY$66:$BE$70,,$AH224), 1 / ($BF$66:$BF$70*CS224 + (1-$BF$66:$BF$70)*CO224), N($AU$66:$AU$70&gt;$AM224)),
SUMPRODUCT(INDEX($AV$56:$AX$65,,$AI224), INDEX($AY$56:$BE$65,,$AH224), 1 / ($BG$56:$BG$65*CS224 + (1-$BG$56:$BG$65)*CO224), N($AU$56:$AU$65&gt;$AM224))
) / 1000</f>
        <v>0</v>
      </c>
      <c r="CU224" s="231">
        <f t="shared" si="329"/>
        <v>20</v>
      </c>
      <c r="CV224" s="229">
        <f t="shared" si="520"/>
        <v>33</v>
      </c>
      <c r="CW224" s="234">
        <f t="shared" si="521"/>
        <v>4.8487499999999999</v>
      </c>
      <c r="CX224" s="234" cm="1">
        <f t="array" ref="CX224">$BM224 * IF($AH224&lt;=2,
SUMPRODUCT(INDEX($AV$61:$AX$65,,$AI224), INDEX($AY$61:$BE$65,,$AH224), 1 / ($BF$61:$BF$65*CW224 + (1-$BF$61:$BF$65)*CS224), N($AU$61:$AU$65&gt;$AM224)),
SUMPRODUCT(INDEX($AV$46:$AX$55,,$AI224), INDEX($AY$46:$BE$55,,$AH224), 1 / ($BG$46:$BG$55*CW224 + (1-$BG$46:$BG$55)*CS224), N($AU$46:$AU$55&gt;$AM224))
) / 1000</f>
        <v>0</v>
      </c>
      <c r="CY224" s="234" cm="1">
        <f t="array" ref="CY224">$BM224 * IF($AH224&lt;=2,
SUMPRODUCT(INDEX($AV$22:$AX$60,,$AI224), INDEX($AY$22:$BE$60,,$AH224), 1 / ($BF$22:$BF$60*CW224), N($AU$22:$AU$60&gt;$AM224)),
SUMPRODUCT(INDEX($AV$22:$AX$45,,$AI224), INDEX($AY$22:$BE$45,,$AH224), 1 / ($BG$22:$BG$45*CW224), N($AU$22:$AU$45&gt;$AM224))
) / 1000</f>
        <v>0</v>
      </c>
      <c r="CZ224" s="229">
        <f t="shared" si="522"/>
        <v>0</v>
      </c>
      <c r="DA224" s="246"/>
    </row>
    <row r="225" spans="1:105" s="75" customFormat="1" ht="14.25" customHeight="1" x14ac:dyDescent="0.2">
      <c r="A225" s="230" t="b">
        <f t="shared" si="291"/>
        <v>0</v>
      </c>
      <c r="B225" s="253">
        <v>204</v>
      </c>
      <c r="C225" s="266"/>
      <c r="D225" s="266"/>
      <c r="E225" s="254"/>
      <c r="F225" s="255" t="str">
        <f>IF(ISBLANK(E225), "", VLOOKUP(E225, Z!$A$2:$C$4127, 3, FALSE))</f>
        <v/>
      </c>
      <c r="G225" s="256"/>
      <c r="H225" s="256"/>
      <c r="I225" s="256"/>
      <c r="J225" s="257"/>
      <c r="K225" s="258"/>
      <c r="L225" s="267"/>
      <c r="M225" s="268"/>
      <c r="N225" s="259" t="str" cm="1">
        <f t="array" ref="N225">IF($L225&gt;0, INDEX(Clean,1+AK225,$D$1), "")</f>
        <v/>
      </c>
      <c r="O225" s="260"/>
      <c r="P225" s="260"/>
      <c r="Q225" s="261"/>
      <c r="R225" s="264">
        <f t="shared" si="498"/>
        <v>0</v>
      </c>
      <c r="S225" s="259" t="str" cm="1">
        <f t="array" ref="S225">IF($L225&gt;0, INDEX(Clean,1+AL225,$D$1), "")</f>
        <v/>
      </c>
      <c r="T225" s="260"/>
      <c r="U225" s="260"/>
      <c r="V225" s="261"/>
      <c r="W225" s="267"/>
      <c r="X225" s="267"/>
      <c r="Y225" s="257"/>
      <c r="Z225" s="264">
        <f t="shared" si="499"/>
        <v>0</v>
      </c>
      <c r="AA225" s="269"/>
      <c r="AB225" s="266"/>
      <c r="AC225" s="254"/>
      <c r="AD225" s="255" t="str">
        <f>IF(ISBLANK(AC225), "", VLOOKUP(AC225, Z!$A$2:$C$4127, 3, FALSE))</f>
        <v/>
      </c>
      <c r="AE225" s="270"/>
      <c r="AF225" s="265">
        <f t="shared" si="500"/>
        <v>0</v>
      </c>
      <c r="AG225" s="246"/>
      <c r="AH225" s="228">
        <f t="shared" si="523"/>
        <v>1</v>
      </c>
      <c r="AI225" s="228">
        <f t="shared" si="524"/>
        <v>1</v>
      </c>
      <c r="AJ225" s="228">
        <f t="shared" si="525"/>
        <v>0</v>
      </c>
      <c r="AK225" s="228">
        <v>0</v>
      </c>
      <c r="AL225" s="228">
        <v>0</v>
      </c>
      <c r="AM225" s="228">
        <f t="shared" si="501"/>
        <v>-100</v>
      </c>
      <c r="AN225" s="228" cm="1">
        <f t="array" ref="AN225">IF(ISBLANK(G225), 1, IFERROR(MATCH(G225, INDEX(Kat,,1), 0), IFERROR(MATCH(Kat, INDEX(Use,,2), 0), MATCH(Kat, INDEX(Use,,3), 0))))</f>
        <v>1</v>
      </c>
      <c r="AO225" s="246"/>
      <c r="AP225" s="228" cm="1">
        <f t="array" ref="AP225">IF(W225&gt;0, INDEX(Kat, AN225,4), 0)</f>
        <v>0</v>
      </c>
      <c r="AQ225" s="228">
        <f t="shared" si="526"/>
        <v>0</v>
      </c>
      <c r="AR225" s="228" cm="1">
        <f t="array" ref="AR225">IF(X225&gt;0, INDEX(Kat, $AN225, 4+AQ225), 0)</f>
        <v>0</v>
      </c>
      <c r="AS225" s="228" cm="1">
        <f t="array" ref="AS225">IF(X225&gt;0, INDEX(Kat, $AN225, 9+AQ225), 0)</f>
        <v>0</v>
      </c>
      <c r="AT225" s="246"/>
      <c r="AU225" s="262"/>
      <c r="AV225" s="262"/>
      <c r="AW225" s="263"/>
      <c r="AX225" s="263"/>
      <c r="AY225" s="263"/>
      <c r="AZ225" s="263"/>
      <c r="BA225" s="263"/>
      <c r="BB225" s="263"/>
      <c r="BC225" s="263"/>
      <c r="BD225" s="263"/>
      <c r="BE225" s="263"/>
      <c r="BF225" s="263"/>
      <c r="BG225" s="263"/>
      <c r="BH225" s="246"/>
      <c r="BI225" s="228" cm="1">
        <f t="array" ref="BI225">INDEX(Use, $AH225, 4)</f>
        <v>7</v>
      </c>
      <c r="BJ225" s="228">
        <f t="shared" si="502"/>
        <v>32</v>
      </c>
      <c r="BK225" s="228">
        <f t="shared" si="305"/>
        <v>13</v>
      </c>
      <c r="BL225" s="228">
        <f t="shared" si="306"/>
        <v>0</v>
      </c>
      <c r="BM225" s="233" cm="1">
        <f t="array" ref="BM225">L225/IF($M225&gt;0, INDEX($AY$22:$BE$76, $M225+20, $AH225), 1)</f>
        <v>0</v>
      </c>
      <c r="BN225" s="229">
        <f t="shared" si="503"/>
        <v>0</v>
      </c>
      <c r="BO225" s="228">
        <v>35</v>
      </c>
      <c r="BP225" s="229">
        <f t="shared" si="504"/>
        <v>48</v>
      </c>
      <c r="BQ225" s="234">
        <f t="shared" si="505"/>
        <v>3.0748170731707316</v>
      </c>
      <c r="BR225" s="234" cm="1">
        <f t="array" ref="BR225">$BM225 * SUMPRODUCT(INDEX($AV$76:$AX$81,,$AI225),INDEX($AY$76:$BE$81,,$AH225), N($AU$76:$AU$81&gt;$AM225)) / BQ225 / 1000</f>
        <v>0</v>
      </c>
      <c r="BS225" s="231">
        <f t="shared" si="310"/>
        <v>30</v>
      </c>
      <c r="BT225" s="229">
        <f t="shared" si="506"/>
        <v>43</v>
      </c>
      <c r="BU225" s="234">
        <f t="shared" si="507"/>
        <v>3.5018750000000001</v>
      </c>
      <c r="BV225" s="234" cm="1">
        <f t="array" ref="BV225">$BM225 * IF($AH225&lt;=2,
SUMPRODUCT(INDEX($AV$71:$AX$75,,$AI225), INDEX($AY$71:$BE$75,,$AH225), 1 / ($BF$71:$BF$75*BU225 + (1-$BF$71:$BF$75)*BQ225), N($AU$71:$AU$75&gt;$AM225)),
SUMPRODUCT(INDEX($AV$66:$AX$75,,$AI225), INDEX($AY$66:$BE$75,,$AH225), 1 / ($BG$66:$BG$75*BU225 + (1-$BG$66:$BG$75)*BQ225), N($AU$66:$AU$75&gt;$AM225))
) / 1000</f>
        <v>0</v>
      </c>
      <c r="BW225" s="231">
        <f t="shared" si="313"/>
        <v>25</v>
      </c>
      <c r="BX225" s="229">
        <f t="shared" si="508"/>
        <v>38</v>
      </c>
      <c r="BY225" s="234">
        <f t="shared" si="509"/>
        <v>4.0666935483870965</v>
      </c>
      <c r="BZ225" s="234" cm="1">
        <f t="array" ref="BZ225">$BM225 * IF($AH225&lt;=2,
SUMPRODUCT(INDEX($AV$66:$AX$70,,$AI225), INDEX($AY$66:$BE$70,,$AH225), 1 / ($BF$66:$BF$70*BY225 + (1-$BF$66:$BF$70)*BU225), N($AU$66:$AU$70&gt;$AM225)),
SUMPRODUCT(INDEX($AV$56:$AX$65,,$AI225), INDEX($AY$56:$BE$65,,$AH225), 1 / ($BG$56:$BG$65*BY225 + (1-$BG$56:$BG$65)*BU225), N($AU$56:$AU$65&gt;$AM225))
) / 1000</f>
        <v>0</v>
      </c>
      <c r="CA225" s="231">
        <f t="shared" si="316"/>
        <v>20</v>
      </c>
      <c r="CB225" s="229">
        <f t="shared" si="510"/>
        <v>33</v>
      </c>
      <c r="CC225" s="234">
        <f t="shared" si="511"/>
        <v>4.8487499999999999</v>
      </c>
      <c r="CD225" s="234" cm="1">
        <f t="array" ref="CD225">$BM225 * IF($AH225&lt;=2,
SUMPRODUCT(INDEX($AV$61:$AX$65,,$AI225), INDEX($AY$61:$BE$65,,$AH225), 1 / ($BF$61:$BF$65*CC225 + (1-$BF$61:$BF$65)*BY225), N($AU$61:$AU$65&gt;$AM225)),
SUMPRODUCT(INDEX($AV$46:$AX$55,,$AI225), INDEX($AY$46:$BE$55,,$AH225), 1 / ($BG$46:$BG$55*CC225 + (1-$BG$46:$BG$55)*BY225), N($AU$46:$AU$55&gt;$AM225))
) / 1000</f>
        <v>0</v>
      </c>
      <c r="CE225" s="234" cm="1">
        <f t="array" ref="CE225">$BM225 * IF($AH225&lt;=2,
SUMPRODUCT(INDEX($AV$22:$AX$60,,$AI225), INDEX($AY$22:$BE$60,,$AH225), 1 / ($BF$22:$BF$60*CC225), N($AU$22:$AU$60&gt;$AM225)),
SUMPRODUCT(INDEX($AV$22:$AX$45,,$AI225), INDEX($AY$22:$BE$45,,$AH225), 1 / ($BG$22:$BG$45*CC225), N($AU$22:$AU$45&gt;$AM225))
) / 1000</f>
        <v>0</v>
      </c>
      <c r="CF225" s="229">
        <f t="shared" si="512"/>
        <v>0</v>
      </c>
      <c r="CG225" s="246"/>
      <c r="CH225" s="229">
        <f t="shared" si="513"/>
        <v>0</v>
      </c>
      <c r="CI225" s="228">
        <v>35</v>
      </c>
      <c r="CJ225" s="229">
        <f t="shared" si="514"/>
        <v>48</v>
      </c>
      <c r="CK225" s="234">
        <f t="shared" si="515"/>
        <v>3.0748170731707316</v>
      </c>
      <c r="CL225" s="234" cm="1">
        <f t="array" ref="CL225">$BM225 * SUMPRODUCT(INDEX($AV$76:$AX$81,,$AI225),INDEX($AY$76:$BE$81,,$AH225), N($AU$76:$AU$81&gt;$AM225)) / CK225 / 1000</f>
        <v>0</v>
      </c>
      <c r="CM225" s="231">
        <f t="shared" si="323"/>
        <v>30</v>
      </c>
      <c r="CN225" s="229">
        <f t="shared" si="516"/>
        <v>43</v>
      </c>
      <c r="CO225" s="234">
        <f t="shared" si="517"/>
        <v>3.5018750000000001</v>
      </c>
      <c r="CP225" s="234" cm="1">
        <f t="array" ref="CP225">$BM225 * IF($AH225&lt;=2,
SUMPRODUCT(INDEX($AV$71:$AX$75,,$AI225), INDEX($AY$71:$BE$75,,$AH225), 1 / ($BF$71:$BF$75*CO225 + (1-$BF$71:$BF$75)*CK225), N($AU$71:$AU$75&gt;$AM225)),
SUMPRODUCT(INDEX($AV$66:$AX$75,,$AI225), INDEX($AY$66:$BE$75,,$AH225), 1 / ($BG$66:$BG$75*CO225 + (1-$BG$66:$BG$75)*CK225), N($AU$66:$AU$75&gt;$AM225))
) / 1000</f>
        <v>0</v>
      </c>
      <c r="CQ225" s="231">
        <f t="shared" si="326"/>
        <v>25</v>
      </c>
      <c r="CR225" s="229">
        <f t="shared" si="518"/>
        <v>38</v>
      </c>
      <c r="CS225" s="234">
        <f t="shared" si="519"/>
        <v>4.0666935483870965</v>
      </c>
      <c r="CT225" s="234" cm="1">
        <f t="array" ref="CT225">$BM225 * IF($AH225&lt;=2,
SUMPRODUCT(INDEX($AV$66:$AX$70,,$AI225), INDEX($AY$66:$BE$70,,$AH225), 1 / ($BF$66:$BF$70*CS225 + (1-$BF$66:$BF$70)*CO225), N($AU$66:$AU$70&gt;$AM225)),
SUMPRODUCT(INDEX($AV$56:$AX$65,,$AI225), INDEX($AY$56:$BE$65,,$AH225), 1 / ($BG$56:$BG$65*CS225 + (1-$BG$56:$BG$65)*CO225), N($AU$56:$AU$65&gt;$AM225))
) / 1000</f>
        <v>0</v>
      </c>
      <c r="CU225" s="231">
        <f t="shared" si="329"/>
        <v>20</v>
      </c>
      <c r="CV225" s="229">
        <f t="shared" si="520"/>
        <v>33</v>
      </c>
      <c r="CW225" s="234">
        <f t="shared" si="521"/>
        <v>4.8487499999999999</v>
      </c>
      <c r="CX225" s="234" cm="1">
        <f t="array" ref="CX225">$BM225 * IF($AH225&lt;=2,
SUMPRODUCT(INDEX($AV$61:$AX$65,,$AI225), INDEX($AY$61:$BE$65,,$AH225), 1 / ($BF$61:$BF$65*CW225 + (1-$BF$61:$BF$65)*CS225), N($AU$61:$AU$65&gt;$AM225)),
SUMPRODUCT(INDEX($AV$46:$AX$55,,$AI225), INDEX($AY$46:$BE$55,,$AH225), 1 / ($BG$46:$BG$55*CW225 + (1-$BG$46:$BG$55)*CS225), N($AU$46:$AU$55&gt;$AM225))
) / 1000</f>
        <v>0</v>
      </c>
      <c r="CY225" s="234" cm="1">
        <f t="array" ref="CY225">$BM225 * IF($AH225&lt;=2,
SUMPRODUCT(INDEX($AV$22:$AX$60,,$AI225), INDEX($AY$22:$BE$60,,$AH225), 1 / ($BF$22:$BF$60*CW225), N($AU$22:$AU$60&gt;$AM225)),
SUMPRODUCT(INDEX($AV$22:$AX$45,,$AI225), INDEX($AY$22:$BE$45,,$AH225), 1 / ($BG$22:$BG$45*CW225), N($AU$22:$AU$45&gt;$AM225))
) / 1000</f>
        <v>0</v>
      </c>
      <c r="CZ225" s="229">
        <f t="shared" si="522"/>
        <v>0</v>
      </c>
      <c r="DA225" s="246"/>
    </row>
    <row r="226" spans="1:105" s="75" customFormat="1" ht="14.25" customHeight="1" x14ac:dyDescent="0.2">
      <c r="A226" s="230" t="b">
        <f t="shared" si="291"/>
        <v>0</v>
      </c>
      <c r="B226" s="253">
        <v>205</v>
      </c>
      <c r="C226" s="266"/>
      <c r="D226" s="266"/>
      <c r="E226" s="254"/>
      <c r="F226" s="255" t="str">
        <f>IF(ISBLANK(E226), "", VLOOKUP(E226, Z!$A$2:$C$4127, 3, FALSE))</f>
        <v/>
      </c>
      <c r="G226" s="256"/>
      <c r="H226" s="256"/>
      <c r="I226" s="256"/>
      <c r="J226" s="257"/>
      <c r="K226" s="258"/>
      <c r="L226" s="267"/>
      <c r="M226" s="268"/>
      <c r="N226" s="259" t="str" cm="1">
        <f t="array" ref="N226">IF($L226&gt;0, INDEX(Clean,1+AK226,$D$1), "")</f>
        <v/>
      </c>
      <c r="O226" s="260"/>
      <c r="P226" s="260"/>
      <c r="Q226" s="261"/>
      <c r="R226" s="264">
        <f t="shared" si="498"/>
        <v>0</v>
      </c>
      <c r="S226" s="259" t="str" cm="1">
        <f t="array" ref="S226">IF($L226&gt;0, INDEX(Clean,1+AL226,$D$1), "")</f>
        <v/>
      </c>
      <c r="T226" s="260"/>
      <c r="U226" s="260"/>
      <c r="V226" s="261"/>
      <c r="W226" s="267"/>
      <c r="X226" s="267"/>
      <c r="Y226" s="257"/>
      <c r="Z226" s="264">
        <f t="shared" si="499"/>
        <v>0</v>
      </c>
      <c r="AA226" s="269"/>
      <c r="AB226" s="266"/>
      <c r="AC226" s="254"/>
      <c r="AD226" s="255" t="str">
        <f>IF(ISBLANK(AC226), "", VLOOKUP(AC226, Z!$A$2:$C$4127, 3, FALSE))</f>
        <v/>
      </c>
      <c r="AE226" s="270"/>
      <c r="AF226" s="265">
        <f t="shared" si="500"/>
        <v>0</v>
      </c>
      <c r="AG226" s="246"/>
      <c r="AH226" s="228">
        <f t="shared" si="523"/>
        <v>1</v>
      </c>
      <c r="AI226" s="228">
        <f t="shared" si="524"/>
        <v>1</v>
      </c>
      <c r="AJ226" s="228">
        <f t="shared" si="525"/>
        <v>0</v>
      </c>
      <c r="AK226" s="228">
        <v>0</v>
      </c>
      <c r="AL226" s="228">
        <v>0</v>
      </c>
      <c r="AM226" s="228">
        <f t="shared" si="501"/>
        <v>-100</v>
      </c>
      <c r="AN226" s="228" cm="1">
        <f t="array" ref="AN226">IF(ISBLANK(G226), 1, IFERROR(MATCH(G226, INDEX(Kat,,1), 0), IFERROR(MATCH(Kat, INDEX(Use,,2), 0), MATCH(Kat, INDEX(Use,,3), 0))))</f>
        <v>1</v>
      </c>
      <c r="AO226" s="246"/>
      <c r="AP226" s="228" cm="1">
        <f t="array" ref="AP226">IF(W226&gt;0, INDEX(Kat, AN226,4), 0)</f>
        <v>0</v>
      </c>
      <c r="AQ226" s="228">
        <f t="shared" si="526"/>
        <v>0</v>
      </c>
      <c r="AR226" s="228" cm="1">
        <f t="array" ref="AR226">IF(X226&gt;0, INDEX(Kat, $AN226, 4+AQ226), 0)</f>
        <v>0</v>
      </c>
      <c r="AS226" s="228" cm="1">
        <f t="array" ref="AS226">IF(X226&gt;0, INDEX(Kat, $AN226, 9+AQ226), 0)</f>
        <v>0</v>
      </c>
      <c r="AT226" s="246"/>
      <c r="AU226" s="262"/>
      <c r="AV226" s="262"/>
      <c r="AW226" s="263"/>
      <c r="AX226" s="263"/>
      <c r="AY226" s="263"/>
      <c r="AZ226" s="263"/>
      <c r="BA226" s="263"/>
      <c r="BB226" s="263"/>
      <c r="BC226" s="263"/>
      <c r="BD226" s="263"/>
      <c r="BE226" s="263"/>
      <c r="BF226" s="263"/>
      <c r="BG226" s="263"/>
      <c r="BH226" s="246"/>
      <c r="BI226" s="228" cm="1">
        <f t="array" ref="BI226">INDEX(Use, $AH226, 4)</f>
        <v>7</v>
      </c>
      <c r="BJ226" s="228">
        <f t="shared" si="502"/>
        <v>32</v>
      </c>
      <c r="BK226" s="228">
        <f t="shared" si="305"/>
        <v>13</v>
      </c>
      <c r="BL226" s="228">
        <f t="shared" si="306"/>
        <v>0</v>
      </c>
      <c r="BM226" s="233" cm="1">
        <f t="array" ref="BM226">L226/IF($M226&gt;0, INDEX($AY$22:$BE$76, $M226+20, $AH226), 1)</f>
        <v>0</v>
      </c>
      <c r="BN226" s="229">
        <f t="shared" si="503"/>
        <v>0</v>
      </c>
      <c r="BO226" s="228">
        <v>35</v>
      </c>
      <c r="BP226" s="229">
        <f t="shared" si="504"/>
        <v>48</v>
      </c>
      <c r="BQ226" s="234">
        <f t="shared" si="505"/>
        <v>3.0748170731707316</v>
      </c>
      <c r="BR226" s="234" cm="1">
        <f t="array" ref="BR226">$BM226 * SUMPRODUCT(INDEX($AV$76:$AX$81,,$AI226),INDEX($AY$76:$BE$81,,$AH226), N($AU$76:$AU$81&gt;$AM226)) / BQ226 / 1000</f>
        <v>0</v>
      </c>
      <c r="BS226" s="231">
        <f t="shared" si="310"/>
        <v>30</v>
      </c>
      <c r="BT226" s="229">
        <f t="shared" si="506"/>
        <v>43</v>
      </c>
      <c r="BU226" s="234">
        <f t="shared" si="507"/>
        <v>3.5018750000000001</v>
      </c>
      <c r="BV226" s="234" cm="1">
        <f t="array" ref="BV226">$BM226 * IF($AH226&lt;=2,
SUMPRODUCT(INDEX($AV$71:$AX$75,,$AI226), INDEX($AY$71:$BE$75,,$AH226), 1 / ($BF$71:$BF$75*BU226 + (1-$BF$71:$BF$75)*BQ226), N($AU$71:$AU$75&gt;$AM226)),
SUMPRODUCT(INDEX($AV$66:$AX$75,,$AI226), INDEX($AY$66:$BE$75,,$AH226), 1 / ($BG$66:$BG$75*BU226 + (1-$BG$66:$BG$75)*BQ226), N($AU$66:$AU$75&gt;$AM226))
) / 1000</f>
        <v>0</v>
      </c>
      <c r="BW226" s="231">
        <f t="shared" si="313"/>
        <v>25</v>
      </c>
      <c r="BX226" s="229">
        <f t="shared" si="508"/>
        <v>38</v>
      </c>
      <c r="BY226" s="234">
        <f t="shared" si="509"/>
        <v>4.0666935483870965</v>
      </c>
      <c r="BZ226" s="234" cm="1">
        <f t="array" ref="BZ226">$BM226 * IF($AH226&lt;=2,
SUMPRODUCT(INDEX($AV$66:$AX$70,,$AI226), INDEX($AY$66:$BE$70,,$AH226), 1 / ($BF$66:$BF$70*BY226 + (1-$BF$66:$BF$70)*BU226), N($AU$66:$AU$70&gt;$AM226)),
SUMPRODUCT(INDEX($AV$56:$AX$65,,$AI226), INDEX($AY$56:$BE$65,,$AH226), 1 / ($BG$56:$BG$65*BY226 + (1-$BG$56:$BG$65)*BU226), N($AU$56:$AU$65&gt;$AM226))
) / 1000</f>
        <v>0</v>
      </c>
      <c r="CA226" s="231">
        <f t="shared" si="316"/>
        <v>20</v>
      </c>
      <c r="CB226" s="229">
        <f t="shared" si="510"/>
        <v>33</v>
      </c>
      <c r="CC226" s="234">
        <f t="shared" si="511"/>
        <v>4.8487499999999999</v>
      </c>
      <c r="CD226" s="234" cm="1">
        <f t="array" ref="CD226">$BM226 * IF($AH226&lt;=2,
SUMPRODUCT(INDEX($AV$61:$AX$65,,$AI226), INDEX($AY$61:$BE$65,,$AH226), 1 / ($BF$61:$BF$65*CC226 + (1-$BF$61:$BF$65)*BY226), N($AU$61:$AU$65&gt;$AM226)),
SUMPRODUCT(INDEX($AV$46:$AX$55,,$AI226), INDEX($AY$46:$BE$55,,$AH226), 1 / ($BG$46:$BG$55*CC226 + (1-$BG$46:$BG$55)*BY226), N($AU$46:$AU$55&gt;$AM226))
) / 1000</f>
        <v>0</v>
      </c>
      <c r="CE226" s="234" cm="1">
        <f t="array" ref="CE226">$BM226 * IF($AH226&lt;=2,
SUMPRODUCT(INDEX($AV$22:$AX$60,,$AI226), INDEX($AY$22:$BE$60,,$AH226), 1 / ($BF$22:$BF$60*CC226), N($AU$22:$AU$60&gt;$AM226)),
SUMPRODUCT(INDEX($AV$22:$AX$45,,$AI226), INDEX($AY$22:$BE$45,,$AH226), 1 / ($BG$22:$BG$45*CC226), N($AU$22:$AU$45&gt;$AM226))
) / 1000</f>
        <v>0</v>
      </c>
      <c r="CF226" s="229">
        <f t="shared" si="512"/>
        <v>0</v>
      </c>
      <c r="CG226" s="246"/>
      <c r="CH226" s="229">
        <f t="shared" si="513"/>
        <v>0</v>
      </c>
      <c r="CI226" s="228">
        <v>35</v>
      </c>
      <c r="CJ226" s="229">
        <f t="shared" si="514"/>
        <v>48</v>
      </c>
      <c r="CK226" s="234">
        <f t="shared" si="515"/>
        <v>3.0748170731707316</v>
      </c>
      <c r="CL226" s="234" cm="1">
        <f t="array" ref="CL226">$BM226 * SUMPRODUCT(INDEX($AV$76:$AX$81,,$AI226),INDEX($AY$76:$BE$81,,$AH226), N($AU$76:$AU$81&gt;$AM226)) / CK226 / 1000</f>
        <v>0</v>
      </c>
      <c r="CM226" s="231">
        <f t="shared" si="323"/>
        <v>30</v>
      </c>
      <c r="CN226" s="229">
        <f t="shared" si="516"/>
        <v>43</v>
      </c>
      <c r="CO226" s="234">
        <f t="shared" si="517"/>
        <v>3.5018750000000001</v>
      </c>
      <c r="CP226" s="234" cm="1">
        <f t="array" ref="CP226">$BM226 * IF($AH226&lt;=2,
SUMPRODUCT(INDEX($AV$71:$AX$75,,$AI226), INDEX($AY$71:$BE$75,,$AH226), 1 / ($BF$71:$BF$75*CO226 + (1-$BF$71:$BF$75)*CK226), N($AU$71:$AU$75&gt;$AM226)),
SUMPRODUCT(INDEX($AV$66:$AX$75,,$AI226), INDEX($AY$66:$BE$75,,$AH226), 1 / ($BG$66:$BG$75*CO226 + (1-$BG$66:$BG$75)*CK226), N($AU$66:$AU$75&gt;$AM226))
) / 1000</f>
        <v>0</v>
      </c>
      <c r="CQ226" s="231">
        <f t="shared" si="326"/>
        <v>25</v>
      </c>
      <c r="CR226" s="229">
        <f t="shared" si="518"/>
        <v>38</v>
      </c>
      <c r="CS226" s="234">
        <f t="shared" si="519"/>
        <v>4.0666935483870965</v>
      </c>
      <c r="CT226" s="234" cm="1">
        <f t="array" ref="CT226">$BM226 * IF($AH226&lt;=2,
SUMPRODUCT(INDEX($AV$66:$AX$70,,$AI226), INDEX($AY$66:$BE$70,,$AH226), 1 / ($BF$66:$BF$70*CS226 + (1-$BF$66:$BF$70)*CO226), N($AU$66:$AU$70&gt;$AM226)),
SUMPRODUCT(INDEX($AV$56:$AX$65,,$AI226), INDEX($AY$56:$BE$65,,$AH226), 1 / ($BG$56:$BG$65*CS226 + (1-$BG$56:$BG$65)*CO226), N($AU$56:$AU$65&gt;$AM226))
) / 1000</f>
        <v>0</v>
      </c>
      <c r="CU226" s="231">
        <f t="shared" si="329"/>
        <v>20</v>
      </c>
      <c r="CV226" s="229">
        <f t="shared" si="520"/>
        <v>33</v>
      </c>
      <c r="CW226" s="234">
        <f t="shared" si="521"/>
        <v>4.8487499999999999</v>
      </c>
      <c r="CX226" s="234" cm="1">
        <f t="array" ref="CX226">$BM226 * IF($AH226&lt;=2,
SUMPRODUCT(INDEX($AV$61:$AX$65,,$AI226), INDEX($AY$61:$BE$65,,$AH226), 1 / ($BF$61:$BF$65*CW226 + (1-$BF$61:$BF$65)*CS226), N($AU$61:$AU$65&gt;$AM226)),
SUMPRODUCT(INDEX($AV$46:$AX$55,,$AI226), INDEX($AY$46:$BE$55,,$AH226), 1 / ($BG$46:$BG$55*CW226 + (1-$BG$46:$BG$55)*CS226), N($AU$46:$AU$55&gt;$AM226))
) / 1000</f>
        <v>0</v>
      </c>
      <c r="CY226" s="234" cm="1">
        <f t="array" ref="CY226">$BM226 * IF($AH226&lt;=2,
SUMPRODUCT(INDEX($AV$22:$AX$60,,$AI226), INDEX($AY$22:$BE$60,,$AH226), 1 / ($BF$22:$BF$60*CW226), N($AU$22:$AU$60&gt;$AM226)),
SUMPRODUCT(INDEX($AV$22:$AX$45,,$AI226), INDEX($AY$22:$BE$45,,$AH226), 1 / ($BG$22:$BG$45*CW226), N($AU$22:$AU$45&gt;$AM226))
) / 1000</f>
        <v>0</v>
      </c>
      <c r="CZ226" s="229">
        <f t="shared" si="522"/>
        <v>0</v>
      </c>
      <c r="DA226" s="246"/>
    </row>
    <row r="227" spans="1:105" s="75" customFormat="1" ht="14.25" customHeight="1" x14ac:dyDescent="0.2">
      <c r="A227" s="230" t="b">
        <f t="shared" si="291"/>
        <v>0</v>
      </c>
      <c r="B227" s="253">
        <v>206</v>
      </c>
      <c r="C227" s="266"/>
      <c r="D227" s="266"/>
      <c r="E227" s="254"/>
      <c r="F227" s="255" t="str">
        <f>IF(ISBLANK(E227), "", VLOOKUP(E227, Z!$A$2:$C$4127, 3, FALSE))</f>
        <v/>
      </c>
      <c r="G227" s="256"/>
      <c r="H227" s="256"/>
      <c r="I227" s="256"/>
      <c r="J227" s="257"/>
      <c r="K227" s="258"/>
      <c r="L227" s="267"/>
      <c r="M227" s="268"/>
      <c r="N227" s="259" t="str" cm="1">
        <f t="array" ref="N227">IF($L227&gt;0, INDEX(Clean,1+AK227,$D$1), "")</f>
        <v/>
      </c>
      <c r="O227" s="260"/>
      <c r="P227" s="260"/>
      <c r="Q227" s="261"/>
      <c r="R227" s="264">
        <f t="shared" si="498"/>
        <v>0</v>
      </c>
      <c r="S227" s="259" t="str" cm="1">
        <f t="array" ref="S227">IF($L227&gt;0, INDEX(Clean,1+AL227,$D$1), "")</f>
        <v/>
      </c>
      <c r="T227" s="260"/>
      <c r="U227" s="260"/>
      <c r="V227" s="261"/>
      <c r="W227" s="267"/>
      <c r="X227" s="267"/>
      <c r="Y227" s="257"/>
      <c r="Z227" s="264">
        <f t="shared" si="499"/>
        <v>0</v>
      </c>
      <c r="AA227" s="269"/>
      <c r="AB227" s="266"/>
      <c r="AC227" s="254"/>
      <c r="AD227" s="255" t="str">
        <f>IF(ISBLANK(AC227), "", VLOOKUP(AC227, Z!$A$2:$C$4127, 3, FALSE))</f>
        <v/>
      </c>
      <c r="AE227" s="270"/>
      <c r="AF227" s="265">
        <f t="shared" si="500"/>
        <v>0</v>
      </c>
      <c r="AG227" s="246"/>
      <c r="AH227" s="228">
        <f t="shared" si="523"/>
        <v>1</v>
      </c>
      <c r="AI227" s="228">
        <f t="shared" si="524"/>
        <v>1</v>
      </c>
      <c r="AJ227" s="228">
        <f t="shared" si="525"/>
        <v>0</v>
      </c>
      <c r="AK227" s="228">
        <v>0</v>
      </c>
      <c r="AL227" s="228">
        <v>0</v>
      </c>
      <c r="AM227" s="228">
        <f t="shared" si="501"/>
        <v>-100</v>
      </c>
      <c r="AN227" s="228" cm="1">
        <f t="array" ref="AN227">IF(ISBLANK(G227), 1, IFERROR(MATCH(G227, INDEX(Kat,,1), 0), IFERROR(MATCH(Kat, INDEX(Use,,2), 0), MATCH(Kat, INDEX(Use,,3), 0))))</f>
        <v>1</v>
      </c>
      <c r="AO227" s="246"/>
      <c r="AP227" s="228" cm="1">
        <f t="array" ref="AP227">IF(W227&gt;0, INDEX(Kat, AN227,4), 0)</f>
        <v>0</v>
      </c>
      <c r="AQ227" s="228">
        <f t="shared" si="526"/>
        <v>0</v>
      </c>
      <c r="AR227" s="228" cm="1">
        <f t="array" ref="AR227">IF(X227&gt;0, INDEX(Kat, $AN227, 4+AQ227), 0)</f>
        <v>0</v>
      </c>
      <c r="AS227" s="228" cm="1">
        <f t="array" ref="AS227">IF(X227&gt;0, INDEX(Kat, $AN227, 9+AQ227), 0)</f>
        <v>0</v>
      </c>
      <c r="AT227" s="246"/>
      <c r="AU227" s="262"/>
      <c r="AV227" s="262"/>
      <c r="AW227" s="263"/>
      <c r="AX227" s="263"/>
      <c r="AY227" s="263"/>
      <c r="AZ227" s="263"/>
      <c r="BA227" s="263"/>
      <c r="BB227" s="263"/>
      <c r="BC227" s="263"/>
      <c r="BD227" s="263"/>
      <c r="BE227" s="263"/>
      <c r="BF227" s="263"/>
      <c r="BG227" s="263"/>
      <c r="BH227" s="246"/>
      <c r="BI227" s="228" cm="1">
        <f t="array" ref="BI227">INDEX(Use, $AH227, 4)</f>
        <v>7</v>
      </c>
      <c r="BJ227" s="228">
        <f t="shared" si="502"/>
        <v>32</v>
      </c>
      <c r="BK227" s="228">
        <f t="shared" si="305"/>
        <v>13</v>
      </c>
      <c r="BL227" s="228">
        <f t="shared" si="306"/>
        <v>0</v>
      </c>
      <c r="BM227" s="233" cm="1">
        <f t="array" ref="BM227">L227/IF($M227&gt;0, INDEX($AY$22:$BE$76, $M227+20, $AH227), 1)</f>
        <v>0</v>
      </c>
      <c r="BN227" s="229">
        <f t="shared" si="503"/>
        <v>0</v>
      </c>
      <c r="BO227" s="228">
        <v>35</v>
      </c>
      <c r="BP227" s="229">
        <f t="shared" si="504"/>
        <v>48</v>
      </c>
      <c r="BQ227" s="234">
        <f t="shared" si="505"/>
        <v>3.0748170731707316</v>
      </c>
      <c r="BR227" s="234" cm="1">
        <f t="array" ref="BR227">$BM227 * SUMPRODUCT(INDEX($AV$76:$AX$81,,$AI227),INDEX($AY$76:$BE$81,,$AH227), N($AU$76:$AU$81&gt;$AM227)) / BQ227 / 1000</f>
        <v>0</v>
      </c>
      <c r="BS227" s="231">
        <f t="shared" si="310"/>
        <v>30</v>
      </c>
      <c r="BT227" s="229">
        <f t="shared" si="506"/>
        <v>43</v>
      </c>
      <c r="BU227" s="234">
        <f t="shared" si="507"/>
        <v>3.5018750000000001</v>
      </c>
      <c r="BV227" s="234" cm="1">
        <f t="array" ref="BV227">$BM227 * IF($AH227&lt;=2,
SUMPRODUCT(INDEX($AV$71:$AX$75,,$AI227), INDEX($AY$71:$BE$75,,$AH227), 1 / ($BF$71:$BF$75*BU227 + (1-$BF$71:$BF$75)*BQ227), N($AU$71:$AU$75&gt;$AM227)),
SUMPRODUCT(INDEX($AV$66:$AX$75,,$AI227), INDEX($AY$66:$BE$75,,$AH227), 1 / ($BG$66:$BG$75*BU227 + (1-$BG$66:$BG$75)*BQ227), N($AU$66:$AU$75&gt;$AM227))
) / 1000</f>
        <v>0</v>
      </c>
      <c r="BW227" s="231">
        <f t="shared" si="313"/>
        <v>25</v>
      </c>
      <c r="BX227" s="229">
        <f t="shared" si="508"/>
        <v>38</v>
      </c>
      <c r="BY227" s="234">
        <f t="shared" si="509"/>
        <v>4.0666935483870965</v>
      </c>
      <c r="BZ227" s="234" cm="1">
        <f t="array" ref="BZ227">$BM227 * IF($AH227&lt;=2,
SUMPRODUCT(INDEX($AV$66:$AX$70,,$AI227), INDEX($AY$66:$BE$70,,$AH227), 1 / ($BF$66:$BF$70*BY227 + (1-$BF$66:$BF$70)*BU227), N($AU$66:$AU$70&gt;$AM227)),
SUMPRODUCT(INDEX($AV$56:$AX$65,,$AI227), INDEX($AY$56:$BE$65,,$AH227), 1 / ($BG$56:$BG$65*BY227 + (1-$BG$56:$BG$65)*BU227), N($AU$56:$AU$65&gt;$AM227))
) / 1000</f>
        <v>0</v>
      </c>
      <c r="CA227" s="231">
        <f t="shared" si="316"/>
        <v>20</v>
      </c>
      <c r="CB227" s="229">
        <f t="shared" si="510"/>
        <v>33</v>
      </c>
      <c r="CC227" s="234">
        <f t="shared" si="511"/>
        <v>4.8487499999999999</v>
      </c>
      <c r="CD227" s="234" cm="1">
        <f t="array" ref="CD227">$BM227 * IF($AH227&lt;=2,
SUMPRODUCT(INDEX($AV$61:$AX$65,,$AI227), INDEX($AY$61:$BE$65,,$AH227), 1 / ($BF$61:$BF$65*CC227 + (1-$BF$61:$BF$65)*BY227), N($AU$61:$AU$65&gt;$AM227)),
SUMPRODUCT(INDEX($AV$46:$AX$55,,$AI227), INDEX($AY$46:$BE$55,,$AH227), 1 / ($BG$46:$BG$55*CC227 + (1-$BG$46:$BG$55)*BY227), N($AU$46:$AU$55&gt;$AM227))
) / 1000</f>
        <v>0</v>
      </c>
      <c r="CE227" s="234" cm="1">
        <f t="array" ref="CE227">$BM227 * IF($AH227&lt;=2,
SUMPRODUCT(INDEX($AV$22:$AX$60,,$AI227), INDEX($AY$22:$BE$60,,$AH227), 1 / ($BF$22:$BF$60*CC227), N($AU$22:$AU$60&gt;$AM227)),
SUMPRODUCT(INDEX($AV$22:$AX$45,,$AI227), INDEX($AY$22:$BE$45,,$AH227), 1 / ($BG$22:$BG$45*CC227), N($AU$22:$AU$45&gt;$AM227))
) / 1000</f>
        <v>0</v>
      </c>
      <c r="CF227" s="229">
        <f t="shared" si="512"/>
        <v>0</v>
      </c>
      <c r="CG227" s="246"/>
      <c r="CH227" s="229">
        <f t="shared" si="513"/>
        <v>0</v>
      </c>
      <c r="CI227" s="228">
        <v>35</v>
      </c>
      <c r="CJ227" s="229">
        <f t="shared" si="514"/>
        <v>48</v>
      </c>
      <c r="CK227" s="234">
        <f t="shared" si="515"/>
        <v>3.0748170731707316</v>
      </c>
      <c r="CL227" s="234" cm="1">
        <f t="array" ref="CL227">$BM227 * SUMPRODUCT(INDEX($AV$76:$AX$81,,$AI227),INDEX($AY$76:$BE$81,,$AH227), N($AU$76:$AU$81&gt;$AM227)) / CK227 / 1000</f>
        <v>0</v>
      </c>
      <c r="CM227" s="231">
        <f t="shared" si="323"/>
        <v>30</v>
      </c>
      <c r="CN227" s="229">
        <f t="shared" si="516"/>
        <v>43</v>
      </c>
      <c r="CO227" s="234">
        <f t="shared" si="517"/>
        <v>3.5018750000000001</v>
      </c>
      <c r="CP227" s="234" cm="1">
        <f t="array" ref="CP227">$BM227 * IF($AH227&lt;=2,
SUMPRODUCT(INDEX($AV$71:$AX$75,,$AI227), INDEX($AY$71:$BE$75,,$AH227), 1 / ($BF$71:$BF$75*CO227 + (1-$BF$71:$BF$75)*CK227), N($AU$71:$AU$75&gt;$AM227)),
SUMPRODUCT(INDEX($AV$66:$AX$75,,$AI227), INDEX($AY$66:$BE$75,,$AH227), 1 / ($BG$66:$BG$75*CO227 + (1-$BG$66:$BG$75)*CK227), N($AU$66:$AU$75&gt;$AM227))
) / 1000</f>
        <v>0</v>
      </c>
      <c r="CQ227" s="231">
        <f t="shared" si="326"/>
        <v>25</v>
      </c>
      <c r="CR227" s="229">
        <f t="shared" si="518"/>
        <v>38</v>
      </c>
      <c r="CS227" s="234">
        <f t="shared" si="519"/>
        <v>4.0666935483870965</v>
      </c>
      <c r="CT227" s="234" cm="1">
        <f t="array" ref="CT227">$BM227 * IF($AH227&lt;=2,
SUMPRODUCT(INDEX($AV$66:$AX$70,,$AI227), INDEX($AY$66:$BE$70,,$AH227), 1 / ($BF$66:$BF$70*CS227 + (1-$BF$66:$BF$70)*CO227), N($AU$66:$AU$70&gt;$AM227)),
SUMPRODUCT(INDEX($AV$56:$AX$65,,$AI227), INDEX($AY$56:$BE$65,,$AH227), 1 / ($BG$56:$BG$65*CS227 + (1-$BG$56:$BG$65)*CO227), N($AU$56:$AU$65&gt;$AM227))
) / 1000</f>
        <v>0</v>
      </c>
      <c r="CU227" s="231">
        <f t="shared" si="329"/>
        <v>20</v>
      </c>
      <c r="CV227" s="229">
        <f t="shared" si="520"/>
        <v>33</v>
      </c>
      <c r="CW227" s="234">
        <f t="shared" si="521"/>
        <v>4.8487499999999999</v>
      </c>
      <c r="CX227" s="234" cm="1">
        <f t="array" ref="CX227">$BM227 * IF($AH227&lt;=2,
SUMPRODUCT(INDEX($AV$61:$AX$65,,$AI227), INDEX($AY$61:$BE$65,,$AH227), 1 / ($BF$61:$BF$65*CW227 + (1-$BF$61:$BF$65)*CS227), N($AU$61:$AU$65&gt;$AM227)),
SUMPRODUCT(INDEX($AV$46:$AX$55,,$AI227), INDEX($AY$46:$BE$55,,$AH227), 1 / ($BG$46:$BG$55*CW227 + (1-$BG$46:$BG$55)*CS227), N($AU$46:$AU$55&gt;$AM227))
) / 1000</f>
        <v>0</v>
      </c>
      <c r="CY227" s="234" cm="1">
        <f t="array" ref="CY227">$BM227 * IF($AH227&lt;=2,
SUMPRODUCT(INDEX($AV$22:$AX$60,,$AI227), INDEX($AY$22:$BE$60,,$AH227), 1 / ($BF$22:$BF$60*CW227), N($AU$22:$AU$60&gt;$AM227)),
SUMPRODUCT(INDEX($AV$22:$AX$45,,$AI227), INDEX($AY$22:$BE$45,,$AH227), 1 / ($BG$22:$BG$45*CW227), N($AU$22:$AU$45&gt;$AM227))
) / 1000</f>
        <v>0</v>
      </c>
      <c r="CZ227" s="229">
        <f t="shared" si="522"/>
        <v>0</v>
      </c>
      <c r="DA227" s="246"/>
    </row>
    <row r="228" spans="1:105" s="75" customFormat="1" ht="14.25" customHeight="1" x14ac:dyDescent="0.2">
      <c r="A228" s="230" t="b">
        <f t="shared" si="291"/>
        <v>0</v>
      </c>
      <c r="B228" s="253">
        <v>207</v>
      </c>
      <c r="C228" s="266"/>
      <c r="D228" s="266"/>
      <c r="E228" s="254"/>
      <c r="F228" s="255" t="str">
        <f>IF(ISBLANK(E228), "", VLOOKUP(E228, Z!$A$2:$C$4127, 3, FALSE))</f>
        <v/>
      </c>
      <c r="G228" s="256"/>
      <c r="H228" s="256"/>
      <c r="I228" s="256"/>
      <c r="J228" s="257"/>
      <c r="K228" s="258"/>
      <c r="L228" s="267"/>
      <c r="M228" s="268"/>
      <c r="N228" s="259" t="str" cm="1">
        <f t="array" ref="N228">IF($L228&gt;0, INDEX(Clean,1+AK228,$D$1), "")</f>
        <v/>
      </c>
      <c r="O228" s="260"/>
      <c r="P228" s="260"/>
      <c r="Q228" s="261"/>
      <c r="R228" s="264">
        <f t="shared" si="498"/>
        <v>0</v>
      </c>
      <c r="S228" s="259" t="str" cm="1">
        <f t="array" ref="S228">IF($L228&gt;0, INDEX(Clean,1+AL228,$D$1), "")</f>
        <v/>
      </c>
      <c r="T228" s="260"/>
      <c r="U228" s="260"/>
      <c r="V228" s="261"/>
      <c r="W228" s="267"/>
      <c r="X228" s="267"/>
      <c r="Y228" s="257"/>
      <c r="Z228" s="264">
        <f t="shared" si="499"/>
        <v>0</v>
      </c>
      <c r="AA228" s="269"/>
      <c r="AB228" s="266"/>
      <c r="AC228" s="254"/>
      <c r="AD228" s="255" t="str">
        <f>IF(ISBLANK(AC228), "", VLOOKUP(AC228, Z!$A$2:$C$4127, 3, FALSE))</f>
        <v/>
      </c>
      <c r="AE228" s="270"/>
      <c r="AF228" s="265">
        <f t="shared" si="500"/>
        <v>0</v>
      </c>
      <c r="AG228" s="246"/>
      <c r="AH228" s="228">
        <f t="shared" si="523"/>
        <v>1</v>
      </c>
      <c r="AI228" s="228">
        <f t="shared" si="524"/>
        <v>1</v>
      </c>
      <c r="AJ228" s="228">
        <f t="shared" si="525"/>
        <v>0</v>
      </c>
      <c r="AK228" s="228">
        <v>0</v>
      </c>
      <c r="AL228" s="228">
        <v>0</v>
      </c>
      <c r="AM228" s="228">
        <f t="shared" si="501"/>
        <v>-100</v>
      </c>
      <c r="AN228" s="228" cm="1">
        <f t="array" ref="AN228">IF(ISBLANK(G228), 1, IFERROR(MATCH(G228, INDEX(Kat,,1), 0), IFERROR(MATCH(Kat, INDEX(Use,,2), 0), MATCH(Kat, INDEX(Use,,3), 0))))</f>
        <v>1</v>
      </c>
      <c r="AO228" s="246"/>
      <c r="AP228" s="228" cm="1">
        <f t="array" ref="AP228">IF(W228&gt;0, INDEX(Kat, AN228,4), 0)</f>
        <v>0</v>
      </c>
      <c r="AQ228" s="228">
        <f t="shared" si="526"/>
        <v>0</v>
      </c>
      <c r="AR228" s="228" cm="1">
        <f t="array" ref="AR228">IF(X228&gt;0, INDEX(Kat, $AN228, 4+AQ228), 0)</f>
        <v>0</v>
      </c>
      <c r="AS228" s="228" cm="1">
        <f t="array" ref="AS228">IF(X228&gt;0, INDEX(Kat, $AN228, 9+AQ228), 0)</f>
        <v>0</v>
      </c>
      <c r="AT228" s="246"/>
      <c r="AU228" s="262"/>
      <c r="AV228" s="262"/>
      <c r="AW228" s="263"/>
      <c r="AX228" s="263"/>
      <c r="AY228" s="263"/>
      <c r="AZ228" s="263"/>
      <c r="BA228" s="263"/>
      <c r="BB228" s="263"/>
      <c r="BC228" s="263"/>
      <c r="BD228" s="263"/>
      <c r="BE228" s="263"/>
      <c r="BF228" s="263"/>
      <c r="BG228" s="263"/>
      <c r="BH228" s="246"/>
      <c r="BI228" s="228" cm="1">
        <f t="array" ref="BI228">INDEX(Use, $AH228, 4)</f>
        <v>7</v>
      </c>
      <c r="BJ228" s="228">
        <f t="shared" si="502"/>
        <v>32</v>
      </c>
      <c r="BK228" s="228">
        <f t="shared" si="305"/>
        <v>13</v>
      </c>
      <c r="BL228" s="228">
        <f t="shared" si="306"/>
        <v>0</v>
      </c>
      <c r="BM228" s="233" cm="1">
        <f t="array" ref="BM228">L228/IF($M228&gt;0, INDEX($AY$22:$BE$76, $M228+20, $AH228), 1)</f>
        <v>0</v>
      </c>
      <c r="BN228" s="229">
        <f t="shared" si="503"/>
        <v>0</v>
      </c>
      <c r="BO228" s="228">
        <v>35</v>
      </c>
      <c r="BP228" s="229">
        <f t="shared" si="504"/>
        <v>48</v>
      </c>
      <c r="BQ228" s="234">
        <f t="shared" si="505"/>
        <v>3.0748170731707316</v>
      </c>
      <c r="BR228" s="234" cm="1">
        <f t="array" ref="BR228">$BM228 * SUMPRODUCT(INDEX($AV$76:$AX$81,,$AI228),INDEX($AY$76:$BE$81,,$AH228), N($AU$76:$AU$81&gt;$AM228)) / BQ228 / 1000</f>
        <v>0</v>
      </c>
      <c r="BS228" s="231">
        <f t="shared" si="310"/>
        <v>30</v>
      </c>
      <c r="BT228" s="229">
        <f t="shared" si="506"/>
        <v>43</v>
      </c>
      <c r="BU228" s="234">
        <f t="shared" si="507"/>
        <v>3.5018750000000001</v>
      </c>
      <c r="BV228" s="234" cm="1">
        <f t="array" ref="BV228">$BM228 * IF($AH228&lt;=2,
SUMPRODUCT(INDEX($AV$71:$AX$75,,$AI228), INDEX($AY$71:$BE$75,,$AH228), 1 / ($BF$71:$BF$75*BU228 + (1-$BF$71:$BF$75)*BQ228), N($AU$71:$AU$75&gt;$AM228)),
SUMPRODUCT(INDEX($AV$66:$AX$75,,$AI228), INDEX($AY$66:$BE$75,,$AH228), 1 / ($BG$66:$BG$75*BU228 + (1-$BG$66:$BG$75)*BQ228), N($AU$66:$AU$75&gt;$AM228))
) / 1000</f>
        <v>0</v>
      </c>
      <c r="BW228" s="231">
        <f t="shared" si="313"/>
        <v>25</v>
      </c>
      <c r="BX228" s="229">
        <f t="shared" si="508"/>
        <v>38</v>
      </c>
      <c r="BY228" s="234">
        <f t="shared" si="509"/>
        <v>4.0666935483870965</v>
      </c>
      <c r="BZ228" s="234" cm="1">
        <f t="array" ref="BZ228">$BM228 * IF($AH228&lt;=2,
SUMPRODUCT(INDEX($AV$66:$AX$70,,$AI228), INDEX($AY$66:$BE$70,,$AH228), 1 / ($BF$66:$BF$70*BY228 + (1-$BF$66:$BF$70)*BU228), N($AU$66:$AU$70&gt;$AM228)),
SUMPRODUCT(INDEX($AV$56:$AX$65,,$AI228), INDEX($AY$56:$BE$65,,$AH228), 1 / ($BG$56:$BG$65*BY228 + (1-$BG$56:$BG$65)*BU228), N($AU$56:$AU$65&gt;$AM228))
) / 1000</f>
        <v>0</v>
      </c>
      <c r="CA228" s="231">
        <f t="shared" si="316"/>
        <v>20</v>
      </c>
      <c r="CB228" s="229">
        <f t="shared" si="510"/>
        <v>33</v>
      </c>
      <c r="CC228" s="234">
        <f t="shared" si="511"/>
        <v>4.8487499999999999</v>
      </c>
      <c r="CD228" s="234" cm="1">
        <f t="array" ref="CD228">$BM228 * IF($AH228&lt;=2,
SUMPRODUCT(INDEX($AV$61:$AX$65,,$AI228), INDEX($AY$61:$BE$65,,$AH228), 1 / ($BF$61:$BF$65*CC228 + (1-$BF$61:$BF$65)*BY228), N($AU$61:$AU$65&gt;$AM228)),
SUMPRODUCT(INDEX($AV$46:$AX$55,,$AI228), INDEX($AY$46:$BE$55,,$AH228), 1 / ($BG$46:$BG$55*CC228 + (1-$BG$46:$BG$55)*BY228), N($AU$46:$AU$55&gt;$AM228))
) / 1000</f>
        <v>0</v>
      </c>
      <c r="CE228" s="234" cm="1">
        <f t="array" ref="CE228">$BM228 * IF($AH228&lt;=2,
SUMPRODUCT(INDEX($AV$22:$AX$60,,$AI228), INDEX($AY$22:$BE$60,,$AH228), 1 / ($BF$22:$BF$60*CC228), N($AU$22:$AU$60&gt;$AM228)),
SUMPRODUCT(INDEX($AV$22:$AX$45,,$AI228), INDEX($AY$22:$BE$45,,$AH228), 1 / ($BG$22:$BG$45*CC228), N($AU$22:$AU$45&gt;$AM228))
) / 1000</f>
        <v>0</v>
      </c>
      <c r="CF228" s="229">
        <f t="shared" si="512"/>
        <v>0</v>
      </c>
      <c r="CG228" s="246"/>
      <c r="CH228" s="229">
        <f t="shared" si="513"/>
        <v>0</v>
      </c>
      <c r="CI228" s="228">
        <v>35</v>
      </c>
      <c r="CJ228" s="229">
        <f t="shared" si="514"/>
        <v>48</v>
      </c>
      <c r="CK228" s="234">
        <f t="shared" si="515"/>
        <v>3.0748170731707316</v>
      </c>
      <c r="CL228" s="234" cm="1">
        <f t="array" ref="CL228">$BM228 * SUMPRODUCT(INDEX($AV$76:$AX$81,,$AI228),INDEX($AY$76:$BE$81,,$AH228), N($AU$76:$AU$81&gt;$AM228)) / CK228 / 1000</f>
        <v>0</v>
      </c>
      <c r="CM228" s="231">
        <f t="shared" si="323"/>
        <v>30</v>
      </c>
      <c r="CN228" s="229">
        <f t="shared" si="516"/>
        <v>43</v>
      </c>
      <c r="CO228" s="234">
        <f t="shared" si="517"/>
        <v>3.5018750000000001</v>
      </c>
      <c r="CP228" s="234" cm="1">
        <f t="array" ref="CP228">$BM228 * IF($AH228&lt;=2,
SUMPRODUCT(INDEX($AV$71:$AX$75,,$AI228), INDEX($AY$71:$BE$75,,$AH228), 1 / ($BF$71:$BF$75*CO228 + (1-$BF$71:$BF$75)*CK228), N($AU$71:$AU$75&gt;$AM228)),
SUMPRODUCT(INDEX($AV$66:$AX$75,,$AI228), INDEX($AY$66:$BE$75,,$AH228), 1 / ($BG$66:$BG$75*CO228 + (1-$BG$66:$BG$75)*CK228), N($AU$66:$AU$75&gt;$AM228))
) / 1000</f>
        <v>0</v>
      </c>
      <c r="CQ228" s="231">
        <f t="shared" si="326"/>
        <v>25</v>
      </c>
      <c r="CR228" s="229">
        <f t="shared" si="518"/>
        <v>38</v>
      </c>
      <c r="CS228" s="234">
        <f t="shared" si="519"/>
        <v>4.0666935483870965</v>
      </c>
      <c r="CT228" s="234" cm="1">
        <f t="array" ref="CT228">$BM228 * IF($AH228&lt;=2,
SUMPRODUCT(INDEX($AV$66:$AX$70,,$AI228), INDEX($AY$66:$BE$70,,$AH228), 1 / ($BF$66:$BF$70*CS228 + (1-$BF$66:$BF$70)*CO228), N($AU$66:$AU$70&gt;$AM228)),
SUMPRODUCT(INDEX($AV$56:$AX$65,,$AI228), INDEX($AY$56:$BE$65,,$AH228), 1 / ($BG$56:$BG$65*CS228 + (1-$BG$56:$BG$65)*CO228), N($AU$56:$AU$65&gt;$AM228))
) / 1000</f>
        <v>0</v>
      </c>
      <c r="CU228" s="231">
        <f t="shared" si="329"/>
        <v>20</v>
      </c>
      <c r="CV228" s="229">
        <f t="shared" si="520"/>
        <v>33</v>
      </c>
      <c r="CW228" s="234">
        <f t="shared" si="521"/>
        <v>4.8487499999999999</v>
      </c>
      <c r="CX228" s="234" cm="1">
        <f t="array" ref="CX228">$BM228 * IF($AH228&lt;=2,
SUMPRODUCT(INDEX($AV$61:$AX$65,,$AI228), INDEX($AY$61:$BE$65,,$AH228), 1 / ($BF$61:$BF$65*CW228 + (1-$BF$61:$BF$65)*CS228), N($AU$61:$AU$65&gt;$AM228)),
SUMPRODUCT(INDEX($AV$46:$AX$55,,$AI228), INDEX($AY$46:$BE$55,,$AH228), 1 / ($BG$46:$BG$55*CW228 + (1-$BG$46:$BG$55)*CS228), N($AU$46:$AU$55&gt;$AM228))
) / 1000</f>
        <v>0</v>
      </c>
      <c r="CY228" s="234" cm="1">
        <f t="array" ref="CY228">$BM228 * IF($AH228&lt;=2,
SUMPRODUCT(INDEX($AV$22:$AX$60,,$AI228), INDEX($AY$22:$BE$60,,$AH228), 1 / ($BF$22:$BF$60*CW228), N($AU$22:$AU$60&gt;$AM228)),
SUMPRODUCT(INDEX($AV$22:$AX$45,,$AI228), INDEX($AY$22:$BE$45,,$AH228), 1 / ($BG$22:$BG$45*CW228), N($AU$22:$AU$45&gt;$AM228))
) / 1000</f>
        <v>0</v>
      </c>
      <c r="CZ228" s="229">
        <f t="shared" si="522"/>
        <v>0</v>
      </c>
      <c r="DA228" s="246"/>
    </row>
    <row r="229" spans="1:105" s="75" customFormat="1" ht="14.25" customHeight="1" x14ac:dyDescent="0.2">
      <c r="A229" s="230" t="b">
        <f t="shared" si="291"/>
        <v>0</v>
      </c>
      <c r="B229" s="253">
        <v>208</v>
      </c>
      <c r="C229" s="266"/>
      <c r="D229" s="266"/>
      <c r="E229" s="254"/>
      <c r="F229" s="255" t="str">
        <f>IF(ISBLANK(E229), "", VLOOKUP(E229, Z!$A$2:$C$4127, 3, FALSE))</f>
        <v/>
      </c>
      <c r="G229" s="256"/>
      <c r="H229" s="256"/>
      <c r="I229" s="256"/>
      <c r="J229" s="257"/>
      <c r="K229" s="258"/>
      <c r="L229" s="267"/>
      <c r="M229" s="268"/>
      <c r="N229" s="259" t="str" cm="1">
        <f t="array" ref="N229">IF($L229&gt;0, INDEX(Clean,1+AK229,$D$1), "")</f>
        <v/>
      </c>
      <c r="O229" s="260"/>
      <c r="P229" s="260"/>
      <c r="Q229" s="261"/>
      <c r="R229" s="264">
        <f t="shared" si="498"/>
        <v>0</v>
      </c>
      <c r="S229" s="259" t="str" cm="1">
        <f t="array" ref="S229">IF($L229&gt;0, INDEX(Clean,1+AL229,$D$1), "")</f>
        <v/>
      </c>
      <c r="T229" s="260"/>
      <c r="U229" s="260"/>
      <c r="V229" s="261"/>
      <c r="W229" s="267"/>
      <c r="X229" s="267"/>
      <c r="Y229" s="257"/>
      <c r="Z229" s="264">
        <f t="shared" si="499"/>
        <v>0</v>
      </c>
      <c r="AA229" s="269"/>
      <c r="AB229" s="266"/>
      <c r="AC229" s="254"/>
      <c r="AD229" s="255" t="str">
        <f>IF(ISBLANK(AC229), "", VLOOKUP(AC229, Z!$A$2:$C$4127, 3, FALSE))</f>
        <v/>
      </c>
      <c r="AE229" s="270"/>
      <c r="AF229" s="265">
        <f t="shared" si="500"/>
        <v>0</v>
      </c>
      <c r="AG229" s="246"/>
      <c r="AH229" s="228">
        <f t="shared" si="523"/>
        <v>1</v>
      </c>
      <c r="AI229" s="228">
        <f t="shared" si="524"/>
        <v>1</v>
      </c>
      <c r="AJ229" s="228">
        <f t="shared" si="525"/>
        <v>0</v>
      </c>
      <c r="AK229" s="228">
        <v>0</v>
      </c>
      <c r="AL229" s="228">
        <v>0</v>
      </c>
      <c r="AM229" s="228">
        <f t="shared" si="501"/>
        <v>-100</v>
      </c>
      <c r="AN229" s="228" cm="1">
        <f t="array" ref="AN229">IF(ISBLANK(G229), 1, IFERROR(MATCH(G229, INDEX(Kat,,1), 0), IFERROR(MATCH(Kat, INDEX(Use,,2), 0), MATCH(Kat, INDEX(Use,,3), 0))))</f>
        <v>1</v>
      </c>
      <c r="AO229" s="246"/>
      <c r="AP229" s="228" cm="1">
        <f t="array" ref="AP229">IF(W229&gt;0, INDEX(Kat, AN229,4), 0)</f>
        <v>0</v>
      </c>
      <c r="AQ229" s="228">
        <f t="shared" si="526"/>
        <v>0</v>
      </c>
      <c r="AR229" s="228" cm="1">
        <f t="array" ref="AR229">IF(X229&gt;0, INDEX(Kat, $AN229, 4+AQ229), 0)</f>
        <v>0</v>
      </c>
      <c r="AS229" s="228" cm="1">
        <f t="array" ref="AS229">IF(X229&gt;0, INDEX(Kat, $AN229, 9+AQ229), 0)</f>
        <v>0</v>
      </c>
      <c r="AT229" s="246"/>
      <c r="AU229" s="262"/>
      <c r="AV229" s="262"/>
      <c r="AW229" s="263"/>
      <c r="AX229" s="263"/>
      <c r="AY229" s="263"/>
      <c r="AZ229" s="263"/>
      <c r="BA229" s="263"/>
      <c r="BB229" s="263"/>
      <c r="BC229" s="263"/>
      <c r="BD229" s="263"/>
      <c r="BE229" s="263"/>
      <c r="BF229" s="263"/>
      <c r="BG229" s="263"/>
      <c r="BH229" s="246"/>
      <c r="BI229" s="228" cm="1">
        <f t="array" ref="BI229">INDEX(Use, $AH229, 4)</f>
        <v>7</v>
      </c>
      <c r="BJ229" s="228">
        <f t="shared" si="502"/>
        <v>32</v>
      </c>
      <c r="BK229" s="228">
        <f t="shared" si="305"/>
        <v>13</v>
      </c>
      <c r="BL229" s="228">
        <f t="shared" si="306"/>
        <v>0</v>
      </c>
      <c r="BM229" s="233" cm="1">
        <f t="array" ref="BM229">L229/IF($M229&gt;0, INDEX($AY$22:$BE$76, $M229+20, $AH229), 1)</f>
        <v>0</v>
      </c>
      <c r="BN229" s="229">
        <f t="shared" si="503"/>
        <v>0</v>
      </c>
      <c r="BO229" s="228">
        <v>35</v>
      </c>
      <c r="BP229" s="229">
        <f t="shared" si="504"/>
        <v>48</v>
      </c>
      <c r="BQ229" s="234">
        <f t="shared" si="505"/>
        <v>3.0748170731707316</v>
      </c>
      <c r="BR229" s="234" cm="1">
        <f t="array" ref="BR229">$BM229 * SUMPRODUCT(INDEX($AV$76:$AX$81,,$AI229),INDEX($AY$76:$BE$81,,$AH229), N($AU$76:$AU$81&gt;$AM229)) / BQ229 / 1000</f>
        <v>0</v>
      </c>
      <c r="BS229" s="231">
        <f t="shared" si="310"/>
        <v>30</v>
      </c>
      <c r="BT229" s="229">
        <f t="shared" si="506"/>
        <v>43</v>
      </c>
      <c r="BU229" s="234">
        <f t="shared" si="507"/>
        <v>3.5018750000000001</v>
      </c>
      <c r="BV229" s="234" cm="1">
        <f t="array" ref="BV229">$BM229 * IF($AH229&lt;=2,
SUMPRODUCT(INDEX($AV$71:$AX$75,,$AI229), INDEX($AY$71:$BE$75,,$AH229), 1 / ($BF$71:$BF$75*BU229 + (1-$BF$71:$BF$75)*BQ229), N($AU$71:$AU$75&gt;$AM229)),
SUMPRODUCT(INDEX($AV$66:$AX$75,,$AI229), INDEX($AY$66:$BE$75,,$AH229), 1 / ($BG$66:$BG$75*BU229 + (1-$BG$66:$BG$75)*BQ229), N($AU$66:$AU$75&gt;$AM229))
) / 1000</f>
        <v>0</v>
      </c>
      <c r="BW229" s="231">
        <f t="shared" si="313"/>
        <v>25</v>
      </c>
      <c r="BX229" s="229">
        <f t="shared" si="508"/>
        <v>38</v>
      </c>
      <c r="BY229" s="234">
        <f t="shared" si="509"/>
        <v>4.0666935483870965</v>
      </c>
      <c r="BZ229" s="234" cm="1">
        <f t="array" ref="BZ229">$BM229 * IF($AH229&lt;=2,
SUMPRODUCT(INDEX($AV$66:$AX$70,,$AI229), INDEX($AY$66:$BE$70,,$AH229), 1 / ($BF$66:$BF$70*BY229 + (1-$BF$66:$BF$70)*BU229), N($AU$66:$AU$70&gt;$AM229)),
SUMPRODUCT(INDEX($AV$56:$AX$65,,$AI229), INDEX($AY$56:$BE$65,,$AH229), 1 / ($BG$56:$BG$65*BY229 + (1-$BG$56:$BG$65)*BU229), N($AU$56:$AU$65&gt;$AM229))
) / 1000</f>
        <v>0</v>
      </c>
      <c r="CA229" s="231">
        <f t="shared" si="316"/>
        <v>20</v>
      </c>
      <c r="CB229" s="229">
        <f t="shared" si="510"/>
        <v>33</v>
      </c>
      <c r="CC229" s="234">
        <f t="shared" si="511"/>
        <v>4.8487499999999999</v>
      </c>
      <c r="CD229" s="234" cm="1">
        <f t="array" ref="CD229">$BM229 * IF($AH229&lt;=2,
SUMPRODUCT(INDEX($AV$61:$AX$65,,$AI229), INDEX($AY$61:$BE$65,,$AH229), 1 / ($BF$61:$BF$65*CC229 + (1-$BF$61:$BF$65)*BY229), N($AU$61:$AU$65&gt;$AM229)),
SUMPRODUCT(INDEX($AV$46:$AX$55,,$AI229), INDEX($AY$46:$BE$55,,$AH229), 1 / ($BG$46:$BG$55*CC229 + (1-$BG$46:$BG$55)*BY229), N($AU$46:$AU$55&gt;$AM229))
) / 1000</f>
        <v>0</v>
      </c>
      <c r="CE229" s="234" cm="1">
        <f t="array" ref="CE229">$BM229 * IF($AH229&lt;=2,
SUMPRODUCT(INDEX($AV$22:$AX$60,,$AI229), INDEX($AY$22:$BE$60,,$AH229), 1 / ($BF$22:$BF$60*CC229), N($AU$22:$AU$60&gt;$AM229)),
SUMPRODUCT(INDEX($AV$22:$AX$45,,$AI229), INDEX($AY$22:$BE$45,,$AH229), 1 / ($BG$22:$BG$45*CC229), N($AU$22:$AU$45&gt;$AM229))
) / 1000</f>
        <v>0</v>
      </c>
      <c r="CF229" s="229">
        <f t="shared" si="512"/>
        <v>0</v>
      </c>
      <c r="CG229" s="246"/>
      <c r="CH229" s="229">
        <f t="shared" si="513"/>
        <v>0</v>
      </c>
      <c r="CI229" s="228">
        <v>35</v>
      </c>
      <c r="CJ229" s="229">
        <f t="shared" si="514"/>
        <v>48</v>
      </c>
      <c r="CK229" s="234">
        <f t="shared" si="515"/>
        <v>3.0748170731707316</v>
      </c>
      <c r="CL229" s="234" cm="1">
        <f t="array" ref="CL229">$BM229 * SUMPRODUCT(INDEX($AV$76:$AX$81,,$AI229),INDEX($AY$76:$BE$81,,$AH229), N($AU$76:$AU$81&gt;$AM229)) / CK229 / 1000</f>
        <v>0</v>
      </c>
      <c r="CM229" s="231">
        <f t="shared" si="323"/>
        <v>30</v>
      </c>
      <c r="CN229" s="229">
        <f t="shared" si="516"/>
        <v>43</v>
      </c>
      <c r="CO229" s="234">
        <f t="shared" si="517"/>
        <v>3.5018750000000001</v>
      </c>
      <c r="CP229" s="234" cm="1">
        <f t="array" ref="CP229">$BM229 * IF($AH229&lt;=2,
SUMPRODUCT(INDEX($AV$71:$AX$75,,$AI229), INDEX($AY$71:$BE$75,,$AH229), 1 / ($BF$71:$BF$75*CO229 + (1-$BF$71:$BF$75)*CK229), N($AU$71:$AU$75&gt;$AM229)),
SUMPRODUCT(INDEX($AV$66:$AX$75,,$AI229), INDEX($AY$66:$BE$75,,$AH229), 1 / ($BG$66:$BG$75*CO229 + (1-$BG$66:$BG$75)*CK229), N($AU$66:$AU$75&gt;$AM229))
) / 1000</f>
        <v>0</v>
      </c>
      <c r="CQ229" s="231">
        <f t="shared" si="326"/>
        <v>25</v>
      </c>
      <c r="CR229" s="229">
        <f t="shared" si="518"/>
        <v>38</v>
      </c>
      <c r="CS229" s="234">
        <f t="shared" si="519"/>
        <v>4.0666935483870965</v>
      </c>
      <c r="CT229" s="234" cm="1">
        <f t="array" ref="CT229">$BM229 * IF($AH229&lt;=2,
SUMPRODUCT(INDEX($AV$66:$AX$70,,$AI229), INDEX($AY$66:$BE$70,,$AH229), 1 / ($BF$66:$BF$70*CS229 + (1-$BF$66:$BF$70)*CO229), N($AU$66:$AU$70&gt;$AM229)),
SUMPRODUCT(INDEX($AV$56:$AX$65,,$AI229), INDEX($AY$56:$BE$65,,$AH229), 1 / ($BG$56:$BG$65*CS229 + (1-$BG$56:$BG$65)*CO229), N($AU$56:$AU$65&gt;$AM229))
) / 1000</f>
        <v>0</v>
      </c>
      <c r="CU229" s="231">
        <f t="shared" si="329"/>
        <v>20</v>
      </c>
      <c r="CV229" s="229">
        <f t="shared" si="520"/>
        <v>33</v>
      </c>
      <c r="CW229" s="234">
        <f t="shared" si="521"/>
        <v>4.8487499999999999</v>
      </c>
      <c r="CX229" s="234" cm="1">
        <f t="array" ref="CX229">$BM229 * IF($AH229&lt;=2,
SUMPRODUCT(INDEX($AV$61:$AX$65,,$AI229), INDEX($AY$61:$BE$65,,$AH229), 1 / ($BF$61:$BF$65*CW229 + (1-$BF$61:$BF$65)*CS229), N($AU$61:$AU$65&gt;$AM229)),
SUMPRODUCT(INDEX($AV$46:$AX$55,,$AI229), INDEX($AY$46:$BE$55,,$AH229), 1 / ($BG$46:$BG$55*CW229 + (1-$BG$46:$BG$55)*CS229), N($AU$46:$AU$55&gt;$AM229))
) / 1000</f>
        <v>0</v>
      </c>
      <c r="CY229" s="234" cm="1">
        <f t="array" ref="CY229">$BM229 * IF($AH229&lt;=2,
SUMPRODUCT(INDEX($AV$22:$AX$60,,$AI229), INDEX($AY$22:$BE$60,,$AH229), 1 / ($BF$22:$BF$60*CW229), N($AU$22:$AU$60&gt;$AM229)),
SUMPRODUCT(INDEX($AV$22:$AX$45,,$AI229), INDEX($AY$22:$BE$45,,$AH229), 1 / ($BG$22:$BG$45*CW229), N($AU$22:$AU$45&gt;$AM229))
) / 1000</f>
        <v>0</v>
      </c>
      <c r="CZ229" s="229">
        <f t="shared" si="522"/>
        <v>0</v>
      </c>
      <c r="DA229" s="246"/>
    </row>
    <row r="230" spans="1:105" s="75" customFormat="1" ht="14.25" customHeight="1" x14ac:dyDescent="0.2">
      <c r="A230" s="230" t="b">
        <f t="shared" si="291"/>
        <v>0</v>
      </c>
      <c r="B230" s="253">
        <v>209</v>
      </c>
      <c r="C230" s="266"/>
      <c r="D230" s="266"/>
      <c r="E230" s="254"/>
      <c r="F230" s="255" t="str">
        <f>IF(ISBLANK(E230), "", VLOOKUP(E230, Z!$A$2:$C$4127, 3, FALSE))</f>
        <v/>
      </c>
      <c r="G230" s="256"/>
      <c r="H230" s="256"/>
      <c r="I230" s="256"/>
      <c r="J230" s="257"/>
      <c r="K230" s="258"/>
      <c r="L230" s="267"/>
      <c r="M230" s="268"/>
      <c r="N230" s="259" t="str" cm="1">
        <f t="array" ref="N230">IF($L230&gt;0, INDEX(Clean,1+AK230,$D$1), "")</f>
        <v/>
      </c>
      <c r="O230" s="260"/>
      <c r="P230" s="260"/>
      <c r="Q230" s="261"/>
      <c r="R230" s="264">
        <f t="shared" si="498"/>
        <v>0</v>
      </c>
      <c r="S230" s="259" t="str" cm="1">
        <f t="array" ref="S230">IF($L230&gt;0, INDEX(Clean,1+AL230,$D$1), "")</f>
        <v/>
      </c>
      <c r="T230" s="260"/>
      <c r="U230" s="260"/>
      <c r="V230" s="261"/>
      <c r="W230" s="267"/>
      <c r="X230" s="267"/>
      <c r="Y230" s="257"/>
      <c r="Z230" s="264">
        <f t="shared" si="499"/>
        <v>0</v>
      </c>
      <c r="AA230" s="269"/>
      <c r="AB230" s="266"/>
      <c r="AC230" s="254"/>
      <c r="AD230" s="255" t="str">
        <f>IF(ISBLANK(AC230), "", VLOOKUP(AC230, Z!$A$2:$C$4127, 3, FALSE))</f>
        <v/>
      </c>
      <c r="AE230" s="270"/>
      <c r="AF230" s="265">
        <f t="shared" si="500"/>
        <v>0</v>
      </c>
      <c r="AG230" s="246"/>
      <c r="AH230" s="228">
        <f t="shared" si="523"/>
        <v>1</v>
      </c>
      <c r="AI230" s="228">
        <f t="shared" si="524"/>
        <v>1</v>
      </c>
      <c r="AJ230" s="228">
        <f t="shared" si="525"/>
        <v>0</v>
      </c>
      <c r="AK230" s="228">
        <v>0</v>
      </c>
      <c r="AL230" s="228">
        <v>0</v>
      </c>
      <c r="AM230" s="228">
        <f t="shared" si="501"/>
        <v>-100</v>
      </c>
      <c r="AN230" s="228" cm="1">
        <f t="array" ref="AN230">IF(ISBLANK(G230), 1, IFERROR(MATCH(G230, INDEX(Kat,,1), 0), IFERROR(MATCH(Kat, INDEX(Use,,2), 0), MATCH(Kat, INDEX(Use,,3), 0))))</f>
        <v>1</v>
      </c>
      <c r="AO230" s="246"/>
      <c r="AP230" s="228" cm="1">
        <f t="array" ref="AP230">IF(W230&gt;0, INDEX(Kat, AN230,4), 0)</f>
        <v>0</v>
      </c>
      <c r="AQ230" s="228">
        <f t="shared" si="526"/>
        <v>0</v>
      </c>
      <c r="AR230" s="228" cm="1">
        <f t="array" ref="AR230">IF(X230&gt;0, INDEX(Kat, $AN230, 4+AQ230), 0)</f>
        <v>0</v>
      </c>
      <c r="AS230" s="228" cm="1">
        <f t="array" ref="AS230">IF(X230&gt;0, INDEX(Kat, $AN230, 9+AQ230), 0)</f>
        <v>0</v>
      </c>
      <c r="AT230" s="246"/>
      <c r="AU230" s="262"/>
      <c r="AV230" s="262"/>
      <c r="AW230" s="263"/>
      <c r="AX230" s="263"/>
      <c r="AY230" s="263"/>
      <c r="AZ230" s="263"/>
      <c r="BA230" s="263"/>
      <c r="BB230" s="263"/>
      <c r="BC230" s="263"/>
      <c r="BD230" s="263"/>
      <c r="BE230" s="263"/>
      <c r="BF230" s="263"/>
      <c r="BG230" s="263"/>
      <c r="BH230" s="246"/>
      <c r="BI230" s="228" cm="1">
        <f t="array" ref="BI230">INDEX(Use, $AH230, 4)</f>
        <v>7</v>
      </c>
      <c r="BJ230" s="228">
        <f t="shared" si="502"/>
        <v>32</v>
      </c>
      <c r="BK230" s="228">
        <f t="shared" si="305"/>
        <v>13</v>
      </c>
      <c r="BL230" s="228">
        <f t="shared" si="306"/>
        <v>0</v>
      </c>
      <c r="BM230" s="233" cm="1">
        <f t="array" ref="BM230">L230/IF($M230&gt;0, INDEX($AY$22:$BE$76, $M230+20, $AH230), 1)</f>
        <v>0</v>
      </c>
      <c r="BN230" s="229">
        <f t="shared" si="503"/>
        <v>0</v>
      </c>
      <c r="BO230" s="228">
        <v>35</v>
      </c>
      <c r="BP230" s="229">
        <f t="shared" si="504"/>
        <v>48</v>
      </c>
      <c r="BQ230" s="234">
        <f t="shared" si="505"/>
        <v>3.0748170731707316</v>
      </c>
      <c r="BR230" s="234" cm="1">
        <f t="array" ref="BR230">$BM230 * SUMPRODUCT(INDEX($AV$76:$AX$81,,$AI230),INDEX($AY$76:$BE$81,,$AH230), N($AU$76:$AU$81&gt;$AM230)) / BQ230 / 1000</f>
        <v>0</v>
      </c>
      <c r="BS230" s="231">
        <f t="shared" si="310"/>
        <v>30</v>
      </c>
      <c r="BT230" s="229">
        <f t="shared" si="506"/>
        <v>43</v>
      </c>
      <c r="BU230" s="234">
        <f t="shared" si="507"/>
        <v>3.5018750000000001</v>
      </c>
      <c r="BV230" s="234" cm="1">
        <f t="array" ref="BV230">$BM230 * IF($AH230&lt;=2,
SUMPRODUCT(INDEX($AV$71:$AX$75,,$AI230), INDEX($AY$71:$BE$75,,$AH230), 1 / ($BF$71:$BF$75*BU230 + (1-$BF$71:$BF$75)*BQ230), N($AU$71:$AU$75&gt;$AM230)),
SUMPRODUCT(INDEX($AV$66:$AX$75,,$AI230), INDEX($AY$66:$BE$75,,$AH230), 1 / ($BG$66:$BG$75*BU230 + (1-$BG$66:$BG$75)*BQ230), N($AU$66:$AU$75&gt;$AM230))
) / 1000</f>
        <v>0</v>
      </c>
      <c r="BW230" s="231">
        <f t="shared" si="313"/>
        <v>25</v>
      </c>
      <c r="BX230" s="229">
        <f t="shared" si="508"/>
        <v>38</v>
      </c>
      <c r="BY230" s="234">
        <f t="shared" si="509"/>
        <v>4.0666935483870965</v>
      </c>
      <c r="BZ230" s="234" cm="1">
        <f t="array" ref="BZ230">$BM230 * IF($AH230&lt;=2,
SUMPRODUCT(INDEX($AV$66:$AX$70,,$AI230), INDEX($AY$66:$BE$70,,$AH230), 1 / ($BF$66:$BF$70*BY230 + (1-$BF$66:$BF$70)*BU230), N($AU$66:$AU$70&gt;$AM230)),
SUMPRODUCT(INDEX($AV$56:$AX$65,,$AI230), INDEX($AY$56:$BE$65,,$AH230), 1 / ($BG$56:$BG$65*BY230 + (1-$BG$56:$BG$65)*BU230), N($AU$56:$AU$65&gt;$AM230))
) / 1000</f>
        <v>0</v>
      </c>
      <c r="CA230" s="231">
        <f t="shared" si="316"/>
        <v>20</v>
      </c>
      <c r="CB230" s="229">
        <f t="shared" si="510"/>
        <v>33</v>
      </c>
      <c r="CC230" s="234">
        <f t="shared" si="511"/>
        <v>4.8487499999999999</v>
      </c>
      <c r="CD230" s="234" cm="1">
        <f t="array" ref="CD230">$BM230 * IF($AH230&lt;=2,
SUMPRODUCT(INDEX($AV$61:$AX$65,,$AI230), INDEX($AY$61:$BE$65,,$AH230), 1 / ($BF$61:$BF$65*CC230 + (1-$BF$61:$BF$65)*BY230), N($AU$61:$AU$65&gt;$AM230)),
SUMPRODUCT(INDEX($AV$46:$AX$55,,$AI230), INDEX($AY$46:$BE$55,,$AH230), 1 / ($BG$46:$BG$55*CC230 + (1-$BG$46:$BG$55)*BY230), N($AU$46:$AU$55&gt;$AM230))
) / 1000</f>
        <v>0</v>
      </c>
      <c r="CE230" s="234" cm="1">
        <f t="array" ref="CE230">$BM230 * IF($AH230&lt;=2,
SUMPRODUCT(INDEX($AV$22:$AX$60,,$AI230), INDEX($AY$22:$BE$60,,$AH230), 1 / ($BF$22:$BF$60*CC230), N($AU$22:$AU$60&gt;$AM230)),
SUMPRODUCT(INDEX($AV$22:$AX$45,,$AI230), INDEX($AY$22:$BE$45,,$AH230), 1 / ($BG$22:$BG$45*CC230), N($AU$22:$AU$45&gt;$AM230))
) / 1000</f>
        <v>0</v>
      </c>
      <c r="CF230" s="229">
        <f t="shared" si="512"/>
        <v>0</v>
      </c>
      <c r="CG230" s="246"/>
      <c r="CH230" s="229">
        <f t="shared" si="513"/>
        <v>0</v>
      </c>
      <c r="CI230" s="228">
        <v>35</v>
      </c>
      <c r="CJ230" s="229">
        <f t="shared" si="514"/>
        <v>48</v>
      </c>
      <c r="CK230" s="234">
        <f t="shared" si="515"/>
        <v>3.0748170731707316</v>
      </c>
      <c r="CL230" s="234" cm="1">
        <f t="array" ref="CL230">$BM230 * SUMPRODUCT(INDEX($AV$76:$AX$81,,$AI230),INDEX($AY$76:$BE$81,,$AH230), N($AU$76:$AU$81&gt;$AM230)) / CK230 / 1000</f>
        <v>0</v>
      </c>
      <c r="CM230" s="231">
        <f t="shared" si="323"/>
        <v>30</v>
      </c>
      <c r="CN230" s="229">
        <f t="shared" si="516"/>
        <v>43</v>
      </c>
      <c r="CO230" s="234">
        <f t="shared" si="517"/>
        <v>3.5018750000000001</v>
      </c>
      <c r="CP230" s="234" cm="1">
        <f t="array" ref="CP230">$BM230 * IF($AH230&lt;=2,
SUMPRODUCT(INDEX($AV$71:$AX$75,,$AI230), INDEX($AY$71:$BE$75,,$AH230), 1 / ($BF$71:$BF$75*CO230 + (1-$BF$71:$BF$75)*CK230), N($AU$71:$AU$75&gt;$AM230)),
SUMPRODUCT(INDEX($AV$66:$AX$75,,$AI230), INDEX($AY$66:$BE$75,,$AH230), 1 / ($BG$66:$BG$75*CO230 + (1-$BG$66:$BG$75)*CK230), N($AU$66:$AU$75&gt;$AM230))
) / 1000</f>
        <v>0</v>
      </c>
      <c r="CQ230" s="231">
        <f t="shared" si="326"/>
        <v>25</v>
      </c>
      <c r="CR230" s="229">
        <f t="shared" si="518"/>
        <v>38</v>
      </c>
      <c r="CS230" s="234">
        <f t="shared" si="519"/>
        <v>4.0666935483870965</v>
      </c>
      <c r="CT230" s="234" cm="1">
        <f t="array" ref="CT230">$BM230 * IF($AH230&lt;=2,
SUMPRODUCT(INDEX($AV$66:$AX$70,,$AI230), INDEX($AY$66:$BE$70,,$AH230), 1 / ($BF$66:$BF$70*CS230 + (1-$BF$66:$BF$70)*CO230), N($AU$66:$AU$70&gt;$AM230)),
SUMPRODUCT(INDEX($AV$56:$AX$65,,$AI230), INDEX($AY$56:$BE$65,,$AH230), 1 / ($BG$56:$BG$65*CS230 + (1-$BG$56:$BG$65)*CO230), N($AU$56:$AU$65&gt;$AM230))
) / 1000</f>
        <v>0</v>
      </c>
      <c r="CU230" s="231">
        <f t="shared" si="329"/>
        <v>20</v>
      </c>
      <c r="CV230" s="229">
        <f t="shared" si="520"/>
        <v>33</v>
      </c>
      <c r="CW230" s="234">
        <f t="shared" si="521"/>
        <v>4.8487499999999999</v>
      </c>
      <c r="CX230" s="234" cm="1">
        <f t="array" ref="CX230">$BM230 * IF($AH230&lt;=2,
SUMPRODUCT(INDEX($AV$61:$AX$65,,$AI230), INDEX($AY$61:$BE$65,,$AH230), 1 / ($BF$61:$BF$65*CW230 + (1-$BF$61:$BF$65)*CS230), N($AU$61:$AU$65&gt;$AM230)),
SUMPRODUCT(INDEX($AV$46:$AX$55,,$AI230), INDEX($AY$46:$BE$55,,$AH230), 1 / ($BG$46:$BG$55*CW230 + (1-$BG$46:$BG$55)*CS230), N($AU$46:$AU$55&gt;$AM230))
) / 1000</f>
        <v>0</v>
      </c>
      <c r="CY230" s="234" cm="1">
        <f t="array" ref="CY230">$BM230 * IF($AH230&lt;=2,
SUMPRODUCT(INDEX($AV$22:$AX$60,,$AI230), INDEX($AY$22:$BE$60,,$AH230), 1 / ($BF$22:$BF$60*CW230), N($AU$22:$AU$60&gt;$AM230)),
SUMPRODUCT(INDEX($AV$22:$AX$45,,$AI230), INDEX($AY$22:$BE$45,,$AH230), 1 / ($BG$22:$BG$45*CW230), N($AU$22:$AU$45&gt;$AM230))
) / 1000</f>
        <v>0</v>
      </c>
      <c r="CZ230" s="229">
        <f t="shared" si="522"/>
        <v>0</v>
      </c>
      <c r="DA230" s="246"/>
    </row>
    <row r="231" spans="1:105" s="75" customFormat="1" ht="14.25" customHeight="1" x14ac:dyDescent="0.2">
      <c r="A231" s="230" t="b">
        <f t="shared" si="291"/>
        <v>0</v>
      </c>
      <c r="B231" s="253">
        <v>210</v>
      </c>
      <c r="C231" s="266"/>
      <c r="D231" s="266"/>
      <c r="E231" s="254"/>
      <c r="F231" s="255" t="str">
        <f>IF(ISBLANK(E231), "", VLOOKUP(E231, Z!$A$2:$C$4127, 3, FALSE))</f>
        <v/>
      </c>
      <c r="G231" s="256"/>
      <c r="H231" s="256"/>
      <c r="I231" s="256"/>
      <c r="J231" s="257"/>
      <c r="K231" s="258"/>
      <c r="L231" s="267"/>
      <c r="M231" s="268"/>
      <c r="N231" s="259" t="str" cm="1">
        <f t="array" ref="N231">IF($L231&gt;0, INDEX(Clean,1+AK231,$D$1), "")</f>
        <v/>
      </c>
      <c r="O231" s="260"/>
      <c r="P231" s="260"/>
      <c r="Q231" s="261"/>
      <c r="R231" s="264">
        <f t="shared" si="498"/>
        <v>0</v>
      </c>
      <c r="S231" s="259" t="str" cm="1">
        <f t="array" ref="S231">IF($L231&gt;0, INDEX(Clean,1+AL231,$D$1), "")</f>
        <v/>
      </c>
      <c r="T231" s="260"/>
      <c r="U231" s="260"/>
      <c r="V231" s="261"/>
      <c r="W231" s="267"/>
      <c r="X231" s="267"/>
      <c r="Y231" s="257"/>
      <c r="Z231" s="264">
        <f t="shared" si="499"/>
        <v>0</v>
      </c>
      <c r="AA231" s="269"/>
      <c r="AB231" s="266"/>
      <c r="AC231" s="254"/>
      <c r="AD231" s="255" t="str">
        <f>IF(ISBLANK(AC231), "", VLOOKUP(AC231, Z!$A$2:$C$4127, 3, FALSE))</f>
        <v/>
      </c>
      <c r="AE231" s="270"/>
      <c r="AF231" s="265">
        <f t="shared" si="500"/>
        <v>0</v>
      </c>
      <c r="AG231" s="246"/>
      <c r="AH231" s="228">
        <f t="shared" si="523"/>
        <v>1</v>
      </c>
      <c r="AI231" s="228">
        <f t="shared" si="524"/>
        <v>1</v>
      </c>
      <c r="AJ231" s="228">
        <f t="shared" si="525"/>
        <v>0</v>
      </c>
      <c r="AK231" s="228">
        <v>0</v>
      </c>
      <c r="AL231" s="228">
        <v>0</v>
      </c>
      <c r="AM231" s="228">
        <f t="shared" si="501"/>
        <v>-100</v>
      </c>
      <c r="AN231" s="228" cm="1">
        <f t="array" ref="AN231">IF(ISBLANK(G231), 1, IFERROR(MATCH(G231, INDEX(Kat,,1), 0), IFERROR(MATCH(Kat, INDEX(Use,,2), 0), MATCH(Kat, INDEX(Use,,3), 0))))</f>
        <v>1</v>
      </c>
      <c r="AO231" s="246"/>
      <c r="AP231" s="228" cm="1">
        <f t="array" ref="AP231">IF(W231&gt;0, INDEX(Kat, AN231,4), 0)</f>
        <v>0</v>
      </c>
      <c r="AQ231" s="228">
        <f t="shared" si="526"/>
        <v>0</v>
      </c>
      <c r="AR231" s="228" cm="1">
        <f t="array" ref="AR231">IF(X231&gt;0, INDEX(Kat, $AN231, 4+AQ231), 0)</f>
        <v>0</v>
      </c>
      <c r="AS231" s="228" cm="1">
        <f t="array" ref="AS231">IF(X231&gt;0, INDEX(Kat, $AN231, 9+AQ231), 0)</f>
        <v>0</v>
      </c>
      <c r="AT231" s="246"/>
      <c r="AU231" s="262"/>
      <c r="AV231" s="262"/>
      <c r="AW231" s="263"/>
      <c r="AX231" s="263"/>
      <c r="AY231" s="263"/>
      <c r="AZ231" s="263"/>
      <c r="BA231" s="263"/>
      <c r="BB231" s="263"/>
      <c r="BC231" s="263"/>
      <c r="BD231" s="263"/>
      <c r="BE231" s="263"/>
      <c r="BF231" s="263"/>
      <c r="BG231" s="263"/>
      <c r="BH231" s="246"/>
      <c r="BI231" s="228" cm="1">
        <f t="array" ref="BI231">INDEX(Use, $AH231, 4)</f>
        <v>7</v>
      </c>
      <c r="BJ231" s="228">
        <f t="shared" si="502"/>
        <v>32</v>
      </c>
      <c r="BK231" s="228">
        <f t="shared" si="305"/>
        <v>13</v>
      </c>
      <c r="BL231" s="228">
        <f t="shared" si="306"/>
        <v>0</v>
      </c>
      <c r="BM231" s="233" cm="1">
        <f t="array" ref="BM231">L231/IF($M231&gt;0, INDEX($AY$22:$BE$76, $M231+20, $AH231), 1)</f>
        <v>0</v>
      </c>
      <c r="BN231" s="229">
        <f t="shared" si="503"/>
        <v>0</v>
      </c>
      <c r="BO231" s="228">
        <v>35</v>
      </c>
      <c r="BP231" s="229">
        <f t="shared" si="504"/>
        <v>48</v>
      </c>
      <c r="BQ231" s="234">
        <f t="shared" si="505"/>
        <v>3.0748170731707316</v>
      </c>
      <c r="BR231" s="234" cm="1">
        <f t="array" ref="BR231">$BM231 * SUMPRODUCT(INDEX($AV$76:$AX$81,,$AI231),INDEX($AY$76:$BE$81,,$AH231), N($AU$76:$AU$81&gt;$AM231)) / BQ231 / 1000</f>
        <v>0</v>
      </c>
      <c r="BS231" s="231">
        <f t="shared" si="310"/>
        <v>30</v>
      </c>
      <c r="BT231" s="229">
        <f t="shared" si="506"/>
        <v>43</v>
      </c>
      <c r="BU231" s="234">
        <f t="shared" si="507"/>
        <v>3.5018750000000001</v>
      </c>
      <c r="BV231" s="234" cm="1">
        <f t="array" ref="BV231">$BM231 * IF($AH231&lt;=2,
SUMPRODUCT(INDEX($AV$71:$AX$75,,$AI231), INDEX($AY$71:$BE$75,,$AH231), 1 / ($BF$71:$BF$75*BU231 + (1-$BF$71:$BF$75)*BQ231), N($AU$71:$AU$75&gt;$AM231)),
SUMPRODUCT(INDEX($AV$66:$AX$75,,$AI231), INDEX($AY$66:$BE$75,,$AH231), 1 / ($BG$66:$BG$75*BU231 + (1-$BG$66:$BG$75)*BQ231), N($AU$66:$AU$75&gt;$AM231))
) / 1000</f>
        <v>0</v>
      </c>
      <c r="BW231" s="231">
        <f t="shared" si="313"/>
        <v>25</v>
      </c>
      <c r="BX231" s="229">
        <f t="shared" si="508"/>
        <v>38</v>
      </c>
      <c r="BY231" s="234">
        <f t="shared" si="509"/>
        <v>4.0666935483870965</v>
      </c>
      <c r="BZ231" s="234" cm="1">
        <f t="array" ref="BZ231">$BM231 * IF($AH231&lt;=2,
SUMPRODUCT(INDEX($AV$66:$AX$70,,$AI231), INDEX($AY$66:$BE$70,,$AH231), 1 / ($BF$66:$BF$70*BY231 + (1-$BF$66:$BF$70)*BU231), N($AU$66:$AU$70&gt;$AM231)),
SUMPRODUCT(INDEX($AV$56:$AX$65,,$AI231), INDEX($AY$56:$BE$65,,$AH231), 1 / ($BG$56:$BG$65*BY231 + (1-$BG$56:$BG$65)*BU231), N($AU$56:$AU$65&gt;$AM231))
) / 1000</f>
        <v>0</v>
      </c>
      <c r="CA231" s="231">
        <f t="shared" si="316"/>
        <v>20</v>
      </c>
      <c r="CB231" s="229">
        <f t="shared" si="510"/>
        <v>33</v>
      </c>
      <c r="CC231" s="234">
        <f t="shared" si="511"/>
        <v>4.8487499999999999</v>
      </c>
      <c r="CD231" s="234" cm="1">
        <f t="array" ref="CD231">$BM231 * IF($AH231&lt;=2,
SUMPRODUCT(INDEX($AV$61:$AX$65,,$AI231), INDEX($AY$61:$BE$65,,$AH231), 1 / ($BF$61:$BF$65*CC231 + (1-$BF$61:$BF$65)*BY231), N($AU$61:$AU$65&gt;$AM231)),
SUMPRODUCT(INDEX($AV$46:$AX$55,,$AI231), INDEX($AY$46:$BE$55,,$AH231), 1 / ($BG$46:$BG$55*CC231 + (1-$BG$46:$BG$55)*BY231), N($AU$46:$AU$55&gt;$AM231))
) / 1000</f>
        <v>0</v>
      </c>
      <c r="CE231" s="234" cm="1">
        <f t="array" ref="CE231">$BM231 * IF($AH231&lt;=2,
SUMPRODUCT(INDEX($AV$22:$AX$60,,$AI231), INDEX($AY$22:$BE$60,,$AH231), 1 / ($BF$22:$BF$60*CC231), N($AU$22:$AU$60&gt;$AM231)),
SUMPRODUCT(INDEX($AV$22:$AX$45,,$AI231), INDEX($AY$22:$BE$45,,$AH231), 1 / ($BG$22:$BG$45*CC231), N($AU$22:$AU$45&gt;$AM231))
) / 1000</f>
        <v>0</v>
      </c>
      <c r="CF231" s="229">
        <f t="shared" si="512"/>
        <v>0</v>
      </c>
      <c r="CG231" s="246"/>
      <c r="CH231" s="229">
        <f t="shared" si="513"/>
        <v>0</v>
      </c>
      <c r="CI231" s="228">
        <v>35</v>
      </c>
      <c r="CJ231" s="229">
        <f t="shared" si="514"/>
        <v>48</v>
      </c>
      <c r="CK231" s="234">
        <f t="shared" si="515"/>
        <v>3.0748170731707316</v>
      </c>
      <c r="CL231" s="234" cm="1">
        <f t="array" ref="CL231">$BM231 * SUMPRODUCT(INDEX($AV$76:$AX$81,,$AI231),INDEX($AY$76:$BE$81,,$AH231), N($AU$76:$AU$81&gt;$AM231)) / CK231 / 1000</f>
        <v>0</v>
      </c>
      <c r="CM231" s="231">
        <f t="shared" si="323"/>
        <v>30</v>
      </c>
      <c r="CN231" s="229">
        <f t="shared" si="516"/>
        <v>43</v>
      </c>
      <c r="CO231" s="234">
        <f t="shared" si="517"/>
        <v>3.5018750000000001</v>
      </c>
      <c r="CP231" s="234" cm="1">
        <f t="array" ref="CP231">$BM231 * IF($AH231&lt;=2,
SUMPRODUCT(INDEX($AV$71:$AX$75,,$AI231), INDEX($AY$71:$BE$75,,$AH231), 1 / ($BF$71:$BF$75*CO231 + (1-$BF$71:$BF$75)*CK231), N($AU$71:$AU$75&gt;$AM231)),
SUMPRODUCT(INDEX($AV$66:$AX$75,,$AI231), INDEX($AY$66:$BE$75,,$AH231), 1 / ($BG$66:$BG$75*CO231 + (1-$BG$66:$BG$75)*CK231), N($AU$66:$AU$75&gt;$AM231))
) / 1000</f>
        <v>0</v>
      </c>
      <c r="CQ231" s="231">
        <f t="shared" si="326"/>
        <v>25</v>
      </c>
      <c r="CR231" s="229">
        <f t="shared" si="518"/>
        <v>38</v>
      </c>
      <c r="CS231" s="234">
        <f t="shared" si="519"/>
        <v>4.0666935483870965</v>
      </c>
      <c r="CT231" s="234" cm="1">
        <f t="array" ref="CT231">$BM231 * IF($AH231&lt;=2,
SUMPRODUCT(INDEX($AV$66:$AX$70,,$AI231), INDEX($AY$66:$BE$70,,$AH231), 1 / ($BF$66:$BF$70*CS231 + (1-$BF$66:$BF$70)*CO231), N($AU$66:$AU$70&gt;$AM231)),
SUMPRODUCT(INDEX($AV$56:$AX$65,,$AI231), INDEX($AY$56:$BE$65,,$AH231), 1 / ($BG$56:$BG$65*CS231 + (1-$BG$56:$BG$65)*CO231), N($AU$56:$AU$65&gt;$AM231))
) / 1000</f>
        <v>0</v>
      </c>
      <c r="CU231" s="231">
        <f t="shared" si="329"/>
        <v>20</v>
      </c>
      <c r="CV231" s="229">
        <f t="shared" si="520"/>
        <v>33</v>
      </c>
      <c r="CW231" s="234">
        <f t="shared" si="521"/>
        <v>4.8487499999999999</v>
      </c>
      <c r="CX231" s="234" cm="1">
        <f t="array" ref="CX231">$BM231 * IF($AH231&lt;=2,
SUMPRODUCT(INDEX($AV$61:$AX$65,,$AI231), INDEX($AY$61:$BE$65,,$AH231), 1 / ($BF$61:$BF$65*CW231 + (1-$BF$61:$BF$65)*CS231), N($AU$61:$AU$65&gt;$AM231)),
SUMPRODUCT(INDEX($AV$46:$AX$55,,$AI231), INDEX($AY$46:$BE$55,,$AH231), 1 / ($BG$46:$BG$55*CW231 + (1-$BG$46:$BG$55)*CS231), N($AU$46:$AU$55&gt;$AM231))
) / 1000</f>
        <v>0</v>
      </c>
      <c r="CY231" s="234" cm="1">
        <f t="array" ref="CY231">$BM231 * IF($AH231&lt;=2,
SUMPRODUCT(INDEX($AV$22:$AX$60,,$AI231), INDEX($AY$22:$BE$60,,$AH231), 1 / ($BF$22:$BF$60*CW231), N($AU$22:$AU$60&gt;$AM231)),
SUMPRODUCT(INDEX($AV$22:$AX$45,,$AI231), INDEX($AY$22:$BE$45,,$AH231), 1 / ($BG$22:$BG$45*CW231), N($AU$22:$AU$45&gt;$AM231))
) / 1000</f>
        <v>0</v>
      </c>
      <c r="CZ231" s="229">
        <f t="shared" si="522"/>
        <v>0</v>
      </c>
      <c r="DA231" s="246"/>
    </row>
    <row r="232" spans="1:105" s="75" customFormat="1" ht="14.25" customHeight="1" x14ac:dyDescent="0.2">
      <c r="A232" s="230" t="b">
        <f t="shared" si="291"/>
        <v>0</v>
      </c>
      <c r="B232" s="253">
        <v>211</v>
      </c>
      <c r="C232" s="266"/>
      <c r="D232" s="266"/>
      <c r="E232" s="254"/>
      <c r="F232" s="255" t="str">
        <f>IF(ISBLANK(E232), "", VLOOKUP(E232, Z!$A$2:$C$4127, 3, FALSE))</f>
        <v/>
      </c>
      <c r="G232" s="256"/>
      <c r="H232" s="256"/>
      <c r="I232" s="256"/>
      <c r="J232" s="257"/>
      <c r="K232" s="258"/>
      <c r="L232" s="267"/>
      <c r="M232" s="268"/>
      <c r="N232" s="259" t="str" cm="1">
        <f t="array" ref="N232">IF($L232&gt;0, INDEX(Clean,1+AK232,$D$1), "")</f>
        <v/>
      </c>
      <c r="O232" s="260"/>
      <c r="P232" s="260"/>
      <c r="Q232" s="261"/>
      <c r="R232" s="264">
        <f t="shared" si="498"/>
        <v>0</v>
      </c>
      <c r="S232" s="259" t="str" cm="1">
        <f t="array" ref="S232">IF($L232&gt;0, INDEX(Clean,1+AL232,$D$1), "")</f>
        <v/>
      </c>
      <c r="T232" s="260"/>
      <c r="U232" s="260"/>
      <c r="V232" s="261"/>
      <c r="W232" s="267"/>
      <c r="X232" s="267"/>
      <c r="Y232" s="257"/>
      <c r="Z232" s="264">
        <f t="shared" si="499"/>
        <v>0</v>
      </c>
      <c r="AA232" s="269"/>
      <c r="AB232" s="266"/>
      <c r="AC232" s="254"/>
      <c r="AD232" s="255" t="str">
        <f>IF(ISBLANK(AC232), "", VLOOKUP(AC232, Z!$A$2:$C$4127, 3, FALSE))</f>
        <v/>
      </c>
      <c r="AE232" s="270"/>
      <c r="AF232" s="265">
        <f t="shared" si="500"/>
        <v>0</v>
      </c>
      <c r="AG232" s="246"/>
      <c r="AH232" s="228">
        <f t="shared" si="523"/>
        <v>1</v>
      </c>
      <c r="AI232" s="228">
        <f t="shared" si="524"/>
        <v>1</v>
      </c>
      <c r="AJ232" s="228">
        <f t="shared" si="525"/>
        <v>0</v>
      </c>
      <c r="AK232" s="228">
        <v>0</v>
      </c>
      <c r="AL232" s="228">
        <v>0</v>
      </c>
      <c r="AM232" s="228">
        <f t="shared" si="501"/>
        <v>-100</v>
      </c>
      <c r="AN232" s="228" cm="1">
        <f t="array" ref="AN232">IF(ISBLANK(G232), 1, IFERROR(MATCH(G232, INDEX(Kat,,1), 0), IFERROR(MATCH(Kat, INDEX(Use,,2), 0), MATCH(Kat, INDEX(Use,,3), 0))))</f>
        <v>1</v>
      </c>
      <c r="AO232" s="246"/>
      <c r="AP232" s="228" cm="1">
        <f t="array" ref="AP232">IF(W232&gt;0, INDEX(Kat, AN232,4), 0)</f>
        <v>0</v>
      </c>
      <c r="AQ232" s="228">
        <f t="shared" si="526"/>
        <v>0</v>
      </c>
      <c r="AR232" s="228" cm="1">
        <f t="array" ref="AR232">IF(X232&gt;0, INDEX(Kat, $AN232, 4+AQ232), 0)</f>
        <v>0</v>
      </c>
      <c r="AS232" s="228" cm="1">
        <f t="array" ref="AS232">IF(X232&gt;0, INDEX(Kat, $AN232, 9+AQ232), 0)</f>
        <v>0</v>
      </c>
      <c r="AT232" s="246"/>
      <c r="AU232" s="262"/>
      <c r="AV232" s="262"/>
      <c r="AW232" s="263"/>
      <c r="AX232" s="263"/>
      <c r="AY232" s="263"/>
      <c r="AZ232" s="263"/>
      <c r="BA232" s="263"/>
      <c r="BB232" s="263"/>
      <c r="BC232" s="263"/>
      <c r="BD232" s="263"/>
      <c r="BE232" s="263"/>
      <c r="BF232" s="263"/>
      <c r="BG232" s="263"/>
      <c r="BH232" s="246"/>
      <c r="BI232" s="228" cm="1">
        <f t="array" ref="BI232">INDEX(Use, $AH232, 4)</f>
        <v>7</v>
      </c>
      <c r="BJ232" s="228">
        <f t="shared" si="502"/>
        <v>32</v>
      </c>
      <c r="BK232" s="228">
        <f t="shared" si="305"/>
        <v>13</v>
      </c>
      <c r="BL232" s="228">
        <f t="shared" si="306"/>
        <v>0</v>
      </c>
      <c r="BM232" s="233" cm="1">
        <f t="array" ref="BM232">L232/IF($M232&gt;0, INDEX($AY$22:$BE$76, $M232+20, $AH232), 1)</f>
        <v>0</v>
      </c>
      <c r="BN232" s="229">
        <f t="shared" si="503"/>
        <v>0</v>
      </c>
      <c r="BO232" s="228">
        <v>35</v>
      </c>
      <c r="BP232" s="229">
        <f t="shared" si="504"/>
        <v>48</v>
      </c>
      <c r="BQ232" s="234">
        <f t="shared" si="505"/>
        <v>3.0748170731707316</v>
      </c>
      <c r="BR232" s="234" cm="1">
        <f t="array" ref="BR232">$BM232 * SUMPRODUCT(INDEX($AV$76:$AX$81,,$AI232),INDEX($AY$76:$BE$81,,$AH232), N($AU$76:$AU$81&gt;$AM232)) / BQ232 / 1000</f>
        <v>0</v>
      </c>
      <c r="BS232" s="231">
        <f t="shared" si="310"/>
        <v>30</v>
      </c>
      <c r="BT232" s="229">
        <f t="shared" si="506"/>
        <v>43</v>
      </c>
      <c r="BU232" s="234">
        <f t="shared" si="507"/>
        <v>3.5018750000000001</v>
      </c>
      <c r="BV232" s="234" cm="1">
        <f t="array" ref="BV232">$BM232 * IF($AH232&lt;=2,
SUMPRODUCT(INDEX($AV$71:$AX$75,,$AI232), INDEX($AY$71:$BE$75,,$AH232), 1 / ($BF$71:$BF$75*BU232 + (1-$BF$71:$BF$75)*BQ232), N($AU$71:$AU$75&gt;$AM232)),
SUMPRODUCT(INDEX($AV$66:$AX$75,,$AI232), INDEX($AY$66:$BE$75,,$AH232), 1 / ($BG$66:$BG$75*BU232 + (1-$BG$66:$BG$75)*BQ232), N($AU$66:$AU$75&gt;$AM232))
) / 1000</f>
        <v>0</v>
      </c>
      <c r="BW232" s="231">
        <f t="shared" si="313"/>
        <v>25</v>
      </c>
      <c r="BX232" s="229">
        <f t="shared" si="508"/>
        <v>38</v>
      </c>
      <c r="BY232" s="234">
        <f t="shared" si="509"/>
        <v>4.0666935483870965</v>
      </c>
      <c r="BZ232" s="234" cm="1">
        <f t="array" ref="BZ232">$BM232 * IF($AH232&lt;=2,
SUMPRODUCT(INDEX($AV$66:$AX$70,,$AI232), INDEX($AY$66:$BE$70,,$AH232), 1 / ($BF$66:$BF$70*BY232 + (1-$BF$66:$BF$70)*BU232), N($AU$66:$AU$70&gt;$AM232)),
SUMPRODUCT(INDEX($AV$56:$AX$65,,$AI232), INDEX($AY$56:$BE$65,,$AH232), 1 / ($BG$56:$BG$65*BY232 + (1-$BG$56:$BG$65)*BU232), N($AU$56:$AU$65&gt;$AM232))
) / 1000</f>
        <v>0</v>
      </c>
      <c r="CA232" s="231">
        <f t="shared" si="316"/>
        <v>20</v>
      </c>
      <c r="CB232" s="229">
        <f t="shared" si="510"/>
        <v>33</v>
      </c>
      <c r="CC232" s="234">
        <f t="shared" si="511"/>
        <v>4.8487499999999999</v>
      </c>
      <c r="CD232" s="234" cm="1">
        <f t="array" ref="CD232">$BM232 * IF($AH232&lt;=2,
SUMPRODUCT(INDEX($AV$61:$AX$65,,$AI232), INDEX($AY$61:$BE$65,,$AH232), 1 / ($BF$61:$BF$65*CC232 + (1-$BF$61:$BF$65)*BY232), N($AU$61:$AU$65&gt;$AM232)),
SUMPRODUCT(INDEX($AV$46:$AX$55,,$AI232), INDEX($AY$46:$BE$55,,$AH232), 1 / ($BG$46:$BG$55*CC232 + (1-$BG$46:$BG$55)*BY232), N($AU$46:$AU$55&gt;$AM232))
) / 1000</f>
        <v>0</v>
      </c>
      <c r="CE232" s="234" cm="1">
        <f t="array" ref="CE232">$BM232 * IF($AH232&lt;=2,
SUMPRODUCT(INDEX($AV$22:$AX$60,,$AI232), INDEX($AY$22:$BE$60,,$AH232), 1 / ($BF$22:$BF$60*CC232), N($AU$22:$AU$60&gt;$AM232)),
SUMPRODUCT(INDEX($AV$22:$AX$45,,$AI232), INDEX($AY$22:$BE$45,,$AH232), 1 / ($BG$22:$BG$45*CC232), N($AU$22:$AU$45&gt;$AM232))
) / 1000</f>
        <v>0</v>
      </c>
      <c r="CF232" s="229">
        <f t="shared" si="512"/>
        <v>0</v>
      </c>
      <c r="CG232" s="246"/>
      <c r="CH232" s="229">
        <f t="shared" si="513"/>
        <v>0</v>
      </c>
      <c r="CI232" s="228">
        <v>35</v>
      </c>
      <c r="CJ232" s="229">
        <f t="shared" si="514"/>
        <v>48</v>
      </c>
      <c r="CK232" s="234">
        <f t="shared" si="515"/>
        <v>3.0748170731707316</v>
      </c>
      <c r="CL232" s="234" cm="1">
        <f t="array" ref="CL232">$BM232 * SUMPRODUCT(INDEX($AV$76:$AX$81,,$AI232),INDEX($AY$76:$BE$81,,$AH232), N($AU$76:$AU$81&gt;$AM232)) / CK232 / 1000</f>
        <v>0</v>
      </c>
      <c r="CM232" s="231">
        <f t="shared" si="323"/>
        <v>30</v>
      </c>
      <c r="CN232" s="229">
        <f t="shared" si="516"/>
        <v>43</v>
      </c>
      <c r="CO232" s="234">
        <f t="shared" si="517"/>
        <v>3.5018750000000001</v>
      </c>
      <c r="CP232" s="234" cm="1">
        <f t="array" ref="CP232">$BM232 * IF($AH232&lt;=2,
SUMPRODUCT(INDEX($AV$71:$AX$75,,$AI232), INDEX($AY$71:$BE$75,,$AH232), 1 / ($BF$71:$BF$75*CO232 + (1-$BF$71:$BF$75)*CK232), N($AU$71:$AU$75&gt;$AM232)),
SUMPRODUCT(INDEX($AV$66:$AX$75,,$AI232), INDEX($AY$66:$BE$75,,$AH232), 1 / ($BG$66:$BG$75*CO232 + (1-$BG$66:$BG$75)*CK232), N($AU$66:$AU$75&gt;$AM232))
) / 1000</f>
        <v>0</v>
      </c>
      <c r="CQ232" s="231">
        <f t="shared" si="326"/>
        <v>25</v>
      </c>
      <c r="CR232" s="229">
        <f t="shared" si="518"/>
        <v>38</v>
      </c>
      <c r="CS232" s="234">
        <f t="shared" si="519"/>
        <v>4.0666935483870965</v>
      </c>
      <c r="CT232" s="234" cm="1">
        <f t="array" ref="CT232">$BM232 * IF($AH232&lt;=2,
SUMPRODUCT(INDEX($AV$66:$AX$70,,$AI232), INDEX($AY$66:$BE$70,,$AH232), 1 / ($BF$66:$BF$70*CS232 + (1-$BF$66:$BF$70)*CO232), N($AU$66:$AU$70&gt;$AM232)),
SUMPRODUCT(INDEX($AV$56:$AX$65,,$AI232), INDEX($AY$56:$BE$65,,$AH232), 1 / ($BG$56:$BG$65*CS232 + (1-$BG$56:$BG$65)*CO232), N($AU$56:$AU$65&gt;$AM232))
) / 1000</f>
        <v>0</v>
      </c>
      <c r="CU232" s="231">
        <f t="shared" si="329"/>
        <v>20</v>
      </c>
      <c r="CV232" s="229">
        <f t="shared" si="520"/>
        <v>33</v>
      </c>
      <c r="CW232" s="234">
        <f t="shared" si="521"/>
        <v>4.8487499999999999</v>
      </c>
      <c r="CX232" s="234" cm="1">
        <f t="array" ref="CX232">$BM232 * IF($AH232&lt;=2,
SUMPRODUCT(INDEX($AV$61:$AX$65,,$AI232), INDEX($AY$61:$BE$65,,$AH232), 1 / ($BF$61:$BF$65*CW232 + (1-$BF$61:$BF$65)*CS232), N($AU$61:$AU$65&gt;$AM232)),
SUMPRODUCT(INDEX($AV$46:$AX$55,,$AI232), INDEX($AY$46:$BE$55,,$AH232), 1 / ($BG$46:$BG$55*CW232 + (1-$BG$46:$BG$55)*CS232), N($AU$46:$AU$55&gt;$AM232))
) / 1000</f>
        <v>0</v>
      </c>
      <c r="CY232" s="234" cm="1">
        <f t="array" ref="CY232">$BM232 * IF($AH232&lt;=2,
SUMPRODUCT(INDEX($AV$22:$AX$60,,$AI232), INDEX($AY$22:$BE$60,,$AH232), 1 / ($BF$22:$BF$60*CW232), N($AU$22:$AU$60&gt;$AM232)),
SUMPRODUCT(INDEX($AV$22:$AX$45,,$AI232), INDEX($AY$22:$BE$45,,$AH232), 1 / ($BG$22:$BG$45*CW232), N($AU$22:$AU$45&gt;$AM232))
) / 1000</f>
        <v>0</v>
      </c>
      <c r="CZ232" s="229">
        <f t="shared" si="522"/>
        <v>0</v>
      </c>
      <c r="DA232" s="246"/>
    </row>
    <row r="233" spans="1:105" s="75" customFormat="1" ht="14.25" customHeight="1" x14ac:dyDescent="0.2">
      <c r="A233" s="230" t="b">
        <f t="shared" si="291"/>
        <v>0</v>
      </c>
      <c r="B233" s="253">
        <v>212</v>
      </c>
      <c r="C233" s="266"/>
      <c r="D233" s="266"/>
      <c r="E233" s="254"/>
      <c r="F233" s="255" t="str">
        <f>IF(ISBLANK(E233), "", VLOOKUP(E233, Z!$A$2:$C$4127, 3, FALSE))</f>
        <v/>
      </c>
      <c r="G233" s="256"/>
      <c r="H233" s="256"/>
      <c r="I233" s="256"/>
      <c r="J233" s="257"/>
      <c r="K233" s="258"/>
      <c r="L233" s="267"/>
      <c r="M233" s="268"/>
      <c r="N233" s="259" t="str" cm="1">
        <f t="array" ref="N233">IF($L233&gt;0, INDEX(Clean,1+AK233,$D$1), "")</f>
        <v/>
      </c>
      <c r="O233" s="260"/>
      <c r="P233" s="260"/>
      <c r="Q233" s="261"/>
      <c r="R233" s="264">
        <f t="shared" si="498"/>
        <v>0</v>
      </c>
      <c r="S233" s="259" t="str" cm="1">
        <f t="array" ref="S233">IF($L233&gt;0, INDEX(Clean,1+AL233,$D$1), "")</f>
        <v/>
      </c>
      <c r="T233" s="260"/>
      <c r="U233" s="260"/>
      <c r="V233" s="261"/>
      <c r="W233" s="267"/>
      <c r="X233" s="267"/>
      <c r="Y233" s="257"/>
      <c r="Z233" s="264">
        <f t="shared" si="499"/>
        <v>0</v>
      </c>
      <c r="AA233" s="269"/>
      <c r="AB233" s="266"/>
      <c r="AC233" s="254"/>
      <c r="AD233" s="255" t="str">
        <f>IF(ISBLANK(AC233), "", VLOOKUP(AC233, Z!$A$2:$C$4127, 3, FALSE))</f>
        <v/>
      </c>
      <c r="AE233" s="270"/>
      <c r="AF233" s="265">
        <f t="shared" si="500"/>
        <v>0</v>
      </c>
      <c r="AG233" s="246"/>
      <c r="AH233" s="228">
        <f t="shared" si="523"/>
        <v>1</v>
      </c>
      <c r="AI233" s="228">
        <f t="shared" si="524"/>
        <v>1</v>
      </c>
      <c r="AJ233" s="228">
        <f t="shared" si="525"/>
        <v>0</v>
      </c>
      <c r="AK233" s="228">
        <v>0</v>
      </c>
      <c r="AL233" s="228">
        <v>0</v>
      </c>
      <c r="AM233" s="228">
        <f t="shared" si="501"/>
        <v>-100</v>
      </c>
      <c r="AN233" s="228" cm="1">
        <f t="array" ref="AN233">IF(ISBLANK(G233), 1, IFERROR(MATCH(G233, INDEX(Kat,,1), 0), IFERROR(MATCH(Kat, INDEX(Use,,2), 0), MATCH(Kat, INDEX(Use,,3), 0))))</f>
        <v>1</v>
      </c>
      <c r="AO233" s="246"/>
      <c r="AP233" s="228" cm="1">
        <f t="array" ref="AP233">IF(W233&gt;0, INDEX(Kat, AN233,4), 0)</f>
        <v>0</v>
      </c>
      <c r="AQ233" s="228">
        <f t="shared" si="526"/>
        <v>0</v>
      </c>
      <c r="AR233" s="228" cm="1">
        <f t="array" ref="AR233">IF(X233&gt;0, INDEX(Kat, $AN233, 4+AQ233), 0)</f>
        <v>0</v>
      </c>
      <c r="AS233" s="228" cm="1">
        <f t="array" ref="AS233">IF(X233&gt;0, INDEX(Kat, $AN233, 9+AQ233), 0)</f>
        <v>0</v>
      </c>
      <c r="AT233" s="246"/>
      <c r="AU233" s="262"/>
      <c r="AV233" s="262"/>
      <c r="AW233" s="263"/>
      <c r="AX233" s="263"/>
      <c r="AY233" s="263"/>
      <c r="AZ233" s="263"/>
      <c r="BA233" s="263"/>
      <c r="BB233" s="263"/>
      <c r="BC233" s="263"/>
      <c r="BD233" s="263"/>
      <c r="BE233" s="263"/>
      <c r="BF233" s="263"/>
      <c r="BG233" s="263"/>
      <c r="BH233" s="246"/>
      <c r="BI233" s="228" cm="1">
        <f t="array" ref="BI233">INDEX(Use, $AH233, 4)</f>
        <v>7</v>
      </c>
      <c r="BJ233" s="228">
        <f t="shared" si="502"/>
        <v>32</v>
      </c>
      <c r="BK233" s="228">
        <f t="shared" si="305"/>
        <v>13</v>
      </c>
      <c r="BL233" s="228">
        <f t="shared" si="306"/>
        <v>0</v>
      </c>
      <c r="BM233" s="233" cm="1">
        <f t="array" ref="BM233">L233/IF($M233&gt;0, INDEX($AY$22:$BE$76, $M233+20, $AH233), 1)</f>
        <v>0</v>
      </c>
      <c r="BN233" s="229">
        <f t="shared" si="503"/>
        <v>0</v>
      </c>
      <c r="BO233" s="228">
        <v>35</v>
      </c>
      <c r="BP233" s="229">
        <f t="shared" si="504"/>
        <v>48</v>
      </c>
      <c r="BQ233" s="234">
        <f t="shared" si="505"/>
        <v>3.0748170731707316</v>
      </c>
      <c r="BR233" s="234" cm="1">
        <f t="array" ref="BR233">$BM233 * SUMPRODUCT(INDEX($AV$76:$AX$81,,$AI233),INDEX($AY$76:$BE$81,,$AH233), N($AU$76:$AU$81&gt;$AM233)) / BQ233 / 1000</f>
        <v>0</v>
      </c>
      <c r="BS233" s="231">
        <f t="shared" si="310"/>
        <v>30</v>
      </c>
      <c r="BT233" s="229">
        <f t="shared" si="506"/>
        <v>43</v>
      </c>
      <c r="BU233" s="234">
        <f t="shared" si="507"/>
        <v>3.5018750000000001</v>
      </c>
      <c r="BV233" s="234" cm="1">
        <f t="array" ref="BV233">$BM233 * IF($AH233&lt;=2,
SUMPRODUCT(INDEX($AV$71:$AX$75,,$AI233), INDEX($AY$71:$BE$75,,$AH233), 1 / ($BF$71:$BF$75*BU233 + (1-$BF$71:$BF$75)*BQ233), N($AU$71:$AU$75&gt;$AM233)),
SUMPRODUCT(INDEX($AV$66:$AX$75,,$AI233), INDEX($AY$66:$BE$75,,$AH233), 1 / ($BG$66:$BG$75*BU233 + (1-$BG$66:$BG$75)*BQ233), N($AU$66:$AU$75&gt;$AM233))
) / 1000</f>
        <v>0</v>
      </c>
      <c r="BW233" s="231">
        <f t="shared" si="313"/>
        <v>25</v>
      </c>
      <c r="BX233" s="229">
        <f t="shared" si="508"/>
        <v>38</v>
      </c>
      <c r="BY233" s="234">
        <f t="shared" si="509"/>
        <v>4.0666935483870965</v>
      </c>
      <c r="BZ233" s="234" cm="1">
        <f t="array" ref="BZ233">$BM233 * IF($AH233&lt;=2,
SUMPRODUCT(INDEX($AV$66:$AX$70,,$AI233), INDEX($AY$66:$BE$70,,$AH233), 1 / ($BF$66:$BF$70*BY233 + (1-$BF$66:$BF$70)*BU233), N($AU$66:$AU$70&gt;$AM233)),
SUMPRODUCT(INDEX($AV$56:$AX$65,,$AI233), INDEX($AY$56:$BE$65,,$AH233), 1 / ($BG$56:$BG$65*BY233 + (1-$BG$56:$BG$65)*BU233), N($AU$56:$AU$65&gt;$AM233))
) / 1000</f>
        <v>0</v>
      </c>
      <c r="CA233" s="231">
        <f t="shared" si="316"/>
        <v>20</v>
      </c>
      <c r="CB233" s="229">
        <f t="shared" si="510"/>
        <v>33</v>
      </c>
      <c r="CC233" s="234">
        <f t="shared" si="511"/>
        <v>4.8487499999999999</v>
      </c>
      <c r="CD233" s="234" cm="1">
        <f t="array" ref="CD233">$BM233 * IF($AH233&lt;=2,
SUMPRODUCT(INDEX($AV$61:$AX$65,,$AI233), INDEX($AY$61:$BE$65,,$AH233), 1 / ($BF$61:$BF$65*CC233 + (1-$BF$61:$BF$65)*BY233), N($AU$61:$AU$65&gt;$AM233)),
SUMPRODUCT(INDEX($AV$46:$AX$55,,$AI233), INDEX($AY$46:$BE$55,,$AH233), 1 / ($BG$46:$BG$55*CC233 + (1-$BG$46:$BG$55)*BY233), N($AU$46:$AU$55&gt;$AM233))
) / 1000</f>
        <v>0</v>
      </c>
      <c r="CE233" s="234" cm="1">
        <f t="array" ref="CE233">$BM233 * IF($AH233&lt;=2,
SUMPRODUCT(INDEX($AV$22:$AX$60,,$AI233), INDEX($AY$22:$BE$60,,$AH233), 1 / ($BF$22:$BF$60*CC233), N($AU$22:$AU$60&gt;$AM233)),
SUMPRODUCT(INDEX($AV$22:$AX$45,,$AI233), INDEX($AY$22:$BE$45,,$AH233), 1 / ($BG$22:$BG$45*CC233), N($AU$22:$AU$45&gt;$AM233))
) / 1000</f>
        <v>0</v>
      </c>
      <c r="CF233" s="229">
        <f t="shared" si="512"/>
        <v>0</v>
      </c>
      <c r="CG233" s="246"/>
      <c r="CH233" s="229">
        <f t="shared" si="513"/>
        <v>0</v>
      </c>
      <c r="CI233" s="228">
        <v>35</v>
      </c>
      <c r="CJ233" s="229">
        <f t="shared" si="514"/>
        <v>48</v>
      </c>
      <c r="CK233" s="234">
        <f t="shared" si="515"/>
        <v>3.0748170731707316</v>
      </c>
      <c r="CL233" s="234" cm="1">
        <f t="array" ref="CL233">$BM233 * SUMPRODUCT(INDEX($AV$76:$AX$81,,$AI233),INDEX($AY$76:$BE$81,,$AH233), N($AU$76:$AU$81&gt;$AM233)) / CK233 / 1000</f>
        <v>0</v>
      </c>
      <c r="CM233" s="231">
        <f t="shared" si="323"/>
        <v>30</v>
      </c>
      <c r="CN233" s="229">
        <f t="shared" si="516"/>
        <v>43</v>
      </c>
      <c r="CO233" s="234">
        <f t="shared" si="517"/>
        <v>3.5018750000000001</v>
      </c>
      <c r="CP233" s="234" cm="1">
        <f t="array" ref="CP233">$BM233 * IF($AH233&lt;=2,
SUMPRODUCT(INDEX($AV$71:$AX$75,,$AI233), INDEX($AY$71:$BE$75,,$AH233), 1 / ($BF$71:$BF$75*CO233 + (1-$BF$71:$BF$75)*CK233), N($AU$71:$AU$75&gt;$AM233)),
SUMPRODUCT(INDEX($AV$66:$AX$75,,$AI233), INDEX($AY$66:$BE$75,,$AH233), 1 / ($BG$66:$BG$75*CO233 + (1-$BG$66:$BG$75)*CK233), N($AU$66:$AU$75&gt;$AM233))
) / 1000</f>
        <v>0</v>
      </c>
      <c r="CQ233" s="231">
        <f t="shared" si="326"/>
        <v>25</v>
      </c>
      <c r="CR233" s="229">
        <f t="shared" si="518"/>
        <v>38</v>
      </c>
      <c r="CS233" s="234">
        <f t="shared" si="519"/>
        <v>4.0666935483870965</v>
      </c>
      <c r="CT233" s="234" cm="1">
        <f t="array" ref="CT233">$BM233 * IF($AH233&lt;=2,
SUMPRODUCT(INDEX($AV$66:$AX$70,,$AI233), INDEX($AY$66:$BE$70,,$AH233), 1 / ($BF$66:$BF$70*CS233 + (1-$BF$66:$BF$70)*CO233), N($AU$66:$AU$70&gt;$AM233)),
SUMPRODUCT(INDEX($AV$56:$AX$65,,$AI233), INDEX($AY$56:$BE$65,,$AH233), 1 / ($BG$56:$BG$65*CS233 + (1-$BG$56:$BG$65)*CO233), N($AU$56:$AU$65&gt;$AM233))
) / 1000</f>
        <v>0</v>
      </c>
      <c r="CU233" s="231">
        <f t="shared" si="329"/>
        <v>20</v>
      </c>
      <c r="CV233" s="229">
        <f t="shared" si="520"/>
        <v>33</v>
      </c>
      <c r="CW233" s="234">
        <f t="shared" si="521"/>
        <v>4.8487499999999999</v>
      </c>
      <c r="CX233" s="234" cm="1">
        <f t="array" ref="CX233">$BM233 * IF($AH233&lt;=2,
SUMPRODUCT(INDEX($AV$61:$AX$65,,$AI233), INDEX($AY$61:$BE$65,,$AH233), 1 / ($BF$61:$BF$65*CW233 + (1-$BF$61:$BF$65)*CS233), N($AU$61:$AU$65&gt;$AM233)),
SUMPRODUCT(INDEX($AV$46:$AX$55,,$AI233), INDEX($AY$46:$BE$55,,$AH233), 1 / ($BG$46:$BG$55*CW233 + (1-$BG$46:$BG$55)*CS233), N($AU$46:$AU$55&gt;$AM233))
) / 1000</f>
        <v>0</v>
      </c>
      <c r="CY233" s="234" cm="1">
        <f t="array" ref="CY233">$BM233 * IF($AH233&lt;=2,
SUMPRODUCT(INDEX($AV$22:$AX$60,,$AI233), INDEX($AY$22:$BE$60,,$AH233), 1 / ($BF$22:$BF$60*CW233), N($AU$22:$AU$60&gt;$AM233)),
SUMPRODUCT(INDEX($AV$22:$AX$45,,$AI233), INDEX($AY$22:$BE$45,,$AH233), 1 / ($BG$22:$BG$45*CW233), N($AU$22:$AU$45&gt;$AM233))
) / 1000</f>
        <v>0</v>
      </c>
      <c r="CZ233" s="229">
        <f t="shared" si="522"/>
        <v>0</v>
      </c>
      <c r="DA233" s="246"/>
    </row>
    <row r="234" spans="1:105" s="75" customFormat="1" ht="14.25" customHeight="1" x14ac:dyDescent="0.2">
      <c r="A234" s="230" t="b">
        <f t="shared" si="291"/>
        <v>0</v>
      </c>
      <c r="B234" s="253">
        <v>213</v>
      </c>
      <c r="C234" s="266"/>
      <c r="D234" s="266"/>
      <c r="E234" s="254"/>
      <c r="F234" s="255" t="str">
        <f>IF(ISBLANK(E234), "", VLOOKUP(E234, Z!$A$2:$C$4127, 3, FALSE))</f>
        <v/>
      </c>
      <c r="G234" s="256"/>
      <c r="H234" s="256"/>
      <c r="I234" s="256"/>
      <c r="J234" s="257"/>
      <c r="K234" s="258"/>
      <c r="L234" s="267"/>
      <c r="M234" s="268"/>
      <c r="N234" s="259" t="str" cm="1">
        <f t="array" ref="N234">IF($L234&gt;0, INDEX(Clean,1+AK234,$D$1), "")</f>
        <v/>
      </c>
      <c r="O234" s="260"/>
      <c r="P234" s="260"/>
      <c r="Q234" s="261"/>
      <c r="R234" s="264">
        <f t="shared" si="498"/>
        <v>0</v>
      </c>
      <c r="S234" s="259" t="str" cm="1">
        <f t="array" ref="S234">IF($L234&gt;0, INDEX(Clean,1+AL234,$D$1), "")</f>
        <v/>
      </c>
      <c r="T234" s="260"/>
      <c r="U234" s="260"/>
      <c r="V234" s="261"/>
      <c r="W234" s="267"/>
      <c r="X234" s="267"/>
      <c r="Y234" s="257"/>
      <c r="Z234" s="264">
        <f t="shared" si="499"/>
        <v>0</v>
      </c>
      <c r="AA234" s="269"/>
      <c r="AB234" s="266"/>
      <c r="AC234" s="254"/>
      <c r="AD234" s="255" t="str">
        <f>IF(ISBLANK(AC234), "", VLOOKUP(AC234, Z!$A$2:$C$4127, 3, FALSE))</f>
        <v/>
      </c>
      <c r="AE234" s="270"/>
      <c r="AF234" s="265">
        <f t="shared" si="500"/>
        <v>0</v>
      </c>
      <c r="AG234" s="246"/>
      <c r="AH234" s="228">
        <f t="shared" si="523"/>
        <v>1</v>
      </c>
      <c r="AI234" s="228">
        <f t="shared" si="524"/>
        <v>1</v>
      </c>
      <c r="AJ234" s="228">
        <f t="shared" si="525"/>
        <v>0</v>
      </c>
      <c r="AK234" s="228">
        <v>0</v>
      </c>
      <c r="AL234" s="228">
        <v>0</v>
      </c>
      <c r="AM234" s="228">
        <f t="shared" si="501"/>
        <v>-100</v>
      </c>
      <c r="AN234" s="228" cm="1">
        <f t="array" ref="AN234">IF(ISBLANK(G234), 1, IFERROR(MATCH(G234, INDEX(Kat,,1), 0), IFERROR(MATCH(Kat, INDEX(Use,,2), 0), MATCH(Kat, INDEX(Use,,3), 0))))</f>
        <v>1</v>
      </c>
      <c r="AO234" s="246"/>
      <c r="AP234" s="228" cm="1">
        <f t="array" ref="AP234">IF(W234&gt;0, INDEX(Kat, AN234,4), 0)</f>
        <v>0</v>
      </c>
      <c r="AQ234" s="228">
        <f t="shared" si="526"/>
        <v>0</v>
      </c>
      <c r="AR234" s="228" cm="1">
        <f t="array" ref="AR234">IF(X234&gt;0, INDEX(Kat, $AN234, 4+AQ234), 0)</f>
        <v>0</v>
      </c>
      <c r="AS234" s="228" cm="1">
        <f t="array" ref="AS234">IF(X234&gt;0, INDEX(Kat, $AN234, 9+AQ234), 0)</f>
        <v>0</v>
      </c>
      <c r="AT234" s="246"/>
      <c r="AU234" s="262"/>
      <c r="AV234" s="262"/>
      <c r="AW234" s="263"/>
      <c r="AX234" s="263"/>
      <c r="AY234" s="263"/>
      <c r="AZ234" s="263"/>
      <c r="BA234" s="263"/>
      <c r="BB234" s="263"/>
      <c r="BC234" s="263"/>
      <c r="BD234" s="263"/>
      <c r="BE234" s="263"/>
      <c r="BF234" s="263"/>
      <c r="BG234" s="263"/>
      <c r="BH234" s="246"/>
      <c r="BI234" s="228" cm="1">
        <f t="array" ref="BI234">INDEX(Use, $AH234, 4)</f>
        <v>7</v>
      </c>
      <c r="BJ234" s="228">
        <f t="shared" si="502"/>
        <v>32</v>
      </c>
      <c r="BK234" s="228">
        <f t="shared" si="305"/>
        <v>13</v>
      </c>
      <c r="BL234" s="228">
        <f t="shared" si="306"/>
        <v>0</v>
      </c>
      <c r="BM234" s="233" cm="1">
        <f t="array" ref="BM234">L234/IF($M234&gt;0, INDEX($AY$22:$BE$76, $M234+20, $AH234), 1)</f>
        <v>0</v>
      </c>
      <c r="BN234" s="229">
        <f t="shared" si="503"/>
        <v>0</v>
      </c>
      <c r="BO234" s="228">
        <v>35</v>
      </c>
      <c r="BP234" s="229">
        <f t="shared" si="504"/>
        <v>48</v>
      </c>
      <c r="BQ234" s="234">
        <f t="shared" si="505"/>
        <v>3.0748170731707316</v>
      </c>
      <c r="BR234" s="234" cm="1">
        <f t="array" ref="BR234">$BM234 * SUMPRODUCT(INDEX($AV$76:$AX$81,,$AI234),INDEX($AY$76:$BE$81,,$AH234), N($AU$76:$AU$81&gt;$AM234)) / BQ234 / 1000</f>
        <v>0</v>
      </c>
      <c r="BS234" s="231">
        <f t="shared" si="310"/>
        <v>30</v>
      </c>
      <c r="BT234" s="229">
        <f t="shared" si="506"/>
        <v>43</v>
      </c>
      <c r="BU234" s="234">
        <f t="shared" si="507"/>
        <v>3.5018750000000001</v>
      </c>
      <c r="BV234" s="234" cm="1">
        <f t="array" ref="BV234">$BM234 * IF($AH234&lt;=2,
SUMPRODUCT(INDEX($AV$71:$AX$75,,$AI234), INDEX($AY$71:$BE$75,,$AH234), 1 / ($BF$71:$BF$75*BU234 + (1-$BF$71:$BF$75)*BQ234), N($AU$71:$AU$75&gt;$AM234)),
SUMPRODUCT(INDEX($AV$66:$AX$75,,$AI234), INDEX($AY$66:$BE$75,,$AH234), 1 / ($BG$66:$BG$75*BU234 + (1-$BG$66:$BG$75)*BQ234), N($AU$66:$AU$75&gt;$AM234))
) / 1000</f>
        <v>0</v>
      </c>
      <c r="BW234" s="231">
        <f t="shared" si="313"/>
        <v>25</v>
      </c>
      <c r="BX234" s="229">
        <f t="shared" si="508"/>
        <v>38</v>
      </c>
      <c r="BY234" s="234">
        <f t="shared" si="509"/>
        <v>4.0666935483870965</v>
      </c>
      <c r="BZ234" s="234" cm="1">
        <f t="array" ref="BZ234">$BM234 * IF($AH234&lt;=2,
SUMPRODUCT(INDEX($AV$66:$AX$70,,$AI234), INDEX($AY$66:$BE$70,,$AH234), 1 / ($BF$66:$BF$70*BY234 + (1-$BF$66:$BF$70)*BU234), N($AU$66:$AU$70&gt;$AM234)),
SUMPRODUCT(INDEX($AV$56:$AX$65,,$AI234), INDEX($AY$56:$BE$65,,$AH234), 1 / ($BG$56:$BG$65*BY234 + (1-$BG$56:$BG$65)*BU234), N($AU$56:$AU$65&gt;$AM234))
) / 1000</f>
        <v>0</v>
      </c>
      <c r="CA234" s="231">
        <f t="shared" si="316"/>
        <v>20</v>
      </c>
      <c r="CB234" s="229">
        <f t="shared" si="510"/>
        <v>33</v>
      </c>
      <c r="CC234" s="234">
        <f t="shared" si="511"/>
        <v>4.8487499999999999</v>
      </c>
      <c r="CD234" s="234" cm="1">
        <f t="array" ref="CD234">$BM234 * IF($AH234&lt;=2,
SUMPRODUCT(INDEX($AV$61:$AX$65,,$AI234), INDEX($AY$61:$BE$65,,$AH234), 1 / ($BF$61:$BF$65*CC234 + (1-$BF$61:$BF$65)*BY234), N($AU$61:$AU$65&gt;$AM234)),
SUMPRODUCT(INDEX($AV$46:$AX$55,,$AI234), INDEX($AY$46:$BE$55,,$AH234), 1 / ($BG$46:$BG$55*CC234 + (1-$BG$46:$BG$55)*BY234), N($AU$46:$AU$55&gt;$AM234))
) / 1000</f>
        <v>0</v>
      </c>
      <c r="CE234" s="234" cm="1">
        <f t="array" ref="CE234">$BM234 * IF($AH234&lt;=2,
SUMPRODUCT(INDEX($AV$22:$AX$60,,$AI234), INDEX($AY$22:$BE$60,,$AH234), 1 / ($BF$22:$BF$60*CC234), N($AU$22:$AU$60&gt;$AM234)),
SUMPRODUCT(INDEX($AV$22:$AX$45,,$AI234), INDEX($AY$22:$BE$45,,$AH234), 1 / ($BG$22:$BG$45*CC234), N($AU$22:$AU$45&gt;$AM234))
) / 1000</f>
        <v>0</v>
      </c>
      <c r="CF234" s="229">
        <f t="shared" si="512"/>
        <v>0</v>
      </c>
      <c r="CG234" s="246"/>
      <c r="CH234" s="229">
        <f t="shared" si="513"/>
        <v>0</v>
      </c>
      <c r="CI234" s="228">
        <v>35</v>
      </c>
      <c r="CJ234" s="229">
        <f t="shared" si="514"/>
        <v>48</v>
      </c>
      <c r="CK234" s="234">
        <f t="shared" si="515"/>
        <v>3.0748170731707316</v>
      </c>
      <c r="CL234" s="234" cm="1">
        <f t="array" ref="CL234">$BM234 * SUMPRODUCT(INDEX($AV$76:$AX$81,,$AI234),INDEX($AY$76:$BE$81,,$AH234), N($AU$76:$AU$81&gt;$AM234)) / CK234 / 1000</f>
        <v>0</v>
      </c>
      <c r="CM234" s="231">
        <f t="shared" si="323"/>
        <v>30</v>
      </c>
      <c r="CN234" s="229">
        <f t="shared" si="516"/>
        <v>43</v>
      </c>
      <c r="CO234" s="234">
        <f t="shared" si="517"/>
        <v>3.5018750000000001</v>
      </c>
      <c r="CP234" s="234" cm="1">
        <f t="array" ref="CP234">$BM234 * IF($AH234&lt;=2,
SUMPRODUCT(INDEX($AV$71:$AX$75,,$AI234), INDEX($AY$71:$BE$75,,$AH234), 1 / ($BF$71:$BF$75*CO234 + (1-$BF$71:$BF$75)*CK234), N($AU$71:$AU$75&gt;$AM234)),
SUMPRODUCT(INDEX($AV$66:$AX$75,,$AI234), INDEX($AY$66:$BE$75,,$AH234), 1 / ($BG$66:$BG$75*CO234 + (1-$BG$66:$BG$75)*CK234), N($AU$66:$AU$75&gt;$AM234))
) / 1000</f>
        <v>0</v>
      </c>
      <c r="CQ234" s="231">
        <f t="shared" si="326"/>
        <v>25</v>
      </c>
      <c r="CR234" s="229">
        <f t="shared" si="518"/>
        <v>38</v>
      </c>
      <c r="CS234" s="234">
        <f t="shared" si="519"/>
        <v>4.0666935483870965</v>
      </c>
      <c r="CT234" s="234" cm="1">
        <f t="array" ref="CT234">$BM234 * IF($AH234&lt;=2,
SUMPRODUCT(INDEX($AV$66:$AX$70,,$AI234), INDEX($AY$66:$BE$70,,$AH234), 1 / ($BF$66:$BF$70*CS234 + (1-$BF$66:$BF$70)*CO234), N($AU$66:$AU$70&gt;$AM234)),
SUMPRODUCT(INDEX($AV$56:$AX$65,,$AI234), INDEX($AY$56:$BE$65,,$AH234), 1 / ($BG$56:$BG$65*CS234 + (1-$BG$56:$BG$65)*CO234), N($AU$56:$AU$65&gt;$AM234))
) / 1000</f>
        <v>0</v>
      </c>
      <c r="CU234" s="231">
        <f t="shared" si="329"/>
        <v>20</v>
      </c>
      <c r="CV234" s="229">
        <f t="shared" si="520"/>
        <v>33</v>
      </c>
      <c r="CW234" s="234">
        <f t="shared" si="521"/>
        <v>4.8487499999999999</v>
      </c>
      <c r="CX234" s="234" cm="1">
        <f t="array" ref="CX234">$BM234 * IF($AH234&lt;=2,
SUMPRODUCT(INDEX($AV$61:$AX$65,,$AI234), INDEX($AY$61:$BE$65,,$AH234), 1 / ($BF$61:$BF$65*CW234 + (1-$BF$61:$BF$65)*CS234), N($AU$61:$AU$65&gt;$AM234)),
SUMPRODUCT(INDEX($AV$46:$AX$55,,$AI234), INDEX($AY$46:$BE$55,,$AH234), 1 / ($BG$46:$BG$55*CW234 + (1-$BG$46:$BG$55)*CS234), N($AU$46:$AU$55&gt;$AM234))
) / 1000</f>
        <v>0</v>
      </c>
      <c r="CY234" s="234" cm="1">
        <f t="array" ref="CY234">$BM234 * IF($AH234&lt;=2,
SUMPRODUCT(INDEX($AV$22:$AX$60,,$AI234), INDEX($AY$22:$BE$60,,$AH234), 1 / ($BF$22:$BF$60*CW234), N($AU$22:$AU$60&gt;$AM234)),
SUMPRODUCT(INDEX($AV$22:$AX$45,,$AI234), INDEX($AY$22:$BE$45,,$AH234), 1 / ($BG$22:$BG$45*CW234), N($AU$22:$AU$45&gt;$AM234))
) / 1000</f>
        <v>0</v>
      </c>
      <c r="CZ234" s="229">
        <f t="shared" si="522"/>
        <v>0</v>
      </c>
      <c r="DA234" s="246"/>
    </row>
    <row r="235" spans="1:105" s="75" customFormat="1" ht="14.25" customHeight="1" x14ac:dyDescent="0.2">
      <c r="A235" s="230" t="b">
        <f t="shared" si="291"/>
        <v>0</v>
      </c>
      <c r="B235" s="253">
        <v>214</v>
      </c>
      <c r="C235" s="266"/>
      <c r="D235" s="266"/>
      <c r="E235" s="254"/>
      <c r="F235" s="255" t="str">
        <f>IF(ISBLANK(E235), "", VLOOKUP(E235, Z!$A$2:$C$4127, 3, FALSE))</f>
        <v/>
      </c>
      <c r="G235" s="256"/>
      <c r="H235" s="256"/>
      <c r="I235" s="256"/>
      <c r="J235" s="257"/>
      <c r="K235" s="258"/>
      <c r="L235" s="267"/>
      <c r="M235" s="268"/>
      <c r="N235" s="259" t="str" cm="1">
        <f t="array" ref="N235">IF($L235&gt;0, INDEX(Clean,1+AK235,$D$1), "")</f>
        <v/>
      </c>
      <c r="O235" s="260"/>
      <c r="P235" s="260"/>
      <c r="Q235" s="261"/>
      <c r="R235" s="264">
        <f t="shared" si="498"/>
        <v>0</v>
      </c>
      <c r="S235" s="259" t="str" cm="1">
        <f t="array" ref="S235">IF($L235&gt;0, INDEX(Clean,1+AL235,$D$1), "")</f>
        <v/>
      </c>
      <c r="T235" s="260"/>
      <c r="U235" s="260"/>
      <c r="V235" s="261"/>
      <c r="W235" s="267"/>
      <c r="X235" s="267"/>
      <c r="Y235" s="257"/>
      <c r="Z235" s="264">
        <f t="shared" si="499"/>
        <v>0</v>
      </c>
      <c r="AA235" s="269"/>
      <c r="AB235" s="266"/>
      <c r="AC235" s="254"/>
      <c r="AD235" s="255" t="str">
        <f>IF(ISBLANK(AC235), "", VLOOKUP(AC235, Z!$A$2:$C$4127, 3, FALSE))</f>
        <v/>
      </c>
      <c r="AE235" s="270"/>
      <c r="AF235" s="265">
        <f t="shared" si="500"/>
        <v>0</v>
      </c>
      <c r="AG235" s="246"/>
      <c r="AH235" s="228">
        <f t="shared" si="523"/>
        <v>1</v>
      </c>
      <c r="AI235" s="228">
        <f t="shared" si="524"/>
        <v>1</v>
      </c>
      <c r="AJ235" s="228">
        <f t="shared" si="525"/>
        <v>0</v>
      </c>
      <c r="AK235" s="228">
        <v>0</v>
      </c>
      <c r="AL235" s="228">
        <v>0</v>
      </c>
      <c r="AM235" s="228">
        <f t="shared" si="501"/>
        <v>-100</v>
      </c>
      <c r="AN235" s="228" cm="1">
        <f t="array" ref="AN235">IF(ISBLANK(G235), 1, IFERROR(MATCH(G235, INDEX(Kat,,1), 0), IFERROR(MATCH(Kat, INDEX(Use,,2), 0), MATCH(Kat, INDEX(Use,,3), 0))))</f>
        <v>1</v>
      </c>
      <c r="AO235" s="246"/>
      <c r="AP235" s="228" cm="1">
        <f t="array" ref="AP235">IF(W235&gt;0, INDEX(Kat, AN235,4), 0)</f>
        <v>0</v>
      </c>
      <c r="AQ235" s="228">
        <f t="shared" si="526"/>
        <v>0</v>
      </c>
      <c r="AR235" s="228" cm="1">
        <f t="array" ref="AR235">IF(X235&gt;0, INDEX(Kat, $AN235, 4+AQ235), 0)</f>
        <v>0</v>
      </c>
      <c r="AS235" s="228" cm="1">
        <f t="array" ref="AS235">IF(X235&gt;0, INDEX(Kat, $AN235, 9+AQ235), 0)</f>
        <v>0</v>
      </c>
      <c r="AT235" s="246"/>
      <c r="AU235" s="262"/>
      <c r="AV235" s="262"/>
      <c r="AW235" s="263"/>
      <c r="AX235" s="263"/>
      <c r="AY235" s="263"/>
      <c r="AZ235" s="263"/>
      <c r="BA235" s="263"/>
      <c r="BB235" s="263"/>
      <c r="BC235" s="263"/>
      <c r="BD235" s="263"/>
      <c r="BE235" s="263"/>
      <c r="BF235" s="263"/>
      <c r="BG235" s="263"/>
      <c r="BH235" s="246"/>
      <c r="BI235" s="228" cm="1">
        <f t="array" ref="BI235">INDEX(Use, $AH235, 4)</f>
        <v>7</v>
      </c>
      <c r="BJ235" s="228">
        <f t="shared" si="502"/>
        <v>32</v>
      </c>
      <c r="BK235" s="228">
        <f t="shared" si="305"/>
        <v>13</v>
      </c>
      <c r="BL235" s="228">
        <f t="shared" si="306"/>
        <v>0</v>
      </c>
      <c r="BM235" s="233" cm="1">
        <f t="array" ref="BM235">L235/IF($M235&gt;0, INDEX($AY$22:$BE$76, $M235+20, $AH235), 1)</f>
        <v>0</v>
      </c>
      <c r="BN235" s="229">
        <f t="shared" si="503"/>
        <v>0</v>
      </c>
      <c r="BO235" s="228">
        <v>35</v>
      </c>
      <c r="BP235" s="229">
        <f t="shared" si="504"/>
        <v>48</v>
      </c>
      <c r="BQ235" s="234">
        <f t="shared" si="505"/>
        <v>3.0748170731707316</v>
      </c>
      <c r="BR235" s="234" cm="1">
        <f t="array" ref="BR235">$BM235 * SUMPRODUCT(INDEX($AV$76:$AX$81,,$AI235),INDEX($AY$76:$BE$81,,$AH235), N($AU$76:$AU$81&gt;$AM235)) / BQ235 / 1000</f>
        <v>0</v>
      </c>
      <c r="BS235" s="231">
        <f t="shared" si="310"/>
        <v>30</v>
      </c>
      <c r="BT235" s="229">
        <f t="shared" si="506"/>
        <v>43</v>
      </c>
      <c r="BU235" s="234">
        <f t="shared" si="507"/>
        <v>3.5018750000000001</v>
      </c>
      <c r="BV235" s="234" cm="1">
        <f t="array" ref="BV235">$BM235 * IF($AH235&lt;=2,
SUMPRODUCT(INDEX($AV$71:$AX$75,,$AI235), INDEX($AY$71:$BE$75,,$AH235), 1 / ($BF$71:$BF$75*BU235 + (1-$BF$71:$BF$75)*BQ235), N($AU$71:$AU$75&gt;$AM235)),
SUMPRODUCT(INDEX($AV$66:$AX$75,,$AI235), INDEX($AY$66:$BE$75,,$AH235), 1 / ($BG$66:$BG$75*BU235 + (1-$BG$66:$BG$75)*BQ235), N($AU$66:$AU$75&gt;$AM235))
) / 1000</f>
        <v>0</v>
      </c>
      <c r="BW235" s="231">
        <f t="shared" si="313"/>
        <v>25</v>
      </c>
      <c r="BX235" s="229">
        <f t="shared" si="508"/>
        <v>38</v>
      </c>
      <c r="BY235" s="234">
        <f t="shared" si="509"/>
        <v>4.0666935483870965</v>
      </c>
      <c r="BZ235" s="234" cm="1">
        <f t="array" ref="BZ235">$BM235 * IF($AH235&lt;=2,
SUMPRODUCT(INDEX($AV$66:$AX$70,,$AI235), INDEX($AY$66:$BE$70,,$AH235), 1 / ($BF$66:$BF$70*BY235 + (1-$BF$66:$BF$70)*BU235), N($AU$66:$AU$70&gt;$AM235)),
SUMPRODUCT(INDEX($AV$56:$AX$65,,$AI235), INDEX($AY$56:$BE$65,,$AH235), 1 / ($BG$56:$BG$65*BY235 + (1-$BG$56:$BG$65)*BU235), N($AU$56:$AU$65&gt;$AM235))
) / 1000</f>
        <v>0</v>
      </c>
      <c r="CA235" s="231">
        <f t="shared" si="316"/>
        <v>20</v>
      </c>
      <c r="CB235" s="229">
        <f t="shared" si="510"/>
        <v>33</v>
      </c>
      <c r="CC235" s="234">
        <f t="shared" si="511"/>
        <v>4.8487499999999999</v>
      </c>
      <c r="CD235" s="234" cm="1">
        <f t="array" ref="CD235">$BM235 * IF($AH235&lt;=2,
SUMPRODUCT(INDEX($AV$61:$AX$65,,$AI235), INDEX($AY$61:$BE$65,,$AH235), 1 / ($BF$61:$BF$65*CC235 + (1-$BF$61:$BF$65)*BY235), N($AU$61:$AU$65&gt;$AM235)),
SUMPRODUCT(INDEX($AV$46:$AX$55,,$AI235), INDEX($AY$46:$BE$55,,$AH235), 1 / ($BG$46:$BG$55*CC235 + (1-$BG$46:$BG$55)*BY235), N($AU$46:$AU$55&gt;$AM235))
) / 1000</f>
        <v>0</v>
      </c>
      <c r="CE235" s="234" cm="1">
        <f t="array" ref="CE235">$BM235 * IF($AH235&lt;=2,
SUMPRODUCT(INDEX($AV$22:$AX$60,,$AI235), INDEX($AY$22:$BE$60,,$AH235), 1 / ($BF$22:$BF$60*CC235), N($AU$22:$AU$60&gt;$AM235)),
SUMPRODUCT(INDEX($AV$22:$AX$45,,$AI235), INDEX($AY$22:$BE$45,,$AH235), 1 / ($BG$22:$BG$45*CC235), N($AU$22:$AU$45&gt;$AM235))
) / 1000</f>
        <v>0</v>
      </c>
      <c r="CF235" s="229">
        <f t="shared" si="512"/>
        <v>0</v>
      </c>
      <c r="CG235" s="246"/>
      <c r="CH235" s="229">
        <f t="shared" si="513"/>
        <v>0</v>
      </c>
      <c r="CI235" s="228">
        <v>35</v>
      </c>
      <c r="CJ235" s="229">
        <f t="shared" si="514"/>
        <v>48</v>
      </c>
      <c r="CK235" s="234">
        <f t="shared" si="515"/>
        <v>3.0748170731707316</v>
      </c>
      <c r="CL235" s="234" cm="1">
        <f t="array" ref="CL235">$BM235 * SUMPRODUCT(INDEX($AV$76:$AX$81,,$AI235),INDEX($AY$76:$BE$81,,$AH235), N($AU$76:$AU$81&gt;$AM235)) / CK235 / 1000</f>
        <v>0</v>
      </c>
      <c r="CM235" s="231">
        <f t="shared" si="323"/>
        <v>30</v>
      </c>
      <c r="CN235" s="229">
        <f t="shared" si="516"/>
        <v>43</v>
      </c>
      <c r="CO235" s="234">
        <f t="shared" si="517"/>
        <v>3.5018750000000001</v>
      </c>
      <c r="CP235" s="234" cm="1">
        <f t="array" ref="CP235">$BM235 * IF($AH235&lt;=2,
SUMPRODUCT(INDEX($AV$71:$AX$75,,$AI235), INDEX($AY$71:$BE$75,,$AH235), 1 / ($BF$71:$BF$75*CO235 + (1-$BF$71:$BF$75)*CK235), N($AU$71:$AU$75&gt;$AM235)),
SUMPRODUCT(INDEX($AV$66:$AX$75,,$AI235), INDEX($AY$66:$BE$75,,$AH235), 1 / ($BG$66:$BG$75*CO235 + (1-$BG$66:$BG$75)*CK235), N($AU$66:$AU$75&gt;$AM235))
) / 1000</f>
        <v>0</v>
      </c>
      <c r="CQ235" s="231">
        <f t="shared" si="326"/>
        <v>25</v>
      </c>
      <c r="CR235" s="229">
        <f t="shared" si="518"/>
        <v>38</v>
      </c>
      <c r="CS235" s="234">
        <f t="shared" si="519"/>
        <v>4.0666935483870965</v>
      </c>
      <c r="CT235" s="234" cm="1">
        <f t="array" ref="CT235">$BM235 * IF($AH235&lt;=2,
SUMPRODUCT(INDEX($AV$66:$AX$70,,$AI235), INDEX($AY$66:$BE$70,,$AH235), 1 / ($BF$66:$BF$70*CS235 + (1-$BF$66:$BF$70)*CO235), N($AU$66:$AU$70&gt;$AM235)),
SUMPRODUCT(INDEX($AV$56:$AX$65,,$AI235), INDEX($AY$56:$BE$65,,$AH235), 1 / ($BG$56:$BG$65*CS235 + (1-$BG$56:$BG$65)*CO235), N($AU$56:$AU$65&gt;$AM235))
) / 1000</f>
        <v>0</v>
      </c>
      <c r="CU235" s="231">
        <f t="shared" si="329"/>
        <v>20</v>
      </c>
      <c r="CV235" s="229">
        <f t="shared" si="520"/>
        <v>33</v>
      </c>
      <c r="CW235" s="234">
        <f t="shared" si="521"/>
        <v>4.8487499999999999</v>
      </c>
      <c r="CX235" s="234" cm="1">
        <f t="array" ref="CX235">$BM235 * IF($AH235&lt;=2,
SUMPRODUCT(INDEX($AV$61:$AX$65,,$AI235), INDEX($AY$61:$BE$65,,$AH235), 1 / ($BF$61:$BF$65*CW235 + (1-$BF$61:$BF$65)*CS235), N($AU$61:$AU$65&gt;$AM235)),
SUMPRODUCT(INDEX($AV$46:$AX$55,,$AI235), INDEX($AY$46:$BE$55,,$AH235), 1 / ($BG$46:$BG$55*CW235 + (1-$BG$46:$BG$55)*CS235), N($AU$46:$AU$55&gt;$AM235))
) / 1000</f>
        <v>0</v>
      </c>
      <c r="CY235" s="234" cm="1">
        <f t="array" ref="CY235">$BM235 * IF($AH235&lt;=2,
SUMPRODUCT(INDEX($AV$22:$AX$60,,$AI235), INDEX($AY$22:$BE$60,,$AH235), 1 / ($BF$22:$BF$60*CW235), N($AU$22:$AU$60&gt;$AM235)),
SUMPRODUCT(INDEX($AV$22:$AX$45,,$AI235), INDEX($AY$22:$BE$45,,$AH235), 1 / ($BG$22:$BG$45*CW235), N($AU$22:$AU$45&gt;$AM235))
) / 1000</f>
        <v>0</v>
      </c>
      <c r="CZ235" s="229">
        <f t="shared" si="522"/>
        <v>0</v>
      </c>
      <c r="DA235" s="246"/>
    </row>
    <row r="236" spans="1:105" s="75" customFormat="1" ht="14.25" customHeight="1" x14ac:dyDescent="0.2">
      <c r="A236" s="230" t="b">
        <f t="shared" si="291"/>
        <v>0</v>
      </c>
      <c r="B236" s="253">
        <v>215</v>
      </c>
      <c r="C236" s="266"/>
      <c r="D236" s="266"/>
      <c r="E236" s="254"/>
      <c r="F236" s="255" t="str">
        <f>IF(ISBLANK(E236), "", VLOOKUP(E236, Z!$A$2:$C$4127, 3, FALSE))</f>
        <v/>
      </c>
      <c r="G236" s="256"/>
      <c r="H236" s="256"/>
      <c r="I236" s="256"/>
      <c r="J236" s="257"/>
      <c r="K236" s="258"/>
      <c r="L236" s="267"/>
      <c r="M236" s="268"/>
      <c r="N236" s="259" t="str" cm="1">
        <f t="array" ref="N236">IF($L236&gt;0, INDEX(Clean,1+AK236,$D$1), "")</f>
        <v/>
      </c>
      <c r="O236" s="260"/>
      <c r="P236" s="260"/>
      <c r="Q236" s="261"/>
      <c r="R236" s="264">
        <f t="shared" si="498"/>
        <v>0</v>
      </c>
      <c r="S236" s="259" t="str" cm="1">
        <f t="array" ref="S236">IF($L236&gt;0, INDEX(Clean,1+AL236,$D$1), "")</f>
        <v/>
      </c>
      <c r="T236" s="260"/>
      <c r="U236" s="260"/>
      <c r="V236" s="261"/>
      <c r="W236" s="267"/>
      <c r="X236" s="267"/>
      <c r="Y236" s="257"/>
      <c r="Z236" s="264">
        <f t="shared" si="499"/>
        <v>0</v>
      </c>
      <c r="AA236" s="269"/>
      <c r="AB236" s="266"/>
      <c r="AC236" s="254"/>
      <c r="AD236" s="255" t="str">
        <f>IF(ISBLANK(AC236), "", VLOOKUP(AC236, Z!$A$2:$C$4127, 3, FALSE))</f>
        <v/>
      </c>
      <c r="AE236" s="270"/>
      <c r="AF236" s="265">
        <f t="shared" si="500"/>
        <v>0</v>
      </c>
      <c r="AG236" s="246"/>
      <c r="AH236" s="228">
        <f t="shared" si="523"/>
        <v>1</v>
      </c>
      <c r="AI236" s="228">
        <f t="shared" si="524"/>
        <v>1</v>
      </c>
      <c r="AJ236" s="228">
        <f t="shared" si="525"/>
        <v>0</v>
      </c>
      <c r="AK236" s="228">
        <v>0</v>
      </c>
      <c r="AL236" s="228">
        <v>0</v>
      </c>
      <c r="AM236" s="228">
        <f t="shared" si="501"/>
        <v>-100</v>
      </c>
      <c r="AN236" s="228" cm="1">
        <f t="array" ref="AN236">IF(ISBLANK(G236), 1, IFERROR(MATCH(G236, INDEX(Kat,,1), 0), IFERROR(MATCH(Kat, INDEX(Use,,2), 0), MATCH(Kat, INDEX(Use,,3), 0))))</f>
        <v>1</v>
      </c>
      <c r="AO236" s="246"/>
      <c r="AP236" s="228" cm="1">
        <f t="array" ref="AP236">IF(W236&gt;0, INDEX(Kat, AN236,4), 0)</f>
        <v>0</v>
      </c>
      <c r="AQ236" s="228">
        <f t="shared" si="526"/>
        <v>0</v>
      </c>
      <c r="AR236" s="228" cm="1">
        <f t="array" ref="AR236">IF(X236&gt;0, INDEX(Kat, $AN236, 4+AQ236), 0)</f>
        <v>0</v>
      </c>
      <c r="AS236" s="228" cm="1">
        <f t="array" ref="AS236">IF(X236&gt;0, INDEX(Kat, $AN236, 9+AQ236), 0)</f>
        <v>0</v>
      </c>
      <c r="AT236" s="246"/>
      <c r="AU236" s="262"/>
      <c r="AV236" s="262"/>
      <c r="AW236" s="263"/>
      <c r="AX236" s="263"/>
      <c r="AY236" s="263"/>
      <c r="AZ236" s="263"/>
      <c r="BA236" s="263"/>
      <c r="BB236" s="263"/>
      <c r="BC236" s="263"/>
      <c r="BD236" s="263"/>
      <c r="BE236" s="263"/>
      <c r="BF236" s="263"/>
      <c r="BG236" s="263"/>
      <c r="BH236" s="246"/>
      <c r="BI236" s="228" cm="1">
        <f t="array" ref="BI236">INDEX(Use, $AH236, 4)</f>
        <v>7</v>
      </c>
      <c r="BJ236" s="228">
        <f t="shared" si="502"/>
        <v>32</v>
      </c>
      <c r="BK236" s="228">
        <f t="shared" si="305"/>
        <v>13</v>
      </c>
      <c r="BL236" s="228">
        <f t="shared" si="306"/>
        <v>0</v>
      </c>
      <c r="BM236" s="233" cm="1">
        <f t="array" ref="BM236">L236/IF($M236&gt;0, INDEX($AY$22:$BE$76, $M236+20, $AH236), 1)</f>
        <v>0</v>
      </c>
      <c r="BN236" s="229">
        <f t="shared" si="503"/>
        <v>0</v>
      </c>
      <c r="BO236" s="228">
        <v>35</v>
      </c>
      <c r="BP236" s="229">
        <f t="shared" si="504"/>
        <v>48</v>
      </c>
      <c r="BQ236" s="234">
        <f t="shared" si="505"/>
        <v>3.0748170731707316</v>
      </c>
      <c r="BR236" s="234" cm="1">
        <f t="array" ref="BR236">$BM236 * SUMPRODUCT(INDEX($AV$76:$AX$81,,$AI236),INDEX($AY$76:$BE$81,,$AH236), N($AU$76:$AU$81&gt;$AM236)) / BQ236 / 1000</f>
        <v>0</v>
      </c>
      <c r="BS236" s="231">
        <f t="shared" si="310"/>
        <v>30</v>
      </c>
      <c r="BT236" s="229">
        <f t="shared" si="506"/>
        <v>43</v>
      </c>
      <c r="BU236" s="234">
        <f t="shared" si="507"/>
        <v>3.5018750000000001</v>
      </c>
      <c r="BV236" s="234" cm="1">
        <f t="array" ref="BV236">$BM236 * IF($AH236&lt;=2,
SUMPRODUCT(INDEX($AV$71:$AX$75,,$AI236), INDEX($AY$71:$BE$75,,$AH236), 1 / ($BF$71:$BF$75*BU236 + (1-$BF$71:$BF$75)*BQ236), N($AU$71:$AU$75&gt;$AM236)),
SUMPRODUCT(INDEX($AV$66:$AX$75,,$AI236), INDEX($AY$66:$BE$75,,$AH236), 1 / ($BG$66:$BG$75*BU236 + (1-$BG$66:$BG$75)*BQ236), N($AU$66:$AU$75&gt;$AM236))
) / 1000</f>
        <v>0</v>
      </c>
      <c r="BW236" s="231">
        <f t="shared" si="313"/>
        <v>25</v>
      </c>
      <c r="BX236" s="229">
        <f t="shared" si="508"/>
        <v>38</v>
      </c>
      <c r="BY236" s="234">
        <f t="shared" si="509"/>
        <v>4.0666935483870965</v>
      </c>
      <c r="BZ236" s="234" cm="1">
        <f t="array" ref="BZ236">$BM236 * IF($AH236&lt;=2,
SUMPRODUCT(INDEX($AV$66:$AX$70,,$AI236), INDEX($AY$66:$BE$70,,$AH236), 1 / ($BF$66:$BF$70*BY236 + (1-$BF$66:$BF$70)*BU236), N($AU$66:$AU$70&gt;$AM236)),
SUMPRODUCT(INDEX($AV$56:$AX$65,,$AI236), INDEX($AY$56:$BE$65,,$AH236), 1 / ($BG$56:$BG$65*BY236 + (1-$BG$56:$BG$65)*BU236), N($AU$56:$AU$65&gt;$AM236))
) / 1000</f>
        <v>0</v>
      </c>
      <c r="CA236" s="231">
        <f t="shared" si="316"/>
        <v>20</v>
      </c>
      <c r="CB236" s="229">
        <f t="shared" si="510"/>
        <v>33</v>
      </c>
      <c r="CC236" s="234">
        <f t="shared" si="511"/>
        <v>4.8487499999999999</v>
      </c>
      <c r="CD236" s="234" cm="1">
        <f t="array" ref="CD236">$BM236 * IF($AH236&lt;=2,
SUMPRODUCT(INDEX($AV$61:$AX$65,,$AI236), INDEX($AY$61:$BE$65,,$AH236), 1 / ($BF$61:$BF$65*CC236 + (1-$BF$61:$BF$65)*BY236), N($AU$61:$AU$65&gt;$AM236)),
SUMPRODUCT(INDEX($AV$46:$AX$55,,$AI236), INDEX($AY$46:$BE$55,,$AH236), 1 / ($BG$46:$BG$55*CC236 + (1-$BG$46:$BG$55)*BY236), N($AU$46:$AU$55&gt;$AM236))
) / 1000</f>
        <v>0</v>
      </c>
      <c r="CE236" s="234" cm="1">
        <f t="array" ref="CE236">$BM236 * IF($AH236&lt;=2,
SUMPRODUCT(INDEX($AV$22:$AX$60,,$AI236), INDEX($AY$22:$BE$60,,$AH236), 1 / ($BF$22:$BF$60*CC236), N($AU$22:$AU$60&gt;$AM236)),
SUMPRODUCT(INDEX($AV$22:$AX$45,,$AI236), INDEX($AY$22:$BE$45,,$AH236), 1 / ($BG$22:$BG$45*CC236), N($AU$22:$AU$45&gt;$AM236))
) / 1000</f>
        <v>0</v>
      </c>
      <c r="CF236" s="229">
        <f t="shared" si="512"/>
        <v>0</v>
      </c>
      <c r="CG236" s="246"/>
      <c r="CH236" s="229">
        <f t="shared" si="513"/>
        <v>0</v>
      </c>
      <c r="CI236" s="228">
        <v>35</v>
      </c>
      <c r="CJ236" s="229">
        <f t="shared" si="514"/>
        <v>48</v>
      </c>
      <c r="CK236" s="234">
        <f t="shared" si="515"/>
        <v>3.0748170731707316</v>
      </c>
      <c r="CL236" s="234" cm="1">
        <f t="array" ref="CL236">$BM236 * SUMPRODUCT(INDEX($AV$76:$AX$81,,$AI236),INDEX($AY$76:$BE$81,,$AH236), N($AU$76:$AU$81&gt;$AM236)) / CK236 / 1000</f>
        <v>0</v>
      </c>
      <c r="CM236" s="231">
        <f t="shared" si="323"/>
        <v>30</v>
      </c>
      <c r="CN236" s="229">
        <f t="shared" si="516"/>
        <v>43</v>
      </c>
      <c r="CO236" s="234">
        <f t="shared" si="517"/>
        <v>3.5018750000000001</v>
      </c>
      <c r="CP236" s="234" cm="1">
        <f t="array" ref="CP236">$BM236 * IF($AH236&lt;=2,
SUMPRODUCT(INDEX($AV$71:$AX$75,,$AI236), INDEX($AY$71:$BE$75,,$AH236), 1 / ($BF$71:$BF$75*CO236 + (1-$BF$71:$BF$75)*CK236), N($AU$71:$AU$75&gt;$AM236)),
SUMPRODUCT(INDEX($AV$66:$AX$75,,$AI236), INDEX($AY$66:$BE$75,,$AH236), 1 / ($BG$66:$BG$75*CO236 + (1-$BG$66:$BG$75)*CK236), N($AU$66:$AU$75&gt;$AM236))
) / 1000</f>
        <v>0</v>
      </c>
      <c r="CQ236" s="231">
        <f t="shared" si="326"/>
        <v>25</v>
      </c>
      <c r="CR236" s="229">
        <f t="shared" si="518"/>
        <v>38</v>
      </c>
      <c r="CS236" s="234">
        <f t="shared" si="519"/>
        <v>4.0666935483870965</v>
      </c>
      <c r="CT236" s="234" cm="1">
        <f t="array" ref="CT236">$BM236 * IF($AH236&lt;=2,
SUMPRODUCT(INDEX($AV$66:$AX$70,,$AI236), INDEX($AY$66:$BE$70,,$AH236), 1 / ($BF$66:$BF$70*CS236 + (1-$BF$66:$BF$70)*CO236), N($AU$66:$AU$70&gt;$AM236)),
SUMPRODUCT(INDEX($AV$56:$AX$65,,$AI236), INDEX($AY$56:$BE$65,,$AH236), 1 / ($BG$56:$BG$65*CS236 + (1-$BG$56:$BG$65)*CO236), N($AU$56:$AU$65&gt;$AM236))
) / 1000</f>
        <v>0</v>
      </c>
      <c r="CU236" s="231">
        <f t="shared" si="329"/>
        <v>20</v>
      </c>
      <c r="CV236" s="229">
        <f t="shared" si="520"/>
        <v>33</v>
      </c>
      <c r="CW236" s="234">
        <f t="shared" si="521"/>
        <v>4.8487499999999999</v>
      </c>
      <c r="CX236" s="234" cm="1">
        <f t="array" ref="CX236">$BM236 * IF($AH236&lt;=2,
SUMPRODUCT(INDEX($AV$61:$AX$65,,$AI236), INDEX($AY$61:$BE$65,,$AH236), 1 / ($BF$61:$BF$65*CW236 + (1-$BF$61:$BF$65)*CS236), N($AU$61:$AU$65&gt;$AM236)),
SUMPRODUCT(INDEX($AV$46:$AX$55,,$AI236), INDEX($AY$46:$BE$55,,$AH236), 1 / ($BG$46:$BG$55*CW236 + (1-$BG$46:$BG$55)*CS236), N($AU$46:$AU$55&gt;$AM236))
) / 1000</f>
        <v>0</v>
      </c>
      <c r="CY236" s="234" cm="1">
        <f t="array" ref="CY236">$BM236 * IF($AH236&lt;=2,
SUMPRODUCT(INDEX($AV$22:$AX$60,,$AI236), INDEX($AY$22:$BE$60,,$AH236), 1 / ($BF$22:$BF$60*CW236), N($AU$22:$AU$60&gt;$AM236)),
SUMPRODUCT(INDEX($AV$22:$AX$45,,$AI236), INDEX($AY$22:$BE$45,,$AH236), 1 / ($BG$22:$BG$45*CW236), N($AU$22:$AU$45&gt;$AM236))
) / 1000</f>
        <v>0</v>
      </c>
      <c r="CZ236" s="229">
        <f t="shared" si="522"/>
        <v>0</v>
      </c>
      <c r="DA236" s="246"/>
    </row>
    <row r="237" spans="1:105" s="75" customFormat="1" ht="14.25" customHeight="1" x14ac:dyDescent="0.2">
      <c r="A237" s="230" t="b">
        <f t="shared" si="291"/>
        <v>0</v>
      </c>
      <c r="B237" s="253">
        <v>216</v>
      </c>
      <c r="C237" s="266"/>
      <c r="D237" s="266"/>
      <c r="E237" s="254"/>
      <c r="F237" s="255" t="str">
        <f>IF(ISBLANK(E237), "", VLOOKUP(E237, Z!$A$2:$C$4127, 3, FALSE))</f>
        <v/>
      </c>
      <c r="G237" s="256"/>
      <c r="H237" s="256"/>
      <c r="I237" s="256"/>
      <c r="J237" s="257"/>
      <c r="K237" s="258"/>
      <c r="L237" s="267"/>
      <c r="M237" s="268"/>
      <c r="N237" s="259" t="str" cm="1">
        <f t="array" ref="N237">IF($L237&gt;0, INDEX(Clean,1+AK237,$D$1), "")</f>
        <v/>
      </c>
      <c r="O237" s="260"/>
      <c r="P237" s="260"/>
      <c r="Q237" s="261"/>
      <c r="R237" s="264">
        <f t="shared" si="498"/>
        <v>0</v>
      </c>
      <c r="S237" s="259" t="str" cm="1">
        <f t="array" ref="S237">IF($L237&gt;0, INDEX(Clean,1+AL237,$D$1), "")</f>
        <v/>
      </c>
      <c r="T237" s="260"/>
      <c r="U237" s="260"/>
      <c r="V237" s="261"/>
      <c r="W237" s="267"/>
      <c r="X237" s="267"/>
      <c r="Y237" s="257"/>
      <c r="Z237" s="264">
        <f t="shared" si="499"/>
        <v>0</v>
      </c>
      <c r="AA237" s="269"/>
      <c r="AB237" s="266"/>
      <c r="AC237" s="254"/>
      <c r="AD237" s="255" t="str">
        <f>IF(ISBLANK(AC237), "", VLOOKUP(AC237, Z!$A$2:$C$4127, 3, FALSE))</f>
        <v/>
      </c>
      <c r="AE237" s="270"/>
      <c r="AF237" s="265">
        <f t="shared" si="500"/>
        <v>0</v>
      </c>
      <c r="AG237" s="246"/>
      <c r="AH237" s="228">
        <f t="shared" si="523"/>
        <v>1</v>
      </c>
      <c r="AI237" s="228">
        <f t="shared" si="524"/>
        <v>1</v>
      </c>
      <c r="AJ237" s="228">
        <f t="shared" si="525"/>
        <v>0</v>
      </c>
      <c r="AK237" s="228">
        <v>0</v>
      </c>
      <c r="AL237" s="228">
        <v>0</v>
      </c>
      <c r="AM237" s="228">
        <f t="shared" si="501"/>
        <v>-100</v>
      </c>
      <c r="AN237" s="228" cm="1">
        <f t="array" ref="AN237">IF(ISBLANK(G237), 1, IFERROR(MATCH(G237, INDEX(Kat,,1), 0), IFERROR(MATCH(Kat, INDEX(Use,,2), 0), MATCH(Kat, INDEX(Use,,3), 0))))</f>
        <v>1</v>
      </c>
      <c r="AO237" s="246"/>
      <c r="AP237" s="228" cm="1">
        <f t="array" ref="AP237">IF(W237&gt;0, INDEX(Kat, AN237,4), 0)</f>
        <v>0</v>
      </c>
      <c r="AQ237" s="228">
        <f t="shared" si="526"/>
        <v>0</v>
      </c>
      <c r="AR237" s="228" cm="1">
        <f t="array" ref="AR237">IF(X237&gt;0, INDEX(Kat, $AN237, 4+AQ237), 0)</f>
        <v>0</v>
      </c>
      <c r="AS237" s="228" cm="1">
        <f t="array" ref="AS237">IF(X237&gt;0, INDEX(Kat, $AN237, 9+AQ237), 0)</f>
        <v>0</v>
      </c>
      <c r="AT237" s="246"/>
      <c r="AU237" s="262"/>
      <c r="AV237" s="262"/>
      <c r="AW237" s="263"/>
      <c r="AX237" s="263"/>
      <c r="AY237" s="263"/>
      <c r="AZ237" s="263"/>
      <c r="BA237" s="263"/>
      <c r="BB237" s="263"/>
      <c r="BC237" s="263"/>
      <c r="BD237" s="263"/>
      <c r="BE237" s="263"/>
      <c r="BF237" s="263"/>
      <c r="BG237" s="263"/>
      <c r="BH237" s="246"/>
      <c r="BI237" s="228" cm="1">
        <f t="array" ref="BI237">INDEX(Use, $AH237, 4)</f>
        <v>7</v>
      </c>
      <c r="BJ237" s="228">
        <f t="shared" si="502"/>
        <v>32</v>
      </c>
      <c r="BK237" s="228">
        <f t="shared" si="305"/>
        <v>13</v>
      </c>
      <c r="BL237" s="228">
        <f t="shared" si="306"/>
        <v>0</v>
      </c>
      <c r="BM237" s="233" cm="1">
        <f t="array" ref="BM237">L237/IF($M237&gt;0, INDEX($AY$22:$BE$76, $M237+20, $AH237), 1)</f>
        <v>0</v>
      </c>
      <c r="BN237" s="229">
        <f t="shared" si="503"/>
        <v>0</v>
      </c>
      <c r="BO237" s="228">
        <v>35</v>
      </c>
      <c r="BP237" s="229">
        <f t="shared" si="504"/>
        <v>48</v>
      </c>
      <c r="BQ237" s="234">
        <f t="shared" si="505"/>
        <v>3.0748170731707316</v>
      </c>
      <c r="BR237" s="234" cm="1">
        <f t="array" ref="BR237">$BM237 * SUMPRODUCT(INDEX($AV$76:$AX$81,,$AI237),INDEX($AY$76:$BE$81,,$AH237), N($AU$76:$AU$81&gt;$AM237)) / BQ237 / 1000</f>
        <v>0</v>
      </c>
      <c r="BS237" s="231">
        <f t="shared" si="310"/>
        <v>30</v>
      </c>
      <c r="BT237" s="229">
        <f t="shared" si="506"/>
        <v>43</v>
      </c>
      <c r="BU237" s="234">
        <f t="shared" si="507"/>
        <v>3.5018750000000001</v>
      </c>
      <c r="BV237" s="234" cm="1">
        <f t="array" ref="BV237">$BM237 * IF($AH237&lt;=2,
SUMPRODUCT(INDEX($AV$71:$AX$75,,$AI237), INDEX($AY$71:$BE$75,,$AH237), 1 / ($BF$71:$BF$75*BU237 + (1-$BF$71:$BF$75)*BQ237), N($AU$71:$AU$75&gt;$AM237)),
SUMPRODUCT(INDEX($AV$66:$AX$75,,$AI237), INDEX($AY$66:$BE$75,,$AH237), 1 / ($BG$66:$BG$75*BU237 + (1-$BG$66:$BG$75)*BQ237), N($AU$66:$AU$75&gt;$AM237))
) / 1000</f>
        <v>0</v>
      </c>
      <c r="BW237" s="231">
        <f t="shared" si="313"/>
        <v>25</v>
      </c>
      <c r="BX237" s="229">
        <f t="shared" si="508"/>
        <v>38</v>
      </c>
      <c r="BY237" s="234">
        <f t="shared" si="509"/>
        <v>4.0666935483870965</v>
      </c>
      <c r="BZ237" s="234" cm="1">
        <f t="array" ref="BZ237">$BM237 * IF($AH237&lt;=2,
SUMPRODUCT(INDEX($AV$66:$AX$70,,$AI237), INDEX($AY$66:$BE$70,,$AH237), 1 / ($BF$66:$BF$70*BY237 + (1-$BF$66:$BF$70)*BU237), N($AU$66:$AU$70&gt;$AM237)),
SUMPRODUCT(INDEX($AV$56:$AX$65,,$AI237), INDEX($AY$56:$BE$65,,$AH237), 1 / ($BG$56:$BG$65*BY237 + (1-$BG$56:$BG$65)*BU237), N($AU$56:$AU$65&gt;$AM237))
) / 1000</f>
        <v>0</v>
      </c>
      <c r="CA237" s="231">
        <f t="shared" si="316"/>
        <v>20</v>
      </c>
      <c r="CB237" s="229">
        <f t="shared" si="510"/>
        <v>33</v>
      </c>
      <c r="CC237" s="234">
        <f t="shared" si="511"/>
        <v>4.8487499999999999</v>
      </c>
      <c r="CD237" s="234" cm="1">
        <f t="array" ref="CD237">$BM237 * IF($AH237&lt;=2,
SUMPRODUCT(INDEX($AV$61:$AX$65,,$AI237), INDEX($AY$61:$BE$65,,$AH237), 1 / ($BF$61:$BF$65*CC237 + (1-$BF$61:$BF$65)*BY237), N($AU$61:$AU$65&gt;$AM237)),
SUMPRODUCT(INDEX($AV$46:$AX$55,,$AI237), INDEX($AY$46:$BE$55,,$AH237), 1 / ($BG$46:$BG$55*CC237 + (1-$BG$46:$BG$55)*BY237), N($AU$46:$AU$55&gt;$AM237))
) / 1000</f>
        <v>0</v>
      </c>
      <c r="CE237" s="234" cm="1">
        <f t="array" ref="CE237">$BM237 * IF($AH237&lt;=2,
SUMPRODUCT(INDEX($AV$22:$AX$60,,$AI237), INDEX($AY$22:$BE$60,,$AH237), 1 / ($BF$22:$BF$60*CC237), N($AU$22:$AU$60&gt;$AM237)),
SUMPRODUCT(INDEX($AV$22:$AX$45,,$AI237), INDEX($AY$22:$BE$45,,$AH237), 1 / ($BG$22:$BG$45*CC237), N($AU$22:$AU$45&gt;$AM237))
) / 1000</f>
        <v>0</v>
      </c>
      <c r="CF237" s="229">
        <f t="shared" si="512"/>
        <v>0</v>
      </c>
      <c r="CG237" s="246"/>
      <c r="CH237" s="229">
        <f t="shared" si="513"/>
        <v>0</v>
      </c>
      <c r="CI237" s="228">
        <v>35</v>
      </c>
      <c r="CJ237" s="229">
        <f t="shared" si="514"/>
        <v>48</v>
      </c>
      <c r="CK237" s="234">
        <f t="shared" si="515"/>
        <v>3.0748170731707316</v>
      </c>
      <c r="CL237" s="234" cm="1">
        <f t="array" ref="CL237">$BM237 * SUMPRODUCT(INDEX($AV$76:$AX$81,,$AI237),INDEX($AY$76:$BE$81,,$AH237), N($AU$76:$AU$81&gt;$AM237)) / CK237 / 1000</f>
        <v>0</v>
      </c>
      <c r="CM237" s="231">
        <f t="shared" si="323"/>
        <v>30</v>
      </c>
      <c r="CN237" s="229">
        <f t="shared" si="516"/>
        <v>43</v>
      </c>
      <c r="CO237" s="234">
        <f t="shared" si="517"/>
        <v>3.5018750000000001</v>
      </c>
      <c r="CP237" s="234" cm="1">
        <f t="array" ref="CP237">$BM237 * IF($AH237&lt;=2,
SUMPRODUCT(INDEX($AV$71:$AX$75,,$AI237), INDEX($AY$71:$BE$75,,$AH237), 1 / ($BF$71:$BF$75*CO237 + (1-$BF$71:$BF$75)*CK237), N($AU$71:$AU$75&gt;$AM237)),
SUMPRODUCT(INDEX($AV$66:$AX$75,,$AI237), INDEX($AY$66:$BE$75,,$AH237), 1 / ($BG$66:$BG$75*CO237 + (1-$BG$66:$BG$75)*CK237), N($AU$66:$AU$75&gt;$AM237))
) / 1000</f>
        <v>0</v>
      </c>
      <c r="CQ237" s="231">
        <f t="shared" si="326"/>
        <v>25</v>
      </c>
      <c r="CR237" s="229">
        <f t="shared" si="518"/>
        <v>38</v>
      </c>
      <c r="CS237" s="234">
        <f t="shared" si="519"/>
        <v>4.0666935483870965</v>
      </c>
      <c r="CT237" s="234" cm="1">
        <f t="array" ref="CT237">$BM237 * IF($AH237&lt;=2,
SUMPRODUCT(INDEX($AV$66:$AX$70,,$AI237), INDEX($AY$66:$BE$70,,$AH237), 1 / ($BF$66:$BF$70*CS237 + (1-$BF$66:$BF$70)*CO237), N($AU$66:$AU$70&gt;$AM237)),
SUMPRODUCT(INDEX($AV$56:$AX$65,,$AI237), INDEX($AY$56:$BE$65,,$AH237), 1 / ($BG$56:$BG$65*CS237 + (1-$BG$56:$BG$65)*CO237), N($AU$56:$AU$65&gt;$AM237))
) / 1000</f>
        <v>0</v>
      </c>
      <c r="CU237" s="231">
        <f t="shared" si="329"/>
        <v>20</v>
      </c>
      <c r="CV237" s="229">
        <f t="shared" si="520"/>
        <v>33</v>
      </c>
      <c r="CW237" s="234">
        <f t="shared" si="521"/>
        <v>4.8487499999999999</v>
      </c>
      <c r="CX237" s="234" cm="1">
        <f t="array" ref="CX237">$BM237 * IF($AH237&lt;=2,
SUMPRODUCT(INDEX($AV$61:$AX$65,,$AI237), INDEX($AY$61:$BE$65,,$AH237), 1 / ($BF$61:$BF$65*CW237 + (1-$BF$61:$BF$65)*CS237), N($AU$61:$AU$65&gt;$AM237)),
SUMPRODUCT(INDEX($AV$46:$AX$55,,$AI237), INDEX($AY$46:$BE$55,,$AH237), 1 / ($BG$46:$BG$55*CW237 + (1-$BG$46:$BG$55)*CS237), N($AU$46:$AU$55&gt;$AM237))
) / 1000</f>
        <v>0</v>
      </c>
      <c r="CY237" s="234" cm="1">
        <f t="array" ref="CY237">$BM237 * IF($AH237&lt;=2,
SUMPRODUCT(INDEX($AV$22:$AX$60,,$AI237), INDEX($AY$22:$BE$60,,$AH237), 1 / ($BF$22:$BF$60*CW237), N($AU$22:$AU$60&gt;$AM237)),
SUMPRODUCT(INDEX($AV$22:$AX$45,,$AI237), INDEX($AY$22:$BE$45,,$AH237), 1 / ($BG$22:$BG$45*CW237), N($AU$22:$AU$45&gt;$AM237))
) / 1000</f>
        <v>0</v>
      </c>
      <c r="CZ237" s="229">
        <f t="shared" si="522"/>
        <v>0</v>
      </c>
      <c r="DA237" s="246"/>
    </row>
    <row r="238" spans="1:105" s="75" customFormat="1" ht="14.25" customHeight="1" x14ac:dyDescent="0.2">
      <c r="A238" s="230" t="b">
        <f t="shared" si="291"/>
        <v>0</v>
      </c>
      <c r="B238" s="253">
        <v>217</v>
      </c>
      <c r="C238" s="266"/>
      <c r="D238" s="266"/>
      <c r="E238" s="254"/>
      <c r="F238" s="255" t="str">
        <f>IF(ISBLANK(E238), "", VLOOKUP(E238, Z!$A$2:$C$4127, 3, FALSE))</f>
        <v/>
      </c>
      <c r="G238" s="256"/>
      <c r="H238" s="256"/>
      <c r="I238" s="256"/>
      <c r="J238" s="257"/>
      <c r="K238" s="258"/>
      <c r="L238" s="267"/>
      <c r="M238" s="268"/>
      <c r="N238" s="259" t="str" cm="1">
        <f t="array" ref="N238">IF($L238&gt;0, INDEX(Clean,1+AK238,$D$1), "")</f>
        <v/>
      </c>
      <c r="O238" s="260"/>
      <c r="P238" s="260"/>
      <c r="Q238" s="261"/>
      <c r="R238" s="264">
        <f t="shared" si="498"/>
        <v>0</v>
      </c>
      <c r="S238" s="259" t="str" cm="1">
        <f t="array" ref="S238">IF($L238&gt;0, INDEX(Clean,1+AL238,$D$1), "")</f>
        <v/>
      </c>
      <c r="T238" s="260"/>
      <c r="U238" s="260"/>
      <c r="V238" s="261"/>
      <c r="W238" s="267"/>
      <c r="X238" s="267"/>
      <c r="Y238" s="257"/>
      <c r="Z238" s="264">
        <f t="shared" si="499"/>
        <v>0</v>
      </c>
      <c r="AA238" s="269"/>
      <c r="AB238" s="266"/>
      <c r="AC238" s="254"/>
      <c r="AD238" s="255" t="str">
        <f>IF(ISBLANK(AC238), "", VLOOKUP(AC238, Z!$A$2:$C$4127, 3, FALSE))</f>
        <v/>
      </c>
      <c r="AE238" s="270"/>
      <c r="AF238" s="265">
        <f t="shared" si="500"/>
        <v>0</v>
      </c>
      <c r="AG238" s="246"/>
      <c r="AH238" s="228">
        <f t="shared" si="523"/>
        <v>1</v>
      </c>
      <c r="AI238" s="228">
        <f t="shared" si="524"/>
        <v>1</v>
      </c>
      <c r="AJ238" s="228">
        <f t="shared" si="525"/>
        <v>0</v>
      </c>
      <c r="AK238" s="228">
        <v>0</v>
      </c>
      <c r="AL238" s="228">
        <v>0</v>
      </c>
      <c r="AM238" s="228">
        <f t="shared" si="501"/>
        <v>-100</v>
      </c>
      <c r="AN238" s="228" cm="1">
        <f t="array" ref="AN238">IF(ISBLANK(G238), 1, IFERROR(MATCH(G238, INDEX(Kat,,1), 0), IFERROR(MATCH(Kat, INDEX(Use,,2), 0), MATCH(Kat, INDEX(Use,,3), 0))))</f>
        <v>1</v>
      </c>
      <c r="AO238" s="246"/>
      <c r="AP238" s="228" cm="1">
        <f t="array" ref="AP238">IF(W238&gt;0, INDEX(Kat, AN238,4), 0)</f>
        <v>0</v>
      </c>
      <c r="AQ238" s="228">
        <f t="shared" si="526"/>
        <v>0</v>
      </c>
      <c r="AR238" s="228" cm="1">
        <f t="array" ref="AR238">IF(X238&gt;0, INDEX(Kat, $AN238, 4+AQ238), 0)</f>
        <v>0</v>
      </c>
      <c r="AS238" s="228" cm="1">
        <f t="array" ref="AS238">IF(X238&gt;0, INDEX(Kat, $AN238, 9+AQ238), 0)</f>
        <v>0</v>
      </c>
      <c r="AT238" s="246"/>
      <c r="AU238" s="262"/>
      <c r="AV238" s="262"/>
      <c r="AW238" s="263"/>
      <c r="AX238" s="263"/>
      <c r="AY238" s="263"/>
      <c r="AZ238" s="263"/>
      <c r="BA238" s="263"/>
      <c r="BB238" s="263"/>
      <c r="BC238" s="263"/>
      <c r="BD238" s="263"/>
      <c r="BE238" s="263"/>
      <c r="BF238" s="263"/>
      <c r="BG238" s="263"/>
      <c r="BH238" s="246"/>
      <c r="BI238" s="228" cm="1">
        <f t="array" ref="BI238">INDEX(Use, $AH238, 4)</f>
        <v>7</v>
      </c>
      <c r="BJ238" s="228">
        <f t="shared" si="502"/>
        <v>32</v>
      </c>
      <c r="BK238" s="228">
        <f t="shared" si="305"/>
        <v>13</v>
      </c>
      <c r="BL238" s="228">
        <f t="shared" si="306"/>
        <v>0</v>
      </c>
      <c r="BM238" s="233" cm="1">
        <f t="array" ref="BM238">L238/IF($M238&gt;0, INDEX($AY$22:$BE$76, $M238+20, $AH238), 1)</f>
        <v>0</v>
      </c>
      <c r="BN238" s="229">
        <f t="shared" si="503"/>
        <v>0</v>
      </c>
      <c r="BO238" s="228">
        <v>35</v>
      </c>
      <c r="BP238" s="229">
        <f t="shared" si="504"/>
        <v>48</v>
      </c>
      <c r="BQ238" s="234">
        <f t="shared" si="505"/>
        <v>3.0748170731707316</v>
      </c>
      <c r="BR238" s="234" cm="1">
        <f t="array" ref="BR238">$BM238 * SUMPRODUCT(INDEX($AV$76:$AX$81,,$AI238),INDEX($AY$76:$BE$81,,$AH238), N($AU$76:$AU$81&gt;$AM238)) / BQ238 / 1000</f>
        <v>0</v>
      </c>
      <c r="BS238" s="231">
        <f t="shared" si="310"/>
        <v>30</v>
      </c>
      <c r="BT238" s="229">
        <f t="shared" si="506"/>
        <v>43</v>
      </c>
      <c r="BU238" s="234">
        <f t="shared" si="507"/>
        <v>3.5018750000000001</v>
      </c>
      <c r="BV238" s="234" cm="1">
        <f t="array" ref="BV238">$BM238 * IF($AH238&lt;=2,
SUMPRODUCT(INDEX($AV$71:$AX$75,,$AI238), INDEX($AY$71:$BE$75,,$AH238), 1 / ($BF$71:$BF$75*BU238 + (1-$BF$71:$BF$75)*BQ238), N($AU$71:$AU$75&gt;$AM238)),
SUMPRODUCT(INDEX($AV$66:$AX$75,,$AI238), INDEX($AY$66:$BE$75,,$AH238), 1 / ($BG$66:$BG$75*BU238 + (1-$BG$66:$BG$75)*BQ238), N($AU$66:$AU$75&gt;$AM238))
) / 1000</f>
        <v>0</v>
      </c>
      <c r="BW238" s="231">
        <f t="shared" si="313"/>
        <v>25</v>
      </c>
      <c r="BX238" s="229">
        <f t="shared" si="508"/>
        <v>38</v>
      </c>
      <c r="BY238" s="234">
        <f t="shared" si="509"/>
        <v>4.0666935483870965</v>
      </c>
      <c r="BZ238" s="234" cm="1">
        <f t="array" ref="BZ238">$BM238 * IF($AH238&lt;=2,
SUMPRODUCT(INDEX($AV$66:$AX$70,,$AI238), INDEX($AY$66:$BE$70,,$AH238), 1 / ($BF$66:$BF$70*BY238 + (1-$BF$66:$BF$70)*BU238), N($AU$66:$AU$70&gt;$AM238)),
SUMPRODUCT(INDEX($AV$56:$AX$65,,$AI238), INDEX($AY$56:$BE$65,,$AH238), 1 / ($BG$56:$BG$65*BY238 + (1-$BG$56:$BG$65)*BU238), N($AU$56:$AU$65&gt;$AM238))
) / 1000</f>
        <v>0</v>
      </c>
      <c r="CA238" s="231">
        <f t="shared" si="316"/>
        <v>20</v>
      </c>
      <c r="CB238" s="229">
        <f t="shared" si="510"/>
        <v>33</v>
      </c>
      <c r="CC238" s="234">
        <f t="shared" si="511"/>
        <v>4.8487499999999999</v>
      </c>
      <c r="CD238" s="234" cm="1">
        <f t="array" ref="CD238">$BM238 * IF($AH238&lt;=2,
SUMPRODUCT(INDEX($AV$61:$AX$65,,$AI238), INDEX($AY$61:$BE$65,,$AH238), 1 / ($BF$61:$BF$65*CC238 + (1-$BF$61:$BF$65)*BY238), N($AU$61:$AU$65&gt;$AM238)),
SUMPRODUCT(INDEX($AV$46:$AX$55,,$AI238), INDEX($AY$46:$BE$55,,$AH238), 1 / ($BG$46:$BG$55*CC238 + (1-$BG$46:$BG$55)*BY238), N($AU$46:$AU$55&gt;$AM238))
) / 1000</f>
        <v>0</v>
      </c>
      <c r="CE238" s="234" cm="1">
        <f t="array" ref="CE238">$BM238 * IF($AH238&lt;=2,
SUMPRODUCT(INDEX($AV$22:$AX$60,,$AI238), INDEX($AY$22:$BE$60,,$AH238), 1 / ($BF$22:$BF$60*CC238), N($AU$22:$AU$60&gt;$AM238)),
SUMPRODUCT(INDEX($AV$22:$AX$45,,$AI238), INDEX($AY$22:$BE$45,,$AH238), 1 / ($BG$22:$BG$45*CC238), N($AU$22:$AU$45&gt;$AM238))
) / 1000</f>
        <v>0</v>
      </c>
      <c r="CF238" s="229">
        <f t="shared" si="512"/>
        <v>0</v>
      </c>
      <c r="CG238" s="246"/>
      <c r="CH238" s="229">
        <f t="shared" si="513"/>
        <v>0</v>
      </c>
      <c r="CI238" s="228">
        <v>35</v>
      </c>
      <c r="CJ238" s="229">
        <f t="shared" si="514"/>
        <v>48</v>
      </c>
      <c r="CK238" s="234">
        <f t="shared" si="515"/>
        <v>3.0748170731707316</v>
      </c>
      <c r="CL238" s="234" cm="1">
        <f t="array" ref="CL238">$BM238 * SUMPRODUCT(INDEX($AV$76:$AX$81,,$AI238),INDEX($AY$76:$BE$81,,$AH238), N($AU$76:$AU$81&gt;$AM238)) / CK238 / 1000</f>
        <v>0</v>
      </c>
      <c r="CM238" s="231">
        <f t="shared" si="323"/>
        <v>30</v>
      </c>
      <c r="CN238" s="229">
        <f t="shared" si="516"/>
        <v>43</v>
      </c>
      <c r="CO238" s="234">
        <f t="shared" si="517"/>
        <v>3.5018750000000001</v>
      </c>
      <c r="CP238" s="234" cm="1">
        <f t="array" ref="CP238">$BM238 * IF($AH238&lt;=2,
SUMPRODUCT(INDEX($AV$71:$AX$75,,$AI238), INDEX($AY$71:$BE$75,,$AH238), 1 / ($BF$71:$BF$75*CO238 + (1-$BF$71:$BF$75)*CK238), N($AU$71:$AU$75&gt;$AM238)),
SUMPRODUCT(INDEX($AV$66:$AX$75,,$AI238), INDEX($AY$66:$BE$75,,$AH238), 1 / ($BG$66:$BG$75*CO238 + (1-$BG$66:$BG$75)*CK238), N($AU$66:$AU$75&gt;$AM238))
) / 1000</f>
        <v>0</v>
      </c>
      <c r="CQ238" s="231">
        <f t="shared" si="326"/>
        <v>25</v>
      </c>
      <c r="CR238" s="229">
        <f t="shared" si="518"/>
        <v>38</v>
      </c>
      <c r="CS238" s="234">
        <f t="shared" si="519"/>
        <v>4.0666935483870965</v>
      </c>
      <c r="CT238" s="234" cm="1">
        <f t="array" ref="CT238">$BM238 * IF($AH238&lt;=2,
SUMPRODUCT(INDEX($AV$66:$AX$70,,$AI238), INDEX($AY$66:$BE$70,,$AH238), 1 / ($BF$66:$BF$70*CS238 + (1-$BF$66:$BF$70)*CO238), N($AU$66:$AU$70&gt;$AM238)),
SUMPRODUCT(INDEX($AV$56:$AX$65,,$AI238), INDEX($AY$56:$BE$65,,$AH238), 1 / ($BG$56:$BG$65*CS238 + (1-$BG$56:$BG$65)*CO238), N($AU$56:$AU$65&gt;$AM238))
) / 1000</f>
        <v>0</v>
      </c>
      <c r="CU238" s="231">
        <f t="shared" si="329"/>
        <v>20</v>
      </c>
      <c r="CV238" s="229">
        <f t="shared" si="520"/>
        <v>33</v>
      </c>
      <c r="CW238" s="234">
        <f t="shared" si="521"/>
        <v>4.8487499999999999</v>
      </c>
      <c r="CX238" s="234" cm="1">
        <f t="array" ref="CX238">$BM238 * IF($AH238&lt;=2,
SUMPRODUCT(INDEX($AV$61:$AX$65,,$AI238), INDEX($AY$61:$BE$65,,$AH238), 1 / ($BF$61:$BF$65*CW238 + (1-$BF$61:$BF$65)*CS238), N($AU$61:$AU$65&gt;$AM238)),
SUMPRODUCT(INDEX($AV$46:$AX$55,,$AI238), INDEX($AY$46:$BE$55,,$AH238), 1 / ($BG$46:$BG$55*CW238 + (1-$BG$46:$BG$55)*CS238), N($AU$46:$AU$55&gt;$AM238))
) / 1000</f>
        <v>0</v>
      </c>
      <c r="CY238" s="234" cm="1">
        <f t="array" ref="CY238">$BM238 * IF($AH238&lt;=2,
SUMPRODUCT(INDEX($AV$22:$AX$60,,$AI238), INDEX($AY$22:$BE$60,,$AH238), 1 / ($BF$22:$BF$60*CW238), N($AU$22:$AU$60&gt;$AM238)),
SUMPRODUCT(INDEX($AV$22:$AX$45,,$AI238), INDEX($AY$22:$BE$45,,$AH238), 1 / ($BG$22:$BG$45*CW238), N($AU$22:$AU$45&gt;$AM238))
) / 1000</f>
        <v>0</v>
      </c>
      <c r="CZ238" s="229">
        <f t="shared" si="522"/>
        <v>0</v>
      </c>
      <c r="DA238" s="246"/>
    </row>
    <row r="239" spans="1:105" s="75" customFormat="1" ht="14.25" customHeight="1" x14ac:dyDescent="0.2">
      <c r="A239" s="230" t="b">
        <f t="shared" si="291"/>
        <v>0</v>
      </c>
      <c r="B239" s="253">
        <v>218</v>
      </c>
      <c r="C239" s="266"/>
      <c r="D239" s="266"/>
      <c r="E239" s="254"/>
      <c r="F239" s="255" t="str">
        <f>IF(ISBLANK(E239), "", VLOOKUP(E239, Z!$A$2:$C$4127, 3, FALSE))</f>
        <v/>
      </c>
      <c r="G239" s="256"/>
      <c r="H239" s="256"/>
      <c r="I239" s="256"/>
      <c r="J239" s="257"/>
      <c r="K239" s="258"/>
      <c r="L239" s="267"/>
      <c r="M239" s="268"/>
      <c r="N239" s="259" t="str" cm="1">
        <f t="array" ref="N239">IF($L239&gt;0, INDEX(Clean,1+AK239,$D$1), "")</f>
        <v/>
      </c>
      <c r="O239" s="260"/>
      <c r="P239" s="260"/>
      <c r="Q239" s="261"/>
      <c r="R239" s="264">
        <f t="shared" si="498"/>
        <v>0</v>
      </c>
      <c r="S239" s="259" t="str" cm="1">
        <f t="array" ref="S239">IF($L239&gt;0, INDEX(Clean,1+AL239,$D$1), "")</f>
        <v/>
      </c>
      <c r="T239" s="260"/>
      <c r="U239" s="260"/>
      <c r="V239" s="261"/>
      <c r="W239" s="267"/>
      <c r="X239" s="267"/>
      <c r="Y239" s="257"/>
      <c r="Z239" s="264">
        <f t="shared" si="499"/>
        <v>0</v>
      </c>
      <c r="AA239" s="269"/>
      <c r="AB239" s="266"/>
      <c r="AC239" s="254"/>
      <c r="AD239" s="255" t="str">
        <f>IF(ISBLANK(AC239), "", VLOOKUP(AC239, Z!$A$2:$C$4127, 3, FALSE))</f>
        <v/>
      </c>
      <c r="AE239" s="270"/>
      <c r="AF239" s="265">
        <f t="shared" si="500"/>
        <v>0</v>
      </c>
      <c r="AG239" s="246"/>
      <c r="AH239" s="228">
        <f t="shared" si="523"/>
        <v>1</v>
      </c>
      <c r="AI239" s="228">
        <f t="shared" si="524"/>
        <v>1</v>
      </c>
      <c r="AJ239" s="228">
        <f t="shared" si="525"/>
        <v>0</v>
      </c>
      <c r="AK239" s="228">
        <v>0</v>
      </c>
      <c r="AL239" s="228">
        <v>0</v>
      </c>
      <c r="AM239" s="228">
        <f t="shared" si="501"/>
        <v>-100</v>
      </c>
      <c r="AN239" s="228" cm="1">
        <f t="array" ref="AN239">IF(ISBLANK(G239), 1, IFERROR(MATCH(G239, INDEX(Kat,,1), 0), IFERROR(MATCH(Kat, INDEX(Use,,2), 0), MATCH(Kat, INDEX(Use,,3), 0))))</f>
        <v>1</v>
      </c>
      <c r="AO239" s="246"/>
      <c r="AP239" s="228" cm="1">
        <f t="array" ref="AP239">IF(W239&gt;0, INDEX(Kat, AN239,4), 0)</f>
        <v>0</v>
      </c>
      <c r="AQ239" s="228">
        <f t="shared" si="526"/>
        <v>0</v>
      </c>
      <c r="AR239" s="228" cm="1">
        <f t="array" ref="AR239">IF(X239&gt;0, INDEX(Kat, $AN239, 4+AQ239), 0)</f>
        <v>0</v>
      </c>
      <c r="AS239" s="228" cm="1">
        <f t="array" ref="AS239">IF(X239&gt;0, INDEX(Kat, $AN239, 9+AQ239), 0)</f>
        <v>0</v>
      </c>
      <c r="AT239" s="246"/>
      <c r="AU239" s="262"/>
      <c r="AV239" s="262"/>
      <c r="AW239" s="263"/>
      <c r="AX239" s="263"/>
      <c r="AY239" s="263"/>
      <c r="AZ239" s="263"/>
      <c r="BA239" s="263"/>
      <c r="BB239" s="263"/>
      <c r="BC239" s="263"/>
      <c r="BD239" s="263"/>
      <c r="BE239" s="263"/>
      <c r="BF239" s="263"/>
      <c r="BG239" s="263"/>
      <c r="BH239" s="246"/>
      <c r="BI239" s="228" cm="1">
        <f t="array" ref="BI239">INDEX(Use, $AH239, 4)</f>
        <v>7</v>
      </c>
      <c r="BJ239" s="228">
        <f t="shared" si="502"/>
        <v>32</v>
      </c>
      <c r="BK239" s="228">
        <f t="shared" si="305"/>
        <v>13</v>
      </c>
      <c r="BL239" s="228">
        <f t="shared" si="306"/>
        <v>0</v>
      </c>
      <c r="BM239" s="233" cm="1">
        <f t="array" ref="BM239">L239/IF($M239&gt;0, INDEX($AY$22:$BE$76, $M239+20, $AH239), 1)</f>
        <v>0</v>
      </c>
      <c r="BN239" s="229">
        <f t="shared" si="503"/>
        <v>0</v>
      </c>
      <c r="BO239" s="228">
        <v>35</v>
      </c>
      <c r="BP239" s="229">
        <f t="shared" si="504"/>
        <v>48</v>
      </c>
      <c r="BQ239" s="234">
        <f t="shared" si="505"/>
        <v>3.0748170731707316</v>
      </c>
      <c r="BR239" s="234" cm="1">
        <f t="array" ref="BR239">$BM239 * SUMPRODUCT(INDEX($AV$76:$AX$81,,$AI239),INDEX($AY$76:$BE$81,,$AH239), N($AU$76:$AU$81&gt;$AM239)) / BQ239 / 1000</f>
        <v>0</v>
      </c>
      <c r="BS239" s="231">
        <f t="shared" si="310"/>
        <v>30</v>
      </c>
      <c r="BT239" s="229">
        <f t="shared" si="506"/>
        <v>43</v>
      </c>
      <c r="BU239" s="234">
        <f t="shared" si="507"/>
        <v>3.5018750000000001</v>
      </c>
      <c r="BV239" s="234" cm="1">
        <f t="array" ref="BV239">$BM239 * IF($AH239&lt;=2,
SUMPRODUCT(INDEX($AV$71:$AX$75,,$AI239), INDEX($AY$71:$BE$75,,$AH239), 1 / ($BF$71:$BF$75*BU239 + (1-$BF$71:$BF$75)*BQ239), N($AU$71:$AU$75&gt;$AM239)),
SUMPRODUCT(INDEX($AV$66:$AX$75,,$AI239), INDEX($AY$66:$BE$75,,$AH239), 1 / ($BG$66:$BG$75*BU239 + (1-$BG$66:$BG$75)*BQ239), N($AU$66:$AU$75&gt;$AM239))
) / 1000</f>
        <v>0</v>
      </c>
      <c r="BW239" s="231">
        <f t="shared" si="313"/>
        <v>25</v>
      </c>
      <c r="BX239" s="229">
        <f t="shared" si="508"/>
        <v>38</v>
      </c>
      <c r="BY239" s="234">
        <f t="shared" si="509"/>
        <v>4.0666935483870965</v>
      </c>
      <c r="BZ239" s="234" cm="1">
        <f t="array" ref="BZ239">$BM239 * IF($AH239&lt;=2,
SUMPRODUCT(INDEX($AV$66:$AX$70,,$AI239), INDEX($AY$66:$BE$70,,$AH239), 1 / ($BF$66:$BF$70*BY239 + (1-$BF$66:$BF$70)*BU239), N($AU$66:$AU$70&gt;$AM239)),
SUMPRODUCT(INDEX($AV$56:$AX$65,,$AI239), INDEX($AY$56:$BE$65,,$AH239), 1 / ($BG$56:$BG$65*BY239 + (1-$BG$56:$BG$65)*BU239), N($AU$56:$AU$65&gt;$AM239))
) / 1000</f>
        <v>0</v>
      </c>
      <c r="CA239" s="231">
        <f t="shared" si="316"/>
        <v>20</v>
      </c>
      <c r="CB239" s="229">
        <f t="shared" si="510"/>
        <v>33</v>
      </c>
      <c r="CC239" s="234">
        <f t="shared" si="511"/>
        <v>4.8487499999999999</v>
      </c>
      <c r="CD239" s="234" cm="1">
        <f t="array" ref="CD239">$BM239 * IF($AH239&lt;=2,
SUMPRODUCT(INDEX($AV$61:$AX$65,,$AI239), INDEX($AY$61:$BE$65,,$AH239), 1 / ($BF$61:$BF$65*CC239 + (1-$BF$61:$BF$65)*BY239), N($AU$61:$AU$65&gt;$AM239)),
SUMPRODUCT(INDEX($AV$46:$AX$55,,$AI239), INDEX($AY$46:$BE$55,,$AH239), 1 / ($BG$46:$BG$55*CC239 + (1-$BG$46:$BG$55)*BY239), N($AU$46:$AU$55&gt;$AM239))
) / 1000</f>
        <v>0</v>
      </c>
      <c r="CE239" s="234" cm="1">
        <f t="array" ref="CE239">$BM239 * IF($AH239&lt;=2,
SUMPRODUCT(INDEX($AV$22:$AX$60,,$AI239), INDEX($AY$22:$BE$60,,$AH239), 1 / ($BF$22:$BF$60*CC239), N($AU$22:$AU$60&gt;$AM239)),
SUMPRODUCT(INDEX($AV$22:$AX$45,,$AI239), INDEX($AY$22:$BE$45,,$AH239), 1 / ($BG$22:$BG$45*CC239), N($AU$22:$AU$45&gt;$AM239))
) / 1000</f>
        <v>0</v>
      </c>
      <c r="CF239" s="229">
        <f t="shared" si="512"/>
        <v>0</v>
      </c>
      <c r="CG239" s="246"/>
      <c r="CH239" s="229">
        <f t="shared" si="513"/>
        <v>0</v>
      </c>
      <c r="CI239" s="228">
        <v>35</v>
      </c>
      <c r="CJ239" s="229">
        <f t="shared" si="514"/>
        <v>48</v>
      </c>
      <c r="CK239" s="234">
        <f t="shared" si="515"/>
        <v>3.0748170731707316</v>
      </c>
      <c r="CL239" s="234" cm="1">
        <f t="array" ref="CL239">$BM239 * SUMPRODUCT(INDEX($AV$76:$AX$81,,$AI239),INDEX($AY$76:$BE$81,,$AH239), N($AU$76:$AU$81&gt;$AM239)) / CK239 / 1000</f>
        <v>0</v>
      </c>
      <c r="CM239" s="231">
        <f t="shared" si="323"/>
        <v>30</v>
      </c>
      <c r="CN239" s="229">
        <f t="shared" si="516"/>
        <v>43</v>
      </c>
      <c r="CO239" s="234">
        <f t="shared" si="517"/>
        <v>3.5018750000000001</v>
      </c>
      <c r="CP239" s="234" cm="1">
        <f t="array" ref="CP239">$BM239 * IF($AH239&lt;=2,
SUMPRODUCT(INDEX($AV$71:$AX$75,,$AI239), INDEX($AY$71:$BE$75,,$AH239), 1 / ($BF$71:$BF$75*CO239 + (1-$BF$71:$BF$75)*CK239), N($AU$71:$AU$75&gt;$AM239)),
SUMPRODUCT(INDEX($AV$66:$AX$75,,$AI239), INDEX($AY$66:$BE$75,,$AH239), 1 / ($BG$66:$BG$75*CO239 + (1-$BG$66:$BG$75)*CK239), N($AU$66:$AU$75&gt;$AM239))
) / 1000</f>
        <v>0</v>
      </c>
      <c r="CQ239" s="231">
        <f t="shared" si="326"/>
        <v>25</v>
      </c>
      <c r="CR239" s="229">
        <f t="shared" si="518"/>
        <v>38</v>
      </c>
      <c r="CS239" s="234">
        <f t="shared" si="519"/>
        <v>4.0666935483870965</v>
      </c>
      <c r="CT239" s="234" cm="1">
        <f t="array" ref="CT239">$BM239 * IF($AH239&lt;=2,
SUMPRODUCT(INDEX($AV$66:$AX$70,,$AI239), INDEX($AY$66:$BE$70,,$AH239), 1 / ($BF$66:$BF$70*CS239 + (1-$BF$66:$BF$70)*CO239), N($AU$66:$AU$70&gt;$AM239)),
SUMPRODUCT(INDEX($AV$56:$AX$65,,$AI239), INDEX($AY$56:$BE$65,,$AH239), 1 / ($BG$56:$BG$65*CS239 + (1-$BG$56:$BG$65)*CO239), N($AU$56:$AU$65&gt;$AM239))
) / 1000</f>
        <v>0</v>
      </c>
      <c r="CU239" s="231">
        <f t="shared" si="329"/>
        <v>20</v>
      </c>
      <c r="CV239" s="229">
        <f t="shared" si="520"/>
        <v>33</v>
      </c>
      <c r="CW239" s="234">
        <f t="shared" si="521"/>
        <v>4.8487499999999999</v>
      </c>
      <c r="CX239" s="234" cm="1">
        <f t="array" ref="CX239">$BM239 * IF($AH239&lt;=2,
SUMPRODUCT(INDEX($AV$61:$AX$65,,$AI239), INDEX($AY$61:$BE$65,,$AH239), 1 / ($BF$61:$BF$65*CW239 + (1-$BF$61:$BF$65)*CS239), N($AU$61:$AU$65&gt;$AM239)),
SUMPRODUCT(INDEX($AV$46:$AX$55,,$AI239), INDEX($AY$46:$BE$55,,$AH239), 1 / ($BG$46:$BG$55*CW239 + (1-$BG$46:$BG$55)*CS239), N($AU$46:$AU$55&gt;$AM239))
) / 1000</f>
        <v>0</v>
      </c>
      <c r="CY239" s="234" cm="1">
        <f t="array" ref="CY239">$BM239 * IF($AH239&lt;=2,
SUMPRODUCT(INDEX($AV$22:$AX$60,,$AI239), INDEX($AY$22:$BE$60,,$AH239), 1 / ($BF$22:$BF$60*CW239), N($AU$22:$AU$60&gt;$AM239)),
SUMPRODUCT(INDEX($AV$22:$AX$45,,$AI239), INDEX($AY$22:$BE$45,,$AH239), 1 / ($BG$22:$BG$45*CW239), N($AU$22:$AU$45&gt;$AM239))
) / 1000</f>
        <v>0</v>
      </c>
      <c r="CZ239" s="229">
        <f t="shared" si="522"/>
        <v>0</v>
      </c>
      <c r="DA239" s="246"/>
    </row>
    <row r="240" spans="1:105" s="75" customFormat="1" ht="14.25" customHeight="1" x14ac:dyDescent="0.2">
      <c r="A240" s="230" t="b">
        <f t="shared" si="291"/>
        <v>0</v>
      </c>
      <c r="B240" s="253">
        <v>219</v>
      </c>
      <c r="C240" s="266"/>
      <c r="D240" s="266"/>
      <c r="E240" s="254"/>
      <c r="F240" s="255" t="str">
        <f>IF(ISBLANK(E240), "", VLOOKUP(E240, Z!$A$2:$C$4127, 3, FALSE))</f>
        <v/>
      </c>
      <c r="G240" s="256"/>
      <c r="H240" s="256"/>
      <c r="I240" s="256"/>
      <c r="J240" s="257"/>
      <c r="K240" s="258"/>
      <c r="L240" s="267"/>
      <c r="M240" s="268"/>
      <c r="N240" s="259" t="str" cm="1">
        <f t="array" ref="N240">IF($L240&gt;0, INDEX(Clean,1+AK240,$D$1), "")</f>
        <v/>
      </c>
      <c r="O240" s="260"/>
      <c r="P240" s="260"/>
      <c r="Q240" s="261"/>
      <c r="R240" s="264">
        <f t="shared" si="498"/>
        <v>0</v>
      </c>
      <c r="S240" s="259" t="str" cm="1">
        <f t="array" ref="S240">IF($L240&gt;0, INDEX(Clean,1+AL240,$D$1), "")</f>
        <v/>
      </c>
      <c r="T240" s="260"/>
      <c r="U240" s="260"/>
      <c r="V240" s="261"/>
      <c r="W240" s="267"/>
      <c r="X240" s="267"/>
      <c r="Y240" s="257"/>
      <c r="Z240" s="264">
        <f t="shared" si="499"/>
        <v>0</v>
      </c>
      <c r="AA240" s="269"/>
      <c r="AB240" s="266"/>
      <c r="AC240" s="254"/>
      <c r="AD240" s="255" t="str">
        <f>IF(ISBLANK(AC240), "", VLOOKUP(AC240, Z!$A$2:$C$4127, 3, FALSE))</f>
        <v/>
      </c>
      <c r="AE240" s="270"/>
      <c r="AF240" s="265">
        <f t="shared" si="500"/>
        <v>0</v>
      </c>
      <c r="AG240" s="246"/>
      <c r="AH240" s="228">
        <f t="shared" si="523"/>
        <v>1</v>
      </c>
      <c r="AI240" s="228">
        <f t="shared" si="524"/>
        <v>1</v>
      </c>
      <c r="AJ240" s="228">
        <f t="shared" si="525"/>
        <v>0</v>
      </c>
      <c r="AK240" s="228">
        <v>0</v>
      </c>
      <c r="AL240" s="228">
        <v>0</v>
      </c>
      <c r="AM240" s="228">
        <f t="shared" si="501"/>
        <v>-100</v>
      </c>
      <c r="AN240" s="228" cm="1">
        <f t="array" ref="AN240">IF(ISBLANK(G240), 1, IFERROR(MATCH(G240, INDEX(Kat,,1), 0), IFERROR(MATCH(Kat, INDEX(Use,,2), 0), MATCH(Kat, INDEX(Use,,3), 0))))</f>
        <v>1</v>
      </c>
      <c r="AO240" s="246"/>
      <c r="AP240" s="228" cm="1">
        <f t="array" ref="AP240">IF(W240&gt;0, INDEX(Kat, AN240,4), 0)</f>
        <v>0</v>
      </c>
      <c r="AQ240" s="228">
        <f t="shared" si="526"/>
        <v>0</v>
      </c>
      <c r="AR240" s="228" cm="1">
        <f t="array" ref="AR240">IF(X240&gt;0, INDEX(Kat, $AN240, 4+AQ240), 0)</f>
        <v>0</v>
      </c>
      <c r="AS240" s="228" cm="1">
        <f t="array" ref="AS240">IF(X240&gt;0, INDEX(Kat, $AN240, 9+AQ240), 0)</f>
        <v>0</v>
      </c>
      <c r="AT240" s="246"/>
      <c r="AU240" s="262"/>
      <c r="AV240" s="262"/>
      <c r="AW240" s="263"/>
      <c r="AX240" s="263"/>
      <c r="AY240" s="263"/>
      <c r="AZ240" s="263"/>
      <c r="BA240" s="263"/>
      <c r="BB240" s="263"/>
      <c r="BC240" s="263"/>
      <c r="BD240" s="263"/>
      <c r="BE240" s="263"/>
      <c r="BF240" s="263"/>
      <c r="BG240" s="263"/>
      <c r="BH240" s="246"/>
      <c r="BI240" s="228" cm="1">
        <f t="array" ref="BI240">INDEX(Use, $AH240, 4)</f>
        <v>7</v>
      </c>
      <c r="BJ240" s="228">
        <f t="shared" si="502"/>
        <v>32</v>
      </c>
      <c r="BK240" s="228">
        <f t="shared" si="305"/>
        <v>13</v>
      </c>
      <c r="BL240" s="228">
        <f t="shared" si="306"/>
        <v>0</v>
      </c>
      <c r="BM240" s="233" cm="1">
        <f t="array" ref="BM240">L240/IF($M240&gt;0, INDEX($AY$22:$BE$76, $M240+20, $AH240), 1)</f>
        <v>0</v>
      </c>
      <c r="BN240" s="229">
        <f t="shared" si="503"/>
        <v>0</v>
      </c>
      <c r="BO240" s="228">
        <v>35</v>
      </c>
      <c r="BP240" s="229">
        <f t="shared" si="504"/>
        <v>48</v>
      </c>
      <c r="BQ240" s="234">
        <f t="shared" si="505"/>
        <v>3.0748170731707316</v>
      </c>
      <c r="BR240" s="234" cm="1">
        <f t="array" ref="BR240">$BM240 * SUMPRODUCT(INDEX($AV$76:$AX$81,,$AI240),INDEX($AY$76:$BE$81,,$AH240), N($AU$76:$AU$81&gt;$AM240)) / BQ240 / 1000</f>
        <v>0</v>
      </c>
      <c r="BS240" s="231">
        <f t="shared" si="310"/>
        <v>30</v>
      </c>
      <c r="BT240" s="229">
        <f t="shared" si="506"/>
        <v>43</v>
      </c>
      <c r="BU240" s="234">
        <f t="shared" si="507"/>
        <v>3.5018750000000001</v>
      </c>
      <c r="BV240" s="234" cm="1">
        <f t="array" ref="BV240">$BM240 * IF($AH240&lt;=2,
SUMPRODUCT(INDEX($AV$71:$AX$75,,$AI240), INDEX($AY$71:$BE$75,,$AH240), 1 / ($BF$71:$BF$75*BU240 + (1-$BF$71:$BF$75)*BQ240), N($AU$71:$AU$75&gt;$AM240)),
SUMPRODUCT(INDEX($AV$66:$AX$75,,$AI240), INDEX($AY$66:$BE$75,,$AH240), 1 / ($BG$66:$BG$75*BU240 + (1-$BG$66:$BG$75)*BQ240), N($AU$66:$AU$75&gt;$AM240))
) / 1000</f>
        <v>0</v>
      </c>
      <c r="BW240" s="231">
        <f t="shared" si="313"/>
        <v>25</v>
      </c>
      <c r="BX240" s="229">
        <f t="shared" si="508"/>
        <v>38</v>
      </c>
      <c r="BY240" s="234">
        <f t="shared" si="509"/>
        <v>4.0666935483870965</v>
      </c>
      <c r="BZ240" s="234" cm="1">
        <f t="array" ref="BZ240">$BM240 * IF($AH240&lt;=2,
SUMPRODUCT(INDEX($AV$66:$AX$70,,$AI240), INDEX($AY$66:$BE$70,,$AH240), 1 / ($BF$66:$BF$70*BY240 + (1-$BF$66:$BF$70)*BU240), N($AU$66:$AU$70&gt;$AM240)),
SUMPRODUCT(INDEX($AV$56:$AX$65,,$AI240), INDEX($AY$56:$BE$65,,$AH240), 1 / ($BG$56:$BG$65*BY240 + (1-$BG$56:$BG$65)*BU240), N($AU$56:$AU$65&gt;$AM240))
) / 1000</f>
        <v>0</v>
      </c>
      <c r="CA240" s="231">
        <f t="shared" si="316"/>
        <v>20</v>
      </c>
      <c r="CB240" s="229">
        <f t="shared" si="510"/>
        <v>33</v>
      </c>
      <c r="CC240" s="234">
        <f t="shared" si="511"/>
        <v>4.8487499999999999</v>
      </c>
      <c r="CD240" s="234" cm="1">
        <f t="array" ref="CD240">$BM240 * IF($AH240&lt;=2,
SUMPRODUCT(INDEX($AV$61:$AX$65,,$AI240), INDEX($AY$61:$BE$65,,$AH240), 1 / ($BF$61:$BF$65*CC240 + (1-$BF$61:$BF$65)*BY240), N($AU$61:$AU$65&gt;$AM240)),
SUMPRODUCT(INDEX($AV$46:$AX$55,,$AI240), INDEX($AY$46:$BE$55,,$AH240), 1 / ($BG$46:$BG$55*CC240 + (1-$BG$46:$BG$55)*BY240), N($AU$46:$AU$55&gt;$AM240))
) / 1000</f>
        <v>0</v>
      </c>
      <c r="CE240" s="234" cm="1">
        <f t="array" ref="CE240">$BM240 * IF($AH240&lt;=2,
SUMPRODUCT(INDEX($AV$22:$AX$60,,$AI240), INDEX($AY$22:$BE$60,,$AH240), 1 / ($BF$22:$BF$60*CC240), N($AU$22:$AU$60&gt;$AM240)),
SUMPRODUCT(INDEX($AV$22:$AX$45,,$AI240), INDEX($AY$22:$BE$45,,$AH240), 1 / ($BG$22:$BG$45*CC240), N($AU$22:$AU$45&gt;$AM240))
) / 1000</f>
        <v>0</v>
      </c>
      <c r="CF240" s="229">
        <f t="shared" si="512"/>
        <v>0</v>
      </c>
      <c r="CG240" s="246"/>
      <c r="CH240" s="229">
        <f t="shared" si="513"/>
        <v>0</v>
      </c>
      <c r="CI240" s="228">
        <v>35</v>
      </c>
      <c r="CJ240" s="229">
        <f t="shared" si="514"/>
        <v>48</v>
      </c>
      <c r="CK240" s="234">
        <f t="shared" si="515"/>
        <v>3.0748170731707316</v>
      </c>
      <c r="CL240" s="234" cm="1">
        <f t="array" ref="CL240">$BM240 * SUMPRODUCT(INDEX($AV$76:$AX$81,,$AI240),INDEX($AY$76:$BE$81,,$AH240), N($AU$76:$AU$81&gt;$AM240)) / CK240 / 1000</f>
        <v>0</v>
      </c>
      <c r="CM240" s="231">
        <f t="shared" si="323"/>
        <v>30</v>
      </c>
      <c r="CN240" s="229">
        <f t="shared" si="516"/>
        <v>43</v>
      </c>
      <c r="CO240" s="234">
        <f t="shared" si="517"/>
        <v>3.5018750000000001</v>
      </c>
      <c r="CP240" s="234" cm="1">
        <f t="array" ref="CP240">$BM240 * IF($AH240&lt;=2,
SUMPRODUCT(INDEX($AV$71:$AX$75,,$AI240), INDEX($AY$71:$BE$75,,$AH240), 1 / ($BF$71:$BF$75*CO240 + (1-$BF$71:$BF$75)*CK240), N($AU$71:$AU$75&gt;$AM240)),
SUMPRODUCT(INDEX($AV$66:$AX$75,,$AI240), INDEX($AY$66:$BE$75,,$AH240), 1 / ($BG$66:$BG$75*CO240 + (1-$BG$66:$BG$75)*CK240), N($AU$66:$AU$75&gt;$AM240))
) / 1000</f>
        <v>0</v>
      </c>
      <c r="CQ240" s="231">
        <f t="shared" si="326"/>
        <v>25</v>
      </c>
      <c r="CR240" s="229">
        <f t="shared" si="518"/>
        <v>38</v>
      </c>
      <c r="CS240" s="234">
        <f t="shared" si="519"/>
        <v>4.0666935483870965</v>
      </c>
      <c r="CT240" s="234" cm="1">
        <f t="array" ref="CT240">$BM240 * IF($AH240&lt;=2,
SUMPRODUCT(INDEX($AV$66:$AX$70,,$AI240), INDEX($AY$66:$BE$70,,$AH240), 1 / ($BF$66:$BF$70*CS240 + (1-$BF$66:$BF$70)*CO240), N($AU$66:$AU$70&gt;$AM240)),
SUMPRODUCT(INDEX($AV$56:$AX$65,,$AI240), INDEX($AY$56:$BE$65,,$AH240), 1 / ($BG$56:$BG$65*CS240 + (1-$BG$56:$BG$65)*CO240), N($AU$56:$AU$65&gt;$AM240))
) / 1000</f>
        <v>0</v>
      </c>
      <c r="CU240" s="231">
        <f t="shared" si="329"/>
        <v>20</v>
      </c>
      <c r="CV240" s="229">
        <f t="shared" si="520"/>
        <v>33</v>
      </c>
      <c r="CW240" s="234">
        <f t="shared" si="521"/>
        <v>4.8487499999999999</v>
      </c>
      <c r="CX240" s="234" cm="1">
        <f t="array" ref="CX240">$BM240 * IF($AH240&lt;=2,
SUMPRODUCT(INDEX($AV$61:$AX$65,,$AI240), INDEX($AY$61:$BE$65,,$AH240), 1 / ($BF$61:$BF$65*CW240 + (1-$BF$61:$BF$65)*CS240), N($AU$61:$AU$65&gt;$AM240)),
SUMPRODUCT(INDEX($AV$46:$AX$55,,$AI240), INDEX($AY$46:$BE$55,,$AH240), 1 / ($BG$46:$BG$55*CW240 + (1-$BG$46:$BG$55)*CS240), N($AU$46:$AU$55&gt;$AM240))
) / 1000</f>
        <v>0</v>
      </c>
      <c r="CY240" s="234" cm="1">
        <f t="array" ref="CY240">$BM240 * IF($AH240&lt;=2,
SUMPRODUCT(INDEX($AV$22:$AX$60,,$AI240), INDEX($AY$22:$BE$60,,$AH240), 1 / ($BF$22:$BF$60*CW240), N($AU$22:$AU$60&gt;$AM240)),
SUMPRODUCT(INDEX($AV$22:$AX$45,,$AI240), INDEX($AY$22:$BE$45,,$AH240), 1 / ($BG$22:$BG$45*CW240), N($AU$22:$AU$45&gt;$AM240))
) / 1000</f>
        <v>0</v>
      </c>
      <c r="CZ240" s="229">
        <f t="shared" si="522"/>
        <v>0</v>
      </c>
      <c r="DA240" s="246"/>
    </row>
    <row r="241" spans="1:105" s="75" customFormat="1" ht="14.25" customHeight="1" x14ac:dyDescent="0.2">
      <c r="A241" s="230" t="b">
        <f t="shared" si="291"/>
        <v>0</v>
      </c>
      <c r="B241" s="253">
        <v>220</v>
      </c>
      <c r="C241" s="266"/>
      <c r="D241" s="266"/>
      <c r="E241" s="254"/>
      <c r="F241" s="255" t="str">
        <f>IF(ISBLANK(E241), "", VLOOKUP(E241, Z!$A$2:$C$4127, 3, FALSE))</f>
        <v/>
      </c>
      <c r="G241" s="256"/>
      <c r="H241" s="256"/>
      <c r="I241" s="256"/>
      <c r="J241" s="257"/>
      <c r="K241" s="258"/>
      <c r="L241" s="267"/>
      <c r="M241" s="268"/>
      <c r="N241" s="259" t="str" cm="1">
        <f t="array" ref="N241">IF($L241&gt;0, INDEX(Clean,1+AK241,$D$1), "")</f>
        <v/>
      </c>
      <c r="O241" s="260"/>
      <c r="P241" s="260"/>
      <c r="Q241" s="261"/>
      <c r="R241" s="264">
        <f t="shared" si="498"/>
        <v>0</v>
      </c>
      <c r="S241" s="259" t="str" cm="1">
        <f t="array" ref="S241">IF($L241&gt;0, INDEX(Clean,1+AL241,$D$1), "")</f>
        <v/>
      </c>
      <c r="T241" s="260"/>
      <c r="U241" s="260"/>
      <c r="V241" s="261"/>
      <c r="W241" s="267"/>
      <c r="X241" s="267"/>
      <c r="Y241" s="257"/>
      <c r="Z241" s="264">
        <f t="shared" si="499"/>
        <v>0</v>
      </c>
      <c r="AA241" s="269"/>
      <c r="AB241" s="266"/>
      <c r="AC241" s="254"/>
      <c r="AD241" s="255" t="str">
        <f>IF(ISBLANK(AC241), "", VLOOKUP(AC241, Z!$A$2:$C$4127, 3, FALSE))</f>
        <v/>
      </c>
      <c r="AE241" s="270"/>
      <c r="AF241" s="265">
        <f t="shared" si="500"/>
        <v>0</v>
      </c>
      <c r="AG241" s="246"/>
      <c r="AH241" s="228">
        <f t="shared" si="523"/>
        <v>1</v>
      </c>
      <c r="AI241" s="228">
        <f t="shared" si="524"/>
        <v>1</v>
      </c>
      <c r="AJ241" s="228">
        <f t="shared" si="525"/>
        <v>0</v>
      </c>
      <c r="AK241" s="228">
        <v>0</v>
      </c>
      <c r="AL241" s="228">
        <v>0</v>
      </c>
      <c r="AM241" s="228">
        <f t="shared" si="501"/>
        <v>-100</v>
      </c>
      <c r="AN241" s="228" cm="1">
        <f t="array" ref="AN241">IF(ISBLANK(G241), 1, IFERROR(MATCH(G241, INDEX(Kat,,1), 0), IFERROR(MATCH(Kat, INDEX(Use,,2), 0), MATCH(Kat, INDEX(Use,,3), 0))))</f>
        <v>1</v>
      </c>
      <c r="AO241" s="246"/>
      <c r="AP241" s="228" cm="1">
        <f t="array" ref="AP241">IF(W241&gt;0, INDEX(Kat, AN241,4), 0)</f>
        <v>0</v>
      </c>
      <c r="AQ241" s="228">
        <f t="shared" si="526"/>
        <v>0</v>
      </c>
      <c r="AR241" s="228" cm="1">
        <f t="array" ref="AR241">IF(X241&gt;0, INDEX(Kat, $AN241, 4+AQ241), 0)</f>
        <v>0</v>
      </c>
      <c r="AS241" s="228" cm="1">
        <f t="array" ref="AS241">IF(X241&gt;0, INDEX(Kat, $AN241, 9+AQ241), 0)</f>
        <v>0</v>
      </c>
      <c r="AT241" s="246"/>
      <c r="AU241" s="262"/>
      <c r="AV241" s="262"/>
      <c r="AW241" s="263"/>
      <c r="AX241" s="263"/>
      <c r="AY241" s="263"/>
      <c r="AZ241" s="263"/>
      <c r="BA241" s="263"/>
      <c r="BB241" s="263"/>
      <c r="BC241" s="263"/>
      <c r="BD241" s="263"/>
      <c r="BE241" s="263"/>
      <c r="BF241" s="263"/>
      <c r="BG241" s="263"/>
      <c r="BH241" s="246"/>
      <c r="BI241" s="228" cm="1">
        <f t="array" ref="BI241">INDEX(Use, $AH241, 4)</f>
        <v>7</v>
      </c>
      <c r="BJ241" s="228">
        <f t="shared" si="502"/>
        <v>32</v>
      </c>
      <c r="BK241" s="228">
        <f t="shared" si="305"/>
        <v>13</v>
      </c>
      <c r="BL241" s="228">
        <f t="shared" si="306"/>
        <v>0</v>
      </c>
      <c r="BM241" s="233" cm="1">
        <f t="array" ref="BM241">L241/IF($M241&gt;0, INDEX($AY$22:$BE$76, $M241+20, $AH241), 1)</f>
        <v>0</v>
      </c>
      <c r="BN241" s="229">
        <f t="shared" si="503"/>
        <v>0</v>
      </c>
      <c r="BO241" s="228">
        <v>35</v>
      </c>
      <c r="BP241" s="229">
        <f t="shared" si="504"/>
        <v>48</v>
      </c>
      <c r="BQ241" s="234">
        <f t="shared" si="505"/>
        <v>3.0748170731707316</v>
      </c>
      <c r="BR241" s="234" cm="1">
        <f t="array" ref="BR241">$BM241 * SUMPRODUCT(INDEX($AV$76:$AX$81,,$AI241),INDEX($AY$76:$BE$81,,$AH241), N($AU$76:$AU$81&gt;$AM241)) / BQ241 / 1000</f>
        <v>0</v>
      </c>
      <c r="BS241" s="231">
        <f t="shared" si="310"/>
        <v>30</v>
      </c>
      <c r="BT241" s="229">
        <f t="shared" si="506"/>
        <v>43</v>
      </c>
      <c r="BU241" s="234">
        <f t="shared" si="507"/>
        <v>3.5018750000000001</v>
      </c>
      <c r="BV241" s="234" cm="1">
        <f t="array" ref="BV241">$BM241 * IF($AH241&lt;=2,
SUMPRODUCT(INDEX($AV$71:$AX$75,,$AI241), INDEX($AY$71:$BE$75,,$AH241), 1 / ($BF$71:$BF$75*BU241 + (1-$BF$71:$BF$75)*BQ241), N($AU$71:$AU$75&gt;$AM241)),
SUMPRODUCT(INDEX($AV$66:$AX$75,,$AI241), INDEX($AY$66:$BE$75,,$AH241), 1 / ($BG$66:$BG$75*BU241 + (1-$BG$66:$BG$75)*BQ241), N($AU$66:$AU$75&gt;$AM241))
) / 1000</f>
        <v>0</v>
      </c>
      <c r="BW241" s="231">
        <f t="shared" si="313"/>
        <v>25</v>
      </c>
      <c r="BX241" s="229">
        <f t="shared" si="508"/>
        <v>38</v>
      </c>
      <c r="BY241" s="234">
        <f t="shared" si="509"/>
        <v>4.0666935483870965</v>
      </c>
      <c r="BZ241" s="234" cm="1">
        <f t="array" ref="BZ241">$BM241 * IF($AH241&lt;=2,
SUMPRODUCT(INDEX($AV$66:$AX$70,,$AI241), INDEX($AY$66:$BE$70,,$AH241), 1 / ($BF$66:$BF$70*BY241 + (1-$BF$66:$BF$70)*BU241), N($AU$66:$AU$70&gt;$AM241)),
SUMPRODUCT(INDEX($AV$56:$AX$65,,$AI241), INDEX($AY$56:$BE$65,,$AH241), 1 / ($BG$56:$BG$65*BY241 + (1-$BG$56:$BG$65)*BU241), N($AU$56:$AU$65&gt;$AM241))
) / 1000</f>
        <v>0</v>
      </c>
      <c r="CA241" s="231">
        <f t="shared" si="316"/>
        <v>20</v>
      </c>
      <c r="CB241" s="229">
        <f t="shared" si="510"/>
        <v>33</v>
      </c>
      <c r="CC241" s="234">
        <f t="shared" si="511"/>
        <v>4.8487499999999999</v>
      </c>
      <c r="CD241" s="234" cm="1">
        <f t="array" ref="CD241">$BM241 * IF($AH241&lt;=2,
SUMPRODUCT(INDEX($AV$61:$AX$65,,$AI241), INDEX($AY$61:$BE$65,,$AH241), 1 / ($BF$61:$BF$65*CC241 + (1-$BF$61:$BF$65)*BY241), N($AU$61:$AU$65&gt;$AM241)),
SUMPRODUCT(INDEX($AV$46:$AX$55,,$AI241), INDEX($AY$46:$BE$55,,$AH241), 1 / ($BG$46:$BG$55*CC241 + (1-$BG$46:$BG$55)*BY241), N($AU$46:$AU$55&gt;$AM241))
) / 1000</f>
        <v>0</v>
      </c>
      <c r="CE241" s="234" cm="1">
        <f t="array" ref="CE241">$BM241 * IF($AH241&lt;=2,
SUMPRODUCT(INDEX($AV$22:$AX$60,,$AI241), INDEX($AY$22:$BE$60,,$AH241), 1 / ($BF$22:$BF$60*CC241), N($AU$22:$AU$60&gt;$AM241)),
SUMPRODUCT(INDEX($AV$22:$AX$45,,$AI241), INDEX($AY$22:$BE$45,,$AH241), 1 / ($BG$22:$BG$45*CC241), N($AU$22:$AU$45&gt;$AM241))
) / 1000</f>
        <v>0</v>
      </c>
      <c r="CF241" s="229">
        <f t="shared" si="512"/>
        <v>0</v>
      </c>
      <c r="CG241" s="246"/>
      <c r="CH241" s="229">
        <f t="shared" si="513"/>
        <v>0</v>
      </c>
      <c r="CI241" s="228">
        <v>35</v>
      </c>
      <c r="CJ241" s="229">
        <f t="shared" si="514"/>
        <v>48</v>
      </c>
      <c r="CK241" s="234">
        <f t="shared" si="515"/>
        <v>3.0748170731707316</v>
      </c>
      <c r="CL241" s="234" cm="1">
        <f t="array" ref="CL241">$BM241 * SUMPRODUCT(INDEX($AV$76:$AX$81,,$AI241),INDEX($AY$76:$BE$81,,$AH241), N($AU$76:$AU$81&gt;$AM241)) / CK241 / 1000</f>
        <v>0</v>
      </c>
      <c r="CM241" s="231">
        <f t="shared" si="323"/>
        <v>30</v>
      </c>
      <c r="CN241" s="229">
        <f t="shared" si="516"/>
        <v>43</v>
      </c>
      <c r="CO241" s="234">
        <f t="shared" si="517"/>
        <v>3.5018750000000001</v>
      </c>
      <c r="CP241" s="234" cm="1">
        <f t="array" ref="CP241">$BM241 * IF($AH241&lt;=2,
SUMPRODUCT(INDEX($AV$71:$AX$75,,$AI241), INDEX($AY$71:$BE$75,,$AH241), 1 / ($BF$71:$BF$75*CO241 + (1-$BF$71:$BF$75)*CK241), N($AU$71:$AU$75&gt;$AM241)),
SUMPRODUCT(INDEX($AV$66:$AX$75,,$AI241), INDEX($AY$66:$BE$75,,$AH241), 1 / ($BG$66:$BG$75*CO241 + (1-$BG$66:$BG$75)*CK241), N($AU$66:$AU$75&gt;$AM241))
) / 1000</f>
        <v>0</v>
      </c>
      <c r="CQ241" s="231">
        <f t="shared" si="326"/>
        <v>25</v>
      </c>
      <c r="CR241" s="229">
        <f t="shared" si="518"/>
        <v>38</v>
      </c>
      <c r="CS241" s="234">
        <f t="shared" si="519"/>
        <v>4.0666935483870965</v>
      </c>
      <c r="CT241" s="234" cm="1">
        <f t="array" ref="CT241">$BM241 * IF($AH241&lt;=2,
SUMPRODUCT(INDEX($AV$66:$AX$70,,$AI241), INDEX($AY$66:$BE$70,,$AH241), 1 / ($BF$66:$BF$70*CS241 + (1-$BF$66:$BF$70)*CO241), N($AU$66:$AU$70&gt;$AM241)),
SUMPRODUCT(INDEX($AV$56:$AX$65,,$AI241), INDEX($AY$56:$BE$65,,$AH241), 1 / ($BG$56:$BG$65*CS241 + (1-$BG$56:$BG$65)*CO241), N($AU$56:$AU$65&gt;$AM241))
) / 1000</f>
        <v>0</v>
      </c>
      <c r="CU241" s="231">
        <f t="shared" si="329"/>
        <v>20</v>
      </c>
      <c r="CV241" s="229">
        <f t="shared" si="520"/>
        <v>33</v>
      </c>
      <c r="CW241" s="234">
        <f t="shared" si="521"/>
        <v>4.8487499999999999</v>
      </c>
      <c r="CX241" s="234" cm="1">
        <f t="array" ref="CX241">$BM241 * IF($AH241&lt;=2,
SUMPRODUCT(INDEX($AV$61:$AX$65,,$AI241), INDEX($AY$61:$BE$65,,$AH241), 1 / ($BF$61:$BF$65*CW241 + (1-$BF$61:$BF$65)*CS241), N($AU$61:$AU$65&gt;$AM241)),
SUMPRODUCT(INDEX($AV$46:$AX$55,,$AI241), INDEX($AY$46:$BE$55,,$AH241), 1 / ($BG$46:$BG$55*CW241 + (1-$BG$46:$BG$55)*CS241), N($AU$46:$AU$55&gt;$AM241))
) / 1000</f>
        <v>0</v>
      </c>
      <c r="CY241" s="234" cm="1">
        <f t="array" ref="CY241">$BM241 * IF($AH241&lt;=2,
SUMPRODUCT(INDEX($AV$22:$AX$60,,$AI241), INDEX($AY$22:$BE$60,,$AH241), 1 / ($BF$22:$BF$60*CW241), N($AU$22:$AU$60&gt;$AM241)),
SUMPRODUCT(INDEX($AV$22:$AX$45,,$AI241), INDEX($AY$22:$BE$45,,$AH241), 1 / ($BG$22:$BG$45*CW241), N($AU$22:$AU$45&gt;$AM241))
) / 1000</f>
        <v>0</v>
      </c>
      <c r="CZ241" s="229">
        <f t="shared" si="522"/>
        <v>0</v>
      </c>
      <c r="DA241" s="246"/>
    </row>
    <row r="242" spans="1:105" s="75" customFormat="1" ht="14.25" customHeight="1" x14ac:dyDescent="0.2">
      <c r="A242" s="230" t="b">
        <f t="shared" si="291"/>
        <v>0</v>
      </c>
      <c r="B242" s="253">
        <v>221</v>
      </c>
      <c r="C242" s="266"/>
      <c r="D242" s="266"/>
      <c r="E242" s="254"/>
      <c r="F242" s="255" t="str">
        <f>IF(ISBLANK(E242), "", VLOOKUP(E242, Z!$A$2:$C$4127, 3, FALSE))</f>
        <v/>
      </c>
      <c r="G242" s="256"/>
      <c r="H242" s="256"/>
      <c r="I242" s="256"/>
      <c r="J242" s="257"/>
      <c r="K242" s="258"/>
      <c r="L242" s="267"/>
      <c r="M242" s="268"/>
      <c r="N242" s="259" t="str" cm="1">
        <f t="array" ref="N242">IF($L242&gt;0, INDEX(Clean,1+AK242,$D$1), "")</f>
        <v/>
      </c>
      <c r="O242" s="260"/>
      <c r="P242" s="260"/>
      <c r="Q242" s="261"/>
      <c r="R242" s="264">
        <f t="shared" si="498"/>
        <v>0</v>
      </c>
      <c r="S242" s="259" t="str" cm="1">
        <f t="array" ref="S242">IF($L242&gt;0, INDEX(Clean,1+AL242,$D$1), "")</f>
        <v/>
      </c>
      <c r="T242" s="260"/>
      <c r="U242" s="260"/>
      <c r="V242" s="261"/>
      <c r="W242" s="267"/>
      <c r="X242" s="267"/>
      <c r="Y242" s="257"/>
      <c r="Z242" s="264">
        <f t="shared" si="499"/>
        <v>0</v>
      </c>
      <c r="AA242" s="269"/>
      <c r="AB242" s="266"/>
      <c r="AC242" s="254"/>
      <c r="AD242" s="255" t="str">
        <f>IF(ISBLANK(AC242), "", VLOOKUP(AC242, Z!$A$2:$C$4127, 3, FALSE))</f>
        <v/>
      </c>
      <c r="AE242" s="270"/>
      <c r="AF242" s="265">
        <f t="shared" si="500"/>
        <v>0</v>
      </c>
      <c r="AG242" s="246"/>
      <c r="AH242" s="228">
        <f t="shared" si="523"/>
        <v>1</v>
      </c>
      <c r="AI242" s="228">
        <f t="shared" si="524"/>
        <v>1</v>
      </c>
      <c r="AJ242" s="228">
        <f t="shared" si="525"/>
        <v>0</v>
      </c>
      <c r="AK242" s="228">
        <v>0</v>
      </c>
      <c r="AL242" s="228">
        <v>0</v>
      </c>
      <c r="AM242" s="228">
        <f t="shared" si="501"/>
        <v>-100</v>
      </c>
      <c r="AN242" s="228" cm="1">
        <f t="array" ref="AN242">IF(ISBLANK(G242), 1, IFERROR(MATCH(G242, INDEX(Kat,,1), 0), IFERROR(MATCH(Kat, INDEX(Use,,2), 0), MATCH(Kat, INDEX(Use,,3), 0))))</f>
        <v>1</v>
      </c>
      <c r="AO242" s="246"/>
      <c r="AP242" s="228" cm="1">
        <f t="array" ref="AP242">IF(W242&gt;0, INDEX(Kat, AN242,4), 0)</f>
        <v>0</v>
      </c>
      <c r="AQ242" s="228">
        <f t="shared" si="526"/>
        <v>0</v>
      </c>
      <c r="AR242" s="228" cm="1">
        <f t="array" ref="AR242">IF(X242&gt;0, INDEX(Kat, $AN242, 4+AQ242), 0)</f>
        <v>0</v>
      </c>
      <c r="AS242" s="228" cm="1">
        <f t="array" ref="AS242">IF(X242&gt;0, INDEX(Kat, $AN242, 9+AQ242), 0)</f>
        <v>0</v>
      </c>
      <c r="AT242" s="246"/>
      <c r="AU242" s="262"/>
      <c r="AV242" s="262"/>
      <c r="AW242" s="263"/>
      <c r="AX242" s="263"/>
      <c r="AY242" s="263"/>
      <c r="AZ242" s="263"/>
      <c r="BA242" s="263"/>
      <c r="BB242" s="263"/>
      <c r="BC242" s="263"/>
      <c r="BD242" s="263"/>
      <c r="BE242" s="263"/>
      <c r="BF242" s="263"/>
      <c r="BG242" s="263"/>
      <c r="BH242" s="246"/>
      <c r="BI242" s="228" cm="1">
        <f t="array" ref="BI242">INDEX(Use, $AH242, 4)</f>
        <v>7</v>
      </c>
      <c r="BJ242" s="228">
        <f t="shared" si="502"/>
        <v>32</v>
      </c>
      <c r="BK242" s="228">
        <f t="shared" si="305"/>
        <v>13</v>
      </c>
      <c r="BL242" s="228">
        <f t="shared" si="306"/>
        <v>0</v>
      </c>
      <c r="BM242" s="233" cm="1">
        <f t="array" ref="BM242">L242/IF($M242&gt;0, INDEX($AY$22:$BE$76, $M242+20, $AH242), 1)</f>
        <v>0</v>
      </c>
      <c r="BN242" s="229">
        <f t="shared" si="503"/>
        <v>0</v>
      </c>
      <c r="BO242" s="228">
        <v>35</v>
      </c>
      <c r="BP242" s="229">
        <f t="shared" si="504"/>
        <v>48</v>
      </c>
      <c r="BQ242" s="234">
        <f t="shared" si="505"/>
        <v>3.0748170731707316</v>
      </c>
      <c r="BR242" s="234" cm="1">
        <f t="array" ref="BR242">$BM242 * SUMPRODUCT(INDEX($AV$76:$AX$81,,$AI242),INDEX($AY$76:$BE$81,,$AH242), N($AU$76:$AU$81&gt;$AM242)) / BQ242 / 1000</f>
        <v>0</v>
      </c>
      <c r="BS242" s="231">
        <f t="shared" si="310"/>
        <v>30</v>
      </c>
      <c r="BT242" s="229">
        <f t="shared" si="506"/>
        <v>43</v>
      </c>
      <c r="BU242" s="234">
        <f t="shared" si="507"/>
        <v>3.5018750000000001</v>
      </c>
      <c r="BV242" s="234" cm="1">
        <f t="array" ref="BV242">$BM242 * IF($AH242&lt;=2,
SUMPRODUCT(INDEX($AV$71:$AX$75,,$AI242), INDEX($AY$71:$BE$75,,$AH242), 1 / ($BF$71:$BF$75*BU242 + (1-$BF$71:$BF$75)*BQ242), N($AU$71:$AU$75&gt;$AM242)),
SUMPRODUCT(INDEX($AV$66:$AX$75,,$AI242), INDEX($AY$66:$BE$75,,$AH242), 1 / ($BG$66:$BG$75*BU242 + (1-$BG$66:$BG$75)*BQ242), N($AU$66:$AU$75&gt;$AM242))
) / 1000</f>
        <v>0</v>
      </c>
      <c r="BW242" s="231">
        <f t="shared" si="313"/>
        <v>25</v>
      </c>
      <c r="BX242" s="229">
        <f t="shared" si="508"/>
        <v>38</v>
      </c>
      <c r="BY242" s="234">
        <f t="shared" si="509"/>
        <v>4.0666935483870965</v>
      </c>
      <c r="BZ242" s="234" cm="1">
        <f t="array" ref="BZ242">$BM242 * IF($AH242&lt;=2,
SUMPRODUCT(INDEX($AV$66:$AX$70,,$AI242), INDEX($AY$66:$BE$70,,$AH242), 1 / ($BF$66:$BF$70*BY242 + (1-$BF$66:$BF$70)*BU242), N($AU$66:$AU$70&gt;$AM242)),
SUMPRODUCT(INDEX($AV$56:$AX$65,,$AI242), INDEX($AY$56:$BE$65,,$AH242), 1 / ($BG$56:$BG$65*BY242 + (1-$BG$56:$BG$65)*BU242), N($AU$56:$AU$65&gt;$AM242))
) / 1000</f>
        <v>0</v>
      </c>
      <c r="CA242" s="231">
        <f t="shared" si="316"/>
        <v>20</v>
      </c>
      <c r="CB242" s="229">
        <f t="shared" si="510"/>
        <v>33</v>
      </c>
      <c r="CC242" s="234">
        <f t="shared" si="511"/>
        <v>4.8487499999999999</v>
      </c>
      <c r="CD242" s="234" cm="1">
        <f t="array" ref="CD242">$BM242 * IF($AH242&lt;=2,
SUMPRODUCT(INDEX($AV$61:$AX$65,,$AI242), INDEX($AY$61:$BE$65,,$AH242), 1 / ($BF$61:$BF$65*CC242 + (1-$BF$61:$BF$65)*BY242), N($AU$61:$AU$65&gt;$AM242)),
SUMPRODUCT(INDEX($AV$46:$AX$55,,$AI242), INDEX($AY$46:$BE$55,,$AH242), 1 / ($BG$46:$BG$55*CC242 + (1-$BG$46:$BG$55)*BY242), N($AU$46:$AU$55&gt;$AM242))
) / 1000</f>
        <v>0</v>
      </c>
      <c r="CE242" s="234" cm="1">
        <f t="array" ref="CE242">$BM242 * IF($AH242&lt;=2,
SUMPRODUCT(INDEX($AV$22:$AX$60,,$AI242), INDEX($AY$22:$BE$60,,$AH242), 1 / ($BF$22:$BF$60*CC242), N($AU$22:$AU$60&gt;$AM242)),
SUMPRODUCT(INDEX($AV$22:$AX$45,,$AI242), INDEX($AY$22:$BE$45,,$AH242), 1 / ($BG$22:$BG$45*CC242), N($AU$22:$AU$45&gt;$AM242))
) / 1000</f>
        <v>0</v>
      </c>
      <c r="CF242" s="229">
        <f t="shared" si="512"/>
        <v>0</v>
      </c>
      <c r="CG242" s="246"/>
      <c r="CH242" s="229">
        <f t="shared" si="513"/>
        <v>0</v>
      </c>
      <c r="CI242" s="228">
        <v>35</v>
      </c>
      <c r="CJ242" s="229">
        <f t="shared" si="514"/>
        <v>48</v>
      </c>
      <c r="CK242" s="234">
        <f t="shared" si="515"/>
        <v>3.0748170731707316</v>
      </c>
      <c r="CL242" s="234" cm="1">
        <f t="array" ref="CL242">$BM242 * SUMPRODUCT(INDEX($AV$76:$AX$81,,$AI242),INDEX($AY$76:$BE$81,,$AH242), N($AU$76:$AU$81&gt;$AM242)) / CK242 / 1000</f>
        <v>0</v>
      </c>
      <c r="CM242" s="231">
        <f t="shared" si="323"/>
        <v>30</v>
      </c>
      <c r="CN242" s="229">
        <f t="shared" si="516"/>
        <v>43</v>
      </c>
      <c r="CO242" s="234">
        <f t="shared" si="517"/>
        <v>3.5018750000000001</v>
      </c>
      <c r="CP242" s="234" cm="1">
        <f t="array" ref="CP242">$BM242 * IF($AH242&lt;=2,
SUMPRODUCT(INDEX($AV$71:$AX$75,,$AI242), INDEX($AY$71:$BE$75,,$AH242), 1 / ($BF$71:$BF$75*CO242 + (1-$BF$71:$BF$75)*CK242), N($AU$71:$AU$75&gt;$AM242)),
SUMPRODUCT(INDEX($AV$66:$AX$75,,$AI242), INDEX($AY$66:$BE$75,,$AH242), 1 / ($BG$66:$BG$75*CO242 + (1-$BG$66:$BG$75)*CK242), N($AU$66:$AU$75&gt;$AM242))
) / 1000</f>
        <v>0</v>
      </c>
      <c r="CQ242" s="231">
        <f t="shared" si="326"/>
        <v>25</v>
      </c>
      <c r="CR242" s="229">
        <f t="shared" si="518"/>
        <v>38</v>
      </c>
      <c r="CS242" s="234">
        <f t="shared" si="519"/>
        <v>4.0666935483870965</v>
      </c>
      <c r="CT242" s="234" cm="1">
        <f t="array" ref="CT242">$BM242 * IF($AH242&lt;=2,
SUMPRODUCT(INDEX($AV$66:$AX$70,,$AI242), INDEX($AY$66:$BE$70,,$AH242), 1 / ($BF$66:$BF$70*CS242 + (1-$BF$66:$BF$70)*CO242), N($AU$66:$AU$70&gt;$AM242)),
SUMPRODUCT(INDEX($AV$56:$AX$65,,$AI242), INDEX($AY$56:$BE$65,,$AH242), 1 / ($BG$56:$BG$65*CS242 + (1-$BG$56:$BG$65)*CO242), N($AU$56:$AU$65&gt;$AM242))
) / 1000</f>
        <v>0</v>
      </c>
      <c r="CU242" s="231">
        <f t="shared" si="329"/>
        <v>20</v>
      </c>
      <c r="CV242" s="229">
        <f t="shared" si="520"/>
        <v>33</v>
      </c>
      <c r="CW242" s="234">
        <f t="shared" si="521"/>
        <v>4.8487499999999999</v>
      </c>
      <c r="CX242" s="234" cm="1">
        <f t="array" ref="CX242">$BM242 * IF($AH242&lt;=2,
SUMPRODUCT(INDEX($AV$61:$AX$65,,$AI242), INDEX($AY$61:$BE$65,,$AH242), 1 / ($BF$61:$BF$65*CW242 + (1-$BF$61:$BF$65)*CS242), N($AU$61:$AU$65&gt;$AM242)),
SUMPRODUCT(INDEX($AV$46:$AX$55,,$AI242), INDEX($AY$46:$BE$55,,$AH242), 1 / ($BG$46:$BG$55*CW242 + (1-$BG$46:$BG$55)*CS242), N($AU$46:$AU$55&gt;$AM242))
) / 1000</f>
        <v>0</v>
      </c>
      <c r="CY242" s="234" cm="1">
        <f t="array" ref="CY242">$BM242 * IF($AH242&lt;=2,
SUMPRODUCT(INDEX($AV$22:$AX$60,,$AI242), INDEX($AY$22:$BE$60,,$AH242), 1 / ($BF$22:$BF$60*CW242), N($AU$22:$AU$60&gt;$AM242)),
SUMPRODUCT(INDEX($AV$22:$AX$45,,$AI242), INDEX($AY$22:$BE$45,,$AH242), 1 / ($BG$22:$BG$45*CW242), N($AU$22:$AU$45&gt;$AM242))
) / 1000</f>
        <v>0</v>
      </c>
      <c r="CZ242" s="229">
        <f t="shared" si="522"/>
        <v>0</v>
      </c>
      <c r="DA242" s="246"/>
    </row>
    <row r="243" spans="1:105" s="75" customFormat="1" ht="14.25" customHeight="1" x14ac:dyDescent="0.2">
      <c r="A243" s="230" t="b">
        <f t="shared" si="291"/>
        <v>0</v>
      </c>
      <c r="B243" s="253">
        <v>222</v>
      </c>
      <c r="C243" s="266"/>
      <c r="D243" s="266"/>
      <c r="E243" s="254"/>
      <c r="F243" s="255" t="str">
        <f>IF(ISBLANK(E243), "", VLOOKUP(E243, Z!$A$2:$C$4127, 3, FALSE))</f>
        <v/>
      </c>
      <c r="G243" s="256"/>
      <c r="H243" s="256"/>
      <c r="I243" s="256"/>
      <c r="J243" s="257"/>
      <c r="K243" s="258"/>
      <c r="L243" s="267"/>
      <c r="M243" s="268"/>
      <c r="N243" s="259" t="str" cm="1">
        <f t="array" ref="N243">IF($L243&gt;0, INDEX(Clean,1+AK243,$D$1), "")</f>
        <v/>
      </c>
      <c r="O243" s="260"/>
      <c r="P243" s="260"/>
      <c r="Q243" s="261"/>
      <c r="R243" s="264">
        <f t="shared" si="498"/>
        <v>0</v>
      </c>
      <c r="S243" s="259" t="str" cm="1">
        <f t="array" ref="S243">IF($L243&gt;0, INDEX(Clean,1+AL243,$D$1), "")</f>
        <v/>
      </c>
      <c r="T243" s="260"/>
      <c r="U243" s="260"/>
      <c r="V243" s="261"/>
      <c r="W243" s="267"/>
      <c r="X243" s="267"/>
      <c r="Y243" s="257"/>
      <c r="Z243" s="264">
        <f t="shared" si="499"/>
        <v>0</v>
      </c>
      <c r="AA243" s="269"/>
      <c r="AB243" s="266"/>
      <c r="AC243" s="254"/>
      <c r="AD243" s="255" t="str">
        <f>IF(ISBLANK(AC243), "", VLOOKUP(AC243, Z!$A$2:$C$4127, 3, FALSE))</f>
        <v/>
      </c>
      <c r="AE243" s="270"/>
      <c r="AF243" s="265">
        <f t="shared" si="500"/>
        <v>0</v>
      </c>
      <c r="AG243" s="246"/>
      <c r="AH243" s="228">
        <f t="shared" si="523"/>
        <v>1</v>
      </c>
      <c r="AI243" s="228">
        <f t="shared" si="524"/>
        <v>1</v>
      </c>
      <c r="AJ243" s="228">
        <f t="shared" si="525"/>
        <v>0</v>
      </c>
      <c r="AK243" s="228">
        <v>0</v>
      </c>
      <c r="AL243" s="228">
        <v>0</v>
      </c>
      <c r="AM243" s="228">
        <f t="shared" si="501"/>
        <v>-100</v>
      </c>
      <c r="AN243" s="228" cm="1">
        <f t="array" ref="AN243">IF(ISBLANK(G243), 1, IFERROR(MATCH(G243, INDEX(Kat,,1), 0), IFERROR(MATCH(Kat, INDEX(Use,,2), 0), MATCH(Kat, INDEX(Use,,3), 0))))</f>
        <v>1</v>
      </c>
      <c r="AO243" s="246"/>
      <c r="AP243" s="228" cm="1">
        <f t="array" ref="AP243">IF(W243&gt;0, INDEX(Kat, AN243,4), 0)</f>
        <v>0</v>
      </c>
      <c r="AQ243" s="228">
        <f t="shared" si="526"/>
        <v>0</v>
      </c>
      <c r="AR243" s="228" cm="1">
        <f t="array" ref="AR243">IF(X243&gt;0, INDEX(Kat, $AN243, 4+AQ243), 0)</f>
        <v>0</v>
      </c>
      <c r="AS243" s="228" cm="1">
        <f t="array" ref="AS243">IF(X243&gt;0, INDEX(Kat, $AN243, 9+AQ243), 0)</f>
        <v>0</v>
      </c>
      <c r="AT243" s="246"/>
      <c r="AU243" s="262"/>
      <c r="AV243" s="262"/>
      <c r="AW243" s="263"/>
      <c r="AX243" s="263"/>
      <c r="AY243" s="263"/>
      <c r="AZ243" s="263"/>
      <c r="BA243" s="263"/>
      <c r="BB243" s="263"/>
      <c r="BC243" s="263"/>
      <c r="BD243" s="263"/>
      <c r="BE243" s="263"/>
      <c r="BF243" s="263"/>
      <c r="BG243" s="263"/>
      <c r="BH243" s="246"/>
      <c r="BI243" s="228" cm="1">
        <f t="array" ref="BI243">INDEX(Use, $AH243, 4)</f>
        <v>7</v>
      </c>
      <c r="BJ243" s="228">
        <f t="shared" si="502"/>
        <v>32</v>
      </c>
      <c r="BK243" s="228">
        <f t="shared" si="305"/>
        <v>13</v>
      </c>
      <c r="BL243" s="228">
        <f t="shared" si="306"/>
        <v>0</v>
      </c>
      <c r="BM243" s="233" cm="1">
        <f t="array" ref="BM243">L243/IF($M243&gt;0, INDEX($AY$22:$BE$76, $M243+20, $AH243), 1)</f>
        <v>0</v>
      </c>
      <c r="BN243" s="229">
        <f t="shared" si="503"/>
        <v>0</v>
      </c>
      <c r="BO243" s="228">
        <v>35</v>
      </c>
      <c r="BP243" s="229">
        <f t="shared" si="504"/>
        <v>48</v>
      </c>
      <c r="BQ243" s="234">
        <f t="shared" si="505"/>
        <v>3.0748170731707316</v>
      </c>
      <c r="BR243" s="234" cm="1">
        <f t="array" ref="BR243">$BM243 * SUMPRODUCT(INDEX($AV$76:$AX$81,,$AI243),INDEX($AY$76:$BE$81,,$AH243), N($AU$76:$AU$81&gt;$AM243)) / BQ243 / 1000</f>
        <v>0</v>
      </c>
      <c r="BS243" s="231">
        <f t="shared" si="310"/>
        <v>30</v>
      </c>
      <c r="BT243" s="229">
        <f t="shared" si="506"/>
        <v>43</v>
      </c>
      <c r="BU243" s="234">
        <f t="shared" si="507"/>
        <v>3.5018750000000001</v>
      </c>
      <c r="BV243" s="234" cm="1">
        <f t="array" ref="BV243">$BM243 * IF($AH243&lt;=2,
SUMPRODUCT(INDEX($AV$71:$AX$75,,$AI243), INDEX($AY$71:$BE$75,,$AH243), 1 / ($BF$71:$BF$75*BU243 + (1-$BF$71:$BF$75)*BQ243), N($AU$71:$AU$75&gt;$AM243)),
SUMPRODUCT(INDEX($AV$66:$AX$75,,$AI243), INDEX($AY$66:$BE$75,,$AH243), 1 / ($BG$66:$BG$75*BU243 + (1-$BG$66:$BG$75)*BQ243), N($AU$66:$AU$75&gt;$AM243))
) / 1000</f>
        <v>0</v>
      </c>
      <c r="BW243" s="231">
        <f t="shared" si="313"/>
        <v>25</v>
      </c>
      <c r="BX243" s="229">
        <f t="shared" si="508"/>
        <v>38</v>
      </c>
      <c r="BY243" s="234">
        <f t="shared" si="509"/>
        <v>4.0666935483870965</v>
      </c>
      <c r="BZ243" s="234" cm="1">
        <f t="array" ref="BZ243">$BM243 * IF($AH243&lt;=2,
SUMPRODUCT(INDEX($AV$66:$AX$70,,$AI243), INDEX($AY$66:$BE$70,,$AH243), 1 / ($BF$66:$BF$70*BY243 + (1-$BF$66:$BF$70)*BU243), N($AU$66:$AU$70&gt;$AM243)),
SUMPRODUCT(INDEX($AV$56:$AX$65,,$AI243), INDEX($AY$56:$BE$65,,$AH243), 1 / ($BG$56:$BG$65*BY243 + (1-$BG$56:$BG$65)*BU243), N($AU$56:$AU$65&gt;$AM243))
) / 1000</f>
        <v>0</v>
      </c>
      <c r="CA243" s="231">
        <f t="shared" si="316"/>
        <v>20</v>
      </c>
      <c r="CB243" s="229">
        <f t="shared" si="510"/>
        <v>33</v>
      </c>
      <c r="CC243" s="234">
        <f t="shared" si="511"/>
        <v>4.8487499999999999</v>
      </c>
      <c r="CD243" s="234" cm="1">
        <f t="array" ref="CD243">$BM243 * IF($AH243&lt;=2,
SUMPRODUCT(INDEX($AV$61:$AX$65,,$AI243), INDEX($AY$61:$BE$65,,$AH243), 1 / ($BF$61:$BF$65*CC243 + (1-$BF$61:$BF$65)*BY243), N($AU$61:$AU$65&gt;$AM243)),
SUMPRODUCT(INDEX($AV$46:$AX$55,,$AI243), INDEX($AY$46:$BE$55,,$AH243), 1 / ($BG$46:$BG$55*CC243 + (1-$BG$46:$BG$55)*BY243), N($AU$46:$AU$55&gt;$AM243))
) / 1000</f>
        <v>0</v>
      </c>
      <c r="CE243" s="234" cm="1">
        <f t="array" ref="CE243">$BM243 * IF($AH243&lt;=2,
SUMPRODUCT(INDEX($AV$22:$AX$60,,$AI243), INDEX($AY$22:$BE$60,,$AH243), 1 / ($BF$22:$BF$60*CC243), N($AU$22:$AU$60&gt;$AM243)),
SUMPRODUCT(INDEX($AV$22:$AX$45,,$AI243), INDEX($AY$22:$BE$45,,$AH243), 1 / ($BG$22:$BG$45*CC243), N($AU$22:$AU$45&gt;$AM243))
) / 1000</f>
        <v>0</v>
      </c>
      <c r="CF243" s="229">
        <f t="shared" si="512"/>
        <v>0</v>
      </c>
      <c r="CG243" s="246"/>
      <c r="CH243" s="229">
        <f t="shared" si="513"/>
        <v>0</v>
      </c>
      <c r="CI243" s="228">
        <v>35</v>
      </c>
      <c r="CJ243" s="229">
        <f t="shared" si="514"/>
        <v>48</v>
      </c>
      <c r="CK243" s="234">
        <f t="shared" si="515"/>
        <v>3.0748170731707316</v>
      </c>
      <c r="CL243" s="234" cm="1">
        <f t="array" ref="CL243">$BM243 * SUMPRODUCT(INDEX($AV$76:$AX$81,,$AI243),INDEX($AY$76:$BE$81,,$AH243), N($AU$76:$AU$81&gt;$AM243)) / CK243 / 1000</f>
        <v>0</v>
      </c>
      <c r="CM243" s="231">
        <f t="shared" si="323"/>
        <v>30</v>
      </c>
      <c r="CN243" s="229">
        <f t="shared" si="516"/>
        <v>43</v>
      </c>
      <c r="CO243" s="234">
        <f t="shared" si="517"/>
        <v>3.5018750000000001</v>
      </c>
      <c r="CP243" s="234" cm="1">
        <f t="array" ref="CP243">$BM243 * IF($AH243&lt;=2,
SUMPRODUCT(INDEX($AV$71:$AX$75,,$AI243), INDEX($AY$71:$BE$75,,$AH243), 1 / ($BF$71:$BF$75*CO243 + (1-$BF$71:$BF$75)*CK243), N($AU$71:$AU$75&gt;$AM243)),
SUMPRODUCT(INDEX($AV$66:$AX$75,,$AI243), INDEX($AY$66:$BE$75,,$AH243), 1 / ($BG$66:$BG$75*CO243 + (1-$BG$66:$BG$75)*CK243), N($AU$66:$AU$75&gt;$AM243))
) / 1000</f>
        <v>0</v>
      </c>
      <c r="CQ243" s="231">
        <f t="shared" si="326"/>
        <v>25</v>
      </c>
      <c r="CR243" s="229">
        <f t="shared" si="518"/>
        <v>38</v>
      </c>
      <c r="CS243" s="234">
        <f t="shared" si="519"/>
        <v>4.0666935483870965</v>
      </c>
      <c r="CT243" s="234" cm="1">
        <f t="array" ref="CT243">$BM243 * IF($AH243&lt;=2,
SUMPRODUCT(INDEX($AV$66:$AX$70,,$AI243), INDEX($AY$66:$BE$70,,$AH243), 1 / ($BF$66:$BF$70*CS243 + (1-$BF$66:$BF$70)*CO243), N($AU$66:$AU$70&gt;$AM243)),
SUMPRODUCT(INDEX($AV$56:$AX$65,,$AI243), INDEX($AY$56:$BE$65,,$AH243), 1 / ($BG$56:$BG$65*CS243 + (1-$BG$56:$BG$65)*CO243), N($AU$56:$AU$65&gt;$AM243))
) / 1000</f>
        <v>0</v>
      </c>
      <c r="CU243" s="231">
        <f t="shared" si="329"/>
        <v>20</v>
      </c>
      <c r="CV243" s="229">
        <f t="shared" si="520"/>
        <v>33</v>
      </c>
      <c r="CW243" s="234">
        <f t="shared" si="521"/>
        <v>4.8487499999999999</v>
      </c>
      <c r="CX243" s="234" cm="1">
        <f t="array" ref="CX243">$BM243 * IF($AH243&lt;=2,
SUMPRODUCT(INDEX($AV$61:$AX$65,,$AI243), INDEX($AY$61:$BE$65,,$AH243), 1 / ($BF$61:$BF$65*CW243 + (1-$BF$61:$BF$65)*CS243), N($AU$61:$AU$65&gt;$AM243)),
SUMPRODUCT(INDEX($AV$46:$AX$55,,$AI243), INDEX($AY$46:$BE$55,,$AH243), 1 / ($BG$46:$BG$55*CW243 + (1-$BG$46:$BG$55)*CS243), N($AU$46:$AU$55&gt;$AM243))
) / 1000</f>
        <v>0</v>
      </c>
      <c r="CY243" s="234" cm="1">
        <f t="array" ref="CY243">$BM243 * IF($AH243&lt;=2,
SUMPRODUCT(INDEX($AV$22:$AX$60,,$AI243), INDEX($AY$22:$BE$60,,$AH243), 1 / ($BF$22:$BF$60*CW243), N($AU$22:$AU$60&gt;$AM243)),
SUMPRODUCT(INDEX($AV$22:$AX$45,,$AI243), INDEX($AY$22:$BE$45,,$AH243), 1 / ($BG$22:$BG$45*CW243), N($AU$22:$AU$45&gt;$AM243))
) / 1000</f>
        <v>0</v>
      </c>
      <c r="CZ243" s="229">
        <f t="shared" si="522"/>
        <v>0</v>
      </c>
      <c r="DA243" s="246"/>
    </row>
    <row r="244" spans="1:105" s="75" customFormat="1" ht="14.25" customHeight="1" x14ac:dyDescent="0.2">
      <c r="A244" s="230" t="b">
        <f t="shared" si="291"/>
        <v>0</v>
      </c>
      <c r="B244" s="253">
        <v>223</v>
      </c>
      <c r="C244" s="266"/>
      <c r="D244" s="266"/>
      <c r="E244" s="254"/>
      <c r="F244" s="255" t="str">
        <f>IF(ISBLANK(E244), "", VLOOKUP(E244, Z!$A$2:$C$4127, 3, FALSE))</f>
        <v/>
      </c>
      <c r="G244" s="256"/>
      <c r="H244" s="256"/>
      <c r="I244" s="256"/>
      <c r="J244" s="257"/>
      <c r="K244" s="258"/>
      <c r="L244" s="267"/>
      <c r="M244" s="268"/>
      <c r="N244" s="259" t="str" cm="1">
        <f t="array" ref="N244">IF($L244&gt;0, INDEX(Clean,1+AK244,$D$1), "")</f>
        <v/>
      </c>
      <c r="O244" s="260"/>
      <c r="P244" s="260"/>
      <c r="Q244" s="261"/>
      <c r="R244" s="264">
        <f t="shared" si="498"/>
        <v>0</v>
      </c>
      <c r="S244" s="259" t="str" cm="1">
        <f t="array" ref="S244">IF($L244&gt;0, INDEX(Clean,1+AL244,$D$1), "")</f>
        <v/>
      </c>
      <c r="T244" s="260"/>
      <c r="U244" s="260"/>
      <c r="V244" s="261"/>
      <c r="W244" s="267"/>
      <c r="X244" s="267"/>
      <c r="Y244" s="257"/>
      <c r="Z244" s="264">
        <f t="shared" si="499"/>
        <v>0</v>
      </c>
      <c r="AA244" s="269"/>
      <c r="AB244" s="266"/>
      <c r="AC244" s="254"/>
      <c r="AD244" s="255" t="str">
        <f>IF(ISBLANK(AC244), "", VLOOKUP(AC244, Z!$A$2:$C$4127, 3, FALSE))</f>
        <v/>
      </c>
      <c r="AE244" s="270"/>
      <c r="AF244" s="265">
        <f t="shared" si="500"/>
        <v>0</v>
      </c>
      <c r="AG244" s="246"/>
      <c r="AH244" s="228">
        <f t="shared" si="523"/>
        <v>1</v>
      </c>
      <c r="AI244" s="228">
        <f t="shared" si="524"/>
        <v>1</v>
      </c>
      <c r="AJ244" s="228">
        <f t="shared" si="525"/>
        <v>0</v>
      </c>
      <c r="AK244" s="228">
        <v>0</v>
      </c>
      <c r="AL244" s="228">
        <v>0</v>
      </c>
      <c r="AM244" s="228">
        <f t="shared" si="501"/>
        <v>-100</v>
      </c>
      <c r="AN244" s="228" cm="1">
        <f t="array" ref="AN244">IF(ISBLANK(G244), 1, IFERROR(MATCH(G244, INDEX(Kat,,1), 0), IFERROR(MATCH(Kat, INDEX(Use,,2), 0), MATCH(Kat, INDEX(Use,,3), 0))))</f>
        <v>1</v>
      </c>
      <c r="AO244" s="246"/>
      <c r="AP244" s="228" cm="1">
        <f t="array" ref="AP244">IF(W244&gt;0, INDEX(Kat, AN244,4), 0)</f>
        <v>0</v>
      </c>
      <c r="AQ244" s="228">
        <f t="shared" si="526"/>
        <v>0</v>
      </c>
      <c r="AR244" s="228" cm="1">
        <f t="array" ref="AR244">IF(X244&gt;0, INDEX(Kat, $AN244, 4+AQ244), 0)</f>
        <v>0</v>
      </c>
      <c r="AS244" s="228" cm="1">
        <f t="array" ref="AS244">IF(X244&gt;0, INDEX(Kat, $AN244, 9+AQ244), 0)</f>
        <v>0</v>
      </c>
      <c r="AT244" s="246"/>
      <c r="AU244" s="262"/>
      <c r="AV244" s="262"/>
      <c r="AW244" s="263"/>
      <c r="AX244" s="263"/>
      <c r="AY244" s="263"/>
      <c r="AZ244" s="263"/>
      <c r="BA244" s="263"/>
      <c r="BB244" s="263"/>
      <c r="BC244" s="263"/>
      <c r="BD244" s="263"/>
      <c r="BE244" s="263"/>
      <c r="BF244" s="263"/>
      <c r="BG244" s="263"/>
      <c r="BH244" s="246"/>
      <c r="BI244" s="228" cm="1">
        <f t="array" ref="BI244">INDEX(Use, $AH244, 4)</f>
        <v>7</v>
      </c>
      <c r="BJ244" s="228">
        <f t="shared" si="502"/>
        <v>32</v>
      </c>
      <c r="BK244" s="228">
        <f t="shared" si="305"/>
        <v>13</v>
      </c>
      <c r="BL244" s="228">
        <f t="shared" si="306"/>
        <v>0</v>
      </c>
      <c r="BM244" s="233" cm="1">
        <f t="array" ref="BM244">L244/IF($M244&gt;0, INDEX($AY$22:$BE$76, $M244+20, $AH244), 1)</f>
        <v>0</v>
      </c>
      <c r="BN244" s="229">
        <f t="shared" si="503"/>
        <v>0</v>
      </c>
      <c r="BO244" s="228">
        <v>35</v>
      </c>
      <c r="BP244" s="229">
        <f t="shared" si="504"/>
        <v>48</v>
      </c>
      <c r="BQ244" s="234">
        <f t="shared" si="505"/>
        <v>3.0748170731707316</v>
      </c>
      <c r="BR244" s="234" cm="1">
        <f t="array" ref="BR244">$BM244 * SUMPRODUCT(INDEX($AV$76:$AX$81,,$AI244),INDEX($AY$76:$BE$81,,$AH244), N($AU$76:$AU$81&gt;$AM244)) / BQ244 / 1000</f>
        <v>0</v>
      </c>
      <c r="BS244" s="231">
        <f t="shared" si="310"/>
        <v>30</v>
      </c>
      <c r="BT244" s="229">
        <f t="shared" si="506"/>
        <v>43</v>
      </c>
      <c r="BU244" s="234">
        <f t="shared" si="507"/>
        <v>3.5018750000000001</v>
      </c>
      <c r="BV244" s="234" cm="1">
        <f t="array" ref="BV244">$BM244 * IF($AH244&lt;=2,
SUMPRODUCT(INDEX($AV$71:$AX$75,,$AI244), INDEX($AY$71:$BE$75,,$AH244), 1 / ($BF$71:$BF$75*BU244 + (1-$BF$71:$BF$75)*BQ244), N($AU$71:$AU$75&gt;$AM244)),
SUMPRODUCT(INDEX($AV$66:$AX$75,,$AI244), INDEX($AY$66:$BE$75,,$AH244), 1 / ($BG$66:$BG$75*BU244 + (1-$BG$66:$BG$75)*BQ244), N($AU$66:$AU$75&gt;$AM244))
) / 1000</f>
        <v>0</v>
      </c>
      <c r="BW244" s="231">
        <f t="shared" si="313"/>
        <v>25</v>
      </c>
      <c r="BX244" s="229">
        <f t="shared" si="508"/>
        <v>38</v>
      </c>
      <c r="BY244" s="234">
        <f t="shared" si="509"/>
        <v>4.0666935483870965</v>
      </c>
      <c r="BZ244" s="234" cm="1">
        <f t="array" ref="BZ244">$BM244 * IF($AH244&lt;=2,
SUMPRODUCT(INDEX($AV$66:$AX$70,,$AI244), INDEX($AY$66:$BE$70,,$AH244), 1 / ($BF$66:$BF$70*BY244 + (1-$BF$66:$BF$70)*BU244), N($AU$66:$AU$70&gt;$AM244)),
SUMPRODUCT(INDEX($AV$56:$AX$65,,$AI244), INDEX($AY$56:$BE$65,,$AH244), 1 / ($BG$56:$BG$65*BY244 + (1-$BG$56:$BG$65)*BU244), N($AU$56:$AU$65&gt;$AM244))
) / 1000</f>
        <v>0</v>
      </c>
      <c r="CA244" s="231">
        <f t="shared" si="316"/>
        <v>20</v>
      </c>
      <c r="CB244" s="229">
        <f t="shared" si="510"/>
        <v>33</v>
      </c>
      <c r="CC244" s="234">
        <f t="shared" si="511"/>
        <v>4.8487499999999999</v>
      </c>
      <c r="CD244" s="234" cm="1">
        <f t="array" ref="CD244">$BM244 * IF($AH244&lt;=2,
SUMPRODUCT(INDEX($AV$61:$AX$65,,$AI244), INDEX($AY$61:$BE$65,,$AH244), 1 / ($BF$61:$BF$65*CC244 + (1-$BF$61:$BF$65)*BY244), N($AU$61:$AU$65&gt;$AM244)),
SUMPRODUCT(INDEX($AV$46:$AX$55,,$AI244), INDEX($AY$46:$BE$55,,$AH244), 1 / ($BG$46:$BG$55*CC244 + (1-$BG$46:$BG$55)*BY244), N($AU$46:$AU$55&gt;$AM244))
) / 1000</f>
        <v>0</v>
      </c>
      <c r="CE244" s="234" cm="1">
        <f t="array" ref="CE244">$BM244 * IF($AH244&lt;=2,
SUMPRODUCT(INDEX($AV$22:$AX$60,,$AI244), INDEX($AY$22:$BE$60,,$AH244), 1 / ($BF$22:$BF$60*CC244), N($AU$22:$AU$60&gt;$AM244)),
SUMPRODUCT(INDEX($AV$22:$AX$45,,$AI244), INDEX($AY$22:$BE$45,,$AH244), 1 / ($BG$22:$BG$45*CC244), N($AU$22:$AU$45&gt;$AM244))
) / 1000</f>
        <v>0</v>
      </c>
      <c r="CF244" s="229">
        <f t="shared" si="512"/>
        <v>0</v>
      </c>
      <c r="CG244" s="246"/>
      <c r="CH244" s="229">
        <f t="shared" si="513"/>
        <v>0</v>
      </c>
      <c r="CI244" s="228">
        <v>35</v>
      </c>
      <c r="CJ244" s="229">
        <f t="shared" si="514"/>
        <v>48</v>
      </c>
      <c r="CK244" s="234">
        <f t="shared" si="515"/>
        <v>3.0748170731707316</v>
      </c>
      <c r="CL244" s="234" cm="1">
        <f t="array" ref="CL244">$BM244 * SUMPRODUCT(INDEX($AV$76:$AX$81,,$AI244),INDEX($AY$76:$BE$81,,$AH244), N($AU$76:$AU$81&gt;$AM244)) / CK244 / 1000</f>
        <v>0</v>
      </c>
      <c r="CM244" s="231">
        <f t="shared" si="323"/>
        <v>30</v>
      </c>
      <c r="CN244" s="229">
        <f t="shared" si="516"/>
        <v>43</v>
      </c>
      <c r="CO244" s="234">
        <f t="shared" si="517"/>
        <v>3.5018750000000001</v>
      </c>
      <c r="CP244" s="234" cm="1">
        <f t="array" ref="CP244">$BM244 * IF($AH244&lt;=2,
SUMPRODUCT(INDEX($AV$71:$AX$75,,$AI244), INDEX($AY$71:$BE$75,,$AH244), 1 / ($BF$71:$BF$75*CO244 + (1-$BF$71:$BF$75)*CK244), N($AU$71:$AU$75&gt;$AM244)),
SUMPRODUCT(INDEX($AV$66:$AX$75,,$AI244), INDEX($AY$66:$BE$75,,$AH244), 1 / ($BG$66:$BG$75*CO244 + (1-$BG$66:$BG$75)*CK244), N($AU$66:$AU$75&gt;$AM244))
) / 1000</f>
        <v>0</v>
      </c>
      <c r="CQ244" s="231">
        <f t="shared" si="326"/>
        <v>25</v>
      </c>
      <c r="CR244" s="229">
        <f t="shared" si="518"/>
        <v>38</v>
      </c>
      <c r="CS244" s="234">
        <f t="shared" si="519"/>
        <v>4.0666935483870965</v>
      </c>
      <c r="CT244" s="234" cm="1">
        <f t="array" ref="CT244">$BM244 * IF($AH244&lt;=2,
SUMPRODUCT(INDEX($AV$66:$AX$70,,$AI244), INDEX($AY$66:$BE$70,,$AH244), 1 / ($BF$66:$BF$70*CS244 + (1-$BF$66:$BF$70)*CO244), N($AU$66:$AU$70&gt;$AM244)),
SUMPRODUCT(INDEX($AV$56:$AX$65,,$AI244), INDEX($AY$56:$BE$65,,$AH244), 1 / ($BG$56:$BG$65*CS244 + (1-$BG$56:$BG$65)*CO244), N($AU$56:$AU$65&gt;$AM244))
) / 1000</f>
        <v>0</v>
      </c>
      <c r="CU244" s="231">
        <f t="shared" si="329"/>
        <v>20</v>
      </c>
      <c r="CV244" s="229">
        <f t="shared" si="520"/>
        <v>33</v>
      </c>
      <c r="CW244" s="234">
        <f t="shared" si="521"/>
        <v>4.8487499999999999</v>
      </c>
      <c r="CX244" s="234" cm="1">
        <f t="array" ref="CX244">$BM244 * IF($AH244&lt;=2,
SUMPRODUCT(INDEX($AV$61:$AX$65,,$AI244), INDEX($AY$61:$BE$65,,$AH244), 1 / ($BF$61:$BF$65*CW244 + (1-$BF$61:$BF$65)*CS244), N($AU$61:$AU$65&gt;$AM244)),
SUMPRODUCT(INDEX($AV$46:$AX$55,,$AI244), INDEX($AY$46:$BE$55,,$AH244), 1 / ($BG$46:$BG$55*CW244 + (1-$BG$46:$BG$55)*CS244), N($AU$46:$AU$55&gt;$AM244))
) / 1000</f>
        <v>0</v>
      </c>
      <c r="CY244" s="234" cm="1">
        <f t="array" ref="CY244">$BM244 * IF($AH244&lt;=2,
SUMPRODUCT(INDEX($AV$22:$AX$60,,$AI244), INDEX($AY$22:$BE$60,,$AH244), 1 / ($BF$22:$BF$60*CW244), N($AU$22:$AU$60&gt;$AM244)),
SUMPRODUCT(INDEX($AV$22:$AX$45,,$AI244), INDEX($AY$22:$BE$45,,$AH244), 1 / ($BG$22:$BG$45*CW244), N($AU$22:$AU$45&gt;$AM244))
) / 1000</f>
        <v>0</v>
      </c>
      <c r="CZ244" s="229">
        <f t="shared" si="522"/>
        <v>0</v>
      </c>
      <c r="DA244" s="246"/>
    </row>
    <row r="245" spans="1:105" s="75" customFormat="1" ht="14.25" customHeight="1" x14ac:dyDescent="0.2">
      <c r="A245" s="230" t="b">
        <f t="shared" si="291"/>
        <v>0</v>
      </c>
      <c r="B245" s="253">
        <v>224</v>
      </c>
      <c r="C245" s="266"/>
      <c r="D245" s="266"/>
      <c r="E245" s="254"/>
      <c r="F245" s="255" t="str">
        <f>IF(ISBLANK(E245), "", VLOOKUP(E245, Z!$A$2:$C$4127, 3, FALSE))</f>
        <v/>
      </c>
      <c r="G245" s="256"/>
      <c r="H245" s="256"/>
      <c r="I245" s="256"/>
      <c r="J245" s="257"/>
      <c r="K245" s="258"/>
      <c r="L245" s="267"/>
      <c r="M245" s="268"/>
      <c r="N245" s="259" t="str" cm="1">
        <f t="array" ref="N245">IF($L245&gt;0, INDEX(Clean,1+AK245,$D$1), "")</f>
        <v/>
      </c>
      <c r="O245" s="260"/>
      <c r="P245" s="260"/>
      <c r="Q245" s="261"/>
      <c r="R245" s="264">
        <f t="shared" si="498"/>
        <v>0</v>
      </c>
      <c r="S245" s="259" t="str" cm="1">
        <f t="array" ref="S245">IF($L245&gt;0, INDEX(Clean,1+AL245,$D$1), "")</f>
        <v/>
      </c>
      <c r="T245" s="260"/>
      <c r="U245" s="260"/>
      <c r="V245" s="261"/>
      <c r="W245" s="267"/>
      <c r="X245" s="267"/>
      <c r="Y245" s="257"/>
      <c r="Z245" s="264">
        <f t="shared" si="499"/>
        <v>0</v>
      </c>
      <c r="AA245" s="269"/>
      <c r="AB245" s="266"/>
      <c r="AC245" s="254"/>
      <c r="AD245" s="255" t="str">
        <f>IF(ISBLANK(AC245), "", VLOOKUP(AC245, Z!$A$2:$C$4127, 3, FALSE))</f>
        <v/>
      </c>
      <c r="AE245" s="270"/>
      <c r="AF245" s="265">
        <f t="shared" si="500"/>
        <v>0</v>
      </c>
      <c r="AG245" s="246"/>
      <c r="AH245" s="228">
        <f t="shared" si="523"/>
        <v>1</v>
      </c>
      <c r="AI245" s="228">
        <f t="shared" si="524"/>
        <v>1</v>
      </c>
      <c r="AJ245" s="228">
        <f t="shared" si="525"/>
        <v>0</v>
      </c>
      <c r="AK245" s="228">
        <v>0</v>
      </c>
      <c r="AL245" s="228">
        <v>0</v>
      </c>
      <c r="AM245" s="228">
        <f t="shared" si="501"/>
        <v>-100</v>
      </c>
      <c r="AN245" s="228" cm="1">
        <f t="array" ref="AN245">IF(ISBLANK(G245), 1, IFERROR(MATCH(G245, INDEX(Kat,,1), 0), IFERROR(MATCH(Kat, INDEX(Use,,2), 0), MATCH(Kat, INDEX(Use,,3), 0))))</f>
        <v>1</v>
      </c>
      <c r="AO245" s="246"/>
      <c r="AP245" s="228" cm="1">
        <f t="array" ref="AP245">IF(W245&gt;0, INDEX(Kat, AN245,4), 0)</f>
        <v>0</v>
      </c>
      <c r="AQ245" s="228">
        <f t="shared" si="526"/>
        <v>0</v>
      </c>
      <c r="AR245" s="228" cm="1">
        <f t="array" ref="AR245">IF(X245&gt;0, INDEX(Kat, $AN245, 4+AQ245), 0)</f>
        <v>0</v>
      </c>
      <c r="AS245" s="228" cm="1">
        <f t="array" ref="AS245">IF(X245&gt;0, INDEX(Kat, $AN245, 9+AQ245), 0)</f>
        <v>0</v>
      </c>
      <c r="AT245" s="246"/>
      <c r="AU245" s="262"/>
      <c r="AV245" s="262"/>
      <c r="AW245" s="263"/>
      <c r="AX245" s="263"/>
      <c r="AY245" s="263"/>
      <c r="AZ245" s="263"/>
      <c r="BA245" s="263"/>
      <c r="BB245" s="263"/>
      <c r="BC245" s="263"/>
      <c r="BD245" s="263"/>
      <c r="BE245" s="263"/>
      <c r="BF245" s="263"/>
      <c r="BG245" s="263"/>
      <c r="BH245" s="246"/>
      <c r="BI245" s="228" cm="1">
        <f t="array" ref="BI245">INDEX(Use, $AH245, 4)</f>
        <v>7</v>
      </c>
      <c r="BJ245" s="228">
        <f t="shared" si="502"/>
        <v>32</v>
      </c>
      <c r="BK245" s="228">
        <f t="shared" si="305"/>
        <v>13</v>
      </c>
      <c r="BL245" s="228">
        <f t="shared" si="306"/>
        <v>0</v>
      </c>
      <c r="BM245" s="233" cm="1">
        <f t="array" ref="BM245">L245/IF($M245&gt;0, INDEX($AY$22:$BE$76, $M245+20, $AH245), 1)</f>
        <v>0</v>
      </c>
      <c r="BN245" s="229">
        <f t="shared" si="503"/>
        <v>0</v>
      </c>
      <c r="BO245" s="228">
        <v>35</v>
      </c>
      <c r="BP245" s="229">
        <f t="shared" si="504"/>
        <v>48</v>
      </c>
      <c r="BQ245" s="234">
        <f t="shared" si="505"/>
        <v>3.0748170731707316</v>
      </c>
      <c r="BR245" s="234" cm="1">
        <f t="array" ref="BR245">$BM245 * SUMPRODUCT(INDEX($AV$76:$AX$81,,$AI245),INDEX($AY$76:$BE$81,,$AH245), N($AU$76:$AU$81&gt;$AM245)) / BQ245 / 1000</f>
        <v>0</v>
      </c>
      <c r="BS245" s="231">
        <f t="shared" si="310"/>
        <v>30</v>
      </c>
      <c r="BT245" s="229">
        <f t="shared" si="506"/>
        <v>43</v>
      </c>
      <c r="BU245" s="234">
        <f t="shared" si="507"/>
        <v>3.5018750000000001</v>
      </c>
      <c r="BV245" s="234" cm="1">
        <f t="array" ref="BV245">$BM245 * IF($AH245&lt;=2,
SUMPRODUCT(INDEX($AV$71:$AX$75,,$AI245), INDEX($AY$71:$BE$75,,$AH245), 1 / ($BF$71:$BF$75*BU245 + (1-$BF$71:$BF$75)*BQ245), N($AU$71:$AU$75&gt;$AM245)),
SUMPRODUCT(INDEX($AV$66:$AX$75,,$AI245), INDEX($AY$66:$BE$75,,$AH245), 1 / ($BG$66:$BG$75*BU245 + (1-$BG$66:$BG$75)*BQ245), N($AU$66:$AU$75&gt;$AM245))
) / 1000</f>
        <v>0</v>
      </c>
      <c r="BW245" s="231">
        <f t="shared" si="313"/>
        <v>25</v>
      </c>
      <c r="BX245" s="229">
        <f t="shared" si="508"/>
        <v>38</v>
      </c>
      <c r="BY245" s="234">
        <f t="shared" si="509"/>
        <v>4.0666935483870965</v>
      </c>
      <c r="BZ245" s="234" cm="1">
        <f t="array" ref="BZ245">$BM245 * IF($AH245&lt;=2,
SUMPRODUCT(INDEX($AV$66:$AX$70,,$AI245), INDEX($AY$66:$BE$70,,$AH245), 1 / ($BF$66:$BF$70*BY245 + (1-$BF$66:$BF$70)*BU245), N($AU$66:$AU$70&gt;$AM245)),
SUMPRODUCT(INDEX($AV$56:$AX$65,,$AI245), INDEX($AY$56:$BE$65,,$AH245), 1 / ($BG$56:$BG$65*BY245 + (1-$BG$56:$BG$65)*BU245), N($AU$56:$AU$65&gt;$AM245))
) / 1000</f>
        <v>0</v>
      </c>
      <c r="CA245" s="231">
        <f t="shared" si="316"/>
        <v>20</v>
      </c>
      <c r="CB245" s="229">
        <f t="shared" si="510"/>
        <v>33</v>
      </c>
      <c r="CC245" s="234">
        <f t="shared" si="511"/>
        <v>4.8487499999999999</v>
      </c>
      <c r="CD245" s="234" cm="1">
        <f t="array" ref="CD245">$BM245 * IF($AH245&lt;=2,
SUMPRODUCT(INDEX($AV$61:$AX$65,,$AI245), INDEX($AY$61:$BE$65,,$AH245), 1 / ($BF$61:$BF$65*CC245 + (1-$BF$61:$BF$65)*BY245), N($AU$61:$AU$65&gt;$AM245)),
SUMPRODUCT(INDEX($AV$46:$AX$55,,$AI245), INDEX($AY$46:$BE$55,,$AH245), 1 / ($BG$46:$BG$55*CC245 + (1-$BG$46:$BG$55)*BY245), N($AU$46:$AU$55&gt;$AM245))
) / 1000</f>
        <v>0</v>
      </c>
      <c r="CE245" s="234" cm="1">
        <f t="array" ref="CE245">$BM245 * IF($AH245&lt;=2,
SUMPRODUCT(INDEX($AV$22:$AX$60,,$AI245), INDEX($AY$22:$BE$60,,$AH245), 1 / ($BF$22:$BF$60*CC245), N($AU$22:$AU$60&gt;$AM245)),
SUMPRODUCT(INDEX($AV$22:$AX$45,,$AI245), INDEX($AY$22:$BE$45,,$AH245), 1 / ($BG$22:$BG$45*CC245), N($AU$22:$AU$45&gt;$AM245))
) / 1000</f>
        <v>0</v>
      </c>
      <c r="CF245" s="229">
        <f t="shared" si="512"/>
        <v>0</v>
      </c>
      <c r="CG245" s="246"/>
      <c r="CH245" s="229">
        <f t="shared" si="513"/>
        <v>0</v>
      </c>
      <c r="CI245" s="228">
        <v>35</v>
      </c>
      <c r="CJ245" s="229">
        <f t="shared" si="514"/>
        <v>48</v>
      </c>
      <c r="CK245" s="234">
        <f t="shared" si="515"/>
        <v>3.0748170731707316</v>
      </c>
      <c r="CL245" s="234" cm="1">
        <f t="array" ref="CL245">$BM245 * SUMPRODUCT(INDEX($AV$76:$AX$81,,$AI245),INDEX($AY$76:$BE$81,,$AH245), N($AU$76:$AU$81&gt;$AM245)) / CK245 / 1000</f>
        <v>0</v>
      </c>
      <c r="CM245" s="231">
        <f t="shared" si="323"/>
        <v>30</v>
      </c>
      <c r="CN245" s="229">
        <f t="shared" si="516"/>
        <v>43</v>
      </c>
      <c r="CO245" s="234">
        <f t="shared" si="517"/>
        <v>3.5018750000000001</v>
      </c>
      <c r="CP245" s="234" cm="1">
        <f t="array" ref="CP245">$BM245 * IF($AH245&lt;=2,
SUMPRODUCT(INDEX($AV$71:$AX$75,,$AI245), INDEX($AY$71:$BE$75,,$AH245), 1 / ($BF$71:$BF$75*CO245 + (1-$BF$71:$BF$75)*CK245), N($AU$71:$AU$75&gt;$AM245)),
SUMPRODUCT(INDEX($AV$66:$AX$75,,$AI245), INDEX($AY$66:$BE$75,,$AH245), 1 / ($BG$66:$BG$75*CO245 + (1-$BG$66:$BG$75)*CK245), N($AU$66:$AU$75&gt;$AM245))
) / 1000</f>
        <v>0</v>
      </c>
      <c r="CQ245" s="231">
        <f t="shared" si="326"/>
        <v>25</v>
      </c>
      <c r="CR245" s="229">
        <f t="shared" si="518"/>
        <v>38</v>
      </c>
      <c r="CS245" s="234">
        <f t="shared" si="519"/>
        <v>4.0666935483870965</v>
      </c>
      <c r="CT245" s="234" cm="1">
        <f t="array" ref="CT245">$BM245 * IF($AH245&lt;=2,
SUMPRODUCT(INDEX($AV$66:$AX$70,,$AI245), INDEX($AY$66:$BE$70,,$AH245), 1 / ($BF$66:$BF$70*CS245 + (1-$BF$66:$BF$70)*CO245), N($AU$66:$AU$70&gt;$AM245)),
SUMPRODUCT(INDEX($AV$56:$AX$65,,$AI245), INDEX($AY$56:$BE$65,,$AH245), 1 / ($BG$56:$BG$65*CS245 + (1-$BG$56:$BG$65)*CO245), N($AU$56:$AU$65&gt;$AM245))
) / 1000</f>
        <v>0</v>
      </c>
      <c r="CU245" s="231">
        <f t="shared" si="329"/>
        <v>20</v>
      </c>
      <c r="CV245" s="229">
        <f t="shared" si="520"/>
        <v>33</v>
      </c>
      <c r="CW245" s="234">
        <f t="shared" si="521"/>
        <v>4.8487499999999999</v>
      </c>
      <c r="CX245" s="234" cm="1">
        <f t="array" ref="CX245">$BM245 * IF($AH245&lt;=2,
SUMPRODUCT(INDEX($AV$61:$AX$65,,$AI245), INDEX($AY$61:$BE$65,,$AH245), 1 / ($BF$61:$BF$65*CW245 + (1-$BF$61:$BF$65)*CS245), N($AU$61:$AU$65&gt;$AM245)),
SUMPRODUCT(INDEX($AV$46:$AX$55,,$AI245), INDEX($AY$46:$BE$55,,$AH245), 1 / ($BG$46:$BG$55*CW245 + (1-$BG$46:$BG$55)*CS245), N($AU$46:$AU$55&gt;$AM245))
) / 1000</f>
        <v>0</v>
      </c>
      <c r="CY245" s="234" cm="1">
        <f t="array" ref="CY245">$BM245 * IF($AH245&lt;=2,
SUMPRODUCT(INDEX($AV$22:$AX$60,,$AI245), INDEX($AY$22:$BE$60,,$AH245), 1 / ($BF$22:$BF$60*CW245), N($AU$22:$AU$60&gt;$AM245)),
SUMPRODUCT(INDEX($AV$22:$AX$45,,$AI245), INDEX($AY$22:$BE$45,,$AH245), 1 / ($BG$22:$BG$45*CW245), N($AU$22:$AU$45&gt;$AM245))
) / 1000</f>
        <v>0</v>
      </c>
      <c r="CZ245" s="229">
        <f t="shared" si="522"/>
        <v>0</v>
      </c>
      <c r="DA245" s="246"/>
    </row>
    <row r="246" spans="1:105" s="75" customFormat="1" ht="14.25" customHeight="1" x14ac:dyDescent="0.2">
      <c r="A246" s="230" t="b">
        <f t="shared" si="291"/>
        <v>0</v>
      </c>
      <c r="B246" s="253">
        <v>225</v>
      </c>
      <c r="C246" s="266"/>
      <c r="D246" s="266"/>
      <c r="E246" s="254"/>
      <c r="F246" s="255" t="str">
        <f>IF(ISBLANK(E246), "", VLOOKUP(E246, Z!$A$2:$C$4127, 3, FALSE))</f>
        <v/>
      </c>
      <c r="G246" s="256"/>
      <c r="H246" s="256"/>
      <c r="I246" s="256"/>
      <c r="J246" s="257"/>
      <c r="K246" s="258"/>
      <c r="L246" s="267"/>
      <c r="M246" s="268"/>
      <c r="N246" s="259" t="str" cm="1">
        <f t="array" ref="N246">IF($L246&gt;0, INDEX(Clean,1+AK246,$D$1), "")</f>
        <v/>
      </c>
      <c r="O246" s="260"/>
      <c r="P246" s="260"/>
      <c r="Q246" s="261"/>
      <c r="R246" s="264">
        <f t="shared" si="498"/>
        <v>0</v>
      </c>
      <c r="S246" s="259" t="str" cm="1">
        <f t="array" ref="S246">IF($L246&gt;0, INDEX(Clean,1+AL246,$D$1), "")</f>
        <v/>
      </c>
      <c r="T246" s="260"/>
      <c r="U246" s="260"/>
      <c r="V246" s="261"/>
      <c r="W246" s="267"/>
      <c r="X246" s="267"/>
      <c r="Y246" s="257"/>
      <c r="Z246" s="264">
        <f t="shared" si="499"/>
        <v>0</v>
      </c>
      <c r="AA246" s="269"/>
      <c r="AB246" s="266"/>
      <c r="AC246" s="254"/>
      <c r="AD246" s="255" t="str">
        <f>IF(ISBLANK(AC246), "", VLOOKUP(AC246, Z!$A$2:$C$4127, 3, FALSE))</f>
        <v/>
      </c>
      <c r="AE246" s="270"/>
      <c r="AF246" s="265">
        <f t="shared" si="500"/>
        <v>0</v>
      </c>
      <c r="AG246" s="246"/>
      <c r="AH246" s="228">
        <f t="shared" si="523"/>
        <v>1</v>
      </c>
      <c r="AI246" s="228">
        <f t="shared" si="524"/>
        <v>1</v>
      </c>
      <c r="AJ246" s="228">
        <f t="shared" si="525"/>
        <v>0</v>
      </c>
      <c r="AK246" s="228">
        <v>0</v>
      </c>
      <c r="AL246" s="228">
        <v>0</v>
      </c>
      <c r="AM246" s="228">
        <f t="shared" si="501"/>
        <v>-100</v>
      </c>
      <c r="AN246" s="228" cm="1">
        <f t="array" ref="AN246">IF(ISBLANK(G246), 1, IFERROR(MATCH(G246, INDEX(Kat,,1), 0), IFERROR(MATCH(Kat, INDEX(Use,,2), 0), MATCH(Kat, INDEX(Use,,3), 0))))</f>
        <v>1</v>
      </c>
      <c r="AO246" s="246"/>
      <c r="AP246" s="228" cm="1">
        <f t="array" ref="AP246">IF(W246&gt;0, INDEX(Kat, AN246,4), 0)</f>
        <v>0</v>
      </c>
      <c r="AQ246" s="228">
        <f t="shared" si="526"/>
        <v>0</v>
      </c>
      <c r="AR246" s="228" cm="1">
        <f t="array" ref="AR246">IF(X246&gt;0, INDEX(Kat, $AN246, 4+AQ246), 0)</f>
        <v>0</v>
      </c>
      <c r="AS246" s="228" cm="1">
        <f t="array" ref="AS246">IF(X246&gt;0, INDEX(Kat, $AN246, 9+AQ246), 0)</f>
        <v>0</v>
      </c>
      <c r="AT246" s="246"/>
      <c r="AU246" s="262"/>
      <c r="AV246" s="262"/>
      <c r="AW246" s="263"/>
      <c r="AX246" s="263"/>
      <c r="AY246" s="263"/>
      <c r="AZ246" s="263"/>
      <c r="BA246" s="263"/>
      <c r="BB246" s="263"/>
      <c r="BC246" s="263"/>
      <c r="BD246" s="263"/>
      <c r="BE246" s="263"/>
      <c r="BF246" s="263"/>
      <c r="BG246" s="263"/>
      <c r="BH246" s="246"/>
      <c r="BI246" s="228" cm="1">
        <f t="array" ref="BI246">INDEX(Use, $AH246, 4)</f>
        <v>7</v>
      </c>
      <c r="BJ246" s="228">
        <f t="shared" si="502"/>
        <v>32</v>
      </c>
      <c r="BK246" s="228">
        <f t="shared" si="305"/>
        <v>13</v>
      </c>
      <c r="BL246" s="228">
        <f t="shared" si="306"/>
        <v>0</v>
      </c>
      <c r="BM246" s="233" cm="1">
        <f t="array" ref="BM246">L246/IF($M246&gt;0, INDEX($AY$22:$BE$76, $M246+20, $AH246), 1)</f>
        <v>0</v>
      </c>
      <c r="BN246" s="229">
        <f t="shared" si="503"/>
        <v>0</v>
      </c>
      <c r="BO246" s="228">
        <v>35</v>
      </c>
      <c r="BP246" s="229">
        <f t="shared" si="504"/>
        <v>48</v>
      </c>
      <c r="BQ246" s="234">
        <f t="shared" si="505"/>
        <v>3.0748170731707316</v>
      </c>
      <c r="BR246" s="234" cm="1">
        <f t="array" ref="BR246">$BM246 * SUMPRODUCT(INDEX($AV$76:$AX$81,,$AI246),INDEX($AY$76:$BE$81,,$AH246), N($AU$76:$AU$81&gt;$AM246)) / BQ246 / 1000</f>
        <v>0</v>
      </c>
      <c r="BS246" s="231">
        <f t="shared" si="310"/>
        <v>30</v>
      </c>
      <c r="BT246" s="229">
        <f t="shared" si="506"/>
        <v>43</v>
      </c>
      <c r="BU246" s="234">
        <f t="shared" si="507"/>
        <v>3.5018750000000001</v>
      </c>
      <c r="BV246" s="234" cm="1">
        <f t="array" ref="BV246">$BM246 * IF($AH246&lt;=2,
SUMPRODUCT(INDEX($AV$71:$AX$75,,$AI246), INDEX($AY$71:$BE$75,,$AH246), 1 / ($BF$71:$BF$75*BU246 + (1-$BF$71:$BF$75)*BQ246), N($AU$71:$AU$75&gt;$AM246)),
SUMPRODUCT(INDEX($AV$66:$AX$75,,$AI246), INDEX($AY$66:$BE$75,,$AH246), 1 / ($BG$66:$BG$75*BU246 + (1-$BG$66:$BG$75)*BQ246), N($AU$66:$AU$75&gt;$AM246))
) / 1000</f>
        <v>0</v>
      </c>
      <c r="BW246" s="231">
        <f t="shared" si="313"/>
        <v>25</v>
      </c>
      <c r="BX246" s="229">
        <f t="shared" si="508"/>
        <v>38</v>
      </c>
      <c r="BY246" s="234">
        <f t="shared" si="509"/>
        <v>4.0666935483870965</v>
      </c>
      <c r="BZ246" s="234" cm="1">
        <f t="array" ref="BZ246">$BM246 * IF($AH246&lt;=2,
SUMPRODUCT(INDEX($AV$66:$AX$70,,$AI246), INDEX($AY$66:$BE$70,,$AH246), 1 / ($BF$66:$BF$70*BY246 + (1-$BF$66:$BF$70)*BU246), N($AU$66:$AU$70&gt;$AM246)),
SUMPRODUCT(INDEX($AV$56:$AX$65,,$AI246), INDEX($AY$56:$BE$65,,$AH246), 1 / ($BG$56:$BG$65*BY246 + (1-$BG$56:$BG$65)*BU246), N($AU$56:$AU$65&gt;$AM246))
) / 1000</f>
        <v>0</v>
      </c>
      <c r="CA246" s="231">
        <f t="shared" si="316"/>
        <v>20</v>
      </c>
      <c r="CB246" s="229">
        <f t="shared" si="510"/>
        <v>33</v>
      </c>
      <c r="CC246" s="234">
        <f t="shared" si="511"/>
        <v>4.8487499999999999</v>
      </c>
      <c r="CD246" s="234" cm="1">
        <f t="array" ref="CD246">$BM246 * IF($AH246&lt;=2,
SUMPRODUCT(INDEX($AV$61:$AX$65,,$AI246), INDEX($AY$61:$BE$65,,$AH246), 1 / ($BF$61:$BF$65*CC246 + (1-$BF$61:$BF$65)*BY246), N($AU$61:$AU$65&gt;$AM246)),
SUMPRODUCT(INDEX($AV$46:$AX$55,,$AI246), INDEX($AY$46:$BE$55,,$AH246), 1 / ($BG$46:$BG$55*CC246 + (1-$BG$46:$BG$55)*BY246), N($AU$46:$AU$55&gt;$AM246))
) / 1000</f>
        <v>0</v>
      </c>
      <c r="CE246" s="234" cm="1">
        <f t="array" ref="CE246">$BM246 * IF($AH246&lt;=2,
SUMPRODUCT(INDEX($AV$22:$AX$60,,$AI246), INDEX($AY$22:$BE$60,,$AH246), 1 / ($BF$22:$BF$60*CC246), N($AU$22:$AU$60&gt;$AM246)),
SUMPRODUCT(INDEX($AV$22:$AX$45,,$AI246), INDEX($AY$22:$BE$45,,$AH246), 1 / ($BG$22:$BG$45*CC246), N($AU$22:$AU$45&gt;$AM246))
) / 1000</f>
        <v>0</v>
      </c>
      <c r="CF246" s="229">
        <f t="shared" si="512"/>
        <v>0</v>
      </c>
      <c r="CG246" s="246"/>
      <c r="CH246" s="229">
        <f t="shared" si="513"/>
        <v>0</v>
      </c>
      <c r="CI246" s="228">
        <v>35</v>
      </c>
      <c r="CJ246" s="229">
        <f t="shared" si="514"/>
        <v>48</v>
      </c>
      <c r="CK246" s="234">
        <f t="shared" si="515"/>
        <v>3.0748170731707316</v>
      </c>
      <c r="CL246" s="234" cm="1">
        <f t="array" ref="CL246">$BM246 * SUMPRODUCT(INDEX($AV$76:$AX$81,,$AI246),INDEX($AY$76:$BE$81,,$AH246), N($AU$76:$AU$81&gt;$AM246)) / CK246 / 1000</f>
        <v>0</v>
      </c>
      <c r="CM246" s="231">
        <f t="shared" si="323"/>
        <v>30</v>
      </c>
      <c r="CN246" s="229">
        <f t="shared" si="516"/>
        <v>43</v>
      </c>
      <c r="CO246" s="234">
        <f t="shared" si="517"/>
        <v>3.5018750000000001</v>
      </c>
      <c r="CP246" s="234" cm="1">
        <f t="array" ref="CP246">$BM246 * IF($AH246&lt;=2,
SUMPRODUCT(INDEX($AV$71:$AX$75,,$AI246), INDEX($AY$71:$BE$75,,$AH246), 1 / ($BF$71:$BF$75*CO246 + (1-$BF$71:$BF$75)*CK246), N($AU$71:$AU$75&gt;$AM246)),
SUMPRODUCT(INDEX($AV$66:$AX$75,,$AI246), INDEX($AY$66:$BE$75,,$AH246), 1 / ($BG$66:$BG$75*CO246 + (1-$BG$66:$BG$75)*CK246), N($AU$66:$AU$75&gt;$AM246))
) / 1000</f>
        <v>0</v>
      </c>
      <c r="CQ246" s="231">
        <f t="shared" si="326"/>
        <v>25</v>
      </c>
      <c r="CR246" s="229">
        <f t="shared" si="518"/>
        <v>38</v>
      </c>
      <c r="CS246" s="234">
        <f t="shared" si="519"/>
        <v>4.0666935483870965</v>
      </c>
      <c r="CT246" s="234" cm="1">
        <f t="array" ref="CT246">$BM246 * IF($AH246&lt;=2,
SUMPRODUCT(INDEX($AV$66:$AX$70,,$AI246), INDEX($AY$66:$BE$70,,$AH246), 1 / ($BF$66:$BF$70*CS246 + (1-$BF$66:$BF$70)*CO246), N($AU$66:$AU$70&gt;$AM246)),
SUMPRODUCT(INDEX($AV$56:$AX$65,,$AI246), INDEX($AY$56:$BE$65,,$AH246), 1 / ($BG$56:$BG$65*CS246 + (1-$BG$56:$BG$65)*CO246), N($AU$56:$AU$65&gt;$AM246))
) / 1000</f>
        <v>0</v>
      </c>
      <c r="CU246" s="231">
        <f t="shared" si="329"/>
        <v>20</v>
      </c>
      <c r="CV246" s="229">
        <f t="shared" si="520"/>
        <v>33</v>
      </c>
      <c r="CW246" s="234">
        <f t="shared" si="521"/>
        <v>4.8487499999999999</v>
      </c>
      <c r="CX246" s="234" cm="1">
        <f t="array" ref="CX246">$BM246 * IF($AH246&lt;=2,
SUMPRODUCT(INDEX($AV$61:$AX$65,,$AI246), INDEX($AY$61:$BE$65,,$AH246), 1 / ($BF$61:$BF$65*CW246 + (1-$BF$61:$BF$65)*CS246), N($AU$61:$AU$65&gt;$AM246)),
SUMPRODUCT(INDEX($AV$46:$AX$55,,$AI246), INDEX($AY$46:$BE$55,,$AH246), 1 / ($BG$46:$BG$55*CW246 + (1-$BG$46:$BG$55)*CS246), N($AU$46:$AU$55&gt;$AM246))
) / 1000</f>
        <v>0</v>
      </c>
      <c r="CY246" s="234" cm="1">
        <f t="array" ref="CY246">$BM246 * IF($AH246&lt;=2,
SUMPRODUCT(INDEX($AV$22:$AX$60,,$AI246), INDEX($AY$22:$BE$60,,$AH246), 1 / ($BF$22:$BF$60*CW246), N($AU$22:$AU$60&gt;$AM246)),
SUMPRODUCT(INDEX($AV$22:$AX$45,,$AI246), INDEX($AY$22:$BE$45,,$AH246), 1 / ($BG$22:$BG$45*CW246), N($AU$22:$AU$45&gt;$AM246))
) / 1000</f>
        <v>0</v>
      </c>
      <c r="CZ246" s="229">
        <f t="shared" si="522"/>
        <v>0</v>
      </c>
      <c r="DA246" s="246"/>
    </row>
    <row r="247" spans="1:105" s="75" customFormat="1" ht="14.25" customHeight="1" x14ac:dyDescent="0.2">
      <c r="A247" s="230" t="b">
        <f t="shared" si="291"/>
        <v>0</v>
      </c>
      <c r="B247" s="253">
        <v>226</v>
      </c>
      <c r="C247" s="266"/>
      <c r="D247" s="266"/>
      <c r="E247" s="254"/>
      <c r="F247" s="255" t="str">
        <f>IF(ISBLANK(E247), "", VLOOKUP(E247, Z!$A$2:$C$4127, 3, FALSE))</f>
        <v/>
      </c>
      <c r="G247" s="256"/>
      <c r="H247" s="256"/>
      <c r="I247" s="256"/>
      <c r="J247" s="257"/>
      <c r="K247" s="258"/>
      <c r="L247" s="267"/>
      <c r="M247" s="268"/>
      <c r="N247" s="259" t="str" cm="1">
        <f t="array" ref="N247">IF($L247&gt;0, INDEX(Clean,1+AK247,$D$1), "")</f>
        <v/>
      </c>
      <c r="O247" s="260"/>
      <c r="P247" s="260"/>
      <c r="Q247" s="261"/>
      <c r="R247" s="264">
        <f t="shared" si="498"/>
        <v>0</v>
      </c>
      <c r="S247" s="259" t="str" cm="1">
        <f t="array" ref="S247">IF($L247&gt;0, INDEX(Clean,1+AL247,$D$1), "")</f>
        <v/>
      </c>
      <c r="T247" s="260"/>
      <c r="U247" s="260"/>
      <c r="V247" s="261"/>
      <c r="W247" s="267"/>
      <c r="X247" s="267"/>
      <c r="Y247" s="257"/>
      <c r="Z247" s="264">
        <f t="shared" si="499"/>
        <v>0</v>
      </c>
      <c r="AA247" s="269"/>
      <c r="AB247" s="266"/>
      <c r="AC247" s="254"/>
      <c r="AD247" s="255" t="str">
        <f>IF(ISBLANK(AC247), "", VLOOKUP(AC247, Z!$A$2:$C$4127, 3, FALSE))</f>
        <v/>
      </c>
      <c r="AE247" s="270"/>
      <c r="AF247" s="265">
        <f t="shared" si="500"/>
        <v>0</v>
      </c>
      <c r="AG247" s="246"/>
      <c r="AH247" s="228">
        <f t="shared" si="523"/>
        <v>1</v>
      </c>
      <c r="AI247" s="228">
        <f t="shared" si="524"/>
        <v>1</v>
      </c>
      <c r="AJ247" s="228">
        <f t="shared" si="525"/>
        <v>0</v>
      </c>
      <c r="AK247" s="228">
        <v>0</v>
      </c>
      <c r="AL247" s="228">
        <v>0</v>
      </c>
      <c r="AM247" s="228">
        <f t="shared" si="501"/>
        <v>-100</v>
      </c>
      <c r="AN247" s="228" cm="1">
        <f t="array" ref="AN247">IF(ISBLANK(G247), 1, IFERROR(MATCH(G247, INDEX(Kat,,1), 0), IFERROR(MATCH(Kat, INDEX(Use,,2), 0), MATCH(Kat, INDEX(Use,,3), 0))))</f>
        <v>1</v>
      </c>
      <c r="AO247" s="246"/>
      <c r="AP247" s="228" cm="1">
        <f t="array" ref="AP247">IF(W247&gt;0, INDEX(Kat, AN247,4), 0)</f>
        <v>0</v>
      </c>
      <c r="AQ247" s="228">
        <f t="shared" si="526"/>
        <v>0</v>
      </c>
      <c r="AR247" s="228" cm="1">
        <f t="array" ref="AR247">IF(X247&gt;0, INDEX(Kat, $AN247, 4+AQ247), 0)</f>
        <v>0</v>
      </c>
      <c r="AS247" s="228" cm="1">
        <f t="array" ref="AS247">IF(X247&gt;0, INDEX(Kat, $AN247, 9+AQ247), 0)</f>
        <v>0</v>
      </c>
      <c r="AT247" s="246"/>
      <c r="AU247" s="262"/>
      <c r="AV247" s="262"/>
      <c r="AW247" s="263"/>
      <c r="AX247" s="263"/>
      <c r="AY247" s="263"/>
      <c r="AZ247" s="263"/>
      <c r="BA247" s="263"/>
      <c r="BB247" s="263"/>
      <c r="BC247" s="263"/>
      <c r="BD247" s="263"/>
      <c r="BE247" s="263"/>
      <c r="BF247" s="263"/>
      <c r="BG247" s="263"/>
      <c r="BH247" s="246"/>
      <c r="BI247" s="228" cm="1">
        <f t="array" ref="BI247">INDEX(Use, $AH247, 4)</f>
        <v>7</v>
      </c>
      <c r="BJ247" s="228">
        <f t="shared" si="502"/>
        <v>32</v>
      </c>
      <c r="BK247" s="228">
        <f t="shared" si="305"/>
        <v>13</v>
      </c>
      <c r="BL247" s="228">
        <f t="shared" si="306"/>
        <v>0</v>
      </c>
      <c r="BM247" s="233" cm="1">
        <f t="array" ref="BM247">L247/IF($M247&gt;0, INDEX($AY$22:$BE$76, $M247+20, $AH247), 1)</f>
        <v>0</v>
      </c>
      <c r="BN247" s="229">
        <f t="shared" si="503"/>
        <v>0</v>
      </c>
      <c r="BO247" s="228">
        <v>35</v>
      </c>
      <c r="BP247" s="229">
        <f t="shared" si="504"/>
        <v>48</v>
      </c>
      <c r="BQ247" s="234">
        <f t="shared" si="505"/>
        <v>3.0748170731707316</v>
      </c>
      <c r="BR247" s="234" cm="1">
        <f t="array" ref="BR247">$BM247 * SUMPRODUCT(INDEX($AV$76:$AX$81,,$AI247),INDEX($AY$76:$BE$81,,$AH247), N($AU$76:$AU$81&gt;$AM247)) / BQ247 / 1000</f>
        <v>0</v>
      </c>
      <c r="BS247" s="231">
        <f t="shared" si="310"/>
        <v>30</v>
      </c>
      <c r="BT247" s="229">
        <f t="shared" si="506"/>
        <v>43</v>
      </c>
      <c r="BU247" s="234">
        <f t="shared" si="507"/>
        <v>3.5018750000000001</v>
      </c>
      <c r="BV247" s="234" cm="1">
        <f t="array" ref="BV247">$BM247 * IF($AH247&lt;=2,
SUMPRODUCT(INDEX($AV$71:$AX$75,,$AI247), INDEX($AY$71:$BE$75,,$AH247), 1 / ($BF$71:$BF$75*BU247 + (1-$BF$71:$BF$75)*BQ247), N($AU$71:$AU$75&gt;$AM247)),
SUMPRODUCT(INDEX($AV$66:$AX$75,,$AI247), INDEX($AY$66:$BE$75,,$AH247), 1 / ($BG$66:$BG$75*BU247 + (1-$BG$66:$BG$75)*BQ247), N($AU$66:$AU$75&gt;$AM247))
) / 1000</f>
        <v>0</v>
      </c>
      <c r="BW247" s="231">
        <f t="shared" si="313"/>
        <v>25</v>
      </c>
      <c r="BX247" s="229">
        <f t="shared" si="508"/>
        <v>38</v>
      </c>
      <c r="BY247" s="234">
        <f t="shared" si="509"/>
        <v>4.0666935483870965</v>
      </c>
      <c r="BZ247" s="234" cm="1">
        <f t="array" ref="BZ247">$BM247 * IF($AH247&lt;=2,
SUMPRODUCT(INDEX($AV$66:$AX$70,,$AI247), INDEX($AY$66:$BE$70,,$AH247), 1 / ($BF$66:$BF$70*BY247 + (1-$BF$66:$BF$70)*BU247), N($AU$66:$AU$70&gt;$AM247)),
SUMPRODUCT(INDEX($AV$56:$AX$65,,$AI247), INDEX($AY$56:$BE$65,,$AH247), 1 / ($BG$56:$BG$65*BY247 + (1-$BG$56:$BG$65)*BU247), N($AU$56:$AU$65&gt;$AM247))
) / 1000</f>
        <v>0</v>
      </c>
      <c r="CA247" s="231">
        <f t="shared" si="316"/>
        <v>20</v>
      </c>
      <c r="CB247" s="229">
        <f t="shared" si="510"/>
        <v>33</v>
      </c>
      <c r="CC247" s="234">
        <f t="shared" si="511"/>
        <v>4.8487499999999999</v>
      </c>
      <c r="CD247" s="234" cm="1">
        <f t="array" ref="CD247">$BM247 * IF($AH247&lt;=2,
SUMPRODUCT(INDEX($AV$61:$AX$65,,$AI247), INDEX($AY$61:$BE$65,,$AH247), 1 / ($BF$61:$BF$65*CC247 + (1-$BF$61:$BF$65)*BY247), N($AU$61:$AU$65&gt;$AM247)),
SUMPRODUCT(INDEX($AV$46:$AX$55,,$AI247), INDEX($AY$46:$BE$55,,$AH247), 1 / ($BG$46:$BG$55*CC247 + (1-$BG$46:$BG$55)*BY247), N($AU$46:$AU$55&gt;$AM247))
) / 1000</f>
        <v>0</v>
      </c>
      <c r="CE247" s="234" cm="1">
        <f t="array" ref="CE247">$BM247 * IF($AH247&lt;=2,
SUMPRODUCT(INDEX($AV$22:$AX$60,,$AI247), INDEX($AY$22:$BE$60,,$AH247), 1 / ($BF$22:$BF$60*CC247), N($AU$22:$AU$60&gt;$AM247)),
SUMPRODUCT(INDEX($AV$22:$AX$45,,$AI247), INDEX($AY$22:$BE$45,,$AH247), 1 / ($BG$22:$BG$45*CC247), N($AU$22:$AU$45&gt;$AM247))
) / 1000</f>
        <v>0</v>
      </c>
      <c r="CF247" s="229">
        <f t="shared" si="512"/>
        <v>0</v>
      </c>
      <c r="CG247" s="246"/>
      <c r="CH247" s="229">
        <f t="shared" si="513"/>
        <v>0</v>
      </c>
      <c r="CI247" s="228">
        <v>35</v>
      </c>
      <c r="CJ247" s="229">
        <f t="shared" si="514"/>
        <v>48</v>
      </c>
      <c r="CK247" s="234">
        <f t="shared" si="515"/>
        <v>3.0748170731707316</v>
      </c>
      <c r="CL247" s="234" cm="1">
        <f t="array" ref="CL247">$BM247 * SUMPRODUCT(INDEX($AV$76:$AX$81,,$AI247),INDEX($AY$76:$BE$81,,$AH247), N($AU$76:$AU$81&gt;$AM247)) / CK247 / 1000</f>
        <v>0</v>
      </c>
      <c r="CM247" s="231">
        <f t="shared" si="323"/>
        <v>30</v>
      </c>
      <c r="CN247" s="229">
        <f t="shared" si="516"/>
        <v>43</v>
      </c>
      <c r="CO247" s="234">
        <f t="shared" si="517"/>
        <v>3.5018750000000001</v>
      </c>
      <c r="CP247" s="234" cm="1">
        <f t="array" ref="CP247">$BM247 * IF($AH247&lt;=2,
SUMPRODUCT(INDEX($AV$71:$AX$75,,$AI247), INDEX($AY$71:$BE$75,,$AH247), 1 / ($BF$71:$BF$75*CO247 + (1-$BF$71:$BF$75)*CK247), N($AU$71:$AU$75&gt;$AM247)),
SUMPRODUCT(INDEX($AV$66:$AX$75,,$AI247), INDEX($AY$66:$BE$75,,$AH247), 1 / ($BG$66:$BG$75*CO247 + (1-$BG$66:$BG$75)*CK247), N($AU$66:$AU$75&gt;$AM247))
) / 1000</f>
        <v>0</v>
      </c>
      <c r="CQ247" s="231">
        <f t="shared" si="326"/>
        <v>25</v>
      </c>
      <c r="CR247" s="229">
        <f t="shared" si="518"/>
        <v>38</v>
      </c>
      <c r="CS247" s="234">
        <f t="shared" si="519"/>
        <v>4.0666935483870965</v>
      </c>
      <c r="CT247" s="234" cm="1">
        <f t="array" ref="CT247">$BM247 * IF($AH247&lt;=2,
SUMPRODUCT(INDEX($AV$66:$AX$70,,$AI247), INDEX($AY$66:$BE$70,,$AH247), 1 / ($BF$66:$BF$70*CS247 + (1-$BF$66:$BF$70)*CO247), N($AU$66:$AU$70&gt;$AM247)),
SUMPRODUCT(INDEX($AV$56:$AX$65,,$AI247), INDEX($AY$56:$BE$65,,$AH247), 1 / ($BG$56:$BG$65*CS247 + (1-$BG$56:$BG$65)*CO247), N($AU$56:$AU$65&gt;$AM247))
) / 1000</f>
        <v>0</v>
      </c>
      <c r="CU247" s="231">
        <f t="shared" si="329"/>
        <v>20</v>
      </c>
      <c r="CV247" s="229">
        <f t="shared" si="520"/>
        <v>33</v>
      </c>
      <c r="CW247" s="234">
        <f t="shared" si="521"/>
        <v>4.8487499999999999</v>
      </c>
      <c r="CX247" s="234" cm="1">
        <f t="array" ref="CX247">$BM247 * IF($AH247&lt;=2,
SUMPRODUCT(INDEX($AV$61:$AX$65,,$AI247), INDEX($AY$61:$BE$65,,$AH247), 1 / ($BF$61:$BF$65*CW247 + (1-$BF$61:$BF$65)*CS247), N($AU$61:$AU$65&gt;$AM247)),
SUMPRODUCT(INDEX($AV$46:$AX$55,,$AI247), INDEX($AY$46:$BE$55,,$AH247), 1 / ($BG$46:$BG$55*CW247 + (1-$BG$46:$BG$55)*CS247), N($AU$46:$AU$55&gt;$AM247))
) / 1000</f>
        <v>0</v>
      </c>
      <c r="CY247" s="234" cm="1">
        <f t="array" ref="CY247">$BM247 * IF($AH247&lt;=2,
SUMPRODUCT(INDEX($AV$22:$AX$60,,$AI247), INDEX($AY$22:$BE$60,,$AH247), 1 / ($BF$22:$BF$60*CW247), N($AU$22:$AU$60&gt;$AM247)),
SUMPRODUCT(INDEX($AV$22:$AX$45,,$AI247), INDEX($AY$22:$BE$45,,$AH247), 1 / ($BG$22:$BG$45*CW247), N($AU$22:$AU$45&gt;$AM247))
) / 1000</f>
        <v>0</v>
      </c>
      <c r="CZ247" s="229">
        <f t="shared" si="522"/>
        <v>0</v>
      </c>
      <c r="DA247" s="246"/>
    </row>
    <row r="248" spans="1:105" s="75" customFormat="1" ht="14.25" customHeight="1" x14ac:dyDescent="0.2">
      <c r="A248" s="230" t="b">
        <f t="shared" si="291"/>
        <v>0</v>
      </c>
      <c r="B248" s="253">
        <v>227</v>
      </c>
      <c r="C248" s="266"/>
      <c r="D248" s="266"/>
      <c r="E248" s="254"/>
      <c r="F248" s="255" t="str">
        <f>IF(ISBLANK(E248), "", VLOOKUP(E248, Z!$A$2:$C$4127, 3, FALSE))</f>
        <v/>
      </c>
      <c r="G248" s="256"/>
      <c r="H248" s="256"/>
      <c r="I248" s="256"/>
      <c r="J248" s="257"/>
      <c r="K248" s="258"/>
      <c r="L248" s="267"/>
      <c r="M248" s="268"/>
      <c r="N248" s="259" t="str" cm="1">
        <f t="array" ref="N248">IF($L248&gt;0, INDEX(Clean,1+AK248,$D$1), "")</f>
        <v/>
      </c>
      <c r="O248" s="260"/>
      <c r="P248" s="260"/>
      <c r="Q248" s="261"/>
      <c r="R248" s="264">
        <f t="shared" si="498"/>
        <v>0</v>
      </c>
      <c r="S248" s="259" t="str" cm="1">
        <f t="array" ref="S248">IF($L248&gt;0, INDEX(Clean,1+AL248,$D$1), "")</f>
        <v/>
      </c>
      <c r="T248" s="260"/>
      <c r="U248" s="260"/>
      <c r="V248" s="261"/>
      <c r="W248" s="267"/>
      <c r="X248" s="267"/>
      <c r="Y248" s="257"/>
      <c r="Z248" s="264">
        <f t="shared" si="499"/>
        <v>0</v>
      </c>
      <c r="AA248" s="269"/>
      <c r="AB248" s="266"/>
      <c r="AC248" s="254"/>
      <c r="AD248" s="255" t="str">
        <f>IF(ISBLANK(AC248), "", VLOOKUP(AC248, Z!$A$2:$C$4127, 3, FALSE))</f>
        <v/>
      </c>
      <c r="AE248" s="270"/>
      <c r="AF248" s="265">
        <f t="shared" si="500"/>
        <v>0</v>
      </c>
      <c r="AG248" s="246"/>
      <c r="AH248" s="228">
        <f t="shared" si="523"/>
        <v>1</v>
      </c>
      <c r="AI248" s="228">
        <f t="shared" si="524"/>
        <v>1</v>
      </c>
      <c r="AJ248" s="228">
        <f t="shared" si="525"/>
        <v>0</v>
      </c>
      <c r="AK248" s="228">
        <v>0</v>
      </c>
      <c r="AL248" s="228">
        <v>0</v>
      </c>
      <c r="AM248" s="228">
        <f t="shared" si="501"/>
        <v>-100</v>
      </c>
      <c r="AN248" s="228" cm="1">
        <f t="array" ref="AN248">IF(ISBLANK(G248), 1, IFERROR(MATCH(G248, INDEX(Kat,,1), 0), IFERROR(MATCH(Kat, INDEX(Use,,2), 0), MATCH(Kat, INDEX(Use,,3), 0))))</f>
        <v>1</v>
      </c>
      <c r="AO248" s="246"/>
      <c r="AP248" s="228" cm="1">
        <f t="array" ref="AP248">IF(W248&gt;0, INDEX(Kat, AN248,4), 0)</f>
        <v>0</v>
      </c>
      <c r="AQ248" s="228">
        <f t="shared" si="526"/>
        <v>0</v>
      </c>
      <c r="AR248" s="228" cm="1">
        <f t="array" ref="AR248">IF(X248&gt;0, INDEX(Kat, $AN248, 4+AQ248), 0)</f>
        <v>0</v>
      </c>
      <c r="AS248" s="228" cm="1">
        <f t="array" ref="AS248">IF(X248&gt;0, INDEX(Kat, $AN248, 9+AQ248), 0)</f>
        <v>0</v>
      </c>
      <c r="AT248" s="246"/>
      <c r="AU248" s="262"/>
      <c r="AV248" s="262"/>
      <c r="AW248" s="263"/>
      <c r="AX248" s="263"/>
      <c r="AY248" s="263"/>
      <c r="AZ248" s="263"/>
      <c r="BA248" s="263"/>
      <c r="BB248" s="263"/>
      <c r="BC248" s="263"/>
      <c r="BD248" s="263"/>
      <c r="BE248" s="263"/>
      <c r="BF248" s="263"/>
      <c r="BG248" s="263"/>
      <c r="BH248" s="246"/>
      <c r="BI248" s="228" cm="1">
        <f t="array" ref="BI248">INDEX(Use, $AH248, 4)</f>
        <v>7</v>
      </c>
      <c r="BJ248" s="228">
        <f t="shared" si="502"/>
        <v>32</v>
      </c>
      <c r="BK248" s="228">
        <f t="shared" si="305"/>
        <v>13</v>
      </c>
      <c r="BL248" s="228">
        <f t="shared" si="306"/>
        <v>0</v>
      </c>
      <c r="BM248" s="233" cm="1">
        <f t="array" ref="BM248">L248/IF($M248&gt;0, INDEX($AY$22:$BE$76, $M248+20, $AH248), 1)</f>
        <v>0</v>
      </c>
      <c r="BN248" s="229">
        <f t="shared" si="503"/>
        <v>0</v>
      </c>
      <c r="BO248" s="228">
        <v>35</v>
      </c>
      <c r="BP248" s="229">
        <f t="shared" si="504"/>
        <v>48</v>
      </c>
      <c r="BQ248" s="234">
        <f t="shared" si="505"/>
        <v>3.0748170731707316</v>
      </c>
      <c r="BR248" s="234" cm="1">
        <f t="array" ref="BR248">$BM248 * SUMPRODUCT(INDEX($AV$76:$AX$81,,$AI248),INDEX($AY$76:$BE$81,,$AH248), N($AU$76:$AU$81&gt;$AM248)) / BQ248 / 1000</f>
        <v>0</v>
      </c>
      <c r="BS248" s="231">
        <f t="shared" si="310"/>
        <v>30</v>
      </c>
      <c r="BT248" s="229">
        <f t="shared" si="506"/>
        <v>43</v>
      </c>
      <c r="BU248" s="234">
        <f t="shared" si="507"/>
        <v>3.5018750000000001</v>
      </c>
      <c r="BV248" s="234" cm="1">
        <f t="array" ref="BV248">$BM248 * IF($AH248&lt;=2,
SUMPRODUCT(INDEX($AV$71:$AX$75,,$AI248), INDEX($AY$71:$BE$75,,$AH248), 1 / ($BF$71:$BF$75*BU248 + (1-$BF$71:$BF$75)*BQ248), N($AU$71:$AU$75&gt;$AM248)),
SUMPRODUCT(INDEX($AV$66:$AX$75,,$AI248), INDEX($AY$66:$BE$75,,$AH248), 1 / ($BG$66:$BG$75*BU248 + (1-$BG$66:$BG$75)*BQ248), N($AU$66:$AU$75&gt;$AM248))
) / 1000</f>
        <v>0</v>
      </c>
      <c r="BW248" s="231">
        <f t="shared" si="313"/>
        <v>25</v>
      </c>
      <c r="BX248" s="229">
        <f t="shared" si="508"/>
        <v>38</v>
      </c>
      <c r="BY248" s="234">
        <f t="shared" si="509"/>
        <v>4.0666935483870965</v>
      </c>
      <c r="BZ248" s="234" cm="1">
        <f t="array" ref="BZ248">$BM248 * IF($AH248&lt;=2,
SUMPRODUCT(INDEX($AV$66:$AX$70,,$AI248), INDEX($AY$66:$BE$70,,$AH248), 1 / ($BF$66:$BF$70*BY248 + (1-$BF$66:$BF$70)*BU248), N($AU$66:$AU$70&gt;$AM248)),
SUMPRODUCT(INDEX($AV$56:$AX$65,,$AI248), INDEX($AY$56:$BE$65,,$AH248), 1 / ($BG$56:$BG$65*BY248 + (1-$BG$56:$BG$65)*BU248), N($AU$56:$AU$65&gt;$AM248))
) / 1000</f>
        <v>0</v>
      </c>
      <c r="CA248" s="231">
        <f t="shared" si="316"/>
        <v>20</v>
      </c>
      <c r="CB248" s="229">
        <f t="shared" si="510"/>
        <v>33</v>
      </c>
      <c r="CC248" s="234">
        <f t="shared" si="511"/>
        <v>4.8487499999999999</v>
      </c>
      <c r="CD248" s="234" cm="1">
        <f t="array" ref="CD248">$BM248 * IF($AH248&lt;=2,
SUMPRODUCT(INDEX($AV$61:$AX$65,,$AI248), INDEX($AY$61:$BE$65,,$AH248), 1 / ($BF$61:$BF$65*CC248 + (1-$BF$61:$BF$65)*BY248), N($AU$61:$AU$65&gt;$AM248)),
SUMPRODUCT(INDEX($AV$46:$AX$55,,$AI248), INDEX($AY$46:$BE$55,,$AH248), 1 / ($BG$46:$BG$55*CC248 + (1-$BG$46:$BG$55)*BY248), N($AU$46:$AU$55&gt;$AM248))
) / 1000</f>
        <v>0</v>
      </c>
      <c r="CE248" s="234" cm="1">
        <f t="array" ref="CE248">$BM248 * IF($AH248&lt;=2,
SUMPRODUCT(INDEX($AV$22:$AX$60,,$AI248), INDEX($AY$22:$BE$60,,$AH248), 1 / ($BF$22:$BF$60*CC248), N($AU$22:$AU$60&gt;$AM248)),
SUMPRODUCT(INDEX($AV$22:$AX$45,,$AI248), INDEX($AY$22:$BE$45,,$AH248), 1 / ($BG$22:$BG$45*CC248), N($AU$22:$AU$45&gt;$AM248))
) / 1000</f>
        <v>0</v>
      </c>
      <c r="CF248" s="229">
        <f t="shared" si="512"/>
        <v>0</v>
      </c>
      <c r="CG248" s="246"/>
      <c r="CH248" s="229">
        <f t="shared" si="513"/>
        <v>0</v>
      </c>
      <c r="CI248" s="228">
        <v>35</v>
      </c>
      <c r="CJ248" s="229">
        <f t="shared" si="514"/>
        <v>48</v>
      </c>
      <c r="CK248" s="234">
        <f t="shared" si="515"/>
        <v>3.0748170731707316</v>
      </c>
      <c r="CL248" s="234" cm="1">
        <f t="array" ref="CL248">$BM248 * SUMPRODUCT(INDEX($AV$76:$AX$81,,$AI248),INDEX($AY$76:$BE$81,,$AH248), N($AU$76:$AU$81&gt;$AM248)) / CK248 / 1000</f>
        <v>0</v>
      </c>
      <c r="CM248" s="231">
        <f t="shared" si="323"/>
        <v>30</v>
      </c>
      <c r="CN248" s="229">
        <f t="shared" si="516"/>
        <v>43</v>
      </c>
      <c r="CO248" s="234">
        <f t="shared" si="517"/>
        <v>3.5018750000000001</v>
      </c>
      <c r="CP248" s="234" cm="1">
        <f t="array" ref="CP248">$BM248 * IF($AH248&lt;=2,
SUMPRODUCT(INDEX($AV$71:$AX$75,,$AI248), INDEX($AY$71:$BE$75,,$AH248), 1 / ($BF$71:$BF$75*CO248 + (1-$BF$71:$BF$75)*CK248), N($AU$71:$AU$75&gt;$AM248)),
SUMPRODUCT(INDEX($AV$66:$AX$75,,$AI248), INDEX($AY$66:$BE$75,,$AH248), 1 / ($BG$66:$BG$75*CO248 + (1-$BG$66:$BG$75)*CK248), N($AU$66:$AU$75&gt;$AM248))
) / 1000</f>
        <v>0</v>
      </c>
      <c r="CQ248" s="231">
        <f t="shared" si="326"/>
        <v>25</v>
      </c>
      <c r="CR248" s="229">
        <f t="shared" si="518"/>
        <v>38</v>
      </c>
      <c r="CS248" s="234">
        <f t="shared" si="519"/>
        <v>4.0666935483870965</v>
      </c>
      <c r="CT248" s="234" cm="1">
        <f t="array" ref="CT248">$BM248 * IF($AH248&lt;=2,
SUMPRODUCT(INDEX($AV$66:$AX$70,,$AI248), INDEX($AY$66:$BE$70,,$AH248), 1 / ($BF$66:$BF$70*CS248 + (1-$BF$66:$BF$70)*CO248), N($AU$66:$AU$70&gt;$AM248)),
SUMPRODUCT(INDEX($AV$56:$AX$65,,$AI248), INDEX($AY$56:$BE$65,,$AH248), 1 / ($BG$56:$BG$65*CS248 + (1-$BG$56:$BG$65)*CO248), N($AU$56:$AU$65&gt;$AM248))
) / 1000</f>
        <v>0</v>
      </c>
      <c r="CU248" s="231">
        <f t="shared" si="329"/>
        <v>20</v>
      </c>
      <c r="CV248" s="229">
        <f t="shared" si="520"/>
        <v>33</v>
      </c>
      <c r="CW248" s="234">
        <f t="shared" si="521"/>
        <v>4.8487499999999999</v>
      </c>
      <c r="CX248" s="234" cm="1">
        <f t="array" ref="CX248">$BM248 * IF($AH248&lt;=2,
SUMPRODUCT(INDEX($AV$61:$AX$65,,$AI248), INDEX($AY$61:$BE$65,,$AH248), 1 / ($BF$61:$BF$65*CW248 + (1-$BF$61:$BF$65)*CS248), N($AU$61:$AU$65&gt;$AM248)),
SUMPRODUCT(INDEX($AV$46:$AX$55,,$AI248), INDEX($AY$46:$BE$55,,$AH248), 1 / ($BG$46:$BG$55*CW248 + (1-$BG$46:$BG$55)*CS248), N($AU$46:$AU$55&gt;$AM248))
) / 1000</f>
        <v>0</v>
      </c>
      <c r="CY248" s="234" cm="1">
        <f t="array" ref="CY248">$BM248 * IF($AH248&lt;=2,
SUMPRODUCT(INDEX($AV$22:$AX$60,,$AI248), INDEX($AY$22:$BE$60,,$AH248), 1 / ($BF$22:$BF$60*CW248), N($AU$22:$AU$60&gt;$AM248)),
SUMPRODUCT(INDEX($AV$22:$AX$45,,$AI248), INDEX($AY$22:$BE$45,,$AH248), 1 / ($BG$22:$BG$45*CW248), N($AU$22:$AU$45&gt;$AM248))
) / 1000</f>
        <v>0</v>
      </c>
      <c r="CZ248" s="229">
        <f t="shared" si="522"/>
        <v>0</v>
      </c>
      <c r="DA248" s="246"/>
    </row>
    <row r="249" spans="1:105" s="75" customFormat="1" ht="14.25" customHeight="1" x14ac:dyDescent="0.2">
      <c r="A249" s="230" t="b">
        <f t="shared" si="291"/>
        <v>0</v>
      </c>
      <c r="B249" s="253">
        <v>228</v>
      </c>
      <c r="C249" s="266"/>
      <c r="D249" s="266"/>
      <c r="E249" s="254"/>
      <c r="F249" s="255" t="str">
        <f>IF(ISBLANK(E249), "", VLOOKUP(E249, Z!$A$2:$C$4127, 3, FALSE))</f>
        <v/>
      </c>
      <c r="G249" s="256"/>
      <c r="H249" s="256"/>
      <c r="I249" s="256"/>
      <c r="J249" s="257"/>
      <c r="K249" s="258"/>
      <c r="L249" s="267"/>
      <c r="M249" s="268"/>
      <c r="N249" s="259" t="str" cm="1">
        <f t="array" ref="N249">IF($L249&gt;0, INDEX(Clean,1+AK249,$D$1), "")</f>
        <v/>
      </c>
      <c r="O249" s="260"/>
      <c r="P249" s="260"/>
      <c r="Q249" s="261"/>
      <c r="R249" s="264">
        <f t="shared" si="498"/>
        <v>0</v>
      </c>
      <c r="S249" s="259" t="str" cm="1">
        <f t="array" ref="S249">IF($L249&gt;0, INDEX(Clean,1+AL249,$D$1), "")</f>
        <v/>
      </c>
      <c r="T249" s="260"/>
      <c r="U249" s="260"/>
      <c r="V249" s="261"/>
      <c r="W249" s="267"/>
      <c r="X249" s="267"/>
      <c r="Y249" s="257"/>
      <c r="Z249" s="264">
        <f t="shared" si="499"/>
        <v>0</v>
      </c>
      <c r="AA249" s="269"/>
      <c r="AB249" s="266"/>
      <c r="AC249" s="254"/>
      <c r="AD249" s="255" t="str">
        <f>IF(ISBLANK(AC249), "", VLOOKUP(AC249, Z!$A$2:$C$4127, 3, FALSE))</f>
        <v/>
      </c>
      <c r="AE249" s="270"/>
      <c r="AF249" s="265">
        <f t="shared" si="500"/>
        <v>0</v>
      </c>
      <c r="AG249" s="246"/>
      <c r="AH249" s="228">
        <f t="shared" si="523"/>
        <v>1</v>
      </c>
      <c r="AI249" s="228">
        <f t="shared" si="524"/>
        <v>1</v>
      </c>
      <c r="AJ249" s="228">
        <f t="shared" si="525"/>
        <v>0</v>
      </c>
      <c r="AK249" s="228">
        <v>0</v>
      </c>
      <c r="AL249" s="228">
        <v>0</v>
      </c>
      <c r="AM249" s="228">
        <f t="shared" si="501"/>
        <v>-100</v>
      </c>
      <c r="AN249" s="228" cm="1">
        <f t="array" ref="AN249">IF(ISBLANK(G249), 1, IFERROR(MATCH(G249, INDEX(Kat,,1), 0), IFERROR(MATCH(Kat, INDEX(Use,,2), 0), MATCH(Kat, INDEX(Use,,3), 0))))</f>
        <v>1</v>
      </c>
      <c r="AO249" s="246"/>
      <c r="AP249" s="228" cm="1">
        <f t="array" ref="AP249">IF(W249&gt;0, INDEX(Kat, AN249,4), 0)</f>
        <v>0</v>
      </c>
      <c r="AQ249" s="228">
        <f t="shared" si="526"/>
        <v>0</v>
      </c>
      <c r="AR249" s="228" cm="1">
        <f t="array" ref="AR249">IF(X249&gt;0, INDEX(Kat, $AN249, 4+AQ249), 0)</f>
        <v>0</v>
      </c>
      <c r="AS249" s="228" cm="1">
        <f t="array" ref="AS249">IF(X249&gt;0, INDEX(Kat, $AN249, 9+AQ249), 0)</f>
        <v>0</v>
      </c>
      <c r="AT249" s="246"/>
      <c r="AU249" s="262"/>
      <c r="AV249" s="262"/>
      <c r="AW249" s="263"/>
      <c r="AX249" s="263"/>
      <c r="AY249" s="263"/>
      <c r="AZ249" s="263"/>
      <c r="BA249" s="263"/>
      <c r="BB249" s="263"/>
      <c r="BC249" s="263"/>
      <c r="BD249" s="263"/>
      <c r="BE249" s="263"/>
      <c r="BF249" s="263"/>
      <c r="BG249" s="263"/>
      <c r="BH249" s="246"/>
      <c r="BI249" s="228" cm="1">
        <f t="array" ref="BI249">INDEX(Use, $AH249, 4)</f>
        <v>7</v>
      </c>
      <c r="BJ249" s="228">
        <f t="shared" si="502"/>
        <v>32</v>
      </c>
      <c r="BK249" s="228">
        <f t="shared" si="305"/>
        <v>13</v>
      </c>
      <c r="BL249" s="228">
        <f t="shared" si="306"/>
        <v>0</v>
      </c>
      <c r="BM249" s="233" cm="1">
        <f t="array" ref="BM249">L249/IF($M249&gt;0, INDEX($AY$22:$BE$76, $M249+20, $AH249), 1)</f>
        <v>0</v>
      </c>
      <c r="BN249" s="229">
        <f t="shared" si="503"/>
        <v>0</v>
      </c>
      <c r="BO249" s="228">
        <v>35</v>
      </c>
      <c r="BP249" s="229">
        <f t="shared" si="504"/>
        <v>48</v>
      </c>
      <c r="BQ249" s="234">
        <f t="shared" si="505"/>
        <v>3.0748170731707316</v>
      </c>
      <c r="BR249" s="234" cm="1">
        <f t="array" ref="BR249">$BM249 * SUMPRODUCT(INDEX($AV$76:$AX$81,,$AI249),INDEX($AY$76:$BE$81,,$AH249), N($AU$76:$AU$81&gt;$AM249)) / BQ249 / 1000</f>
        <v>0</v>
      </c>
      <c r="BS249" s="231">
        <f t="shared" si="310"/>
        <v>30</v>
      </c>
      <c r="BT249" s="229">
        <f t="shared" si="506"/>
        <v>43</v>
      </c>
      <c r="BU249" s="234">
        <f t="shared" si="507"/>
        <v>3.5018750000000001</v>
      </c>
      <c r="BV249" s="234" cm="1">
        <f t="array" ref="BV249">$BM249 * IF($AH249&lt;=2,
SUMPRODUCT(INDEX($AV$71:$AX$75,,$AI249), INDEX($AY$71:$BE$75,,$AH249), 1 / ($BF$71:$BF$75*BU249 + (1-$BF$71:$BF$75)*BQ249), N($AU$71:$AU$75&gt;$AM249)),
SUMPRODUCT(INDEX($AV$66:$AX$75,,$AI249), INDEX($AY$66:$BE$75,,$AH249), 1 / ($BG$66:$BG$75*BU249 + (1-$BG$66:$BG$75)*BQ249), N($AU$66:$AU$75&gt;$AM249))
) / 1000</f>
        <v>0</v>
      </c>
      <c r="BW249" s="231">
        <f t="shared" si="313"/>
        <v>25</v>
      </c>
      <c r="BX249" s="229">
        <f t="shared" si="508"/>
        <v>38</v>
      </c>
      <c r="BY249" s="234">
        <f t="shared" si="509"/>
        <v>4.0666935483870965</v>
      </c>
      <c r="BZ249" s="234" cm="1">
        <f t="array" ref="BZ249">$BM249 * IF($AH249&lt;=2,
SUMPRODUCT(INDEX($AV$66:$AX$70,,$AI249), INDEX($AY$66:$BE$70,,$AH249), 1 / ($BF$66:$BF$70*BY249 + (1-$BF$66:$BF$70)*BU249), N($AU$66:$AU$70&gt;$AM249)),
SUMPRODUCT(INDEX($AV$56:$AX$65,,$AI249), INDEX($AY$56:$BE$65,,$AH249), 1 / ($BG$56:$BG$65*BY249 + (1-$BG$56:$BG$65)*BU249), N($AU$56:$AU$65&gt;$AM249))
) / 1000</f>
        <v>0</v>
      </c>
      <c r="CA249" s="231">
        <f t="shared" si="316"/>
        <v>20</v>
      </c>
      <c r="CB249" s="229">
        <f t="shared" si="510"/>
        <v>33</v>
      </c>
      <c r="CC249" s="234">
        <f t="shared" si="511"/>
        <v>4.8487499999999999</v>
      </c>
      <c r="CD249" s="234" cm="1">
        <f t="array" ref="CD249">$BM249 * IF($AH249&lt;=2,
SUMPRODUCT(INDEX($AV$61:$AX$65,,$AI249), INDEX($AY$61:$BE$65,,$AH249), 1 / ($BF$61:$BF$65*CC249 + (1-$BF$61:$BF$65)*BY249), N($AU$61:$AU$65&gt;$AM249)),
SUMPRODUCT(INDEX($AV$46:$AX$55,,$AI249), INDEX($AY$46:$BE$55,,$AH249), 1 / ($BG$46:$BG$55*CC249 + (1-$BG$46:$BG$55)*BY249), N($AU$46:$AU$55&gt;$AM249))
) / 1000</f>
        <v>0</v>
      </c>
      <c r="CE249" s="234" cm="1">
        <f t="array" ref="CE249">$BM249 * IF($AH249&lt;=2,
SUMPRODUCT(INDEX($AV$22:$AX$60,,$AI249), INDEX($AY$22:$BE$60,,$AH249), 1 / ($BF$22:$BF$60*CC249), N($AU$22:$AU$60&gt;$AM249)),
SUMPRODUCT(INDEX($AV$22:$AX$45,,$AI249), INDEX($AY$22:$BE$45,,$AH249), 1 / ($BG$22:$BG$45*CC249), N($AU$22:$AU$45&gt;$AM249))
) / 1000</f>
        <v>0</v>
      </c>
      <c r="CF249" s="229">
        <f t="shared" si="512"/>
        <v>0</v>
      </c>
      <c r="CG249" s="246"/>
      <c r="CH249" s="229">
        <f t="shared" si="513"/>
        <v>0</v>
      </c>
      <c r="CI249" s="228">
        <v>35</v>
      </c>
      <c r="CJ249" s="229">
        <f t="shared" si="514"/>
        <v>48</v>
      </c>
      <c r="CK249" s="234">
        <f t="shared" si="515"/>
        <v>3.0748170731707316</v>
      </c>
      <c r="CL249" s="234" cm="1">
        <f t="array" ref="CL249">$BM249 * SUMPRODUCT(INDEX($AV$76:$AX$81,,$AI249),INDEX($AY$76:$BE$81,,$AH249), N($AU$76:$AU$81&gt;$AM249)) / CK249 / 1000</f>
        <v>0</v>
      </c>
      <c r="CM249" s="231">
        <f t="shared" si="323"/>
        <v>30</v>
      </c>
      <c r="CN249" s="229">
        <f t="shared" si="516"/>
        <v>43</v>
      </c>
      <c r="CO249" s="234">
        <f t="shared" si="517"/>
        <v>3.5018750000000001</v>
      </c>
      <c r="CP249" s="234" cm="1">
        <f t="array" ref="CP249">$BM249 * IF($AH249&lt;=2,
SUMPRODUCT(INDEX($AV$71:$AX$75,,$AI249), INDEX($AY$71:$BE$75,,$AH249), 1 / ($BF$71:$BF$75*CO249 + (1-$BF$71:$BF$75)*CK249), N($AU$71:$AU$75&gt;$AM249)),
SUMPRODUCT(INDEX($AV$66:$AX$75,,$AI249), INDEX($AY$66:$BE$75,,$AH249), 1 / ($BG$66:$BG$75*CO249 + (1-$BG$66:$BG$75)*CK249), N($AU$66:$AU$75&gt;$AM249))
) / 1000</f>
        <v>0</v>
      </c>
      <c r="CQ249" s="231">
        <f t="shared" si="326"/>
        <v>25</v>
      </c>
      <c r="CR249" s="229">
        <f t="shared" si="518"/>
        <v>38</v>
      </c>
      <c r="CS249" s="234">
        <f t="shared" si="519"/>
        <v>4.0666935483870965</v>
      </c>
      <c r="CT249" s="234" cm="1">
        <f t="array" ref="CT249">$BM249 * IF($AH249&lt;=2,
SUMPRODUCT(INDEX($AV$66:$AX$70,,$AI249), INDEX($AY$66:$BE$70,,$AH249), 1 / ($BF$66:$BF$70*CS249 + (1-$BF$66:$BF$70)*CO249), N($AU$66:$AU$70&gt;$AM249)),
SUMPRODUCT(INDEX($AV$56:$AX$65,,$AI249), INDEX($AY$56:$BE$65,,$AH249), 1 / ($BG$56:$BG$65*CS249 + (1-$BG$56:$BG$65)*CO249), N($AU$56:$AU$65&gt;$AM249))
) / 1000</f>
        <v>0</v>
      </c>
      <c r="CU249" s="231">
        <f t="shared" si="329"/>
        <v>20</v>
      </c>
      <c r="CV249" s="229">
        <f t="shared" si="520"/>
        <v>33</v>
      </c>
      <c r="CW249" s="234">
        <f t="shared" si="521"/>
        <v>4.8487499999999999</v>
      </c>
      <c r="CX249" s="234" cm="1">
        <f t="array" ref="CX249">$BM249 * IF($AH249&lt;=2,
SUMPRODUCT(INDEX($AV$61:$AX$65,,$AI249), INDEX($AY$61:$BE$65,,$AH249), 1 / ($BF$61:$BF$65*CW249 + (1-$BF$61:$BF$65)*CS249), N($AU$61:$AU$65&gt;$AM249)),
SUMPRODUCT(INDEX($AV$46:$AX$55,,$AI249), INDEX($AY$46:$BE$55,,$AH249), 1 / ($BG$46:$BG$55*CW249 + (1-$BG$46:$BG$55)*CS249), N($AU$46:$AU$55&gt;$AM249))
) / 1000</f>
        <v>0</v>
      </c>
      <c r="CY249" s="234" cm="1">
        <f t="array" ref="CY249">$BM249 * IF($AH249&lt;=2,
SUMPRODUCT(INDEX($AV$22:$AX$60,,$AI249), INDEX($AY$22:$BE$60,,$AH249), 1 / ($BF$22:$BF$60*CW249), N($AU$22:$AU$60&gt;$AM249)),
SUMPRODUCT(INDEX($AV$22:$AX$45,,$AI249), INDEX($AY$22:$BE$45,,$AH249), 1 / ($BG$22:$BG$45*CW249), N($AU$22:$AU$45&gt;$AM249))
) / 1000</f>
        <v>0</v>
      </c>
      <c r="CZ249" s="229">
        <f t="shared" si="522"/>
        <v>0</v>
      </c>
      <c r="DA249" s="246"/>
    </row>
    <row r="250" spans="1:105" s="75" customFormat="1" ht="14.25" customHeight="1" x14ac:dyDescent="0.2">
      <c r="A250" s="230" t="b">
        <f t="shared" si="291"/>
        <v>0</v>
      </c>
      <c r="B250" s="253">
        <v>229</v>
      </c>
      <c r="C250" s="266"/>
      <c r="D250" s="266"/>
      <c r="E250" s="254"/>
      <c r="F250" s="255" t="str">
        <f>IF(ISBLANK(E250), "", VLOOKUP(E250, Z!$A$2:$C$4127, 3, FALSE))</f>
        <v/>
      </c>
      <c r="G250" s="256"/>
      <c r="H250" s="256"/>
      <c r="I250" s="256"/>
      <c r="J250" s="257"/>
      <c r="K250" s="258"/>
      <c r="L250" s="267"/>
      <c r="M250" s="268"/>
      <c r="N250" s="259" t="str" cm="1">
        <f t="array" ref="N250">IF($L250&gt;0, INDEX(Clean,1+AK250,$D$1), "")</f>
        <v/>
      </c>
      <c r="O250" s="260"/>
      <c r="P250" s="260"/>
      <c r="Q250" s="261"/>
      <c r="R250" s="264">
        <f t="shared" ref="R250:R313" si="527">CF250*1000</f>
        <v>0</v>
      </c>
      <c r="S250" s="259" t="str" cm="1">
        <f t="array" ref="S250">IF($L250&gt;0, INDEX(Clean,1+AL250,$D$1), "")</f>
        <v/>
      </c>
      <c r="T250" s="260"/>
      <c r="U250" s="260"/>
      <c r="V250" s="261"/>
      <c r="W250" s="267"/>
      <c r="X250" s="267"/>
      <c r="Y250" s="257"/>
      <c r="Z250" s="264">
        <f t="shared" ref="Z250:Z313" si="528">(CZ250 - IF(W250&gt;0, CZ250*(W250/7)*AP250, 0) - IF(X250&gt;0, CZ250*(X250*AR250*AS250), 0))*1000</f>
        <v>0</v>
      </c>
      <c r="AA250" s="269"/>
      <c r="AB250" s="266"/>
      <c r="AC250" s="254"/>
      <c r="AD250" s="255" t="str">
        <f>IF(ISBLANK(AC250), "", VLOOKUP(AC250, Z!$A$2:$C$4127, 3, FALSE))</f>
        <v/>
      </c>
      <c r="AE250" s="270"/>
      <c r="AF250" s="265">
        <f t="shared" ref="AF250:AF313" si="529">0.75*AO$22*(R250-Z250)</f>
        <v>0</v>
      </c>
      <c r="AG250" s="246"/>
      <c r="AH250" s="228">
        <f t="shared" si="523"/>
        <v>1</v>
      </c>
      <c r="AI250" s="228">
        <f t="shared" si="524"/>
        <v>1</v>
      </c>
      <c r="AJ250" s="228">
        <f t="shared" si="525"/>
        <v>0</v>
      </c>
      <c r="AK250" s="228">
        <v>0</v>
      </c>
      <c r="AL250" s="228">
        <v>0</v>
      </c>
      <c r="AM250" s="228">
        <f t="shared" ref="AM250:AM313" si="530">IF(AND(K250="x", AH250=5), 11, IF(AND(K250="x", AH250=6), 19, -100))</f>
        <v>-100</v>
      </c>
      <c r="AN250" s="228" cm="1">
        <f t="array" ref="AN250">IF(ISBLANK(G250), 1, IFERROR(MATCH(G250, INDEX(Kat,,1), 0), IFERROR(MATCH(Kat, INDEX(Use,,2), 0), MATCH(Kat, INDEX(Use,,3), 0))))</f>
        <v>1</v>
      </c>
      <c r="AO250" s="246"/>
      <c r="AP250" s="228" cm="1">
        <f t="array" ref="AP250">IF(W250&gt;0, INDEX(Kat, AN250,4), 0)</f>
        <v>0</v>
      </c>
      <c r="AQ250" s="228">
        <f t="shared" si="526"/>
        <v>0</v>
      </c>
      <c r="AR250" s="228" cm="1">
        <f t="array" ref="AR250">IF(X250&gt;0, INDEX(Kat, $AN250, 4+AQ250), 0)</f>
        <v>0</v>
      </c>
      <c r="AS250" s="228" cm="1">
        <f t="array" ref="AS250">IF(X250&gt;0, INDEX(Kat, $AN250, 9+AQ250), 0)</f>
        <v>0</v>
      </c>
      <c r="AT250" s="246"/>
      <c r="AU250" s="262"/>
      <c r="AV250" s="262"/>
      <c r="AW250" s="263"/>
      <c r="AX250" s="263"/>
      <c r="AY250" s="263"/>
      <c r="AZ250" s="263"/>
      <c r="BA250" s="263"/>
      <c r="BB250" s="263"/>
      <c r="BC250" s="263"/>
      <c r="BD250" s="263"/>
      <c r="BE250" s="263"/>
      <c r="BF250" s="263"/>
      <c r="BG250" s="263"/>
      <c r="BH250" s="246"/>
      <c r="BI250" s="228" cm="1">
        <f t="array" ref="BI250">INDEX(Use, $AH250, 4)</f>
        <v>7</v>
      </c>
      <c r="BJ250" s="228">
        <f t="shared" ref="BJ250:BJ313" si="531">MAX(25, BI250+25)</f>
        <v>32</v>
      </c>
      <c r="BK250" s="228">
        <f t="shared" si="305"/>
        <v>13</v>
      </c>
      <c r="BL250" s="228">
        <f t="shared" si="306"/>
        <v>0</v>
      </c>
      <c r="BM250" s="233" cm="1">
        <f t="array" ref="BM250">L250/IF($M250&gt;0, INDEX($AY$22:$BE$76, $M250+20, $AH250), 1)</f>
        <v>0</v>
      </c>
      <c r="BN250" s="229">
        <f t="shared" ref="BN250:BN313" si="532">Q250 /  IF(AH250&lt;=2, 0.7 + 0.3 * (P250-20)/(35-20), 0.4 + 0.6 * (P250-5)/(35-5))</f>
        <v>0</v>
      </c>
      <c r="BO250" s="228">
        <v>35</v>
      </c>
      <c r="BP250" s="229">
        <f t="shared" ref="BP250:BP313" si="533">MAX($O250, MAX($BJ250, $BO250 + $BK250 + $BL250 + 0.35*$AK250*$BK250 + BN250))</f>
        <v>48</v>
      </c>
      <c r="BQ250" s="234">
        <f t="shared" ref="BQ250:BQ313" si="534">0.45*($BI250+273.15)/(BP250-$BI250)</f>
        <v>3.0748170731707316</v>
      </c>
      <c r="BR250" s="234" cm="1">
        <f t="array" ref="BR250">$BM250 * SUMPRODUCT(INDEX($AV$76:$AX$81,,$AI250),INDEX($AY$76:$BE$81,,$AH250), N($AU$76:$AU$81&gt;$AM250)) / BQ250 / 1000</f>
        <v>0</v>
      </c>
      <c r="BS250" s="231">
        <f t="shared" si="310"/>
        <v>30</v>
      </c>
      <c r="BT250" s="229">
        <f t="shared" ref="BT250:BT313" si="535">MAX($O250, MAX($BJ250, BS250 + $BK250 + $BL250 + IF($AH250&lt;=2, (BS250-20)/(35-20), 0.6+0.4*(BS250-5)/(35-5))*0.35*$AK250*$BK250) + IF($AH250&lt;=2,0.9,0.8)*$BN250)</f>
        <v>43</v>
      </c>
      <c r="BU250" s="234">
        <f t="shared" ref="BU250:BU313" si="536">0.45*($BI250+273.15)/(BT250-$BI250)</f>
        <v>3.5018750000000001</v>
      </c>
      <c r="BV250" s="234" cm="1">
        <f t="array" ref="BV250">$BM250 * IF($AH250&lt;=2,
SUMPRODUCT(INDEX($AV$71:$AX$75,,$AI250), INDEX($AY$71:$BE$75,,$AH250), 1 / ($BF$71:$BF$75*BU250 + (1-$BF$71:$BF$75)*BQ250), N($AU$71:$AU$75&gt;$AM250)),
SUMPRODUCT(INDEX($AV$66:$AX$75,,$AI250), INDEX($AY$66:$BE$75,,$AH250), 1 / ($BG$66:$BG$75*BU250 + (1-$BG$66:$BG$75)*BQ250), N($AU$66:$AU$75&gt;$AM250))
) / 1000</f>
        <v>0</v>
      </c>
      <c r="BW250" s="231">
        <f t="shared" si="313"/>
        <v>25</v>
      </c>
      <c r="BX250" s="229">
        <f t="shared" ref="BX250:BX313" si="537">MAX($O250, MAX($BJ250, BW250 + $BK250 + $BL250 + IF($AH250&lt;=2, (BW250-20)/(35-20), 0.6+0.4*(BW250-5)/(35-5))*0.35*$AK250*$BK250) + IF($AH250&lt;=2,0.8,0.6)*$BN250)</f>
        <v>38</v>
      </c>
      <c r="BY250" s="234">
        <f t="shared" ref="BY250:BY313" si="538">0.45*($BI250+273.15)/(BX250-$BI250)</f>
        <v>4.0666935483870965</v>
      </c>
      <c r="BZ250" s="234" cm="1">
        <f t="array" ref="BZ250">$BM250 * IF($AH250&lt;=2,
SUMPRODUCT(INDEX($AV$66:$AX$70,,$AI250), INDEX($AY$66:$BE$70,,$AH250), 1 / ($BF$66:$BF$70*BY250 + (1-$BF$66:$BF$70)*BU250), N($AU$66:$AU$70&gt;$AM250)),
SUMPRODUCT(INDEX($AV$56:$AX$65,,$AI250), INDEX($AY$56:$BE$65,,$AH250), 1 / ($BG$56:$BG$65*BY250 + (1-$BG$56:$BG$65)*BU250), N($AU$56:$AU$65&gt;$AM250))
) / 1000</f>
        <v>0</v>
      </c>
      <c r="CA250" s="231">
        <f t="shared" si="316"/>
        <v>20</v>
      </c>
      <c r="CB250" s="229">
        <f t="shared" ref="CB250:CB313" si="539">MAX($O250, MAX($BJ250, CA250 + $BK250 + $BL250 + IF($AH250&lt;=2, (CA250-20)/(35-20), 0.6+0.4*(CA250-5)/(35-5))*0.35*$AK250*$BK250) + IF($AH250&lt;=2,0.7,0.4)*$BN250)</f>
        <v>33</v>
      </c>
      <c r="CC250" s="234">
        <f t="shared" ref="CC250:CC313" si="540">0.45*($BI250+273.15)/(CB250-$BI250)</f>
        <v>4.8487499999999999</v>
      </c>
      <c r="CD250" s="234" cm="1">
        <f t="array" ref="CD250">$BM250 * IF($AH250&lt;=2,
SUMPRODUCT(INDEX($AV$61:$AX$65,,$AI250), INDEX($AY$61:$BE$65,,$AH250), 1 / ($BF$61:$BF$65*CC250 + (1-$BF$61:$BF$65)*BY250), N($AU$61:$AU$65&gt;$AM250)),
SUMPRODUCT(INDEX($AV$46:$AX$55,,$AI250), INDEX($AY$46:$BE$55,,$AH250), 1 / ($BG$46:$BG$55*CC250 + (1-$BG$46:$BG$55)*BY250), N($AU$46:$AU$55&gt;$AM250))
) / 1000</f>
        <v>0</v>
      </c>
      <c r="CE250" s="234" cm="1">
        <f t="array" ref="CE250">$BM250 * IF($AH250&lt;=2,
SUMPRODUCT(INDEX($AV$22:$AX$60,,$AI250), INDEX($AY$22:$BE$60,,$AH250), 1 / ($BF$22:$BF$60*CC250), N($AU$22:$AU$60&gt;$AM250)),
SUMPRODUCT(INDEX($AV$22:$AX$45,,$AI250), INDEX($AY$22:$BE$45,,$AH250), 1 / ($BG$22:$BG$45*CC250), N($AU$22:$AU$45&gt;$AM250))
) / 1000</f>
        <v>0</v>
      </c>
      <c r="CF250" s="229">
        <f t="shared" ref="CF250:CF313" si="541">BR250+BV250+BZ250+CD250+CE250</f>
        <v>0</v>
      </c>
      <c r="CG250" s="246"/>
      <c r="CH250" s="229">
        <f t="shared" ref="CH250:CH313" si="542">V250 /  IF(AH250&lt;=2, 0.7 + 0.3 * (U250-20)/(35-20), 0.4 + 0.6 * (U250-5)/(35-5))</f>
        <v>0</v>
      </c>
      <c r="CI250" s="228">
        <v>35</v>
      </c>
      <c r="CJ250" s="229">
        <f t="shared" ref="CJ250:CJ313" si="543">MAX($T250, MAX($BJ250, $BO250 + $BK250 + $BL250 + 0.35*$AL250*$BK250 + CH250))</f>
        <v>48</v>
      </c>
      <c r="CK250" s="234">
        <f t="shared" ref="CK250:CK313" si="544">0.45*($BI250+273.15)/(CJ250-$BI250)</f>
        <v>3.0748170731707316</v>
      </c>
      <c r="CL250" s="234" cm="1">
        <f t="array" ref="CL250">$BM250 * SUMPRODUCT(INDEX($AV$76:$AX$81,,$AI250),INDEX($AY$76:$BE$81,,$AH250), N($AU$76:$AU$81&gt;$AM250)) / CK250 / 1000</f>
        <v>0</v>
      </c>
      <c r="CM250" s="231">
        <f t="shared" si="323"/>
        <v>30</v>
      </c>
      <c r="CN250" s="229">
        <f t="shared" ref="CN250:CN313" si="545">MAX($T250, MAX($BJ250, CM250 + $BK250 + $BL250 + IF($AH250&lt;=2, (CM250-20)/(35-20), 0.6+0.4*(CM250-5)/(35-5))*0.35*$AL250*$BK250) + IF($AH250&lt;=2,0.9,0.8)*$CH250)</f>
        <v>43</v>
      </c>
      <c r="CO250" s="234">
        <f t="shared" ref="CO250:CO313" si="546">0.45*($BI250+273.15)/(CN250-$BI250)</f>
        <v>3.5018750000000001</v>
      </c>
      <c r="CP250" s="234" cm="1">
        <f t="array" ref="CP250">$BM250 * IF($AH250&lt;=2,
SUMPRODUCT(INDEX($AV$71:$AX$75,,$AI250), INDEX($AY$71:$BE$75,,$AH250), 1 / ($BF$71:$BF$75*CO250 + (1-$BF$71:$BF$75)*CK250), N($AU$71:$AU$75&gt;$AM250)),
SUMPRODUCT(INDEX($AV$66:$AX$75,,$AI250), INDEX($AY$66:$BE$75,,$AH250), 1 / ($BG$66:$BG$75*CO250 + (1-$BG$66:$BG$75)*CK250), N($AU$66:$AU$75&gt;$AM250))
) / 1000</f>
        <v>0</v>
      </c>
      <c r="CQ250" s="231">
        <f t="shared" si="326"/>
        <v>25</v>
      </c>
      <c r="CR250" s="229">
        <f t="shared" ref="CR250:CR313" si="547">MAX($T250, MAX($BJ250, CQ250 + $BK250 + $BL250 + IF($AH250&lt;=2, (CQ250-20)/(35-20), 0.6+0.4*(CQ250-5)/(35-5))*0.35*$AL250*$BK250) + IF($AH250&lt;=2,0.8,0.6)*$CH250)</f>
        <v>38</v>
      </c>
      <c r="CS250" s="234">
        <f t="shared" ref="CS250:CS313" si="548">0.45*($BI250+273.15)/(CR250-$BI250)</f>
        <v>4.0666935483870965</v>
      </c>
      <c r="CT250" s="234" cm="1">
        <f t="array" ref="CT250">$BM250 * IF($AH250&lt;=2,
SUMPRODUCT(INDEX($AV$66:$AX$70,,$AI250), INDEX($AY$66:$BE$70,,$AH250), 1 / ($BF$66:$BF$70*CS250 + (1-$BF$66:$BF$70)*CO250), N($AU$66:$AU$70&gt;$AM250)),
SUMPRODUCT(INDEX($AV$56:$AX$65,,$AI250), INDEX($AY$56:$BE$65,,$AH250), 1 / ($BG$56:$BG$65*CS250 + (1-$BG$56:$BG$65)*CO250), N($AU$56:$AU$65&gt;$AM250))
) / 1000</f>
        <v>0</v>
      </c>
      <c r="CU250" s="231">
        <f t="shared" si="329"/>
        <v>20</v>
      </c>
      <c r="CV250" s="229">
        <f t="shared" ref="CV250:CV313" si="549">MAX($T250, MAX($BJ250, CU250 + $BK250 + $BL250 + IF($AH250&lt;=2, (CU250-20)/(35-20), 0.6+0.4*(CU250-5)/(35-5))*0.35*$AL250*$BK250) + IF($AH250&lt;=2,0.7,0.4)*$CH250)</f>
        <v>33</v>
      </c>
      <c r="CW250" s="234">
        <f t="shared" ref="CW250:CW313" si="550">0.45*($BI250+273.15)/(CV250-$BI250)</f>
        <v>4.8487499999999999</v>
      </c>
      <c r="CX250" s="234" cm="1">
        <f t="array" ref="CX250">$BM250 * IF($AH250&lt;=2,
SUMPRODUCT(INDEX($AV$61:$AX$65,,$AI250), INDEX($AY$61:$BE$65,,$AH250), 1 / ($BF$61:$BF$65*CW250 + (1-$BF$61:$BF$65)*CS250), N($AU$61:$AU$65&gt;$AM250)),
SUMPRODUCT(INDEX($AV$46:$AX$55,,$AI250), INDEX($AY$46:$BE$55,,$AH250), 1 / ($BG$46:$BG$55*CW250 + (1-$BG$46:$BG$55)*CS250), N($AU$46:$AU$55&gt;$AM250))
) / 1000</f>
        <v>0</v>
      </c>
      <c r="CY250" s="234" cm="1">
        <f t="array" ref="CY250">$BM250 * IF($AH250&lt;=2,
SUMPRODUCT(INDEX($AV$22:$AX$60,,$AI250), INDEX($AY$22:$BE$60,,$AH250), 1 / ($BF$22:$BF$60*CW250), N($AU$22:$AU$60&gt;$AM250)),
SUMPRODUCT(INDEX($AV$22:$AX$45,,$AI250), INDEX($AY$22:$BE$45,,$AH250), 1 / ($BG$22:$BG$45*CW250), N($AU$22:$AU$45&gt;$AM250))
) / 1000</f>
        <v>0</v>
      </c>
      <c r="CZ250" s="229">
        <f t="shared" ref="CZ250:CZ313" si="551">CL250+CP250+CT250+CX250+CY250</f>
        <v>0</v>
      </c>
      <c r="DA250" s="246"/>
    </row>
    <row r="251" spans="1:105" s="75" customFormat="1" ht="14.25" customHeight="1" x14ac:dyDescent="0.2">
      <c r="A251" s="230" t="b">
        <f t="shared" si="291"/>
        <v>0</v>
      </c>
      <c r="B251" s="253">
        <v>230</v>
      </c>
      <c r="C251" s="266"/>
      <c r="D251" s="266"/>
      <c r="E251" s="254"/>
      <c r="F251" s="255" t="str">
        <f>IF(ISBLANK(E251), "", VLOOKUP(E251, Z!$A$2:$C$4127, 3, FALSE))</f>
        <v/>
      </c>
      <c r="G251" s="256"/>
      <c r="H251" s="256"/>
      <c r="I251" s="256"/>
      <c r="J251" s="257"/>
      <c r="K251" s="258"/>
      <c r="L251" s="267"/>
      <c r="M251" s="268"/>
      <c r="N251" s="259" t="str" cm="1">
        <f t="array" ref="N251">IF($L251&gt;0, INDEX(Clean,1+AK251,$D$1), "")</f>
        <v/>
      </c>
      <c r="O251" s="260"/>
      <c r="P251" s="260"/>
      <c r="Q251" s="261"/>
      <c r="R251" s="264">
        <f t="shared" si="527"/>
        <v>0</v>
      </c>
      <c r="S251" s="259" t="str" cm="1">
        <f t="array" ref="S251">IF($L251&gt;0, INDEX(Clean,1+AL251,$D$1), "")</f>
        <v/>
      </c>
      <c r="T251" s="260"/>
      <c r="U251" s="260"/>
      <c r="V251" s="261"/>
      <c r="W251" s="267"/>
      <c r="X251" s="267"/>
      <c r="Y251" s="257"/>
      <c r="Z251" s="264">
        <f t="shared" si="528"/>
        <v>0</v>
      </c>
      <c r="AA251" s="269"/>
      <c r="AB251" s="266"/>
      <c r="AC251" s="254"/>
      <c r="AD251" s="255" t="str">
        <f>IF(ISBLANK(AC251), "", VLOOKUP(AC251, Z!$A$2:$C$4127, 3, FALSE))</f>
        <v/>
      </c>
      <c r="AE251" s="270"/>
      <c r="AF251" s="265">
        <f t="shared" si="529"/>
        <v>0</v>
      </c>
      <c r="AG251" s="246"/>
      <c r="AH251" s="228">
        <f t="shared" ref="AH251:AH314" si="552">IF(ISBLANK(I251), 1, IFERROR(MATCH(I251, INDEX(Use,,1), 0), IFERROR(MATCH(I251, INDEX(Use,,2), 0), MATCH(I251, INDEX(Use,,3), 0))))</f>
        <v>1</v>
      </c>
      <c r="AI251" s="228">
        <f t="shared" ref="AI251:AI314" si="553">IF(ISBLANK(H251), 1, IFERROR(MATCH(H251, INDEX(Loc,,1), 0), IFERROR(MATCH(H251, INDEX(Loc,,2), 0), MATCH(H251, INDEX(Loc,,3), 0))))</f>
        <v>1</v>
      </c>
      <c r="AJ251" s="228">
        <f t="shared" ref="AJ251:AJ314" si="554">_xlfn.IFNA(IF(IFERROR(MATCH(J251, INDEX(Medium,,1), 0), IFERROR(MATCH(J251, INDEX(Medium,,2), 0), MATCH(J251, INDEX(Medium,,3), 0))) = 2, 1, 0), 0)</f>
        <v>0</v>
      </c>
      <c r="AK251" s="228">
        <v>0</v>
      </c>
      <c r="AL251" s="228">
        <v>0</v>
      </c>
      <c r="AM251" s="228">
        <f t="shared" si="530"/>
        <v>-100</v>
      </c>
      <c r="AN251" s="228" cm="1">
        <f t="array" ref="AN251">IF(ISBLANK(G251), 1, IFERROR(MATCH(G251, INDEX(Kat,,1), 0), IFERROR(MATCH(Kat, INDEX(Use,,2), 0), MATCH(Kat, INDEX(Use,,3), 0))))</f>
        <v>1</v>
      </c>
      <c r="AO251" s="246"/>
      <c r="AP251" s="228" cm="1">
        <f t="array" ref="AP251">IF(W251&gt;0, INDEX(Kat, AN251,4), 0)</f>
        <v>0</v>
      </c>
      <c r="AQ251" s="228">
        <f t="shared" ref="AQ251:AQ314" si="555">IF(ISBLANK(Y251), 0, IFERROR(MATCH(Y251, INDEX(Month,,1), 0), IFERROR(MATCH(Y251, INDEX(Month,,2), 0), MATCH(Y251, INDEX(Month,,3), 0))))</f>
        <v>0</v>
      </c>
      <c r="AR251" s="228" cm="1">
        <f t="array" ref="AR251">IF(X251&gt;0, INDEX(Kat, $AN251, 4+AQ251), 0)</f>
        <v>0</v>
      </c>
      <c r="AS251" s="228" cm="1">
        <f t="array" ref="AS251">IF(X251&gt;0, INDEX(Kat, $AN251, 9+AQ251), 0)</f>
        <v>0</v>
      </c>
      <c r="AT251" s="246"/>
      <c r="AU251" s="262"/>
      <c r="AV251" s="262"/>
      <c r="AW251" s="263"/>
      <c r="AX251" s="263"/>
      <c r="AY251" s="263"/>
      <c r="AZ251" s="263"/>
      <c r="BA251" s="263"/>
      <c r="BB251" s="263"/>
      <c r="BC251" s="263"/>
      <c r="BD251" s="263"/>
      <c r="BE251" s="263"/>
      <c r="BF251" s="263"/>
      <c r="BG251" s="263"/>
      <c r="BH251" s="246"/>
      <c r="BI251" s="228" cm="1">
        <f t="array" ref="BI251">INDEX(Use, $AH251, 4)</f>
        <v>7</v>
      </c>
      <c r="BJ251" s="228">
        <f t="shared" si="531"/>
        <v>32</v>
      </c>
      <c r="BK251" s="228">
        <f t="shared" si="305"/>
        <v>13</v>
      </c>
      <c r="BL251" s="228">
        <f t="shared" si="306"/>
        <v>0</v>
      </c>
      <c r="BM251" s="233" cm="1">
        <f t="array" ref="BM251">L251/IF($M251&gt;0, INDEX($AY$22:$BE$76, $M251+20, $AH251), 1)</f>
        <v>0</v>
      </c>
      <c r="BN251" s="229">
        <f t="shared" si="532"/>
        <v>0</v>
      </c>
      <c r="BO251" s="228">
        <v>35</v>
      </c>
      <c r="BP251" s="229">
        <f t="shared" si="533"/>
        <v>48</v>
      </c>
      <c r="BQ251" s="234">
        <f t="shared" si="534"/>
        <v>3.0748170731707316</v>
      </c>
      <c r="BR251" s="234" cm="1">
        <f t="array" ref="BR251">$BM251 * SUMPRODUCT(INDEX($AV$76:$AX$81,,$AI251),INDEX($AY$76:$BE$81,,$AH251), N($AU$76:$AU$81&gt;$AM251)) / BQ251 / 1000</f>
        <v>0</v>
      </c>
      <c r="BS251" s="231">
        <f t="shared" si="310"/>
        <v>30</v>
      </c>
      <c r="BT251" s="229">
        <f t="shared" si="535"/>
        <v>43</v>
      </c>
      <c r="BU251" s="234">
        <f t="shared" si="536"/>
        <v>3.5018750000000001</v>
      </c>
      <c r="BV251" s="234" cm="1">
        <f t="array" ref="BV251">$BM251 * IF($AH251&lt;=2,
SUMPRODUCT(INDEX($AV$71:$AX$75,,$AI251), INDEX($AY$71:$BE$75,,$AH251), 1 / ($BF$71:$BF$75*BU251 + (1-$BF$71:$BF$75)*BQ251), N($AU$71:$AU$75&gt;$AM251)),
SUMPRODUCT(INDEX($AV$66:$AX$75,,$AI251), INDEX($AY$66:$BE$75,,$AH251), 1 / ($BG$66:$BG$75*BU251 + (1-$BG$66:$BG$75)*BQ251), N($AU$66:$AU$75&gt;$AM251))
) / 1000</f>
        <v>0</v>
      </c>
      <c r="BW251" s="231">
        <f t="shared" si="313"/>
        <v>25</v>
      </c>
      <c r="BX251" s="229">
        <f t="shared" si="537"/>
        <v>38</v>
      </c>
      <c r="BY251" s="234">
        <f t="shared" si="538"/>
        <v>4.0666935483870965</v>
      </c>
      <c r="BZ251" s="234" cm="1">
        <f t="array" ref="BZ251">$BM251 * IF($AH251&lt;=2,
SUMPRODUCT(INDEX($AV$66:$AX$70,,$AI251), INDEX($AY$66:$BE$70,,$AH251), 1 / ($BF$66:$BF$70*BY251 + (1-$BF$66:$BF$70)*BU251), N($AU$66:$AU$70&gt;$AM251)),
SUMPRODUCT(INDEX($AV$56:$AX$65,,$AI251), INDEX($AY$56:$BE$65,,$AH251), 1 / ($BG$56:$BG$65*BY251 + (1-$BG$56:$BG$65)*BU251), N($AU$56:$AU$65&gt;$AM251))
) / 1000</f>
        <v>0</v>
      </c>
      <c r="CA251" s="231">
        <f t="shared" si="316"/>
        <v>20</v>
      </c>
      <c r="CB251" s="229">
        <f t="shared" si="539"/>
        <v>33</v>
      </c>
      <c r="CC251" s="234">
        <f t="shared" si="540"/>
        <v>4.8487499999999999</v>
      </c>
      <c r="CD251" s="234" cm="1">
        <f t="array" ref="CD251">$BM251 * IF($AH251&lt;=2,
SUMPRODUCT(INDEX($AV$61:$AX$65,,$AI251), INDEX($AY$61:$BE$65,,$AH251), 1 / ($BF$61:$BF$65*CC251 + (1-$BF$61:$BF$65)*BY251), N($AU$61:$AU$65&gt;$AM251)),
SUMPRODUCT(INDEX($AV$46:$AX$55,,$AI251), INDEX($AY$46:$BE$55,,$AH251), 1 / ($BG$46:$BG$55*CC251 + (1-$BG$46:$BG$55)*BY251), N($AU$46:$AU$55&gt;$AM251))
) / 1000</f>
        <v>0</v>
      </c>
      <c r="CE251" s="234" cm="1">
        <f t="array" ref="CE251">$BM251 * IF($AH251&lt;=2,
SUMPRODUCT(INDEX($AV$22:$AX$60,,$AI251), INDEX($AY$22:$BE$60,,$AH251), 1 / ($BF$22:$BF$60*CC251), N($AU$22:$AU$60&gt;$AM251)),
SUMPRODUCT(INDEX($AV$22:$AX$45,,$AI251), INDEX($AY$22:$BE$45,,$AH251), 1 / ($BG$22:$BG$45*CC251), N($AU$22:$AU$45&gt;$AM251))
) / 1000</f>
        <v>0</v>
      </c>
      <c r="CF251" s="229">
        <f t="shared" si="541"/>
        <v>0</v>
      </c>
      <c r="CG251" s="246"/>
      <c r="CH251" s="229">
        <f t="shared" si="542"/>
        <v>0</v>
      </c>
      <c r="CI251" s="228">
        <v>35</v>
      </c>
      <c r="CJ251" s="229">
        <f t="shared" si="543"/>
        <v>48</v>
      </c>
      <c r="CK251" s="234">
        <f t="shared" si="544"/>
        <v>3.0748170731707316</v>
      </c>
      <c r="CL251" s="234" cm="1">
        <f t="array" ref="CL251">$BM251 * SUMPRODUCT(INDEX($AV$76:$AX$81,,$AI251),INDEX($AY$76:$BE$81,,$AH251), N($AU$76:$AU$81&gt;$AM251)) / CK251 / 1000</f>
        <v>0</v>
      </c>
      <c r="CM251" s="231">
        <f t="shared" si="323"/>
        <v>30</v>
      </c>
      <c r="CN251" s="229">
        <f t="shared" si="545"/>
        <v>43</v>
      </c>
      <c r="CO251" s="234">
        <f t="shared" si="546"/>
        <v>3.5018750000000001</v>
      </c>
      <c r="CP251" s="234" cm="1">
        <f t="array" ref="CP251">$BM251 * IF($AH251&lt;=2,
SUMPRODUCT(INDEX($AV$71:$AX$75,,$AI251), INDEX($AY$71:$BE$75,,$AH251), 1 / ($BF$71:$BF$75*CO251 + (1-$BF$71:$BF$75)*CK251), N($AU$71:$AU$75&gt;$AM251)),
SUMPRODUCT(INDEX($AV$66:$AX$75,,$AI251), INDEX($AY$66:$BE$75,,$AH251), 1 / ($BG$66:$BG$75*CO251 + (1-$BG$66:$BG$75)*CK251), N($AU$66:$AU$75&gt;$AM251))
) / 1000</f>
        <v>0</v>
      </c>
      <c r="CQ251" s="231">
        <f t="shared" si="326"/>
        <v>25</v>
      </c>
      <c r="CR251" s="229">
        <f t="shared" si="547"/>
        <v>38</v>
      </c>
      <c r="CS251" s="234">
        <f t="shared" si="548"/>
        <v>4.0666935483870965</v>
      </c>
      <c r="CT251" s="234" cm="1">
        <f t="array" ref="CT251">$BM251 * IF($AH251&lt;=2,
SUMPRODUCT(INDEX($AV$66:$AX$70,,$AI251), INDEX($AY$66:$BE$70,,$AH251), 1 / ($BF$66:$BF$70*CS251 + (1-$BF$66:$BF$70)*CO251), N($AU$66:$AU$70&gt;$AM251)),
SUMPRODUCT(INDEX($AV$56:$AX$65,,$AI251), INDEX($AY$56:$BE$65,,$AH251), 1 / ($BG$56:$BG$65*CS251 + (1-$BG$56:$BG$65)*CO251), N($AU$56:$AU$65&gt;$AM251))
) / 1000</f>
        <v>0</v>
      </c>
      <c r="CU251" s="231">
        <f t="shared" si="329"/>
        <v>20</v>
      </c>
      <c r="CV251" s="229">
        <f t="shared" si="549"/>
        <v>33</v>
      </c>
      <c r="CW251" s="234">
        <f t="shared" si="550"/>
        <v>4.8487499999999999</v>
      </c>
      <c r="CX251" s="234" cm="1">
        <f t="array" ref="CX251">$BM251 * IF($AH251&lt;=2,
SUMPRODUCT(INDEX($AV$61:$AX$65,,$AI251), INDEX($AY$61:$BE$65,,$AH251), 1 / ($BF$61:$BF$65*CW251 + (1-$BF$61:$BF$65)*CS251), N($AU$61:$AU$65&gt;$AM251)),
SUMPRODUCT(INDEX($AV$46:$AX$55,,$AI251), INDEX($AY$46:$BE$55,,$AH251), 1 / ($BG$46:$BG$55*CW251 + (1-$BG$46:$BG$55)*CS251), N($AU$46:$AU$55&gt;$AM251))
) / 1000</f>
        <v>0</v>
      </c>
      <c r="CY251" s="234" cm="1">
        <f t="array" ref="CY251">$BM251 * IF($AH251&lt;=2,
SUMPRODUCT(INDEX($AV$22:$AX$60,,$AI251), INDEX($AY$22:$BE$60,,$AH251), 1 / ($BF$22:$BF$60*CW251), N($AU$22:$AU$60&gt;$AM251)),
SUMPRODUCT(INDEX($AV$22:$AX$45,,$AI251), INDEX($AY$22:$BE$45,,$AH251), 1 / ($BG$22:$BG$45*CW251), N($AU$22:$AU$45&gt;$AM251))
) / 1000</f>
        <v>0</v>
      </c>
      <c r="CZ251" s="229">
        <f t="shared" si="551"/>
        <v>0</v>
      </c>
      <c r="DA251" s="246"/>
    </row>
    <row r="252" spans="1:105" s="75" customFormat="1" ht="14.25" customHeight="1" x14ac:dyDescent="0.2">
      <c r="A252" s="230" t="b">
        <f t="shared" si="291"/>
        <v>0</v>
      </c>
      <c r="B252" s="253">
        <v>231</v>
      </c>
      <c r="C252" s="266"/>
      <c r="D252" s="266"/>
      <c r="E252" s="254"/>
      <c r="F252" s="255" t="str">
        <f>IF(ISBLANK(E252), "", VLOOKUP(E252, Z!$A$2:$C$4127, 3, FALSE))</f>
        <v/>
      </c>
      <c r="G252" s="256"/>
      <c r="H252" s="256"/>
      <c r="I252" s="256"/>
      <c r="J252" s="257"/>
      <c r="K252" s="258"/>
      <c r="L252" s="267"/>
      <c r="M252" s="268"/>
      <c r="N252" s="259" t="str" cm="1">
        <f t="array" ref="N252">IF($L252&gt;0, INDEX(Clean,1+AK252,$D$1), "")</f>
        <v/>
      </c>
      <c r="O252" s="260"/>
      <c r="P252" s="260"/>
      <c r="Q252" s="261"/>
      <c r="R252" s="264">
        <f t="shared" si="527"/>
        <v>0</v>
      </c>
      <c r="S252" s="259" t="str" cm="1">
        <f t="array" ref="S252">IF($L252&gt;0, INDEX(Clean,1+AL252,$D$1), "")</f>
        <v/>
      </c>
      <c r="T252" s="260"/>
      <c r="U252" s="260"/>
      <c r="V252" s="261"/>
      <c r="W252" s="267"/>
      <c r="X252" s="267"/>
      <c r="Y252" s="257"/>
      <c r="Z252" s="264">
        <f t="shared" si="528"/>
        <v>0</v>
      </c>
      <c r="AA252" s="269"/>
      <c r="AB252" s="266"/>
      <c r="AC252" s="254"/>
      <c r="AD252" s="255" t="str">
        <f>IF(ISBLANK(AC252), "", VLOOKUP(AC252, Z!$A$2:$C$4127, 3, FALSE))</f>
        <v/>
      </c>
      <c r="AE252" s="270"/>
      <c r="AF252" s="265">
        <f t="shared" si="529"/>
        <v>0</v>
      </c>
      <c r="AG252" s="246"/>
      <c r="AH252" s="228">
        <f t="shared" si="552"/>
        <v>1</v>
      </c>
      <c r="AI252" s="228">
        <f t="shared" si="553"/>
        <v>1</v>
      </c>
      <c r="AJ252" s="228">
        <f t="shared" si="554"/>
        <v>0</v>
      </c>
      <c r="AK252" s="228">
        <v>0</v>
      </c>
      <c r="AL252" s="228">
        <v>0</v>
      </c>
      <c r="AM252" s="228">
        <f t="shared" si="530"/>
        <v>-100</v>
      </c>
      <c r="AN252" s="228" cm="1">
        <f t="array" ref="AN252">IF(ISBLANK(G252), 1, IFERROR(MATCH(G252, INDEX(Kat,,1), 0), IFERROR(MATCH(Kat, INDEX(Use,,2), 0), MATCH(Kat, INDEX(Use,,3), 0))))</f>
        <v>1</v>
      </c>
      <c r="AO252" s="246"/>
      <c r="AP252" s="228" cm="1">
        <f t="array" ref="AP252">IF(W252&gt;0, INDEX(Kat, AN252,4), 0)</f>
        <v>0</v>
      </c>
      <c r="AQ252" s="228">
        <f t="shared" si="555"/>
        <v>0</v>
      </c>
      <c r="AR252" s="228" cm="1">
        <f t="array" ref="AR252">IF(X252&gt;0, INDEX(Kat, $AN252, 4+AQ252), 0)</f>
        <v>0</v>
      </c>
      <c r="AS252" s="228" cm="1">
        <f t="array" ref="AS252">IF(X252&gt;0, INDEX(Kat, $AN252, 9+AQ252), 0)</f>
        <v>0</v>
      </c>
      <c r="AT252" s="246"/>
      <c r="AU252" s="262"/>
      <c r="AV252" s="262"/>
      <c r="AW252" s="263"/>
      <c r="AX252" s="263"/>
      <c r="AY252" s="263"/>
      <c r="AZ252" s="263"/>
      <c r="BA252" s="263"/>
      <c r="BB252" s="263"/>
      <c r="BC252" s="263"/>
      <c r="BD252" s="263"/>
      <c r="BE252" s="263"/>
      <c r="BF252" s="263"/>
      <c r="BG252" s="263"/>
      <c r="BH252" s="246"/>
      <c r="BI252" s="228" cm="1">
        <f t="array" ref="BI252">INDEX(Use, $AH252, 4)</f>
        <v>7</v>
      </c>
      <c r="BJ252" s="228">
        <f t="shared" si="531"/>
        <v>32</v>
      </c>
      <c r="BK252" s="228">
        <f t="shared" si="305"/>
        <v>13</v>
      </c>
      <c r="BL252" s="228">
        <f t="shared" si="306"/>
        <v>0</v>
      </c>
      <c r="BM252" s="233" cm="1">
        <f t="array" ref="BM252">L252/IF($M252&gt;0, INDEX($AY$22:$BE$76, $M252+20, $AH252), 1)</f>
        <v>0</v>
      </c>
      <c r="BN252" s="229">
        <f t="shared" si="532"/>
        <v>0</v>
      </c>
      <c r="BO252" s="228">
        <v>35</v>
      </c>
      <c r="BP252" s="229">
        <f t="shared" si="533"/>
        <v>48</v>
      </c>
      <c r="BQ252" s="234">
        <f t="shared" si="534"/>
        <v>3.0748170731707316</v>
      </c>
      <c r="BR252" s="234" cm="1">
        <f t="array" ref="BR252">$BM252 * SUMPRODUCT(INDEX($AV$76:$AX$81,,$AI252),INDEX($AY$76:$BE$81,,$AH252), N($AU$76:$AU$81&gt;$AM252)) / BQ252 / 1000</f>
        <v>0</v>
      </c>
      <c r="BS252" s="231">
        <f t="shared" si="310"/>
        <v>30</v>
      </c>
      <c r="BT252" s="229">
        <f t="shared" si="535"/>
        <v>43</v>
      </c>
      <c r="BU252" s="234">
        <f t="shared" si="536"/>
        <v>3.5018750000000001</v>
      </c>
      <c r="BV252" s="234" cm="1">
        <f t="array" ref="BV252">$BM252 * IF($AH252&lt;=2,
SUMPRODUCT(INDEX($AV$71:$AX$75,,$AI252), INDEX($AY$71:$BE$75,,$AH252), 1 / ($BF$71:$BF$75*BU252 + (1-$BF$71:$BF$75)*BQ252), N($AU$71:$AU$75&gt;$AM252)),
SUMPRODUCT(INDEX($AV$66:$AX$75,,$AI252), INDEX($AY$66:$BE$75,,$AH252), 1 / ($BG$66:$BG$75*BU252 + (1-$BG$66:$BG$75)*BQ252), N($AU$66:$AU$75&gt;$AM252))
) / 1000</f>
        <v>0</v>
      </c>
      <c r="BW252" s="231">
        <f t="shared" si="313"/>
        <v>25</v>
      </c>
      <c r="BX252" s="229">
        <f t="shared" si="537"/>
        <v>38</v>
      </c>
      <c r="BY252" s="234">
        <f t="shared" si="538"/>
        <v>4.0666935483870965</v>
      </c>
      <c r="BZ252" s="234" cm="1">
        <f t="array" ref="BZ252">$BM252 * IF($AH252&lt;=2,
SUMPRODUCT(INDEX($AV$66:$AX$70,,$AI252), INDEX($AY$66:$BE$70,,$AH252), 1 / ($BF$66:$BF$70*BY252 + (1-$BF$66:$BF$70)*BU252), N($AU$66:$AU$70&gt;$AM252)),
SUMPRODUCT(INDEX($AV$56:$AX$65,,$AI252), INDEX($AY$56:$BE$65,,$AH252), 1 / ($BG$56:$BG$65*BY252 + (1-$BG$56:$BG$65)*BU252), N($AU$56:$AU$65&gt;$AM252))
) / 1000</f>
        <v>0</v>
      </c>
      <c r="CA252" s="231">
        <f t="shared" si="316"/>
        <v>20</v>
      </c>
      <c r="CB252" s="229">
        <f t="shared" si="539"/>
        <v>33</v>
      </c>
      <c r="CC252" s="234">
        <f t="shared" si="540"/>
        <v>4.8487499999999999</v>
      </c>
      <c r="CD252" s="234" cm="1">
        <f t="array" ref="CD252">$BM252 * IF($AH252&lt;=2,
SUMPRODUCT(INDEX($AV$61:$AX$65,,$AI252), INDEX($AY$61:$BE$65,,$AH252), 1 / ($BF$61:$BF$65*CC252 + (1-$BF$61:$BF$65)*BY252), N($AU$61:$AU$65&gt;$AM252)),
SUMPRODUCT(INDEX($AV$46:$AX$55,,$AI252), INDEX($AY$46:$BE$55,,$AH252), 1 / ($BG$46:$BG$55*CC252 + (1-$BG$46:$BG$55)*BY252), N($AU$46:$AU$55&gt;$AM252))
) / 1000</f>
        <v>0</v>
      </c>
      <c r="CE252" s="234" cm="1">
        <f t="array" ref="CE252">$BM252 * IF($AH252&lt;=2,
SUMPRODUCT(INDEX($AV$22:$AX$60,,$AI252), INDEX($AY$22:$BE$60,,$AH252), 1 / ($BF$22:$BF$60*CC252), N($AU$22:$AU$60&gt;$AM252)),
SUMPRODUCT(INDEX($AV$22:$AX$45,,$AI252), INDEX($AY$22:$BE$45,,$AH252), 1 / ($BG$22:$BG$45*CC252), N($AU$22:$AU$45&gt;$AM252))
) / 1000</f>
        <v>0</v>
      </c>
      <c r="CF252" s="229">
        <f t="shared" si="541"/>
        <v>0</v>
      </c>
      <c r="CG252" s="246"/>
      <c r="CH252" s="229">
        <f t="shared" si="542"/>
        <v>0</v>
      </c>
      <c r="CI252" s="228">
        <v>35</v>
      </c>
      <c r="CJ252" s="229">
        <f t="shared" si="543"/>
        <v>48</v>
      </c>
      <c r="CK252" s="234">
        <f t="shared" si="544"/>
        <v>3.0748170731707316</v>
      </c>
      <c r="CL252" s="234" cm="1">
        <f t="array" ref="CL252">$BM252 * SUMPRODUCT(INDEX($AV$76:$AX$81,,$AI252),INDEX($AY$76:$BE$81,,$AH252), N($AU$76:$AU$81&gt;$AM252)) / CK252 / 1000</f>
        <v>0</v>
      </c>
      <c r="CM252" s="231">
        <f t="shared" si="323"/>
        <v>30</v>
      </c>
      <c r="CN252" s="229">
        <f t="shared" si="545"/>
        <v>43</v>
      </c>
      <c r="CO252" s="234">
        <f t="shared" si="546"/>
        <v>3.5018750000000001</v>
      </c>
      <c r="CP252" s="234" cm="1">
        <f t="array" ref="CP252">$BM252 * IF($AH252&lt;=2,
SUMPRODUCT(INDEX($AV$71:$AX$75,,$AI252), INDEX($AY$71:$BE$75,,$AH252), 1 / ($BF$71:$BF$75*CO252 + (1-$BF$71:$BF$75)*CK252), N($AU$71:$AU$75&gt;$AM252)),
SUMPRODUCT(INDEX($AV$66:$AX$75,,$AI252), INDEX($AY$66:$BE$75,,$AH252), 1 / ($BG$66:$BG$75*CO252 + (1-$BG$66:$BG$75)*CK252), N($AU$66:$AU$75&gt;$AM252))
) / 1000</f>
        <v>0</v>
      </c>
      <c r="CQ252" s="231">
        <f t="shared" si="326"/>
        <v>25</v>
      </c>
      <c r="CR252" s="229">
        <f t="shared" si="547"/>
        <v>38</v>
      </c>
      <c r="CS252" s="234">
        <f t="shared" si="548"/>
        <v>4.0666935483870965</v>
      </c>
      <c r="CT252" s="234" cm="1">
        <f t="array" ref="CT252">$BM252 * IF($AH252&lt;=2,
SUMPRODUCT(INDEX($AV$66:$AX$70,,$AI252), INDEX($AY$66:$BE$70,,$AH252), 1 / ($BF$66:$BF$70*CS252 + (1-$BF$66:$BF$70)*CO252), N($AU$66:$AU$70&gt;$AM252)),
SUMPRODUCT(INDEX($AV$56:$AX$65,,$AI252), INDEX($AY$56:$BE$65,,$AH252), 1 / ($BG$56:$BG$65*CS252 + (1-$BG$56:$BG$65)*CO252), N($AU$56:$AU$65&gt;$AM252))
) / 1000</f>
        <v>0</v>
      </c>
      <c r="CU252" s="231">
        <f t="shared" si="329"/>
        <v>20</v>
      </c>
      <c r="CV252" s="229">
        <f t="shared" si="549"/>
        <v>33</v>
      </c>
      <c r="CW252" s="234">
        <f t="shared" si="550"/>
        <v>4.8487499999999999</v>
      </c>
      <c r="CX252" s="234" cm="1">
        <f t="array" ref="CX252">$BM252 * IF($AH252&lt;=2,
SUMPRODUCT(INDEX($AV$61:$AX$65,,$AI252), INDEX($AY$61:$BE$65,,$AH252), 1 / ($BF$61:$BF$65*CW252 + (1-$BF$61:$BF$65)*CS252), N($AU$61:$AU$65&gt;$AM252)),
SUMPRODUCT(INDEX($AV$46:$AX$55,,$AI252), INDEX($AY$46:$BE$55,,$AH252), 1 / ($BG$46:$BG$55*CW252 + (1-$BG$46:$BG$55)*CS252), N($AU$46:$AU$55&gt;$AM252))
) / 1000</f>
        <v>0</v>
      </c>
      <c r="CY252" s="234" cm="1">
        <f t="array" ref="CY252">$BM252 * IF($AH252&lt;=2,
SUMPRODUCT(INDEX($AV$22:$AX$60,,$AI252), INDEX($AY$22:$BE$60,,$AH252), 1 / ($BF$22:$BF$60*CW252), N($AU$22:$AU$60&gt;$AM252)),
SUMPRODUCT(INDEX($AV$22:$AX$45,,$AI252), INDEX($AY$22:$BE$45,,$AH252), 1 / ($BG$22:$BG$45*CW252), N($AU$22:$AU$45&gt;$AM252))
) / 1000</f>
        <v>0</v>
      </c>
      <c r="CZ252" s="229">
        <f t="shared" si="551"/>
        <v>0</v>
      </c>
      <c r="DA252" s="246"/>
    </row>
    <row r="253" spans="1:105" s="75" customFormat="1" ht="14.25" customHeight="1" x14ac:dyDescent="0.2">
      <c r="A253" s="230" t="b">
        <f t="shared" si="291"/>
        <v>0</v>
      </c>
      <c r="B253" s="253">
        <v>232</v>
      </c>
      <c r="C253" s="266"/>
      <c r="D253" s="266"/>
      <c r="E253" s="254"/>
      <c r="F253" s="255" t="str">
        <f>IF(ISBLANK(E253), "", VLOOKUP(E253, Z!$A$2:$C$4127, 3, FALSE))</f>
        <v/>
      </c>
      <c r="G253" s="256"/>
      <c r="H253" s="256"/>
      <c r="I253" s="256"/>
      <c r="J253" s="257"/>
      <c r="K253" s="258"/>
      <c r="L253" s="267"/>
      <c r="M253" s="268"/>
      <c r="N253" s="259" t="str" cm="1">
        <f t="array" ref="N253">IF($L253&gt;0, INDEX(Clean,1+AK253,$D$1), "")</f>
        <v/>
      </c>
      <c r="O253" s="260"/>
      <c r="P253" s="260"/>
      <c r="Q253" s="261"/>
      <c r="R253" s="264">
        <f t="shared" si="527"/>
        <v>0</v>
      </c>
      <c r="S253" s="259" t="str" cm="1">
        <f t="array" ref="S253">IF($L253&gt;0, INDEX(Clean,1+AL253,$D$1), "")</f>
        <v/>
      </c>
      <c r="T253" s="260"/>
      <c r="U253" s="260"/>
      <c r="V253" s="261"/>
      <c r="W253" s="267"/>
      <c r="X253" s="267"/>
      <c r="Y253" s="257"/>
      <c r="Z253" s="264">
        <f t="shared" si="528"/>
        <v>0</v>
      </c>
      <c r="AA253" s="269"/>
      <c r="AB253" s="266"/>
      <c r="AC253" s="254"/>
      <c r="AD253" s="255" t="str">
        <f>IF(ISBLANK(AC253), "", VLOOKUP(AC253, Z!$A$2:$C$4127, 3, FALSE))</f>
        <v/>
      </c>
      <c r="AE253" s="270"/>
      <c r="AF253" s="265">
        <f t="shared" si="529"/>
        <v>0</v>
      </c>
      <c r="AG253" s="246"/>
      <c r="AH253" s="228">
        <f t="shared" si="552"/>
        <v>1</v>
      </c>
      <c r="AI253" s="228">
        <f t="shared" si="553"/>
        <v>1</v>
      </c>
      <c r="AJ253" s="228">
        <f t="shared" si="554"/>
        <v>0</v>
      </c>
      <c r="AK253" s="228">
        <v>0</v>
      </c>
      <c r="AL253" s="228">
        <v>0</v>
      </c>
      <c r="AM253" s="228">
        <f t="shared" si="530"/>
        <v>-100</v>
      </c>
      <c r="AN253" s="228" cm="1">
        <f t="array" ref="AN253">IF(ISBLANK(G253), 1, IFERROR(MATCH(G253, INDEX(Kat,,1), 0), IFERROR(MATCH(Kat, INDEX(Use,,2), 0), MATCH(Kat, INDEX(Use,,3), 0))))</f>
        <v>1</v>
      </c>
      <c r="AO253" s="246"/>
      <c r="AP253" s="228" cm="1">
        <f t="array" ref="AP253">IF(W253&gt;0, INDEX(Kat, AN253,4), 0)</f>
        <v>0</v>
      </c>
      <c r="AQ253" s="228">
        <f t="shared" si="555"/>
        <v>0</v>
      </c>
      <c r="AR253" s="228" cm="1">
        <f t="array" ref="AR253">IF(X253&gt;0, INDEX(Kat, $AN253, 4+AQ253), 0)</f>
        <v>0</v>
      </c>
      <c r="AS253" s="228" cm="1">
        <f t="array" ref="AS253">IF(X253&gt;0, INDEX(Kat, $AN253, 9+AQ253), 0)</f>
        <v>0</v>
      </c>
      <c r="AT253" s="246"/>
      <c r="AU253" s="262"/>
      <c r="AV253" s="262"/>
      <c r="AW253" s="263"/>
      <c r="AX253" s="263"/>
      <c r="AY253" s="263"/>
      <c r="AZ253" s="263"/>
      <c r="BA253" s="263"/>
      <c r="BB253" s="263"/>
      <c r="BC253" s="263"/>
      <c r="BD253" s="263"/>
      <c r="BE253" s="263"/>
      <c r="BF253" s="263"/>
      <c r="BG253" s="263"/>
      <c r="BH253" s="246"/>
      <c r="BI253" s="228" cm="1">
        <f t="array" ref="BI253">INDEX(Use, $AH253, 4)</f>
        <v>7</v>
      </c>
      <c r="BJ253" s="228">
        <f t="shared" si="531"/>
        <v>32</v>
      </c>
      <c r="BK253" s="228">
        <f t="shared" si="305"/>
        <v>13</v>
      </c>
      <c r="BL253" s="228">
        <f t="shared" si="306"/>
        <v>0</v>
      </c>
      <c r="BM253" s="233" cm="1">
        <f t="array" ref="BM253">L253/IF($M253&gt;0, INDEX($AY$22:$BE$76, $M253+20, $AH253), 1)</f>
        <v>0</v>
      </c>
      <c r="BN253" s="229">
        <f t="shared" si="532"/>
        <v>0</v>
      </c>
      <c r="BO253" s="228">
        <v>35</v>
      </c>
      <c r="BP253" s="229">
        <f t="shared" si="533"/>
        <v>48</v>
      </c>
      <c r="BQ253" s="234">
        <f t="shared" si="534"/>
        <v>3.0748170731707316</v>
      </c>
      <c r="BR253" s="234" cm="1">
        <f t="array" ref="BR253">$BM253 * SUMPRODUCT(INDEX($AV$76:$AX$81,,$AI253),INDEX($AY$76:$BE$81,,$AH253), N($AU$76:$AU$81&gt;$AM253)) / BQ253 / 1000</f>
        <v>0</v>
      </c>
      <c r="BS253" s="231">
        <f t="shared" si="310"/>
        <v>30</v>
      </c>
      <c r="BT253" s="229">
        <f t="shared" si="535"/>
        <v>43</v>
      </c>
      <c r="BU253" s="234">
        <f t="shared" si="536"/>
        <v>3.5018750000000001</v>
      </c>
      <c r="BV253" s="234" cm="1">
        <f t="array" ref="BV253">$BM253 * IF($AH253&lt;=2,
SUMPRODUCT(INDEX($AV$71:$AX$75,,$AI253), INDEX($AY$71:$BE$75,,$AH253), 1 / ($BF$71:$BF$75*BU253 + (1-$BF$71:$BF$75)*BQ253), N($AU$71:$AU$75&gt;$AM253)),
SUMPRODUCT(INDEX($AV$66:$AX$75,,$AI253), INDEX($AY$66:$BE$75,,$AH253), 1 / ($BG$66:$BG$75*BU253 + (1-$BG$66:$BG$75)*BQ253), N($AU$66:$AU$75&gt;$AM253))
) / 1000</f>
        <v>0</v>
      </c>
      <c r="BW253" s="231">
        <f t="shared" si="313"/>
        <v>25</v>
      </c>
      <c r="BX253" s="229">
        <f t="shared" si="537"/>
        <v>38</v>
      </c>
      <c r="BY253" s="234">
        <f t="shared" si="538"/>
        <v>4.0666935483870965</v>
      </c>
      <c r="BZ253" s="234" cm="1">
        <f t="array" ref="BZ253">$BM253 * IF($AH253&lt;=2,
SUMPRODUCT(INDEX($AV$66:$AX$70,,$AI253), INDEX($AY$66:$BE$70,,$AH253), 1 / ($BF$66:$BF$70*BY253 + (1-$BF$66:$BF$70)*BU253), N($AU$66:$AU$70&gt;$AM253)),
SUMPRODUCT(INDEX($AV$56:$AX$65,,$AI253), INDEX($AY$56:$BE$65,,$AH253), 1 / ($BG$56:$BG$65*BY253 + (1-$BG$56:$BG$65)*BU253), N($AU$56:$AU$65&gt;$AM253))
) / 1000</f>
        <v>0</v>
      </c>
      <c r="CA253" s="231">
        <f t="shared" si="316"/>
        <v>20</v>
      </c>
      <c r="CB253" s="229">
        <f t="shared" si="539"/>
        <v>33</v>
      </c>
      <c r="CC253" s="234">
        <f t="shared" si="540"/>
        <v>4.8487499999999999</v>
      </c>
      <c r="CD253" s="234" cm="1">
        <f t="array" ref="CD253">$BM253 * IF($AH253&lt;=2,
SUMPRODUCT(INDEX($AV$61:$AX$65,,$AI253), INDEX($AY$61:$BE$65,,$AH253), 1 / ($BF$61:$BF$65*CC253 + (1-$BF$61:$BF$65)*BY253), N($AU$61:$AU$65&gt;$AM253)),
SUMPRODUCT(INDEX($AV$46:$AX$55,,$AI253), INDEX($AY$46:$BE$55,,$AH253), 1 / ($BG$46:$BG$55*CC253 + (1-$BG$46:$BG$55)*BY253), N($AU$46:$AU$55&gt;$AM253))
) / 1000</f>
        <v>0</v>
      </c>
      <c r="CE253" s="234" cm="1">
        <f t="array" ref="CE253">$BM253 * IF($AH253&lt;=2,
SUMPRODUCT(INDEX($AV$22:$AX$60,,$AI253), INDEX($AY$22:$BE$60,,$AH253), 1 / ($BF$22:$BF$60*CC253), N($AU$22:$AU$60&gt;$AM253)),
SUMPRODUCT(INDEX($AV$22:$AX$45,,$AI253), INDEX($AY$22:$BE$45,,$AH253), 1 / ($BG$22:$BG$45*CC253), N($AU$22:$AU$45&gt;$AM253))
) / 1000</f>
        <v>0</v>
      </c>
      <c r="CF253" s="229">
        <f t="shared" si="541"/>
        <v>0</v>
      </c>
      <c r="CG253" s="246"/>
      <c r="CH253" s="229">
        <f t="shared" si="542"/>
        <v>0</v>
      </c>
      <c r="CI253" s="228">
        <v>35</v>
      </c>
      <c r="CJ253" s="229">
        <f t="shared" si="543"/>
        <v>48</v>
      </c>
      <c r="CK253" s="234">
        <f t="shared" si="544"/>
        <v>3.0748170731707316</v>
      </c>
      <c r="CL253" s="234" cm="1">
        <f t="array" ref="CL253">$BM253 * SUMPRODUCT(INDEX($AV$76:$AX$81,,$AI253),INDEX($AY$76:$BE$81,,$AH253), N($AU$76:$AU$81&gt;$AM253)) / CK253 / 1000</f>
        <v>0</v>
      </c>
      <c r="CM253" s="231">
        <f t="shared" si="323"/>
        <v>30</v>
      </c>
      <c r="CN253" s="229">
        <f t="shared" si="545"/>
        <v>43</v>
      </c>
      <c r="CO253" s="234">
        <f t="shared" si="546"/>
        <v>3.5018750000000001</v>
      </c>
      <c r="CP253" s="234" cm="1">
        <f t="array" ref="CP253">$BM253 * IF($AH253&lt;=2,
SUMPRODUCT(INDEX($AV$71:$AX$75,,$AI253), INDEX($AY$71:$BE$75,,$AH253), 1 / ($BF$71:$BF$75*CO253 + (1-$BF$71:$BF$75)*CK253), N($AU$71:$AU$75&gt;$AM253)),
SUMPRODUCT(INDEX($AV$66:$AX$75,,$AI253), INDEX($AY$66:$BE$75,,$AH253), 1 / ($BG$66:$BG$75*CO253 + (1-$BG$66:$BG$75)*CK253), N($AU$66:$AU$75&gt;$AM253))
) / 1000</f>
        <v>0</v>
      </c>
      <c r="CQ253" s="231">
        <f t="shared" si="326"/>
        <v>25</v>
      </c>
      <c r="CR253" s="229">
        <f t="shared" si="547"/>
        <v>38</v>
      </c>
      <c r="CS253" s="234">
        <f t="shared" si="548"/>
        <v>4.0666935483870965</v>
      </c>
      <c r="CT253" s="234" cm="1">
        <f t="array" ref="CT253">$BM253 * IF($AH253&lt;=2,
SUMPRODUCT(INDEX($AV$66:$AX$70,,$AI253), INDEX($AY$66:$BE$70,,$AH253), 1 / ($BF$66:$BF$70*CS253 + (1-$BF$66:$BF$70)*CO253), N($AU$66:$AU$70&gt;$AM253)),
SUMPRODUCT(INDEX($AV$56:$AX$65,,$AI253), INDEX($AY$56:$BE$65,,$AH253), 1 / ($BG$56:$BG$65*CS253 + (1-$BG$56:$BG$65)*CO253), N($AU$56:$AU$65&gt;$AM253))
) / 1000</f>
        <v>0</v>
      </c>
      <c r="CU253" s="231">
        <f t="shared" si="329"/>
        <v>20</v>
      </c>
      <c r="CV253" s="229">
        <f t="shared" si="549"/>
        <v>33</v>
      </c>
      <c r="CW253" s="234">
        <f t="shared" si="550"/>
        <v>4.8487499999999999</v>
      </c>
      <c r="CX253" s="234" cm="1">
        <f t="array" ref="CX253">$BM253 * IF($AH253&lt;=2,
SUMPRODUCT(INDEX($AV$61:$AX$65,,$AI253), INDEX($AY$61:$BE$65,,$AH253), 1 / ($BF$61:$BF$65*CW253 + (1-$BF$61:$BF$65)*CS253), N($AU$61:$AU$65&gt;$AM253)),
SUMPRODUCT(INDEX($AV$46:$AX$55,,$AI253), INDEX($AY$46:$BE$55,,$AH253), 1 / ($BG$46:$BG$55*CW253 + (1-$BG$46:$BG$55)*CS253), N($AU$46:$AU$55&gt;$AM253))
) / 1000</f>
        <v>0</v>
      </c>
      <c r="CY253" s="234" cm="1">
        <f t="array" ref="CY253">$BM253 * IF($AH253&lt;=2,
SUMPRODUCT(INDEX($AV$22:$AX$60,,$AI253), INDEX($AY$22:$BE$60,,$AH253), 1 / ($BF$22:$BF$60*CW253), N($AU$22:$AU$60&gt;$AM253)),
SUMPRODUCT(INDEX($AV$22:$AX$45,,$AI253), INDEX($AY$22:$BE$45,,$AH253), 1 / ($BG$22:$BG$45*CW253), N($AU$22:$AU$45&gt;$AM253))
) / 1000</f>
        <v>0</v>
      </c>
      <c r="CZ253" s="229">
        <f t="shared" si="551"/>
        <v>0</v>
      </c>
      <c r="DA253" s="246"/>
    </row>
    <row r="254" spans="1:105" s="75" customFormat="1" ht="14.25" customHeight="1" x14ac:dyDescent="0.2">
      <c r="A254" s="230" t="b">
        <f t="shared" si="291"/>
        <v>0</v>
      </c>
      <c r="B254" s="253">
        <v>233</v>
      </c>
      <c r="C254" s="266"/>
      <c r="D254" s="266"/>
      <c r="E254" s="254"/>
      <c r="F254" s="255" t="str">
        <f>IF(ISBLANK(E254), "", VLOOKUP(E254, Z!$A$2:$C$4127, 3, FALSE))</f>
        <v/>
      </c>
      <c r="G254" s="256"/>
      <c r="H254" s="256"/>
      <c r="I254" s="256"/>
      <c r="J254" s="257"/>
      <c r="K254" s="258"/>
      <c r="L254" s="267"/>
      <c r="M254" s="268"/>
      <c r="N254" s="259" t="str" cm="1">
        <f t="array" ref="N254">IF($L254&gt;0, INDEX(Clean,1+AK254,$D$1), "")</f>
        <v/>
      </c>
      <c r="O254" s="260"/>
      <c r="P254" s="260"/>
      <c r="Q254" s="261"/>
      <c r="R254" s="264">
        <f t="shared" si="527"/>
        <v>0</v>
      </c>
      <c r="S254" s="259" t="str" cm="1">
        <f t="array" ref="S254">IF($L254&gt;0, INDEX(Clean,1+AL254,$D$1), "")</f>
        <v/>
      </c>
      <c r="T254" s="260"/>
      <c r="U254" s="260"/>
      <c r="V254" s="261"/>
      <c r="W254" s="267"/>
      <c r="X254" s="267"/>
      <c r="Y254" s="257"/>
      <c r="Z254" s="264">
        <f t="shared" si="528"/>
        <v>0</v>
      </c>
      <c r="AA254" s="269"/>
      <c r="AB254" s="266"/>
      <c r="AC254" s="254"/>
      <c r="AD254" s="255" t="str">
        <f>IF(ISBLANK(AC254), "", VLOOKUP(AC254, Z!$A$2:$C$4127, 3, FALSE))</f>
        <v/>
      </c>
      <c r="AE254" s="270"/>
      <c r="AF254" s="265">
        <f t="shared" si="529"/>
        <v>0</v>
      </c>
      <c r="AG254" s="246"/>
      <c r="AH254" s="228">
        <f t="shared" si="552"/>
        <v>1</v>
      </c>
      <c r="AI254" s="228">
        <f t="shared" si="553"/>
        <v>1</v>
      </c>
      <c r="AJ254" s="228">
        <f t="shared" si="554"/>
        <v>0</v>
      </c>
      <c r="AK254" s="228">
        <v>0</v>
      </c>
      <c r="AL254" s="228">
        <v>0</v>
      </c>
      <c r="AM254" s="228">
        <f t="shared" si="530"/>
        <v>-100</v>
      </c>
      <c r="AN254" s="228" cm="1">
        <f t="array" ref="AN254">IF(ISBLANK(G254), 1, IFERROR(MATCH(G254, INDEX(Kat,,1), 0), IFERROR(MATCH(Kat, INDEX(Use,,2), 0), MATCH(Kat, INDEX(Use,,3), 0))))</f>
        <v>1</v>
      </c>
      <c r="AO254" s="246"/>
      <c r="AP254" s="228" cm="1">
        <f t="array" ref="AP254">IF(W254&gt;0, INDEX(Kat, AN254,4), 0)</f>
        <v>0</v>
      </c>
      <c r="AQ254" s="228">
        <f t="shared" si="555"/>
        <v>0</v>
      </c>
      <c r="AR254" s="228" cm="1">
        <f t="array" ref="AR254">IF(X254&gt;0, INDEX(Kat, $AN254, 4+AQ254), 0)</f>
        <v>0</v>
      </c>
      <c r="AS254" s="228" cm="1">
        <f t="array" ref="AS254">IF(X254&gt;0, INDEX(Kat, $AN254, 9+AQ254), 0)</f>
        <v>0</v>
      </c>
      <c r="AT254" s="246"/>
      <c r="AU254" s="262"/>
      <c r="AV254" s="262"/>
      <c r="AW254" s="263"/>
      <c r="AX254" s="263"/>
      <c r="AY254" s="263"/>
      <c r="AZ254" s="263"/>
      <c r="BA254" s="263"/>
      <c r="BB254" s="263"/>
      <c r="BC254" s="263"/>
      <c r="BD254" s="263"/>
      <c r="BE254" s="263"/>
      <c r="BF254" s="263"/>
      <c r="BG254" s="263"/>
      <c r="BH254" s="246"/>
      <c r="BI254" s="228" cm="1">
        <f t="array" ref="BI254">INDEX(Use, $AH254, 4)</f>
        <v>7</v>
      </c>
      <c r="BJ254" s="228">
        <f t="shared" si="531"/>
        <v>32</v>
      </c>
      <c r="BK254" s="228">
        <f t="shared" si="305"/>
        <v>13</v>
      </c>
      <c r="BL254" s="228">
        <f t="shared" si="306"/>
        <v>0</v>
      </c>
      <c r="BM254" s="233" cm="1">
        <f t="array" ref="BM254">L254/IF($M254&gt;0, INDEX($AY$22:$BE$76, $M254+20, $AH254), 1)</f>
        <v>0</v>
      </c>
      <c r="BN254" s="229">
        <f t="shared" si="532"/>
        <v>0</v>
      </c>
      <c r="BO254" s="228">
        <v>35</v>
      </c>
      <c r="BP254" s="229">
        <f t="shared" si="533"/>
        <v>48</v>
      </c>
      <c r="BQ254" s="234">
        <f t="shared" si="534"/>
        <v>3.0748170731707316</v>
      </c>
      <c r="BR254" s="234" cm="1">
        <f t="array" ref="BR254">$BM254 * SUMPRODUCT(INDEX($AV$76:$AX$81,,$AI254),INDEX($AY$76:$BE$81,,$AH254), N($AU$76:$AU$81&gt;$AM254)) / BQ254 / 1000</f>
        <v>0</v>
      </c>
      <c r="BS254" s="231">
        <f t="shared" si="310"/>
        <v>30</v>
      </c>
      <c r="BT254" s="229">
        <f t="shared" si="535"/>
        <v>43</v>
      </c>
      <c r="BU254" s="234">
        <f t="shared" si="536"/>
        <v>3.5018750000000001</v>
      </c>
      <c r="BV254" s="234" cm="1">
        <f t="array" ref="BV254">$BM254 * IF($AH254&lt;=2,
SUMPRODUCT(INDEX($AV$71:$AX$75,,$AI254), INDEX($AY$71:$BE$75,,$AH254), 1 / ($BF$71:$BF$75*BU254 + (1-$BF$71:$BF$75)*BQ254), N($AU$71:$AU$75&gt;$AM254)),
SUMPRODUCT(INDEX($AV$66:$AX$75,,$AI254), INDEX($AY$66:$BE$75,,$AH254), 1 / ($BG$66:$BG$75*BU254 + (1-$BG$66:$BG$75)*BQ254), N($AU$66:$AU$75&gt;$AM254))
) / 1000</f>
        <v>0</v>
      </c>
      <c r="BW254" s="231">
        <f t="shared" si="313"/>
        <v>25</v>
      </c>
      <c r="BX254" s="229">
        <f t="shared" si="537"/>
        <v>38</v>
      </c>
      <c r="BY254" s="234">
        <f t="shared" si="538"/>
        <v>4.0666935483870965</v>
      </c>
      <c r="BZ254" s="234" cm="1">
        <f t="array" ref="BZ254">$BM254 * IF($AH254&lt;=2,
SUMPRODUCT(INDEX($AV$66:$AX$70,,$AI254), INDEX($AY$66:$BE$70,,$AH254), 1 / ($BF$66:$BF$70*BY254 + (1-$BF$66:$BF$70)*BU254), N($AU$66:$AU$70&gt;$AM254)),
SUMPRODUCT(INDEX($AV$56:$AX$65,,$AI254), INDEX($AY$56:$BE$65,,$AH254), 1 / ($BG$56:$BG$65*BY254 + (1-$BG$56:$BG$65)*BU254), N($AU$56:$AU$65&gt;$AM254))
) / 1000</f>
        <v>0</v>
      </c>
      <c r="CA254" s="231">
        <f t="shared" si="316"/>
        <v>20</v>
      </c>
      <c r="CB254" s="229">
        <f t="shared" si="539"/>
        <v>33</v>
      </c>
      <c r="CC254" s="234">
        <f t="shared" si="540"/>
        <v>4.8487499999999999</v>
      </c>
      <c r="CD254" s="234" cm="1">
        <f t="array" ref="CD254">$BM254 * IF($AH254&lt;=2,
SUMPRODUCT(INDEX($AV$61:$AX$65,,$AI254), INDEX($AY$61:$BE$65,,$AH254), 1 / ($BF$61:$BF$65*CC254 + (1-$BF$61:$BF$65)*BY254), N($AU$61:$AU$65&gt;$AM254)),
SUMPRODUCT(INDEX($AV$46:$AX$55,,$AI254), INDEX($AY$46:$BE$55,,$AH254), 1 / ($BG$46:$BG$55*CC254 + (1-$BG$46:$BG$55)*BY254), N($AU$46:$AU$55&gt;$AM254))
) / 1000</f>
        <v>0</v>
      </c>
      <c r="CE254" s="234" cm="1">
        <f t="array" ref="CE254">$BM254 * IF($AH254&lt;=2,
SUMPRODUCT(INDEX($AV$22:$AX$60,,$AI254), INDEX($AY$22:$BE$60,,$AH254), 1 / ($BF$22:$BF$60*CC254), N($AU$22:$AU$60&gt;$AM254)),
SUMPRODUCT(INDEX($AV$22:$AX$45,,$AI254), INDEX($AY$22:$BE$45,,$AH254), 1 / ($BG$22:$BG$45*CC254), N($AU$22:$AU$45&gt;$AM254))
) / 1000</f>
        <v>0</v>
      </c>
      <c r="CF254" s="229">
        <f t="shared" si="541"/>
        <v>0</v>
      </c>
      <c r="CG254" s="246"/>
      <c r="CH254" s="229">
        <f t="shared" si="542"/>
        <v>0</v>
      </c>
      <c r="CI254" s="228">
        <v>35</v>
      </c>
      <c r="CJ254" s="229">
        <f t="shared" si="543"/>
        <v>48</v>
      </c>
      <c r="CK254" s="234">
        <f t="shared" si="544"/>
        <v>3.0748170731707316</v>
      </c>
      <c r="CL254" s="234" cm="1">
        <f t="array" ref="CL254">$BM254 * SUMPRODUCT(INDEX($AV$76:$AX$81,,$AI254),INDEX($AY$76:$BE$81,,$AH254), N($AU$76:$AU$81&gt;$AM254)) / CK254 / 1000</f>
        <v>0</v>
      </c>
      <c r="CM254" s="231">
        <f t="shared" si="323"/>
        <v>30</v>
      </c>
      <c r="CN254" s="229">
        <f t="shared" si="545"/>
        <v>43</v>
      </c>
      <c r="CO254" s="234">
        <f t="shared" si="546"/>
        <v>3.5018750000000001</v>
      </c>
      <c r="CP254" s="234" cm="1">
        <f t="array" ref="CP254">$BM254 * IF($AH254&lt;=2,
SUMPRODUCT(INDEX($AV$71:$AX$75,,$AI254), INDEX($AY$71:$BE$75,,$AH254), 1 / ($BF$71:$BF$75*CO254 + (1-$BF$71:$BF$75)*CK254), N($AU$71:$AU$75&gt;$AM254)),
SUMPRODUCT(INDEX($AV$66:$AX$75,,$AI254), INDEX($AY$66:$BE$75,,$AH254), 1 / ($BG$66:$BG$75*CO254 + (1-$BG$66:$BG$75)*CK254), N($AU$66:$AU$75&gt;$AM254))
) / 1000</f>
        <v>0</v>
      </c>
      <c r="CQ254" s="231">
        <f t="shared" si="326"/>
        <v>25</v>
      </c>
      <c r="CR254" s="229">
        <f t="shared" si="547"/>
        <v>38</v>
      </c>
      <c r="CS254" s="234">
        <f t="shared" si="548"/>
        <v>4.0666935483870965</v>
      </c>
      <c r="CT254" s="234" cm="1">
        <f t="array" ref="CT254">$BM254 * IF($AH254&lt;=2,
SUMPRODUCT(INDEX($AV$66:$AX$70,,$AI254), INDEX($AY$66:$BE$70,,$AH254), 1 / ($BF$66:$BF$70*CS254 + (1-$BF$66:$BF$70)*CO254), N($AU$66:$AU$70&gt;$AM254)),
SUMPRODUCT(INDEX($AV$56:$AX$65,,$AI254), INDEX($AY$56:$BE$65,,$AH254), 1 / ($BG$56:$BG$65*CS254 + (1-$BG$56:$BG$65)*CO254), N($AU$56:$AU$65&gt;$AM254))
) / 1000</f>
        <v>0</v>
      </c>
      <c r="CU254" s="231">
        <f t="shared" si="329"/>
        <v>20</v>
      </c>
      <c r="CV254" s="229">
        <f t="shared" si="549"/>
        <v>33</v>
      </c>
      <c r="CW254" s="234">
        <f t="shared" si="550"/>
        <v>4.8487499999999999</v>
      </c>
      <c r="CX254" s="234" cm="1">
        <f t="array" ref="CX254">$BM254 * IF($AH254&lt;=2,
SUMPRODUCT(INDEX($AV$61:$AX$65,,$AI254), INDEX($AY$61:$BE$65,,$AH254), 1 / ($BF$61:$BF$65*CW254 + (1-$BF$61:$BF$65)*CS254), N($AU$61:$AU$65&gt;$AM254)),
SUMPRODUCT(INDEX($AV$46:$AX$55,,$AI254), INDEX($AY$46:$BE$55,,$AH254), 1 / ($BG$46:$BG$55*CW254 + (1-$BG$46:$BG$55)*CS254), N($AU$46:$AU$55&gt;$AM254))
) / 1000</f>
        <v>0</v>
      </c>
      <c r="CY254" s="234" cm="1">
        <f t="array" ref="CY254">$BM254 * IF($AH254&lt;=2,
SUMPRODUCT(INDEX($AV$22:$AX$60,,$AI254), INDEX($AY$22:$BE$60,,$AH254), 1 / ($BF$22:$BF$60*CW254), N($AU$22:$AU$60&gt;$AM254)),
SUMPRODUCT(INDEX($AV$22:$AX$45,,$AI254), INDEX($AY$22:$BE$45,,$AH254), 1 / ($BG$22:$BG$45*CW254), N($AU$22:$AU$45&gt;$AM254))
) / 1000</f>
        <v>0</v>
      </c>
      <c r="CZ254" s="229">
        <f t="shared" si="551"/>
        <v>0</v>
      </c>
      <c r="DA254" s="246"/>
    </row>
    <row r="255" spans="1:105" s="75" customFormat="1" ht="14.25" customHeight="1" x14ac:dyDescent="0.2">
      <c r="A255" s="230" t="b">
        <f t="shared" si="291"/>
        <v>0</v>
      </c>
      <c r="B255" s="253">
        <v>234</v>
      </c>
      <c r="C255" s="266"/>
      <c r="D255" s="266"/>
      <c r="E255" s="254"/>
      <c r="F255" s="255" t="str">
        <f>IF(ISBLANK(E255), "", VLOOKUP(E255, Z!$A$2:$C$4127, 3, FALSE))</f>
        <v/>
      </c>
      <c r="G255" s="256"/>
      <c r="H255" s="256"/>
      <c r="I255" s="256"/>
      <c r="J255" s="257"/>
      <c r="K255" s="258"/>
      <c r="L255" s="267"/>
      <c r="M255" s="268"/>
      <c r="N255" s="259" t="str" cm="1">
        <f t="array" ref="N255">IF($L255&gt;0, INDEX(Clean,1+AK255,$D$1), "")</f>
        <v/>
      </c>
      <c r="O255" s="260"/>
      <c r="P255" s="260"/>
      <c r="Q255" s="261"/>
      <c r="R255" s="264">
        <f t="shared" si="527"/>
        <v>0</v>
      </c>
      <c r="S255" s="259" t="str" cm="1">
        <f t="array" ref="S255">IF($L255&gt;0, INDEX(Clean,1+AL255,$D$1), "")</f>
        <v/>
      </c>
      <c r="T255" s="260"/>
      <c r="U255" s="260"/>
      <c r="V255" s="261"/>
      <c r="W255" s="267"/>
      <c r="X255" s="267"/>
      <c r="Y255" s="257"/>
      <c r="Z255" s="264">
        <f t="shared" si="528"/>
        <v>0</v>
      </c>
      <c r="AA255" s="269"/>
      <c r="AB255" s="266"/>
      <c r="AC255" s="254"/>
      <c r="AD255" s="255" t="str">
        <f>IF(ISBLANK(AC255), "", VLOOKUP(AC255, Z!$A$2:$C$4127, 3, FALSE))</f>
        <v/>
      </c>
      <c r="AE255" s="270"/>
      <c r="AF255" s="265">
        <f t="shared" si="529"/>
        <v>0</v>
      </c>
      <c r="AG255" s="246"/>
      <c r="AH255" s="228">
        <f t="shared" si="552"/>
        <v>1</v>
      </c>
      <c r="AI255" s="228">
        <f t="shared" si="553"/>
        <v>1</v>
      </c>
      <c r="AJ255" s="228">
        <f t="shared" si="554"/>
        <v>0</v>
      </c>
      <c r="AK255" s="228">
        <v>0</v>
      </c>
      <c r="AL255" s="228">
        <v>0</v>
      </c>
      <c r="AM255" s="228">
        <f t="shared" si="530"/>
        <v>-100</v>
      </c>
      <c r="AN255" s="228" cm="1">
        <f t="array" ref="AN255">IF(ISBLANK(G255), 1, IFERROR(MATCH(G255, INDEX(Kat,,1), 0), IFERROR(MATCH(Kat, INDEX(Use,,2), 0), MATCH(Kat, INDEX(Use,,3), 0))))</f>
        <v>1</v>
      </c>
      <c r="AO255" s="246"/>
      <c r="AP255" s="228" cm="1">
        <f t="array" ref="AP255">IF(W255&gt;0, INDEX(Kat, AN255,4), 0)</f>
        <v>0</v>
      </c>
      <c r="AQ255" s="228">
        <f t="shared" si="555"/>
        <v>0</v>
      </c>
      <c r="AR255" s="228" cm="1">
        <f t="array" ref="AR255">IF(X255&gt;0, INDEX(Kat, $AN255, 4+AQ255), 0)</f>
        <v>0</v>
      </c>
      <c r="AS255" s="228" cm="1">
        <f t="array" ref="AS255">IF(X255&gt;0, INDEX(Kat, $AN255, 9+AQ255), 0)</f>
        <v>0</v>
      </c>
      <c r="AT255" s="246"/>
      <c r="AU255" s="262"/>
      <c r="AV255" s="262"/>
      <c r="AW255" s="263"/>
      <c r="AX255" s="263"/>
      <c r="AY255" s="263"/>
      <c r="AZ255" s="263"/>
      <c r="BA255" s="263"/>
      <c r="BB255" s="263"/>
      <c r="BC255" s="263"/>
      <c r="BD255" s="263"/>
      <c r="BE255" s="263"/>
      <c r="BF255" s="263"/>
      <c r="BG255" s="263"/>
      <c r="BH255" s="246"/>
      <c r="BI255" s="228" cm="1">
        <f t="array" ref="BI255">INDEX(Use, $AH255, 4)</f>
        <v>7</v>
      </c>
      <c r="BJ255" s="228">
        <f t="shared" si="531"/>
        <v>32</v>
      </c>
      <c r="BK255" s="228">
        <f t="shared" si="305"/>
        <v>13</v>
      </c>
      <c r="BL255" s="228">
        <f t="shared" si="306"/>
        <v>0</v>
      </c>
      <c r="BM255" s="233" cm="1">
        <f t="array" ref="BM255">L255/IF($M255&gt;0, INDEX($AY$22:$BE$76, $M255+20, $AH255), 1)</f>
        <v>0</v>
      </c>
      <c r="BN255" s="229">
        <f t="shared" si="532"/>
        <v>0</v>
      </c>
      <c r="BO255" s="228">
        <v>35</v>
      </c>
      <c r="BP255" s="229">
        <f t="shared" si="533"/>
        <v>48</v>
      </c>
      <c r="BQ255" s="234">
        <f t="shared" si="534"/>
        <v>3.0748170731707316</v>
      </c>
      <c r="BR255" s="234" cm="1">
        <f t="array" ref="BR255">$BM255 * SUMPRODUCT(INDEX($AV$76:$AX$81,,$AI255),INDEX($AY$76:$BE$81,,$AH255), N($AU$76:$AU$81&gt;$AM255)) / BQ255 / 1000</f>
        <v>0</v>
      </c>
      <c r="BS255" s="231">
        <f t="shared" si="310"/>
        <v>30</v>
      </c>
      <c r="BT255" s="229">
        <f t="shared" si="535"/>
        <v>43</v>
      </c>
      <c r="BU255" s="234">
        <f t="shared" si="536"/>
        <v>3.5018750000000001</v>
      </c>
      <c r="BV255" s="234" cm="1">
        <f t="array" ref="BV255">$BM255 * IF($AH255&lt;=2,
SUMPRODUCT(INDEX($AV$71:$AX$75,,$AI255), INDEX($AY$71:$BE$75,,$AH255), 1 / ($BF$71:$BF$75*BU255 + (1-$BF$71:$BF$75)*BQ255), N($AU$71:$AU$75&gt;$AM255)),
SUMPRODUCT(INDEX($AV$66:$AX$75,,$AI255), INDEX($AY$66:$BE$75,,$AH255), 1 / ($BG$66:$BG$75*BU255 + (1-$BG$66:$BG$75)*BQ255), N($AU$66:$AU$75&gt;$AM255))
) / 1000</f>
        <v>0</v>
      </c>
      <c r="BW255" s="231">
        <f t="shared" si="313"/>
        <v>25</v>
      </c>
      <c r="BX255" s="229">
        <f t="shared" si="537"/>
        <v>38</v>
      </c>
      <c r="BY255" s="234">
        <f t="shared" si="538"/>
        <v>4.0666935483870965</v>
      </c>
      <c r="BZ255" s="234" cm="1">
        <f t="array" ref="BZ255">$BM255 * IF($AH255&lt;=2,
SUMPRODUCT(INDEX($AV$66:$AX$70,,$AI255), INDEX($AY$66:$BE$70,,$AH255), 1 / ($BF$66:$BF$70*BY255 + (1-$BF$66:$BF$70)*BU255), N($AU$66:$AU$70&gt;$AM255)),
SUMPRODUCT(INDEX($AV$56:$AX$65,,$AI255), INDEX($AY$56:$BE$65,,$AH255), 1 / ($BG$56:$BG$65*BY255 + (1-$BG$56:$BG$65)*BU255), N($AU$56:$AU$65&gt;$AM255))
) / 1000</f>
        <v>0</v>
      </c>
      <c r="CA255" s="231">
        <f t="shared" si="316"/>
        <v>20</v>
      </c>
      <c r="CB255" s="229">
        <f t="shared" si="539"/>
        <v>33</v>
      </c>
      <c r="CC255" s="234">
        <f t="shared" si="540"/>
        <v>4.8487499999999999</v>
      </c>
      <c r="CD255" s="234" cm="1">
        <f t="array" ref="CD255">$BM255 * IF($AH255&lt;=2,
SUMPRODUCT(INDEX($AV$61:$AX$65,,$AI255), INDEX($AY$61:$BE$65,,$AH255), 1 / ($BF$61:$BF$65*CC255 + (1-$BF$61:$BF$65)*BY255), N($AU$61:$AU$65&gt;$AM255)),
SUMPRODUCT(INDEX($AV$46:$AX$55,,$AI255), INDEX($AY$46:$BE$55,,$AH255), 1 / ($BG$46:$BG$55*CC255 + (1-$BG$46:$BG$55)*BY255), N($AU$46:$AU$55&gt;$AM255))
) / 1000</f>
        <v>0</v>
      </c>
      <c r="CE255" s="234" cm="1">
        <f t="array" ref="CE255">$BM255 * IF($AH255&lt;=2,
SUMPRODUCT(INDEX($AV$22:$AX$60,,$AI255), INDEX($AY$22:$BE$60,,$AH255), 1 / ($BF$22:$BF$60*CC255), N($AU$22:$AU$60&gt;$AM255)),
SUMPRODUCT(INDEX($AV$22:$AX$45,,$AI255), INDEX($AY$22:$BE$45,,$AH255), 1 / ($BG$22:$BG$45*CC255), N($AU$22:$AU$45&gt;$AM255))
) / 1000</f>
        <v>0</v>
      </c>
      <c r="CF255" s="229">
        <f t="shared" si="541"/>
        <v>0</v>
      </c>
      <c r="CG255" s="246"/>
      <c r="CH255" s="229">
        <f t="shared" si="542"/>
        <v>0</v>
      </c>
      <c r="CI255" s="228">
        <v>35</v>
      </c>
      <c r="CJ255" s="229">
        <f t="shared" si="543"/>
        <v>48</v>
      </c>
      <c r="CK255" s="234">
        <f t="shared" si="544"/>
        <v>3.0748170731707316</v>
      </c>
      <c r="CL255" s="234" cm="1">
        <f t="array" ref="CL255">$BM255 * SUMPRODUCT(INDEX($AV$76:$AX$81,,$AI255),INDEX($AY$76:$BE$81,,$AH255), N($AU$76:$AU$81&gt;$AM255)) / CK255 / 1000</f>
        <v>0</v>
      </c>
      <c r="CM255" s="231">
        <f t="shared" si="323"/>
        <v>30</v>
      </c>
      <c r="CN255" s="229">
        <f t="shared" si="545"/>
        <v>43</v>
      </c>
      <c r="CO255" s="234">
        <f t="shared" si="546"/>
        <v>3.5018750000000001</v>
      </c>
      <c r="CP255" s="234" cm="1">
        <f t="array" ref="CP255">$BM255 * IF($AH255&lt;=2,
SUMPRODUCT(INDEX($AV$71:$AX$75,,$AI255), INDEX($AY$71:$BE$75,,$AH255), 1 / ($BF$71:$BF$75*CO255 + (1-$BF$71:$BF$75)*CK255), N($AU$71:$AU$75&gt;$AM255)),
SUMPRODUCT(INDEX($AV$66:$AX$75,,$AI255), INDEX($AY$66:$BE$75,,$AH255), 1 / ($BG$66:$BG$75*CO255 + (1-$BG$66:$BG$75)*CK255), N($AU$66:$AU$75&gt;$AM255))
) / 1000</f>
        <v>0</v>
      </c>
      <c r="CQ255" s="231">
        <f t="shared" si="326"/>
        <v>25</v>
      </c>
      <c r="CR255" s="229">
        <f t="shared" si="547"/>
        <v>38</v>
      </c>
      <c r="CS255" s="234">
        <f t="shared" si="548"/>
        <v>4.0666935483870965</v>
      </c>
      <c r="CT255" s="234" cm="1">
        <f t="array" ref="CT255">$BM255 * IF($AH255&lt;=2,
SUMPRODUCT(INDEX($AV$66:$AX$70,,$AI255), INDEX($AY$66:$BE$70,,$AH255), 1 / ($BF$66:$BF$70*CS255 + (1-$BF$66:$BF$70)*CO255), N($AU$66:$AU$70&gt;$AM255)),
SUMPRODUCT(INDEX($AV$56:$AX$65,,$AI255), INDEX($AY$56:$BE$65,,$AH255), 1 / ($BG$56:$BG$65*CS255 + (1-$BG$56:$BG$65)*CO255), N($AU$56:$AU$65&gt;$AM255))
) / 1000</f>
        <v>0</v>
      </c>
      <c r="CU255" s="231">
        <f t="shared" si="329"/>
        <v>20</v>
      </c>
      <c r="CV255" s="229">
        <f t="shared" si="549"/>
        <v>33</v>
      </c>
      <c r="CW255" s="234">
        <f t="shared" si="550"/>
        <v>4.8487499999999999</v>
      </c>
      <c r="CX255" s="234" cm="1">
        <f t="array" ref="CX255">$BM255 * IF($AH255&lt;=2,
SUMPRODUCT(INDEX($AV$61:$AX$65,,$AI255), INDEX($AY$61:$BE$65,,$AH255), 1 / ($BF$61:$BF$65*CW255 + (1-$BF$61:$BF$65)*CS255), N($AU$61:$AU$65&gt;$AM255)),
SUMPRODUCT(INDEX($AV$46:$AX$55,,$AI255), INDEX($AY$46:$BE$55,,$AH255), 1 / ($BG$46:$BG$55*CW255 + (1-$BG$46:$BG$55)*CS255), N($AU$46:$AU$55&gt;$AM255))
) / 1000</f>
        <v>0</v>
      </c>
      <c r="CY255" s="234" cm="1">
        <f t="array" ref="CY255">$BM255 * IF($AH255&lt;=2,
SUMPRODUCT(INDEX($AV$22:$AX$60,,$AI255), INDEX($AY$22:$BE$60,,$AH255), 1 / ($BF$22:$BF$60*CW255), N($AU$22:$AU$60&gt;$AM255)),
SUMPRODUCT(INDEX($AV$22:$AX$45,,$AI255), INDEX($AY$22:$BE$45,,$AH255), 1 / ($BG$22:$BG$45*CW255), N($AU$22:$AU$45&gt;$AM255))
) / 1000</f>
        <v>0</v>
      </c>
      <c r="CZ255" s="229">
        <f t="shared" si="551"/>
        <v>0</v>
      </c>
      <c r="DA255" s="246"/>
    </row>
    <row r="256" spans="1:105" s="75" customFormat="1" ht="14.25" customHeight="1" x14ac:dyDescent="0.2">
      <c r="A256" s="230" t="b">
        <f t="shared" si="291"/>
        <v>0</v>
      </c>
      <c r="B256" s="253">
        <v>235</v>
      </c>
      <c r="C256" s="266"/>
      <c r="D256" s="266"/>
      <c r="E256" s="254"/>
      <c r="F256" s="255" t="str">
        <f>IF(ISBLANK(E256), "", VLOOKUP(E256, Z!$A$2:$C$4127, 3, FALSE))</f>
        <v/>
      </c>
      <c r="G256" s="256"/>
      <c r="H256" s="256"/>
      <c r="I256" s="256"/>
      <c r="J256" s="257"/>
      <c r="K256" s="258"/>
      <c r="L256" s="267"/>
      <c r="M256" s="268"/>
      <c r="N256" s="259" t="str" cm="1">
        <f t="array" ref="N256">IF($L256&gt;0, INDEX(Clean,1+AK256,$D$1), "")</f>
        <v/>
      </c>
      <c r="O256" s="260"/>
      <c r="P256" s="260"/>
      <c r="Q256" s="261"/>
      <c r="R256" s="264">
        <f t="shared" si="527"/>
        <v>0</v>
      </c>
      <c r="S256" s="259" t="str" cm="1">
        <f t="array" ref="S256">IF($L256&gt;0, INDEX(Clean,1+AL256,$D$1), "")</f>
        <v/>
      </c>
      <c r="T256" s="260"/>
      <c r="U256" s="260"/>
      <c r="V256" s="261"/>
      <c r="W256" s="267"/>
      <c r="X256" s="267"/>
      <c r="Y256" s="257"/>
      <c r="Z256" s="264">
        <f t="shared" si="528"/>
        <v>0</v>
      </c>
      <c r="AA256" s="269"/>
      <c r="AB256" s="266"/>
      <c r="AC256" s="254"/>
      <c r="AD256" s="255" t="str">
        <f>IF(ISBLANK(AC256), "", VLOOKUP(AC256, Z!$A$2:$C$4127, 3, FALSE))</f>
        <v/>
      </c>
      <c r="AE256" s="270"/>
      <c r="AF256" s="265">
        <f t="shared" si="529"/>
        <v>0</v>
      </c>
      <c r="AG256" s="246"/>
      <c r="AH256" s="228">
        <f t="shared" si="552"/>
        <v>1</v>
      </c>
      <c r="AI256" s="228">
        <f t="shared" si="553"/>
        <v>1</v>
      </c>
      <c r="AJ256" s="228">
        <f t="shared" si="554"/>
        <v>0</v>
      </c>
      <c r="AK256" s="228">
        <v>0</v>
      </c>
      <c r="AL256" s="228">
        <v>0</v>
      </c>
      <c r="AM256" s="228">
        <f t="shared" si="530"/>
        <v>-100</v>
      </c>
      <c r="AN256" s="228" cm="1">
        <f t="array" ref="AN256">IF(ISBLANK(G256), 1, IFERROR(MATCH(G256, INDEX(Kat,,1), 0), IFERROR(MATCH(Kat, INDEX(Use,,2), 0), MATCH(Kat, INDEX(Use,,3), 0))))</f>
        <v>1</v>
      </c>
      <c r="AO256" s="246"/>
      <c r="AP256" s="228" cm="1">
        <f t="array" ref="AP256">IF(W256&gt;0, INDEX(Kat, AN256,4), 0)</f>
        <v>0</v>
      </c>
      <c r="AQ256" s="228">
        <f t="shared" si="555"/>
        <v>0</v>
      </c>
      <c r="AR256" s="228" cm="1">
        <f t="array" ref="AR256">IF(X256&gt;0, INDEX(Kat, $AN256, 4+AQ256), 0)</f>
        <v>0</v>
      </c>
      <c r="AS256" s="228" cm="1">
        <f t="array" ref="AS256">IF(X256&gt;0, INDEX(Kat, $AN256, 9+AQ256), 0)</f>
        <v>0</v>
      </c>
      <c r="AT256" s="246"/>
      <c r="AU256" s="262"/>
      <c r="AV256" s="262"/>
      <c r="AW256" s="263"/>
      <c r="AX256" s="263"/>
      <c r="AY256" s="263"/>
      <c r="AZ256" s="263"/>
      <c r="BA256" s="263"/>
      <c r="BB256" s="263"/>
      <c r="BC256" s="263"/>
      <c r="BD256" s="263"/>
      <c r="BE256" s="263"/>
      <c r="BF256" s="263"/>
      <c r="BG256" s="263"/>
      <c r="BH256" s="246"/>
      <c r="BI256" s="228" cm="1">
        <f t="array" ref="BI256">INDEX(Use, $AH256, 4)</f>
        <v>7</v>
      </c>
      <c r="BJ256" s="228">
        <f t="shared" si="531"/>
        <v>32</v>
      </c>
      <c r="BK256" s="228">
        <f t="shared" si="305"/>
        <v>13</v>
      </c>
      <c r="BL256" s="228">
        <f t="shared" si="306"/>
        <v>0</v>
      </c>
      <c r="BM256" s="233" cm="1">
        <f t="array" ref="BM256">L256/IF($M256&gt;0, INDEX($AY$22:$BE$76, $M256+20, $AH256), 1)</f>
        <v>0</v>
      </c>
      <c r="BN256" s="229">
        <f t="shared" si="532"/>
        <v>0</v>
      </c>
      <c r="BO256" s="228">
        <v>35</v>
      </c>
      <c r="BP256" s="229">
        <f t="shared" si="533"/>
        <v>48</v>
      </c>
      <c r="BQ256" s="234">
        <f t="shared" si="534"/>
        <v>3.0748170731707316</v>
      </c>
      <c r="BR256" s="234" cm="1">
        <f t="array" ref="BR256">$BM256 * SUMPRODUCT(INDEX($AV$76:$AX$81,,$AI256),INDEX($AY$76:$BE$81,,$AH256), N($AU$76:$AU$81&gt;$AM256)) / BQ256 / 1000</f>
        <v>0</v>
      </c>
      <c r="BS256" s="231">
        <f t="shared" si="310"/>
        <v>30</v>
      </c>
      <c r="BT256" s="229">
        <f t="shared" si="535"/>
        <v>43</v>
      </c>
      <c r="BU256" s="234">
        <f t="shared" si="536"/>
        <v>3.5018750000000001</v>
      </c>
      <c r="BV256" s="234" cm="1">
        <f t="array" ref="BV256">$BM256 * IF($AH256&lt;=2,
SUMPRODUCT(INDEX($AV$71:$AX$75,,$AI256), INDEX($AY$71:$BE$75,,$AH256), 1 / ($BF$71:$BF$75*BU256 + (1-$BF$71:$BF$75)*BQ256), N($AU$71:$AU$75&gt;$AM256)),
SUMPRODUCT(INDEX($AV$66:$AX$75,,$AI256), INDEX($AY$66:$BE$75,,$AH256), 1 / ($BG$66:$BG$75*BU256 + (1-$BG$66:$BG$75)*BQ256), N($AU$66:$AU$75&gt;$AM256))
) / 1000</f>
        <v>0</v>
      </c>
      <c r="BW256" s="231">
        <f t="shared" si="313"/>
        <v>25</v>
      </c>
      <c r="BX256" s="229">
        <f t="shared" si="537"/>
        <v>38</v>
      </c>
      <c r="BY256" s="234">
        <f t="shared" si="538"/>
        <v>4.0666935483870965</v>
      </c>
      <c r="BZ256" s="234" cm="1">
        <f t="array" ref="BZ256">$BM256 * IF($AH256&lt;=2,
SUMPRODUCT(INDEX($AV$66:$AX$70,,$AI256), INDEX($AY$66:$BE$70,,$AH256), 1 / ($BF$66:$BF$70*BY256 + (1-$BF$66:$BF$70)*BU256), N($AU$66:$AU$70&gt;$AM256)),
SUMPRODUCT(INDEX($AV$56:$AX$65,,$AI256), INDEX($AY$56:$BE$65,,$AH256), 1 / ($BG$56:$BG$65*BY256 + (1-$BG$56:$BG$65)*BU256), N($AU$56:$AU$65&gt;$AM256))
) / 1000</f>
        <v>0</v>
      </c>
      <c r="CA256" s="231">
        <f t="shared" si="316"/>
        <v>20</v>
      </c>
      <c r="CB256" s="229">
        <f t="shared" si="539"/>
        <v>33</v>
      </c>
      <c r="CC256" s="234">
        <f t="shared" si="540"/>
        <v>4.8487499999999999</v>
      </c>
      <c r="CD256" s="234" cm="1">
        <f t="array" ref="CD256">$BM256 * IF($AH256&lt;=2,
SUMPRODUCT(INDEX($AV$61:$AX$65,,$AI256), INDEX($AY$61:$BE$65,,$AH256), 1 / ($BF$61:$BF$65*CC256 + (1-$BF$61:$BF$65)*BY256), N($AU$61:$AU$65&gt;$AM256)),
SUMPRODUCT(INDEX($AV$46:$AX$55,,$AI256), INDEX($AY$46:$BE$55,,$AH256), 1 / ($BG$46:$BG$55*CC256 + (1-$BG$46:$BG$55)*BY256), N($AU$46:$AU$55&gt;$AM256))
) / 1000</f>
        <v>0</v>
      </c>
      <c r="CE256" s="234" cm="1">
        <f t="array" ref="CE256">$BM256 * IF($AH256&lt;=2,
SUMPRODUCT(INDEX($AV$22:$AX$60,,$AI256), INDEX($AY$22:$BE$60,,$AH256), 1 / ($BF$22:$BF$60*CC256), N($AU$22:$AU$60&gt;$AM256)),
SUMPRODUCT(INDEX($AV$22:$AX$45,,$AI256), INDEX($AY$22:$BE$45,,$AH256), 1 / ($BG$22:$BG$45*CC256), N($AU$22:$AU$45&gt;$AM256))
) / 1000</f>
        <v>0</v>
      </c>
      <c r="CF256" s="229">
        <f t="shared" si="541"/>
        <v>0</v>
      </c>
      <c r="CG256" s="246"/>
      <c r="CH256" s="229">
        <f t="shared" si="542"/>
        <v>0</v>
      </c>
      <c r="CI256" s="228">
        <v>35</v>
      </c>
      <c r="CJ256" s="229">
        <f t="shared" si="543"/>
        <v>48</v>
      </c>
      <c r="CK256" s="234">
        <f t="shared" si="544"/>
        <v>3.0748170731707316</v>
      </c>
      <c r="CL256" s="234" cm="1">
        <f t="array" ref="CL256">$BM256 * SUMPRODUCT(INDEX($AV$76:$AX$81,,$AI256),INDEX($AY$76:$BE$81,,$AH256), N($AU$76:$AU$81&gt;$AM256)) / CK256 / 1000</f>
        <v>0</v>
      </c>
      <c r="CM256" s="231">
        <f t="shared" si="323"/>
        <v>30</v>
      </c>
      <c r="CN256" s="229">
        <f t="shared" si="545"/>
        <v>43</v>
      </c>
      <c r="CO256" s="234">
        <f t="shared" si="546"/>
        <v>3.5018750000000001</v>
      </c>
      <c r="CP256" s="234" cm="1">
        <f t="array" ref="CP256">$BM256 * IF($AH256&lt;=2,
SUMPRODUCT(INDEX($AV$71:$AX$75,,$AI256), INDEX($AY$71:$BE$75,,$AH256), 1 / ($BF$71:$BF$75*CO256 + (1-$BF$71:$BF$75)*CK256), N($AU$71:$AU$75&gt;$AM256)),
SUMPRODUCT(INDEX($AV$66:$AX$75,,$AI256), INDEX($AY$66:$BE$75,,$AH256), 1 / ($BG$66:$BG$75*CO256 + (1-$BG$66:$BG$75)*CK256), N($AU$66:$AU$75&gt;$AM256))
) / 1000</f>
        <v>0</v>
      </c>
      <c r="CQ256" s="231">
        <f t="shared" si="326"/>
        <v>25</v>
      </c>
      <c r="CR256" s="229">
        <f t="shared" si="547"/>
        <v>38</v>
      </c>
      <c r="CS256" s="234">
        <f t="shared" si="548"/>
        <v>4.0666935483870965</v>
      </c>
      <c r="CT256" s="234" cm="1">
        <f t="array" ref="CT256">$BM256 * IF($AH256&lt;=2,
SUMPRODUCT(INDEX($AV$66:$AX$70,,$AI256), INDEX($AY$66:$BE$70,,$AH256), 1 / ($BF$66:$BF$70*CS256 + (1-$BF$66:$BF$70)*CO256), N($AU$66:$AU$70&gt;$AM256)),
SUMPRODUCT(INDEX($AV$56:$AX$65,,$AI256), INDEX($AY$56:$BE$65,,$AH256), 1 / ($BG$56:$BG$65*CS256 + (1-$BG$56:$BG$65)*CO256), N($AU$56:$AU$65&gt;$AM256))
) / 1000</f>
        <v>0</v>
      </c>
      <c r="CU256" s="231">
        <f t="shared" si="329"/>
        <v>20</v>
      </c>
      <c r="CV256" s="229">
        <f t="shared" si="549"/>
        <v>33</v>
      </c>
      <c r="CW256" s="234">
        <f t="shared" si="550"/>
        <v>4.8487499999999999</v>
      </c>
      <c r="CX256" s="234" cm="1">
        <f t="array" ref="CX256">$BM256 * IF($AH256&lt;=2,
SUMPRODUCT(INDEX($AV$61:$AX$65,,$AI256), INDEX($AY$61:$BE$65,,$AH256), 1 / ($BF$61:$BF$65*CW256 + (1-$BF$61:$BF$65)*CS256), N($AU$61:$AU$65&gt;$AM256)),
SUMPRODUCT(INDEX($AV$46:$AX$55,,$AI256), INDEX($AY$46:$BE$55,,$AH256), 1 / ($BG$46:$BG$55*CW256 + (1-$BG$46:$BG$55)*CS256), N($AU$46:$AU$55&gt;$AM256))
) / 1000</f>
        <v>0</v>
      </c>
      <c r="CY256" s="234" cm="1">
        <f t="array" ref="CY256">$BM256 * IF($AH256&lt;=2,
SUMPRODUCT(INDEX($AV$22:$AX$60,,$AI256), INDEX($AY$22:$BE$60,,$AH256), 1 / ($BF$22:$BF$60*CW256), N($AU$22:$AU$60&gt;$AM256)),
SUMPRODUCT(INDEX($AV$22:$AX$45,,$AI256), INDEX($AY$22:$BE$45,,$AH256), 1 / ($BG$22:$BG$45*CW256), N($AU$22:$AU$45&gt;$AM256))
) / 1000</f>
        <v>0</v>
      </c>
      <c r="CZ256" s="229">
        <f t="shared" si="551"/>
        <v>0</v>
      </c>
      <c r="DA256" s="246"/>
    </row>
    <row r="257" spans="1:105" s="75" customFormat="1" ht="14.25" customHeight="1" x14ac:dyDescent="0.2">
      <c r="A257" s="230" t="b">
        <f t="shared" si="291"/>
        <v>0</v>
      </c>
      <c r="B257" s="253">
        <v>236</v>
      </c>
      <c r="C257" s="266"/>
      <c r="D257" s="266"/>
      <c r="E257" s="254"/>
      <c r="F257" s="255" t="str">
        <f>IF(ISBLANK(E257), "", VLOOKUP(E257, Z!$A$2:$C$4127, 3, FALSE))</f>
        <v/>
      </c>
      <c r="G257" s="256"/>
      <c r="H257" s="256"/>
      <c r="I257" s="256"/>
      <c r="J257" s="257"/>
      <c r="K257" s="258"/>
      <c r="L257" s="267"/>
      <c r="M257" s="268"/>
      <c r="N257" s="259" t="str" cm="1">
        <f t="array" ref="N257">IF($L257&gt;0, INDEX(Clean,1+AK257,$D$1), "")</f>
        <v/>
      </c>
      <c r="O257" s="260"/>
      <c r="P257" s="260"/>
      <c r="Q257" s="261"/>
      <c r="R257" s="264">
        <f t="shared" si="527"/>
        <v>0</v>
      </c>
      <c r="S257" s="259" t="str" cm="1">
        <f t="array" ref="S257">IF($L257&gt;0, INDEX(Clean,1+AL257,$D$1), "")</f>
        <v/>
      </c>
      <c r="T257" s="260"/>
      <c r="U257" s="260"/>
      <c r="V257" s="261"/>
      <c r="W257" s="267"/>
      <c r="X257" s="267"/>
      <c r="Y257" s="257"/>
      <c r="Z257" s="264">
        <f t="shared" si="528"/>
        <v>0</v>
      </c>
      <c r="AA257" s="269"/>
      <c r="AB257" s="266"/>
      <c r="AC257" s="254"/>
      <c r="AD257" s="255" t="str">
        <f>IF(ISBLANK(AC257), "", VLOOKUP(AC257, Z!$A$2:$C$4127, 3, FALSE))</f>
        <v/>
      </c>
      <c r="AE257" s="270"/>
      <c r="AF257" s="265">
        <f t="shared" si="529"/>
        <v>0</v>
      </c>
      <c r="AG257" s="246"/>
      <c r="AH257" s="228">
        <f t="shared" si="552"/>
        <v>1</v>
      </c>
      <c r="AI257" s="228">
        <f t="shared" si="553"/>
        <v>1</v>
      </c>
      <c r="AJ257" s="228">
        <f t="shared" si="554"/>
        <v>0</v>
      </c>
      <c r="AK257" s="228">
        <v>0</v>
      </c>
      <c r="AL257" s="228">
        <v>0</v>
      </c>
      <c r="AM257" s="228">
        <f t="shared" si="530"/>
        <v>-100</v>
      </c>
      <c r="AN257" s="228" cm="1">
        <f t="array" ref="AN257">IF(ISBLANK(G257), 1, IFERROR(MATCH(G257, INDEX(Kat,,1), 0), IFERROR(MATCH(Kat, INDEX(Use,,2), 0), MATCH(Kat, INDEX(Use,,3), 0))))</f>
        <v>1</v>
      </c>
      <c r="AO257" s="246"/>
      <c r="AP257" s="228" cm="1">
        <f t="array" ref="AP257">IF(W257&gt;0, INDEX(Kat, AN257,4), 0)</f>
        <v>0</v>
      </c>
      <c r="AQ257" s="228">
        <f t="shared" si="555"/>
        <v>0</v>
      </c>
      <c r="AR257" s="228" cm="1">
        <f t="array" ref="AR257">IF(X257&gt;0, INDEX(Kat, $AN257, 4+AQ257), 0)</f>
        <v>0</v>
      </c>
      <c r="AS257" s="228" cm="1">
        <f t="array" ref="AS257">IF(X257&gt;0, INDEX(Kat, $AN257, 9+AQ257), 0)</f>
        <v>0</v>
      </c>
      <c r="AT257" s="246"/>
      <c r="AU257" s="262"/>
      <c r="AV257" s="262"/>
      <c r="AW257" s="263"/>
      <c r="AX257" s="263"/>
      <c r="AY257" s="263"/>
      <c r="AZ257" s="263"/>
      <c r="BA257" s="263"/>
      <c r="BB257" s="263"/>
      <c r="BC257" s="263"/>
      <c r="BD257" s="263"/>
      <c r="BE257" s="263"/>
      <c r="BF257" s="263"/>
      <c r="BG257" s="263"/>
      <c r="BH257" s="246"/>
      <c r="BI257" s="228" cm="1">
        <f t="array" ref="BI257">INDEX(Use, $AH257, 4)</f>
        <v>7</v>
      </c>
      <c r="BJ257" s="228">
        <f t="shared" si="531"/>
        <v>32</v>
      </c>
      <c r="BK257" s="228">
        <f t="shared" si="305"/>
        <v>13</v>
      </c>
      <c r="BL257" s="228">
        <f t="shared" si="306"/>
        <v>0</v>
      </c>
      <c r="BM257" s="233" cm="1">
        <f t="array" ref="BM257">L257/IF($M257&gt;0, INDEX($AY$22:$BE$76, $M257+20, $AH257), 1)</f>
        <v>0</v>
      </c>
      <c r="BN257" s="229">
        <f t="shared" si="532"/>
        <v>0</v>
      </c>
      <c r="BO257" s="228">
        <v>35</v>
      </c>
      <c r="BP257" s="229">
        <f t="shared" si="533"/>
        <v>48</v>
      </c>
      <c r="BQ257" s="234">
        <f t="shared" si="534"/>
        <v>3.0748170731707316</v>
      </c>
      <c r="BR257" s="234" cm="1">
        <f t="array" ref="BR257">$BM257 * SUMPRODUCT(INDEX($AV$76:$AX$81,,$AI257),INDEX($AY$76:$BE$81,,$AH257), N($AU$76:$AU$81&gt;$AM257)) / BQ257 / 1000</f>
        <v>0</v>
      </c>
      <c r="BS257" s="231">
        <f t="shared" si="310"/>
        <v>30</v>
      </c>
      <c r="BT257" s="229">
        <f t="shared" si="535"/>
        <v>43</v>
      </c>
      <c r="BU257" s="234">
        <f t="shared" si="536"/>
        <v>3.5018750000000001</v>
      </c>
      <c r="BV257" s="234" cm="1">
        <f t="array" ref="BV257">$BM257 * IF($AH257&lt;=2,
SUMPRODUCT(INDEX($AV$71:$AX$75,,$AI257), INDEX($AY$71:$BE$75,,$AH257), 1 / ($BF$71:$BF$75*BU257 + (1-$BF$71:$BF$75)*BQ257), N($AU$71:$AU$75&gt;$AM257)),
SUMPRODUCT(INDEX($AV$66:$AX$75,,$AI257), INDEX($AY$66:$BE$75,,$AH257), 1 / ($BG$66:$BG$75*BU257 + (1-$BG$66:$BG$75)*BQ257), N($AU$66:$AU$75&gt;$AM257))
) / 1000</f>
        <v>0</v>
      </c>
      <c r="BW257" s="231">
        <f t="shared" si="313"/>
        <v>25</v>
      </c>
      <c r="BX257" s="229">
        <f t="shared" si="537"/>
        <v>38</v>
      </c>
      <c r="BY257" s="234">
        <f t="shared" si="538"/>
        <v>4.0666935483870965</v>
      </c>
      <c r="BZ257" s="234" cm="1">
        <f t="array" ref="BZ257">$BM257 * IF($AH257&lt;=2,
SUMPRODUCT(INDEX($AV$66:$AX$70,,$AI257), INDEX($AY$66:$BE$70,,$AH257), 1 / ($BF$66:$BF$70*BY257 + (1-$BF$66:$BF$70)*BU257), N($AU$66:$AU$70&gt;$AM257)),
SUMPRODUCT(INDEX($AV$56:$AX$65,,$AI257), INDEX($AY$56:$BE$65,,$AH257), 1 / ($BG$56:$BG$65*BY257 + (1-$BG$56:$BG$65)*BU257), N($AU$56:$AU$65&gt;$AM257))
) / 1000</f>
        <v>0</v>
      </c>
      <c r="CA257" s="231">
        <f t="shared" si="316"/>
        <v>20</v>
      </c>
      <c r="CB257" s="229">
        <f t="shared" si="539"/>
        <v>33</v>
      </c>
      <c r="CC257" s="234">
        <f t="shared" si="540"/>
        <v>4.8487499999999999</v>
      </c>
      <c r="CD257" s="234" cm="1">
        <f t="array" ref="CD257">$BM257 * IF($AH257&lt;=2,
SUMPRODUCT(INDEX($AV$61:$AX$65,,$AI257), INDEX($AY$61:$BE$65,,$AH257), 1 / ($BF$61:$BF$65*CC257 + (1-$BF$61:$BF$65)*BY257), N($AU$61:$AU$65&gt;$AM257)),
SUMPRODUCT(INDEX($AV$46:$AX$55,,$AI257), INDEX($AY$46:$BE$55,,$AH257), 1 / ($BG$46:$BG$55*CC257 + (1-$BG$46:$BG$55)*BY257), N($AU$46:$AU$55&gt;$AM257))
) / 1000</f>
        <v>0</v>
      </c>
      <c r="CE257" s="234" cm="1">
        <f t="array" ref="CE257">$BM257 * IF($AH257&lt;=2,
SUMPRODUCT(INDEX($AV$22:$AX$60,,$AI257), INDEX($AY$22:$BE$60,,$AH257), 1 / ($BF$22:$BF$60*CC257), N($AU$22:$AU$60&gt;$AM257)),
SUMPRODUCT(INDEX($AV$22:$AX$45,,$AI257), INDEX($AY$22:$BE$45,,$AH257), 1 / ($BG$22:$BG$45*CC257), N($AU$22:$AU$45&gt;$AM257))
) / 1000</f>
        <v>0</v>
      </c>
      <c r="CF257" s="229">
        <f t="shared" si="541"/>
        <v>0</v>
      </c>
      <c r="CG257" s="246"/>
      <c r="CH257" s="229">
        <f t="shared" si="542"/>
        <v>0</v>
      </c>
      <c r="CI257" s="228">
        <v>35</v>
      </c>
      <c r="CJ257" s="229">
        <f t="shared" si="543"/>
        <v>48</v>
      </c>
      <c r="CK257" s="234">
        <f t="shared" si="544"/>
        <v>3.0748170731707316</v>
      </c>
      <c r="CL257" s="234" cm="1">
        <f t="array" ref="CL257">$BM257 * SUMPRODUCT(INDEX($AV$76:$AX$81,,$AI257),INDEX($AY$76:$BE$81,,$AH257), N($AU$76:$AU$81&gt;$AM257)) / CK257 / 1000</f>
        <v>0</v>
      </c>
      <c r="CM257" s="231">
        <f t="shared" si="323"/>
        <v>30</v>
      </c>
      <c r="CN257" s="229">
        <f t="shared" si="545"/>
        <v>43</v>
      </c>
      <c r="CO257" s="234">
        <f t="shared" si="546"/>
        <v>3.5018750000000001</v>
      </c>
      <c r="CP257" s="234" cm="1">
        <f t="array" ref="CP257">$BM257 * IF($AH257&lt;=2,
SUMPRODUCT(INDEX($AV$71:$AX$75,,$AI257), INDEX($AY$71:$BE$75,,$AH257), 1 / ($BF$71:$BF$75*CO257 + (1-$BF$71:$BF$75)*CK257), N($AU$71:$AU$75&gt;$AM257)),
SUMPRODUCT(INDEX($AV$66:$AX$75,,$AI257), INDEX($AY$66:$BE$75,,$AH257), 1 / ($BG$66:$BG$75*CO257 + (1-$BG$66:$BG$75)*CK257), N($AU$66:$AU$75&gt;$AM257))
) / 1000</f>
        <v>0</v>
      </c>
      <c r="CQ257" s="231">
        <f t="shared" si="326"/>
        <v>25</v>
      </c>
      <c r="CR257" s="229">
        <f t="shared" si="547"/>
        <v>38</v>
      </c>
      <c r="CS257" s="234">
        <f t="shared" si="548"/>
        <v>4.0666935483870965</v>
      </c>
      <c r="CT257" s="234" cm="1">
        <f t="array" ref="CT257">$BM257 * IF($AH257&lt;=2,
SUMPRODUCT(INDEX($AV$66:$AX$70,,$AI257), INDEX($AY$66:$BE$70,,$AH257), 1 / ($BF$66:$BF$70*CS257 + (1-$BF$66:$BF$70)*CO257), N($AU$66:$AU$70&gt;$AM257)),
SUMPRODUCT(INDEX($AV$56:$AX$65,,$AI257), INDEX($AY$56:$BE$65,,$AH257), 1 / ($BG$56:$BG$65*CS257 + (1-$BG$56:$BG$65)*CO257), N($AU$56:$AU$65&gt;$AM257))
) / 1000</f>
        <v>0</v>
      </c>
      <c r="CU257" s="231">
        <f t="shared" si="329"/>
        <v>20</v>
      </c>
      <c r="CV257" s="229">
        <f t="shared" si="549"/>
        <v>33</v>
      </c>
      <c r="CW257" s="234">
        <f t="shared" si="550"/>
        <v>4.8487499999999999</v>
      </c>
      <c r="CX257" s="234" cm="1">
        <f t="array" ref="CX257">$BM257 * IF($AH257&lt;=2,
SUMPRODUCT(INDEX($AV$61:$AX$65,,$AI257), INDEX($AY$61:$BE$65,,$AH257), 1 / ($BF$61:$BF$65*CW257 + (1-$BF$61:$BF$65)*CS257), N($AU$61:$AU$65&gt;$AM257)),
SUMPRODUCT(INDEX($AV$46:$AX$55,,$AI257), INDEX($AY$46:$BE$55,,$AH257), 1 / ($BG$46:$BG$55*CW257 + (1-$BG$46:$BG$55)*CS257), N($AU$46:$AU$55&gt;$AM257))
) / 1000</f>
        <v>0</v>
      </c>
      <c r="CY257" s="234" cm="1">
        <f t="array" ref="CY257">$BM257 * IF($AH257&lt;=2,
SUMPRODUCT(INDEX($AV$22:$AX$60,,$AI257), INDEX($AY$22:$BE$60,,$AH257), 1 / ($BF$22:$BF$60*CW257), N($AU$22:$AU$60&gt;$AM257)),
SUMPRODUCT(INDEX($AV$22:$AX$45,,$AI257), INDEX($AY$22:$BE$45,,$AH257), 1 / ($BG$22:$BG$45*CW257), N($AU$22:$AU$45&gt;$AM257))
) / 1000</f>
        <v>0</v>
      </c>
      <c r="CZ257" s="229">
        <f t="shared" si="551"/>
        <v>0</v>
      </c>
      <c r="DA257" s="246"/>
    </row>
    <row r="258" spans="1:105" s="75" customFormat="1" ht="14.25" customHeight="1" x14ac:dyDescent="0.2">
      <c r="A258" s="230" t="b">
        <f t="shared" si="291"/>
        <v>0</v>
      </c>
      <c r="B258" s="253">
        <v>237</v>
      </c>
      <c r="C258" s="266"/>
      <c r="D258" s="266"/>
      <c r="E258" s="254"/>
      <c r="F258" s="255" t="str">
        <f>IF(ISBLANK(E258), "", VLOOKUP(E258, Z!$A$2:$C$4127, 3, FALSE))</f>
        <v/>
      </c>
      <c r="G258" s="256"/>
      <c r="H258" s="256"/>
      <c r="I258" s="256"/>
      <c r="J258" s="257"/>
      <c r="K258" s="258"/>
      <c r="L258" s="267"/>
      <c r="M258" s="268"/>
      <c r="N258" s="259" t="str" cm="1">
        <f t="array" ref="N258">IF($L258&gt;0, INDEX(Clean,1+AK258,$D$1), "")</f>
        <v/>
      </c>
      <c r="O258" s="260"/>
      <c r="P258" s="260"/>
      <c r="Q258" s="261"/>
      <c r="R258" s="264">
        <f t="shared" si="527"/>
        <v>0</v>
      </c>
      <c r="S258" s="259" t="str" cm="1">
        <f t="array" ref="S258">IF($L258&gt;0, INDEX(Clean,1+AL258,$D$1), "")</f>
        <v/>
      </c>
      <c r="T258" s="260"/>
      <c r="U258" s="260"/>
      <c r="V258" s="261"/>
      <c r="W258" s="267"/>
      <c r="X258" s="267"/>
      <c r="Y258" s="257"/>
      <c r="Z258" s="264">
        <f t="shared" si="528"/>
        <v>0</v>
      </c>
      <c r="AA258" s="269"/>
      <c r="AB258" s="266"/>
      <c r="AC258" s="254"/>
      <c r="AD258" s="255" t="str">
        <f>IF(ISBLANK(AC258), "", VLOOKUP(AC258, Z!$A$2:$C$4127, 3, FALSE))</f>
        <v/>
      </c>
      <c r="AE258" s="270"/>
      <c r="AF258" s="265">
        <f t="shared" si="529"/>
        <v>0</v>
      </c>
      <c r="AG258" s="246"/>
      <c r="AH258" s="228">
        <f t="shared" si="552"/>
        <v>1</v>
      </c>
      <c r="AI258" s="228">
        <f t="shared" si="553"/>
        <v>1</v>
      </c>
      <c r="AJ258" s="228">
        <f t="shared" si="554"/>
        <v>0</v>
      </c>
      <c r="AK258" s="228">
        <v>0</v>
      </c>
      <c r="AL258" s="228">
        <v>0</v>
      </c>
      <c r="AM258" s="228">
        <f t="shared" si="530"/>
        <v>-100</v>
      </c>
      <c r="AN258" s="228" cm="1">
        <f t="array" ref="AN258">IF(ISBLANK(G258), 1, IFERROR(MATCH(G258, INDEX(Kat,,1), 0), IFERROR(MATCH(Kat, INDEX(Use,,2), 0), MATCH(Kat, INDEX(Use,,3), 0))))</f>
        <v>1</v>
      </c>
      <c r="AO258" s="246"/>
      <c r="AP258" s="228" cm="1">
        <f t="array" ref="AP258">IF(W258&gt;0, INDEX(Kat, AN258,4), 0)</f>
        <v>0</v>
      </c>
      <c r="AQ258" s="228">
        <f t="shared" si="555"/>
        <v>0</v>
      </c>
      <c r="AR258" s="228" cm="1">
        <f t="array" ref="AR258">IF(X258&gt;0, INDEX(Kat, $AN258, 4+AQ258), 0)</f>
        <v>0</v>
      </c>
      <c r="AS258" s="228" cm="1">
        <f t="array" ref="AS258">IF(X258&gt;0, INDEX(Kat, $AN258, 9+AQ258), 0)</f>
        <v>0</v>
      </c>
      <c r="AT258" s="246"/>
      <c r="AU258" s="262"/>
      <c r="AV258" s="262"/>
      <c r="AW258" s="263"/>
      <c r="AX258" s="263"/>
      <c r="AY258" s="263"/>
      <c r="AZ258" s="263"/>
      <c r="BA258" s="263"/>
      <c r="BB258" s="263"/>
      <c r="BC258" s="263"/>
      <c r="BD258" s="263"/>
      <c r="BE258" s="263"/>
      <c r="BF258" s="263"/>
      <c r="BG258" s="263"/>
      <c r="BH258" s="246"/>
      <c r="BI258" s="228" cm="1">
        <f t="array" ref="BI258">INDEX(Use, $AH258, 4)</f>
        <v>7</v>
      </c>
      <c r="BJ258" s="228">
        <f t="shared" si="531"/>
        <v>32</v>
      </c>
      <c r="BK258" s="228">
        <f t="shared" si="305"/>
        <v>13</v>
      </c>
      <c r="BL258" s="228">
        <f t="shared" si="306"/>
        <v>0</v>
      </c>
      <c r="BM258" s="233" cm="1">
        <f t="array" ref="BM258">L258/IF($M258&gt;0, INDEX($AY$22:$BE$76, $M258+20, $AH258), 1)</f>
        <v>0</v>
      </c>
      <c r="BN258" s="229">
        <f t="shared" si="532"/>
        <v>0</v>
      </c>
      <c r="BO258" s="228">
        <v>35</v>
      </c>
      <c r="BP258" s="229">
        <f t="shared" si="533"/>
        <v>48</v>
      </c>
      <c r="BQ258" s="234">
        <f t="shared" si="534"/>
        <v>3.0748170731707316</v>
      </c>
      <c r="BR258" s="234" cm="1">
        <f t="array" ref="BR258">$BM258 * SUMPRODUCT(INDEX($AV$76:$AX$81,,$AI258),INDEX($AY$76:$BE$81,,$AH258), N($AU$76:$AU$81&gt;$AM258)) / BQ258 / 1000</f>
        <v>0</v>
      </c>
      <c r="BS258" s="231">
        <f t="shared" si="310"/>
        <v>30</v>
      </c>
      <c r="BT258" s="229">
        <f t="shared" si="535"/>
        <v>43</v>
      </c>
      <c r="BU258" s="234">
        <f t="shared" si="536"/>
        <v>3.5018750000000001</v>
      </c>
      <c r="BV258" s="234" cm="1">
        <f t="array" ref="BV258">$BM258 * IF($AH258&lt;=2,
SUMPRODUCT(INDEX($AV$71:$AX$75,,$AI258), INDEX($AY$71:$BE$75,,$AH258), 1 / ($BF$71:$BF$75*BU258 + (1-$BF$71:$BF$75)*BQ258), N($AU$71:$AU$75&gt;$AM258)),
SUMPRODUCT(INDEX($AV$66:$AX$75,,$AI258), INDEX($AY$66:$BE$75,,$AH258), 1 / ($BG$66:$BG$75*BU258 + (1-$BG$66:$BG$75)*BQ258), N($AU$66:$AU$75&gt;$AM258))
) / 1000</f>
        <v>0</v>
      </c>
      <c r="BW258" s="231">
        <f t="shared" si="313"/>
        <v>25</v>
      </c>
      <c r="BX258" s="229">
        <f t="shared" si="537"/>
        <v>38</v>
      </c>
      <c r="BY258" s="234">
        <f t="shared" si="538"/>
        <v>4.0666935483870965</v>
      </c>
      <c r="BZ258" s="234" cm="1">
        <f t="array" ref="BZ258">$BM258 * IF($AH258&lt;=2,
SUMPRODUCT(INDEX($AV$66:$AX$70,,$AI258), INDEX($AY$66:$BE$70,,$AH258), 1 / ($BF$66:$BF$70*BY258 + (1-$BF$66:$BF$70)*BU258), N($AU$66:$AU$70&gt;$AM258)),
SUMPRODUCT(INDEX($AV$56:$AX$65,,$AI258), INDEX($AY$56:$BE$65,,$AH258), 1 / ($BG$56:$BG$65*BY258 + (1-$BG$56:$BG$65)*BU258), N($AU$56:$AU$65&gt;$AM258))
) / 1000</f>
        <v>0</v>
      </c>
      <c r="CA258" s="231">
        <f t="shared" si="316"/>
        <v>20</v>
      </c>
      <c r="CB258" s="229">
        <f t="shared" si="539"/>
        <v>33</v>
      </c>
      <c r="CC258" s="234">
        <f t="shared" si="540"/>
        <v>4.8487499999999999</v>
      </c>
      <c r="CD258" s="234" cm="1">
        <f t="array" ref="CD258">$BM258 * IF($AH258&lt;=2,
SUMPRODUCT(INDEX($AV$61:$AX$65,,$AI258), INDEX($AY$61:$BE$65,,$AH258), 1 / ($BF$61:$BF$65*CC258 + (1-$BF$61:$BF$65)*BY258), N($AU$61:$AU$65&gt;$AM258)),
SUMPRODUCT(INDEX($AV$46:$AX$55,,$AI258), INDEX($AY$46:$BE$55,,$AH258), 1 / ($BG$46:$BG$55*CC258 + (1-$BG$46:$BG$55)*BY258), N($AU$46:$AU$55&gt;$AM258))
) / 1000</f>
        <v>0</v>
      </c>
      <c r="CE258" s="234" cm="1">
        <f t="array" ref="CE258">$BM258 * IF($AH258&lt;=2,
SUMPRODUCT(INDEX($AV$22:$AX$60,,$AI258), INDEX($AY$22:$BE$60,,$AH258), 1 / ($BF$22:$BF$60*CC258), N($AU$22:$AU$60&gt;$AM258)),
SUMPRODUCT(INDEX($AV$22:$AX$45,,$AI258), INDEX($AY$22:$BE$45,,$AH258), 1 / ($BG$22:$BG$45*CC258), N($AU$22:$AU$45&gt;$AM258))
) / 1000</f>
        <v>0</v>
      </c>
      <c r="CF258" s="229">
        <f t="shared" si="541"/>
        <v>0</v>
      </c>
      <c r="CG258" s="246"/>
      <c r="CH258" s="229">
        <f t="shared" si="542"/>
        <v>0</v>
      </c>
      <c r="CI258" s="228">
        <v>35</v>
      </c>
      <c r="CJ258" s="229">
        <f t="shared" si="543"/>
        <v>48</v>
      </c>
      <c r="CK258" s="234">
        <f t="shared" si="544"/>
        <v>3.0748170731707316</v>
      </c>
      <c r="CL258" s="234" cm="1">
        <f t="array" ref="CL258">$BM258 * SUMPRODUCT(INDEX($AV$76:$AX$81,,$AI258),INDEX($AY$76:$BE$81,,$AH258), N($AU$76:$AU$81&gt;$AM258)) / CK258 / 1000</f>
        <v>0</v>
      </c>
      <c r="CM258" s="231">
        <f t="shared" si="323"/>
        <v>30</v>
      </c>
      <c r="CN258" s="229">
        <f t="shared" si="545"/>
        <v>43</v>
      </c>
      <c r="CO258" s="234">
        <f t="shared" si="546"/>
        <v>3.5018750000000001</v>
      </c>
      <c r="CP258" s="234" cm="1">
        <f t="array" ref="CP258">$BM258 * IF($AH258&lt;=2,
SUMPRODUCT(INDEX($AV$71:$AX$75,,$AI258), INDEX($AY$71:$BE$75,,$AH258), 1 / ($BF$71:$BF$75*CO258 + (1-$BF$71:$BF$75)*CK258), N($AU$71:$AU$75&gt;$AM258)),
SUMPRODUCT(INDEX($AV$66:$AX$75,,$AI258), INDEX($AY$66:$BE$75,,$AH258), 1 / ($BG$66:$BG$75*CO258 + (1-$BG$66:$BG$75)*CK258), N($AU$66:$AU$75&gt;$AM258))
) / 1000</f>
        <v>0</v>
      </c>
      <c r="CQ258" s="231">
        <f t="shared" si="326"/>
        <v>25</v>
      </c>
      <c r="CR258" s="229">
        <f t="shared" si="547"/>
        <v>38</v>
      </c>
      <c r="CS258" s="234">
        <f t="shared" si="548"/>
        <v>4.0666935483870965</v>
      </c>
      <c r="CT258" s="234" cm="1">
        <f t="array" ref="CT258">$BM258 * IF($AH258&lt;=2,
SUMPRODUCT(INDEX($AV$66:$AX$70,,$AI258), INDEX($AY$66:$BE$70,,$AH258), 1 / ($BF$66:$BF$70*CS258 + (1-$BF$66:$BF$70)*CO258), N($AU$66:$AU$70&gt;$AM258)),
SUMPRODUCT(INDEX($AV$56:$AX$65,,$AI258), INDEX($AY$56:$BE$65,,$AH258), 1 / ($BG$56:$BG$65*CS258 + (1-$BG$56:$BG$65)*CO258), N($AU$56:$AU$65&gt;$AM258))
) / 1000</f>
        <v>0</v>
      </c>
      <c r="CU258" s="231">
        <f t="shared" si="329"/>
        <v>20</v>
      </c>
      <c r="CV258" s="229">
        <f t="shared" si="549"/>
        <v>33</v>
      </c>
      <c r="CW258" s="234">
        <f t="shared" si="550"/>
        <v>4.8487499999999999</v>
      </c>
      <c r="CX258" s="234" cm="1">
        <f t="array" ref="CX258">$BM258 * IF($AH258&lt;=2,
SUMPRODUCT(INDEX($AV$61:$AX$65,,$AI258), INDEX($AY$61:$BE$65,,$AH258), 1 / ($BF$61:$BF$65*CW258 + (1-$BF$61:$BF$65)*CS258), N($AU$61:$AU$65&gt;$AM258)),
SUMPRODUCT(INDEX($AV$46:$AX$55,,$AI258), INDEX($AY$46:$BE$55,,$AH258), 1 / ($BG$46:$BG$55*CW258 + (1-$BG$46:$BG$55)*CS258), N($AU$46:$AU$55&gt;$AM258))
) / 1000</f>
        <v>0</v>
      </c>
      <c r="CY258" s="234" cm="1">
        <f t="array" ref="CY258">$BM258 * IF($AH258&lt;=2,
SUMPRODUCT(INDEX($AV$22:$AX$60,,$AI258), INDEX($AY$22:$BE$60,,$AH258), 1 / ($BF$22:$BF$60*CW258), N($AU$22:$AU$60&gt;$AM258)),
SUMPRODUCT(INDEX($AV$22:$AX$45,,$AI258), INDEX($AY$22:$BE$45,,$AH258), 1 / ($BG$22:$BG$45*CW258), N($AU$22:$AU$45&gt;$AM258))
) / 1000</f>
        <v>0</v>
      </c>
      <c r="CZ258" s="229">
        <f t="shared" si="551"/>
        <v>0</v>
      </c>
      <c r="DA258" s="246"/>
    </row>
    <row r="259" spans="1:105" s="75" customFormat="1" ht="14.25" customHeight="1" x14ac:dyDescent="0.2">
      <c r="A259" s="230" t="b">
        <f t="shared" si="291"/>
        <v>0</v>
      </c>
      <c r="B259" s="253">
        <v>238</v>
      </c>
      <c r="C259" s="266"/>
      <c r="D259" s="266"/>
      <c r="E259" s="254"/>
      <c r="F259" s="255" t="str">
        <f>IF(ISBLANK(E259), "", VLOOKUP(E259, Z!$A$2:$C$4127, 3, FALSE))</f>
        <v/>
      </c>
      <c r="G259" s="256"/>
      <c r="H259" s="256"/>
      <c r="I259" s="256"/>
      <c r="J259" s="257"/>
      <c r="K259" s="258"/>
      <c r="L259" s="267"/>
      <c r="M259" s="268"/>
      <c r="N259" s="259" t="str" cm="1">
        <f t="array" ref="N259">IF($L259&gt;0, INDEX(Clean,1+AK259,$D$1), "")</f>
        <v/>
      </c>
      <c r="O259" s="260"/>
      <c r="P259" s="260"/>
      <c r="Q259" s="261"/>
      <c r="R259" s="264">
        <f t="shared" si="527"/>
        <v>0</v>
      </c>
      <c r="S259" s="259" t="str" cm="1">
        <f t="array" ref="S259">IF($L259&gt;0, INDEX(Clean,1+AL259,$D$1), "")</f>
        <v/>
      </c>
      <c r="T259" s="260"/>
      <c r="U259" s="260"/>
      <c r="V259" s="261"/>
      <c r="W259" s="267"/>
      <c r="X259" s="267"/>
      <c r="Y259" s="257"/>
      <c r="Z259" s="264">
        <f t="shared" si="528"/>
        <v>0</v>
      </c>
      <c r="AA259" s="269"/>
      <c r="AB259" s="266"/>
      <c r="AC259" s="254"/>
      <c r="AD259" s="255" t="str">
        <f>IF(ISBLANK(AC259), "", VLOOKUP(AC259, Z!$A$2:$C$4127, 3, FALSE))</f>
        <v/>
      </c>
      <c r="AE259" s="270"/>
      <c r="AF259" s="265">
        <f t="shared" si="529"/>
        <v>0</v>
      </c>
      <c r="AG259" s="246"/>
      <c r="AH259" s="228">
        <f t="shared" si="552"/>
        <v>1</v>
      </c>
      <c r="AI259" s="228">
        <f t="shared" si="553"/>
        <v>1</v>
      </c>
      <c r="AJ259" s="228">
        <f t="shared" si="554"/>
        <v>0</v>
      </c>
      <c r="AK259" s="228">
        <v>0</v>
      </c>
      <c r="AL259" s="228">
        <v>0</v>
      </c>
      <c r="AM259" s="228">
        <f t="shared" si="530"/>
        <v>-100</v>
      </c>
      <c r="AN259" s="228" cm="1">
        <f t="array" ref="AN259">IF(ISBLANK(G259), 1, IFERROR(MATCH(G259, INDEX(Kat,,1), 0), IFERROR(MATCH(Kat, INDEX(Use,,2), 0), MATCH(Kat, INDEX(Use,,3), 0))))</f>
        <v>1</v>
      </c>
      <c r="AO259" s="246"/>
      <c r="AP259" s="228" cm="1">
        <f t="array" ref="AP259">IF(W259&gt;0, INDEX(Kat, AN259,4), 0)</f>
        <v>0</v>
      </c>
      <c r="AQ259" s="228">
        <f t="shared" si="555"/>
        <v>0</v>
      </c>
      <c r="AR259" s="228" cm="1">
        <f t="array" ref="AR259">IF(X259&gt;0, INDEX(Kat, $AN259, 4+AQ259), 0)</f>
        <v>0</v>
      </c>
      <c r="AS259" s="228" cm="1">
        <f t="array" ref="AS259">IF(X259&gt;0, INDEX(Kat, $AN259, 9+AQ259), 0)</f>
        <v>0</v>
      </c>
      <c r="AT259" s="246"/>
      <c r="AU259" s="262"/>
      <c r="AV259" s="262"/>
      <c r="AW259" s="263"/>
      <c r="AX259" s="263"/>
      <c r="AY259" s="263"/>
      <c r="AZ259" s="263"/>
      <c r="BA259" s="263"/>
      <c r="BB259" s="263"/>
      <c r="BC259" s="263"/>
      <c r="BD259" s="263"/>
      <c r="BE259" s="263"/>
      <c r="BF259" s="263"/>
      <c r="BG259" s="263"/>
      <c r="BH259" s="246"/>
      <c r="BI259" s="228" cm="1">
        <f t="array" ref="BI259">INDEX(Use, $AH259, 4)</f>
        <v>7</v>
      </c>
      <c r="BJ259" s="228">
        <f t="shared" si="531"/>
        <v>32</v>
      </c>
      <c r="BK259" s="228">
        <f t="shared" si="305"/>
        <v>13</v>
      </c>
      <c r="BL259" s="228">
        <f t="shared" si="306"/>
        <v>0</v>
      </c>
      <c r="BM259" s="233" cm="1">
        <f t="array" ref="BM259">L259/IF($M259&gt;0, INDEX($AY$22:$BE$76, $M259+20, $AH259), 1)</f>
        <v>0</v>
      </c>
      <c r="BN259" s="229">
        <f t="shared" si="532"/>
        <v>0</v>
      </c>
      <c r="BO259" s="228">
        <v>35</v>
      </c>
      <c r="BP259" s="229">
        <f t="shared" si="533"/>
        <v>48</v>
      </c>
      <c r="BQ259" s="234">
        <f t="shared" si="534"/>
        <v>3.0748170731707316</v>
      </c>
      <c r="BR259" s="234" cm="1">
        <f t="array" ref="BR259">$BM259 * SUMPRODUCT(INDEX($AV$76:$AX$81,,$AI259),INDEX($AY$76:$BE$81,,$AH259), N($AU$76:$AU$81&gt;$AM259)) / BQ259 / 1000</f>
        <v>0</v>
      </c>
      <c r="BS259" s="231">
        <f t="shared" si="310"/>
        <v>30</v>
      </c>
      <c r="BT259" s="229">
        <f t="shared" si="535"/>
        <v>43</v>
      </c>
      <c r="BU259" s="234">
        <f t="shared" si="536"/>
        <v>3.5018750000000001</v>
      </c>
      <c r="BV259" s="234" cm="1">
        <f t="array" ref="BV259">$BM259 * IF($AH259&lt;=2,
SUMPRODUCT(INDEX($AV$71:$AX$75,,$AI259), INDEX($AY$71:$BE$75,,$AH259), 1 / ($BF$71:$BF$75*BU259 + (1-$BF$71:$BF$75)*BQ259), N($AU$71:$AU$75&gt;$AM259)),
SUMPRODUCT(INDEX($AV$66:$AX$75,,$AI259), INDEX($AY$66:$BE$75,,$AH259), 1 / ($BG$66:$BG$75*BU259 + (1-$BG$66:$BG$75)*BQ259), N($AU$66:$AU$75&gt;$AM259))
) / 1000</f>
        <v>0</v>
      </c>
      <c r="BW259" s="231">
        <f t="shared" si="313"/>
        <v>25</v>
      </c>
      <c r="BX259" s="229">
        <f t="shared" si="537"/>
        <v>38</v>
      </c>
      <c r="BY259" s="234">
        <f t="shared" si="538"/>
        <v>4.0666935483870965</v>
      </c>
      <c r="BZ259" s="234" cm="1">
        <f t="array" ref="BZ259">$BM259 * IF($AH259&lt;=2,
SUMPRODUCT(INDEX($AV$66:$AX$70,,$AI259), INDEX($AY$66:$BE$70,,$AH259), 1 / ($BF$66:$BF$70*BY259 + (1-$BF$66:$BF$70)*BU259), N($AU$66:$AU$70&gt;$AM259)),
SUMPRODUCT(INDEX($AV$56:$AX$65,,$AI259), INDEX($AY$56:$BE$65,,$AH259), 1 / ($BG$56:$BG$65*BY259 + (1-$BG$56:$BG$65)*BU259), N($AU$56:$AU$65&gt;$AM259))
) / 1000</f>
        <v>0</v>
      </c>
      <c r="CA259" s="231">
        <f t="shared" si="316"/>
        <v>20</v>
      </c>
      <c r="CB259" s="229">
        <f t="shared" si="539"/>
        <v>33</v>
      </c>
      <c r="CC259" s="234">
        <f t="shared" si="540"/>
        <v>4.8487499999999999</v>
      </c>
      <c r="CD259" s="234" cm="1">
        <f t="array" ref="CD259">$BM259 * IF($AH259&lt;=2,
SUMPRODUCT(INDEX($AV$61:$AX$65,,$AI259), INDEX($AY$61:$BE$65,,$AH259), 1 / ($BF$61:$BF$65*CC259 + (1-$BF$61:$BF$65)*BY259), N($AU$61:$AU$65&gt;$AM259)),
SUMPRODUCT(INDEX($AV$46:$AX$55,,$AI259), INDEX($AY$46:$BE$55,,$AH259), 1 / ($BG$46:$BG$55*CC259 + (1-$BG$46:$BG$55)*BY259), N($AU$46:$AU$55&gt;$AM259))
) / 1000</f>
        <v>0</v>
      </c>
      <c r="CE259" s="234" cm="1">
        <f t="array" ref="CE259">$BM259 * IF($AH259&lt;=2,
SUMPRODUCT(INDEX($AV$22:$AX$60,,$AI259), INDEX($AY$22:$BE$60,,$AH259), 1 / ($BF$22:$BF$60*CC259), N($AU$22:$AU$60&gt;$AM259)),
SUMPRODUCT(INDEX($AV$22:$AX$45,,$AI259), INDEX($AY$22:$BE$45,,$AH259), 1 / ($BG$22:$BG$45*CC259), N($AU$22:$AU$45&gt;$AM259))
) / 1000</f>
        <v>0</v>
      </c>
      <c r="CF259" s="229">
        <f t="shared" si="541"/>
        <v>0</v>
      </c>
      <c r="CG259" s="246"/>
      <c r="CH259" s="229">
        <f t="shared" si="542"/>
        <v>0</v>
      </c>
      <c r="CI259" s="228">
        <v>35</v>
      </c>
      <c r="CJ259" s="229">
        <f t="shared" si="543"/>
        <v>48</v>
      </c>
      <c r="CK259" s="234">
        <f t="shared" si="544"/>
        <v>3.0748170731707316</v>
      </c>
      <c r="CL259" s="234" cm="1">
        <f t="array" ref="CL259">$BM259 * SUMPRODUCT(INDEX($AV$76:$AX$81,,$AI259),INDEX($AY$76:$BE$81,,$AH259), N($AU$76:$AU$81&gt;$AM259)) / CK259 / 1000</f>
        <v>0</v>
      </c>
      <c r="CM259" s="231">
        <f t="shared" si="323"/>
        <v>30</v>
      </c>
      <c r="CN259" s="229">
        <f t="shared" si="545"/>
        <v>43</v>
      </c>
      <c r="CO259" s="234">
        <f t="shared" si="546"/>
        <v>3.5018750000000001</v>
      </c>
      <c r="CP259" s="234" cm="1">
        <f t="array" ref="CP259">$BM259 * IF($AH259&lt;=2,
SUMPRODUCT(INDEX($AV$71:$AX$75,,$AI259), INDEX($AY$71:$BE$75,,$AH259), 1 / ($BF$71:$BF$75*CO259 + (1-$BF$71:$BF$75)*CK259), N($AU$71:$AU$75&gt;$AM259)),
SUMPRODUCT(INDEX($AV$66:$AX$75,,$AI259), INDEX($AY$66:$BE$75,,$AH259), 1 / ($BG$66:$BG$75*CO259 + (1-$BG$66:$BG$75)*CK259), N($AU$66:$AU$75&gt;$AM259))
) / 1000</f>
        <v>0</v>
      </c>
      <c r="CQ259" s="231">
        <f t="shared" si="326"/>
        <v>25</v>
      </c>
      <c r="CR259" s="229">
        <f t="shared" si="547"/>
        <v>38</v>
      </c>
      <c r="CS259" s="234">
        <f t="shared" si="548"/>
        <v>4.0666935483870965</v>
      </c>
      <c r="CT259" s="234" cm="1">
        <f t="array" ref="CT259">$BM259 * IF($AH259&lt;=2,
SUMPRODUCT(INDEX($AV$66:$AX$70,,$AI259), INDEX($AY$66:$BE$70,,$AH259), 1 / ($BF$66:$BF$70*CS259 + (1-$BF$66:$BF$70)*CO259), N($AU$66:$AU$70&gt;$AM259)),
SUMPRODUCT(INDEX($AV$56:$AX$65,,$AI259), INDEX($AY$56:$BE$65,,$AH259), 1 / ($BG$56:$BG$65*CS259 + (1-$BG$56:$BG$65)*CO259), N($AU$56:$AU$65&gt;$AM259))
) / 1000</f>
        <v>0</v>
      </c>
      <c r="CU259" s="231">
        <f t="shared" si="329"/>
        <v>20</v>
      </c>
      <c r="CV259" s="229">
        <f t="shared" si="549"/>
        <v>33</v>
      </c>
      <c r="CW259" s="234">
        <f t="shared" si="550"/>
        <v>4.8487499999999999</v>
      </c>
      <c r="CX259" s="234" cm="1">
        <f t="array" ref="CX259">$BM259 * IF($AH259&lt;=2,
SUMPRODUCT(INDEX($AV$61:$AX$65,,$AI259), INDEX($AY$61:$BE$65,,$AH259), 1 / ($BF$61:$BF$65*CW259 + (1-$BF$61:$BF$65)*CS259), N($AU$61:$AU$65&gt;$AM259)),
SUMPRODUCT(INDEX($AV$46:$AX$55,,$AI259), INDEX($AY$46:$BE$55,,$AH259), 1 / ($BG$46:$BG$55*CW259 + (1-$BG$46:$BG$55)*CS259), N($AU$46:$AU$55&gt;$AM259))
) / 1000</f>
        <v>0</v>
      </c>
      <c r="CY259" s="234" cm="1">
        <f t="array" ref="CY259">$BM259 * IF($AH259&lt;=2,
SUMPRODUCT(INDEX($AV$22:$AX$60,,$AI259), INDEX($AY$22:$BE$60,,$AH259), 1 / ($BF$22:$BF$60*CW259), N($AU$22:$AU$60&gt;$AM259)),
SUMPRODUCT(INDEX($AV$22:$AX$45,,$AI259), INDEX($AY$22:$BE$45,,$AH259), 1 / ($BG$22:$BG$45*CW259), N($AU$22:$AU$45&gt;$AM259))
) / 1000</f>
        <v>0</v>
      </c>
      <c r="CZ259" s="229">
        <f t="shared" si="551"/>
        <v>0</v>
      </c>
      <c r="DA259" s="246"/>
    </row>
    <row r="260" spans="1:105" s="75" customFormat="1" ht="14.25" customHeight="1" x14ac:dyDescent="0.2">
      <c r="A260" s="230" t="b">
        <f t="shared" si="291"/>
        <v>0</v>
      </c>
      <c r="B260" s="253">
        <v>239</v>
      </c>
      <c r="C260" s="266"/>
      <c r="D260" s="266"/>
      <c r="E260" s="254"/>
      <c r="F260" s="255" t="str">
        <f>IF(ISBLANK(E260), "", VLOOKUP(E260, Z!$A$2:$C$4127, 3, FALSE))</f>
        <v/>
      </c>
      <c r="G260" s="256"/>
      <c r="H260" s="256"/>
      <c r="I260" s="256"/>
      <c r="J260" s="257"/>
      <c r="K260" s="258"/>
      <c r="L260" s="267"/>
      <c r="M260" s="268"/>
      <c r="N260" s="259" t="str" cm="1">
        <f t="array" ref="N260">IF($L260&gt;0, INDEX(Clean,1+AK260,$D$1), "")</f>
        <v/>
      </c>
      <c r="O260" s="260"/>
      <c r="P260" s="260"/>
      <c r="Q260" s="261"/>
      <c r="R260" s="264">
        <f t="shared" si="527"/>
        <v>0</v>
      </c>
      <c r="S260" s="259" t="str" cm="1">
        <f t="array" ref="S260">IF($L260&gt;0, INDEX(Clean,1+AL260,$D$1), "")</f>
        <v/>
      </c>
      <c r="T260" s="260"/>
      <c r="U260" s="260"/>
      <c r="V260" s="261"/>
      <c r="W260" s="267"/>
      <c r="X260" s="267"/>
      <c r="Y260" s="257"/>
      <c r="Z260" s="264">
        <f t="shared" si="528"/>
        <v>0</v>
      </c>
      <c r="AA260" s="269"/>
      <c r="AB260" s="266"/>
      <c r="AC260" s="254"/>
      <c r="AD260" s="255" t="str">
        <f>IF(ISBLANK(AC260), "", VLOOKUP(AC260, Z!$A$2:$C$4127, 3, FALSE))</f>
        <v/>
      </c>
      <c r="AE260" s="270"/>
      <c r="AF260" s="265">
        <f t="shared" si="529"/>
        <v>0</v>
      </c>
      <c r="AG260" s="246"/>
      <c r="AH260" s="228">
        <f t="shared" si="552"/>
        <v>1</v>
      </c>
      <c r="AI260" s="228">
        <f t="shared" si="553"/>
        <v>1</v>
      </c>
      <c r="AJ260" s="228">
        <f t="shared" si="554"/>
        <v>0</v>
      </c>
      <c r="AK260" s="228">
        <v>0</v>
      </c>
      <c r="AL260" s="228">
        <v>0</v>
      </c>
      <c r="AM260" s="228">
        <f t="shared" si="530"/>
        <v>-100</v>
      </c>
      <c r="AN260" s="228" cm="1">
        <f t="array" ref="AN260">IF(ISBLANK(G260), 1, IFERROR(MATCH(G260, INDEX(Kat,,1), 0), IFERROR(MATCH(Kat, INDEX(Use,,2), 0), MATCH(Kat, INDEX(Use,,3), 0))))</f>
        <v>1</v>
      </c>
      <c r="AO260" s="246"/>
      <c r="AP260" s="228" cm="1">
        <f t="array" ref="AP260">IF(W260&gt;0, INDEX(Kat, AN260,4), 0)</f>
        <v>0</v>
      </c>
      <c r="AQ260" s="228">
        <f t="shared" si="555"/>
        <v>0</v>
      </c>
      <c r="AR260" s="228" cm="1">
        <f t="array" ref="AR260">IF(X260&gt;0, INDEX(Kat, $AN260, 4+AQ260), 0)</f>
        <v>0</v>
      </c>
      <c r="AS260" s="228" cm="1">
        <f t="array" ref="AS260">IF(X260&gt;0, INDEX(Kat, $AN260, 9+AQ260), 0)</f>
        <v>0</v>
      </c>
      <c r="AT260" s="246"/>
      <c r="AU260" s="262"/>
      <c r="AV260" s="262"/>
      <c r="AW260" s="263"/>
      <c r="AX260" s="263"/>
      <c r="AY260" s="263"/>
      <c r="AZ260" s="263"/>
      <c r="BA260" s="263"/>
      <c r="BB260" s="263"/>
      <c r="BC260" s="263"/>
      <c r="BD260" s="263"/>
      <c r="BE260" s="263"/>
      <c r="BF260" s="263"/>
      <c r="BG260" s="263"/>
      <c r="BH260" s="246"/>
      <c r="BI260" s="228" cm="1">
        <f t="array" ref="BI260">INDEX(Use, $AH260, 4)</f>
        <v>7</v>
      </c>
      <c r="BJ260" s="228">
        <f t="shared" si="531"/>
        <v>32</v>
      </c>
      <c r="BK260" s="228">
        <f t="shared" si="305"/>
        <v>13</v>
      </c>
      <c r="BL260" s="228">
        <f t="shared" si="306"/>
        <v>0</v>
      </c>
      <c r="BM260" s="233" cm="1">
        <f t="array" ref="BM260">L260/IF($M260&gt;0, INDEX($AY$22:$BE$76, $M260+20, $AH260), 1)</f>
        <v>0</v>
      </c>
      <c r="BN260" s="229">
        <f t="shared" si="532"/>
        <v>0</v>
      </c>
      <c r="BO260" s="228">
        <v>35</v>
      </c>
      <c r="BP260" s="229">
        <f t="shared" si="533"/>
        <v>48</v>
      </c>
      <c r="BQ260" s="234">
        <f t="shared" si="534"/>
        <v>3.0748170731707316</v>
      </c>
      <c r="BR260" s="234" cm="1">
        <f t="array" ref="BR260">$BM260 * SUMPRODUCT(INDEX($AV$76:$AX$81,,$AI260),INDEX($AY$76:$BE$81,,$AH260), N($AU$76:$AU$81&gt;$AM260)) / BQ260 / 1000</f>
        <v>0</v>
      </c>
      <c r="BS260" s="231">
        <f t="shared" si="310"/>
        <v>30</v>
      </c>
      <c r="BT260" s="229">
        <f t="shared" si="535"/>
        <v>43</v>
      </c>
      <c r="BU260" s="234">
        <f t="shared" si="536"/>
        <v>3.5018750000000001</v>
      </c>
      <c r="BV260" s="234" cm="1">
        <f t="array" ref="BV260">$BM260 * IF($AH260&lt;=2,
SUMPRODUCT(INDEX($AV$71:$AX$75,,$AI260), INDEX($AY$71:$BE$75,,$AH260), 1 / ($BF$71:$BF$75*BU260 + (1-$BF$71:$BF$75)*BQ260), N($AU$71:$AU$75&gt;$AM260)),
SUMPRODUCT(INDEX($AV$66:$AX$75,,$AI260), INDEX($AY$66:$BE$75,,$AH260), 1 / ($BG$66:$BG$75*BU260 + (1-$BG$66:$BG$75)*BQ260), N($AU$66:$AU$75&gt;$AM260))
) / 1000</f>
        <v>0</v>
      </c>
      <c r="BW260" s="231">
        <f t="shared" si="313"/>
        <v>25</v>
      </c>
      <c r="BX260" s="229">
        <f t="shared" si="537"/>
        <v>38</v>
      </c>
      <c r="BY260" s="234">
        <f t="shared" si="538"/>
        <v>4.0666935483870965</v>
      </c>
      <c r="BZ260" s="234" cm="1">
        <f t="array" ref="BZ260">$BM260 * IF($AH260&lt;=2,
SUMPRODUCT(INDEX($AV$66:$AX$70,,$AI260), INDEX($AY$66:$BE$70,,$AH260), 1 / ($BF$66:$BF$70*BY260 + (1-$BF$66:$BF$70)*BU260), N($AU$66:$AU$70&gt;$AM260)),
SUMPRODUCT(INDEX($AV$56:$AX$65,,$AI260), INDEX($AY$56:$BE$65,,$AH260), 1 / ($BG$56:$BG$65*BY260 + (1-$BG$56:$BG$65)*BU260), N($AU$56:$AU$65&gt;$AM260))
) / 1000</f>
        <v>0</v>
      </c>
      <c r="CA260" s="231">
        <f t="shared" si="316"/>
        <v>20</v>
      </c>
      <c r="CB260" s="229">
        <f t="shared" si="539"/>
        <v>33</v>
      </c>
      <c r="CC260" s="234">
        <f t="shared" si="540"/>
        <v>4.8487499999999999</v>
      </c>
      <c r="CD260" s="234" cm="1">
        <f t="array" ref="CD260">$BM260 * IF($AH260&lt;=2,
SUMPRODUCT(INDEX($AV$61:$AX$65,,$AI260), INDEX($AY$61:$BE$65,,$AH260), 1 / ($BF$61:$BF$65*CC260 + (1-$BF$61:$BF$65)*BY260), N($AU$61:$AU$65&gt;$AM260)),
SUMPRODUCT(INDEX($AV$46:$AX$55,,$AI260), INDEX($AY$46:$BE$55,,$AH260), 1 / ($BG$46:$BG$55*CC260 + (1-$BG$46:$BG$55)*BY260), N($AU$46:$AU$55&gt;$AM260))
) / 1000</f>
        <v>0</v>
      </c>
      <c r="CE260" s="234" cm="1">
        <f t="array" ref="CE260">$BM260 * IF($AH260&lt;=2,
SUMPRODUCT(INDEX($AV$22:$AX$60,,$AI260), INDEX($AY$22:$BE$60,,$AH260), 1 / ($BF$22:$BF$60*CC260), N($AU$22:$AU$60&gt;$AM260)),
SUMPRODUCT(INDEX($AV$22:$AX$45,,$AI260), INDEX($AY$22:$BE$45,,$AH260), 1 / ($BG$22:$BG$45*CC260), N($AU$22:$AU$45&gt;$AM260))
) / 1000</f>
        <v>0</v>
      </c>
      <c r="CF260" s="229">
        <f t="shared" si="541"/>
        <v>0</v>
      </c>
      <c r="CG260" s="246"/>
      <c r="CH260" s="229">
        <f t="shared" si="542"/>
        <v>0</v>
      </c>
      <c r="CI260" s="228">
        <v>35</v>
      </c>
      <c r="CJ260" s="229">
        <f t="shared" si="543"/>
        <v>48</v>
      </c>
      <c r="CK260" s="234">
        <f t="shared" si="544"/>
        <v>3.0748170731707316</v>
      </c>
      <c r="CL260" s="234" cm="1">
        <f t="array" ref="CL260">$BM260 * SUMPRODUCT(INDEX($AV$76:$AX$81,,$AI260),INDEX($AY$76:$BE$81,,$AH260), N($AU$76:$AU$81&gt;$AM260)) / CK260 / 1000</f>
        <v>0</v>
      </c>
      <c r="CM260" s="231">
        <f t="shared" si="323"/>
        <v>30</v>
      </c>
      <c r="CN260" s="229">
        <f t="shared" si="545"/>
        <v>43</v>
      </c>
      <c r="CO260" s="234">
        <f t="shared" si="546"/>
        <v>3.5018750000000001</v>
      </c>
      <c r="CP260" s="234" cm="1">
        <f t="array" ref="CP260">$BM260 * IF($AH260&lt;=2,
SUMPRODUCT(INDEX($AV$71:$AX$75,,$AI260), INDEX($AY$71:$BE$75,,$AH260), 1 / ($BF$71:$BF$75*CO260 + (1-$BF$71:$BF$75)*CK260), N($AU$71:$AU$75&gt;$AM260)),
SUMPRODUCT(INDEX($AV$66:$AX$75,,$AI260), INDEX($AY$66:$BE$75,,$AH260), 1 / ($BG$66:$BG$75*CO260 + (1-$BG$66:$BG$75)*CK260), N($AU$66:$AU$75&gt;$AM260))
) / 1000</f>
        <v>0</v>
      </c>
      <c r="CQ260" s="231">
        <f t="shared" si="326"/>
        <v>25</v>
      </c>
      <c r="CR260" s="229">
        <f t="shared" si="547"/>
        <v>38</v>
      </c>
      <c r="CS260" s="234">
        <f t="shared" si="548"/>
        <v>4.0666935483870965</v>
      </c>
      <c r="CT260" s="234" cm="1">
        <f t="array" ref="CT260">$BM260 * IF($AH260&lt;=2,
SUMPRODUCT(INDEX($AV$66:$AX$70,,$AI260), INDEX($AY$66:$BE$70,,$AH260), 1 / ($BF$66:$BF$70*CS260 + (1-$BF$66:$BF$70)*CO260), N($AU$66:$AU$70&gt;$AM260)),
SUMPRODUCT(INDEX($AV$56:$AX$65,,$AI260), INDEX($AY$56:$BE$65,,$AH260), 1 / ($BG$56:$BG$65*CS260 + (1-$BG$56:$BG$65)*CO260), N($AU$56:$AU$65&gt;$AM260))
) / 1000</f>
        <v>0</v>
      </c>
      <c r="CU260" s="231">
        <f t="shared" si="329"/>
        <v>20</v>
      </c>
      <c r="CV260" s="229">
        <f t="shared" si="549"/>
        <v>33</v>
      </c>
      <c r="CW260" s="234">
        <f t="shared" si="550"/>
        <v>4.8487499999999999</v>
      </c>
      <c r="CX260" s="234" cm="1">
        <f t="array" ref="CX260">$BM260 * IF($AH260&lt;=2,
SUMPRODUCT(INDEX($AV$61:$AX$65,,$AI260), INDEX($AY$61:$BE$65,,$AH260), 1 / ($BF$61:$BF$65*CW260 + (1-$BF$61:$BF$65)*CS260), N($AU$61:$AU$65&gt;$AM260)),
SUMPRODUCT(INDEX($AV$46:$AX$55,,$AI260), INDEX($AY$46:$BE$55,,$AH260), 1 / ($BG$46:$BG$55*CW260 + (1-$BG$46:$BG$55)*CS260), N($AU$46:$AU$55&gt;$AM260))
) / 1000</f>
        <v>0</v>
      </c>
      <c r="CY260" s="234" cm="1">
        <f t="array" ref="CY260">$BM260 * IF($AH260&lt;=2,
SUMPRODUCT(INDEX($AV$22:$AX$60,,$AI260), INDEX($AY$22:$BE$60,,$AH260), 1 / ($BF$22:$BF$60*CW260), N($AU$22:$AU$60&gt;$AM260)),
SUMPRODUCT(INDEX($AV$22:$AX$45,,$AI260), INDEX($AY$22:$BE$45,,$AH260), 1 / ($BG$22:$BG$45*CW260), N($AU$22:$AU$45&gt;$AM260))
) / 1000</f>
        <v>0</v>
      </c>
      <c r="CZ260" s="229">
        <f t="shared" si="551"/>
        <v>0</v>
      </c>
      <c r="DA260" s="246"/>
    </row>
    <row r="261" spans="1:105" s="75" customFormat="1" ht="14.25" customHeight="1" x14ac:dyDescent="0.2">
      <c r="A261" s="230" t="b">
        <f t="shared" si="291"/>
        <v>0</v>
      </c>
      <c r="B261" s="253">
        <v>240</v>
      </c>
      <c r="C261" s="266"/>
      <c r="D261" s="266"/>
      <c r="E261" s="254"/>
      <c r="F261" s="255" t="str">
        <f>IF(ISBLANK(E261), "", VLOOKUP(E261, Z!$A$2:$C$4127, 3, FALSE))</f>
        <v/>
      </c>
      <c r="G261" s="256"/>
      <c r="H261" s="256"/>
      <c r="I261" s="256"/>
      <c r="J261" s="257"/>
      <c r="K261" s="258"/>
      <c r="L261" s="267"/>
      <c r="M261" s="268"/>
      <c r="N261" s="259" t="str" cm="1">
        <f t="array" ref="N261">IF($L261&gt;0, INDEX(Clean,1+AK261,$D$1), "")</f>
        <v/>
      </c>
      <c r="O261" s="260"/>
      <c r="P261" s="260"/>
      <c r="Q261" s="261"/>
      <c r="R261" s="264">
        <f t="shared" si="527"/>
        <v>0</v>
      </c>
      <c r="S261" s="259" t="str" cm="1">
        <f t="array" ref="S261">IF($L261&gt;0, INDEX(Clean,1+AL261,$D$1), "")</f>
        <v/>
      </c>
      <c r="T261" s="260"/>
      <c r="U261" s="260"/>
      <c r="V261" s="261"/>
      <c r="W261" s="267"/>
      <c r="X261" s="267"/>
      <c r="Y261" s="257"/>
      <c r="Z261" s="264">
        <f t="shared" si="528"/>
        <v>0</v>
      </c>
      <c r="AA261" s="269"/>
      <c r="AB261" s="266"/>
      <c r="AC261" s="254"/>
      <c r="AD261" s="255" t="str">
        <f>IF(ISBLANK(AC261), "", VLOOKUP(AC261, Z!$A$2:$C$4127, 3, FALSE))</f>
        <v/>
      </c>
      <c r="AE261" s="270"/>
      <c r="AF261" s="265">
        <f t="shared" si="529"/>
        <v>0</v>
      </c>
      <c r="AG261" s="246"/>
      <c r="AH261" s="228">
        <f t="shared" si="552"/>
        <v>1</v>
      </c>
      <c r="AI261" s="228">
        <f t="shared" si="553"/>
        <v>1</v>
      </c>
      <c r="AJ261" s="228">
        <f t="shared" si="554"/>
        <v>0</v>
      </c>
      <c r="AK261" s="228">
        <v>0</v>
      </c>
      <c r="AL261" s="228">
        <v>0</v>
      </c>
      <c r="AM261" s="228">
        <f t="shared" si="530"/>
        <v>-100</v>
      </c>
      <c r="AN261" s="228" cm="1">
        <f t="array" ref="AN261">IF(ISBLANK(G261), 1, IFERROR(MATCH(G261, INDEX(Kat,,1), 0), IFERROR(MATCH(Kat, INDEX(Use,,2), 0), MATCH(Kat, INDEX(Use,,3), 0))))</f>
        <v>1</v>
      </c>
      <c r="AO261" s="246"/>
      <c r="AP261" s="228" cm="1">
        <f t="array" ref="AP261">IF(W261&gt;0, INDEX(Kat, AN261,4), 0)</f>
        <v>0</v>
      </c>
      <c r="AQ261" s="228">
        <f t="shared" si="555"/>
        <v>0</v>
      </c>
      <c r="AR261" s="228" cm="1">
        <f t="array" ref="AR261">IF(X261&gt;0, INDEX(Kat, $AN261, 4+AQ261), 0)</f>
        <v>0</v>
      </c>
      <c r="AS261" s="228" cm="1">
        <f t="array" ref="AS261">IF(X261&gt;0, INDEX(Kat, $AN261, 9+AQ261), 0)</f>
        <v>0</v>
      </c>
      <c r="AT261" s="246"/>
      <c r="AU261" s="262"/>
      <c r="AV261" s="262"/>
      <c r="AW261" s="263"/>
      <c r="AX261" s="263"/>
      <c r="AY261" s="263"/>
      <c r="AZ261" s="263"/>
      <c r="BA261" s="263"/>
      <c r="BB261" s="263"/>
      <c r="BC261" s="263"/>
      <c r="BD261" s="263"/>
      <c r="BE261" s="263"/>
      <c r="BF261" s="263"/>
      <c r="BG261" s="263"/>
      <c r="BH261" s="246"/>
      <c r="BI261" s="228" cm="1">
        <f t="array" ref="BI261">INDEX(Use, $AH261, 4)</f>
        <v>7</v>
      </c>
      <c r="BJ261" s="228">
        <f t="shared" si="531"/>
        <v>32</v>
      </c>
      <c r="BK261" s="228">
        <f t="shared" si="305"/>
        <v>13</v>
      </c>
      <c r="BL261" s="228">
        <f t="shared" si="306"/>
        <v>0</v>
      </c>
      <c r="BM261" s="233" cm="1">
        <f t="array" ref="BM261">L261/IF($M261&gt;0, INDEX($AY$22:$BE$76, $M261+20, $AH261), 1)</f>
        <v>0</v>
      </c>
      <c r="BN261" s="229">
        <f t="shared" si="532"/>
        <v>0</v>
      </c>
      <c r="BO261" s="228">
        <v>35</v>
      </c>
      <c r="BP261" s="229">
        <f t="shared" si="533"/>
        <v>48</v>
      </c>
      <c r="BQ261" s="234">
        <f t="shared" si="534"/>
        <v>3.0748170731707316</v>
      </c>
      <c r="BR261" s="234" cm="1">
        <f t="array" ref="BR261">$BM261 * SUMPRODUCT(INDEX($AV$76:$AX$81,,$AI261),INDEX($AY$76:$BE$81,,$AH261), N($AU$76:$AU$81&gt;$AM261)) / BQ261 / 1000</f>
        <v>0</v>
      </c>
      <c r="BS261" s="231">
        <f t="shared" si="310"/>
        <v>30</v>
      </c>
      <c r="BT261" s="229">
        <f t="shared" si="535"/>
        <v>43</v>
      </c>
      <c r="BU261" s="234">
        <f t="shared" si="536"/>
        <v>3.5018750000000001</v>
      </c>
      <c r="BV261" s="234" cm="1">
        <f t="array" ref="BV261">$BM261 * IF($AH261&lt;=2,
SUMPRODUCT(INDEX($AV$71:$AX$75,,$AI261), INDEX($AY$71:$BE$75,,$AH261), 1 / ($BF$71:$BF$75*BU261 + (1-$BF$71:$BF$75)*BQ261), N($AU$71:$AU$75&gt;$AM261)),
SUMPRODUCT(INDEX($AV$66:$AX$75,,$AI261), INDEX($AY$66:$BE$75,,$AH261), 1 / ($BG$66:$BG$75*BU261 + (1-$BG$66:$BG$75)*BQ261), N($AU$66:$AU$75&gt;$AM261))
) / 1000</f>
        <v>0</v>
      </c>
      <c r="BW261" s="231">
        <f t="shared" si="313"/>
        <v>25</v>
      </c>
      <c r="BX261" s="229">
        <f t="shared" si="537"/>
        <v>38</v>
      </c>
      <c r="BY261" s="234">
        <f t="shared" si="538"/>
        <v>4.0666935483870965</v>
      </c>
      <c r="BZ261" s="234" cm="1">
        <f t="array" ref="BZ261">$BM261 * IF($AH261&lt;=2,
SUMPRODUCT(INDEX($AV$66:$AX$70,,$AI261), INDEX($AY$66:$BE$70,,$AH261), 1 / ($BF$66:$BF$70*BY261 + (1-$BF$66:$BF$70)*BU261), N($AU$66:$AU$70&gt;$AM261)),
SUMPRODUCT(INDEX($AV$56:$AX$65,,$AI261), INDEX($AY$56:$BE$65,,$AH261), 1 / ($BG$56:$BG$65*BY261 + (1-$BG$56:$BG$65)*BU261), N($AU$56:$AU$65&gt;$AM261))
) / 1000</f>
        <v>0</v>
      </c>
      <c r="CA261" s="231">
        <f t="shared" si="316"/>
        <v>20</v>
      </c>
      <c r="CB261" s="229">
        <f t="shared" si="539"/>
        <v>33</v>
      </c>
      <c r="CC261" s="234">
        <f t="shared" si="540"/>
        <v>4.8487499999999999</v>
      </c>
      <c r="CD261" s="234" cm="1">
        <f t="array" ref="CD261">$BM261 * IF($AH261&lt;=2,
SUMPRODUCT(INDEX($AV$61:$AX$65,,$AI261), INDEX($AY$61:$BE$65,,$AH261), 1 / ($BF$61:$BF$65*CC261 + (1-$BF$61:$BF$65)*BY261), N($AU$61:$AU$65&gt;$AM261)),
SUMPRODUCT(INDEX($AV$46:$AX$55,,$AI261), INDEX($AY$46:$BE$55,,$AH261), 1 / ($BG$46:$BG$55*CC261 + (1-$BG$46:$BG$55)*BY261), N($AU$46:$AU$55&gt;$AM261))
) / 1000</f>
        <v>0</v>
      </c>
      <c r="CE261" s="234" cm="1">
        <f t="array" ref="CE261">$BM261 * IF($AH261&lt;=2,
SUMPRODUCT(INDEX($AV$22:$AX$60,,$AI261), INDEX($AY$22:$BE$60,,$AH261), 1 / ($BF$22:$BF$60*CC261), N($AU$22:$AU$60&gt;$AM261)),
SUMPRODUCT(INDEX($AV$22:$AX$45,,$AI261), INDEX($AY$22:$BE$45,,$AH261), 1 / ($BG$22:$BG$45*CC261), N($AU$22:$AU$45&gt;$AM261))
) / 1000</f>
        <v>0</v>
      </c>
      <c r="CF261" s="229">
        <f t="shared" si="541"/>
        <v>0</v>
      </c>
      <c r="CG261" s="246"/>
      <c r="CH261" s="229">
        <f t="shared" si="542"/>
        <v>0</v>
      </c>
      <c r="CI261" s="228">
        <v>35</v>
      </c>
      <c r="CJ261" s="229">
        <f t="shared" si="543"/>
        <v>48</v>
      </c>
      <c r="CK261" s="234">
        <f t="shared" si="544"/>
        <v>3.0748170731707316</v>
      </c>
      <c r="CL261" s="234" cm="1">
        <f t="array" ref="CL261">$BM261 * SUMPRODUCT(INDEX($AV$76:$AX$81,,$AI261),INDEX($AY$76:$BE$81,,$AH261), N($AU$76:$AU$81&gt;$AM261)) / CK261 / 1000</f>
        <v>0</v>
      </c>
      <c r="CM261" s="231">
        <f t="shared" si="323"/>
        <v>30</v>
      </c>
      <c r="CN261" s="229">
        <f t="shared" si="545"/>
        <v>43</v>
      </c>
      <c r="CO261" s="234">
        <f t="shared" si="546"/>
        <v>3.5018750000000001</v>
      </c>
      <c r="CP261" s="234" cm="1">
        <f t="array" ref="CP261">$BM261 * IF($AH261&lt;=2,
SUMPRODUCT(INDEX($AV$71:$AX$75,,$AI261), INDEX($AY$71:$BE$75,,$AH261), 1 / ($BF$71:$BF$75*CO261 + (1-$BF$71:$BF$75)*CK261), N($AU$71:$AU$75&gt;$AM261)),
SUMPRODUCT(INDEX($AV$66:$AX$75,,$AI261), INDEX($AY$66:$BE$75,,$AH261), 1 / ($BG$66:$BG$75*CO261 + (1-$BG$66:$BG$75)*CK261), N($AU$66:$AU$75&gt;$AM261))
) / 1000</f>
        <v>0</v>
      </c>
      <c r="CQ261" s="231">
        <f t="shared" si="326"/>
        <v>25</v>
      </c>
      <c r="CR261" s="229">
        <f t="shared" si="547"/>
        <v>38</v>
      </c>
      <c r="CS261" s="234">
        <f t="shared" si="548"/>
        <v>4.0666935483870965</v>
      </c>
      <c r="CT261" s="234" cm="1">
        <f t="array" ref="CT261">$BM261 * IF($AH261&lt;=2,
SUMPRODUCT(INDEX($AV$66:$AX$70,,$AI261), INDEX($AY$66:$BE$70,,$AH261), 1 / ($BF$66:$BF$70*CS261 + (1-$BF$66:$BF$70)*CO261), N($AU$66:$AU$70&gt;$AM261)),
SUMPRODUCT(INDEX($AV$56:$AX$65,,$AI261), INDEX($AY$56:$BE$65,,$AH261), 1 / ($BG$56:$BG$65*CS261 + (1-$BG$56:$BG$65)*CO261), N($AU$56:$AU$65&gt;$AM261))
) / 1000</f>
        <v>0</v>
      </c>
      <c r="CU261" s="231">
        <f t="shared" si="329"/>
        <v>20</v>
      </c>
      <c r="CV261" s="229">
        <f t="shared" si="549"/>
        <v>33</v>
      </c>
      <c r="CW261" s="234">
        <f t="shared" si="550"/>
        <v>4.8487499999999999</v>
      </c>
      <c r="CX261" s="234" cm="1">
        <f t="array" ref="CX261">$BM261 * IF($AH261&lt;=2,
SUMPRODUCT(INDEX($AV$61:$AX$65,,$AI261), INDEX($AY$61:$BE$65,,$AH261), 1 / ($BF$61:$BF$65*CW261 + (1-$BF$61:$BF$65)*CS261), N($AU$61:$AU$65&gt;$AM261)),
SUMPRODUCT(INDEX($AV$46:$AX$55,,$AI261), INDEX($AY$46:$BE$55,,$AH261), 1 / ($BG$46:$BG$55*CW261 + (1-$BG$46:$BG$55)*CS261), N($AU$46:$AU$55&gt;$AM261))
) / 1000</f>
        <v>0</v>
      </c>
      <c r="CY261" s="234" cm="1">
        <f t="array" ref="CY261">$BM261 * IF($AH261&lt;=2,
SUMPRODUCT(INDEX($AV$22:$AX$60,,$AI261), INDEX($AY$22:$BE$60,,$AH261), 1 / ($BF$22:$BF$60*CW261), N($AU$22:$AU$60&gt;$AM261)),
SUMPRODUCT(INDEX($AV$22:$AX$45,,$AI261), INDEX($AY$22:$BE$45,,$AH261), 1 / ($BG$22:$BG$45*CW261), N($AU$22:$AU$45&gt;$AM261))
) / 1000</f>
        <v>0</v>
      </c>
      <c r="CZ261" s="229">
        <f t="shared" si="551"/>
        <v>0</v>
      </c>
      <c r="DA261" s="246"/>
    </row>
    <row r="262" spans="1:105" s="75" customFormat="1" ht="14.25" customHeight="1" x14ac:dyDescent="0.2">
      <c r="A262" s="230" t="b">
        <f t="shared" si="291"/>
        <v>0</v>
      </c>
      <c r="B262" s="253">
        <v>241</v>
      </c>
      <c r="C262" s="266"/>
      <c r="D262" s="266"/>
      <c r="E262" s="254"/>
      <c r="F262" s="255" t="str">
        <f>IF(ISBLANK(E262), "", VLOOKUP(E262, Z!$A$2:$C$4127, 3, FALSE))</f>
        <v/>
      </c>
      <c r="G262" s="256"/>
      <c r="H262" s="256"/>
      <c r="I262" s="256"/>
      <c r="J262" s="257"/>
      <c r="K262" s="258"/>
      <c r="L262" s="267"/>
      <c r="M262" s="268"/>
      <c r="N262" s="259" t="str" cm="1">
        <f t="array" ref="N262">IF($L262&gt;0, INDEX(Clean,1+AK262,$D$1), "")</f>
        <v/>
      </c>
      <c r="O262" s="260"/>
      <c r="P262" s="260"/>
      <c r="Q262" s="261"/>
      <c r="R262" s="264">
        <f t="shared" si="527"/>
        <v>0</v>
      </c>
      <c r="S262" s="259" t="str" cm="1">
        <f t="array" ref="S262">IF($L262&gt;0, INDEX(Clean,1+AL262,$D$1), "")</f>
        <v/>
      </c>
      <c r="T262" s="260"/>
      <c r="U262" s="260"/>
      <c r="V262" s="261"/>
      <c r="W262" s="267"/>
      <c r="X262" s="267"/>
      <c r="Y262" s="257"/>
      <c r="Z262" s="264">
        <f t="shared" si="528"/>
        <v>0</v>
      </c>
      <c r="AA262" s="269"/>
      <c r="AB262" s="266"/>
      <c r="AC262" s="254"/>
      <c r="AD262" s="255" t="str">
        <f>IF(ISBLANK(AC262), "", VLOOKUP(AC262, Z!$A$2:$C$4127, 3, FALSE))</f>
        <v/>
      </c>
      <c r="AE262" s="270"/>
      <c r="AF262" s="265">
        <f t="shared" si="529"/>
        <v>0</v>
      </c>
      <c r="AG262" s="246"/>
      <c r="AH262" s="228">
        <f t="shared" si="552"/>
        <v>1</v>
      </c>
      <c r="AI262" s="228">
        <f t="shared" si="553"/>
        <v>1</v>
      </c>
      <c r="AJ262" s="228">
        <f t="shared" si="554"/>
        <v>0</v>
      </c>
      <c r="AK262" s="228">
        <v>0</v>
      </c>
      <c r="AL262" s="228">
        <v>0</v>
      </c>
      <c r="AM262" s="228">
        <f t="shared" si="530"/>
        <v>-100</v>
      </c>
      <c r="AN262" s="228" cm="1">
        <f t="array" ref="AN262">IF(ISBLANK(G262), 1, IFERROR(MATCH(G262, INDEX(Kat,,1), 0), IFERROR(MATCH(Kat, INDEX(Use,,2), 0), MATCH(Kat, INDEX(Use,,3), 0))))</f>
        <v>1</v>
      </c>
      <c r="AO262" s="246"/>
      <c r="AP262" s="228" cm="1">
        <f t="array" ref="AP262">IF(W262&gt;0, INDEX(Kat, AN262,4), 0)</f>
        <v>0</v>
      </c>
      <c r="AQ262" s="228">
        <f t="shared" si="555"/>
        <v>0</v>
      </c>
      <c r="AR262" s="228" cm="1">
        <f t="array" ref="AR262">IF(X262&gt;0, INDEX(Kat, $AN262, 4+AQ262), 0)</f>
        <v>0</v>
      </c>
      <c r="AS262" s="228" cm="1">
        <f t="array" ref="AS262">IF(X262&gt;0, INDEX(Kat, $AN262, 9+AQ262), 0)</f>
        <v>0</v>
      </c>
      <c r="AT262" s="246"/>
      <c r="AU262" s="262"/>
      <c r="AV262" s="262"/>
      <c r="AW262" s="263"/>
      <c r="AX262" s="263"/>
      <c r="AY262" s="263"/>
      <c r="AZ262" s="263"/>
      <c r="BA262" s="263"/>
      <c r="BB262" s="263"/>
      <c r="BC262" s="263"/>
      <c r="BD262" s="263"/>
      <c r="BE262" s="263"/>
      <c r="BF262" s="263"/>
      <c r="BG262" s="263"/>
      <c r="BH262" s="246"/>
      <c r="BI262" s="228" cm="1">
        <f t="array" ref="BI262">INDEX(Use, $AH262, 4)</f>
        <v>7</v>
      </c>
      <c r="BJ262" s="228">
        <f t="shared" si="531"/>
        <v>32</v>
      </c>
      <c r="BK262" s="228">
        <f t="shared" si="305"/>
        <v>13</v>
      </c>
      <c r="BL262" s="228">
        <f t="shared" si="306"/>
        <v>0</v>
      </c>
      <c r="BM262" s="233" cm="1">
        <f t="array" ref="BM262">L262/IF($M262&gt;0, INDEX($AY$22:$BE$76, $M262+20, $AH262), 1)</f>
        <v>0</v>
      </c>
      <c r="BN262" s="229">
        <f t="shared" si="532"/>
        <v>0</v>
      </c>
      <c r="BO262" s="228">
        <v>35</v>
      </c>
      <c r="BP262" s="229">
        <f t="shared" si="533"/>
        <v>48</v>
      </c>
      <c r="BQ262" s="234">
        <f t="shared" si="534"/>
        <v>3.0748170731707316</v>
      </c>
      <c r="BR262" s="234" cm="1">
        <f t="array" ref="BR262">$BM262 * SUMPRODUCT(INDEX($AV$76:$AX$81,,$AI262),INDEX($AY$76:$BE$81,,$AH262), N($AU$76:$AU$81&gt;$AM262)) / BQ262 / 1000</f>
        <v>0</v>
      </c>
      <c r="BS262" s="231">
        <f t="shared" si="310"/>
        <v>30</v>
      </c>
      <c r="BT262" s="229">
        <f t="shared" si="535"/>
        <v>43</v>
      </c>
      <c r="BU262" s="234">
        <f t="shared" si="536"/>
        <v>3.5018750000000001</v>
      </c>
      <c r="BV262" s="234" cm="1">
        <f t="array" ref="BV262">$BM262 * IF($AH262&lt;=2,
SUMPRODUCT(INDEX($AV$71:$AX$75,,$AI262), INDEX($AY$71:$BE$75,,$AH262), 1 / ($BF$71:$BF$75*BU262 + (1-$BF$71:$BF$75)*BQ262), N($AU$71:$AU$75&gt;$AM262)),
SUMPRODUCT(INDEX($AV$66:$AX$75,,$AI262), INDEX($AY$66:$BE$75,,$AH262), 1 / ($BG$66:$BG$75*BU262 + (1-$BG$66:$BG$75)*BQ262), N($AU$66:$AU$75&gt;$AM262))
) / 1000</f>
        <v>0</v>
      </c>
      <c r="BW262" s="231">
        <f t="shared" si="313"/>
        <v>25</v>
      </c>
      <c r="BX262" s="229">
        <f t="shared" si="537"/>
        <v>38</v>
      </c>
      <c r="BY262" s="234">
        <f t="shared" si="538"/>
        <v>4.0666935483870965</v>
      </c>
      <c r="BZ262" s="234" cm="1">
        <f t="array" ref="BZ262">$BM262 * IF($AH262&lt;=2,
SUMPRODUCT(INDEX($AV$66:$AX$70,,$AI262), INDEX($AY$66:$BE$70,,$AH262), 1 / ($BF$66:$BF$70*BY262 + (1-$BF$66:$BF$70)*BU262), N($AU$66:$AU$70&gt;$AM262)),
SUMPRODUCT(INDEX($AV$56:$AX$65,,$AI262), INDEX($AY$56:$BE$65,,$AH262), 1 / ($BG$56:$BG$65*BY262 + (1-$BG$56:$BG$65)*BU262), N($AU$56:$AU$65&gt;$AM262))
) / 1000</f>
        <v>0</v>
      </c>
      <c r="CA262" s="231">
        <f t="shared" si="316"/>
        <v>20</v>
      </c>
      <c r="CB262" s="229">
        <f t="shared" si="539"/>
        <v>33</v>
      </c>
      <c r="CC262" s="234">
        <f t="shared" si="540"/>
        <v>4.8487499999999999</v>
      </c>
      <c r="CD262" s="234" cm="1">
        <f t="array" ref="CD262">$BM262 * IF($AH262&lt;=2,
SUMPRODUCT(INDEX($AV$61:$AX$65,,$AI262), INDEX($AY$61:$BE$65,,$AH262), 1 / ($BF$61:$BF$65*CC262 + (1-$BF$61:$BF$65)*BY262), N($AU$61:$AU$65&gt;$AM262)),
SUMPRODUCT(INDEX($AV$46:$AX$55,,$AI262), INDEX($AY$46:$BE$55,,$AH262), 1 / ($BG$46:$BG$55*CC262 + (1-$BG$46:$BG$55)*BY262), N($AU$46:$AU$55&gt;$AM262))
) / 1000</f>
        <v>0</v>
      </c>
      <c r="CE262" s="234" cm="1">
        <f t="array" ref="CE262">$BM262 * IF($AH262&lt;=2,
SUMPRODUCT(INDEX($AV$22:$AX$60,,$AI262), INDEX($AY$22:$BE$60,,$AH262), 1 / ($BF$22:$BF$60*CC262), N($AU$22:$AU$60&gt;$AM262)),
SUMPRODUCT(INDEX($AV$22:$AX$45,,$AI262), INDEX($AY$22:$BE$45,,$AH262), 1 / ($BG$22:$BG$45*CC262), N($AU$22:$AU$45&gt;$AM262))
) / 1000</f>
        <v>0</v>
      </c>
      <c r="CF262" s="229">
        <f t="shared" si="541"/>
        <v>0</v>
      </c>
      <c r="CG262" s="246"/>
      <c r="CH262" s="229">
        <f t="shared" si="542"/>
        <v>0</v>
      </c>
      <c r="CI262" s="228">
        <v>35</v>
      </c>
      <c r="CJ262" s="229">
        <f t="shared" si="543"/>
        <v>48</v>
      </c>
      <c r="CK262" s="234">
        <f t="shared" si="544"/>
        <v>3.0748170731707316</v>
      </c>
      <c r="CL262" s="234" cm="1">
        <f t="array" ref="CL262">$BM262 * SUMPRODUCT(INDEX($AV$76:$AX$81,,$AI262),INDEX($AY$76:$BE$81,,$AH262), N($AU$76:$AU$81&gt;$AM262)) / CK262 / 1000</f>
        <v>0</v>
      </c>
      <c r="CM262" s="231">
        <f t="shared" si="323"/>
        <v>30</v>
      </c>
      <c r="CN262" s="229">
        <f t="shared" si="545"/>
        <v>43</v>
      </c>
      <c r="CO262" s="234">
        <f t="shared" si="546"/>
        <v>3.5018750000000001</v>
      </c>
      <c r="CP262" s="234" cm="1">
        <f t="array" ref="CP262">$BM262 * IF($AH262&lt;=2,
SUMPRODUCT(INDEX($AV$71:$AX$75,,$AI262), INDEX($AY$71:$BE$75,,$AH262), 1 / ($BF$71:$BF$75*CO262 + (1-$BF$71:$BF$75)*CK262), N($AU$71:$AU$75&gt;$AM262)),
SUMPRODUCT(INDEX($AV$66:$AX$75,,$AI262), INDEX($AY$66:$BE$75,,$AH262), 1 / ($BG$66:$BG$75*CO262 + (1-$BG$66:$BG$75)*CK262), N($AU$66:$AU$75&gt;$AM262))
) / 1000</f>
        <v>0</v>
      </c>
      <c r="CQ262" s="231">
        <f t="shared" si="326"/>
        <v>25</v>
      </c>
      <c r="CR262" s="229">
        <f t="shared" si="547"/>
        <v>38</v>
      </c>
      <c r="CS262" s="234">
        <f t="shared" si="548"/>
        <v>4.0666935483870965</v>
      </c>
      <c r="CT262" s="234" cm="1">
        <f t="array" ref="CT262">$BM262 * IF($AH262&lt;=2,
SUMPRODUCT(INDEX($AV$66:$AX$70,,$AI262), INDEX($AY$66:$BE$70,,$AH262), 1 / ($BF$66:$BF$70*CS262 + (1-$BF$66:$BF$70)*CO262), N($AU$66:$AU$70&gt;$AM262)),
SUMPRODUCT(INDEX($AV$56:$AX$65,,$AI262), INDEX($AY$56:$BE$65,,$AH262), 1 / ($BG$56:$BG$65*CS262 + (1-$BG$56:$BG$65)*CO262), N($AU$56:$AU$65&gt;$AM262))
) / 1000</f>
        <v>0</v>
      </c>
      <c r="CU262" s="231">
        <f t="shared" si="329"/>
        <v>20</v>
      </c>
      <c r="CV262" s="229">
        <f t="shared" si="549"/>
        <v>33</v>
      </c>
      <c r="CW262" s="234">
        <f t="shared" si="550"/>
        <v>4.8487499999999999</v>
      </c>
      <c r="CX262" s="234" cm="1">
        <f t="array" ref="CX262">$BM262 * IF($AH262&lt;=2,
SUMPRODUCT(INDEX($AV$61:$AX$65,,$AI262), INDEX($AY$61:$BE$65,,$AH262), 1 / ($BF$61:$BF$65*CW262 + (1-$BF$61:$BF$65)*CS262), N($AU$61:$AU$65&gt;$AM262)),
SUMPRODUCT(INDEX($AV$46:$AX$55,,$AI262), INDEX($AY$46:$BE$55,,$AH262), 1 / ($BG$46:$BG$55*CW262 + (1-$BG$46:$BG$55)*CS262), N($AU$46:$AU$55&gt;$AM262))
) / 1000</f>
        <v>0</v>
      </c>
      <c r="CY262" s="234" cm="1">
        <f t="array" ref="CY262">$BM262 * IF($AH262&lt;=2,
SUMPRODUCT(INDEX($AV$22:$AX$60,,$AI262), INDEX($AY$22:$BE$60,,$AH262), 1 / ($BF$22:$BF$60*CW262), N($AU$22:$AU$60&gt;$AM262)),
SUMPRODUCT(INDEX($AV$22:$AX$45,,$AI262), INDEX($AY$22:$BE$45,,$AH262), 1 / ($BG$22:$BG$45*CW262), N($AU$22:$AU$45&gt;$AM262))
) / 1000</f>
        <v>0</v>
      </c>
      <c r="CZ262" s="229">
        <f t="shared" si="551"/>
        <v>0</v>
      </c>
      <c r="DA262" s="246"/>
    </row>
    <row r="263" spans="1:105" s="75" customFormat="1" ht="14.25" customHeight="1" x14ac:dyDescent="0.2">
      <c r="A263" s="230" t="b">
        <f t="shared" si="291"/>
        <v>0</v>
      </c>
      <c r="B263" s="253">
        <v>242</v>
      </c>
      <c r="C263" s="266"/>
      <c r="D263" s="266"/>
      <c r="E263" s="254"/>
      <c r="F263" s="255" t="str">
        <f>IF(ISBLANK(E263), "", VLOOKUP(E263, Z!$A$2:$C$4127, 3, FALSE))</f>
        <v/>
      </c>
      <c r="G263" s="256"/>
      <c r="H263" s="256"/>
      <c r="I263" s="256"/>
      <c r="J263" s="257"/>
      <c r="K263" s="258"/>
      <c r="L263" s="267"/>
      <c r="M263" s="268"/>
      <c r="N263" s="259" t="str" cm="1">
        <f t="array" ref="N263">IF($L263&gt;0, INDEX(Clean,1+AK263,$D$1), "")</f>
        <v/>
      </c>
      <c r="O263" s="260"/>
      <c r="P263" s="260"/>
      <c r="Q263" s="261"/>
      <c r="R263" s="264">
        <f t="shared" si="527"/>
        <v>0</v>
      </c>
      <c r="S263" s="259" t="str" cm="1">
        <f t="array" ref="S263">IF($L263&gt;0, INDEX(Clean,1+AL263,$D$1), "")</f>
        <v/>
      </c>
      <c r="T263" s="260"/>
      <c r="U263" s="260"/>
      <c r="V263" s="261"/>
      <c r="W263" s="267"/>
      <c r="X263" s="267"/>
      <c r="Y263" s="257"/>
      <c r="Z263" s="264">
        <f t="shared" si="528"/>
        <v>0</v>
      </c>
      <c r="AA263" s="269"/>
      <c r="AB263" s="266"/>
      <c r="AC263" s="254"/>
      <c r="AD263" s="255" t="str">
        <f>IF(ISBLANK(AC263), "", VLOOKUP(AC263, Z!$A$2:$C$4127, 3, FALSE))</f>
        <v/>
      </c>
      <c r="AE263" s="270"/>
      <c r="AF263" s="265">
        <f t="shared" si="529"/>
        <v>0</v>
      </c>
      <c r="AG263" s="246"/>
      <c r="AH263" s="228">
        <f t="shared" si="552"/>
        <v>1</v>
      </c>
      <c r="AI263" s="228">
        <f t="shared" si="553"/>
        <v>1</v>
      </c>
      <c r="AJ263" s="228">
        <f t="shared" si="554"/>
        <v>0</v>
      </c>
      <c r="AK263" s="228">
        <v>0</v>
      </c>
      <c r="AL263" s="228">
        <v>0</v>
      </c>
      <c r="AM263" s="228">
        <f t="shared" si="530"/>
        <v>-100</v>
      </c>
      <c r="AN263" s="228" cm="1">
        <f t="array" ref="AN263">IF(ISBLANK(G263), 1, IFERROR(MATCH(G263, INDEX(Kat,,1), 0), IFERROR(MATCH(Kat, INDEX(Use,,2), 0), MATCH(Kat, INDEX(Use,,3), 0))))</f>
        <v>1</v>
      </c>
      <c r="AO263" s="246"/>
      <c r="AP263" s="228" cm="1">
        <f t="array" ref="AP263">IF(W263&gt;0, INDEX(Kat, AN263,4), 0)</f>
        <v>0</v>
      </c>
      <c r="AQ263" s="228">
        <f t="shared" si="555"/>
        <v>0</v>
      </c>
      <c r="AR263" s="228" cm="1">
        <f t="array" ref="AR263">IF(X263&gt;0, INDEX(Kat, $AN263, 4+AQ263), 0)</f>
        <v>0</v>
      </c>
      <c r="AS263" s="228" cm="1">
        <f t="array" ref="AS263">IF(X263&gt;0, INDEX(Kat, $AN263, 9+AQ263), 0)</f>
        <v>0</v>
      </c>
      <c r="AT263" s="246"/>
      <c r="AU263" s="262"/>
      <c r="AV263" s="262"/>
      <c r="AW263" s="263"/>
      <c r="AX263" s="263"/>
      <c r="AY263" s="263"/>
      <c r="AZ263" s="263"/>
      <c r="BA263" s="263"/>
      <c r="BB263" s="263"/>
      <c r="BC263" s="263"/>
      <c r="BD263" s="263"/>
      <c r="BE263" s="263"/>
      <c r="BF263" s="263"/>
      <c r="BG263" s="263"/>
      <c r="BH263" s="246"/>
      <c r="BI263" s="228" cm="1">
        <f t="array" ref="BI263">INDEX(Use, $AH263, 4)</f>
        <v>7</v>
      </c>
      <c r="BJ263" s="228">
        <f t="shared" si="531"/>
        <v>32</v>
      </c>
      <c r="BK263" s="228">
        <f t="shared" si="305"/>
        <v>13</v>
      </c>
      <c r="BL263" s="228">
        <f t="shared" si="306"/>
        <v>0</v>
      </c>
      <c r="BM263" s="233" cm="1">
        <f t="array" ref="BM263">L263/IF($M263&gt;0, INDEX($AY$22:$BE$76, $M263+20, $AH263), 1)</f>
        <v>0</v>
      </c>
      <c r="BN263" s="229">
        <f t="shared" si="532"/>
        <v>0</v>
      </c>
      <c r="BO263" s="228">
        <v>35</v>
      </c>
      <c r="BP263" s="229">
        <f t="shared" si="533"/>
        <v>48</v>
      </c>
      <c r="BQ263" s="234">
        <f t="shared" si="534"/>
        <v>3.0748170731707316</v>
      </c>
      <c r="BR263" s="234" cm="1">
        <f t="array" ref="BR263">$BM263 * SUMPRODUCT(INDEX($AV$76:$AX$81,,$AI263),INDEX($AY$76:$BE$81,,$AH263), N($AU$76:$AU$81&gt;$AM263)) / BQ263 / 1000</f>
        <v>0</v>
      </c>
      <c r="BS263" s="231">
        <f t="shared" si="310"/>
        <v>30</v>
      </c>
      <c r="BT263" s="229">
        <f t="shared" si="535"/>
        <v>43</v>
      </c>
      <c r="BU263" s="234">
        <f t="shared" si="536"/>
        <v>3.5018750000000001</v>
      </c>
      <c r="BV263" s="234" cm="1">
        <f t="array" ref="BV263">$BM263 * IF($AH263&lt;=2,
SUMPRODUCT(INDEX($AV$71:$AX$75,,$AI263), INDEX($AY$71:$BE$75,,$AH263), 1 / ($BF$71:$BF$75*BU263 + (1-$BF$71:$BF$75)*BQ263), N($AU$71:$AU$75&gt;$AM263)),
SUMPRODUCT(INDEX($AV$66:$AX$75,,$AI263), INDEX($AY$66:$BE$75,,$AH263), 1 / ($BG$66:$BG$75*BU263 + (1-$BG$66:$BG$75)*BQ263), N($AU$66:$AU$75&gt;$AM263))
) / 1000</f>
        <v>0</v>
      </c>
      <c r="BW263" s="231">
        <f t="shared" si="313"/>
        <v>25</v>
      </c>
      <c r="BX263" s="229">
        <f t="shared" si="537"/>
        <v>38</v>
      </c>
      <c r="BY263" s="234">
        <f t="shared" si="538"/>
        <v>4.0666935483870965</v>
      </c>
      <c r="BZ263" s="234" cm="1">
        <f t="array" ref="BZ263">$BM263 * IF($AH263&lt;=2,
SUMPRODUCT(INDEX($AV$66:$AX$70,,$AI263), INDEX($AY$66:$BE$70,,$AH263), 1 / ($BF$66:$BF$70*BY263 + (1-$BF$66:$BF$70)*BU263), N($AU$66:$AU$70&gt;$AM263)),
SUMPRODUCT(INDEX($AV$56:$AX$65,,$AI263), INDEX($AY$56:$BE$65,,$AH263), 1 / ($BG$56:$BG$65*BY263 + (1-$BG$56:$BG$65)*BU263), N($AU$56:$AU$65&gt;$AM263))
) / 1000</f>
        <v>0</v>
      </c>
      <c r="CA263" s="231">
        <f t="shared" si="316"/>
        <v>20</v>
      </c>
      <c r="CB263" s="229">
        <f t="shared" si="539"/>
        <v>33</v>
      </c>
      <c r="CC263" s="234">
        <f t="shared" si="540"/>
        <v>4.8487499999999999</v>
      </c>
      <c r="CD263" s="234" cm="1">
        <f t="array" ref="CD263">$BM263 * IF($AH263&lt;=2,
SUMPRODUCT(INDEX($AV$61:$AX$65,,$AI263), INDEX($AY$61:$BE$65,,$AH263), 1 / ($BF$61:$BF$65*CC263 + (1-$BF$61:$BF$65)*BY263), N($AU$61:$AU$65&gt;$AM263)),
SUMPRODUCT(INDEX($AV$46:$AX$55,,$AI263), INDEX($AY$46:$BE$55,,$AH263), 1 / ($BG$46:$BG$55*CC263 + (1-$BG$46:$BG$55)*BY263), N($AU$46:$AU$55&gt;$AM263))
) / 1000</f>
        <v>0</v>
      </c>
      <c r="CE263" s="234" cm="1">
        <f t="array" ref="CE263">$BM263 * IF($AH263&lt;=2,
SUMPRODUCT(INDEX($AV$22:$AX$60,,$AI263), INDEX($AY$22:$BE$60,,$AH263), 1 / ($BF$22:$BF$60*CC263), N($AU$22:$AU$60&gt;$AM263)),
SUMPRODUCT(INDEX($AV$22:$AX$45,,$AI263), INDEX($AY$22:$BE$45,,$AH263), 1 / ($BG$22:$BG$45*CC263), N($AU$22:$AU$45&gt;$AM263))
) / 1000</f>
        <v>0</v>
      </c>
      <c r="CF263" s="229">
        <f t="shared" si="541"/>
        <v>0</v>
      </c>
      <c r="CG263" s="246"/>
      <c r="CH263" s="229">
        <f t="shared" si="542"/>
        <v>0</v>
      </c>
      <c r="CI263" s="228">
        <v>35</v>
      </c>
      <c r="CJ263" s="229">
        <f t="shared" si="543"/>
        <v>48</v>
      </c>
      <c r="CK263" s="234">
        <f t="shared" si="544"/>
        <v>3.0748170731707316</v>
      </c>
      <c r="CL263" s="234" cm="1">
        <f t="array" ref="CL263">$BM263 * SUMPRODUCT(INDEX($AV$76:$AX$81,,$AI263),INDEX($AY$76:$BE$81,,$AH263), N($AU$76:$AU$81&gt;$AM263)) / CK263 / 1000</f>
        <v>0</v>
      </c>
      <c r="CM263" s="231">
        <f t="shared" si="323"/>
        <v>30</v>
      </c>
      <c r="CN263" s="229">
        <f t="shared" si="545"/>
        <v>43</v>
      </c>
      <c r="CO263" s="234">
        <f t="shared" si="546"/>
        <v>3.5018750000000001</v>
      </c>
      <c r="CP263" s="234" cm="1">
        <f t="array" ref="CP263">$BM263 * IF($AH263&lt;=2,
SUMPRODUCT(INDEX($AV$71:$AX$75,,$AI263), INDEX($AY$71:$BE$75,,$AH263), 1 / ($BF$71:$BF$75*CO263 + (1-$BF$71:$BF$75)*CK263), N($AU$71:$AU$75&gt;$AM263)),
SUMPRODUCT(INDEX($AV$66:$AX$75,,$AI263), INDEX($AY$66:$BE$75,,$AH263), 1 / ($BG$66:$BG$75*CO263 + (1-$BG$66:$BG$75)*CK263), N($AU$66:$AU$75&gt;$AM263))
) / 1000</f>
        <v>0</v>
      </c>
      <c r="CQ263" s="231">
        <f t="shared" si="326"/>
        <v>25</v>
      </c>
      <c r="CR263" s="229">
        <f t="shared" si="547"/>
        <v>38</v>
      </c>
      <c r="CS263" s="234">
        <f t="shared" si="548"/>
        <v>4.0666935483870965</v>
      </c>
      <c r="CT263" s="234" cm="1">
        <f t="array" ref="CT263">$BM263 * IF($AH263&lt;=2,
SUMPRODUCT(INDEX($AV$66:$AX$70,,$AI263), INDEX($AY$66:$BE$70,,$AH263), 1 / ($BF$66:$BF$70*CS263 + (1-$BF$66:$BF$70)*CO263), N($AU$66:$AU$70&gt;$AM263)),
SUMPRODUCT(INDEX($AV$56:$AX$65,,$AI263), INDEX($AY$56:$BE$65,,$AH263), 1 / ($BG$56:$BG$65*CS263 + (1-$BG$56:$BG$65)*CO263), N($AU$56:$AU$65&gt;$AM263))
) / 1000</f>
        <v>0</v>
      </c>
      <c r="CU263" s="231">
        <f t="shared" si="329"/>
        <v>20</v>
      </c>
      <c r="CV263" s="229">
        <f t="shared" si="549"/>
        <v>33</v>
      </c>
      <c r="CW263" s="234">
        <f t="shared" si="550"/>
        <v>4.8487499999999999</v>
      </c>
      <c r="CX263" s="234" cm="1">
        <f t="array" ref="CX263">$BM263 * IF($AH263&lt;=2,
SUMPRODUCT(INDEX($AV$61:$AX$65,,$AI263), INDEX($AY$61:$BE$65,,$AH263), 1 / ($BF$61:$BF$65*CW263 + (1-$BF$61:$BF$65)*CS263), N($AU$61:$AU$65&gt;$AM263)),
SUMPRODUCT(INDEX($AV$46:$AX$55,,$AI263), INDEX($AY$46:$BE$55,,$AH263), 1 / ($BG$46:$BG$55*CW263 + (1-$BG$46:$BG$55)*CS263), N($AU$46:$AU$55&gt;$AM263))
) / 1000</f>
        <v>0</v>
      </c>
      <c r="CY263" s="234" cm="1">
        <f t="array" ref="CY263">$BM263 * IF($AH263&lt;=2,
SUMPRODUCT(INDEX($AV$22:$AX$60,,$AI263), INDEX($AY$22:$BE$60,,$AH263), 1 / ($BF$22:$BF$60*CW263), N($AU$22:$AU$60&gt;$AM263)),
SUMPRODUCT(INDEX($AV$22:$AX$45,,$AI263), INDEX($AY$22:$BE$45,,$AH263), 1 / ($BG$22:$BG$45*CW263), N($AU$22:$AU$45&gt;$AM263))
) / 1000</f>
        <v>0</v>
      </c>
      <c r="CZ263" s="229">
        <f t="shared" si="551"/>
        <v>0</v>
      </c>
      <c r="DA263" s="246"/>
    </row>
    <row r="264" spans="1:105" s="75" customFormat="1" ht="14.25" customHeight="1" x14ac:dyDescent="0.2">
      <c r="A264" s="230" t="b">
        <f t="shared" si="291"/>
        <v>0</v>
      </c>
      <c r="B264" s="253">
        <v>243</v>
      </c>
      <c r="C264" s="266"/>
      <c r="D264" s="266"/>
      <c r="E264" s="254"/>
      <c r="F264" s="255" t="str">
        <f>IF(ISBLANK(E264), "", VLOOKUP(E264, Z!$A$2:$C$4127, 3, FALSE))</f>
        <v/>
      </c>
      <c r="G264" s="256"/>
      <c r="H264" s="256"/>
      <c r="I264" s="256"/>
      <c r="J264" s="257"/>
      <c r="K264" s="258"/>
      <c r="L264" s="267"/>
      <c r="M264" s="268"/>
      <c r="N264" s="259" t="str" cm="1">
        <f t="array" ref="N264">IF($L264&gt;0, INDEX(Clean,1+AK264,$D$1), "")</f>
        <v/>
      </c>
      <c r="O264" s="260"/>
      <c r="P264" s="260"/>
      <c r="Q264" s="261"/>
      <c r="R264" s="264">
        <f t="shared" si="527"/>
        <v>0</v>
      </c>
      <c r="S264" s="259" t="str" cm="1">
        <f t="array" ref="S264">IF($L264&gt;0, INDEX(Clean,1+AL264,$D$1), "")</f>
        <v/>
      </c>
      <c r="T264" s="260"/>
      <c r="U264" s="260"/>
      <c r="V264" s="261"/>
      <c r="W264" s="267"/>
      <c r="X264" s="267"/>
      <c r="Y264" s="257"/>
      <c r="Z264" s="264">
        <f t="shared" si="528"/>
        <v>0</v>
      </c>
      <c r="AA264" s="269"/>
      <c r="AB264" s="266"/>
      <c r="AC264" s="254"/>
      <c r="AD264" s="255" t="str">
        <f>IF(ISBLANK(AC264), "", VLOOKUP(AC264, Z!$A$2:$C$4127, 3, FALSE))</f>
        <v/>
      </c>
      <c r="AE264" s="270"/>
      <c r="AF264" s="265">
        <f t="shared" si="529"/>
        <v>0</v>
      </c>
      <c r="AG264" s="246"/>
      <c r="AH264" s="228">
        <f t="shared" si="552"/>
        <v>1</v>
      </c>
      <c r="AI264" s="228">
        <f t="shared" si="553"/>
        <v>1</v>
      </c>
      <c r="AJ264" s="228">
        <f t="shared" si="554"/>
        <v>0</v>
      </c>
      <c r="AK264" s="228">
        <v>0</v>
      </c>
      <c r="AL264" s="228">
        <v>0</v>
      </c>
      <c r="AM264" s="228">
        <f t="shared" si="530"/>
        <v>-100</v>
      </c>
      <c r="AN264" s="228" cm="1">
        <f t="array" ref="AN264">IF(ISBLANK(G264), 1, IFERROR(MATCH(G264, INDEX(Kat,,1), 0), IFERROR(MATCH(Kat, INDEX(Use,,2), 0), MATCH(Kat, INDEX(Use,,3), 0))))</f>
        <v>1</v>
      </c>
      <c r="AO264" s="246"/>
      <c r="AP264" s="228" cm="1">
        <f t="array" ref="AP264">IF(W264&gt;0, INDEX(Kat, AN264,4), 0)</f>
        <v>0</v>
      </c>
      <c r="AQ264" s="228">
        <f t="shared" si="555"/>
        <v>0</v>
      </c>
      <c r="AR264" s="228" cm="1">
        <f t="array" ref="AR264">IF(X264&gt;0, INDEX(Kat, $AN264, 4+AQ264), 0)</f>
        <v>0</v>
      </c>
      <c r="AS264" s="228" cm="1">
        <f t="array" ref="AS264">IF(X264&gt;0, INDEX(Kat, $AN264, 9+AQ264), 0)</f>
        <v>0</v>
      </c>
      <c r="AT264" s="246"/>
      <c r="AU264" s="262"/>
      <c r="AV264" s="262"/>
      <c r="AW264" s="263"/>
      <c r="AX264" s="263"/>
      <c r="AY264" s="263"/>
      <c r="AZ264" s="263"/>
      <c r="BA264" s="263"/>
      <c r="BB264" s="263"/>
      <c r="BC264" s="263"/>
      <c r="BD264" s="263"/>
      <c r="BE264" s="263"/>
      <c r="BF264" s="263"/>
      <c r="BG264" s="263"/>
      <c r="BH264" s="246"/>
      <c r="BI264" s="228" cm="1">
        <f t="array" ref="BI264">INDEX(Use, $AH264, 4)</f>
        <v>7</v>
      </c>
      <c r="BJ264" s="228">
        <f t="shared" si="531"/>
        <v>32</v>
      </c>
      <c r="BK264" s="228">
        <f t="shared" si="305"/>
        <v>13</v>
      </c>
      <c r="BL264" s="228">
        <f t="shared" si="306"/>
        <v>0</v>
      </c>
      <c r="BM264" s="233" cm="1">
        <f t="array" ref="BM264">L264/IF($M264&gt;0, INDEX($AY$22:$BE$76, $M264+20, $AH264), 1)</f>
        <v>0</v>
      </c>
      <c r="BN264" s="229">
        <f t="shared" si="532"/>
        <v>0</v>
      </c>
      <c r="BO264" s="228">
        <v>35</v>
      </c>
      <c r="BP264" s="229">
        <f t="shared" si="533"/>
        <v>48</v>
      </c>
      <c r="BQ264" s="234">
        <f t="shared" si="534"/>
        <v>3.0748170731707316</v>
      </c>
      <c r="BR264" s="234" cm="1">
        <f t="array" ref="BR264">$BM264 * SUMPRODUCT(INDEX($AV$76:$AX$81,,$AI264),INDEX($AY$76:$BE$81,,$AH264), N($AU$76:$AU$81&gt;$AM264)) / BQ264 / 1000</f>
        <v>0</v>
      </c>
      <c r="BS264" s="231">
        <f t="shared" si="310"/>
        <v>30</v>
      </c>
      <c r="BT264" s="229">
        <f t="shared" si="535"/>
        <v>43</v>
      </c>
      <c r="BU264" s="234">
        <f t="shared" si="536"/>
        <v>3.5018750000000001</v>
      </c>
      <c r="BV264" s="234" cm="1">
        <f t="array" ref="BV264">$BM264 * IF($AH264&lt;=2,
SUMPRODUCT(INDEX($AV$71:$AX$75,,$AI264), INDEX($AY$71:$BE$75,,$AH264), 1 / ($BF$71:$BF$75*BU264 + (1-$BF$71:$BF$75)*BQ264), N($AU$71:$AU$75&gt;$AM264)),
SUMPRODUCT(INDEX($AV$66:$AX$75,,$AI264), INDEX($AY$66:$BE$75,,$AH264), 1 / ($BG$66:$BG$75*BU264 + (1-$BG$66:$BG$75)*BQ264), N($AU$66:$AU$75&gt;$AM264))
) / 1000</f>
        <v>0</v>
      </c>
      <c r="BW264" s="231">
        <f t="shared" si="313"/>
        <v>25</v>
      </c>
      <c r="BX264" s="229">
        <f t="shared" si="537"/>
        <v>38</v>
      </c>
      <c r="BY264" s="234">
        <f t="shared" si="538"/>
        <v>4.0666935483870965</v>
      </c>
      <c r="BZ264" s="234" cm="1">
        <f t="array" ref="BZ264">$BM264 * IF($AH264&lt;=2,
SUMPRODUCT(INDEX($AV$66:$AX$70,,$AI264), INDEX($AY$66:$BE$70,,$AH264), 1 / ($BF$66:$BF$70*BY264 + (1-$BF$66:$BF$70)*BU264), N($AU$66:$AU$70&gt;$AM264)),
SUMPRODUCT(INDEX($AV$56:$AX$65,,$AI264), INDEX($AY$56:$BE$65,,$AH264), 1 / ($BG$56:$BG$65*BY264 + (1-$BG$56:$BG$65)*BU264), N($AU$56:$AU$65&gt;$AM264))
) / 1000</f>
        <v>0</v>
      </c>
      <c r="CA264" s="231">
        <f t="shared" si="316"/>
        <v>20</v>
      </c>
      <c r="CB264" s="229">
        <f t="shared" si="539"/>
        <v>33</v>
      </c>
      <c r="CC264" s="234">
        <f t="shared" si="540"/>
        <v>4.8487499999999999</v>
      </c>
      <c r="CD264" s="234" cm="1">
        <f t="array" ref="CD264">$BM264 * IF($AH264&lt;=2,
SUMPRODUCT(INDEX($AV$61:$AX$65,,$AI264), INDEX($AY$61:$BE$65,,$AH264), 1 / ($BF$61:$BF$65*CC264 + (1-$BF$61:$BF$65)*BY264), N($AU$61:$AU$65&gt;$AM264)),
SUMPRODUCT(INDEX($AV$46:$AX$55,,$AI264), INDEX($AY$46:$BE$55,,$AH264), 1 / ($BG$46:$BG$55*CC264 + (1-$BG$46:$BG$55)*BY264), N($AU$46:$AU$55&gt;$AM264))
) / 1000</f>
        <v>0</v>
      </c>
      <c r="CE264" s="234" cm="1">
        <f t="array" ref="CE264">$BM264 * IF($AH264&lt;=2,
SUMPRODUCT(INDEX($AV$22:$AX$60,,$AI264), INDEX($AY$22:$BE$60,,$AH264), 1 / ($BF$22:$BF$60*CC264), N($AU$22:$AU$60&gt;$AM264)),
SUMPRODUCT(INDEX($AV$22:$AX$45,,$AI264), INDEX($AY$22:$BE$45,,$AH264), 1 / ($BG$22:$BG$45*CC264), N($AU$22:$AU$45&gt;$AM264))
) / 1000</f>
        <v>0</v>
      </c>
      <c r="CF264" s="229">
        <f t="shared" si="541"/>
        <v>0</v>
      </c>
      <c r="CG264" s="246"/>
      <c r="CH264" s="229">
        <f t="shared" si="542"/>
        <v>0</v>
      </c>
      <c r="CI264" s="228">
        <v>35</v>
      </c>
      <c r="CJ264" s="229">
        <f t="shared" si="543"/>
        <v>48</v>
      </c>
      <c r="CK264" s="234">
        <f t="shared" si="544"/>
        <v>3.0748170731707316</v>
      </c>
      <c r="CL264" s="234" cm="1">
        <f t="array" ref="CL264">$BM264 * SUMPRODUCT(INDEX($AV$76:$AX$81,,$AI264),INDEX($AY$76:$BE$81,,$AH264), N($AU$76:$AU$81&gt;$AM264)) / CK264 / 1000</f>
        <v>0</v>
      </c>
      <c r="CM264" s="231">
        <f t="shared" si="323"/>
        <v>30</v>
      </c>
      <c r="CN264" s="229">
        <f t="shared" si="545"/>
        <v>43</v>
      </c>
      <c r="CO264" s="234">
        <f t="shared" si="546"/>
        <v>3.5018750000000001</v>
      </c>
      <c r="CP264" s="234" cm="1">
        <f t="array" ref="CP264">$BM264 * IF($AH264&lt;=2,
SUMPRODUCT(INDEX($AV$71:$AX$75,,$AI264), INDEX($AY$71:$BE$75,,$AH264), 1 / ($BF$71:$BF$75*CO264 + (1-$BF$71:$BF$75)*CK264), N($AU$71:$AU$75&gt;$AM264)),
SUMPRODUCT(INDEX($AV$66:$AX$75,,$AI264), INDEX($AY$66:$BE$75,,$AH264), 1 / ($BG$66:$BG$75*CO264 + (1-$BG$66:$BG$75)*CK264), N($AU$66:$AU$75&gt;$AM264))
) / 1000</f>
        <v>0</v>
      </c>
      <c r="CQ264" s="231">
        <f t="shared" si="326"/>
        <v>25</v>
      </c>
      <c r="CR264" s="229">
        <f t="shared" si="547"/>
        <v>38</v>
      </c>
      <c r="CS264" s="234">
        <f t="shared" si="548"/>
        <v>4.0666935483870965</v>
      </c>
      <c r="CT264" s="234" cm="1">
        <f t="array" ref="CT264">$BM264 * IF($AH264&lt;=2,
SUMPRODUCT(INDEX($AV$66:$AX$70,,$AI264), INDEX($AY$66:$BE$70,,$AH264), 1 / ($BF$66:$BF$70*CS264 + (1-$BF$66:$BF$70)*CO264), N($AU$66:$AU$70&gt;$AM264)),
SUMPRODUCT(INDEX($AV$56:$AX$65,,$AI264), INDEX($AY$56:$BE$65,,$AH264), 1 / ($BG$56:$BG$65*CS264 + (1-$BG$56:$BG$65)*CO264), N($AU$56:$AU$65&gt;$AM264))
) / 1000</f>
        <v>0</v>
      </c>
      <c r="CU264" s="231">
        <f t="shared" si="329"/>
        <v>20</v>
      </c>
      <c r="CV264" s="229">
        <f t="shared" si="549"/>
        <v>33</v>
      </c>
      <c r="CW264" s="234">
        <f t="shared" si="550"/>
        <v>4.8487499999999999</v>
      </c>
      <c r="CX264" s="234" cm="1">
        <f t="array" ref="CX264">$BM264 * IF($AH264&lt;=2,
SUMPRODUCT(INDEX($AV$61:$AX$65,,$AI264), INDEX($AY$61:$BE$65,,$AH264), 1 / ($BF$61:$BF$65*CW264 + (1-$BF$61:$BF$65)*CS264), N($AU$61:$AU$65&gt;$AM264)),
SUMPRODUCT(INDEX($AV$46:$AX$55,,$AI264), INDEX($AY$46:$BE$55,,$AH264), 1 / ($BG$46:$BG$55*CW264 + (1-$BG$46:$BG$55)*CS264), N($AU$46:$AU$55&gt;$AM264))
) / 1000</f>
        <v>0</v>
      </c>
      <c r="CY264" s="234" cm="1">
        <f t="array" ref="CY264">$BM264 * IF($AH264&lt;=2,
SUMPRODUCT(INDEX($AV$22:$AX$60,,$AI264), INDEX($AY$22:$BE$60,,$AH264), 1 / ($BF$22:$BF$60*CW264), N($AU$22:$AU$60&gt;$AM264)),
SUMPRODUCT(INDEX($AV$22:$AX$45,,$AI264), INDEX($AY$22:$BE$45,,$AH264), 1 / ($BG$22:$BG$45*CW264), N($AU$22:$AU$45&gt;$AM264))
) / 1000</f>
        <v>0</v>
      </c>
      <c r="CZ264" s="229">
        <f t="shared" si="551"/>
        <v>0</v>
      </c>
      <c r="DA264" s="246"/>
    </row>
    <row r="265" spans="1:105" s="75" customFormat="1" ht="14.25" customHeight="1" x14ac:dyDescent="0.2">
      <c r="A265" s="230" t="b">
        <f t="shared" si="291"/>
        <v>0</v>
      </c>
      <c r="B265" s="253">
        <v>244</v>
      </c>
      <c r="C265" s="266"/>
      <c r="D265" s="266"/>
      <c r="E265" s="254"/>
      <c r="F265" s="255" t="str">
        <f>IF(ISBLANK(E265), "", VLOOKUP(E265, Z!$A$2:$C$4127, 3, FALSE))</f>
        <v/>
      </c>
      <c r="G265" s="256"/>
      <c r="H265" s="256"/>
      <c r="I265" s="256"/>
      <c r="J265" s="257"/>
      <c r="K265" s="258"/>
      <c r="L265" s="267"/>
      <c r="M265" s="268"/>
      <c r="N265" s="259" t="str" cm="1">
        <f t="array" ref="N265">IF($L265&gt;0, INDEX(Clean,1+AK265,$D$1), "")</f>
        <v/>
      </c>
      <c r="O265" s="260"/>
      <c r="P265" s="260"/>
      <c r="Q265" s="261"/>
      <c r="R265" s="264">
        <f t="shared" si="527"/>
        <v>0</v>
      </c>
      <c r="S265" s="259" t="str" cm="1">
        <f t="array" ref="S265">IF($L265&gt;0, INDEX(Clean,1+AL265,$D$1), "")</f>
        <v/>
      </c>
      <c r="T265" s="260"/>
      <c r="U265" s="260"/>
      <c r="V265" s="261"/>
      <c r="W265" s="267"/>
      <c r="X265" s="267"/>
      <c r="Y265" s="257"/>
      <c r="Z265" s="264">
        <f t="shared" si="528"/>
        <v>0</v>
      </c>
      <c r="AA265" s="269"/>
      <c r="AB265" s="266"/>
      <c r="AC265" s="254"/>
      <c r="AD265" s="255" t="str">
        <f>IF(ISBLANK(AC265), "", VLOOKUP(AC265, Z!$A$2:$C$4127, 3, FALSE))</f>
        <v/>
      </c>
      <c r="AE265" s="270"/>
      <c r="AF265" s="265">
        <f t="shared" si="529"/>
        <v>0</v>
      </c>
      <c r="AG265" s="246"/>
      <c r="AH265" s="228">
        <f t="shared" si="552"/>
        <v>1</v>
      </c>
      <c r="AI265" s="228">
        <f t="shared" si="553"/>
        <v>1</v>
      </c>
      <c r="AJ265" s="228">
        <f t="shared" si="554"/>
        <v>0</v>
      </c>
      <c r="AK265" s="228">
        <v>0</v>
      </c>
      <c r="AL265" s="228">
        <v>0</v>
      </c>
      <c r="AM265" s="228">
        <f t="shared" si="530"/>
        <v>-100</v>
      </c>
      <c r="AN265" s="228" cm="1">
        <f t="array" ref="AN265">IF(ISBLANK(G265), 1, IFERROR(MATCH(G265, INDEX(Kat,,1), 0), IFERROR(MATCH(Kat, INDEX(Use,,2), 0), MATCH(Kat, INDEX(Use,,3), 0))))</f>
        <v>1</v>
      </c>
      <c r="AO265" s="246"/>
      <c r="AP265" s="228" cm="1">
        <f t="array" ref="AP265">IF(W265&gt;0, INDEX(Kat, AN265,4), 0)</f>
        <v>0</v>
      </c>
      <c r="AQ265" s="228">
        <f t="shared" si="555"/>
        <v>0</v>
      </c>
      <c r="AR265" s="228" cm="1">
        <f t="array" ref="AR265">IF(X265&gt;0, INDEX(Kat, $AN265, 4+AQ265), 0)</f>
        <v>0</v>
      </c>
      <c r="AS265" s="228" cm="1">
        <f t="array" ref="AS265">IF(X265&gt;0, INDEX(Kat, $AN265, 9+AQ265), 0)</f>
        <v>0</v>
      </c>
      <c r="AT265" s="246"/>
      <c r="AU265" s="262"/>
      <c r="AV265" s="262"/>
      <c r="AW265" s="263"/>
      <c r="AX265" s="263"/>
      <c r="AY265" s="263"/>
      <c r="AZ265" s="263"/>
      <c r="BA265" s="263"/>
      <c r="BB265" s="263"/>
      <c r="BC265" s="263"/>
      <c r="BD265" s="263"/>
      <c r="BE265" s="263"/>
      <c r="BF265" s="263"/>
      <c r="BG265" s="263"/>
      <c r="BH265" s="246"/>
      <c r="BI265" s="228" cm="1">
        <f t="array" ref="BI265">INDEX(Use, $AH265, 4)</f>
        <v>7</v>
      </c>
      <c r="BJ265" s="228">
        <f t="shared" si="531"/>
        <v>32</v>
      </c>
      <c r="BK265" s="228">
        <f t="shared" si="305"/>
        <v>13</v>
      </c>
      <c r="BL265" s="228">
        <f t="shared" si="306"/>
        <v>0</v>
      </c>
      <c r="BM265" s="233" cm="1">
        <f t="array" ref="BM265">L265/IF($M265&gt;0, INDEX($AY$22:$BE$76, $M265+20, $AH265), 1)</f>
        <v>0</v>
      </c>
      <c r="BN265" s="229">
        <f t="shared" si="532"/>
        <v>0</v>
      </c>
      <c r="BO265" s="228">
        <v>35</v>
      </c>
      <c r="BP265" s="229">
        <f t="shared" si="533"/>
        <v>48</v>
      </c>
      <c r="BQ265" s="234">
        <f t="shared" si="534"/>
        <v>3.0748170731707316</v>
      </c>
      <c r="BR265" s="234" cm="1">
        <f t="array" ref="BR265">$BM265 * SUMPRODUCT(INDEX($AV$76:$AX$81,,$AI265),INDEX($AY$76:$BE$81,,$AH265), N($AU$76:$AU$81&gt;$AM265)) / BQ265 / 1000</f>
        <v>0</v>
      </c>
      <c r="BS265" s="231">
        <f t="shared" si="310"/>
        <v>30</v>
      </c>
      <c r="BT265" s="229">
        <f t="shared" si="535"/>
        <v>43</v>
      </c>
      <c r="BU265" s="234">
        <f t="shared" si="536"/>
        <v>3.5018750000000001</v>
      </c>
      <c r="BV265" s="234" cm="1">
        <f t="array" ref="BV265">$BM265 * IF($AH265&lt;=2,
SUMPRODUCT(INDEX($AV$71:$AX$75,,$AI265), INDEX($AY$71:$BE$75,,$AH265), 1 / ($BF$71:$BF$75*BU265 + (1-$BF$71:$BF$75)*BQ265), N($AU$71:$AU$75&gt;$AM265)),
SUMPRODUCT(INDEX($AV$66:$AX$75,,$AI265), INDEX($AY$66:$BE$75,,$AH265), 1 / ($BG$66:$BG$75*BU265 + (1-$BG$66:$BG$75)*BQ265), N($AU$66:$AU$75&gt;$AM265))
) / 1000</f>
        <v>0</v>
      </c>
      <c r="BW265" s="231">
        <f t="shared" si="313"/>
        <v>25</v>
      </c>
      <c r="BX265" s="229">
        <f t="shared" si="537"/>
        <v>38</v>
      </c>
      <c r="BY265" s="234">
        <f t="shared" si="538"/>
        <v>4.0666935483870965</v>
      </c>
      <c r="BZ265" s="234" cm="1">
        <f t="array" ref="BZ265">$BM265 * IF($AH265&lt;=2,
SUMPRODUCT(INDEX($AV$66:$AX$70,,$AI265), INDEX($AY$66:$BE$70,,$AH265), 1 / ($BF$66:$BF$70*BY265 + (1-$BF$66:$BF$70)*BU265), N($AU$66:$AU$70&gt;$AM265)),
SUMPRODUCT(INDEX($AV$56:$AX$65,,$AI265), INDEX($AY$56:$BE$65,,$AH265), 1 / ($BG$56:$BG$65*BY265 + (1-$BG$56:$BG$65)*BU265), N($AU$56:$AU$65&gt;$AM265))
) / 1000</f>
        <v>0</v>
      </c>
      <c r="CA265" s="231">
        <f t="shared" si="316"/>
        <v>20</v>
      </c>
      <c r="CB265" s="229">
        <f t="shared" si="539"/>
        <v>33</v>
      </c>
      <c r="CC265" s="234">
        <f t="shared" si="540"/>
        <v>4.8487499999999999</v>
      </c>
      <c r="CD265" s="234" cm="1">
        <f t="array" ref="CD265">$BM265 * IF($AH265&lt;=2,
SUMPRODUCT(INDEX($AV$61:$AX$65,,$AI265), INDEX($AY$61:$BE$65,,$AH265), 1 / ($BF$61:$BF$65*CC265 + (1-$BF$61:$BF$65)*BY265), N($AU$61:$AU$65&gt;$AM265)),
SUMPRODUCT(INDEX($AV$46:$AX$55,,$AI265), INDEX($AY$46:$BE$55,,$AH265), 1 / ($BG$46:$BG$55*CC265 + (1-$BG$46:$BG$55)*BY265), N($AU$46:$AU$55&gt;$AM265))
) / 1000</f>
        <v>0</v>
      </c>
      <c r="CE265" s="234" cm="1">
        <f t="array" ref="CE265">$BM265 * IF($AH265&lt;=2,
SUMPRODUCT(INDEX($AV$22:$AX$60,,$AI265), INDEX($AY$22:$BE$60,,$AH265), 1 / ($BF$22:$BF$60*CC265), N($AU$22:$AU$60&gt;$AM265)),
SUMPRODUCT(INDEX($AV$22:$AX$45,,$AI265), INDEX($AY$22:$BE$45,,$AH265), 1 / ($BG$22:$BG$45*CC265), N($AU$22:$AU$45&gt;$AM265))
) / 1000</f>
        <v>0</v>
      </c>
      <c r="CF265" s="229">
        <f t="shared" si="541"/>
        <v>0</v>
      </c>
      <c r="CG265" s="246"/>
      <c r="CH265" s="229">
        <f t="shared" si="542"/>
        <v>0</v>
      </c>
      <c r="CI265" s="228">
        <v>35</v>
      </c>
      <c r="CJ265" s="229">
        <f t="shared" si="543"/>
        <v>48</v>
      </c>
      <c r="CK265" s="234">
        <f t="shared" si="544"/>
        <v>3.0748170731707316</v>
      </c>
      <c r="CL265" s="234" cm="1">
        <f t="array" ref="CL265">$BM265 * SUMPRODUCT(INDEX($AV$76:$AX$81,,$AI265),INDEX($AY$76:$BE$81,,$AH265), N($AU$76:$AU$81&gt;$AM265)) / CK265 / 1000</f>
        <v>0</v>
      </c>
      <c r="CM265" s="231">
        <f t="shared" si="323"/>
        <v>30</v>
      </c>
      <c r="CN265" s="229">
        <f t="shared" si="545"/>
        <v>43</v>
      </c>
      <c r="CO265" s="234">
        <f t="shared" si="546"/>
        <v>3.5018750000000001</v>
      </c>
      <c r="CP265" s="234" cm="1">
        <f t="array" ref="CP265">$BM265 * IF($AH265&lt;=2,
SUMPRODUCT(INDEX($AV$71:$AX$75,,$AI265), INDEX($AY$71:$BE$75,,$AH265), 1 / ($BF$71:$BF$75*CO265 + (1-$BF$71:$BF$75)*CK265), N($AU$71:$AU$75&gt;$AM265)),
SUMPRODUCT(INDEX($AV$66:$AX$75,,$AI265), INDEX($AY$66:$BE$75,,$AH265), 1 / ($BG$66:$BG$75*CO265 + (1-$BG$66:$BG$75)*CK265), N($AU$66:$AU$75&gt;$AM265))
) / 1000</f>
        <v>0</v>
      </c>
      <c r="CQ265" s="231">
        <f t="shared" si="326"/>
        <v>25</v>
      </c>
      <c r="CR265" s="229">
        <f t="shared" si="547"/>
        <v>38</v>
      </c>
      <c r="CS265" s="234">
        <f t="shared" si="548"/>
        <v>4.0666935483870965</v>
      </c>
      <c r="CT265" s="234" cm="1">
        <f t="array" ref="CT265">$BM265 * IF($AH265&lt;=2,
SUMPRODUCT(INDEX($AV$66:$AX$70,,$AI265), INDEX($AY$66:$BE$70,,$AH265), 1 / ($BF$66:$BF$70*CS265 + (1-$BF$66:$BF$70)*CO265), N($AU$66:$AU$70&gt;$AM265)),
SUMPRODUCT(INDEX($AV$56:$AX$65,,$AI265), INDEX($AY$56:$BE$65,,$AH265), 1 / ($BG$56:$BG$65*CS265 + (1-$BG$56:$BG$65)*CO265), N($AU$56:$AU$65&gt;$AM265))
) / 1000</f>
        <v>0</v>
      </c>
      <c r="CU265" s="231">
        <f t="shared" si="329"/>
        <v>20</v>
      </c>
      <c r="CV265" s="229">
        <f t="shared" si="549"/>
        <v>33</v>
      </c>
      <c r="CW265" s="234">
        <f t="shared" si="550"/>
        <v>4.8487499999999999</v>
      </c>
      <c r="CX265" s="234" cm="1">
        <f t="array" ref="CX265">$BM265 * IF($AH265&lt;=2,
SUMPRODUCT(INDEX($AV$61:$AX$65,,$AI265), INDEX($AY$61:$BE$65,,$AH265), 1 / ($BF$61:$BF$65*CW265 + (1-$BF$61:$BF$65)*CS265), N($AU$61:$AU$65&gt;$AM265)),
SUMPRODUCT(INDEX($AV$46:$AX$55,,$AI265), INDEX($AY$46:$BE$55,,$AH265), 1 / ($BG$46:$BG$55*CW265 + (1-$BG$46:$BG$55)*CS265), N($AU$46:$AU$55&gt;$AM265))
) / 1000</f>
        <v>0</v>
      </c>
      <c r="CY265" s="234" cm="1">
        <f t="array" ref="CY265">$BM265 * IF($AH265&lt;=2,
SUMPRODUCT(INDEX($AV$22:$AX$60,,$AI265), INDEX($AY$22:$BE$60,,$AH265), 1 / ($BF$22:$BF$60*CW265), N($AU$22:$AU$60&gt;$AM265)),
SUMPRODUCT(INDEX($AV$22:$AX$45,,$AI265), INDEX($AY$22:$BE$45,,$AH265), 1 / ($BG$22:$BG$45*CW265), N($AU$22:$AU$45&gt;$AM265))
) / 1000</f>
        <v>0</v>
      </c>
      <c r="CZ265" s="229">
        <f t="shared" si="551"/>
        <v>0</v>
      </c>
      <c r="DA265" s="246"/>
    </row>
    <row r="266" spans="1:105" s="75" customFormat="1" ht="14.25" customHeight="1" x14ac:dyDescent="0.2">
      <c r="A266" s="230" t="b">
        <f t="shared" si="291"/>
        <v>0</v>
      </c>
      <c r="B266" s="253">
        <v>245</v>
      </c>
      <c r="C266" s="266"/>
      <c r="D266" s="266"/>
      <c r="E266" s="254"/>
      <c r="F266" s="255" t="str">
        <f>IF(ISBLANK(E266), "", VLOOKUP(E266, Z!$A$2:$C$4127, 3, FALSE))</f>
        <v/>
      </c>
      <c r="G266" s="256"/>
      <c r="H266" s="256"/>
      <c r="I266" s="256"/>
      <c r="J266" s="257"/>
      <c r="K266" s="258"/>
      <c r="L266" s="267"/>
      <c r="M266" s="268"/>
      <c r="N266" s="259" t="str" cm="1">
        <f t="array" ref="N266">IF($L266&gt;0, INDEX(Clean,1+AK266,$D$1), "")</f>
        <v/>
      </c>
      <c r="O266" s="260"/>
      <c r="P266" s="260"/>
      <c r="Q266" s="261"/>
      <c r="R266" s="264">
        <f t="shared" si="527"/>
        <v>0</v>
      </c>
      <c r="S266" s="259" t="str" cm="1">
        <f t="array" ref="S266">IF($L266&gt;0, INDEX(Clean,1+AL266,$D$1), "")</f>
        <v/>
      </c>
      <c r="T266" s="260"/>
      <c r="U266" s="260"/>
      <c r="V266" s="261"/>
      <c r="W266" s="267"/>
      <c r="X266" s="267"/>
      <c r="Y266" s="257"/>
      <c r="Z266" s="264">
        <f t="shared" si="528"/>
        <v>0</v>
      </c>
      <c r="AA266" s="269"/>
      <c r="AB266" s="266"/>
      <c r="AC266" s="254"/>
      <c r="AD266" s="255" t="str">
        <f>IF(ISBLANK(AC266), "", VLOOKUP(AC266, Z!$A$2:$C$4127, 3, FALSE))</f>
        <v/>
      </c>
      <c r="AE266" s="270"/>
      <c r="AF266" s="265">
        <f t="shared" si="529"/>
        <v>0</v>
      </c>
      <c r="AG266" s="246"/>
      <c r="AH266" s="228">
        <f t="shared" si="552"/>
        <v>1</v>
      </c>
      <c r="AI266" s="228">
        <f t="shared" si="553"/>
        <v>1</v>
      </c>
      <c r="AJ266" s="228">
        <f t="shared" si="554"/>
        <v>0</v>
      </c>
      <c r="AK266" s="228">
        <v>0</v>
      </c>
      <c r="AL266" s="228">
        <v>0</v>
      </c>
      <c r="AM266" s="228">
        <f t="shared" si="530"/>
        <v>-100</v>
      </c>
      <c r="AN266" s="228" cm="1">
        <f t="array" ref="AN266">IF(ISBLANK(G266), 1, IFERROR(MATCH(G266, INDEX(Kat,,1), 0), IFERROR(MATCH(Kat, INDEX(Use,,2), 0), MATCH(Kat, INDEX(Use,,3), 0))))</f>
        <v>1</v>
      </c>
      <c r="AO266" s="246"/>
      <c r="AP266" s="228" cm="1">
        <f t="array" ref="AP266">IF(W266&gt;0, INDEX(Kat, AN266,4), 0)</f>
        <v>0</v>
      </c>
      <c r="AQ266" s="228">
        <f t="shared" si="555"/>
        <v>0</v>
      </c>
      <c r="AR266" s="228" cm="1">
        <f t="array" ref="AR266">IF(X266&gt;0, INDEX(Kat, $AN266, 4+AQ266), 0)</f>
        <v>0</v>
      </c>
      <c r="AS266" s="228" cm="1">
        <f t="array" ref="AS266">IF(X266&gt;0, INDEX(Kat, $AN266, 9+AQ266), 0)</f>
        <v>0</v>
      </c>
      <c r="AT266" s="246"/>
      <c r="AU266" s="262"/>
      <c r="AV266" s="262"/>
      <c r="AW266" s="263"/>
      <c r="AX266" s="263"/>
      <c r="AY266" s="263"/>
      <c r="AZ266" s="263"/>
      <c r="BA266" s="263"/>
      <c r="BB266" s="263"/>
      <c r="BC266" s="263"/>
      <c r="BD266" s="263"/>
      <c r="BE266" s="263"/>
      <c r="BF266" s="263"/>
      <c r="BG266" s="263"/>
      <c r="BH266" s="246"/>
      <c r="BI266" s="228" cm="1">
        <f t="array" ref="BI266">INDEX(Use, $AH266, 4)</f>
        <v>7</v>
      </c>
      <c r="BJ266" s="228">
        <f t="shared" si="531"/>
        <v>32</v>
      </c>
      <c r="BK266" s="228">
        <f t="shared" si="305"/>
        <v>13</v>
      </c>
      <c r="BL266" s="228">
        <f t="shared" si="306"/>
        <v>0</v>
      </c>
      <c r="BM266" s="233" cm="1">
        <f t="array" ref="BM266">L266/IF($M266&gt;0, INDEX($AY$22:$BE$76, $M266+20, $AH266), 1)</f>
        <v>0</v>
      </c>
      <c r="BN266" s="229">
        <f t="shared" si="532"/>
        <v>0</v>
      </c>
      <c r="BO266" s="228">
        <v>35</v>
      </c>
      <c r="BP266" s="229">
        <f t="shared" si="533"/>
        <v>48</v>
      </c>
      <c r="BQ266" s="234">
        <f t="shared" si="534"/>
        <v>3.0748170731707316</v>
      </c>
      <c r="BR266" s="234" cm="1">
        <f t="array" ref="BR266">$BM266 * SUMPRODUCT(INDEX($AV$76:$AX$81,,$AI266),INDEX($AY$76:$BE$81,,$AH266), N($AU$76:$AU$81&gt;$AM266)) / BQ266 / 1000</f>
        <v>0</v>
      </c>
      <c r="BS266" s="231">
        <f t="shared" si="310"/>
        <v>30</v>
      </c>
      <c r="BT266" s="229">
        <f t="shared" si="535"/>
        <v>43</v>
      </c>
      <c r="BU266" s="234">
        <f t="shared" si="536"/>
        <v>3.5018750000000001</v>
      </c>
      <c r="BV266" s="234" cm="1">
        <f t="array" ref="BV266">$BM266 * IF($AH266&lt;=2,
SUMPRODUCT(INDEX($AV$71:$AX$75,,$AI266), INDEX($AY$71:$BE$75,,$AH266), 1 / ($BF$71:$BF$75*BU266 + (1-$BF$71:$BF$75)*BQ266), N($AU$71:$AU$75&gt;$AM266)),
SUMPRODUCT(INDEX($AV$66:$AX$75,,$AI266), INDEX($AY$66:$BE$75,,$AH266), 1 / ($BG$66:$BG$75*BU266 + (1-$BG$66:$BG$75)*BQ266), N($AU$66:$AU$75&gt;$AM266))
) / 1000</f>
        <v>0</v>
      </c>
      <c r="BW266" s="231">
        <f t="shared" si="313"/>
        <v>25</v>
      </c>
      <c r="BX266" s="229">
        <f t="shared" si="537"/>
        <v>38</v>
      </c>
      <c r="BY266" s="234">
        <f t="shared" si="538"/>
        <v>4.0666935483870965</v>
      </c>
      <c r="BZ266" s="234" cm="1">
        <f t="array" ref="BZ266">$BM266 * IF($AH266&lt;=2,
SUMPRODUCT(INDEX($AV$66:$AX$70,,$AI266), INDEX($AY$66:$BE$70,,$AH266), 1 / ($BF$66:$BF$70*BY266 + (1-$BF$66:$BF$70)*BU266), N($AU$66:$AU$70&gt;$AM266)),
SUMPRODUCT(INDEX($AV$56:$AX$65,,$AI266), INDEX($AY$56:$BE$65,,$AH266), 1 / ($BG$56:$BG$65*BY266 + (1-$BG$56:$BG$65)*BU266), N($AU$56:$AU$65&gt;$AM266))
) / 1000</f>
        <v>0</v>
      </c>
      <c r="CA266" s="231">
        <f t="shared" si="316"/>
        <v>20</v>
      </c>
      <c r="CB266" s="229">
        <f t="shared" si="539"/>
        <v>33</v>
      </c>
      <c r="CC266" s="234">
        <f t="shared" si="540"/>
        <v>4.8487499999999999</v>
      </c>
      <c r="CD266" s="234" cm="1">
        <f t="array" ref="CD266">$BM266 * IF($AH266&lt;=2,
SUMPRODUCT(INDEX($AV$61:$AX$65,,$AI266), INDEX($AY$61:$BE$65,,$AH266), 1 / ($BF$61:$BF$65*CC266 + (1-$BF$61:$BF$65)*BY266), N($AU$61:$AU$65&gt;$AM266)),
SUMPRODUCT(INDEX($AV$46:$AX$55,,$AI266), INDEX($AY$46:$BE$55,,$AH266), 1 / ($BG$46:$BG$55*CC266 + (1-$BG$46:$BG$55)*BY266), N($AU$46:$AU$55&gt;$AM266))
) / 1000</f>
        <v>0</v>
      </c>
      <c r="CE266" s="234" cm="1">
        <f t="array" ref="CE266">$BM266 * IF($AH266&lt;=2,
SUMPRODUCT(INDEX($AV$22:$AX$60,,$AI266), INDEX($AY$22:$BE$60,,$AH266), 1 / ($BF$22:$BF$60*CC266), N($AU$22:$AU$60&gt;$AM266)),
SUMPRODUCT(INDEX($AV$22:$AX$45,,$AI266), INDEX($AY$22:$BE$45,,$AH266), 1 / ($BG$22:$BG$45*CC266), N($AU$22:$AU$45&gt;$AM266))
) / 1000</f>
        <v>0</v>
      </c>
      <c r="CF266" s="229">
        <f t="shared" si="541"/>
        <v>0</v>
      </c>
      <c r="CG266" s="246"/>
      <c r="CH266" s="229">
        <f t="shared" si="542"/>
        <v>0</v>
      </c>
      <c r="CI266" s="228">
        <v>35</v>
      </c>
      <c r="CJ266" s="229">
        <f t="shared" si="543"/>
        <v>48</v>
      </c>
      <c r="CK266" s="234">
        <f t="shared" si="544"/>
        <v>3.0748170731707316</v>
      </c>
      <c r="CL266" s="234" cm="1">
        <f t="array" ref="CL266">$BM266 * SUMPRODUCT(INDEX($AV$76:$AX$81,,$AI266),INDEX($AY$76:$BE$81,,$AH266), N($AU$76:$AU$81&gt;$AM266)) / CK266 / 1000</f>
        <v>0</v>
      </c>
      <c r="CM266" s="231">
        <f t="shared" si="323"/>
        <v>30</v>
      </c>
      <c r="CN266" s="229">
        <f t="shared" si="545"/>
        <v>43</v>
      </c>
      <c r="CO266" s="234">
        <f t="shared" si="546"/>
        <v>3.5018750000000001</v>
      </c>
      <c r="CP266" s="234" cm="1">
        <f t="array" ref="CP266">$BM266 * IF($AH266&lt;=2,
SUMPRODUCT(INDEX($AV$71:$AX$75,,$AI266), INDEX($AY$71:$BE$75,,$AH266), 1 / ($BF$71:$BF$75*CO266 + (1-$BF$71:$BF$75)*CK266), N($AU$71:$AU$75&gt;$AM266)),
SUMPRODUCT(INDEX($AV$66:$AX$75,,$AI266), INDEX($AY$66:$BE$75,,$AH266), 1 / ($BG$66:$BG$75*CO266 + (1-$BG$66:$BG$75)*CK266), N($AU$66:$AU$75&gt;$AM266))
) / 1000</f>
        <v>0</v>
      </c>
      <c r="CQ266" s="231">
        <f t="shared" si="326"/>
        <v>25</v>
      </c>
      <c r="CR266" s="229">
        <f t="shared" si="547"/>
        <v>38</v>
      </c>
      <c r="CS266" s="234">
        <f t="shared" si="548"/>
        <v>4.0666935483870965</v>
      </c>
      <c r="CT266" s="234" cm="1">
        <f t="array" ref="CT266">$BM266 * IF($AH266&lt;=2,
SUMPRODUCT(INDEX($AV$66:$AX$70,,$AI266), INDEX($AY$66:$BE$70,,$AH266), 1 / ($BF$66:$BF$70*CS266 + (1-$BF$66:$BF$70)*CO266), N($AU$66:$AU$70&gt;$AM266)),
SUMPRODUCT(INDEX($AV$56:$AX$65,,$AI266), INDEX($AY$56:$BE$65,,$AH266), 1 / ($BG$56:$BG$65*CS266 + (1-$BG$56:$BG$65)*CO266), N($AU$56:$AU$65&gt;$AM266))
) / 1000</f>
        <v>0</v>
      </c>
      <c r="CU266" s="231">
        <f t="shared" si="329"/>
        <v>20</v>
      </c>
      <c r="CV266" s="229">
        <f t="shared" si="549"/>
        <v>33</v>
      </c>
      <c r="CW266" s="234">
        <f t="shared" si="550"/>
        <v>4.8487499999999999</v>
      </c>
      <c r="CX266" s="234" cm="1">
        <f t="array" ref="CX266">$BM266 * IF($AH266&lt;=2,
SUMPRODUCT(INDEX($AV$61:$AX$65,,$AI266), INDEX($AY$61:$BE$65,,$AH266), 1 / ($BF$61:$BF$65*CW266 + (1-$BF$61:$BF$65)*CS266), N($AU$61:$AU$65&gt;$AM266)),
SUMPRODUCT(INDEX($AV$46:$AX$55,,$AI266), INDEX($AY$46:$BE$55,,$AH266), 1 / ($BG$46:$BG$55*CW266 + (1-$BG$46:$BG$55)*CS266), N($AU$46:$AU$55&gt;$AM266))
) / 1000</f>
        <v>0</v>
      </c>
      <c r="CY266" s="234" cm="1">
        <f t="array" ref="CY266">$BM266 * IF($AH266&lt;=2,
SUMPRODUCT(INDEX($AV$22:$AX$60,,$AI266), INDEX($AY$22:$BE$60,,$AH266), 1 / ($BF$22:$BF$60*CW266), N($AU$22:$AU$60&gt;$AM266)),
SUMPRODUCT(INDEX($AV$22:$AX$45,,$AI266), INDEX($AY$22:$BE$45,,$AH266), 1 / ($BG$22:$BG$45*CW266), N($AU$22:$AU$45&gt;$AM266))
) / 1000</f>
        <v>0</v>
      </c>
      <c r="CZ266" s="229">
        <f t="shared" si="551"/>
        <v>0</v>
      </c>
      <c r="DA266" s="246"/>
    </row>
    <row r="267" spans="1:105" s="75" customFormat="1" ht="14.25" customHeight="1" x14ac:dyDescent="0.2">
      <c r="A267" s="230" t="b">
        <f t="shared" si="291"/>
        <v>0</v>
      </c>
      <c r="B267" s="253">
        <v>246</v>
      </c>
      <c r="C267" s="266"/>
      <c r="D267" s="266"/>
      <c r="E267" s="254"/>
      <c r="F267" s="255" t="str">
        <f>IF(ISBLANK(E267), "", VLOOKUP(E267, Z!$A$2:$C$4127, 3, FALSE))</f>
        <v/>
      </c>
      <c r="G267" s="256"/>
      <c r="H267" s="256"/>
      <c r="I267" s="256"/>
      <c r="J267" s="257"/>
      <c r="K267" s="258"/>
      <c r="L267" s="267"/>
      <c r="M267" s="268"/>
      <c r="N267" s="259" t="str" cm="1">
        <f t="array" ref="N267">IF($L267&gt;0, INDEX(Clean,1+AK267,$D$1), "")</f>
        <v/>
      </c>
      <c r="O267" s="260"/>
      <c r="P267" s="260"/>
      <c r="Q267" s="261"/>
      <c r="R267" s="264">
        <f t="shared" si="527"/>
        <v>0</v>
      </c>
      <c r="S267" s="259" t="str" cm="1">
        <f t="array" ref="S267">IF($L267&gt;0, INDEX(Clean,1+AL267,$D$1), "")</f>
        <v/>
      </c>
      <c r="T267" s="260"/>
      <c r="U267" s="260"/>
      <c r="V267" s="261"/>
      <c r="W267" s="267"/>
      <c r="X267" s="267"/>
      <c r="Y267" s="257"/>
      <c r="Z267" s="264">
        <f t="shared" si="528"/>
        <v>0</v>
      </c>
      <c r="AA267" s="269"/>
      <c r="AB267" s="266"/>
      <c r="AC267" s="254"/>
      <c r="AD267" s="255" t="str">
        <f>IF(ISBLANK(AC267), "", VLOOKUP(AC267, Z!$A$2:$C$4127, 3, FALSE))</f>
        <v/>
      </c>
      <c r="AE267" s="270"/>
      <c r="AF267" s="265">
        <f t="shared" si="529"/>
        <v>0</v>
      </c>
      <c r="AG267" s="246"/>
      <c r="AH267" s="228">
        <f t="shared" si="552"/>
        <v>1</v>
      </c>
      <c r="AI267" s="228">
        <f t="shared" si="553"/>
        <v>1</v>
      </c>
      <c r="AJ267" s="228">
        <f t="shared" si="554"/>
        <v>0</v>
      </c>
      <c r="AK267" s="228">
        <v>0</v>
      </c>
      <c r="AL267" s="228">
        <v>0</v>
      </c>
      <c r="AM267" s="228">
        <f t="shared" si="530"/>
        <v>-100</v>
      </c>
      <c r="AN267" s="228" cm="1">
        <f t="array" ref="AN267">IF(ISBLANK(G267), 1, IFERROR(MATCH(G267, INDEX(Kat,,1), 0), IFERROR(MATCH(Kat, INDEX(Use,,2), 0), MATCH(Kat, INDEX(Use,,3), 0))))</f>
        <v>1</v>
      </c>
      <c r="AO267" s="246"/>
      <c r="AP267" s="228" cm="1">
        <f t="array" ref="AP267">IF(W267&gt;0, INDEX(Kat, AN267,4), 0)</f>
        <v>0</v>
      </c>
      <c r="AQ267" s="228">
        <f t="shared" si="555"/>
        <v>0</v>
      </c>
      <c r="AR267" s="228" cm="1">
        <f t="array" ref="AR267">IF(X267&gt;0, INDEX(Kat, $AN267, 4+AQ267), 0)</f>
        <v>0</v>
      </c>
      <c r="AS267" s="228" cm="1">
        <f t="array" ref="AS267">IF(X267&gt;0, INDEX(Kat, $AN267, 9+AQ267), 0)</f>
        <v>0</v>
      </c>
      <c r="AT267" s="246"/>
      <c r="AU267" s="262"/>
      <c r="AV267" s="262"/>
      <c r="AW267" s="263"/>
      <c r="AX267" s="263"/>
      <c r="AY267" s="263"/>
      <c r="AZ267" s="263"/>
      <c r="BA267" s="263"/>
      <c r="BB267" s="263"/>
      <c r="BC267" s="263"/>
      <c r="BD267" s="263"/>
      <c r="BE267" s="263"/>
      <c r="BF267" s="263"/>
      <c r="BG267" s="263"/>
      <c r="BH267" s="246"/>
      <c r="BI267" s="228" cm="1">
        <f t="array" ref="BI267">INDEX(Use, $AH267, 4)</f>
        <v>7</v>
      </c>
      <c r="BJ267" s="228">
        <f t="shared" si="531"/>
        <v>32</v>
      </c>
      <c r="BK267" s="228">
        <f t="shared" si="305"/>
        <v>13</v>
      </c>
      <c r="BL267" s="228">
        <f t="shared" si="306"/>
        <v>0</v>
      </c>
      <c r="BM267" s="233" cm="1">
        <f t="array" ref="BM267">L267/IF($M267&gt;0, INDEX($AY$22:$BE$76, $M267+20, $AH267), 1)</f>
        <v>0</v>
      </c>
      <c r="BN267" s="229">
        <f t="shared" si="532"/>
        <v>0</v>
      </c>
      <c r="BO267" s="228">
        <v>35</v>
      </c>
      <c r="BP267" s="229">
        <f t="shared" si="533"/>
        <v>48</v>
      </c>
      <c r="BQ267" s="234">
        <f t="shared" si="534"/>
        <v>3.0748170731707316</v>
      </c>
      <c r="BR267" s="234" cm="1">
        <f t="array" ref="BR267">$BM267 * SUMPRODUCT(INDEX($AV$76:$AX$81,,$AI267),INDEX($AY$76:$BE$81,,$AH267), N($AU$76:$AU$81&gt;$AM267)) / BQ267 / 1000</f>
        <v>0</v>
      </c>
      <c r="BS267" s="231">
        <f t="shared" si="310"/>
        <v>30</v>
      </c>
      <c r="BT267" s="229">
        <f t="shared" si="535"/>
        <v>43</v>
      </c>
      <c r="BU267" s="234">
        <f t="shared" si="536"/>
        <v>3.5018750000000001</v>
      </c>
      <c r="BV267" s="234" cm="1">
        <f t="array" ref="BV267">$BM267 * IF($AH267&lt;=2,
SUMPRODUCT(INDEX($AV$71:$AX$75,,$AI267), INDEX($AY$71:$BE$75,,$AH267), 1 / ($BF$71:$BF$75*BU267 + (1-$BF$71:$BF$75)*BQ267), N($AU$71:$AU$75&gt;$AM267)),
SUMPRODUCT(INDEX($AV$66:$AX$75,,$AI267), INDEX($AY$66:$BE$75,,$AH267), 1 / ($BG$66:$BG$75*BU267 + (1-$BG$66:$BG$75)*BQ267), N($AU$66:$AU$75&gt;$AM267))
) / 1000</f>
        <v>0</v>
      </c>
      <c r="BW267" s="231">
        <f t="shared" si="313"/>
        <v>25</v>
      </c>
      <c r="BX267" s="229">
        <f t="shared" si="537"/>
        <v>38</v>
      </c>
      <c r="BY267" s="234">
        <f t="shared" si="538"/>
        <v>4.0666935483870965</v>
      </c>
      <c r="BZ267" s="234" cm="1">
        <f t="array" ref="BZ267">$BM267 * IF($AH267&lt;=2,
SUMPRODUCT(INDEX($AV$66:$AX$70,,$AI267), INDEX($AY$66:$BE$70,,$AH267), 1 / ($BF$66:$BF$70*BY267 + (1-$BF$66:$BF$70)*BU267), N($AU$66:$AU$70&gt;$AM267)),
SUMPRODUCT(INDEX($AV$56:$AX$65,,$AI267), INDEX($AY$56:$BE$65,,$AH267), 1 / ($BG$56:$BG$65*BY267 + (1-$BG$56:$BG$65)*BU267), N($AU$56:$AU$65&gt;$AM267))
) / 1000</f>
        <v>0</v>
      </c>
      <c r="CA267" s="231">
        <f t="shared" si="316"/>
        <v>20</v>
      </c>
      <c r="CB267" s="229">
        <f t="shared" si="539"/>
        <v>33</v>
      </c>
      <c r="CC267" s="234">
        <f t="shared" si="540"/>
        <v>4.8487499999999999</v>
      </c>
      <c r="CD267" s="234" cm="1">
        <f t="array" ref="CD267">$BM267 * IF($AH267&lt;=2,
SUMPRODUCT(INDEX($AV$61:$AX$65,,$AI267), INDEX($AY$61:$BE$65,,$AH267), 1 / ($BF$61:$BF$65*CC267 + (1-$BF$61:$BF$65)*BY267), N($AU$61:$AU$65&gt;$AM267)),
SUMPRODUCT(INDEX($AV$46:$AX$55,,$AI267), INDEX($AY$46:$BE$55,,$AH267), 1 / ($BG$46:$BG$55*CC267 + (1-$BG$46:$BG$55)*BY267), N($AU$46:$AU$55&gt;$AM267))
) / 1000</f>
        <v>0</v>
      </c>
      <c r="CE267" s="234" cm="1">
        <f t="array" ref="CE267">$BM267 * IF($AH267&lt;=2,
SUMPRODUCT(INDEX($AV$22:$AX$60,,$AI267), INDEX($AY$22:$BE$60,,$AH267), 1 / ($BF$22:$BF$60*CC267), N($AU$22:$AU$60&gt;$AM267)),
SUMPRODUCT(INDEX($AV$22:$AX$45,,$AI267), INDEX($AY$22:$BE$45,,$AH267), 1 / ($BG$22:$BG$45*CC267), N($AU$22:$AU$45&gt;$AM267))
) / 1000</f>
        <v>0</v>
      </c>
      <c r="CF267" s="229">
        <f t="shared" si="541"/>
        <v>0</v>
      </c>
      <c r="CG267" s="246"/>
      <c r="CH267" s="229">
        <f t="shared" si="542"/>
        <v>0</v>
      </c>
      <c r="CI267" s="228">
        <v>35</v>
      </c>
      <c r="CJ267" s="229">
        <f t="shared" si="543"/>
        <v>48</v>
      </c>
      <c r="CK267" s="234">
        <f t="shared" si="544"/>
        <v>3.0748170731707316</v>
      </c>
      <c r="CL267" s="234" cm="1">
        <f t="array" ref="CL267">$BM267 * SUMPRODUCT(INDEX($AV$76:$AX$81,,$AI267),INDEX($AY$76:$BE$81,,$AH267), N($AU$76:$AU$81&gt;$AM267)) / CK267 / 1000</f>
        <v>0</v>
      </c>
      <c r="CM267" s="231">
        <f t="shared" si="323"/>
        <v>30</v>
      </c>
      <c r="CN267" s="229">
        <f t="shared" si="545"/>
        <v>43</v>
      </c>
      <c r="CO267" s="234">
        <f t="shared" si="546"/>
        <v>3.5018750000000001</v>
      </c>
      <c r="CP267" s="234" cm="1">
        <f t="array" ref="CP267">$BM267 * IF($AH267&lt;=2,
SUMPRODUCT(INDEX($AV$71:$AX$75,,$AI267), INDEX($AY$71:$BE$75,,$AH267), 1 / ($BF$71:$BF$75*CO267 + (1-$BF$71:$BF$75)*CK267), N($AU$71:$AU$75&gt;$AM267)),
SUMPRODUCT(INDEX($AV$66:$AX$75,,$AI267), INDEX($AY$66:$BE$75,,$AH267), 1 / ($BG$66:$BG$75*CO267 + (1-$BG$66:$BG$75)*CK267), N($AU$66:$AU$75&gt;$AM267))
) / 1000</f>
        <v>0</v>
      </c>
      <c r="CQ267" s="231">
        <f t="shared" si="326"/>
        <v>25</v>
      </c>
      <c r="CR267" s="229">
        <f t="shared" si="547"/>
        <v>38</v>
      </c>
      <c r="CS267" s="234">
        <f t="shared" si="548"/>
        <v>4.0666935483870965</v>
      </c>
      <c r="CT267" s="234" cm="1">
        <f t="array" ref="CT267">$BM267 * IF($AH267&lt;=2,
SUMPRODUCT(INDEX($AV$66:$AX$70,,$AI267), INDEX($AY$66:$BE$70,,$AH267), 1 / ($BF$66:$BF$70*CS267 + (1-$BF$66:$BF$70)*CO267), N($AU$66:$AU$70&gt;$AM267)),
SUMPRODUCT(INDEX($AV$56:$AX$65,,$AI267), INDEX($AY$56:$BE$65,,$AH267), 1 / ($BG$56:$BG$65*CS267 + (1-$BG$56:$BG$65)*CO267), N($AU$56:$AU$65&gt;$AM267))
) / 1000</f>
        <v>0</v>
      </c>
      <c r="CU267" s="231">
        <f t="shared" si="329"/>
        <v>20</v>
      </c>
      <c r="CV267" s="229">
        <f t="shared" si="549"/>
        <v>33</v>
      </c>
      <c r="CW267" s="234">
        <f t="shared" si="550"/>
        <v>4.8487499999999999</v>
      </c>
      <c r="CX267" s="234" cm="1">
        <f t="array" ref="CX267">$BM267 * IF($AH267&lt;=2,
SUMPRODUCT(INDEX($AV$61:$AX$65,,$AI267), INDEX($AY$61:$BE$65,,$AH267), 1 / ($BF$61:$BF$65*CW267 + (1-$BF$61:$BF$65)*CS267), N($AU$61:$AU$65&gt;$AM267)),
SUMPRODUCT(INDEX($AV$46:$AX$55,,$AI267), INDEX($AY$46:$BE$55,,$AH267), 1 / ($BG$46:$BG$55*CW267 + (1-$BG$46:$BG$55)*CS267), N($AU$46:$AU$55&gt;$AM267))
) / 1000</f>
        <v>0</v>
      </c>
      <c r="CY267" s="234" cm="1">
        <f t="array" ref="CY267">$BM267 * IF($AH267&lt;=2,
SUMPRODUCT(INDEX($AV$22:$AX$60,,$AI267), INDEX($AY$22:$BE$60,,$AH267), 1 / ($BF$22:$BF$60*CW267), N($AU$22:$AU$60&gt;$AM267)),
SUMPRODUCT(INDEX($AV$22:$AX$45,,$AI267), INDEX($AY$22:$BE$45,,$AH267), 1 / ($BG$22:$BG$45*CW267), N($AU$22:$AU$45&gt;$AM267))
) / 1000</f>
        <v>0</v>
      </c>
      <c r="CZ267" s="229">
        <f t="shared" si="551"/>
        <v>0</v>
      </c>
      <c r="DA267" s="246"/>
    </row>
    <row r="268" spans="1:105" s="75" customFormat="1" ht="14.25" customHeight="1" x14ac:dyDescent="0.2">
      <c r="A268" s="230" t="b">
        <f t="shared" si="291"/>
        <v>0</v>
      </c>
      <c r="B268" s="253">
        <v>247</v>
      </c>
      <c r="C268" s="266"/>
      <c r="D268" s="266"/>
      <c r="E268" s="254"/>
      <c r="F268" s="255" t="str">
        <f>IF(ISBLANK(E268), "", VLOOKUP(E268, Z!$A$2:$C$4127, 3, FALSE))</f>
        <v/>
      </c>
      <c r="G268" s="256"/>
      <c r="H268" s="256"/>
      <c r="I268" s="256"/>
      <c r="J268" s="257"/>
      <c r="K268" s="258"/>
      <c r="L268" s="267"/>
      <c r="M268" s="268"/>
      <c r="N268" s="259" t="str" cm="1">
        <f t="array" ref="N268">IF($L268&gt;0, INDEX(Clean,1+AK268,$D$1), "")</f>
        <v/>
      </c>
      <c r="O268" s="260"/>
      <c r="P268" s="260"/>
      <c r="Q268" s="261"/>
      <c r="R268" s="264">
        <f t="shared" si="527"/>
        <v>0</v>
      </c>
      <c r="S268" s="259" t="str" cm="1">
        <f t="array" ref="S268">IF($L268&gt;0, INDEX(Clean,1+AL268,$D$1), "")</f>
        <v/>
      </c>
      <c r="T268" s="260"/>
      <c r="U268" s="260"/>
      <c r="V268" s="261"/>
      <c r="W268" s="267"/>
      <c r="X268" s="267"/>
      <c r="Y268" s="257"/>
      <c r="Z268" s="264">
        <f t="shared" si="528"/>
        <v>0</v>
      </c>
      <c r="AA268" s="269"/>
      <c r="AB268" s="266"/>
      <c r="AC268" s="254"/>
      <c r="AD268" s="255" t="str">
        <f>IF(ISBLANK(AC268), "", VLOOKUP(AC268, Z!$A$2:$C$4127, 3, FALSE))</f>
        <v/>
      </c>
      <c r="AE268" s="270"/>
      <c r="AF268" s="265">
        <f t="shared" si="529"/>
        <v>0</v>
      </c>
      <c r="AG268" s="246"/>
      <c r="AH268" s="228">
        <f t="shared" si="552"/>
        <v>1</v>
      </c>
      <c r="AI268" s="228">
        <f t="shared" si="553"/>
        <v>1</v>
      </c>
      <c r="AJ268" s="228">
        <f t="shared" si="554"/>
        <v>0</v>
      </c>
      <c r="AK268" s="228">
        <v>0</v>
      </c>
      <c r="AL268" s="228">
        <v>0</v>
      </c>
      <c r="AM268" s="228">
        <f t="shared" si="530"/>
        <v>-100</v>
      </c>
      <c r="AN268" s="228" cm="1">
        <f t="array" ref="AN268">IF(ISBLANK(G268), 1, IFERROR(MATCH(G268, INDEX(Kat,,1), 0), IFERROR(MATCH(Kat, INDEX(Use,,2), 0), MATCH(Kat, INDEX(Use,,3), 0))))</f>
        <v>1</v>
      </c>
      <c r="AO268" s="246"/>
      <c r="AP268" s="228" cm="1">
        <f t="array" ref="AP268">IF(W268&gt;0, INDEX(Kat, AN268,4), 0)</f>
        <v>0</v>
      </c>
      <c r="AQ268" s="228">
        <f t="shared" si="555"/>
        <v>0</v>
      </c>
      <c r="AR268" s="228" cm="1">
        <f t="array" ref="AR268">IF(X268&gt;0, INDEX(Kat, $AN268, 4+AQ268), 0)</f>
        <v>0</v>
      </c>
      <c r="AS268" s="228" cm="1">
        <f t="array" ref="AS268">IF(X268&gt;0, INDEX(Kat, $AN268, 9+AQ268), 0)</f>
        <v>0</v>
      </c>
      <c r="AT268" s="246"/>
      <c r="AU268" s="262"/>
      <c r="AV268" s="262"/>
      <c r="AW268" s="263"/>
      <c r="AX268" s="263"/>
      <c r="AY268" s="263"/>
      <c r="AZ268" s="263"/>
      <c r="BA268" s="263"/>
      <c r="BB268" s="263"/>
      <c r="BC268" s="263"/>
      <c r="BD268" s="263"/>
      <c r="BE268" s="263"/>
      <c r="BF268" s="263"/>
      <c r="BG268" s="263"/>
      <c r="BH268" s="246"/>
      <c r="BI268" s="228" cm="1">
        <f t="array" ref="BI268">INDEX(Use, $AH268, 4)</f>
        <v>7</v>
      </c>
      <c r="BJ268" s="228">
        <f t="shared" si="531"/>
        <v>32</v>
      </c>
      <c r="BK268" s="228">
        <f t="shared" si="305"/>
        <v>13</v>
      </c>
      <c r="BL268" s="228">
        <f t="shared" si="306"/>
        <v>0</v>
      </c>
      <c r="BM268" s="233" cm="1">
        <f t="array" ref="BM268">L268/IF($M268&gt;0, INDEX($AY$22:$BE$76, $M268+20, $AH268), 1)</f>
        <v>0</v>
      </c>
      <c r="BN268" s="229">
        <f t="shared" si="532"/>
        <v>0</v>
      </c>
      <c r="BO268" s="228">
        <v>35</v>
      </c>
      <c r="BP268" s="229">
        <f t="shared" si="533"/>
        <v>48</v>
      </c>
      <c r="BQ268" s="234">
        <f t="shared" si="534"/>
        <v>3.0748170731707316</v>
      </c>
      <c r="BR268" s="234" cm="1">
        <f t="array" ref="BR268">$BM268 * SUMPRODUCT(INDEX($AV$76:$AX$81,,$AI268),INDEX($AY$76:$BE$81,,$AH268), N($AU$76:$AU$81&gt;$AM268)) / BQ268 / 1000</f>
        <v>0</v>
      </c>
      <c r="BS268" s="231">
        <f t="shared" si="310"/>
        <v>30</v>
      </c>
      <c r="BT268" s="229">
        <f t="shared" si="535"/>
        <v>43</v>
      </c>
      <c r="BU268" s="234">
        <f t="shared" si="536"/>
        <v>3.5018750000000001</v>
      </c>
      <c r="BV268" s="234" cm="1">
        <f t="array" ref="BV268">$BM268 * IF($AH268&lt;=2,
SUMPRODUCT(INDEX($AV$71:$AX$75,,$AI268), INDEX($AY$71:$BE$75,,$AH268), 1 / ($BF$71:$BF$75*BU268 + (1-$BF$71:$BF$75)*BQ268), N($AU$71:$AU$75&gt;$AM268)),
SUMPRODUCT(INDEX($AV$66:$AX$75,,$AI268), INDEX($AY$66:$BE$75,,$AH268), 1 / ($BG$66:$BG$75*BU268 + (1-$BG$66:$BG$75)*BQ268), N($AU$66:$AU$75&gt;$AM268))
) / 1000</f>
        <v>0</v>
      </c>
      <c r="BW268" s="231">
        <f t="shared" si="313"/>
        <v>25</v>
      </c>
      <c r="BX268" s="229">
        <f t="shared" si="537"/>
        <v>38</v>
      </c>
      <c r="BY268" s="234">
        <f t="shared" si="538"/>
        <v>4.0666935483870965</v>
      </c>
      <c r="BZ268" s="234" cm="1">
        <f t="array" ref="BZ268">$BM268 * IF($AH268&lt;=2,
SUMPRODUCT(INDEX($AV$66:$AX$70,,$AI268), INDEX($AY$66:$BE$70,,$AH268), 1 / ($BF$66:$BF$70*BY268 + (1-$BF$66:$BF$70)*BU268), N($AU$66:$AU$70&gt;$AM268)),
SUMPRODUCT(INDEX($AV$56:$AX$65,,$AI268), INDEX($AY$56:$BE$65,,$AH268), 1 / ($BG$56:$BG$65*BY268 + (1-$BG$56:$BG$65)*BU268), N($AU$56:$AU$65&gt;$AM268))
) / 1000</f>
        <v>0</v>
      </c>
      <c r="CA268" s="231">
        <f t="shared" si="316"/>
        <v>20</v>
      </c>
      <c r="CB268" s="229">
        <f t="shared" si="539"/>
        <v>33</v>
      </c>
      <c r="CC268" s="234">
        <f t="shared" si="540"/>
        <v>4.8487499999999999</v>
      </c>
      <c r="CD268" s="234" cm="1">
        <f t="array" ref="CD268">$BM268 * IF($AH268&lt;=2,
SUMPRODUCT(INDEX($AV$61:$AX$65,,$AI268), INDEX($AY$61:$BE$65,,$AH268), 1 / ($BF$61:$BF$65*CC268 + (1-$BF$61:$BF$65)*BY268), N($AU$61:$AU$65&gt;$AM268)),
SUMPRODUCT(INDEX($AV$46:$AX$55,,$AI268), INDEX($AY$46:$BE$55,,$AH268), 1 / ($BG$46:$BG$55*CC268 + (1-$BG$46:$BG$55)*BY268), N($AU$46:$AU$55&gt;$AM268))
) / 1000</f>
        <v>0</v>
      </c>
      <c r="CE268" s="234" cm="1">
        <f t="array" ref="CE268">$BM268 * IF($AH268&lt;=2,
SUMPRODUCT(INDEX($AV$22:$AX$60,,$AI268), INDEX($AY$22:$BE$60,,$AH268), 1 / ($BF$22:$BF$60*CC268), N($AU$22:$AU$60&gt;$AM268)),
SUMPRODUCT(INDEX($AV$22:$AX$45,,$AI268), INDEX($AY$22:$BE$45,,$AH268), 1 / ($BG$22:$BG$45*CC268), N($AU$22:$AU$45&gt;$AM268))
) / 1000</f>
        <v>0</v>
      </c>
      <c r="CF268" s="229">
        <f t="shared" si="541"/>
        <v>0</v>
      </c>
      <c r="CG268" s="246"/>
      <c r="CH268" s="229">
        <f t="shared" si="542"/>
        <v>0</v>
      </c>
      <c r="CI268" s="228">
        <v>35</v>
      </c>
      <c r="CJ268" s="229">
        <f t="shared" si="543"/>
        <v>48</v>
      </c>
      <c r="CK268" s="234">
        <f t="shared" si="544"/>
        <v>3.0748170731707316</v>
      </c>
      <c r="CL268" s="234" cm="1">
        <f t="array" ref="CL268">$BM268 * SUMPRODUCT(INDEX($AV$76:$AX$81,,$AI268),INDEX($AY$76:$BE$81,,$AH268), N($AU$76:$AU$81&gt;$AM268)) / CK268 / 1000</f>
        <v>0</v>
      </c>
      <c r="CM268" s="231">
        <f t="shared" si="323"/>
        <v>30</v>
      </c>
      <c r="CN268" s="229">
        <f t="shared" si="545"/>
        <v>43</v>
      </c>
      <c r="CO268" s="234">
        <f t="shared" si="546"/>
        <v>3.5018750000000001</v>
      </c>
      <c r="CP268" s="234" cm="1">
        <f t="array" ref="CP268">$BM268 * IF($AH268&lt;=2,
SUMPRODUCT(INDEX($AV$71:$AX$75,,$AI268), INDEX($AY$71:$BE$75,,$AH268), 1 / ($BF$71:$BF$75*CO268 + (1-$BF$71:$BF$75)*CK268), N($AU$71:$AU$75&gt;$AM268)),
SUMPRODUCT(INDEX($AV$66:$AX$75,,$AI268), INDEX($AY$66:$BE$75,,$AH268), 1 / ($BG$66:$BG$75*CO268 + (1-$BG$66:$BG$75)*CK268), N($AU$66:$AU$75&gt;$AM268))
) / 1000</f>
        <v>0</v>
      </c>
      <c r="CQ268" s="231">
        <f t="shared" si="326"/>
        <v>25</v>
      </c>
      <c r="CR268" s="229">
        <f t="shared" si="547"/>
        <v>38</v>
      </c>
      <c r="CS268" s="234">
        <f t="shared" si="548"/>
        <v>4.0666935483870965</v>
      </c>
      <c r="CT268" s="234" cm="1">
        <f t="array" ref="CT268">$BM268 * IF($AH268&lt;=2,
SUMPRODUCT(INDEX($AV$66:$AX$70,,$AI268), INDEX($AY$66:$BE$70,,$AH268), 1 / ($BF$66:$BF$70*CS268 + (1-$BF$66:$BF$70)*CO268), N($AU$66:$AU$70&gt;$AM268)),
SUMPRODUCT(INDEX($AV$56:$AX$65,,$AI268), INDEX($AY$56:$BE$65,,$AH268), 1 / ($BG$56:$BG$65*CS268 + (1-$BG$56:$BG$65)*CO268), N($AU$56:$AU$65&gt;$AM268))
) / 1000</f>
        <v>0</v>
      </c>
      <c r="CU268" s="231">
        <f t="shared" si="329"/>
        <v>20</v>
      </c>
      <c r="CV268" s="229">
        <f t="shared" si="549"/>
        <v>33</v>
      </c>
      <c r="CW268" s="234">
        <f t="shared" si="550"/>
        <v>4.8487499999999999</v>
      </c>
      <c r="CX268" s="234" cm="1">
        <f t="array" ref="CX268">$BM268 * IF($AH268&lt;=2,
SUMPRODUCT(INDEX($AV$61:$AX$65,,$AI268), INDEX($AY$61:$BE$65,,$AH268), 1 / ($BF$61:$BF$65*CW268 + (1-$BF$61:$BF$65)*CS268), N($AU$61:$AU$65&gt;$AM268)),
SUMPRODUCT(INDEX($AV$46:$AX$55,,$AI268), INDEX($AY$46:$BE$55,,$AH268), 1 / ($BG$46:$BG$55*CW268 + (1-$BG$46:$BG$55)*CS268), N($AU$46:$AU$55&gt;$AM268))
) / 1000</f>
        <v>0</v>
      </c>
      <c r="CY268" s="234" cm="1">
        <f t="array" ref="CY268">$BM268 * IF($AH268&lt;=2,
SUMPRODUCT(INDEX($AV$22:$AX$60,,$AI268), INDEX($AY$22:$BE$60,,$AH268), 1 / ($BF$22:$BF$60*CW268), N($AU$22:$AU$60&gt;$AM268)),
SUMPRODUCT(INDEX($AV$22:$AX$45,,$AI268), INDEX($AY$22:$BE$45,,$AH268), 1 / ($BG$22:$BG$45*CW268), N($AU$22:$AU$45&gt;$AM268))
) / 1000</f>
        <v>0</v>
      </c>
      <c r="CZ268" s="229">
        <f t="shared" si="551"/>
        <v>0</v>
      </c>
      <c r="DA268" s="246"/>
    </row>
    <row r="269" spans="1:105" s="75" customFormat="1" ht="14.25" customHeight="1" x14ac:dyDescent="0.2">
      <c r="A269" s="230" t="b">
        <f t="shared" si="291"/>
        <v>0</v>
      </c>
      <c r="B269" s="253">
        <v>248</v>
      </c>
      <c r="C269" s="266"/>
      <c r="D269" s="266"/>
      <c r="E269" s="254"/>
      <c r="F269" s="255" t="str">
        <f>IF(ISBLANK(E269), "", VLOOKUP(E269, Z!$A$2:$C$4127, 3, FALSE))</f>
        <v/>
      </c>
      <c r="G269" s="256"/>
      <c r="H269" s="256"/>
      <c r="I269" s="256"/>
      <c r="J269" s="257"/>
      <c r="K269" s="258"/>
      <c r="L269" s="267"/>
      <c r="M269" s="268"/>
      <c r="N269" s="259" t="str" cm="1">
        <f t="array" ref="N269">IF($L269&gt;0, INDEX(Clean,1+AK269,$D$1), "")</f>
        <v/>
      </c>
      <c r="O269" s="260"/>
      <c r="P269" s="260"/>
      <c r="Q269" s="261"/>
      <c r="R269" s="264">
        <f t="shared" si="527"/>
        <v>0</v>
      </c>
      <c r="S269" s="259" t="str" cm="1">
        <f t="array" ref="S269">IF($L269&gt;0, INDEX(Clean,1+AL269,$D$1), "")</f>
        <v/>
      </c>
      <c r="T269" s="260"/>
      <c r="U269" s="260"/>
      <c r="V269" s="261"/>
      <c r="W269" s="267"/>
      <c r="X269" s="267"/>
      <c r="Y269" s="257"/>
      <c r="Z269" s="264">
        <f t="shared" si="528"/>
        <v>0</v>
      </c>
      <c r="AA269" s="269"/>
      <c r="AB269" s="266"/>
      <c r="AC269" s="254"/>
      <c r="AD269" s="255" t="str">
        <f>IF(ISBLANK(AC269), "", VLOOKUP(AC269, Z!$A$2:$C$4127, 3, FALSE))</f>
        <v/>
      </c>
      <c r="AE269" s="270"/>
      <c r="AF269" s="265">
        <f t="shared" si="529"/>
        <v>0</v>
      </c>
      <c r="AG269" s="246"/>
      <c r="AH269" s="228">
        <f t="shared" si="552"/>
        <v>1</v>
      </c>
      <c r="AI269" s="228">
        <f t="shared" si="553"/>
        <v>1</v>
      </c>
      <c r="AJ269" s="228">
        <f t="shared" si="554"/>
        <v>0</v>
      </c>
      <c r="AK269" s="228">
        <v>0</v>
      </c>
      <c r="AL269" s="228">
        <v>0</v>
      </c>
      <c r="AM269" s="228">
        <f t="shared" si="530"/>
        <v>-100</v>
      </c>
      <c r="AN269" s="228" cm="1">
        <f t="array" ref="AN269">IF(ISBLANK(G269), 1, IFERROR(MATCH(G269, INDEX(Kat,,1), 0), IFERROR(MATCH(Kat, INDEX(Use,,2), 0), MATCH(Kat, INDEX(Use,,3), 0))))</f>
        <v>1</v>
      </c>
      <c r="AO269" s="246"/>
      <c r="AP269" s="228" cm="1">
        <f t="array" ref="AP269">IF(W269&gt;0, INDEX(Kat, AN269,4), 0)</f>
        <v>0</v>
      </c>
      <c r="AQ269" s="228">
        <f t="shared" si="555"/>
        <v>0</v>
      </c>
      <c r="AR269" s="228" cm="1">
        <f t="array" ref="AR269">IF(X269&gt;0, INDEX(Kat, $AN269, 4+AQ269), 0)</f>
        <v>0</v>
      </c>
      <c r="AS269" s="228" cm="1">
        <f t="array" ref="AS269">IF(X269&gt;0, INDEX(Kat, $AN269, 9+AQ269), 0)</f>
        <v>0</v>
      </c>
      <c r="AT269" s="246"/>
      <c r="AU269" s="262"/>
      <c r="AV269" s="262"/>
      <c r="AW269" s="263"/>
      <c r="AX269" s="263"/>
      <c r="AY269" s="263"/>
      <c r="AZ269" s="263"/>
      <c r="BA269" s="263"/>
      <c r="BB269" s="263"/>
      <c r="BC269" s="263"/>
      <c r="BD269" s="263"/>
      <c r="BE269" s="263"/>
      <c r="BF269" s="263"/>
      <c r="BG269" s="263"/>
      <c r="BH269" s="246"/>
      <c r="BI269" s="228" cm="1">
        <f t="array" ref="BI269">INDEX(Use, $AH269, 4)</f>
        <v>7</v>
      </c>
      <c r="BJ269" s="228">
        <f t="shared" si="531"/>
        <v>32</v>
      </c>
      <c r="BK269" s="228">
        <f t="shared" si="305"/>
        <v>13</v>
      </c>
      <c r="BL269" s="228">
        <f t="shared" si="306"/>
        <v>0</v>
      </c>
      <c r="BM269" s="233" cm="1">
        <f t="array" ref="BM269">L269/IF($M269&gt;0, INDEX($AY$22:$BE$76, $M269+20, $AH269), 1)</f>
        <v>0</v>
      </c>
      <c r="BN269" s="229">
        <f t="shared" si="532"/>
        <v>0</v>
      </c>
      <c r="BO269" s="228">
        <v>35</v>
      </c>
      <c r="BP269" s="229">
        <f t="shared" si="533"/>
        <v>48</v>
      </c>
      <c r="BQ269" s="234">
        <f t="shared" si="534"/>
        <v>3.0748170731707316</v>
      </c>
      <c r="BR269" s="234" cm="1">
        <f t="array" ref="BR269">$BM269 * SUMPRODUCT(INDEX($AV$76:$AX$81,,$AI269),INDEX($AY$76:$BE$81,,$AH269), N($AU$76:$AU$81&gt;$AM269)) / BQ269 / 1000</f>
        <v>0</v>
      </c>
      <c r="BS269" s="231">
        <f t="shared" si="310"/>
        <v>30</v>
      </c>
      <c r="BT269" s="229">
        <f t="shared" si="535"/>
        <v>43</v>
      </c>
      <c r="BU269" s="234">
        <f t="shared" si="536"/>
        <v>3.5018750000000001</v>
      </c>
      <c r="BV269" s="234" cm="1">
        <f t="array" ref="BV269">$BM269 * IF($AH269&lt;=2,
SUMPRODUCT(INDEX($AV$71:$AX$75,,$AI269), INDEX($AY$71:$BE$75,,$AH269), 1 / ($BF$71:$BF$75*BU269 + (1-$BF$71:$BF$75)*BQ269), N($AU$71:$AU$75&gt;$AM269)),
SUMPRODUCT(INDEX($AV$66:$AX$75,,$AI269), INDEX($AY$66:$BE$75,,$AH269), 1 / ($BG$66:$BG$75*BU269 + (1-$BG$66:$BG$75)*BQ269), N($AU$66:$AU$75&gt;$AM269))
) / 1000</f>
        <v>0</v>
      </c>
      <c r="BW269" s="231">
        <f t="shared" si="313"/>
        <v>25</v>
      </c>
      <c r="BX269" s="229">
        <f t="shared" si="537"/>
        <v>38</v>
      </c>
      <c r="BY269" s="234">
        <f t="shared" si="538"/>
        <v>4.0666935483870965</v>
      </c>
      <c r="BZ269" s="234" cm="1">
        <f t="array" ref="BZ269">$BM269 * IF($AH269&lt;=2,
SUMPRODUCT(INDEX($AV$66:$AX$70,,$AI269), INDEX($AY$66:$BE$70,,$AH269), 1 / ($BF$66:$BF$70*BY269 + (1-$BF$66:$BF$70)*BU269), N($AU$66:$AU$70&gt;$AM269)),
SUMPRODUCT(INDEX($AV$56:$AX$65,,$AI269), INDEX($AY$56:$BE$65,,$AH269), 1 / ($BG$56:$BG$65*BY269 + (1-$BG$56:$BG$65)*BU269), N($AU$56:$AU$65&gt;$AM269))
) / 1000</f>
        <v>0</v>
      </c>
      <c r="CA269" s="231">
        <f t="shared" si="316"/>
        <v>20</v>
      </c>
      <c r="CB269" s="229">
        <f t="shared" si="539"/>
        <v>33</v>
      </c>
      <c r="CC269" s="234">
        <f t="shared" si="540"/>
        <v>4.8487499999999999</v>
      </c>
      <c r="CD269" s="234" cm="1">
        <f t="array" ref="CD269">$BM269 * IF($AH269&lt;=2,
SUMPRODUCT(INDEX($AV$61:$AX$65,,$AI269), INDEX($AY$61:$BE$65,,$AH269), 1 / ($BF$61:$BF$65*CC269 + (1-$BF$61:$BF$65)*BY269), N($AU$61:$AU$65&gt;$AM269)),
SUMPRODUCT(INDEX($AV$46:$AX$55,,$AI269), INDEX($AY$46:$BE$55,,$AH269), 1 / ($BG$46:$BG$55*CC269 + (1-$BG$46:$BG$55)*BY269), N($AU$46:$AU$55&gt;$AM269))
) / 1000</f>
        <v>0</v>
      </c>
      <c r="CE269" s="234" cm="1">
        <f t="array" ref="CE269">$BM269 * IF($AH269&lt;=2,
SUMPRODUCT(INDEX($AV$22:$AX$60,,$AI269), INDEX($AY$22:$BE$60,,$AH269), 1 / ($BF$22:$BF$60*CC269), N($AU$22:$AU$60&gt;$AM269)),
SUMPRODUCT(INDEX($AV$22:$AX$45,,$AI269), INDEX($AY$22:$BE$45,,$AH269), 1 / ($BG$22:$BG$45*CC269), N($AU$22:$AU$45&gt;$AM269))
) / 1000</f>
        <v>0</v>
      </c>
      <c r="CF269" s="229">
        <f t="shared" si="541"/>
        <v>0</v>
      </c>
      <c r="CG269" s="246"/>
      <c r="CH269" s="229">
        <f t="shared" si="542"/>
        <v>0</v>
      </c>
      <c r="CI269" s="228">
        <v>35</v>
      </c>
      <c r="CJ269" s="229">
        <f t="shared" si="543"/>
        <v>48</v>
      </c>
      <c r="CK269" s="234">
        <f t="shared" si="544"/>
        <v>3.0748170731707316</v>
      </c>
      <c r="CL269" s="234" cm="1">
        <f t="array" ref="CL269">$BM269 * SUMPRODUCT(INDEX($AV$76:$AX$81,,$AI269),INDEX($AY$76:$BE$81,,$AH269), N($AU$76:$AU$81&gt;$AM269)) / CK269 / 1000</f>
        <v>0</v>
      </c>
      <c r="CM269" s="231">
        <f t="shared" si="323"/>
        <v>30</v>
      </c>
      <c r="CN269" s="229">
        <f t="shared" si="545"/>
        <v>43</v>
      </c>
      <c r="CO269" s="234">
        <f t="shared" si="546"/>
        <v>3.5018750000000001</v>
      </c>
      <c r="CP269" s="234" cm="1">
        <f t="array" ref="CP269">$BM269 * IF($AH269&lt;=2,
SUMPRODUCT(INDEX($AV$71:$AX$75,,$AI269), INDEX($AY$71:$BE$75,,$AH269), 1 / ($BF$71:$BF$75*CO269 + (1-$BF$71:$BF$75)*CK269), N($AU$71:$AU$75&gt;$AM269)),
SUMPRODUCT(INDEX($AV$66:$AX$75,,$AI269), INDEX($AY$66:$BE$75,,$AH269), 1 / ($BG$66:$BG$75*CO269 + (1-$BG$66:$BG$75)*CK269), N($AU$66:$AU$75&gt;$AM269))
) / 1000</f>
        <v>0</v>
      </c>
      <c r="CQ269" s="231">
        <f t="shared" si="326"/>
        <v>25</v>
      </c>
      <c r="CR269" s="229">
        <f t="shared" si="547"/>
        <v>38</v>
      </c>
      <c r="CS269" s="234">
        <f t="shared" si="548"/>
        <v>4.0666935483870965</v>
      </c>
      <c r="CT269" s="234" cm="1">
        <f t="array" ref="CT269">$BM269 * IF($AH269&lt;=2,
SUMPRODUCT(INDEX($AV$66:$AX$70,,$AI269), INDEX($AY$66:$BE$70,,$AH269), 1 / ($BF$66:$BF$70*CS269 + (1-$BF$66:$BF$70)*CO269), N($AU$66:$AU$70&gt;$AM269)),
SUMPRODUCT(INDEX($AV$56:$AX$65,,$AI269), INDEX($AY$56:$BE$65,,$AH269), 1 / ($BG$56:$BG$65*CS269 + (1-$BG$56:$BG$65)*CO269), N($AU$56:$AU$65&gt;$AM269))
) / 1000</f>
        <v>0</v>
      </c>
      <c r="CU269" s="231">
        <f t="shared" si="329"/>
        <v>20</v>
      </c>
      <c r="CV269" s="229">
        <f t="shared" si="549"/>
        <v>33</v>
      </c>
      <c r="CW269" s="234">
        <f t="shared" si="550"/>
        <v>4.8487499999999999</v>
      </c>
      <c r="CX269" s="234" cm="1">
        <f t="array" ref="CX269">$BM269 * IF($AH269&lt;=2,
SUMPRODUCT(INDEX($AV$61:$AX$65,,$AI269), INDEX($AY$61:$BE$65,,$AH269), 1 / ($BF$61:$BF$65*CW269 + (1-$BF$61:$BF$65)*CS269), N($AU$61:$AU$65&gt;$AM269)),
SUMPRODUCT(INDEX($AV$46:$AX$55,,$AI269), INDEX($AY$46:$BE$55,,$AH269), 1 / ($BG$46:$BG$55*CW269 + (1-$BG$46:$BG$55)*CS269), N($AU$46:$AU$55&gt;$AM269))
) / 1000</f>
        <v>0</v>
      </c>
      <c r="CY269" s="234" cm="1">
        <f t="array" ref="CY269">$BM269 * IF($AH269&lt;=2,
SUMPRODUCT(INDEX($AV$22:$AX$60,,$AI269), INDEX($AY$22:$BE$60,,$AH269), 1 / ($BF$22:$BF$60*CW269), N($AU$22:$AU$60&gt;$AM269)),
SUMPRODUCT(INDEX($AV$22:$AX$45,,$AI269), INDEX($AY$22:$BE$45,,$AH269), 1 / ($BG$22:$BG$45*CW269), N($AU$22:$AU$45&gt;$AM269))
) / 1000</f>
        <v>0</v>
      </c>
      <c r="CZ269" s="229">
        <f t="shared" si="551"/>
        <v>0</v>
      </c>
      <c r="DA269" s="246"/>
    </row>
    <row r="270" spans="1:105" s="75" customFormat="1" ht="14.25" customHeight="1" x14ac:dyDescent="0.2">
      <c r="A270" s="230" t="b">
        <f t="shared" si="291"/>
        <v>0</v>
      </c>
      <c r="B270" s="253">
        <v>249</v>
      </c>
      <c r="C270" s="266"/>
      <c r="D270" s="266"/>
      <c r="E270" s="254"/>
      <c r="F270" s="255" t="str">
        <f>IF(ISBLANK(E270), "", VLOOKUP(E270, Z!$A$2:$C$4127, 3, FALSE))</f>
        <v/>
      </c>
      <c r="G270" s="256"/>
      <c r="H270" s="256"/>
      <c r="I270" s="256"/>
      <c r="J270" s="257"/>
      <c r="K270" s="258"/>
      <c r="L270" s="267"/>
      <c r="M270" s="268"/>
      <c r="N270" s="259" t="str" cm="1">
        <f t="array" ref="N270">IF($L270&gt;0, INDEX(Clean,1+AK270,$D$1), "")</f>
        <v/>
      </c>
      <c r="O270" s="260"/>
      <c r="P270" s="260"/>
      <c r="Q270" s="261"/>
      <c r="R270" s="264">
        <f t="shared" si="527"/>
        <v>0</v>
      </c>
      <c r="S270" s="259" t="str" cm="1">
        <f t="array" ref="S270">IF($L270&gt;0, INDEX(Clean,1+AL270,$D$1), "")</f>
        <v/>
      </c>
      <c r="T270" s="260"/>
      <c r="U270" s="260"/>
      <c r="V270" s="261"/>
      <c r="W270" s="267"/>
      <c r="X270" s="267"/>
      <c r="Y270" s="257"/>
      <c r="Z270" s="264">
        <f t="shared" si="528"/>
        <v>0</v>
      </c>
      <c r="AA270" s="269"/>
      <c r="AB270" s="266"/>
      <c r="AC270" s="254"/>
      <c r="AD270" s="255" t="str">
        <f>IF(ISBLANK(AC270), "", VLOOKUP(AC270, Z!$A$2:$C$4127, 3, FALSE))</f>
        <v/>
      </c>
      <c r="AE270" s="270"/>
      <c r="AF270" s="265">
        <f t="shared" si="529"/>
        <v>0</v>
      </c>
      <c r="AG270" s="246"/>
      <c r="AH270" s="228">
        <f t="shared" si="552"/>
        <v>1</v>
      </c>
      <c r="AI270" s="228">
        <f t="shared" si="553"/>
        <v>1</v>
      </c>
      <c r="AJ270" s="228">
        <f t="shared" si="554"/>
        <v>0</v>
      </c>
      <c r="AK270" s="228">
        <v>0</v>
      </c>
      <c r="AL270" s="228">
        <v>0</v>
      </c>
      <c r="AM270" s="228">
        <f t="shared" si="530"/>
        <v>-100</v>
      </c>
      <c r="AN270" s="228" cm="1">
        <f t="array" ref="AN270">IF(ISBLANK(G270), 1, IFERROR(MATCH(G270, INDEX(Kat,,1), 0), IFERROR(MATCH(Kat, INDEX(Use,,2), 0), MATCH(Kat, INDEX(Use,,3), 0))))</f>
        <v>1</v>
      </c>
      <c r="AO270" s="246"/>
      <c r="AP270" s="228" cm="1">
        <f t="array" ref="AP270">IF(W270&gt;0, INDEX(Kat, AN270,4), 0)</f>
        <v>0</v>
      </c>
      <c r="AQ270" s="228">
        <f t="shared" si="555"/>
        <v>0</v>
      </c>
      <c r="AR270" s="228" cm="1">
        <f t="array" ref="AR270">IF(X270&gt;0, INDEX(Kat, $AN270, 4+AQ270), 0)</f>
        <v>0</v>
      </c>
      <c r="AS270" s="228" cm="1">
        <f t="array" ref="AS270">IF(X270&gt;0, INDEX(Kat, $AN270, 9+AQ270), 0)</f>
        <v>0</v>
      </c>
      <c r="AT270" s="246"/>
      <c r="AU270" s="262"/>
      <c r="AV270" s="262"/>
      <c r="AW270" s="263"/>
      <c r="AX270" s="263"/>
      <c r="AY270" s="263"/>
      <c r="AZ270" s="263"/>
      <c r="BA270" s="263"/>
      <c r="BB270" s="263"/>
      <c r="BC270" s="263"/>
      <c r="BD270" s="263"/>
      <c r="BE270" s="263"/>
      <c r="BF270" s="263"/>
      <c r="BG270" s="263"/>
      <c r="BH270" s="246"/>
      <c r="BI270" s="228" cm="1">
        <f t="array" ref="BI270">INDEX(Use, $AH270, 4)</f>
        <v>7</v>
      </c>
      <c r="BJ270" s="228">
        <f t="shared" si="531"/>
        <v>32</v>
      </c>
      <c r="BK270" s="228">
        <f t="shared" si="305"/>
        <v>13</v>
      </c>
      <c r="BL270" s="228">
        <f t="shared" si="306"/>
        <v>0</v>
      </c>
      <c r="BM270" s="233" cm="1">
        <f t="array" ref="BM270">L270/IF($M270&gt;0, INDEX($AY$22:$BE$76, $M270+20, $AH270), 1)</f>
        <v>0</v>
      </c>
      <c r="BN270" s="229">
        <f t="shared" si="532"/>
        <v>0</v>
      </c>
      <c r="BO270" s="228">
        <v>35</v>
      </c>
      <c r="BP270" s="229">
        <f t="shared" si="533"/>
        <v>48</v>
      </c>
      <c r="BQ270" s="234">
        <f t="shared" si="534"/>
        <v>3.0748170731707316</v>
      </c>
      <c r="BR270" s="234" cm="1">
        <f t="array" ref="BR270">$BM270 * SUMPRODUCT(INDEX($AV$76:$AX$81,,$AI270),INDEX($AY$76:$BE$81,,$AH270), N($AU$76:$AU$81&gt;$AM270)) / BQ270 / 1000</f>
        <v>0</v>
      </c>
      <c r="BS270" s="231">
        <f t="shared" si="310"/>
        <v>30</v>
      </c>
      <c r="BT270" s="229">
        <f t="shared" si="535"/>
        <v>43</v>
      </c>
      <c r="BU270" s="234">
        <f t="shared" si="536"/>
        <v>3.5018750000000001</v>
      </c>
      <c r="BV270" s="234" cm="1">
        <f t="array" ref="BV270">$BM270 * IF($AH270&lt;=2,
SUMPRODUCT(INDEX($AV$71:$AX$75,,$AI270), INDEX($AY$71:$BE$75,,$AH270), 1 / ($BF$71:$BF$75*BU270 + (1-$BF$71:$BF$75)*BQ270), N($AU$71:$AU$75&gt;$AM270)),
SUMPRODUCT(INDEX($AV$66:$AX$75,,$AI270), INDEX($AY$66:$BE$75,,$AH270), 1 / ($BG$66:$BG$75*BU270 + (1-$BG$66:$BG$75)*BQ270), N($AU$66:$AU$75&gt;$AM270))
) / 1000</f>
        <v>0</v>
      </c>
      <c r="BW270" s="231">
        <f t="shared" si="313"/>
        <v>25</v>
      </c>
      <c r="BX270" s="229">
        <f t="shared" si="537"/>
        <v>38</v>
      </c>
      <c r="BY270" s="234">
        <f t="shared" si="538"/>
        <v>4.0666935483870965</v>
      </c>
      <c r="BZ270" s="234" cm="1">
        <f t="array" ref="BZ270">$BM270 * IF($AH270&lt;=2,
SUMPRODUCT(INDEX($AV$66:$AX$70,,$AI270), INDEX($AY$66:$BE$70,,$AH270), 1 / ($BF$66:$BF$70*BY270 + (1-$BF$66:$BF$70)*BU270), N($AU$66:$AU$70&gt;$AM270)),
SUMPRODUCT(INDEX($AV$56:$AX$65,,$AI270), INDEX($AY$56:$BE$65,,$AH270), 1 / ($BG$56:$BG$65*BY270 + (1-$BG$56:$BG$65)*BU270), N($AU$56:$AU$65&gt;$AM270))
) / 1000</f>
        <v>0</v>
      </c>
      <c r="CA270" s="231">
        <f t="shared" si="316"/>
        <v>20</v>
      </c>
      <c r="CB270" s="229">
        <f t="shared" si="539"/>
        <v>33</v>
      </c>
      <c r="CC270" s="234">
        <f t="shared" si="540"/>
        <v>4.8487499999999999</v>
      </c>
      <c r="CD270" s="234" cm="1">
        <f t="array" ref="CD270">$BM270 * IF($AH270&lt;=2,
SUMPRODUCT(INDEX($AV$61:$AX$65,,$AI270), INDEX($AY$61:$BE$65,,$AH270), 1 / ($BF$61:$BF$65*CC270 + (1-$BF$61:$BF$65)*BY270), N($AU$61:$AU$65&gt;$AM270)),
SUMPRODUCT(INDEX($AV$46:$AX$55,,$AI270), INDEX($AY$46:$BE$55,,$AH270), 1 / ($BG$46:$BG$55*CC270 + (1-$BG$46:$BG$55)*BY270), N($AU$46:$AU$55&gt;$AM270))
) / 1000</f>
        <v>0</v>
      </c>
      <c r="CE270" s="234" cm="1">
        <f t="array" ref="CE270">$BM270 * IF($AH270&lt;=2,
SUMPRODUCT(INDEX($AV$22:$AX$60,,$AI270), INDEX($AY$22:$BE$60,,$AH270), 1 / ($BF$22:$BF$60*CC270), N($AU$22:$AU$60&gt;$AM270)),
SUMPRODUCT(INDEX($AV$22:$AX$45,,$AI270), INDEX($AY$22:$BE$45,,$AH270), 1 / ($BG$22:$BG$45*CC270), N($AU$22:$AU$45&gt;$AM270))
) / 1000</f>
        <v>0</v>
      </c>
      <c r="CF270" s="229">
        <f t="shared" si="541"/>
        <v>0</v>
      </c>
      <c r="CG270" s="246"/>
      <c r="CH270" s="229">
        <f t="shared" si="542"/>
        <v>0</v>
      </c>
      <c r="CI270" s="228">
        <v>35</v>
      </c>
      <c r="CJ270" s="229">
        <f t="shared" si="543"/>
        <v>48</v>
      </c>
      <c r="CK270" s="234">
        <f t="shared" si="544"/>
        <v>3.0748170731707316</v>
      </c>
      <c r="CL270" s="234" cm="1">
        <f t="array" ref="CL270">$BM270 * SUMPRODUCT(INDEX($AV$76:$AX$81,,$AI270),INDEX($AY$76:$BE$81,,$AH270), N($AU$76:$AU$81&gt;$AM270)) / CK270 / 1000</f>
        <v>0</v>
      </c>
      <c r="CM270" s="231">
        <f t="shared" si="323"/>
        <v>30</v>
      </c>
      <c r="CN270" s="229">
        <f t="shared" si="545"/>
        <v>43</v>
      </c>
      <c r="CO270" s="234">
        <f t="shared" si="546"/>
        <v>3.5018750000000001</v>
      </c>
      <c r="CP270" s="234" cm="1">
        <f t="array" ref="CP270">$BM270 * IF($AH270&lt;=2,
SUMPRODUCT(INDEX($AV$71:$AX$75,,$AI270), INDEX($AY$71:$BE$75,,$AH270), 1 / ($BF$71:$BF$75*CO270 + (1-$BF$71:$BF$75)*CK270), N($AU$71:$AU$75&gt;$AM270)),
SUMPRODUCT(INDEX($AV$66:$AX$75,,$AI270), INDEX($AY$66:$BE$75,,$AH270), 1 / ($BG$66:$BG$75*CO270 + (1-$BG$66:$BG$75)*CK270), N($AU$66:$AU$75&gt;$AM270))
) / 1000</f>
        <v>0</v>
      </c>
      <c r="CQ270" s="231">
        <f t="shared" si="326"/>
        <v>25</v>
      </c>
      <c r="CR270" s="229">
        <f t="shared" si="547"/>
        <v>38</v>
      </c>
      <c r="CS270" s="234">
        <f t="shared" si="548"/>
        <v>4.0666935483870965</v>
      </c>
      <c r="CT270" s="234" cm="1">
        <f t="array" ref="CT270">$BM270 * IF($AH270&lt;=2,
SUMPRODUCT(INDEX($AV$66:$AX$70,,$AI270), INDEX($AY$66:$BE$70,,$AH270), 1 / ($BF$66:$BF$70*CS270 + (1-$BF$66:$BF$70)*CO270), N($AU$66:$AU$70&gt;$AM270)),
SUMPRODUCT(INDEX($AV$56:$AX$65,,$AI270), INDEX($AY$56:$BE$65,,$AH270), 1 / ($BG$56:$BG$65*CS270 + (1-$BG$56:$BG$65)*CO270), N($AU$56:$AU$65&gt;$AM270))
) / 1000</f>
        <v>0</v>
      </c>
      <c r="CU270" s="231">
        <f t="shared" si="329"/>
        <v>20</v>
      </c>
      <c r="CV270" s="229">
        <f t="shared" si="549"/>
        <v>33</v>
      </c>
      <c r="CW270" s="234">
        <f t="shared" si="550"/>
        <v>4.8487499999999999</v>
      </c>
      <c r="CX270" s="234" cm="1">
        <f t="array" ref="CX270">$BM270 * IF($AH270&lt;=2,
SUMPRODUCT(INDEX($AV$61:$AX$65,,$AI270), INDEX($AY$61:$BE$65,,$AH270), 1 / ($BF$61:$BF$65*CW270 + (1-$BF$61:$BF$65)*CS270), N($AU$61:$AU$65&gt;$AM270)),
SUMPRODUCT(INDEX($AV$46:$AX$55,,$AI270), INDEX($AY$46:$BE$55,,$AH270), 1 / ($BG$46:$BG$55*CW270 + (1-$BG$46:$BG$55)*CS270), N($AU$46:$AU$55&gt;$AM270))
) / 1000</f>
        <v>0</v>
      </c>
      <c r="CY270" s="234" cm="1">
        <f t="array" ref="CY270">$BM270 * IF($AH270&lt;=2,
SUMPRODUCT(INDEX($AV$22:$AX$60,,$AI270), INDEX($AY$22:$BE$60,,$AH270), 1 / ($BF$22:$BF$60*CW270), N($AU$22:$AU$60&gt;$AM270)),
SUMPRODUCT(INDEX($AV$22:$AX$45,,$AI270), INDEX($AY$22:$BE$45,,$AH270), 1 / ($BG$22:$BG$45*CW270), N($AU$22:$AU$45&gt;$AM270))
) / 1000</f>
        <v>0</v>
      </c>
      <c r="CZ270" s="229">
        <f t="shared" si="551"/>
        <v>0</v>
      </c>
      <c r="DA270" s="246"/>
    </row>
    <row r="271" spans="1:105" s="75" customFormat="1" ht="14.25" customHeight="1" x14ac:dyDescent="0.2">
      <c r="A271" s="230" t="b">
        <f t="shared" si="291"/>
        <v>0</v>
      </c>
      <c r="B271" s="253">
        <v>250</v>
      </c>
      <c r="C271" s="266"/>
      <c r="D271" s="266"/>
      <c r="E271" s="254"/>
      <c r="F271" s="255" t="str">
        <f>IF(ISBLANK(E271), "", VLOOKUP(E271, Z!$A$2:$C$4127, 3, FALSE))</f>
        <v/>
      </c>
      <c r="G271" s="256"/>
      <c r="H271" s="256"/>
      <c r="I271" s="256"/>
      <c r="J271" s="257"/>
      <c r="K271" s="258"/>
      <c r="L271" s="267"/>
      <c r="M271" s="268"/>
      <c r="N271" s="259" t="str" cm="1">
        <f t="array" ref="N271">IF($L271&gt;0, INDEX(Clean,1+AK271,$D$1), "")</f>
        <v/>
      </c>
      <c r="O271" s="260"/>
      <c r="P271" s="260"/>
      <c r="Q271" s="261"/>
      <c r="R271" s="264">
        <f t="shared" si="527"/>
        <v>0</v>
      </c>
      <c r="S271" s="259" t="str" cm="1">
        <f t="array" ref="S271">IF($L271&gt;0, INDEX(Clean,1+AL271,$D$1), "")</f>
        <v/>
      </c>
      <c r="T271" s="260"/>
      <c r="U271" s="260"/>
      <c r="V271" s="261"/>
      <c r="W271" s="267"/>
      <c r="X271" s="267"/>
      <c r="Y271" s="257"/>
      <c r="Z271" s="264">
        <f t="shared" si="528"/>
        <v>0</v>
      </c>
      <c r="AA271" s="269"/>
      <c r="AB271" s="266"/>
      <c r="AC271" s="254"/>
      <c r="AD271" s="255" t="str">
        <f>IF(ISBLANK(AC271), "", VLOOKUP(AC271, Z!$A$2:$C$4127, 3, FALSE))</f>
        <v/>
      </c>
      <c r="AE271" s="270"/>
      <c r="AF271" s="265">
        <f t="shared" si="529"/>
        <v>0</v>
      </c>
      <c r="AG271" s="246"/>
      <c r="AH271" s="228">
        <f t="shared" si="552"/>
        <v>1</v>
      </c>
      <c r="AI271" s="228">
        <f t="shared" si="553"/>
        <v>1</v>
      </c>
      <c r="AJ271" s="228">
        <f t="shared" si="554"/>
        <v>0</v>
      </c>
      <c r="AK271" s="228">
        <v>0</v>
      </c>
      <c r="AL271" s="228">
        <v>0</v>
      </c>
      <c r="AM271" s="228">
        <f t="shared" si="530"/>
        <v>-100</v>
      </c>
      <c r="AN271" s="228" cm="1">
        <f t="array" ref="AN271">IF(ISBLANK(G271), 1, IFERROR(MATCH(G271, INDEX(Kat,,1), 0), IFERROR(MATCH(Kat, INDEX(Use,,2), 0), MATCH(Kat, INDEX(Use,,3), 0))))</f>
        <v>1</v>
      </c>
      <c r="AO271" s="246"/>
      <c r="AP271" s="228" cm="1">
        <f t="array" ref="AP271">IF(W271&gt;0, INDEX(Kat, AN271,4), 0)</f>
        <v>0</v>
      </c>
      <c r="AQ271" s="228">
        <f t="shared" si="555"/>
        <v>0</v>
      </c>
      <c r="AR271" s="228" cm="1">
        <f t="array" ref="AR271">IF(X271&gt;0, INDEX(Kat, $AN271, 4+AQ271), 0)</f>
        <v>0</v>
      </c>
      <c r="AS271" s="228" cm="1">
        <f t="array" ref="AS271">IF(X271&gt;0, INDEX(Kat, $AN271, 9+AQ271), 0)</f>
        <v>0</v>
      </c>
      <c r="AT271" s="246"/>
      <c r="AU271" s="262"/>
      <c r="AV271" s="262"/>
      <c r="AW271" s="263"/>
      <c r="AX271" s="263"/>
      <c r="AY271" s="263"/>
      <c r="AZ271" s="263"/>
      <c r="BA271" s="263"/>
      <c r="BB271" s="263"/>
      <c r="BC271" s="263"/>
      <c r="BD271" s="263"/>
      <c r="BE271" s="263"/>
      <c r="BF271" s="263"/>
      <c r="BG271" s="263"/>
      <c r="BH271" s="246"/>
      <c r="BI271" s="228" cm="1">
        <f t="array" ref="BI271">INDEX(Use, $AH271, 4)</f>
        <v>7</v>
      </c>
      <c r="BJ271" s="228">
        <f t="shared" si="531"/>
        <v>32</v>
      </c>
      <c r="BK271" s="228">
        <f t="shared" si="305"/>
        <v>13</v>
      </c>
      <c r="BL271" s="228">
        <f t="shared" si="306"/>
        <v>0</v>
      </c>
      <c r="BM271" s="233" cm="1">
        <f t="array" ref="BM271">L271/IF($M271&gt;0, INDEX($AY$22:$BE$76, $M271+20, $AH271), 1)</f>
        <v>0</v>
      </c>
      <c r="BN271" s="229">
        <f t="shared" si="532"/>
        <v>0</v>
      </c>
      <c r="BO271" s="228">
        <v>35</v>
      </c>
      <c r="BP271" s="229">
        <f t="shared" si="533"/>
        <v>48</v>
      </c>
      <c r="BQ271" s="234">
        <f t="shared" si="534"/>
        <v>3.0748170731707316</v>
      </c>
      <c r="BR271" s="234" cm="1">
        <f t="array" ref="BR271">$BM271 * SUMPRODUCT(INDEX($AV$76:$AX$81,,$AI271),INDEX($AY$76:$BE$81,,$AH271), N($AU$76:$AU$81&gt;$AM271)) / BQ271 / 1000</f>
        <v>0</v>
      </c>
      <c r="BS271" s="231">
        <f t="shared" si="310"/>
        <v>30</v>
      </c>
      <c r="BT271" s="229">
        <f t="shared" si="535"/>
        <v>43</v>
      </c>
      <c r="BU271" s="234">
        <f t="shared" si="536"/>
        <v>3.5018750000000001</v>
      </c>
      <c r="BV271" s="234" cm="1">
        <f t="array" ref="BV271">$BM271 * IF($AH271&lt;=2,
SUMPRODUCT(INDEX($AV$71:$AX$75,,$AI271), INDEX($AY$71:$BE$75,,$AH271), 1 / ($BF$71:$BF$75*BU271 + (1-$BF$71:$BF$75)*BQ271), N($AU$71:$AU$75&gt;$AM271)),
SUMPRODUCT(INDEX($AV$66:$AX$75,,$AI271), INDEX($AY$66:$BE$75,,$AH271), 1 / ($BG$66:$BG$75*BU271 + (1-$BG$66:$BG$75)*BQ271), N($AU$66:$AU$75&gt;$AM271))
) / 1000</f>
        <v>0</v>
      </c>
      <c r="BW271" s="231">
        <f t="shared" si="313"/>
        <v>25</v>
      </c>
      <c r="BX271" s="229">
        <f t="shared" si="537"/>
        <v>38</v>
      </c>
      <c r="BY271" s="234">
        <f t="shared" si="538"/>
        <v>4.0666935483870965</v>
      </c>
      <c r="BZ271" s="234" cm="1">
        <f t="array" ref="BZ271">$BM271 * IF($AH271&lt;=2,
SUMPRODUCT(INDEX($AV$66:$AX$70,,$AI271), INDEX($AY$66:$BE$70,,$AH271), 1 / ($BF$66:$BF$70*BY271 + (1-$BF$66:$BF$70)*BU271), N($AU$66:$AU$70&gt;$AM271)),
SUMPRODUCT(INDEX($AV$56:$AX$65,,$AI271), INDEX($AY$56:$BE$65,,$AH271), 1 / ($BG$56:$BG$65*BY271 + (1-$BG$56:$BG$65)*BU271), N($AU$56:$AU$65&gt;$AM271))
) / 1000</f>
        <v>0</v>
      </c>
      <c r="CA271" s="231">
        <f t="shared" si="316"/>
        <v>20</v>
      </c>
      <c r="CB271" s="229">
        <f t="shared" si="539"/>
        <v>33</v>
      </c>
      <c r="CC271" s="234">
        <f t="shared" si="540"/>
        <v>4.8487499999999999</v>
      </c>
      <c r="CD271" s="234" cm="1">
        <f t="array" ref="CD271">$BM271 * IF($AH271&lt;=2,
SUMPRODUCT(INDEX($AV$61:$AX$65,,$AI271), INDEX($AY$61:$BE$65,,$AH271), 1 / ($BF$61:$BF$65*CC271 + (1-$BF$61:$BF$65)*BY271), N($AU$61:$AU$65&gt;$AM271)),
SUMPRODUCT(INDEX($AV$46:$AX$55,,$AI271), INDEX($AY$46:$BE$55,,$AH271), 1 / ($BG$46:$BG$55*CC271 + (1-$BG$46:$BG$55)*BY271), N($AU$46:$AU$55&gt;$AM271))
) / 1000</f>
        <v>0</v>
      </c>
      <c r="CE271" s="234" cm="1">
        <f t="array" ref="CE271">$BM271 * IF($AH271&lt;=2,
SUMPRODUCT(INDEX($AV$22:$AX$60,,$AI271), INDEX($AY$22:$BE$60,,$AH271), 1 / ($BF$22:$BF$60*CC271), N($AU$22:$AU$60&gt;$AM271)),
SUMPRODUCT(INDEX($AV$22:$AX$45,,$AI271), INDEX($AY$22:$BE$45,,$AH271), 1 / ($BG$22:$BG$45*CC271), N($AU$22:$AU$45&gt;$AM271))
) / 1000</f>
        <v>0</v>
      </c>
      <c r="CF271" s="229">
        <f t="shared" si="541"/>
        <v>0</v>
      </c>
      <c r="CG271" s="246"/>
      <c r="CH271" s="229">
        <f t="shared" si="542"/>
        <v>0</v>
      </c>
      <c r="CI271" s="228">
        <v>35</v>
      </c>
      <c r="CJ271" s="229">
        <f t="shared" si="543"/>
        <v>48</v>
      </c>
      <c r="CK271" s="234">
        <f t="shared" si="544"/>
        <v>3.0748170731707316</v>
      </c>
      <c r="CL271" s="234" cm="1">
        <f t="array" ref="CL271">$BM271 * SUMPRODUCT(INDEX($AV$76:$AX$81,,$AI271),INDEX($AY$76:$BE$81,,$AH271), N($AU$76:$AU$81&gt;$AM271)) / CK271 / 1000</f>
        <v>0</v>
      </c>
      <c r="CM271" s="231">
        <f t="shared" si="323"/>
        <v>30</v>
      </c>
      <c r="CN271" s="229">
        <f t="shared" si="545"/>
        <v>43</v>
      </c>
      <c r="CO271" s="234">
        <f t="shared" si="546"/>
        <v>3.5018750000000001</v>
      </c>
      <c r="CP271" s="234" cm="1">
        <f t="array" ref="CP271">$BM271 * IF($AH271&lt;=2,
SUMPRODUCT(INDEX($AV$71:$AX$75,,$AI271), INDEX($AY$71:$BE$75,,$AH271), 1 / ($BF$71:$BF$75*CO271 + (1-$BF$71:$BF$75)*CK271), N($AU$71:$AU$75&gt;$AM271)),
SUMPRODUCT(INDEX($AV$66:$AX$75,,$AI271), INDEX($AY$66:$BE$75,,$AH271), 1 / ($BG$66:$BG$75*CO271 + (1-$BG$66:$BG$75)*CK271), N($AU$66:$AU$75&gt;$AM271))
) / 1000</f>
        <v>0</v>
      </c>
      <c r="CQ271" s="231">
        <f t="shared" si="326"/>
        <v>25</v>
      </c>
      <c r="CR271" s="229">
        <f t="shared" si="547"/>
        <v>38</v>
      </c>
      <c r="CS271" s="234">
        <f t="shared" si="548"/>
        <v>4.0666935483870965</v>
      </c>
      <c r="CT271" s="234" cm="1">
        <f t="array" ref="CT271">$BM271 * IF($AH271&lt;=2,
SUMPRODUCT(INDEX($AV$66:$AX$70,,$AI271), INDEX($AY$66:$BE$70,,$AH271), 1 / ($BF$66:$BF$70*CS271 + (1-$BF$66:$BF$70)*CO271), N($AU$66:$AU$70&gt;$AM271)),
SUMPRODUCT(INDEX($AV$56:$AX$65,,$AI271), INDEX($AY$56:$BE$65,,$AH271), 1 / ($BG$56:$BG$65*CS271 + (1-$BG$56:$BG$65)*CO271), N($AU$56:$AU$65&gt;$AM271))
) / 1000</f>
        <v>0</v>
      </c>
      <c r="CU271" s="231">
        <f t="shared" si="329"/>
        <v>20</v>
      </c>
      <c r="CV271" s="229">
        <f t="shared" si="549"/>
        <v>33</v>
      </c>
      <c r="CW271" s="234">
        <f t="shared" si="550"/>
        <v>4.8487499999999999</v>
      </c>
      <c r="CX271" s="234" cm="1">
        <f t="array" ref="CX271">$BM271 * IF($AH271&lt;=2,
SUMPRODUCT(INDEX($AV$61:$AX$65,,$AI271), INDEX($AY$61:$BE$65,,$AH271), 1 / ($BF$61:$BF$65*CW271 + (1-$BF$61:$BF$65)*CS271), N($AU$61:$AU$65&gt;$AM271)),
SUMPRODUCT(INDEX($AV$46:$AX$55,,$AI271), INDEX($AY$46:$BE$55,,$AH271), 1 / ($BG$46:$BG$55*CW271 + (1-$BG$46:$BG$55)*CS271), N($AU$46:$AU$55&gt;$AM271))
) / 1000</f>
        <v>0</v>
      </c>
      <c r="CY271" s="234" cm="1">
        <f t="array" ref="CY271">$BM271 * IF($AH271&lt;=2,
SUMPRODUCT(INDEX($AV$22:$AX$60,,$AI271), INDEX($AY$22:$BE$60,,$AH271), 1 / ($BF$22:$BF$60*CW271), N($AU$22:$AU$60&gt;$AM271)),
SUMPRODUCT(INDEX($AV$22:$AX$45,,$AI271), INDEX($AY$22:$BE$45,,$AH271), 1 / ($BG$22:$BG$45*CW271), N($AU$22:$AU$45&gt;$AM271))
) / 1000</f>
        <v>0</v>
      </c>
      <c r="CZ271" s="229">
        <f t="shared" si="551"/>
        <v>0</v>
      </c>
      <c r="DA271" s="246"/>
    </row>
    <row r="272" spans="1:105" s="75" customFormat="1" ht="14.25" customHeight="1" x14ac:dyDescent="0.2">
      <c r="A272" s="230" t="b">
        <f t="shared" si="291"/>
        <v>0</v>
      </c>
      <c r="B272" s="253">
        <v>251</v>
      </c>
      <c r="C272" s="266"/>
      <c r="D272" s="266"/>
      <c r="E272" s="254"/>
      <c r="F272" s="255" t="str">
        <f>IF(ISBLANK(E272), "", VLOOKUP(E272, Z!$A$2:$C$4127, 3, FALSE))</f>
        <v/>
      </c>
      <c r="G272" s="256"/>
      <c r="H272" s="256"/>
      <c r="I272" s="256"/>
      <c r="J272" s="257"/>
      <c r="K272" s="258"/>
      <c r="L272" s="267"/>
      <c r="M272" s="268"/>
      <c r="N272" s="259" t="str" cm="1">
        <f t="array" ref="N272">IF($L272&gt;0, INDEX(Clean,1+AK272,$D$1), "")</f>
        <v/>
      </c>
      <c r="O272" s="260"/>
      <c r="P272" s="260"/>
      <c r="Q272" s="261"/>
      <c r="R272" s="264">
        <f t="shared" si="527"/>
        <v>0</v>
      </c>
      <c r="S272" s="259" t="str" cm="1">
        <f t="array" ref="S272">IF($L272&gt;0, INDEX(Clean,1+AL272,$D$1), "")</f>
        <v/>
      </c>
      <c r="T272" s="260"/>
      <c r="U272" s="260"/>
      <c r="V272" s="261"/>
      <c r="W272" s="267"/>
      <c r="X272" s="267"/>
      <c r="Y272" s="257"/>
      <c r="Z272" s="264">
        <f t="shared" si="528"/>
        <v>0</v>
      </c>
      <c r="AA272" s="269"/>
      <c r="AB272" s="266"/>
      <c r="AC272" s="254"/>
      <c r="AD272" s="255" t="str">
        <f>IF(ISBLANK(AC272), "", VLOOKUP(AC272, Z!$A$2:$C$4127, 3, FALSE))</f>
        <v/>
      </c>
      <c r="AE272" s="270"/>
      <c r="AF272" s="265">
        <f t="shared" si="529"/>
        <v>0</v>
      </c>
      <c r="AG272" s="246"/>
      <c r="AH272" s="228">
        <f t="shared" si="552"/>
        <v>1</v>
      </c>
      <c r="AI272" s="228">
        <f t="shared" si="553"/>
        <v>1</v>
      </c>
      <c r="AJ272" s="228">
        <f t="shared" si="554"/>
        <v>0</v>
      </c>
      <c r="AK272" s="228">
        <v>0</v>
      </c>
      <c r="AL272" s="228">
        <v>0</v>
      </c>
      <c r="AM272" s="228">
        <f t="shared" si="530"/>
        <v>-100</v>
      </c>
      <c r="AN272" s="228" cm="1">
        <f t="array" ref="AN272">IF(ISBLANK(G272), 1, IFERROR(MATCH(G272, INDEX(Kat,,1), 0), IFERROR(MATCH(Kat, INDEX(Use,,2), 0), MATCH(Kat, INDEX(Use,,3), 0))))</f>
        <v>1</v>
      </c>
      <c r="AO272" s="246"/>
      <c r="AP272" s="228" cm="1">
        <f t="array" ref="AP272">IF(W272&gt;0, INDEX(Kat, AN272,4), 0)</f>
        <v>0</v>
      </c>
      <c r="AQ272" s="228">
        <f t="shared" si="555"/>
        <v>0</v>
      </c>
      <c r="AR272" s="228" cm="1">
        <f t="array" ref="AR272">IF(X272&gt;0, INDEX(Kat, $AN272, 4+AQ272), 0)</f>
        <v>0</v>
      </c>
      <c r="AS272" s="228" cm="1">
        <f t="array" ref="AS272">IF(X272&gt;0, INDEX(Kat, $AN272, 9+AQ272), 0)</f>
        <v>0</v>
      </c>
      <c r="AT272" s="246"/>
      <c r="AU272" s="262"/>
      <c r="AV272" s="262"/>
      <c r="AW272" s="263"/>
      <c r="AX272" s="263"/>
      <c r="AY272" s="263"/>
      <c r="AZ272" s="263"/>
      <c r="BA272" s="263"/>
      <c r="BB272" s="263"/>
      <c r="BC272" s="263"/>
      <c r="BD272" s="263"/>
      <c r="BE272" s="263"/>
      <c r="BF272" s="263"/>
      <c r="BG272" s="263"/>
      <c r="BH272" s="246"/>
      <c r="BI272" s="228" cm="1">
        <f t="array" ref="BI272">INDEX(Use, $AH272, 4)</f>
        <v>7</v>
      </c>
      <c r="BJ272" s="228">
        <f t="shared" si="531"/>
        <v>32</v>
      </c>
      <c r="BK272" s="228">
        <f t="shared" si="305"/>
        <v>13</v>
      </c>
      <c r="BL272" s="228">
        <f t="shared" si="306"/>
        <v>0</v>
      </c>
      <c r="BM272" s="233" cm="1">
        <f t="array" ref="BM272">L272/IF($M272&gt;0, INDEX($AY$22:$BE$76, $M272+20, $AH272), 1)</f>
        <v>0</v>
      </c>
      <c r="BN272" s="229">
        <f t="shared" si="532"/>
        <v>0</v>
      </c>
      <c r="BO272" s="228">
        <v>35</v>
      </c>
      <c r="BP272" s="229">
        <f t="shared" si="533"/>
        <v>48</v>
      </c>
      <c r="BQ272" s="234">
        <f t="shared" si="534"/>
        <v>3.0748170731707316</v>
      </c>
      <c r="BR272" s="234" cm="1">
        <f t="array" ref="BR272">$BM272 * SUMPRODUCT(INDEX($AV$76:$AX$81,,$AI272),INDEX($AY$76:$BE$81,,$AH272), N($AU$76:$AU$81&gt;$AM272)) / BQ272 / 1000</f>
        <v>0</v>
      </c>
      <c r="BS272" s="231">
        <f t="shared" si="310"/>
        <v>30</v>
      </c>
      <c r="BT272" s="229">
        <f t="shared" si="535"/>
        <v>43</v>
      </c>
      <c r="BU272" s="234">
        <f t="shared" si="536"/>
        <v>3.5018750000000001</v>
      </c>
      <c r="BV272" s="234" cm="1">
        <f t="array" ref="BV272">$BM272 * IF($AH272&lt;=2,
SUMPRODUCT(INDEX($AV$71:$AX$75,,$AI272), INDEX($AY$71:$BE$75,,$AH272), 1 / ($BF$71:$BF$75*BU272 + (1-$BF$71:$BF$75)*BQ272), N($AU$71:$AU$75&gt;$AM272)),
SUMPRODUCT(INDEX($AV$66:$AX$75,,$AI272), INDEX($AY$66:$BE$75,,$AH272), 1 / ($BG$66:$BG$75*BU272 + (1-$BG$66:$BG$75)*BQ272), N($AU$66:$AU$75&gt;$AM272))
) / 1000</f>
        <v>0</v>
      </c>
      <c r="BW272" s="231">
        <f t="shared" si="313"/>
        <v>25</v>
      </c>
      <c r="BX272" s="229">
        <f t="shared" si="537"/>
        <v>38</v>
      </c>
      <c r="BY272" s="234">
        <f t="shared" si="538"/>
        <v>4.0666935483870965</v>
      </c>
      <c r="BZ272" s="234" cm="1">
        <f t="array" ref="BZ272">$BM272 * IF($AH272&lt;=2,
SUMPRODUCT(INDEX($AV$66:$AX$70,,$AI272), INDEX($AY$66:$BE$70,,$AH272), 1 / ($BF$66:$BF$70*BY272 + (1-$BF$66:$BF$70)*BU272), N($AU$66:$AU$70&gt;$AM272)),
SUMPRODUCT(INDEX($AV$56:$AX$65,,$AI272), INDEX($AY$56:$BE$65,,$AH272), 1 / ($BG$56:$BG$65*BY272 + (1-$BG$56:$BG$65)*BU272), N($AU$56:$AU$65&gt;$AM272))
) / 1000</f>
        <v>0</v>
      </c>
      <c r="CA272" s="231">
        <f t="shared" si="316"/>
        <v>20</v>
      </c>
      <c r="CB272" s="229">
        <f t="shared" si="539"/>
        <v>33</v>
      </c>
      <c r="CC272" s="234">
        <f t="shared" si="540"/>
        <v>4.8487499999999999</v>
      </c>
      <c r="CD272" s="234" cm="1">
        <f t="array" ref="CD272">$BM272 * IF($AH272&lt;=2,
SUMPRODUCT(INDEX($AV$61:$AX$65,,$AI272), INDEX($AY$61:$BE$65,,$AH272), 1 / ($BF$61:$BF$65*CC272 + (1-$BF$61:$BF$65)*BY272), N($AU$61:$AU$65&gt;$AM272)),
SUMPRODUCT(INDEX($AV$46:$AX$55,,$AI272), INDEX($AY$46:$BE$55,,$AH272), 1 / ($BG$46:$BG$55*CC272 + (1-$BG$46:$BG$55)*BY272), N($AU$46:$AU$55&gt;$AM272))
) / 1000</f>
        <v>0</v>
      </c>
      <c r="CE272" s="234" cm="1">
        <f t="array" ref="CE272">$BM272 * IF($AH272&lt;=2,
SUMPRODUCT(INDEX($AV$22:$AX$60,,$AI272), INDEX($AY$22:$BE$60,,$AH272), 1 / ($BF$22:$BF$60*CC272), N($AU$22:$AU$60&gt;$AM272)),
SUMPRODUCT(INDEX($AV$22:$AX$45,,$AI272), INDEX($AY$22:$BE$45,,$AH272), 1 / ($BG$22:$BG$45*CC272), N($AU$22:$AU$45&gt;$AM272))
) / 1000</f>
        <v>0</v>
      </c>
      <c r="CF272" s="229">
        <f t="shared" si="541"/>
        <v>0</v>
      </c>
      <c r="CG272" s="246"/>
      <c r="CH272" s="229">
        <f t="shared" si="542"/>
        <v>0</v>
      </c>
      <c r="CI272" s="228">
        <v>35</v>
      </c>
      <c r="CJ272" s="229">
        <f t="shared" si="543"/>
        <v>48</v>
      </c>
      <c r="CK272" s="234">
        <f t="shared" si="544"/>
        <v>3.0748170731707316</v>
      </c>
      <c r="CL272" s="234" cm="1">
        <f t="array" ref="CL272">$BM272 * SUMPRODUCT(INDEX($AV$76:$AX$81,,$AI272),INDEX($AY$76:$BE$81,,$AH272), N($AU$76:$AU$81&gt;$AM272)) / CK272 / 1000</f>
        <v>0</v>
      </c>
      <c r="CM272" s="231">
        <f t="shared" si="323"/>
        <v>30</v>
      </c>
      <c r="CN272" s="229">
        <f t="shared" si="545"/>
        <v>43</v>
      </c>
      <c r="CO272" s="234">
        <f t="shared" si="546"/>
        <v>3.5018750000000001</v>
      </c>
      <c r="CP272" s="234" cm="1">
        <f t="array" ref="CP272">$BM272 * IF($AH272&lt;=2,
SUMPRODUCT(INDEX($AV$71:$AX$75,,$AI272), INDEX($AY$71:$BE$75,,$AH272), 1 / ($BF$71:$BF$75*CO272 + (1-$BF$71:$BF$75)*CK272), N($AU$71:$AU$75&gt;$AM272)),
SUMPRODUCT(INDEX($AV$66:$AX$75,,$AI272), INDEX($AY$66:$BE$75,,$AH272), 1 / ($BG$66:$BG$75*CO272 + (1-$BG$66:$BG$75)*CK272), N($AU$66:$AU$75&gt;$AM272))
) / 1000</f>
        <v>0</v>
      </c>
      <c r="CQ272" s="231">
        <f t="shared" si="326"/>
        <v>25</v>
      </c>
      <c r="CR272" s="229">
        <f t="shared" si="547"/>
        <v>38</v>
      </c>
      <c r="CS272" s="234">
        <f t="shared" si="548"/>
        <v>4.0666935483870965</v>
      </c>
      <c r="CT272" s="234" cm="1">
        <f t="array" ref="CT272">$BM272 * IF($AH272&lt;=2,
SUMPRODUCT(INDEX($AV$66:$AX$70,,$AI272), INDEX($AY$66:$BE$70,,$AH272), 1 / ($BF$66:$BF$70*CS272 + (1-$BF$66:$BF$70)*CO272), N($AU$66:$AU$70&gt;$AM272)),
SUMPRODUCT(INDEX($AV$56:$AX$65,,$AI272), INDEX($AY$56:$BE$65,,$AH272), 1 / ($BG$56:$BG$65*CS272 + (1-$BG$56:$BG$65)*CO272), N($AU$56:$AU$65&gt;$AM272))
) / 1000</f>
        <v>0</v>
      </c>
      <c r="CU272" s="231">
        <f t="shared" si="329"/>
        <v>20</v>
      </c>
      <c r="CV272" s="229">
        <f t="shared" si="549"/>
        <v>33</v>
      </c>
      <c r="CW272" s="234">
        <f t="shared" si="550"/>
        <v>4.8487499999999999</v>
      </c>
      <c r="CX272" s="234" cm="1">
        <f t="array" ref="CX272">$BM272 * IF($AH272&lt;=2,
SUMPRODUCT(INDEX($AV$61:$AX$65,,$AI272), INDEX($AY$61:$BE$65,,$AH272), 1 / ($BF$61:$BF$65*CW272 + (1-$BF$61:$BF$65)*CS272), N($AU$61:$AU$65&gt;$AM272)),
SUMPRODUCT(INDEX($AV$46:$AX$55,,$AI272), INDEX($AY$46:$BE$55,,$AH272), 1 / ($BG$46:$BG$55*CW272 + (1-$BG$46:$BG$55)*CS272), N($AU$46:$AU$55&gt;$AM272))
) / 1000</f>
        <v>0</v>
      </c>
      <c r="CY272" s="234" cm="1">
        <f t="array" ref="CY272">$BM272 * IF($AH272&lt;=2,
SUMPRODUCT(INDEX($AV$22:$AX$60,,$AI272), INDEX($AY$22:$BE$60,,$AH272), 1 / ($BF$22:$BF$60*CW272), N($AU$22:$AU$60&gt;$AM272)),
SUMPRODUCT(INDEX($AV$22:$AX$45,,$AI272), INDEX($AY$22:$BE$45,,$AH272), 1 / ($BG$22:$BG$45*CW272), N($AU$22:$AU$45&gt;$AM272))
) / 1000</f>
        <v>0</v>
      </c>
      <c r="CZ272" s="229">
        <f t="shared" si="551"/>
        <v>0</v>
      </c>
      <c r="DA272" s="246"/>
    </row>
    <row r="273" spans="1:105" s="75" customFormat="1" ht="14.25" customHeight="1" x14ac:dyDescent="0.2">
      <c r="A273" s="230" t="b">
        <f t="shared" si="291"/>
        <v>0</v>
      </c>
      <c r="B273" s="253">
        <v>252</v>
      </c>
      <c r="C273" s="266"/>
      <c r="D273" s="266"/>
      <c r="E273" s="254"/>
      <c r="F273" s="255" t="str">
        <f>IF(ISBLANK(E273), "", VLOOKUP(E273, Z!$A$2:$C$4127, 3, FALSE))</f>
        <v/>
      </c>
      <c r="G273" s="256"/>
      <c r="H273" s="256"/>
      <c r="I273" s="256"/>
      <c r="J273" s="257"/>
      <c r="K273" s="258"/>
      <c r="L273" s="267"/>
      <c r="M273" s="268"/>
      <c r="N273" s="259" t="str" cm="1">
        <f t="array" ref="N273">IF($L273&gt;0, INDEX(Clean,1+AK273,$D$1), "")</f>
        <v/>
      </c>
      <c r="O273" s="260"/>
      <c r="P273" s="260"/>
      <c r="Q273" s="261"/>
      <c r="R273" s="264">
        <f t="shared" si="527"/>
        <v>0</v>
      </c>
      <c r="S273" s="259" t="str" cm="1">
        <f t="array" ref="S273">IF($L273&gt;0, INDEX(Clean,1+AL273,$D$1), "")</f>
        <v/>
      </c>
      <c r="T273" s="260"/>
      <c r="U273" s="260"/>
      <c r="V273" s="261"/>
      <c r="W273" s="267"/>
      <c r="X273" s="267"/>
      <c r="Y273" s="257"/>
      <c r="Z273" s="264">
        <f t="shared" si="528"/>
        <v>0</v>
      </c>
      <c r="AA273" s="269"/>
      <c r="AB273" s="266"/>
      <c r="AC273" s="254"/>
      <c r="AD273" s="255" t="str">
        <f>IF(ISBLANK(AC273), "", VLOOKUP(AC273, Z!$A$2:$C$4127, 3, FALSE))</f>
        <v/>
      </c>
      <c r="AE273" s="270"/>
      <c r="AF273" s="265">
        <f t="shared" si="529"/>
        <v>0</v>
      </c>
      <c r="AG273" s="246"/>
      <c r="AH273" s="228">
        <f t="shared" si="552"/>
        <v>1</v>
      </c>
      <c r="AI273" s="228">
        <f t="shared" si="553"/>
        <v>1</v>
      </c>
      <c r="AJ273" s="228">
        <f t="shared" si="554"/>
        <v>0</v>
      </c>
      <c r="AK273" s="228">
        <v>0</v>
      </c>
      <c r="AL273" s="228">
        <v>0</v>
      </c>
      <c r="AM273" s="228">
        <f t="shared" si="530"/>
        <v>-100</v>
      </c>
      <c r="AN273" s="228" cm="1">
        <f t="array" ref="AN273">IF(ISBLANK(G273), 1, IFERROR(MATCH(G273, INDEX(Kat,,1), 0), IFERROR(MATCH(Kat, INDEX(Use,,2), 0), MATCH(Kat, INDEX(Use,,3), 0))))</f>
        <v>1</v>
      </c>
      <c r="AO273" s="246"/>
      <c r="AP273" s="228" cm="1">
        <f t="array" ref="AP273">IF(W273&gt;0, INDEX(Kat, AN273,4), 0)</f>
        <v>0</v>
      </c>
      <c r="AQ273" s="228">
        <f t="shared" si="555"/>
        <v>0</v>
      </c>
      <c r="AR273" s="228" cm="1">
        <f t="array" ref="AR273">IF(X273&gt;0, INDEX(Kat, $AN273, 4+AQ273), 0)</f>
        <v>0</v>
      </c>
      <c r="AS273" s="228" cm="1">
        <f t="array" ref="AS273">IF(X273&gt;0, INDEX(Kat, $AN273, 9+AQ273), 0)</f>
        <v>0</v>
      </c>
      <c r="AT273" s="246"/>
      <c r="AU273" s="262"/>
      <c r="AV273" s="262"/>
      <c r="AW273" s="263"/>
      <c r="AX273" s="263"/>
      <c r="AY273" s="263"/>
      <c r="AZ273" s="263"/>
      <c r="BA273" s="263"/>
      <c r="BB273" s="263"/>
      <c r="BC273" s="263"/>
      <c r="BD273" s="263"/>
      <c r="BE273" s="263"/>
      <c r="BF273" s="263"/>
      <c r="BG273" s="263"/>
      <c r="BH273" s="246"/>
      <c r="BI273" s="228" cm="1">
        <f t="array" ref="BI273">INDEX(Use, $AH273, 4)</f>
        <v>7</v>
      </c>
      <c r="BJ273" s="228">
        <f t="shared" si="531"/>
        <v>32</v>
      </c>
      <c r="BK273" s="228">
        <f t="shared" si="305"/>
        <v>13</v>
      </c>
      <c r="BL273" s="228">
        <f t="shared" si="306"/>
        <v>0</v>
      </c>
      <c r="BM273" s="233" cm="1">
        <f t="array" ref="BM273">L273/IF($M273&gt;0, INDEX($AY$22:$BE$76, $M273+20, $AH273), 1)</f>
        <v>0</v>
      </c>
      <c r="BN273" s="229">
        <f t="shared" si="532"/>
        <v>0</v>
      </c>
      <c r="BO273" s="228">
        <v>35</v>
      </c>
      <c r="BP273" s="229">
        <f t="shared" si="533"/>
        <v>48</v>
      </c>
      <c r="BQ273" s="234">
        <f t="shared" si="534"/>
        <v>3.0748170731707316</v>
      </c>
      <c r="BR273" s="234" cm="1">
        <f t="array" ref="BR273">$BM273 * SUMPRODUCT(INDEX($AV$76:$AX$81,,$AI273),INDEX($AY$76:$BE$81,,$AH273), N($AU$76:$AU$81&gt;$AM273)) / BQ273 / 1000</f>
        <v>0</v>
      </c>
      <c r="BS273" s="231">
        <f t="shared" si="310"/>
        <v>30</v>
      </c>
      <c r="BT273" s="229">
        <f t="shared" si="535"/>
        <v>43</v>
      </c>
      <c r="BU273" s="234">
        <f t="shared" si="536"/>
        <v>3.5018750000000001</v>
      </c>
      <c r="BV273" s="234" cm="1">
        <f t="array" ref="BV273">$BM273 * IF($AH273&lt;=2,
SUMPRODUCT(INDEX($AV$71:$AX$75,,$AI273), INDEX($AY$71:$BE$75,,$AH273), 1 / ($BF$71:$BF$75*BU273 + (1-$BF$71:$BF$75)*BQ273), N($AU$71:$AU$75&gt;$AM273)),
SUMPRODUCT(INDEX($AV$66:$AX$75,,$AI273), INDEX($AY$66:$BE$75,,$AH273), 1 / ($BG$66:$BG$75*BU273 + (1-$BG$66:$BG$75)*BQ273), N($AU$66:$AU$75&gt;$AM273))
) / 1000</f>
        <v>0</v>
      </c>
      <c r="BW273" s="231">
        <f t="shared" si="313"/>
        <v>25</v>
      </c>
      <c r="BX273" s="229">
        <f t="shared" si="537"/>
        <v>38</v>
      </c>
      <c r="BY273" s="234">
        <f t="shared" si="538"/>
        <v>4.0666935483870965</v>
      </c>
      <c r="BZ273" s="234" cm="1">
        <f t="array" ref="BZ273">$BM273 * IF($AH273&lt;=2,
SUMPRODUCT(INDEX($AV$66:$AX$70,,$AI273), INDEX($AY$66:$BE$70,,$AH273), 1 / ($BF$66:$BF$70*BY273 + (1-$BF$66:$BF$70)*BU273), N($AU$66:$AU$70&gt;$AM273)),
SUMPRODUCT(INDEX($AV$56:$AX$65,,$AI273), INDEX($AY$56:$BE$65,,$AH273), 1 / ($BG$56:$BG$65*BY273 + (1-$BG$56:$BG$65)*BU273), N($AU$56:$AU$65&gt;$AM273))
) / 1000</f>
        <v>0</v>
      </c>
      <c r="CA273" s="231">
        <f t="shared" si="316"/>
        <v>20</v>
      </c>
      <c r="CB273" s="229">
        <f t="shared" si="539"/>
        <v>33</v>
      </c>
      <c r="CC273" s="234">
        <f t="shared" si="540"/>
        <v>4.8487499999999999</v>
      </c>
      <c r="CD273" s="234" cm="1">
        <f t="array" ref="CD273">$BM273 * IF($AH273&lt;=2,
SUMPRODUCT(INDEX($AV$61:$AX$65,,$AI273), INDEX($AY$61:$BE$65,,$AH273), 1 / ($BF$61:$BF$65*CC273 + (1-$BF$61:$BF$65)*BY273), N($AU$61:$AU$65&gt;$AM273)),
SUMPRODUCT(INDEX($AV$46:$AX$55,,$AI273), INDEX($AY$46:$BE$55,,$AH273), 1 / ($BG$46:$BG$55*CC273 + (1-$BG$46:$BG$55)*BY273), N($AU$46:$AU$55&gt;$AM273))
) / 1000</f>
        <v>0</v>
      </c>
      <c r="CE273" s="234" cm="1">
        <f t="array" ref="CE273">$BM273 * IF($AH273&lt;=2,
SUMPRODUCT(INDEX($AV$22:$AX$60,,$AI273), INDEX($AY$22:$BE$60,,$AH273), 1 / ($BF$22:$BF$60*CC273), N($AU$22:$AU$60&gt;$AM273)),
SUMPRODUCT(INDEX($AV$22:$AX$45,,$AI273), INDEX($AY$22:$BE$45,,$AH273), 1 / ($BG$22:$BG$45*CC273), N($AU$22:$AU$45&gt;$AM273))
) / 1000</f>
        <v>0</v>
      </c>
      <c r="CF273" s="229">
        <f t="shared" si="541"/>
        <v>0</v>
      </c>
      <c r="CG273" s="246"/>
      <c r="CH273" s="229">
        <f t="shared" si="542"/>
        <v>0</v>
      </c>
      <c r="CI273" s="228">
        <v>35</v>
      </c>
      <c r="CJ273" s="229">
        <f t="shared" si="543"/>
        <v>48</v>
      </c>
      <c r="CK273" s="234">
        <f t="shared" si="544"/>
        <v>3.0748170731707316</v>
      </c>
      <c r="CL273" s="234" cm="1">
        <f t="array" ref="CL273">$BM273 * SUMPRODUCT(INDEX($AV$76:$AX$81,,$AI273),INDEX($AY$76:$BE$81,,$AH273), N($AU$76:$AU$81&gt;$AM273)) / CK273 / 1000</f>
        <v>0</v>
      </c>
      <c r="CM273" s="231">
        <f t="shared" si="323"/>
        <v>30</v>
      </c>
      <c r="CN273" s="229">
        <f t="shared" si="545"/>
        <v>43</v>
      </c>
      <c r="CO273" s="234">
        <f t="shared" si="546"/>
        <v>3.5018750000000001</v>
      </c>
      <c r="CP273" s="234" cm="1">
        <f t="array" ref="CP273">$BM273 * IF($AH273&lt;=2,
SUMPRODUCT(INDEX($AV$71:$AX$75,,$AI273), INDEX($AY$71:$BE$75,,$AH273), 1 / ($BF$71:$BF$75*CO273 + (1-$BF$71:$BF$75)*CK273), N($AU$71:$AU$75&gt;$AM273)),
SUMPRODUCT(INDEX($AV$66:$AX$75,,$AI273), INDEX($AY$66:$BE$75,,$AH273), 1 / ($BG$66:$BG$75*CO273 + (1-$BG$66:$BG$75)*CK273), N($AU$66:$AU$75&gt;$AM273))
) / 1000</f>
        <v>0</v>
      </c>
      <c r="CQ273" s="231">
        <f t="shared" si="326"/>
        <v>25</v>
      </c>
      <c r="CR273" s="229">
        <f t="shared" si="547"/>
        <v>38</v>
      </c>
      <c r="CS273" s="234">
        <f t="shared" si="548"/>
        <v>4.0666935483870965</v>
      </c>
      <c r="CT273" s="234" cm="1">
        <f t="array" ref="CT273">$BM273 * IF($AH273&lt;=2,
SUMPRODUCT(INDEX($AV$66:$AX$70,,$AI273), INDEX($AY$66:$BE$70,,$AH273), 1 / ($BF$66:$BF$70*CS273 + (1-$BF$66:$BF$70)*CO273), N($AU$66:$AU$70&gt;$AM273)),
SUMPRODUCT(INDEX($AV$56:$AX$65,,$AI273), INDEX($AY$56:$BE$65,,$AH273), 1 / ($BG$56:$BG$65*CS273 + (1-$BG$56:$BG$65)*CO273), N($AU$56:$AU$65&gt;$AM273))
) / 1000</f>
        <v>0</v>
      </c>
      <c r="CU273" s="231">
        <f t="shared" si="329"/>
        <v>20</v>
      </c>
      <c r="CV273" s="229">
        <f t="shared" si="549"/>
        <v>33</v>
      </c>
      <c r="CW273" s="234">
        <f t="shared" si="550"/>
        <v>4.8487499999999999</v>
      </c>
      <c r="CX273" s="234" cm="1">
        <f t="array" ref="CX273">$BM273 * IF($AH273&lt;=2,
SUMPRODUCT(INDEX($AV$61:$AX$65,,$AI273), INDEX($AY$61:$BE$65,,$AH273), 1 / ($BF$61:$BF$65*CW273 + (1-$BF$61:$BF$65)*CS273), N($AU$61:$AU$65&gt;$AM273)),
SUMPRODUCT(INDEX($AV$46:$AX$55,,$AI273), INDEX($AY$46:$BE$55,,$AH273), 1 / ($BG$46:$BG$55*CW273 + (1-$BG$46:$BG$55)*CS273), N($AU$46:$AU$55&gt;$AM273))
) / 1000</f>
        <v>0</v>
      </c>
      <c r="CY273" s="234" cm="1">
        <f t="array" ref="CY273">$BM273 * IF($AH273&lt;=2,
SUMPRODUCT(INDEX($AV$22:$AX$60,,$AI273), INDEX($AY$22:$BE$60,,$AH273), 1 / ($BF$22:$BF$60*CW273), N($AU$22:$AU$60&gt;$AM273)),
SUMPRODUCT(INDEX($AV$22:$AX$45,,$AI273), INDEX($AY$22:$BE$45,,$AH273), 1 / ($BG$22:$BG$45*CW273), N($AU$22:$AU$45&gt;$AM273))
) / 1000</f>
        <v>0</v>
      </c>
      <c r="CZ273" s="229">
        <f t="shared" si="551"/>
        <v>0</v>
      </c>
      <c r="DA273" s="246"/>
    </row>
    <row r="274" spans="1:105" s="75" customFormat="1" ht="14.25" customHeight="1" x14ac:dyDescent="0.2">
      <c r="A274" s="230" t="b">
        <f t="shared" si="291"/>
        <v>0</v>
      </c>
      <c r="B274" s="253">
        <v>253</v>
      </c>
      <c r="C274" s="266"/>
      <c r="D274" s="266"/>
      <c r="E274" s="254"/>
      <c r="F274" s="255" t="str">
        <f>IF(ISBLANK(E274), "", VLOOKUP(E274, Z!$A$2:$C$4127, 3, FALSE))</f>
        <v/>
      </c>
      <c r="G274" s="256"/>
      <c r="H274" s="256"/>
      <c r="I274" s="256"/>
      <c r="J274" s="257"/>
      <c r="K274" s="258"/>
      <c r="L274" s="267"/>
      <c r="M274" s="268"/>
      <c r="N274" s="259" t="str" cm="1">
        <f t="array" ref="N274">IF($L274&gt;0, INDEX(Clean,1+AK274,$D$1), "")</f>
        <v/>
      </c>
      <c r="O274" s="260"/>
      <c r="P274" s="260"/>
      <c r="Q274" s="261"/>
      <c r="R274" s="264">
        <f t="shared" si="527"/>
        <v>0</v>
      </c>
      <c r="S274" s="259" t="str" cm="1">
        <f t="array" ref="S274">IF($L274&gt;0, INDEX(Clean,1+AL274,$D$1), "")</f>
        <v/>
      </c>
      <c r="T274" s="260"/>
      <c r="U274" s="260"/>
      <c r="V274" s="261"/>
      <c r="W274" s="267"/>
      <c r="X274" s="267"/>
      <c r="Y274" s="257"/>
      <c r="Z274" s="264">
        <f t="shared" si="528"/>
        <v>0</v>
      </c>
      <c r="AA274" s="269"/>
      <c r="AB274" s="266"/>
      <c r="AC274" s="254"/>
      <c r="AD274" s="255" t="str">
        <f>IF(ISBLANK(AC274), "", VLOOKUP(AC274, Z!$A$2:$C$4127, 3, FALSE))</f>
        <v/>
      </c>
      <c r="AE274" s="270"/>
      <c r="AF274" s="265">
        <f t="shared" si="529"/>
        <v>0</v>
      </c>
      <c r="AG274" s="246"/>
      <c r="AH274" s="228">
        <f t="shared" si="552"/>
        <v>1</v>
      </c>
      <c r="AI274" s="228">
        <f t="shared" si="553"/>
        <v>1</v>
      </c>
      <c r="AJ274" s="228">
        <f t="shared" si="554"/>
        <v>0</v>
      </c>
      <c r="AK274" s="228">
        <v>0</v>
      </c>
      <c r="AL274" s="228">
        <v>0</v>
      </c>
      <c r="AM274" s="228">
        <f t="shared" si="530"/>
        <v>-100</v>
      </c>
      <c r="AN274" s="228" cm="1">
        <f t="array" ref="AN274">IF(ISBLANK(G274), 1, IFERROR(MATCH(G274, INDEX(Kat,,1), 0), IFERROR(MATCH(Kat, INDEX(Use,,2), 0), MATCH(Kat, INDEX(Use,,3), 0))))</f>
        <v>1</v>
      </c>
      <c r="AO274" s="246"/>
      <c r="AP274" s="228" cm="1">
        <f t="array" ref="AP274">IF(W274&gt;0, INDEX(Kat, AN274,4), 0)</f>
        <v>0</v>
      </c>
      <c r="AQ274" s="228">
        <f t="shared" si="555"/>
        <v>0</v>
      </c>
      <c r="AR274" s="228" cm="1">
        <f t="array" ref="AR274">IF(X274&gt;0, INDEX(Kat, $AN274, 4+AQ274), 0)</f>
        <v>0</v>
      </c>
      <c r="AS274" s="228" cm="1">
        <f t="array" ref="AS274">IF(X274&gt;0, INDEX(Kat, $AN274, 9+AQ274), 0)</f>
        <v>0</v>
      </c>
      <c r="AT274" s="246"/>
      <c r="AU274" s="262"/>
      <c r="AV274" s="262"/>
      <c r="AW274" s="263"/>
      <c r="AX274" s="263"/>
      <c r="AY274" s="263"/>
      <c r="AZ274" s="263"/>
      <c r="BA274" s="263"/>
      <c r="BB274" s="263"/>
      <c r="BC274" s="263"/>
      <c r="BD274" s="263"/>
      <c r="BE274" s="263"/>
      <c r="BF274" s="263"/>
      <c r="BG274" s="263"/>
      <c r="BH274" s="246"/>
      <c r="BI274" s="228" cm="1">
        <f t="array" ref="BI274">INDEX(Use, $AH274, 4)</f>
        <v>7</v>
      </c>
      <c r="BJ274" s="228">
        <f t="shared" si="531"/>
        <v>32</v>
      </c>
      <c r="BK274" s="228">
        <f t="shared" si="305"/>
        <v>13</v>
      </c>
      <c r="BL274" s="228">
        <f t="shared" si="306"/>
        <v>0</v>
      </c>
      <c r="BM274" s="233" cm="1">
        <f t="array" ref="BM274">L274/IF($M274&gt;0, INDEX($AY$22:$BE$76, $M274+20, $AH274), 1)</f>
        <v>0</v>
      </c>
      <c r="BN274" s="229">
        <f t="shared" si="532"/>
        <v>0</v>
      </c>
      <c r="BO274" s="228">
        <v>35</v>
      </c>
      <c r="BP274" s="229">
        <f t="shared" si="533"/>
        <v>48</v>
      </c>
      <c r="BQ274" s="234">
        <f t="shared" si="534"/>
        <v>3.0748170731707316</v>
      </c>
      <c r="BR274" s="234" cm="1">
        <f t="array" ref="BR274">$BM274 * SUMPRODUCT(INDEX($AV$76:$AX$81,,$AI274),INDEX($AY$76:$BE$81,,$AH274), N($AU$76:$AU$81&gt;$AM274)) / BQ274 / 1000</f>
        <v>0</v>
      </c>
      <c r="BS274" s="231">
        <f t="shared" si="310"/>
        <v>30</v>
      </c>
      <c r="BT274" s="229">
        <f t="shared" si="535"/>
        <v>43</v>
      </c>
      <c r="BU274" s="234">
        <f t="shared" si="536"/>
        <v>3.5018750000000001</v>
      </c>
      <c r="BV274" s="234" cm="1">
        <f t="array" ref="BV274">$BM274 * IF($AH274&lt;=2,
SUMPRODUCT(INDEX($AV$71:$AX$75,,$AI274), INDEX($AY$71:$BE$75,,$AH274), 1 / ($BF$71:$BF$75*BU274 + (1-$BF$71:$BF$75)*BQ274), N($AU$71:$AU$75&gt;$AM274)),
SUMPRODUCT(INDEX($AV$66:$AX$75,,$AI274), INDEX($AY$66:$BE$75,,$AH274), 1 / ($BG$66:$BG$75*BU274 + (1-$BG$66:$BG$75)*BQ274), N($AU$66:$AU$75&gt;$AM274))
) / 1000</f>
        <v>0</v>
      </c>
      <c r="BW274" s="231">
        <f t="shared" si="313"/>
        <v>25</v>
      </c>
      <c r="BX274" s="229">
        <f t="shared" si="537"/>
        <v>38</v>
      </c>
      <c r="BY274" s="234">
        <f t="shared" si="538"/>
        <v>4.0666935483870965</v>
      </c>
      <c r="BZ274" s="234" cm="1">
        <f t="array" ref="BZ274">$BM274 * IF($AH274&lt;=2,
SUMPRODUCT(INDEX($AV$66:$AX$70,,$AI274), INDEX($AY$66:$BE$70,,$AH274), 1 / ($BF$66:$BF$70*BY274 + (1-$BF$66:$BF$70)*BU274), N($AU$66:$AU$70&gt;$AM274)),
SUMPRODUCT(INDEX($AV$56:$AX$65,,$AI274), INDEX($AY$56:$BE$65,,$AH274), 1 / ($BG$56:$BG$65*BY274 + (1-$BG$56:$BG$65)*BU274), N($AU$56:$AU$65&gt;$AM274))
) / 1000</f>
        <v>0</v>
      </c>
      <c r="CA274" s="231">
        <f t="shared" si="316"/>
        <v>20</v>
      </c>
      <c r="CB274" s="229">
        <f t="shared" si="539"/>
        <v>33</v>
      </c>
      <c r="CC274" s="234">
        <f t="shared" si="540"/>
        <v>4.8487499999999999</v>
      </c>
      <c r="CD274" s="234" cm="1">
        <f t="array" ref="CD274">$BM274 * IF($AH274&lt;=2,
SUMPRODUCT(INDEX($AV$61:$AX$65,,$AI274), INDEX($AY$61:$BE$65,,$AH274), 1 / ($BF$61:$BF$65*CC274 + (1-$BF$61:$BF$65)*BY274), N($AU$61:$AU$65&gt;$AM274)),
SUMPRODUCT(INDEX($AV$46:$AX$55,,$AI274), INDEX($AY$46:$BE$55,,$AH274), 1 / ($BG$46:$BG$55*CC274 + (1-$BG$46:$BG$55)*BY274), N($AU$46:$AU$55&gt;$AM274))
) / 1000</f>
        <v>0</v>
      </c>
      <c r="CE274" s="234" cm="1">
        <f t="array" ref="CE274">$BM274 * IF($AH274&lt;=2,
SUMPRODUCT(INDEX($AV$22:$AX$60,,$AI274), INDEX($AY$22:$BE$60,,$AH274), 1 / ($BF$22:$BF$60*CC274), N($AU$22:$AU$60&gt;$AM274)),
SUMPRODUCT(INDEX($AV$22:$AX$45,,$AI274), INDEX($AY$22:$BE$45,,$AH274), 1 / ($BG$22:$BG$45*CC274), N($AU$22:$AU$45&gt;$AM274))
) / 1000</f>
        <v>0</v>
      </c>
      <c r="CF274" s="229">
        <f t="shared" si="541"/>
        <v>0</v>
      </c>
      <c r="CG274" s="246"/>
      <c r="CH274" s="229">
        <f t="shared" si="542"/>
        <v>0</v>
      </c>
      <c r="CI274" s="228">
        <v>35</v>
      </c>
      <c r="CJ274" s="229">
        <f t="shared" si="543"/>
        <v>48</v>
      </c>
      <c r="CK274" s="234">
        <f t="shared" si="544"/>
        <v>3.0748170731707316</v>
      </c>
      <c r="CL274" s="234" cm="1">
        <f t="array" ref="CL274">$BM274 * SUMPRODUCT(INDEX($AV$76:$AX$81,,$AI274),INDEX($AY$76:$BE$81,,$AH274), N($AU$76:$AU$81&gt;$AM274)) / CK274 / 1000</f>
        <v>0</v>
      </c>
      <c r="CM274" s="231">
        <f t="shared" si="323"/>
        <v>30</v>
      </c>
      <c r="CN274" s="229">
        <f t="shared" si="545"/>
        <v>43</v>
      </c>
      <c r="CO274" s="234">
        <f t="shared" si="546"/>
        <v>3.5018750000000001</v>
      </c>
      <c r="CP274" s="234" cm="1">
        <f t="array" ref="CP274">$BM274 * IF($AH274&lt;=2,
SUMPRODUCT(INDEX($AV$71:$AX$75,,$AI274), INDEX($AY$71:$BE$75,,$AH274), 1 / ($BF$71:$BF$75*CO274 + (1-$BF$71:$BF$75)*CK274), N($AU$71:$AU$75&gt;$AM274)),
SUMPRODUCT(INDEX($AV$66:$AX$75,,$AI274), INDEX($AY$66:$BE$75,,$AH274), 1 / ($BG$66:$BG$75*CO274 + (1-$BG$66:$BG$75)*CK274), N($AU$66:$AU$75&gt;$AM274))
) / 1000</f>
        <v>0</v>
      </c>
      <c r="CQ274" s="231">
        <f t="shared" si="326"/>
        <v>25</v>
      </c>
      <c r="CR274" s="229">
        <f t="shared" si="547"/>
        <v>38</v>
      </c>
      <c r="CS274" s="234">
        <f t="shared" si="548"/>
        <v>4.0666935483870965</v>
      </c>
      <c r="CT274" s="234" cm="1">
        <f t="array" ref="CT274">$BM274 * IF($AH274&lt;=2,
SUMPRODUCT(INDEX($AV$66:$AX$70,,$AI274), INDEX($AY$66:$BE$70,,$AH274), 1 / ($BF$66:$BF$70*CS274 + (1-$BF$66:$BF$70)*CO274), N($AU$66:$AU$70&gt;$AM274)),
SUMPRODUCT(INDEX($AV$56:$AX$65,,$AI274), INDEX($AY$56:$BE$65,,$AH274), 1 / ($BG$56:$BG$65*CS274 + (1-$BG$56:$BG$65)*CO274), N($AU$56:$AU$65&gt;$AM274))
) / 1000</f>
        <v>0</v>
      </c>
      <c r="CU274" s="231">
        <f t="shared" si="329"/>
        <v>20</v>
      </c>
      <c r="CV274" s="229">
        <f t="shared" si="549"/>
        <v>33</v>
      </c>
      <c r="CW274" s="234">
        <f t="shared" si="550"/>
        <v>4.8487499999999999</v>
      </c>
      <c r="CX274" s="234" cm="1">
        <f t="array" ref="CX274">$BM274 * IF($AH274&lt;=2,
SUMPRODUCT(INDEX($AV$61:$AX$65,,$AI274), INDEX($AY$61:$BE$65,,$AH274), 1 / ($BF$61:$BF$65*CW274 + (1-$BF$61:$BF$65)*CS274), N($AU$61:$AU$65&gt;$AM274)),
SUMPRODUCT(INDEX($AV$46:$AX$55,,$AI274), INDEX($AY$46:$BE$55,,$AH274), 1 / ($BG$46:$BG$55*CW274 + (1-$BG$46:$BG$55)*CS274), N($AU$46:$AU$55&gt;$AM274))
) / 1000</f>
        <v>0</v>
      </c>
      <c r="CY274" s="234" cm="1">
        <f t="array" ref="CY274">$BM274 * IF($AH274&lt;=2,
SUMPRODUCT(INDEX($AV$22:$AX$60,,$AI274), INDEX($AY$22:$BE$60,,$AH274), 1 / ($BF$22:$BF$60*CW274), N($AU$22:$AU$60&gt;$AM274)),
SUMPRODUCT(INDEX($AV$22:$AX$45,,$AI274), INDEX($AY$22:$BE$45,,$AH274), 1 / ($BG$22:$BG$45*CW274), N($AU$22:$AU$45&gt;$AM274))
) / 1000</f>
        <v>0</v>
      </c>
      <c r="CZ274" s="229">
        <f t="shared" si="551"/>
        <v>0</v>
      </c>
      <c r="DA274" s="246"/>
    </row>
    <row r="275" spans="1:105" s="75" customFormat="1" ht="14.25" customHeight="1" x14ac:dyDescent="0.2">
      <c r="A275" s="230" t="b">
        <f t="shared" si="291"/>
        <v>0</v>
      </c>
      <c r="B275" s="253">
        <v>254</v>
      </c>
      <c r="C275" s="266"/>
      <c r="D275" s="266"/>
      <c r="E275" s="254"/>
      <c r="F275" s="255" t="str">
        <f>IF(ISBLANK(E275), "", VLOOKUP(E275, Z!$A$2:$C$4127, 3, FALSE))</f>
        <v/>
      </c>
      <c r="G275" s="256"/>
      <c r="H275" s="256"/>
      <c r="I275" s="256"/>
      <c r="J275" s="257"/>
      <c r="K275" s="258"/>
      <c r="L275" s="267"/>
      <c r="M275" s="268"/>
      <c r="N275" s="259" t="str" cm="1">
        <f t="array" ref="N275">IF($L275&gt;0, INDEX(Clean,1+AK275,$D$1), "")</f>
        <v/>
      </c>
      <c r="O275" s="260"/>
      <c r="P275" s="260"/>
      <c r="Q275" s="261"/>
      <c r="R275" s="264">
        <f t="shared" si="527"/>
        <v>0</v>
      </c>
      <c r="S275" s="259" t="str" cm="1">
        <f t="array" ref="S275">IF($L275&gt;0, INDEX(Clean,1+AL275,$D$1), "")</f>
        <v/>
      </c>
      <c r="T275" s="260"/>
      <c r="U275" s="260"/>
      <c r="V275" s="261"/>
      <c r="W275" s="267"/>
      <c r="X275" s="267"/>
      <c r="Y275" s="257"/>
      <c r="Z275" s="264">
        <f t="shared" si="528"/>
        <v>0</v>
      </c>
      <c r="AA275" s="269"/>
      <c r="AB275" s="266"/>
      <c r="AC275" s="254"/>
      <c r="AD275" s="255" t="str">
        <f>IF(ISBLANK(AC275), "", VLOOKUP(AC275, Z!$A$2:$C$4127, 3, FALSE))</f>
        <v/>
      </c>
      <c r="AE275" s="270"/>
      <c r="AF275" s="265">
        <f t="shared" si="529"/>
        <v>0</v>
      </c>
      <c r="AG275" s="246"/>
      <c r="AH275" s="228">
        <f t="shared" si="552"/>
        <v>1</v>
      </c>
      <c r="AI275" s="228">
        <f t="shared" si="553"/>
        <v>1</v>
      </c>
      <c r="AJ275" s="228">
        <f t="shared" si="554"/>
        <v>0</v>
      </c>
      <c r="AK275" s="228">
        <v>0</v>
      </c>
      <c r="AL275" s="228">
        <v>0</v>
      </c>
      <c r="AM275" s="228">
        <f t="shared" si="530"/>
        <v>-100</v>
      </c>
      <c r="AN275" s="228" cm="1">
        <f t="array" ref="AN275">IF(ISBLANK(G275), 1, IFERROR(MATCH(G275, INDEX(Kat,,1), 0), IFERROR(MATCH(Kat, INDEX(Use,,2), 0), MATCH(Kat, INDEX(Use,,3), 0))))</f>
        <v>1</v>
      </c>
      <c r="AO275" s="246"/>
      <c r="AP275" s="228" cm="1">
        <f t="array" ref="AP275">IF(W275&gt;0, INDEX(Kat, AN275,4), 0)</f>
        <v>0</v>
      </c>
      <c r="AQ275" s="228">
        <f t="shared" si="555"/>
        <v>0</v>
      </c>
      <c r="AR275" s="228" cm="1">
        <f t="array" ref="AR275">IF(X275&gt;0, INDEX(Kat, $AN275, 4+AQ275), 0)</f>
        <v>0</v>
      </c>
      <c r="AS275" s="228" cm="1">
        <f t="array" ref="AS275">IF(X275&gt;0, INDEX(Kat, $AN275, 9+AQ275), 0)</f>
        <v>0</v>
      </c>
      <c r="AT275" s="246"/>
      <c r="AU275" s="262"/>
      <c r="AV275" s="262"/>
      <c r="AW275" s="263"/>
      <c r="AX275" s="263"/>
      <c r="AY275" s="263"/>
      <c r="AZ275" s="263"/>
      <c r="BA275" s="263"/>
      <c r="BB275" s="263"/>
      <c r="BC275" s="263"/>
      <c r="BD275" s="263"/>
      <c r="BE275" s="263"/>
      <c r="BF275" s="263"/>
      <c r="BG275" s="263"/>
      <c r="BH275" s="246"/>
      <c r="BI275" s="228" cm="1">
        <f t="array" ref="BI275">INDEX(Use, $AH275, 4)</f>
        <v>7</v>
      </c>
      <c r="BJ275" s="228">
        <f t="shared" si="531"/>
        <v>32</v>
      </c>
      <c r="BK275" s="228">
        <f t="shared" si="305"/>
        <v>13</v>
      </c>
      <c r="BL275" s="228">
        <f t="shared" si="306"/>
        <v>0</v>
      </c>
      <c r="BM275" s="233" cm="1">
        <f t="array" ref="BM275">L275/IF($M275&gt;0, INDEX($AY$22:$BE$76, $M275+20, $AH275), 1)</f>
        <v>0</v>
      </c>
      <c r="BN275" s="229">
        <f t="shared" si="532"/>
        <v>0</v>
      </c>
      <c r="BO275" s="228">
        <v>35</v>
      </c>
      <c r="BP275" s="229">
        <f t="shared" si="533"/>
        <v>48</v>
      </c>
      <c r="BQ275" s="234">
        <f t="shared" si="534"/>
        <v>3.0748170731707316</v>
      </c>
      <c r="BR275" s="234" cm="1">
        <f t="array" ref="BR275">$BM275 * SUMPRODUCT(INDEX($AV$76:$AX$81,,$AI275),INDEX($AY$76:$BE$81,,$AH275), N($AU$76:$AU$81&gt;$AM275)) / BQ275 / 1000</f>
        <v>0</v>
      </c>
      <c r="BS275" s="231">
        <f t="shared" si="310"/>
        <v>30</v>
      </c>
      <c r="BT275" s="229">
        <f t="shared" si="535"/>
        <v>43</v>
      </c>
      <c r="BU275" s="234">
        <f t="shared" si="536"/>
        <v>3.5018750000000001</v>
      </c>
      <c r="BV275" s="234" cm="1">
        <f t="array" ref="BV275">$BM275 * IF($AH275&lt;=2,
SUMPRODUCT(INDEX($AV$71:$AX$75,,$AI275), INDEX($AY$71:$BE$75,,$AH275), 1 / ($BF$71:$BF$75*BU275 + (1-$BF$71:$BF$75)*BQ275), N($AU$71:$AU$75&gt;$AM275)),
SUMPRODUCT(INDEX($AV$66:$AX$75,,$AI275), INDEX($AY$66:$BE$75,,$AH275), 1 / ($BG$66:$BG$75*BU275 + (1-$BG$66:$BG$75)*BQ275), N($AU$66:$AU$75&gt;$AM275))
) / 1000</f>
        <v>0</v>
      </c>
      <c r="BW275" s="231">
        <f t="shared" si="313"/>
        <v>25</v>
      </c>
      <c r="BX275" s="229">
        <f t="shared" si="537"/>
        <v>38</v>
      </c>
      <c r="BY275" s="234">
        <f t="shared" si="538"/>
        <v>4.0666935483870965</v>
      </c>
      <c r="BZ275" s="234" cm="1">
        <f t="array" ref="BZ275">$BM275 * IF($AH275&lt;=2,
SUMPRODUCT(INDEX($AV$66:$AX$70,,$AI275), INDEX($AY$66:$BE$70,,$AH275), 1 / ($BF$66:$BF$70*BY275 + (1-$BF$66:$BF$70)*BU275), N($AU$66:$AU$70&gt;$AM275)),
SUMPRODUCT(INDEX($AV$56:$AX$65,,$AI275), INDEX($AY$56:$BE$65,,$AH275), 1 / ($BG$56:$BG$65*BY275 + (1-$BG$56:$BG$65)*BU275), N($AU$56:$AU$65&gt;$AM275))
) / 1000</f>
        <v>0</v>
      </c>
      <c r="CA275" s="231">
        <f t="shared" si="316"/>
        <v>20</v>
      </c>
      <c r="CB275" s="229">
        <f t="shared" si="539"/>
        <v>33</v>
      </c>
      <c r="CC275" s="234">
        <f t="shared" si="540"/>
        <v>4.8487499999999999</v>
      </c>
      <c r="CD275" s="234" cm="1">
        <f t="array" ref="CD275">$BM275 * IF($AH275&lt;=2,
SUMPRODUCT(INDEX($AV$61:$AX$65,,$AI275), INDEX($AY$61:$BE$65,,$AH275), 1 / ($BF$61:$BF$65*CC275 + (1-$BF$61:$BF$65)*BY275), N($AU$61:$AU$65&gt;$AM275)),
SUMPRODUCT(INDEX($AV$46:$AX$55,,$AI275), INDEX($AY$46:$BE$55,,$AH275), 1 / ($BG$46:$BG$55*CC275 + (1-$BG$46:$BG$55)*BY275), N($AU$46:$AU$55&gt;$AM275))
) / 1000</f>
        <v>0</v>
      </c>
      <c r="CE275" s="234" cm="1">
        <f t="array" ref="CE275">$BM275 * IF($AH275&lt;=2,
SUMPRODUCT(INDEX($AV$22:$AX$60,,$AI275), INDEX($AY$22:$BE$60,,$AH275), 1 / ($BF$22:$BF$60*CC275), N($AU$22:$AU$60&gt;$AM275)),
SUMPRODUCT(INDEX($AV$22:$AX$45,,$AI275), INDEX($AY$22:$BE$45,,$AH275), 1 / ($BG$22:$BG$45*CC275), N($AU$22:$AU$45&gt;$AM275))
) / 1000</f>
        <v>0</v>
      </c>
      <c r="CF275" s="229">
        <f t="shared" si="541"/>
        <v>0</v>
      </c>
      <c r="CG275" s="246"/>
      <c r="CH275" s="229">
        <f t="shared" si="542"/>
        <v>0</v>
      </c>
      <c r="CI275" s="228">
        <v>35</v>
      </c>
      <c r="CJ275" s="229">
        <f t="shared" si="543"/>
        <v>48</v>
      </c>
      <c r="CK275" s="234">
        <f t="shared" si="544"/>
        <v>3.0748170731707316</v>
      </c>
      <c r="CL275" s="234" cm="1">
        <f t="array" ref="CL275">$BM275 * SUMPRODUCT(INDEX($AV$76:$AX$81,,$AI275),INDEX($AY$76:$BE$81,,$AH275), N($AU$76:$AU$81&gt;$AM275)) / CK275 / 1000</f>
        <v>0</v>
      </c>
      <c r="CM275" s="231">
        <f t="shared" si="323"/>
        <v>30</v>
      </c>
      <c r="CN275" s="229">
        <f t="shared" si="545"/>
        <v>43</v>
      </c>
      <c r="CO275" s="234">
        <f t="shared" si="546"/>
        <v>3.5018750000000001</v>
      </c>
      <c r="CP275" s="234" cm="1">
        <f t="array" ref="CP275">$BM275 * IF($AH275&lt;=2,
SUMPRODUCT(INDEX($AV$71:$AX$75,,$AI275), INDEX($AY$71:$BE$75,,$AH275), 1 / ($BF$71:$BF$75*CO275 + (1-$BF$71:$BF$75)*CK275), N($AU$71:$AU$75&gt;$AM275)),
SUMPRODUCT(INDEX($AV$66:$AX$75,,$AI275), INDEX($AY$66:$BE$75,,$AH275), 1 / ($BG$66:$BG$75*CO275 + (1-$BG$66:$BG$75)*CK275), N($AU$66:$AU$75&gt;$AM275))
) / 1000</f>
        <v>0</v>
      </c>
      <c r="CQ275" s="231">
        <f t="shared" si="326"/>
        <v>25</v>
      </c>
      <c r="CR275" s="229">
        <f t="shared" si="547"/>
        <v>38</v>
      </c>
      <c r="CS275" s="234">
        <f t="shared" si="548"/>
        <v>4.0666935483870965</v>
      </c>
      <c r="CT275" s="234" cm="1">
        <f t="array" ref="CT275">$BM275 * IF($AH275&lt;=2,
SUMPRODUCT(INDEX($AV$66:$AX$70,,$AI275), INDEX($AY$66:$BE$70,,$AH275), 1 / ($BF$66:$BF$70*CS275 + (1-$BF$66:$BF$70)*CO275), N($AU$66:$AU$70&gt;$AM275)),
SUMPRODUCT(INDEX($AV$56:$AX$65,,$AI275), INDEX($AY$56:$BE$65,,$AH275), 1 / ($BG$56:$BG$65*CS275 + (1-$BG$56:$BG$65)*CO275), N($AU$56:$AU$65&gt;$AM275))
) / 1000</f>
        <v>0</v>
      </c>
      <c r="CU275" s="231">
        <f t="shared" si="329"/>
        <v>20</v>
      </c>
      <c r="CV275" s="229">
        <f t="shared" si="549"/>
        <v>33</v>
      </c>
      <c r="CW275" s="234">
        <f t="shared" si="550"/>
        <v>4.8487499999999999</v>
      </c>
      <c r="CX275" s="234" cm="1">
        <f t="array" ref="CX275">$BM275 * IF($AH275&lt;=2,
SUMPRODUCT(INDEX($AV$61:$AX$65,,$AI275), INDEX($AY$61:$BE$65,,$AH275), 1 / ($BF$61:$BF$65*CW275 + (1-$BF$61:$BF$65)*CS275), N($AU$61:$AU$65&gt;$AM275)),
SUMPRODUCT(INDEX($AV$46:$AX$55,,$AI275), INDEX($AY$46:$BE$55,,$AH275), 1 / ($BG$46:$BG$55*CW275 + (1-$BG$46:$BG$55)*CS275), N($AU$46:$AU$55&gt;$AM275))
) / 1000</f>
        <v>0</v>
      </c>
      <c r="CY275" s="234" cm="1">
        <f t="array" ref="CY275">$BM275 * IF($AH275&lt;=2,
SUMPRODUCT(INDEX($AV$22:$AX$60,,$AI275), INDEX($AY$22:$BE$60,,$AH275), 1 / ($BF$22:$BF$60*CW275), N($AU$22:$AU$60&gt;$AM275)),
SUMPRODUCT(INDEX($AV$22:$AX$45,,$AI275), INDEX($AY$22:$BE$45,,$AH275), 1 / ($BG$22:$BG$45*CW275), N($AU$22:$AU$45&gt;$AM275))
) / 1000</f>
        <v>0</v>
      </c>
      <c r="CZ275" s="229">
        <f t="shared" si="551"/>
        <v>0</v>
      </c>
      <c r="DA275" s="246"/>
    </row>
    <row r="276" spans="1:105" s="75" customFormat="1" ht="14.25" customHeight="1" x14ac:dyDescent="0.2">
      <c r="A276" s="230" t="b">
        <f t="shared" si="291"/>
        <v>0</v>
      </c>
      <c r="B276" s="253">
        <v>255</v>
      </c>
      <c r="C276" s="266"/>
      <c r="D276" s="266"/>
      <c r="E276" s="254"/>
      <c r="F276" s="255" t="str">
        <f>IF(ISBLANK(E276), "", VLOOKUP(E276, Z!$A$2:$C$4127, 3, FALSE))</f>
        <v/>
      </c>
      <c r="G276" s="256"/>
      <c r="H276" s="256"/>
      <c r="I276" s="256"/>
      <c r="J276" s="257"/>
      <c r="K276" s="258"/>
      <c r="L276" s="267"/>
      <c r="M276" s="268"/>
      <c r="N276" s="259" t="str" cm="1">
        <f t="array" ref="N276">IF($L276&gt;0, INDEX(Clean,1+AK276,$D$1), "")</f>
        <v/>
      </c>
      <c r="O276" s="260"/>
      <c r="P276" s="260"/>
      <c r="Q276" s="261"/>
      <c r="R276" s="264">
        <f t="shared" si="527"/>
        <v>0</v>
      </c>
      <c r="S276" s="259" t="str" cm="1">
        <f t="array" ref="S276">IF($L276&gt;0, INDEX(Clean,1+AL276,$D$1), "")</f>
        <v/>
      </c>
      <c r="T276" s="260"/>
      <c r="U276" s="260"/>
      <c r="V276" s="261"/>
      <c r="W276" s="267"/>
      <c r="X276" s="267"/>
      <c r="Y276" s="257"/>
      <c r="Z276" s="264">
        <f t="shared" si="528"/>
        <v>0</v>
      </c>
      <c r="AA276" s="269"/>
      <c r="AB276" s="266"/>
      <c r="AC276" s="254"/>
      <c r="AD276" s="255" t="str">
        <f>IF(ISBLANK(AC276), "", VLOOKUP(AC276, Z!$A$2:$C$4127, 3, FALSE))</f>
        <v/>
      </c>
      <c r="AE276" s="270"/>
      <c r="AF276" s="265">
        <f t="shared" si="529"/>
        <v>0</v>
      </c>
      <c r="AG276" s="246"/>
      <c r="AH276" s="228">
        <f t="shared" si="552"/>
        <v>1</v>
      </c>
      <c r="AI276" s="228">
        <f t="shared" si="553"/>
        <v>1</v>
      </c>
      <c r="AJ276" s="228">
        <f t="shared" si="554"/>
        <v>0</v>
      </c>
      <c r="AK276" s="228">
        <v>0</v>
      </c>
      <c r="AL276" s="228">
        <v>0</v>
      </c>
      <c r="AM276" s="228">
        <f t="shared" si="530"/>
        <v>-100</v>
      </c>
      <c r="AN276" s="228" cm="1">
        <f t="array" ref="AN276">IF(ISBLANK(G276), 1, IFERROR(MATCH(G276, INDEX(Kat,,1), 0), IFERROR(MATCH(Kat, INDEX(Use,,2), 0), MATCH(Kat, INDEX(Use,,3), 0))))</f>
        <v>1</v>
      </c>
      <c r="AO276" s="246"/>
      <c r="AP276" s="228" cm="1">
        <f t="array" ref="AP276">IF(W276&gt;0, INDEX(Kat, AN276,4), 0)</f>
        <v>0</v>
      </c>
      <c r="AQ276" s="228">
        <f t="shared" si="555"/>
        <v>0</v>
      </c>
      <c r="AR276" s="228" cm="1">
        <f t="array" ref="AR276">IF(X276&gt;0, INDEX(Kat, $AN276, 4+AQ276), 0)</f>
        <v>0</v>
      </c>
      <c r="AS276" s="228" cm="1">
        <f t="array" ref="AS276">IF(X276&gt;0, INDEX(Kat, $AN276, 9+AQ276), 0)</f>
        <v>0</v>
      </c>
      <c r="AT276" s="246"/>
      <c r="AU276" s="262"/>
      <c r="AV276" s="262"/>
      <c r="AW276" s="263"/>
      <c r="AX276" s="263"/>
      <c r="AY276" s="263"/>
      <c r="AZ276" s="263"/>
      <c r="BA276" s="263"/>
      <c r="BB276" s="263"/>
      <c r="BC276" s="263"/>
      <c r="BD276" s="263"/>
      <c r="BE276" s="263"/>
      <c r="BF276" s="263"/>
      <c r="BG276" s="263"/>
      <c r="BH276" s="246"/>
      <c r="BI276" s="228" cm="1">
        <f t="array" ref="BI276">INDEX(Use, $AH276, 4)</f>
        <v>7</v>
      </c>
      <c r="BJ276" s="228">
        <f t="shared" si="531"/>
        <v>32</v>
      </c>
      <c r="BK276" s="228">
        <f t="shared" si="305"/>
        <v>13</v>
      </c>
      <c r="BL276" s="228">
        <f t="shared" si="306"/>
        <v>0</v>
      </c>
      <c r="BM276" s="233" cm="1">
        <f t="array" ref="BM276">L276/IF($M276&gt;0, INDEX($AY$22:$BE$76, $M276+20, $AH276), 1)</f>
        <v>0</v>
      </c>
      <c r="BN276" s="229">
        <f t="shared" si="532"/>
        <v>0</v>
      </c>
      <c r="BO276" s="228">
        <v>35</v>
      </c>
      <c r="BP276" s="229">
        <f t="shared" si="533"/>
        <v>48</v>
      </c>
      <c r="BQ276" s="234">
        <f t="shared" si="534"/>
        <v>3.0748170731707316</v>
      </c>
      <c r="BR276" s="234" cm="1">
        <f t="array" ref="BR276">$BM276 * SUMPRODUCT(INDEX($AV$76:$AX$81,,$AI276),INDEX($AY$76:$BE$81,,$AH276), N($AU$76:$AU$81&gt;$AM276)) / BQ276 / 1000</f>
        <v>0</v>
      </c>
      <c r="BS276" s="231">
        <f t="shared" si="310"/>
        <v>30</v>
      </c>
      <c r="BT276" s="229">
        <f t="shared" si="535"/>
        <v>43</v>
      </c>
      <c r="BU276" s="234">
        <f t="shared" si="536"/>
        <v>3.5018750000000001</v>
      </c>
      <c r="BV276" s="234" cm="1">
        <f t="array" ref="BV276">$BM276 * IF($AH276&lt;=2,
SUMPRODUCT(INDEX($AV$71:$AX$75,,$AI276), INDEX($AY$71:$BE$75,,$AH276), 1 / ($BF$71:$BF$75*BU276 + (1-$BF$71:$BF$75)*BQ276), N($AU$71:$AU$75&gt;$AM276)),
SUMPRODUCT(INDEX($AV$66:$AX$75,,$AI276), INDEX($AY$66:$BE$75,,$AH276), 1 / ($BG$66:$BG$75*BU276 + (1-$BG$66:$BG$75)*BQ276), N($AU$66:$AU$75&gt;$AM276))
) / 1000</f>
        <v>0</v>
      </c>
      <c r="BW276" s="231">
        <f t="shared" si="313"/>
        <v>25</v>
      </c>
      <c r="BX276" s="229">
        <f t="shared" si="537"/>
        <v>38</v>
      </c>
      <c r="BY276" s="234">
        <f t="shared" si="538"/>
        <v>4.0666935483870965</v>
      </c>
      <c r="BZ276" s="234" cm="1">
        <f t="array" ref="BZ276">$BM276 * IF($AH276&lt;=2,
SUMPRODUCT(INDEX($AV$66:$AX$70,,$AI276), INDEX($AY$66:$BE$70,,$AH276), 1 / ($BF$66:$BF$70*BY276 + (1-$BF$66:$BF$70)*BU276), N($AU$66:$AU$70&gt;$AM276)),
SUMPRODUCT(INDEX($AV$56:$AX$65,,$AI276), INDEX($AY$56:$BE$65,,$AH276), 1 / ($BG$56:$BG$65*BY276 + (1-$BG$56:$BG$65)*BU276), N($AU$56:$AU$65&gt;$AM276))
) / 1000</f>
        <v>0</v>
      </c>
      <c r="CA276" s="231">
        <f t="shared" si="316"/>
        <v>20</v>
      </c>
      <c r="CB276" s="229">
        <f t="shared" si="539"/>
        <v>33</v>
      </c>
      <c r="CC276" s="234">
        <f t="shared" si="540"/>
        <v>4.8487499999999999</v>
      </c>
      <c r="CD276" s="234" cm="1">
        <f t="array" ref="CD276">$BM276 * IF($AH276&lt;=2,
SUMPRODUCT(INDEX($AV$61:$AX$65,,$AI276), INDEX($AY$61:$BE$65,,$AH276), 1 / ($BF$61:$BF$65*CC276 + (1-$BF$61:$BF$65)*BY276), N($AU$61:$AU$65&gt;$AM276)),
SUMPRODUCT(INDEX($AV$46:$AX$55,,$AI276), INDEX($AY$46:$BE$55,,$AH276), 1 / ($BG$46:$BG$55*CC276 + (1-$BG$46:$BG$55)*BY276), N($AU$46:$AU$55&gt;$AM276))
) / 1000</f>
        <v>0</v>
      </c>
      <c r="CE276" s="234" cm="1">
        <f t="array" ref="CE276">$BM276 * IF($AH276&lt;=2,
SUMPRODUCT(INDEX($AV$22:$AX$60,,$AI276), INDEX($AY$22:$BE$60,,$AH276), 1 / ($BF$22:$BF$60*CC276), N($AU$22:$AU$60&gt;$AM276)),
SUMPRODUCT(INDEX($AV$22:$AX$45,,$AI276), INDEX($AY$22:$BE$45,,$AH276), 1 / ($BG$22:$BG$45*CC276), N($AU$22:$AU$45&gt;$AM276))
) / 1000</f>
        <v>0</v>
      </c>
      <c r="CF276" s="229">
        <f t="shared" si="541"/>
        <v>0</v>
      </c>
      <c r="CG276" s="246"/>
      <c r="CH276" s="229">
        <f t="shared" si="542"/>
        <v>0</v>
      </c>
      <c r="CI276" s="228">
        <v>35</v>
      </c>
      <c r="CJ276" s="229">
        <f t="shared" si="543"/>
        <v>48</v>
      </c>
      <c r="CK276" s="234">
        <f t="shared" si="544"/>
        <v>3.0748170731707316</v>
      </c>
      <c r="CL276" s="234" cm="1">
        <f t="array" ref="CL276">$BM276 * SUMPRODUCT(INDEX($AV$76:$AX$81,,$AI276),INDEX($AY$76:$BE$81,,$AH276), N($AU$76:$AU$81&gt;$AM276)) / CK276 / 1000</f>
        <v>0</v>
      </c>
      <c r="CM276" s="231">
        <f t="shared" si="323"/>
        <v>30</v>
      </c>
      <c r="CN276" s="229">
        <f t="shared" si="545"/>
        <v>43</v>
      </c>
      <c r="CO276" s="234">
        <f t="shared" si="546"/>
        <v>3.5018750000000001</v>
      </c>
      <c r="CP276" s="234" cm="1">
        <f t="array" ref="CP276">$BM276 * IF($AH276&lt;=2,
SUMPRODUCT(INDEX($AV$71:$AX$75,,$AI276), INDEX($AY$71:$BE$75,,$AH276), 1 / ($BF$71:$BF$75*CO276 + (1-$BF$71:$BF$75)*CK276), N($AU$71:$AU$75&gt;$AM276)),
SUMPRODUCT(INDEX($AV$66:$AX$75,,$AI276), INDEX($AY$66:$BE$75,,$AH276), 1 / ($BG$66:$BG$75*CO276 + (1-$BG$66:$BG$75)*CK276), N($AU$66:$AU$75&gt;$AM276))
) / 1000</f>
        <v>0</v>
      </c>
      <c r="CQ276" s="231">
        <f t="shared" si="326"/>
        <v>25</v>
      </c>
      <c r="CR276" s="229">
        <f t="shared" si="547"/>
        <v>38</v>
      </c>
      <c r="CS276" s="234">
        <f t="shared" si="548"/>
        <v>4.0666935483870965</v>
      </c>
      <c r="CT276" s="234" cm="1">
        <f t="array" ref="CT276">$BM276 * IF($AH276&lt;=2,
SUMPRODUCT(INDEX($AV$66:$AX$70,,$AI276), INDEX($AY$66:$BE$70,,$AH276), 1 / ($BF$66:$BF$70*CS276 + (1-$BF$66:$BF$70)*CO276), N($AU$66:$AU$70&gt;$AM276)),
SUMPRODUCT(INDEX($AV$56:$AX$65,,$AI276), INDEX($AY$56:$BE$65,,$AH276), 1 / ($BG$56:$BG$65*CS276 + (1-$BG$56:$BG$65)*CO276), N($AU$56:$AU$65&gt;$AM276))
) / 1000</f>
        <v>0</v>
      </c>
      <c r="CU276" s="231">
        <f t="shared" si="329"/>
        <v>20</v>
      </c>
      <c r="CV276" s="229">
        <f t="shared" si="549"/>
        <v>33</v>
      </c>
      <c r="CW276" s="234">
        <f t="shared" si="550"/>
        <v>4.8487499999999999</v>
      </c>
      <c r="CX276" s="234" cm="1">
        <f t="array" ref="CX276">$BM276 * IF($AH276&lt;=2,
SUMPRODUCT(INDEX($AV$61:$AX$65,,$AI276), INDEX($AY$61:$BE$65,,$AH276), 1 / ($BF$61:$BF$65*CW276 + (1-$BF$61:$BF$65)*CS276), N($AU$61:$AU$65&gt;$AM276)),
SUMPRODUCT(INDEX($AV$46:$AX$55,,$AI276), INDEX($AY$46:$BE$55,,$AH276), 1 / ($BG$46:$BG$55*CW276 + (1-$BG$46:$BG$55)*CS276), N($AU$46:$AU$55&gt;$AM276))
) / 1000</f>
        <v>0</v>
      </c>
      <c r="CY276" s="234" cm="1">
        <f t="array" ref="CY276">$BM276 * IF($AH276&lt;=2,
SUMPRODUCT(INDEX($AV$22:$AX$60,,$AI276), INDEX($AY$22:$BE$60,,$AH276), 1 / ($BF$22:$BF$60*CW276), N($AU$22:$AU$60&gt;$AM276)),
SUMPRODUCT(INDEX($AV$22:$AX$45,,$AI276), INDEX($AY$22:$BE$45,,$AH276), 1 / ($BG$22:$BG$45*CW276), N($AU$22:$AU$45&gt;$AM276))
) / 1000</f>
        <v>0</v>
      </c>
      <c r="CZ276" s="229">
        <f t="shared" si="551"/>
        <v>0</v>
      </c>
      <c r="DA276" s="246"/>
    </row>
    <row r="277" spans="1:105" s="75" customFormat="1" ht="14.25" customHeight="1" x14ac:dyDescent="0.2">
      <c r="A277" s="230" t="b">
        <f t="shared" si="291"/>
        <v>0</v>
      </c>
      <c r="B277" s="253">
        <v>256</v>
      </c>
      <c r="C277" s="266"/>
      <c r="D277" s="266"/>
      <c r="E277" s="254"/>
      <c r="F277" s="255" t="str">
        <f>IF(ISBLANK(E277), "", VLOOKUP(E277, Z!$A$2:$C$4127, 3, FALSE))</f>
        <v/>
      </c>
      <c r="G277" s="256"/>
      <c r="H277" s="256"/>
      <c r="I277" s="256"/>
      <c r="J277" s="257"/>
      <c r="K277" s="258"/>
      <c r="L277" s="267"/>
      <c r="M277" s="268"/>
      <c r="N277" s="259" t="str" cm="1">
        <f t="array" ref="N277">IF($L277&gt;0, INDEX(Clean,1+AK277,$D$1), "")</f>
        <v/>
      </c>
      <c r="O277" s="260"/>
      <c r="P277" s="260"/>
      <c r="Q277" s="261"/>
      <c r="R277" s="264">
        <f t="shared" si="527"/>
        <v>0</v>
      </c>
      <c r="S277" s="259" t="str" cm="1">
        <f t="array" ref="S277">IF($L277&gt;0, INDEX(Clean,1+AL277,$D$1), "")</f>
        <v/>
      </c>
      <c r="T277" s="260"/>
      <c r="U277" s="260"/>
      <c r="V277" s="261"/>
      <c r="W277" s="267"/>
      <c r="X277" s="267"/>
      <c r="Y277" s="257"/>
      <c r="Z277" s="264">
        <f t="shared" si="528"/>
        <v>0</v>
      </c>
      <c r="AA277" s="269"/>
      <c r="AB277" s="266"/>
      <c r="AC277" s="254"/>
      <c r="AD277" s="255" t="str">
        <f>IF(ISBLANK(AC277), "", VLOOKUP(AC277, Z!$A$2:$C$4127, 3, FALSE))</f>
        <v/>
      </c>
      <c r="AE277" s="270"/>
      <c r="AF277" s="265">
        <f t="shared" si="529"/>
        <v>0</v>
      </c>
      <c r="AG277" s="246"/>
      <c r="AH277" s="228">
        <f t="shared" si="552"/>
        <v>1</v>
      </c>
      <c r="AI277" s="228">
        <f t="shared" si="553"/>
        <v>1</v>
      </c>
      <c r="AJ277" s="228">
        <f t="shared" si="554"/>
        <v>0</v>
      </c>
      <c r="AK277" s="228">
        <v>0</v>
      </c>
      <c r="AL277" s="228">
        <v>0</v>
      </c>
      <c r="AM277" s="228">
        <f t="shared" si="530"/>
        <v>-100</v>
      </c>
      <c r="AN277" s="228" cm="1">
        <f t="array" ref="AN277">IF(ISBLANK(G277), 1, IFERROR(MATCH(G277, INDEX(Kat,,1), 0), IFERROR(MATCH(Kat, INDEX(Use,,2), 0), MATCH(Kat, INDEX(Use,,3), 0))))</f>
        <v>1</v>
      </c>
      <c r="AO277" s="246"/>
      <c r="AP277" s="228" cm="1">
        <f t="array" ref="AP277">IF(W277&gt;0, INDEX(Kat, AN277,4), 0)</f>
        <v>0</v>
      </c>
      <c r="AQ277" s="228">
        <f t="shared" si="555"/>
        <v>0</v>
      </c>
      <c r="AR277" s="228" cm="1">
        <f t="array" ref="AR277">IF(X277&gt;0, INDEX(Kat, $AN277, 4+AQ277), 0)</f>
        <v>0</v>
      </c>
      <c r="AS277" s="228" cm="1">
        <f t="array" ref="AS277">IF(X277&gt;0, INDEX(Kat, $AN277, 9+AQ277), 0)</f>
        <v>0</v>
      </c>
      <c r="AT277" s="246"/>
      <c r="AU277" s="262"/>
      <c r="AV277" s="262"/>
      <c r="AW277" s="263"/>
      <c r="AX277" s="263"/>
      <c r="AY277" s="263"/>
      <c r="AZ277" s="263"/>
      <c r="BA277" s="263"/>
      <c r="BB277" s="263"/>
      <c r="BC277" s="263"/>
      <c r="BD277" s="263"/>
      <c r="BE277" s="263"/>
      <c r="BF277" s="263"/>
      <c r="BG277" s="263"/>
      <c r="BH277" s="246"/>
      <c r="BI277" s="228" cm="1">
        <f t="array" ref="BI277">INDEX(Use, $AH277, 4)</f>
        <v>7</v>
      </c>
      <c r="BJ277" s="228">
        <f t="shared" si="531"/>
        <v>32</v>
      </c>
      <c r="BK277" s="228">
        <f t="shared" si="305"/>
        <v>13</v>
      </c>
      <c r="BL277" s="228">
        <f t="shared" si="306"/>
        <v>0</v>
      </c>
      <c r="BM277" s="233" cm="1">
        <f t="array" ref="BM277">L277/IF($M277&gt;0, INDEX($AY$22:$BE$76, $M277+20, $AH277), 1)</f>
        <v>0</v>
      </c>
      <c r="BN277" s="229">
        <f t="shared" si="532"/>
        <v>0</v>
      </c>
      <c r="BO277" s="228">
        <v>35</v>
      </c>
      <c r="BP277" s="229">
        <f t="shared" si="533"/>
        <v>48</v>
      </c>
      <c r="BQ277" s="234">
        <f t="shared" si="534"/>
        <v>3.0748170731707316</v>
      </c>
      <c r="BR277" s="234" cm="1">
        <f t="array" ref="BR277">$BM277 * SUMPRODUCT(INDEX($AV$76:$AX$81,,$AI277),INDEX($AY$76:$BE$81,,$AH277), N($AU$76:$AU$81&gt;$AM277)) / BQ277 / 1000</f>
        <v>0</v>
      </c>
      <c r="BS277" s="231">
        <f t="shared" si="310"/>
        <v>30</v>
      </c>
      <c r="BT277" s="229">
        <f t="shared" si="535"/>
        <v>43</v>
      </c>
      <c r="BU277" s="234">
        <f t="shared" si="536"/>
        <v>3.5018750000000001</v>
      </c>
      <c r="BV277" s="234" cm="1">
        <f t="array" ref="BV277">$BM277 * IF($AH277&lt;=2,
SUMPRODUCT(INDEX($AV$71:$AX$75,,$AI277), INDEX($AY$71:$BE$75,,$AH277), 1 / ($BF$71:$BF$75*BU277 + (1-$BF$71:$BF$75)*BQ277), N($AU$71:$AU$75&gt;$AM277)),
SUMPRODUCT(INDEX($AV$66:$AX$75,,$AI277), INDEX($AY$66:$BE$75,,$AH277), 1 / ($BG$66:$BG$75*BU277 + (1-$BG$66:$BG$75)*BQ277), N($AU$66:$AU$75&gt;$AM277))
) / 1000</f>
        <v>0</v>
      </c>
      <c r="BW277" s="231">
        <f t="shared" si="313"/>
        <v>25</v>
      </c>
      <c r="BX277" s="229">
        <f t="shared" si="537"/>
        <v>38</v>
      </c>
      <c r="BY277" s="234">
        <f t="shared" si="538"/>
        <v>4.0666935483870965</v>
      </c>
      <c r="BZ277" s="234" cm="1">
        <f t="array" ref="BZ277">$BM277 * IF($AH277&lt;=2,
SUMPRODUCT(INDEX($AV$66:$AX$70,,$AI277), INDEX($AY$66:$BE$70,,$AH277), 1 / ($BF$66:$BF$70*BY277 + (1-$BF$66:$BF$70)*BU277), N($AU$66:$AU$70&gt;$AM277)),
SUMPRODUCT(INDEX($AV$56:$AX$65,,$AI277), INDEX($AY$56:$BE$65,,$AH277), 1 / ($BG$56:$BG$65*BY277 + (1-$BG$56:$BG$65)*BU277), N($AU$56:$AU$65&gt;$AM277))
) / 1000</f>
        <v>0</v>
      </c>
      <c r="CA277" s="231">
        <f t="shared" si="316"/>
        <v>20</v>
      </c>
      <c r="CB277" s="229">
        <f t="shared" si="539"/>
        <v>33</v>
      </c>
      <c r="CC277" s="234">
        <f t="shared" si="540"/>
        <v>4.8487499999999999</v>
      </c>
      <c r="CD277" s="234" cm="1">
        <f t="array" ref="CD277">$BM277 * IF($AH277&lt;=2,
SUMPRODUCT(INDEX($AV$61:$AX$65,,$AI277), INDEX($AY$61:$BE$65,,$AH277), 1 / ($BF$61:$BF$65*CC277 + (1-$BF$61:$BF$65)*BY277), N($AU$61:$AU$65&gt;$AM277)),
SUMPRODUCT(INDEX($AV$46:$AX$55,,$AI277), INDEX($AY$46:$BE$55,,$AH277), 1 / ($BG$46:$BG$55*CC277 + (1-$BG$46:$BG$55)*BY277), N($AU$46:$AU$55&gt;$AM277))
) / 1000</f>
        <v>0</v>
      </c>
      <c r="CE277" s="234" cm="1">
        <f t="array" ref="CE277">$BM277 * IF($AH277&lt;=2,
SUMPRODUCT(INDEX($AV$22:$AX$60,,$AI277), INDEX($AY$22:$BE$60,,$AH277), 1 / ($BF$22:$BF$60*CC277), N($AU$22:$AU$60&gt;$AM277)),
SUMPRODUCT(INDEX($AV$22:$AX$45,,$AI277), INDEX($AY$22:$BE$45,,$AH277), 1 / ($BG$22:$BG$45*CC277), N($AU$22:$AU$45&gt;$AM277))
) / 1000</f>
        <v>0</v>
      </c>
      <c r="CF277" s="229">
        <f t="shared" si="541"/>
        <v>0</v>
      </c>
      <c r="CG277" s="246"/>
      <c r="CH277" s="229">
        <f t="shared" si="542"/>
        <v>0</v>
      </c>
      <c r="CI277" s="228">
        <v>35</v>
      </c>
      <c r="CJ277" s="229">
        <f t="shared" si="543"/>
        <v>48</v>
      </c>
      <c r="CK277" s="234">
        <f t="shared" si="544"/>
        <v>3.0748170731707316</v>
      </c>
      <c r="CL277" s="234" cm="1">
        <f t="array" ref="CL277">$BM277 * SUMPRODUCT(INDEX($AV$76:$AX$81,,$AI277),INDEX($AY$76:$BE$81,,$AH277), N($AU$76:$AU$81&gt;$AM277)) / CK277 / 1000</f>
        <v>0</v>
      </c>
      <c r="CM277" s="231">
        <f t="shared" si="323"/>
        <v>30</v>
      </c>
      <c r="CN277" s="229">
        <f t="shared" si="545"/>
        <v>43</v>
      </c>
      <c r="CO277" s="234">
        <f t="shared" si="546"/>
        <v>3.5018750000000001</v>
      </c>
      <c r="CP277" s="234" cm="1">
        <f t="array" ref="CP277">$BM277 * IF($AH277&lt;=2,
SUMPRODUCT(INDEX($AV$71:$AX$75,,$AI277), INDEX($AY$71:$BE$75,,$AH277), 1 / ($BF$71:$BF$75*CO277 + (1-$BF$71:$BF$75)*CK277), N($AU$71:$AU$75&gt;$AM277)),
SUMPRODUCT(INDEX($AV$66:$AX$75,,$AI277), INDEX($AY$66:$BE$75,,$AH277), 1 / ($BG$66:$BG$75*CO277 + (1-$BG$66:$BG$75)*CK277), N($AU$66:$AU$75&gt;$AM277))
) / 1000</f>
        <v>0</v>
      </c>
      <c r="CQ277" s="231">
        <f t="shared" si="326"/>
        <v>25</v>
      </c>
      <c r="CR277" s="229">
        <f t="shared" si="547"/>
        <v>38</v>
      </c>
      <c r="CS277" s="234">
        <f t="shared" si="548"/>
        <v>4.0666935483870965</v>
      </c>
      <c r="CT277" s="234" cm="1">
        <f t="array" ref="CT277">$BM277 * IF($AH277&lt;=2,
SUMPRODUCT(INDEX($AV$66:$AX$70,,$AI277), INDEX($AY$66:$BE$70,,$AH277), 1 / ($BF$66:$BF$70*CS277 + (1-$BF$66:$BF$70)*CO277), N($AU$66:$AU$70&gt;$AM277)),
SUMPRODUCT(INDEX($AV$56:$AX$65,,$AI277), INDEX($AY$56:$BE$65,,$AH277), 1 / ($BG$56:$BG$65*CS277 + (1-$BG$56:$BG$65)*CO277), N($AU$56:$AU$65&gt;$AM277))
) / 1000</f>
        <v>0</v>
      </c>
      <c r="CU277" s="231">
        <f t="shared" si="329"/>
        <v>20</v>
      </c>
      <c r="CV277" s="229">
        <f t="shared" si="549"/>
        <v>33</v>
      </c>
      <c r="CW277" s="234">
        <f t="shared" si="550"/>
        <v>4.8487499999999999</v>
      </c>
      <c r="CX277" s="234" cm="1">
        <f t="array" ref="CX277">$BM277 * IF($AH277&lt;=2,
SUMPRODUCT(INDEX($AV$61:$AX$65,,$AI277), INDEX($AY$61:$BE$65,,$AH277), 1 / ($BF$61:$BF$65*CW277 + (1-$BF$61:$BF$65)*CS277), N($AU$61:$AU$65&gt;$AM277)),
SUMPRODUCT(INDEX($AV$46:$AX$55,,$AI277), INDEX($AY$46:$BE$55,,$AH277), 1 / ($BG$46:$BG$55*CW277 + (1-$BG$46:$BG$55)*CS277), N($AU$46:$AU$55&gt;$AM277))
) / 1000</f>
        <v>0</v>
      </c>
      <c r="CY277" s="234" cm="1">
        <f t="array" ref="CY277">$BM277 * IF($AH277&lt;=2,
SUMPRODUCT(INDEX($AV$22:$AX$60,,$AI277), INDEX($AY$22:$BE$60,,$AH277), 1 / ($BF$22:$BF$60*CW277), N($AU$22:$AU$60&gt;$AM277)),
SUMPRODUCT(INDEX($AV$22:$AX$45,,$AI277), INDEX($AY$22:$BE$45,,$AH277), 1 / ($BG$22:$BG$45*CW277), N($AU$22:$AU$45&gt;$AM277))
) / 1000</f>
        <v>0</v>
      </c>
      <c r="CZ277" s="229">
        <f t="shared" si="551"/>
        <v>0</v>
      </c>
      <c r="DA277" s="246"/>
    </row>
    <row r="278" spans="1:105" s="75" customFormat="1" ht="14.25" customHeight="1" x14ac:dyDescent="0.2">
      <c r="A278" s="230" t="b">
        <f t="shared" si="291"/>
        <v>0</v>
      </c>
      <c r="B278" s="253">
        <v>257</v>
      </c>
      <c r="C278" s="266"/>
      <c r="D278" s="266"/>
      <c r="E278" s="254"/>
      <c r="F278" s="255" t="str">
        <f>IF(ISBLANK(E278), "", VLOOKUP(E278, Z!$A$2:$C$4127, 3, FALSE))</f>
        <v/>
      </c>
      <c r="G278" s="256"/>
      <c r="H278" s="256"/>
      <c r="I278" s="256"/>
      <c r="J278" s="257"/>
      <c r="K278" s="258"/>
      <c r="L278" s="267"/>
      <c r="M278" s="268"/>
      <c r="N278" s="259" t="str" cm="1">
        <f t="array" ref="N278">IF($L278&gt;0, INDEX(Clean,1+AK278,$D$1), "")</f>
        <v/>
      </c>
      <c r="O278" s="260"/>
      <c r="P278" s="260"/>
      <c r="Q278" s="261"/>
      <c r="R278" s="264">
        <f t="shared" si="527"/>
        <v>0</v>
      </c>
      <c r="S278" s="259" t="str" cm="1">
        <f t="array" ref="S278">IF($L278&gt;0, INDEX(Clean,1+AL278,$D$1), "")</f>
        <v/>
      </c>
      <c r="T278" s="260"/>
      <c r="U278" s="260"/>
      <c r="V278" s="261"/>
      <c r="W278" s="267"/>
      <c r="X278" s="267"/>
      <c r="Y278" s="257"/>
      <c r="Z278" s="264">
        <f t="shared" si="528"/>
        <v>0</v>
      </c>
      <c r="AA278" s="269"/>
      <c r="AB278" s="266"/>
      <c r="AC278" s="254"/>
      <c r="AD278" s="255" t="str">
        <f>IF(ISBLANK(AC278), "", VLOOKUP(AC278, Z!$A$2:$C$4127, 3, FALSE))</f>
        <v/>
      </c>
      <c r="AE278" s="270"/>
      <c r="AF278" s="265">
        <f t="shared" si="529"/>
        <v>0</v>
      </c>
      <c r="AG278" s="246"/>
      <c r="AH278" s="228">
        <f t="shared" si="552"/>
        <v>1</v>
      </c>
      <c r="AI278" s="228">
        <f t="shared" si="553"/>
        <v>1</v>
      </c>
      <c r="AJ278" s="228">
        <f t="shared" si="554"/>
        <v>0</v>
      </c>
      <c r="AK278" s="228">
        <v>0</v>
      </c>
      <c r="AL278" s="228">
        <v>0</v>
      </c>
      <c r="AM278" s="228">
        <f t="shared" si="530"/>
        <v>-100</v>
      </c>
      <c r="AN278" s="228" cm="1">
        <f t="array" ref="AN278">IF(ISBLANK(G278), 1, IFERROR(MATCH(G278, INDEX(Kat,,1), 0), IFERROR(MATCH(Kat, INDEX(Use,,2), 0), MATCH(Kat, INDEX(Use,,3), 0))))</f>
        <v>1</v>
      </c>
      <c r="AO278" s="246"/>
      <c r="AP278" s="228" cm="1">
        <f t="array" ref="AP278">IF(W278&gt;0, INDEX(Kat, AN278,4), 0)</f>
        <v>0</v>
      </c>
      <c r="AQ278" s="228">
        <f t="shared" si="555"/>
        <v>0</v>
      </c>
      <c r="AR278" s="228" cm="1">
        <f t="array" ref="AR278">IF(X278&gt;0, INDEX(Kat, $AN278, 4+AQ278), 0)</f>
        <v>0</v>
      </c>
      <c r="AS278" s="228" cm="1">
        <f t="array" ref="AS278">IF(X278&gt;0, INDEX(Kat, $AN278, 9+AQ278), 0)</f>
        <v>0</v>
      </c>
      <c r="AT278" s="246"/>
      <c r="AU278" s="262"/>
      <c r="AV278" s="262"/>
      <c r="AW278" s="263"/>
      <c r="AX278" s="263"/>
      <c r="AY278" s="263"/>
      <c r="AZ278" s="263"/>
      <c r="BA278" s="263"/>
      <c r="BB278" s="263"/>
      <c r="BC278" s="263"/>
      <c r="BD278" s="263"/>
      <c r="BE278" s="263"/>
      <c r="BF278" s="263"/>
      <c r="BG278" s="263"/>
      <c r="BH278" s="246"/>
      <c r="BI278" s="228" cm="1">
        <f t="array" ref="BI278">INDEX(Use, $AH278, 4)</f>
        <v>7</v>
      </c>
      <c r="BJ278" s="228">
        <f t="shared" si="531"/>
        <v>32</v>
      </c>
      <c r="BK278" s="228">
        <f t="shared" si="305"/>
        <v>13</v>
      </c>
      <c r="BL278" s="228">
        <f t="shared" si="306"/>
        <v>0</v>
      </c>
      <c r="BM278" s="233" cm="1">
        <f t="array" ref="BM278">L278/IF($M278&gt;0, INDEX($AY$22:$BE$76, $M278+20, $AH278), 1)</f>
        <v>0</v>
      </c>
      <c r="BN278" s="229">
        <f t="shared" si="532"/>
        <v>0</v>
      </c>
      <c r="BO278" s="228">
        <v>35</v>
      </c>
      <c r="BP278" s="229">
        <f t="shared" si="533"/>
        <v>48</v>
      </c>
      <c r="BQ278" s="234">
        <f t="shared" si="534"/>
        <v>3.0748170731707316</v>
      </c>
      <c r="BR278" s="234" cm="1">
        <f t="array" ref="BR278">$BM278 * SUMPRODUCT(INDEX($AV$76:$AX$81,,$AI278),INDEX($AY$76:$BE$81,,$AH278), N($AU$76:$AU$81&gt;$AM278)) / BQ278 / 1000</f>
        <v>0</v>
      </c>
      <c r="BS278" s="231">
        <f t="shared" si="310"/>
        <v>30</v>
      </c>
      <c r="BT278" s="229">
        <f t="shared" si="535"/>
        <v>43</v>
      </c>
      <c r="BU278" s="234">
        <f t="shared" si="536"/>
        <v>3.5018750000000001</v>
      </c>
      <c r="BV278" s="234" cm="1">
        <f t="array" ref="BV278">$BM278 * IF($AH278&lt;=2,
SUMPRODUCT(INDEX($AV$71:$AX$75,,$AI278), INDEX($AY$71:$BE$75,,$AH278), 1 / ($BF$71:$BF$75*BU278 + (1-$BF$71:$BF$75)*BQ278), N($AU$71:$AU$75&gt;$AM278)),
SUMPRODUCT(INDEX($AV$66:$AX$75,,$AI278), INDEX($AY$66:$BE$75,,$AH278), 1 / ($BG$66:$BG$75*BU278 + (1-$BG$66:$BG$75)*BQ278), N($AU$66:$AU$75&gt;$AM278))
) / 1000</f>
        <v>0</v>
      </c>
      <c r="BW278" s="231">
        <f t="shared" si="313"/>
        <v>25</v>
      </c>
      <c r="BX278" s="229">
        <f t="shared" si="537"/>
        <v>38</v>
      </c>
      <c r="BY278" s="234">
        <f t="shared" si="538"/>
        <v>4.0666935483870965</v>
      </c>
      <c r="BZ278" s="234" cm="1">
        <f t="array" ref="BZ278">$BM278 * IF($AH278&lt;=2,
SUMPRODUCT(INDEX($AV$66:$AX$70,,$AI278), INDEX($AY$66:$BE$70,,$AH278), 1 / ($BF$66:$BF$70*BY278 + (1-$BF$66:$BF$70)*BU278), N($AU$66:$AU$70&gt;$AM278)),
SUMPRODUCT(INDEX($AV$56:$AX$65,,$AI278), INDEX($AY$56:$BE$65,,$AH278), 1 / ($BG$56:$BG$65*BY278 + (1-$BG$56:$BG$65)*BU278), N($AU$56:$AU$65&gt;$AM278))
) / 1000</f>
        <v>0</v>
      </c>
      <c r="CA278" s="231">
        <f t="shared" si="316"/>
        <v>20</v>
      </c>
      <c r="CB278" s="229">
        <f t="shared" si="539"/>
        <v>33</v>
      </c>
      <c r="CC278" s="234">
        <f t="shared" si="540"/>
        <v>4.8487499999999999</v>
      </c>
      <c r="CD278" s="234" cm="1">
        <f t="array" ref="CD278">$BM278 * IF($AH278&lt;=2,
SUMPRODUCT(INDEX($AV$61:$AX$65,,$AI278), INDEX($AY$61:$BE$65,,$AH278), 1 / ($BF$61:$BF$65*CC278 + (1-$BF$61:$BF$65)*BY278), N($AU$61:$AU$65&gt;$AM278)),
SUMPRODUCT(INDEX($AV$46:$AX$55,,$AI278), INDEX($AY$46:$BE$55,,$AH278), 1 / ($BG$46:$BG$55*CC278 + (1-$BG$46:$BG$55)*BY278), N($AU$46:$AU$55&gt;$AM278))
) / 1000</f>
        <v>0</v>
      </c>
      <c r="CE278" s="234" cm="1">
        <f t="array" ref="CE278">$BM278 * IF($AH278&lt;=2,
SUMPRODUCT(INDEX($AV$22:$AX$60,,$AI278), INDEX($AY$22:$BE$60,,$AH278), 1 / ($BF$22:$BF$60*CC278), N($AU$22:$AU$60&gt;$AM278)),
SUMPRODUCT(INDEX($AV$22:$AX$45,,$AI278), INDEX($AY$22:$BE$45,,$AH278), 1 / ($BG$22:$BG$45*CC278), N($AU$22:$AU$45&gt;$AM278))
) / 1000</f>
        <v>0</v>
      </c>
      <c r="CF278" s="229">
        <f t="shared" si="541"/>
        <v>0</v>
      </c>
      <c r="CG278" s="246"/>
      <c r="CH278" s="229">
        <f t="shared" si="542"/>
        <v>0</v>
      </c>
      <c r="CI278" s="228">
        <v>35</v>
      </c>
      <c r="CJ278" s="229">
        <f t="shared" si="543"/>
        <v>48</v>
      </c>
      <c r="CK278" s="234">
        <f t="shared" si="544"/>
        <v>3.0748170731707316</v>
      </c>
      <c r="CL278" s="234" cm="1">
        <f t="array" ref="CL278">$BM278 * SUMPRODUCT(INDEX($AV$76:$AX$81,,$AI278),INDEX($AY$76:$BE$81,,$AH278), N($AU$76:$AU$81&gt;$AM278)) / CK278 / 1000</f>
        <v>0</v>
      </c>
      <c r="CM278" s="231">
        <f t="shared" si="323"/>
        <v>30</v>
      </c>
      <c r="CN278" s="229">
        <f t="shared" si="545"/>
        <v>43</v>
      </c>
      <c r="CO278" s="234">
        <f t="shared" si="546"/>
        <v>3.5018750000000001</v>
      </c>
      <c r="CP278" s="234" cm="1">
        <f t="array" ref="CP278">$BM278 * IF($AH278&lt;=2,
SUMPRODUCT(INDEX($AV$71:$AX$75,,$AI278), INDEX($AY$71:$BE$75,,$AH278), 1 / ($BF$71:$BF$75*CO278 + (1-$BF$71:$BF$75)*CK278), N($AU$71:$AU$75&gt;$AM278)),
SUMPRODUCT(INDEX($AV$66:$AX$75,,$AI278), INDEX($AY$66:$BE$75,,$AH278), 1 / ($BG$66:$BG$75*CO278 + (1-$BG$66:$BG$75)*CK278), N($AU$66:$AU$75&gt;$AM278))
) / 1000</f>
        <v>0</v>
      </c>
      <c r="CQ278" s="231">
        <f t="shared" si="326"/>
        <v>25</v>
      </c>
      <c r="CR278" s="229">
        <f t="shared" si="547"/>
        <v>38</v>
      </c>
      <c r="CS278" s="234">
        <f t="shared" si="548"/>
        <v>4.0666935483870965</v>
      </c>
      <c r="CT278" s="234" cm="1">
        <f t="array" ref="CT278">$BM278 * IF($AH278&lt;=2,
SUMPRODUCT(INDEX($AV$66:$AX$70,,$AI278), INDEX($AY$66:$BE$70,,$AH278), 1 / ($BF$66:$BF$70*CS278 + (1-$BF$66:$BF$70)*CO278), N($AU$66:$AU$70&gt;$AM278)),
SUMPRODUCT(INDEX($AV$56:$AX$65,,$AI278), INDEX($AY$56:$BE$65,,$AH278), 1 / ($BG$56:$BG$65*CS278 + (1-$BG$56:$BG$65)*CO278), N($AU$56:$AU$65&gt;$AM278))
) / 1000</f>
        <v>0</v>
      </c>
      <c r="CU278" s="231">
        <f t="shared" si="329"/>
        <v>20</v>
      </c>
      <c r="CV278" s="229">
        <f t="shared" si="549"/>
        <v>33</v>
      </c>
      <c r="CW278" s="234">
        <f t="shared" si="550"/>
        <v>4.8487499999999999</v>
      </c>
      <c r="CX278" s="234" cm="1">
        <f t="array" ref="CX278">$BM278 * IF($AH278&lt;=2,
SUMPRODUCT(INDEX($AV$61:$AX$65,,$AI278), INDEX($AY$61:$BE$65,,$AH278), 1 / ($BF$61:$BF$65*CW278 + (1-$BF$61:$BF$65)*CS278), N($AU$61:$AU$65&gt;$AM278)),
SUMPRODUCT(INDEX($AV$46:$AX$55,,$AI278), INDEX($AY$46:$BE$55,,$AH278), 1 / ($BG$46:$BG$55*CW278 + (1-$BG$46:$BG$55)*CS278), N($AU$46:$AU$55&gt;$AM278))
) / 1000</f>
        <v>0</v>
      </c>
      <c r="CY278" s="234" cm="1">
        <f t="array" ref="CY278">$BM278 * IF($AH278&lt;=2,
SUMPRODUCT(INDEX($AV$22:$AX$60,,$AI278), INDEX($AY$22:$BE$60,,$AH278), 1 / ($BF$22:$BF$60*CW278), N($AU$22:$AU$60&gt;$AM278)),
SUMPRODUCT(INDEX($AV$22:$AX$45,,$AI278), INDEX($AY$22:$BE$45,,$AH278), 1 / ($BG$22:$BG$45*CW278), N($AU$22:$AU$45&gt;$AM278))
) / 1000</f>
        <v>0</v>
      </c>
      <c r="CZ278" s="229">
        <f t="shared" si="551"/>
        <v>0</v>
      </c>
      <c r="DA278" s="246"/>
    </row>
    <row r="279" spans="1:105" s="75" customFormat="1" ht="14.25" customHeight="1" x14ac:dyDescent="0.2">
      <c r="A279" s="230" t="b">
        <f t="shared" si="291"/>
        <v>0</v>
      </c>
      <c r="B279" s="253">
        <v>258</v>
      </c>
      <c r="C279" s="266"/>
      <c r="D279" s="266"/>
      <c r="E279" s="254"/>
      <c r="F279" s="255" t="str">
        <f>IF(ISBLANK(E279), "", VLOOKUP(E279, Z!$A$2:$C$4127, 3, FALSE))</f>
        <v/>
      </c>
      <c r="G279" s="256"/>
      <c r="H279" s="256"/>
      <c r="I279" s="256"/>
      <c r="J279" s="257"/>
      <c r="K279" s="258"/>
      <c r="L279" s="267"/>
      <c r="M279" s="268"/>
      <c r="N279" s="259" t="str" cm="1">
        <f t="array" ref="N279">IF($L279&gt;0, INDEX(Clean,1+AK279,$D$1), "")</f>
        <v/>
      </c>
      <c r="O279" s="260"/>
      <c r="P279" s="260"/>
      <c r="Q279" s="261"/>
      <c r="R279" s="264">
        <f t="shared" si="527"/>
        <v>0</v>
      </c>
      <c r="S279" s="259" t="str" cm="1">
        <f t="array" ref="S279">IF($L279&gt;0, INDEX(Clean,1+AL279,$D$1), "")</f>
        <v/>
      </c>
      <c r="T279" s="260"/>
      <c r="U279" s="260"/>
      <c r="V279" s="261"/>
      <c r="W279" s="267"/>
      <c r="X279" s="267"/>
      <c r="Y279" s="257"/>
      <c r="Z279" s="264">
        <f t="shared" si="528"/>
        <v>0</v>
      </c>
      <c r="AA279" s="269"/>
      <c r="AB279" s="266"/>
      <c r="AC279" s="254"/>
      <c r="AD279" s="255" t="str">
        <f>IF(ISBLANK(AC279), "", VLOOKUP(AC279, Z!$A$2:$C$4127, 3, FALSE))</f>
        <v/>
      </c>
      <c r="AE279" s="270"/>
      <c r="AF279" s="265">
        <f t="shared" si="529"/>
        <v>0</v>
      </c>
      <c r="AG279" s="246"/>
      <c r="AH279" s="228">
        <f t="shared" si="552"/>
        <v>1</v>
      </c>
      <c r="AI279" s="228">
        <f t="shared" si="553"/>
        <v>1</v>
      </c>
      <c r="AJ279" s="228">
        <f t="shared" si="554"/>
        <v>0</v>
      </c>
      <c r="AK279" s="228">
        <v>0</v>
      </c>
      <c r="AL279" s="228">
        <v>0</v>
      </c>
      <c r="AM279" s="228">
        <f t="shared" si="530"/>
        <v>-100</v>
      </c>
      <c r="AN279" s="228" cm="1">
        <f t="array" ref="AN279">IF(ISBLANK(G279), 1, IFERROR(MATCH(G279, INDEX(Kat,,1), 0), IFERROR(MATCH(Kat, INDEX(Use,,2), 0), MATCH(Kat, INDEX(Use,,3), 0))))</f>
        <v>1</v>
      </c>
      <c r="AO279" s="246"/>
      <c r="AP279" s="228" cm="1">
        <f t="array" ref="AP279">IF(W279&gt;0, INDEX(Kat, AN279,4), 0)</f>
        <v>0</v>
      </c>
      <c r="AQ279" s="228">
        <f t="shared" si="555"/>
        <v>0</v>
      </c>
      <c r="AR279" s="228" cm="1">
        <f t="array" ref="AR279">IF(X279&gt;0, INDEX(Kat, $AN279, 4+AQ279), 0)</f>
        <v>0</v>
      </c>
      <c r="AS279" s="228" cm="1">
        <f t="array" ref="AS279">IF(X279&gt;0, INDEX(Kat, $AN279, 9+AQ279), 0)</f>
        <v>0</v>
      </c>
      <c r="AT279" s="246"/>
      <c r="AU279" s="262"/>
      <c r="AV279" s="262"/>
      <c r="AW279" s="263"/>
      <c r="AX279" s="263"/>
      <c r="AY279" s="263"/>
      <c r="AZ279" s="263"/>
      <c r="BA279" s="263"/>
      <c r="BB279" s="263"/>
      <c r="BC279" s="263"/>
      <c r="BD279" s="263"/>
      <c r="BE279" s="263"/>
      <c r="BF279" s="263"/>
      <c r="BG279" s="263"/>
      <c r="BH279" s="246"/>
      <c r="BI279" s="228" cm="1">
        <f t="array" ref="BI279">INDEX(Use, $AH279, 4)</f>
        <v>7</v>
      </c>
      <c r="BJ279" s="228">
        <f t="shared" si="531"/>
        <v>32</v>
      </c>
      <c r="BK279" s="228">
        <f t="shared" si="305"/>
        <v>13</v>
      </c>
      <c r="BL279" s="228">
        <f t="shared" si="306"/>
        <v>0</v>
      </c>
      <c r="BM279" s="233" cm="1">
        <f t="array" ref="BM279">L279/IF($M279&gt;0, INDEX($AY$22:$BE$76, $M279+20, $AH279), 1)</f>
        <v>0</v>
      </c>
      <c r="BN279" s="229">
        <f t="shared" si="532"/>
        <v>0</v>
      </c>
      <c r="BO279" s="228">
        <v>35</v>
      </c>
      <c r="BP279" s="229">
        <f t="shared" si="533"/>
        <v>48</v>
      </c>
      <c r="BQ279" s="234">
        <f t="shared" si="534"/>
        <v>3.0748170731707316</v>
      </c>
      <c r="BR279" s="234" cm="1">
        <f t="array" ref="BR279">$BM279 * SUMPRODUCT(INDEX($AV$76:$AX$81,,$AI279),INDEX($AY$76:$BE$81,,$AH279), N($AU$76:$AU$81&gt;$AM279)) / BQ279 / 1000</f>
        <v>0</v>
      </c>
      <c r="BS279" s="231">
        <f t="shared" si="310"/>
        <v>30</v>
      </c>
      <c r="BT279" s="229">
        <f t="shared" si="535"/>
        <v>43</v>
      </c>
      <c r="BU279" s="234">
        <f t="shared" si="536"/>
        <v>3.5018750000000001</v>
      </c>
      <c r="BV279" s="234" cm="1">
        <f t="array" ref="BV279">$BM279 * IF($AH279&lt;=2,
SUMPRODUCT(INDEX($AV$71:$AX$75,,$AI279), INDEX($AY$71:$BE$75,,$AH279), 1 / ($BF$71:$BF$75*BU279 + (1-$BF$71:$BF$75)*BQ279), N($AU$71:$AU$75&gt;$AM279)),
SUMPRODUCT(INDEX($AV$66:$AX$75,,$AI279), INDEX($AY$66:$BE$75,,$AH279), 1 / ($BG$66:$BG$75*BU279 + (1-$BG$66:$BG$75)*BQ279), N($AU$66:$AU$75&gt;$AM279))
) / 1000</f>
        <v>0</v>
      </c>
      <c r="BW279" s="231">
        <f t="shared" si="313"/>
        <v>25</v>
      </c>
      <c r="BX279" s="229">
        <f t="shared" si="537"/>
        <v>38</v>
      </c>
      <c r="BY279" s="234">
        <f t="shared" si="538"/>
        <v>4.0666935483870965</v>
      </c>
      <c r="BZ279" s="234" cm="1">
        <f t="array" ref="BZ279">$BM279 * IF($AH279&lt;=2,
SUMPRODUCT(INDEX($AV$66:$AX$70,,$AI279), INDEX($AY$66:$BE$70,,$AH279), 1 / ($BF$66:$BF$70*BY279 + (1-$BF$66:$BF$70)*BU279), N($AU$66:$AU$70&gt;$AM279)),
SUMPRODUCT(INDEX($AV$56:$AX$65,,$AI279), INDEX($AY$56:$BE$65,,$AH279), 1 / ($BG$56:$BG$65*BY279 + (1-$BG$56:$BG$65)*BU279), N($AU$56:$AU$65&gt;$AM279))
) / 1000</f>
        <v>0</v>
      </c>
      <c r="CA279" s="231">
        <f t="shared" si="316"/>
        <v>20</v>
      </c>
      <c r="CB279" s="229">
        <f t="shared" si="539"/>
        <v>33</v>
      </c>
      <c r="CC279" s="234">
        <f t="shared" si="540"/>
        <v>4.8487499999999999</v>
      </c>
      <c r="CD279" s="234" cm="1">
        <f t="array" ref="CD279">$BM279 * IF($AH279&lt;=2,
SUMPRODUCT(INDEX($AV$61:$AX$65,,$AI279), INDEX($AY$61:$BE$65,,$AH279), 1 / ($BF$61:$BF$65*CC279 + (1-$BF$61:$BF$65)*BY279), N($AU$61:$AU$65&gt;$AM279)),
SUMPRODUCT(INDEX($AV$46:$AX$55,,$AI279), INDEX($AY$46:$BE$55,,$AH279), 1 / ($BG$46:$BG$55*CC279 + (1-$BG$46:$BG$55)*BY279), N($AU$46:$AU$55&gt;$AM279))
) / 1000</f>
        <v>0</v>
      </c>
      <c r="CE279" s="234" cm="1">
        <f t="array" ref="CE279">$BM279 * IF($AH279&lt;=2,
SUMPRODUCT(INDEX($AV$22:$AX$60,,$AI279), INDEX($AY$22:$BE$60,,$AH279), 1 / ($BF$22:$BF$60*CC279), N($AU$22:$AU$60&gt;$AM279)),
SUMPRODUCT(INDEX($AV$22:$AX$45,,$AI279), INDEX($AY$22:$BE$45,,$AH279), 1 / ($BG$22:$BG$45*CC279), N($AU$22:$AU$45&gt;$AM279))
) / 1000</f>
        <v>0</v>
      </c>
      <c r="CF279" s="229">
        <f t="shared" si="541"/>
        <v>0</v>
      </c>
      <c r="CG279" s="246"/>
      <c r="CH279" s="229">
        <f t="shared" si="542"/>
        <v>0</v>
      </c>
      <c r="CI279" s="228">
        <v>35</v>
      </c>
      <c r="CJ279" s="229">
        <f t="shared" si="543"/>
        <v>48</v>
      </c>
      <c r="CK279" s="234">
        <f t="shared" si="544"/>
        <v>3.0748170731707316</v>
      </c>
      <c r="CL279" s="234" cm="1">
        <f t="array" ref="CL279">$BM279 * SUMPRODUCT(INDEX($AV$76:$AX$81,,$AI279),INDEX($AY$76:$BE$81,,$AH279), N($AU$76:$AU$81&gt;$AM279)) / CK279 / 1000</f>
        <v>0</v>
      </c>
      <c r="CM279" s="231">
        <f t="shared" si="323"/>
        <v>30</v>
      </c>
      <c r="CN279" s="229">
        <f t="shared" si="545"/>
        <v>43</v>
      </c>
      <c r="CO279" s="234">
        <f t="shared" si="546"/>
        <v>3.5018750000000001</v>
      </c>
      <c r="CP279" s="234" cm="1">
        <f t="array" ref="CP279">$BM279 * IF($AH279&lt;=2,
SUMPRODUCT(INDEX($AV$71:$AX$75,,$AI279), INDEX($AY$71:$BE$75,,$AH279), 1 / ($BF$71:$BF$75*CO279 + (1-$BF$71:$BF$75)*CK279), N($AU$71:$AU$75&gt;$AM279)),
SUMPRODUCT(INDEX($AV$66:$AX$75,,$AI279), INDEX($AY$66:$BE$75,,$AH279), 1 / ($BG$66:$BG$75*CO279 + (1-$BG$66:$BG$75)*CK279), N($AU$66:$AU$75&gt;$AM279))
) / 1000</f>
        <v>0</v>
      </c>
      <c r="CQ279" s="231">
        <f t="shared" si="326"/>
        <v>25</v>
      </c>
      <c r="CR279" s="229">
        <f t="shared" si="547"/>
        <v>38</v>
      </c>
      <c r="CS279" s="234">
        <f t="shared" si="548"/>
        <v>4.0666935483870965</v>
      </c>
      <c r="CT279" s="234" cm="1">
        <f t="array" ref="CT279">$BM279 * IF($AH279&lt;=2,
SUMPRODUCT(INDEX($AV$66:$AX$70,,$AI279), INDEX($AY$66:$BE$70,,$AH279), 1 / ($BF$66:$BF$70*CS279 + (1-$BF$66:$BF$70)*CO279), N($AU$66:$AU$70&gt;$AM279)),
SUMPRODUCT(INDEX($AV$56:$AX$65,,$AI279), INDEX($AY$56:$BE$65,,$AH279), 1 / ($BG$56:$BG$65*CS279 + (1-$BG$56:$BG$65)*CO279), N($AU$56:$AU$65&gt;$AM279))
) / 1000</f>
        <v>0</v>
      </c>
      <c r="CU279" s="231">
        <f t="shared" si="329"/>
        <v>20</v>
      </c>
      <c r="CV279" s="229">
        <f t="shared" si="549"/>
        <v>33</v>
      </c>
      <c r="CW279" s="234">
        <f t="shared" si="550"/>
        <v>4.8487499999999999</v>
      </c>
      <c r="CX279" s="234" cm="1">
        <f t="array" ref="CX279">$BM279 * IF($AH279&lt;=2,
SUMPRODUCT(INDEX($AV$61:$AX$65,,$AI279), INDEX($AY$61:$BE$65,,$AH279), 1 / ($BF$61:$BF$65*CW279 + (1-$BF$61:$BF$65)*CS279), N($AU$61:$AU$65&gt;$AM279)),
SUMPRODUCT(INDEX($AV$46:$AX$55,,$AI279), INDEX($AY$46:$BE$55,,$AH279), 1 / ($BG$46:$BG$55*CW279 + (1-$BG$46:$BG$55)*CS279), N($AU$46:$AU$55&gt;$AM279))
) / 1000</f>
        <v>0</v>
      </c>
      <c r="CY279" s="234" cm="1">
        <f t="array" ref="CY279">$BM279 * IF($AH279&lt;=2,
SUMPRODUCT(INDEX($AV$22:$AX$60,,$AI279), INDEX($AY$22:$BE$60,,$AH279), 1 / ($BF$22:$BF$60*CW279), N($AU$22:$AU$60&gt;$AM279)),
SUMPRODUCT(INDEX($AV$22:$AX$45,,$AI279), INDEX($AY$22:$BE$45,,$AH279), 1 / ($BG$22:$BG$45*CW279), N($AU$22:$AU$45&gt;$AM279))
) / 1000</f>
        <v>0</v>
      </c>
      <c r="CZ279" s="229">
        <f t="shared" si="551"/>
        <v>0</v>
      </c>
      <c r="DA279" s="246"/>
    </row>
    <row r="280" spans="1:105" s="75" customFormat="1" ht="14.25" customHeight="1" x14ac:dyDescent="0.2">
      <c r="A280" s="230" t="b">
        <f t="shared" si="291"/>
        <v>0</v>
      </c>
      <c r="B280" s="253">
        <v>259</v>
      </c>
      <c r="C280" s="266"/>
      <c r="D280" s="266"/>
      <c r="E280" s="254"/>
      <c r="F280" s="255" t="str">
        <f>IF(ISBLANK(E280), "", VLOOKUP(E280, Z!$A$2:$C$4127, 3, FALSE))</f>
        <v/>
      </c>
      <c r="G280" s="256"/>
      <c r="H280" s="256"/>
      <c r="I280" s="256"/>
      <c r="J280" s="257"/>
      <c r="K280" s="258"/>
      <c r="L280" s="267"/>
      <c r="M280" s="268"/>
      <c r="N280" s="259" t="str" cm="1">
        <f t="array" ref="N280">IF($L280&gt;0, INDEX(Clean,1+AK280,$D$1), "")</f>
        <v/>
      </c>
      <c r="O280" s="260"/>
      <c r="P280" s="260"/>
      <c r="Q280" s="261"/>
      <c r="R280" s="264">
        <f t="shared" si="527"/>
        <v>0</v>
      </c>
      <c r="S280" s="259" t="str" cm="1">
        <f t="array" ref="S280">IF($L280&gt;0, INDEX(Clean,1+AL280,$D$1), "")</f>
        <v/>
      </c>
      <c r="T280" s="260"/>
      <c r="U280" s="260"/>
      <c r="V280" s="261"/>
      <c r="W280" s="267"/>
      <c r="X280" s="267"/>
      <c r="Y280" s="257"/>
      <c r="Z280" s="264">
        <f t="shared" si="528"/>
        <v>0</v>
      </c>
      <c r="AA280" s="269"/>
      <c r="AB280" s="266"/>
      <c r="AC280" s="254"/>
      <c r="AD280" s="255" t="str">
        <f>IF(ISBLANK(AC280), "", VLOOKUP(AC280, Z!$A$2:$C$4127, 3, FALSE))</f>
        <v/>
      </c>
      <c r="AE280" s="270"/>
      <c r="AF280" s="265">
        <f t="shared" si="529"/>
        <v>0</v>
      </c>
      <c r="AG280" s="246"/>
      <c r="AH280" s="228">
        <f t="shared" si="552"/>
        <v>1</v>
      </c>
      <c r="AI280" s="228">
        <f t="shared" si="553"/>
        <v>1</v>
      </c>
      <c r="AJ280" s="228">
        <f t="shared" si="554"/>
        <v>0</v>
      </c>
      <c r="AK280" s="228">
        <v>0</v>
      </c>
      <c r="AL280" s="228">
        <v>0</v>
      </c>
      <c r="AM280" s="228">
        <f t="shared" si="530"/>
        <v>-100</v>
      </c>
      <c r="AN280" s="228" cm="1">
        <f t="array" ref="AN280">IF(ISBLANK(G280), 1, IFERROR(MATCH(G280, INDEX(Kat,,1), 0), IFERROR(MATCH(Kat, INDEX(Use,,2), 0), MATCH(Kat, INDEX(Use,,3), 0))))</f>
        <v>1</v>
      </c>
      <c r="AO280" s="246"/>
      <c r="AP280" s="228" cm="1">
        <f t="array" ref="AP280">IF(W280&gt;0, INDEX(Kat, AN280,4), 0)</f>
        <v>0</v>
      </c>
      <c r="AQ280" s="228">
        <f t="shared" si="555"/>
        <v>0</v>
      </c>
      <c r="AR280" s="228" cm="1">
        <f t="array" ref="AR280">IF(X280&gt;0, INDEX(Kat, $AN280, 4+AQ280), 0)</f>
        <v>0</v>
      </c>
      <c r="AS280" s="228" cm="1">
        <f t="array" ref="AS280">IF(X280&gt;0, INDEX(Kat, $AN280, 9+AQ280), 0)</f>
        <v>0</v>
      </c>
      <c r="AT280" s="246"/>
      <c r="AU280" s="262"/>
      <c r="AV280" s="262"/>
      <c r="AW280" s="263"/>
      <c r="AX280" s="263"/>
      <c r="AY280" s="263"/>
      <c r="AZ280" s="263"/>
      <c r="BA280" s="263"/>
      <c r="BB280" s="263"/>
      <c r="BC280" s="263"/>
      <c r="BD280" s="263"/>
      <c r="BE280" s="263"/>
      <c r="BF280" s="263"/>
      <c r="BG280" s="263"/>
      <c r="BH280" s="246"/>
      <c r="BI280" s="228" cm="1">
        <f t="array" ref="BI280">INDEX(Use, $AH280, 4)</f>
        <v>7</v>
      </c>
      <c r="BJ280" s="228">
        <f t="shared" si="531"/>
        <v>32</v>
      </c>
      <c r="BK280" s="228">
        <f t="shared" si="305"/>
        <v>13</v>
      </c>
      <c r="BL280" s="228">
        <f t="shared" si="306"/>
        <v>0</v>
      </c>
      <c r="BM280" s="233" cm="1">
        <f t="array" ref="BM280">L280/IF($M280&gt;0, INDEX($AY$22:$BE$76, $M280+20, $AH280), 1)</f>
        <v>0</v>
      </c>
      <c r="BN280" s="229">
        <f t="shared" si="532"/>
        <v>0</v>
      </c>
      <c r="BO280" s="228">
        <v>35</v>
      </c>
      <c r="BP280" s="229">
        <f t="shared" si="533"/>
        <v>48</v>
      </c>
      <c r="BQ280" s="234">
        <f t="shared" si="534"/>
        <v>3.0748170731707316</v>
      </c>
      <c r="BR280" s="234" cm="1">
        <f t="array" ref="BR280">$BM280 * SUMPRODUCT(INDEX($AV$76:$AX$81,,$AI280),INDEX($AY$76:$BE$81,,$AH280), N($AU$76:$AU$81&gt;$AM280)) / BQ280 / 1000</f>
        <v>0</v>
      </c>
      <c r="BS280" s="231">
        <f t="shared" si="310"/>
        <v>30</v>
      </c>
      <c r="BT280" s="229">
        <f t="shared" si="535"/>
        <v>43</v>
      </c>
      <c r="BU280" s="234">
        <f t="shared" si="536"/>
        <v>3.5018750000000001</v>
      </c>
      <c r="BV280" s="234" cm="1">
        <f t="array" ref="BV280">$BM280 * IF($AH280&lt;=2,
SUMPRODUCT(INDEX($AV$71:$AX$75,,$AI280), INDEX($AY$71:$BE$75,,$AH280), 1 / ($BF$71:$BF$75*BU280 + (1-$BF$71:$BF$75)*BQ280), N($AU$71:$AU$75&gt;$AM280)),
SUMPRODUCT(INDEX($AV$66:$AX$75,,$AI280), INDEX($AY$66:$BE$75,,$AH280), 1 / ($BG$66:$BG$75*BU280 + (1-$BG$66:$BG$75)*BQ280), N($AU$66:$AU$75&gt;$AM280))
) / 1000</f>
        <v>0</v>
      </c>
      <c r="BW280" s="231">
        <f t="shared" si="313"/>
        <v>25</v>
      </c>
      <c r="BX280" s="229">
        <f t="shared" si="537"/>
        <v>38</v>
      </c>
      <c r="BY280" s="234">
        <f t="shared" si="538"/>
        <v>4.0666935483870965</v>
      </c>
      <c r="BZ280" s="234" cm="1">
        <f t="array" ref="BZ280">$BM280 * IF($AH280&lt;=2,
SUMPRODUCT(INDEX($AV$66:$AX$70,,$AI280), INDEX($AY$66:$BE$70,,$AH280), 1 / ($BF$66:$BF$70*BY280 + (1-$BF$66:$BF$70)*BU280), N($AU$66:$AU$70&gt;$AM280)),
SUMPRODUCT(INDEX($AV$56:$AX$65,,$AI280), INDEX($AY$56:$BE$65,,$AH280), 1 / ($BG$56:$BG$65*BY280 + (1-$BG$56:$BG$65)*BU280), N($AU$56:$AU$65&gt;$AM280))
) / 1000</f>
        <v>0</v>
      </c>
      <c r="CA280" s="231">
        <f t="shared" si="316"/>
        <v>20</v>
      </c>
      <c r="CB280" s="229">
        <f t="shared" si="539"/>
        <v>33</v>
      </c>
      <c r="CC280" s="234">
        <f t="shared" si="540"/>
        <v>4.8487499999999999</v>
      </c>
      <c r="CD280" s="234" cm="1">
        <f t="array" ref="CD280">$BM280 * IF($AH280&lt;=2,
SUMPRODUCT(INDEX($AV$61:$AX$65,,$AI280), INDEX($AY$61:$BE$65,,$AH280), 1 / ($BF$61:$BF$65*CC280 + (1-$BF$61:$BF$65)*BY280), N($AU$61:$AU$65&gt;$AM280)),
SUMPRODUCT(INDEX($AV$46:$AX$55,,$AI280), INDEX($AY$46:$BE$55,,$AH280), 1 / ($BG$46:$BG$55*CC280 + (1-$BG$46:$BG$55)*BY280), N($AU$46:$AU$55&gt;$AM280))
) / 1000</f>
        <v>0</v>
      </c>
      <c r="CE280" s="234" cm="1">
        <f t="array" ref="CE280">$BM280 * IF($AH280&lt;=2,
SUMPRODUCT(INDEX($AV$22:$AX$60,,$AI280), INDEX($AY$22:$BE$60,,$AH280), 1 / ($BF$22:$BF$60*CC280), N($AU$22:$AU$60&gt;$AM280)),
SUMPRODUCT(INDEX($AV$22:$AX$45,,$AI280), INDEX($AY$22:$BE$45,,$AH280), 1 / ($BG$22:$BG$45*CC280), N($AU$22:$AU$45&gt;$AM280))
) / 1000</f>
        <v>0</v>
      </c>
      <c r="CF280" s="229">
        <f t="shared" si="541"/>
        <v>0</v>
      </c>
      <c r="CG280" s="246"/>
      <c r="CH280" s="229">
        <f t="shared" si="542"/>
        <v>0</v>
      </c>
      <c r="CI280" s="228">
        <v>35</v>
      </c>
      <c r="CJ280" s="229">
        <f t="shared" si="543"/>
        <v>48</v>
      </c>
      <c r="CK280" s="234">
        <f t="shared" si="544"/>
        <v>3.0748170731707316</v>
      </c>
      <c r="CL280" s="234" cm="1">
        <f t="array" ref="CL280">$BM280 * SUMPRODUCT(INDEX($AV$76:$AX$81,,$AI280),INDEX($AY$76:$BE$81,,$AH280), N($AU$76:$AU$81&gt;$AM280)) / CK280 / 1000</f>
        <v>0</v>
      </c>
      <c r="CM280" s="231">
        <f t="shared" si="323"/>
        <v>30</v>
      </c>
      <c r="CN280" s="229">
        <f t="shared" si="545"/>
        <v>43</v>
      </c>
      <c r="CO280" s="234">
        <f t="shared" si="546"/>
        <v>3.5018750000000001</v>
      </c>
      <c r="CP280" s="234" cm="1">
        <f t="array" ref="CP280">$BM280 * IF($AH280&lt;=2,
SUMPRODUCT(INDEX($AV$71:$AX$75,,$AI280), INDEX($AY$71:$BE$75,,$AH280), 1 / ($BF$71:$BF$75*CO280 + (1-$BF$71:$BF$75)*CK280), N($AU$71:$AU$75&gt;$AM280)),
SUMPRODUCT(INDEX($AV$66:$AX$75,,$AI280), INDEX($AY$66:$BE$75,,$AH280), 1 / ($BG$66:$BG$75*CO280 + (1-$BG$66:$BG$75)*CK280), N($AU$66:$AU$75&gt;$AM280))
) / 1000</f>
        <v>0</v>
      </c>
      <c r="CQ280" s="231">
        <f t="shared" si="326"/>
        <v>25</v>
      </c>
      <c r="CR280" s="229">
        <f t="shared" si="547"/>
        <v>38</v>
      </c>
      <c r="CS280" s="234">
        <f t="shared" si="548"/>
        <v>4.0666935483870965</v>
      </c>
      <c r="CT280" s="234" cm="1">
        <f t="array" ref="CT280">$BM280 * IF($AH280&lt;=2,
SUMPRODUCT(INDEX($AV$66:$AX$70,,$AI280), INDEX($AY$66:$BE$70,,$AH280), 1 / ($BF$66:$BF$70*CS280 + (1-$BF$66:$BF$70)*CO280), N($AU$66:$AU$70&gt;$AM280)),
SUMPRODUCT(INDEX($AV$56:$AX$65,,$AI280), INDEX($AY$56:$BE$65,,$AH280), 1 / ($BG$56:$BG$65*CS280 + (1-$BG$56:$BG$65)*CO280), N($AU$56:$AU$65&gt;$AM280))
) / 1000</f>
        <v>0</v>
      </c>
      <c r="CU280" s="231">
        <f t="shared" si="329"/>
        <v>20</v>
      </c>
      <c r="CV280" s="229">
        <f t="shared" si="549"/>
        <v>33</v>
      </c>
      <c r="CW280" s="234">
        <f t="shared" si="550"/>
        <v>4.8487499999999999</v>
      </c>
      <c r="CX280" s="234" cm="1">
        <f t="array" ref="CX280">$BM280 * IF($AH280&lt;=2,
SUMPRODUCT(INDEX($AV$61:$AX$65,,$AI280), INDEX($AY$61:$BE$65,,$AH280), 1 / ($BF$61:$BF$65*CW280 + (1-$BF$61:$BF$65)*CS280), N($AU$61:$AU$65&gt;$AM280)),
SUMPRODUCT(INDEX($AV$46:$AX$55,,$AI280), INDEX($AY$46:$BE$55,,$AH280), 1 / ($BG$46:$BG$55*CW280 + (1-$BG$46:$BG$55)*CS280), N($AU$46:$AU$55&gt;$AM280))
) / 1000</f>
        <v>0</v>
      </c>
      <c r="CY280" s="234" cm="1">
        <f t="array" ref="CY280">$BM280 * IF($AH280&lt;=2,
SUMPRODUCT(INDEX($AV$22:$AX$60,,$AI280), INDEX($AY$22:$BE$60,,$AH280), 1 / ($BF$22:$BF$60*CW280), N($AU$22:$AU$60&gt;$AM280)),
SUMPRODUCT(INDEX($AV$22:$AX$45,,$AI280), INDEX($AY$22:$BE$45,,$AH280), 1 / ($BG$22:$BG$45*CW280), N($AU$22:$AU$45&gt;$AM280))
) / 1000</f>
        <v>0</v>
      </c>
      <c r="CZ280" s="229">
        <f t="shared" si="551"/>
        <v>0</v>
      </c>
      <c r="DA280" s="246"/>
    </row>
    <row r="281" spans="1:105" s="75" customFormat="1" ht="14.25" customHeight="1" x14ac:dyDescent="0.2">
      <c r="A281" s="230" t="b">
        <f t="shared" si="291"/>
        <v>0</v>
      </c>
      <c r="B281" s="253">
        <v>260</v>
      </c>
      <c r="C281" s="266"/>
      <c r="D281" s="266"/>
      <c r="E281" s="254"/>
      <c r="F281" s="255" t="str">
        <f>IF(ISBLANK(E281), "", VLOOKUP(E281, Z!$A$2:$C$4127, 3, FALSE))</f>
        <v/>
      </c>
      <c r="G281" s="256"/>
      <c r="H281" s="256"/>
      <c r="I281" s="256"/>
      <c r="J281" s="257"/>
      <c r="K281" s="258"/>
      <c r="L281" s="267"/>
      <c r="M281" s="268"/>
      <c r="N281" s="259" t="str" cm="1">
        <f t="array" ref="N281">IF($L281&gt;0, INDEX(Clean,1+AK281,$D$1), "")</f>
        <v/>
      </c>
      <c r="O281" s="260"/>
      <c r="P281" s="260"/>
      <c r="Q281" s="261"/>
      <c r="R281" s="264">
        <f t="shared" si="527"/>
        <v>0</v>
      </c>
      <c r="S281" s="259" t="str" cm="1">
        <f t="array" ref="S281">IF($L281&gt;0, INDEX(Clean,1+AL281,$D$1), "")</f>
        <v/>
      </c>
      <c r="T281" s="260"/>
      <c r="U281" s="260"/>
      <c r="V281" s="261"/>
      <c r="W281" s="267"/>
      <c r="X281" s="267"/>
      <c r="Y281" s="257"/>
      <c r="Z281" s="264">
        <f t="shared" si="528"/>
        <v>0</v>
      </c>
      <c r="AA281" s="269"/>
      <c r="AB281" s="266"/>
      <c r="AC281" s="254"/>
      <c r="AD281" s="255" t="str">
        <f>IF(ISBLANK(AC281), "", VLOOKUP(AC281, Z!$A$2:$C$4127, 3, FALSE))</f>
        <v/>
      </c>
      <c r="AE281" s="270"/>
      <c r="AF281" s="265">
        <f t="shared" si="529"/>
        <v>0</v>
      </c>
      <c r="AG281" s="246"/>
      <c r="AH281" s="228">
        <f t="shared" si="552"/>
        <v>1</v>
      </c>
      <c r="AI281" s="228">
        <f t="shared" si="553"/>
        <v>1</v>
      </c>
      <c r="AJ281" s="228">
        <f t="shared" si="554"/>
        <v>0</v>
      </c>
      <c r="AK281" s="228">
        <v>0</v>
      </c>
      <c r="AL281" s="228">
        <v>0</v>
      </c>
      <c r="AM281" s="228">
        <f t="shared" si="530"/>
        <v>-100</v>
      </c>
      <c r="AN281" s="228" cm="1">
        <f t="array" ref="AN281">IF(ISBLANK(G281), 1, IFERROR(MATCH(G281, INDEX(Kat,,1), 0), IFERROR(MATCH(Kat, INDEX(Use,,2), 0), MATCH(Kat, INDEX(Use,,3), 0))))</f>
        <v>1</v>
      </c>
      <c r="AO281" s="246"/>
      <c r="AP281" s="228" cm="1">
        <f t="array" ref="AP281">IF(W281&gt;0, INDEX(Kat, AN281,4), 0)</f>
        <v>0</v>
      </c>
      <c r="AQ281" s="228">
        <f t="shared" si="555"/>
        <v>0</v>
      </c>
      <c r="AR281" s="228" cm="1">
        <f t="array" ref="AR281">IF(X281&gt;0, INDEX(Kat, $AN281, 4+AQ281), 0)</f>
        <v>0</v>
      </c>
      <c r="AS281" s="228" cm="1">
        <f t="array" ref="AS281">IF(X281&gt;0, INDEX(Kat, $AN281, 9+AQ281), 0)</f>
        <v>0</v>
      </c>
      <c r="AT281" s="246"/>
      <c r="AU281" s="262"/>
      <c r="AV281" s="262"/>
      <c r="AW281" s="263"/>
      <c r="AX281" s="263"/>
      <c r="AY281" s="263"/>
      <c r="AZ281" s="263"/>
      <c r="BA281" s="263"/>
      <c r="BB281" s="263"/>
      <c r="BC281" s="263"/>
      <c r="BD281" s="263"/>
      <c r="BE281" s="263"/>
      <c r="BF281" s="263"/>
      <c r="BG281" s="263"/>
      <c r="BH281" s="246"/>
      <c r="BI281" s="228" cm="1">
        <f t="array" ref="BI281">INDEX(Use, $AH281, 4)</f>
        <v>7</v>
      </c>
      <c r="BJ281" s="228">
        <f t="shared" si="531"/>
        <v>32</v>
      </c>
      <c r="BK281" s="228">
        <f t="shared" si="305"/>
        <v>13</v>
      </c>
      <c r="BL281" s="228">
        <f t="shared" si="306"/>
        <v>0</v>
      </c>
      <c r="BM281" s="233" cm="1">
        <f t="array" ref="BM281">L281/IF($M281&gt;0, INDEX($AY$22:$BE$76, $M281+20, $AH281), 1)</f>
        <v>0</v>
      </c>
      <c r="BN281" s="229">
        <f t="shared" si="532"/>
        <v>0</v>
      </c>
      <c r="BO281" s="228">
        <v>35</v>
      </c>
      <c r="BP281" s="229">
        <f t="shared" si="533"/>
        <v>48</v>
      </c>
      <c r="BQ281" s="234">
        <f t="shared" si="534"/>
        <v>3.0748170731707316</v>
      </c>
      <c r="BR281" s="234" cm="1">
        <f t="array" ref="BR281">$BM281 * SUMPRODUCT(INDEX($AV$76:$AX$81,,$AI281),INDEX($AY$76:$BE$81,,$AH281), N($AU$76:$AU$81&gt;$AM281)) / BQ281 / 1000</f>
        <v>0</v>
      </c>
      <c r="BS281" s="231">
        <f t="shared" si="310"/>
        <v>30</v>
      </c>
      <c r="BT281" s="229">
        <f t="shared" si="535"/>
        <v>43</v>
      </c>
      <c r="BU281" s="234">
        <f t="shared" si="536"/>
        <v>3.5018750000000001</v>
      </c>
      <c r="BV281" s="234" cm="1">
        <f t="array" ref="BV281">$BM281 * IF($AH281&lt;=2,
SUMPRODUCT(INDEX($AV$71:$AX$75,,$AI281), INDEX($AY$71:$BE$75,,$AH281), 1 / ($BF$71:$BF$75*BU281 + (1-$BF$71:$BF$75)*BQ281), N($AU$71:$AU$75&gt;$AM281)),
SUMPRODUCT(INDEX($AV$66:$AX$75,,$AI281), INDEX($AY$66:$BE$75,,$AH281), 1 / ($BG$66:$BG$75*BU281 + (1-$BG$66:$BG$75)*BQ281), N($AU$66:$AU$75&gt;$AM281))
) / 1000</f>
        <v>0</v>
      </c>
      <c r="BW281" s="231">
        <f t="shared" si="313"/>
        <v>25</v>
      </c>
      <c r="BX281" s="229">
        <f t="shared" si="537"/>
        <v>38</v>
      </c>
      <c r="BY281" s="234">
        <f t="shared" si="538"/>
        <v>4.0666935483870965</v>
      </c>
      <c r="BZ281" s="234" cm="1">
        <f t="array" ref="BZ281">$BM281 * IF($AH281&lt;=2,
SUMPRODUCT(INDEX($AV$66:$AX$70,,$AI281), INDEX($AY$66:$BE$70,,$AH281), 1 / ($BF$66:$BF$70*BY281 + (1-$BF$66:$BF$70)*BU281), N($AU$66:$AU$70&gt;$AM281)),
SUMPRODUCT(INDEX($AV$56:$AX$65,,$AI281), INDEX($AY$56:$BE$65,,$AH281), 1 / ($BG$56:$BG$65*BY281 + (1-$BG$56:$BG$65)*BU281), N($AU$56:$AU$65&gt;$AM281))
) / 1000</f>
        <v>0</v>
      </c>
      <c r="CA281" s="231">
        <f t="shared" si="316"/>
        <v>20</v>
      </c>
      <c r="CB281" s="229">
        <f t="shared" si="539"/>
        <v>33</v>
      </c>
      <c r="CC281" s="234">
        <f t="shared" si="540"/>
        <v>4.8487499999999999</v>
      </c>
      <c r="CD281" s="234" cm="1">
        <f t="array" ref="CD281">$BM281 * IF($AH281&lt;=2,
SUMPRODUCT(INDEX($AV$61:$AX$65,,$AI281), INDEX($AY$61:$BE$65,,$AH281), 1 / ($BF$61:$BF$65*CC281 + (1-$BF$61:$BF$65)*BY281), N($AU$61:$AU$65&gt;$AM281)),
SUMPRODUCT(INDEX($AV$46:$AX$55,,$AI281), INDEX($AY$46:$BE$55,,$AH281), 1 / ($BG$46:$BG$55*CC281 + (1-$BG$46:$BG$55)*BY281), N($AU$46:$AU$55&gt;$AM281))
) / 1000</f>
        <v>0</v>
      </c>
      <c r="CE281" s="234" cm="1">
        <f t="array" ref="CE281">$BM281 * IF($AH281&lt;=2,
SUMPRODUCT(INDEX($AV$22:$AX$60,,$AI281), INDEX($AY$22:$BE$60,,$AH281), 1 / ($BF$22:$BF$60*CC281), N($AU$22:$AU$60&gt;$AM281)),
SUMPRODUCT(INDEX($AV$22:$AX$45,,$AI281), INDEX($AY$22:$BE$45,,$AH281), 1 / ($BG$22:$BG$45*CC281), N($AU$22:$AU$45&gt;$AM281))
) / 1000</f>
        <v>0</v>
      </c>
      <c r="CF281" s="229">
        <f t="shared" si="541"/>
        <v>0</v>
      </c>
      <c r="CG281" s="246"/>
      <c r="CH281" s="229">
        <f t="shared" si="542"/>
        <v>0</v>
      </c>
      <c r="CI281" s="228">
        <v>35</v>
      </c>
      <c r="CJ281" s="229">
        <f t="shared" si="543"/>
        <v>48</v>
      </c>
      <c r="CK281" s="234">
        <f t="shared" si="544"/>
        <v>3.0748170731707316</v>
      </c>
      <c r="CL281" s="234" cm="1">
        <f t="array" ref="CL281">$BM281 * SUMPRODUCT(INDEX($AV$76:$AX$81,,$AI281),INDEX($AY$76:$BE$81,,$AH281), N($AU$76:$AU$81&gt;$AM281)) / CK281 / 1000</f>
        <v>0</v>
      </c>
      <c r="CM281" s="231">
        <f t="shared" si="323"/>
        <v>30</v>
      </c>
      <c r="CN281" s="229">
        <f t="shared" si="545"/>
        <v>43</v>
      </c>
      <c r="CO281" s="234">
        <f t="shared" si="546"/>
        <v>3.5018750000000001</v>
      </c>
      <c r="CP281" s="234" cm="1">
        <f t="array" ref="CP281">$BM281 * IF($AH281&lt;=2,
SUMPRODUCT(INDEX($AV$71:$AX$75,,$AI281), INDEX($AY$71:$BE$75,,$AH281), 1 / ($BF$71:$BF$75*CO281 + (1-$BF$71:$BF$75)*CK281), N($AU$71:$AU$75&gt;$AM281)),
SUMPRODUCT(INDEX($AV$66:$AX$75,,$AI281), INDEX($AY$66:$BE$75,,$AH281), 1 / ($BG$66:$BG$75*CO281 + (1-$BG$66:$BG$75)*CK281), N($AU$66:$AU$75&gt;$AM281))
) / 1000</f>
        <v>0</v>
      </c>
      <c r="CQ281" s="231">
        <f t="shared" si="326"/>
        <v>25</v>
      </c>
      <c r="CR281" s="229">
        <f t="shared" si="547"/>
        <v>38</v>
      </c>
      <c r="CS281" s="234">
        <f t="shared" si="548"/>
        <v>4.0666935483870965</v>
      </c>
      <c r="CT281" s="234" cm="1">
        <f t="array" ref="CT281">$BM281 * IF($AH281&lt;=2,
SUMPRODUCT(INDEX($AV$66:$AX$70,,$AI281), INDEX($AY$66:$BE$70,,$AH281), 1 / ($BF$66:$BF$70*CS281 + (1-$BF$66:$BF$70)*CO281), N($AU$66:$AU$70&gt;$AM281)),
SUMPRODUCT(INDEX($AV$56:$AX$65,,$AI281), INDEX($AY$56:$BE$65,,$AH281), 1 / ($BG$56:$BG$65*CS281 + (1-$BG$56:$BG$65)*CO281), N($AU$56:$AU$65&gt;$AM281))
) / 1000</f>
        <v>0</v>
      </c>
      <c r="CU281" s="231">
        <f t="shared" si="329"/>
        <v>20</v>
      </c>
      <c r="CV281" s="229">
        <f t="shared" si="549"/>
        <v>33</v>
      </c>
      <c r="CW281" s="234">
        <f t="shared" si="550"/>
        <v>4.8487499999999999</v>
      </c>
      <c r="CX281" s="234" cm="1">
        <f t="array" ref="CX281">$BM281 * IF($AH281&lt;=2,
SUMPRODUCT(INDEX($AV$61:$AX$65,,$AI281), INDEX($AY$61:$BE$65,,$AH281), 1 / ($BF$61:$BF$65*CW281 + (1-$BF$61:$BF$65)*CS281), N($AU$61:$AU$65&gt;$AM281)),
SUMPRODUCT(INDEX($AV$46:$AX$55,,$AI281), INDEX($AY$46:$BE$55,,$AH281), 1 / ($BG$46:$BG$55*CW281 + (1-$BG$46:$BG$55)*CS281), N($AU$46:$AU$55&gt;$AM281))
) / 1000</f>
        <v>0</v>
      </c>
      <c r="CY281" s="234" cm="1">
        <f t="array" ref="CY281">$BM281 * IF($AH281&lt;=2,
SUMPRODUCT(INDEX($AV$22:$AX$60,,$AI281), INDEX($AY$22:$BE$60,,$AH281), 1 / ($BF$22:$BF$60*CW281), N($AU$22:$AU$60&gt;$AM281)),
SUMPRODUCT(INDEX($AV$22:$AX$45,,$AI281), INDEX($AY$22:$BE$45,,$AH281), 1 / ($BG$22:$BG$45*CW281), N($AU$22:$AU$45&gt;$AM281))
) / 1000</f>
        <v>0</v>
      </c>
      <c r="CZ281" s="229">
        <f t="shared" si="551"/>
        <v>0</v>
      </c>
      <c r="DA281" s="246"/>
    </row>
    <row r="282" spans="1:105" s="75" customFormat="1" ht="14.25" customHeight="1" x14ac:dyDescent="0.2">
      <c r="A282" s="230" t="b">
        <f t="shared" si="291"/>
        <v>0</v>
      </c>
      <c r="B282" s="253">
        <v>261</v>
      </c>
      <c r="C282" s="266"/>
      <c r="D282" s="266"/>
      <c r="E282" s="254"/>
      <c r="F282" s="255" t="str">
        <f>IF(ISBLANK(E282), "", VLOOKUP(E282, Z!$A$2:$C$4127, 3, FALSE))</f>
        <v/>
      </c>
      <c r="G282" s="256"/>
      <c r="H282" s="256"/>
      <c r="I282" s="256"/>
      <c r="J282" s="257"/>
      <c r="K282" s="258"/>
      <c r="L282" s="267"/>
      <c r="M282" s="268"/>
      <c r="N282" s="259" t="str" cm="1">
        <f t="array" ref="N282">IF($L282&gt;0, INDEX(Clean,1+AK282,$D$1), "")</f>
        <v/>
      </c>
      <c r="O282" s="260"/>
      <c r="P282" s="260"/>
      <c r="Q282" s="261"/>
      <c r="R282" s="264">
        <f t="shared" si="527"/>
        <v>0</v>
      </c>
      <c r="S282" s="259" t="str" cm="1">
        <f t="array" ref="S282">IF($L282&gt;0, INDEX(Clean,1+AL282,$D$1), "")</f>
        <v/>
      </c>
      <c r="T282" s="260"/>
      <c r="U282" s="260"/>
      <c r="V282" s="261"/>
      <c r="W282" s="267"/>
      <c r="X282" s="267"/>
      <c r="Y282" s="257"/>
      <c r="Z282" s="264">
        <f t="shared" si="528"/>
        <v>0</v>
      </c>
      <c r="AA282" s="269"/>
      <c r="AB282" s="266"/>
      <c r="AC282" s="254"/>
      <c r="AD282" s="255" t="str">
        <f>IF(ISBLANK(AC282), "", VLOOKUP(AC282, Z!$A$2:$C$4127, 3, FALSE))</f>
        <v/>
      </c>
      <c r="AE282" s="270"/>
      <c r="AF282" s="265">
        <f t="shared" si="529"/>
        <v>0</v>
      </c>
      <c r="AG282" s="246"/>
      <c r="AH282" s="228">
        <f t="shared" si="552"/>
        <v>1</v>
      </c>
      <c r="AI282" s="228">
        <f t="shared" si="553"/>
        <v>1</v>
      </c>
      <c r="AJ282" s="228">
        <f t="shared" si="554"/>
        <v>0</v>
      </c>
      <c r="AK282" s="228">
        <v>0</v>
      </c>
      <c r="AL282" s="228">
        <v>0</v>
      </c>
      <c r="AM282" s="228">
        <f t="shared" si="530"/>
        <v>-100</v>
      </c>
      <c r="AN282" s="228" cm="1">
        <f t="array" ref="AN282">IF(ISBLANK(G282), 1, IFERROR(MATCH(G282, INDEX(Kat,,1), 0), IFERROR(MATCH(Kat, INDEX(Use,,2), 0), MATCH(Kat, INDEX(Use,,3), 0))))</f>
        <v>1</v>
      </c>
      <c r="AO282" s="246"/>
      <c r="AP282" s="228" cm="1">
        <f t="array" ref="AP282">IF(W282&gt;0, INDEX(Kat, AN282,4), 0)</f>
        <v>0</v>
      </c>
      <c r="AQ282" s="228">
        <f t="shared" si="555"/>
        <v>0</v>
      </c>
      <c r="AR282" s="228" cm="1">
        <f t="array" ref="AR282">IF(X282&gt;0, INDEX(Kat, $AN282, 4+AQ282), 0)</f>
        <v>0</v>
      </c>
      <c r="AS282" s="228" cm="1">
        <f t="array" ref="AS282">IF(X282&gt;0, INDEX(Kat, $AN282, 9+AQ282), 0)</f>
        <v>0</v>
      </c>
      <c r="AT282" s="246"/>
      <c r="AU282" s="262"/>
      <c r="AV282" s="262"/>
      <c r="AW282" s="263"/>
      <c r="AX282" s="263"/>
      <c r="AY282" s="263"/>
      <c r="AZ282" s="263"/>
      <c r="BA282" s="263"/>
      <c r="BB282" s="263"/>
      <c r="BC282" s="263"/>
      <c r="BD282" s="263"/>
      <c r="BE282" s="263"/>
      <c r="BF282" s="263"/>
      <c r="BG282" s="263"/>
      <c r="BH282" s="246"/>
      <c r="BI282" s="228" cm="1">
        <f t="array" ref="BI282">INDEX(Use, $AH282, 4)</f>
        <v>7</v>
      </c>
      <c r="BJ282" s="228">
        <f t="shared" si="531"/>
        <v>32</v>
      </c>
      <c r="BK282" s="228">
        <f t="shared" si="305"/>
        <v>13</v>
      </c>
      <c r="BL282" s="228">
        <f t="shared" si="306"/>
        <v>0</v>
      </c>
      <c r="BM282" s="233" cm="1">
        <f t="array" ref="BM282">L282/IF($M282&gt;0, INDEX($AY$22:$BE$76, $M282+20, $AH282), 1)</f>
        <v>0</v>
      </c>
      <c r="BN282" s="229">
        <f t="shared" si="532"/>
        <v>0</v>
      </c>
      <c r="BO282" s="228">
        <v>35</v>
      </c>
      <c r="BP282" s="229">
        <f t="shared" si="533"/>
        <v>48</v>
      </c>
      <c r="BQ282" s="234">
        <f t="shared" si="534"/>
        <v>3.0748170731707316</v>
      </c>
      <c r="BR282" s="234" cm="1">
        <f t="array" ref="BR282">$BM282 * SUMPRODUCT(INDEX($AV$76:$AX$81,,$AI282),INDEX($AY$76:$BE$81,,$AH282), N($AU$76:$AU$81&gt;$AM282)) / BQ282 / 1000</f>
        <v>0</v>
      </c>
      <c r="BS282" s="231">
        <f t="shared" si="310"/>
        <v>30</v>
      </c>
      <c r="BT282" s="229">
        <f t="shared" si="535"/>
        <v>43</v>
      </c>
      <c r="BU282" s="234">
        <f t="shared" si="536"/>
        <v>3.5018750000000001</v>
      </c>
      <c r="BV282" s="234" cm="1">
        <f t="array" ref="BV282">$BM282 * IF($AH282&lt;=2,
SUMPRODUCT(INDEX($AV$71:$AX$75,,$AI282), INDEX($AY$71:$BE$75,,$AH282), 1 / ($BF$71:$BF$75*BU282 + (1-$BF$71:$BF$75)*BQ282), N($AU$71:$AU$75&gt;$AM282)),
SUMPRODUCT(INDEX($AV$66:$AX$75,,$AI282), INDEX($AY$66:$BE$75,,$AH282), 1 / ($BG$66:$BG$75*BU282 + (1-$BG$66:$BG$75)*BQ282), N($AU$66:$AU$75&gt;$AM282))
) / 1000</f>
        <v>0</v>
      </c>
      <c r="BW282" s="231">
        <f t="shared" si="313"/>
        <v>25</v>
      </c>
      <c r="BX282" s="229">
        <f t="shared" si="537"/>
        <v>38</v>
      </c>
      <c r="BY282" s="234">
        <f t="shared" si="538"/>
        <v>4.0666935483870965</v>
      </c>
      <c r="BZ282" s="234" cm="1">
        <f t="array" ref="BZ282">$BM282 * IF($AH282&lt;=2,
SUMPRODUCT(INDEX($AV$66:$AX$70,,$AI282), INDEX($AY$66:$BE$70,,$AH282), 1 / ($BF$66:$BF$70*BY282 + (1-$BF$66:$BF$70)*BU282), N($AU$66:$AU$70&gt;$AM282)),
SUMPRODUCT(INDEX($AV$56:$AX$65,,$AI282), INDEX($AY$56:$BE$65,,$AH282), 1 / ($BG$56:$BG$65*BY282 + (1-$BG$56:$BG$65)*BU282), N($AU$56:$AU$65&gt;$AM282))
) / 1000</f>
        <v>0</v>
      </c>
      <c r="CA282" s="231">
        <f t="shared" si="316"/>
        <v>20</v>
      </c>
      <c r="CB282" s="229">
        <f t="shared" si="539"/>
        <v>33</v>
      </c>
      <c r="CC282" s="234">
        <f t="shared" si="540"/>
        <v>4.8487499999999999</v>
      </c>
      <c r="CD282" s="234" cm="1">
        <f t="array" ref="CD282">$BM282 * IF($AH282&lt;=2,
SUMPRODUCT(INDEX($AV$61:$AX$65,,$AI282), INDEX($AY$61:$BE$65,,$AH282), 1 / ($BF$61:$BF$65*CC282 + (1-$BF$61:$BF$65)*BY282), N($AU$61:$AU$65&gt;$AM282)),
SUMPRODUCT(INDEX($AV$46:$AX$55,,$AI282), INDEX($AY$46:$BE$55,,$AH282), 1 / ($BG$46:$BG$55*CC282 + (1-$BG$46:$BG$55)*BY282), N($AU$46:$AU$55&gt;$AM282))
) / 1000</f>
        <v>0</v>
      </c>
      <c r="CE282" s="234" cm="1">
        <f t="array" ref="CE282">$BM282 * IF($AH282&lt;=2,
SUMPRODUCT(INDEX($AV$22:$AX$60,,$AI282), INDEX($AY$22:$BE$60,,$AH282), 1 / ($BF$22:$BF$60*CC282), N($AU$22:$AU$60&gt;$AM282)),
SUMPRODUCT(INDEX($AV$22:$AX$45,,$AI282), INDEX($AY$22:$BE$45,,$AH282), 1 / ($BG$22:$BG$45*CC282), N($AU$22:$AU$45&gt;$AM282))
) / 1000</f>
        <v>0</v>
      </c>
      <c r="CF282" s="229">
        <f t="shared" si="541"/>
        <v>0</v>
      </c>
      <c r="CG282" s="246"/>
      <c r="CH282" s="229">
        <f t="shared" si="542"/>
        <v>0</v>
      </c>
      <c r="CI282" s="228">
        <v>35</v>
      </c>
      <c r="CJ282" s="229">
        <f t="shared" si="543"/>
        <v>48</v>
      </c>
      <c r="CK282" s="234">
        <f t="shared" si="544"/>
        <v>3.0748170731707316</v>
      </c>
      <c r="CL282" s="234" cm="1">
        <f t="array" ref="CL282">$BM282 * SUMPRODUCT(INDEX($AV$76:$AX$81,,$AI282),INDEX($AY$76:$BE$81,,$AH282), N($AU$76:$AU$81&gt;$AM282)) / CK282 / 1000</f>
        <v>0</v>
      </c>
      <c r="CM282" s="231">
        <f t="shared" si="323"/>
        <v>30</v>
      </c>
      <c r="CN282" s="229">
        <f t="shared" si="545"/>
        <v>43</v>
      </c>
      <c r="CO282" s="234">
        <f t="shared" si="546"/>
        <v>3.5018750000000001</v>
      </c>
      <c r="CP282" s="234" cm="1">
        <f t="array" ref="CP282">$BM282 * IF($AH282&lt;=2,
SUMPRODUCT(INDEX($AV$71:$AX$75,,$AI282), INDEX($AY$71:$BE$75,,$AH282), 1 / ($BF$71:$BF$75*CO282 + (1-$BF$71:$BF$75)*CK282), N($AU$71:$AU$75&gt;$AM282)),
SUMPRODUCT(INDEX($AV$66:$AX$75,,$AI282), INDEX($AY$66:$BE$75,,$AH282), 1 / ($BG$66:$BG$75*CO282 + (1-$BG$66:$BG$75)*CK282), N($AU$66:$AU$75&gt;$AM282))
) / 1000</f>
        <v>0</v>
      </c>
      <c r="CQ282" s="231">
        <f t="shared" si="326"/>
        <v>25</v>
      </c>
      <c r="CR282" s="229">
        <f t="shared" si="547"/>
        <v>38</v>
      </c>
      <c r="CS282" s="234">
        <f t="shared" si="548"/>
        <v>4.0666935483870965</v>
      </c>
      <c r="CT282" s="234" cm="1">
        <f t="array" ref="CT282">$BM282 * IF($AH282&lt;=2,
SUMPRODUCT(INDEX($AV$66:$AX$70,,$AI282), INDEX($AY$66:$BE$70,,$AH282), 1 / ($BF$66:$BF$70*CS282 + (1-$BF$66:$BF$70)*CO282), N($AU$66:$AU$70&gt;$AM282)),
SUMPRODUCT(INDEX($AV$56:$AX$65,,$AI282), INDEX($AY$56:$BE$65,,$AH282), 1 / ($BG$56:$BG$65*CS282 + (1-$BG$56:$BG$65)*CO282), N($AU$56:$AU$65&gt;$AM282))
) / 1000</f>
        <v>0</v>
      </c>
      <c r="CU282" s="231">
        <f t="shared" si="329"/>
        <v>20</v>
      </c>
      <c r="CV282" s="229">
        <f t="shared" si="549"/>
        <v>33</v>
      </c>
      <c r="CW282" s="234">
        <f t="shared" si="550"/>
        <v>4.8487499999999999</v>
      </c>
      <c r="CX282" s="234" cm="1">
        <f t="array" ref="CX282">$BM282 * IF($AH282&lt;=2,
SUMPRODUCT(INDEX($AV$61:$AX$65,,$AI282), INDEX($AY$61:$BE$65,,$AH282), 1 / ($BF$61:$BF$65*CW282 + (1-$BF$61:$BF$65)*CS282), N($AU$61:$AU$65&gt;$AM282)),
SUMPRODUCT(INDEX($AV$46:$AX$55,,$AI282), INDEX($AY$46:$BE$55,,$AH282), 1 / ($BG$46:$BG$55*CW282 + (1-$BG$46:$BG$55)*CS282), N($AU$46:$AU$55&gt;$AM282))
) / 1000</f>
        <v>0</v>
      </c>
      <c r="CY282" s="234" cm="1">
        <f t="array" ref="CY282">$BM282 * IF($AH282&lt;=2,
SUMPRODUCT(INDEX($AV$22:$AX$60,,$AI282), INDEX($AY$22:$BE$60,,$AH282), 1 / ($BF$22:$BF$60*CW282), N($AU$22:$AU$60&gt;$AM282)),
SUMPRODUCT(INDEX($AV$22:$AX$45,,$AI282), INDEX($AY$22:$BE$45,,$AH282), 1 / ($BG$22:$BG$45*CW282), N($AU$22:$AU$45&gt;$AM282))
) / 1000</f>
        <v>0</v>
      </c>
      <c r="CZ282" s="229">
        <f t="shared" si="551"/>
        <v>0</v>
      </c>
      <c r="DA282" s="246"/>
    </row>
    <row r="283" spans="1:105" s="75" customFormat="1" ht="14.25" customHeight="1" x14ac:dyDescent="0.2">
      <c r="A283" s="230" t="b">
        <f t="shared" si="291"/>
        <v>0</v>
      </c>
      <c r="B283" s="253">
        <v>262</v>
      </c>
      <c r="C283" s="266"/>
      <c r="D283" s="266"/>
      <c r="E283" s="254"/>
      <c r="F283" s="255" t="str">
        <f>IF(ISBLANK(E283), "", VLOOKUP(E283, Z!$A$2:$C$4127, 3, FALSE))</f>
        <v/>
      </c>
      <c r="G283" s="256"/>
      <c r="H283" s="256"/>
      <c r="I283" s="256"/>
      <c r="J283" s="257"/>
      <c r="K283" s="258"/>
      <c r="L283" s="267"/>
      <c r="M283" s="268"/>
      <c r="N283" s="259" t="str" cm="1">
        <f t="array" ref="N283">IF($L283&gt;0, INDEX(Clean,1+AK283,$D$1), "")</f>
        <v/>
      </c>
      <c r="O283" s="260"/>
      <c r="P283" s="260"/>
      <c r="Q283" s="261"/>
      <c r="R283" s="264">
        <f t="shared" si="527"/>
        <v>0</v>
      </c>
      <c r="S283" s="259" t="str" cm="1">
        <f t="array" ref="S283">IF($L283&gt;0, INDEX(Clean,1+AL283,$D$1), "")</f>
        <v/>
      </c>
      <c r="T283" s="260"/>
      <c r="U283" s="260"/>
      <c r="V283" s="261"/>
      <c r="W283" s="267"/>
      <c r="X283" s="267"/>
      <c r="Y283" s="257"/>
      <c r="Z283" s="264">
        <f t="shared" si="528"/>
        <v>0</v>
      </c>
      <c r="AA283" s="269"/>
      <c r="AB283" s="266"/>
      <c r="AC283" s="254"/>
      <c r="AD283" s="255" t="str">
        <f>IF(ISBLANK(AC283), "", VLOOKUP(AC283, Z!$A$2:$C$4127, 3, FALSE))</f>
        <v/>
      </c>
      <c r="AE283" s="270"/>
      <c r="AF283" s="265">
        <f t="shared" si="529"/>
        <v>0</v>
      </c>
      <c r="AG283" s="246"/>
      <c r="AH283" s="228">
        <f t="shared" si="552"/>
        <v>1</v>
      </c>
      <c r="AI283" s="228">
        <f t="shared" si="553"/>
        <v>1</v>
      </c>
      <c r="AJ283" s="228">
        <f t="shared" si="554"/>
        <v>0</v>
      </c>
      <c r="AK283" s="228">
        <v>0</v>
      </c>
      <c r="AL283" s="228">
        <v>0</v>
      </c>
      <c r="AM283" s="228">
        <f t="shared" si="530"/>
        <v>-100</v>
      </c>
      <c r="AN283" s="228" cm="1">
        <f t="array" ref="AN283">IF(ISBLANK(G283), 1, IFERROR(MATCH(G283, INDEX(Kat,,1), 0), IFERROR(MATCH(Kat, INDEX(Use,,2), 0), MATCH(Kat, INDEX(Use,,3), 0))))</f>
        <v>1</v>
      </c>
      <c r="AO283" s="246"/>
      <c r="AP283" s="228" cm="1">
        <f t="array" ref="AP283">IF(W283&gt;0, INDEX(Kat, AN283,4), 0)</f>
        <v>0</v>
      </c>
      <c r="AQ283" s="228">
        <f t="shared" si="555"/>
        <v>0</v>
      </c>
      <c r="AR283" s="228" cm="1">
        <f t="array" ref="AR283">IF(X283&gt;0, INDEX(Kat, $AN283, 4+AQ283), 0)</f>
        <v>0</v>
      </c>
      <c r="AS283" s="228" cm="1">
        <f t="array" ref="AS283">IF(X283&gt;0, INDEX(Kat, $AN283, 9+AQ283), 0)</f>
        <v>0</v>
      </c>
      <c r="AT283" s="246"/>
      <c r="AU283" s="262"/>
      <c r="AV283" s="262"/>
      <c r="AW283" s="263"/>
      <c r="AX283" s="263"/>
      <c r="AY283" s="263"/>
      <c r="AZ283" s="263"/>
      <c r="BA283" s="263"/>
      <c r="BB283" s="263"/>
      <c r="BC283" s="263"/>
      <c r="BD283" s="263"/>
      <c r="BE283" s="263"/>
      <c r="BF283" s="263"/>
      <c r="BG283" s="263"/>
      <c r="BH283" s="246"/>
      <c r="BI283" s="228" cm="1">
        <f t="array" ref="BI283">INDEX(Use, $AH283, 4)</f>
        <v>7</v>
      </c>
      <c r="BJ283" s="228">
        <f t="shared" si="531"/>
        <v>32</v>
      </c>
      <c r="BK283" s="228">
        <f t="shared" si="305"/>
        <v>13</v>
      </c>
      <c r="BL283" s="228">
        <f t="shared" si="306"/>
        <v>0</v>
      </c>
      <c r="BM283" s="233" cm="1">
        <f t="array" ref="BM283">L283/IF($M283&gt;0, INDEX($AY$22:$BE$76, $M283+20, $AH283), 1)</f>
        <v>0</v>
      </c>
      <c r="BN283" s="229">
        <f t="shared" si="532"/>
        <v>0</v>
      </c>
      <c r="BO283" s="228">
        <v>35</v>
      </c>
      <c r="BP283" s="229">
        <f t="shared" si="533"/>
        <v>48</v>
      </c>
      <c r="BQ283" s="234">
        <f t="shared" si="534"/>
        <v>3.0748170731707316</v>
      </c>
      <c r="BR283" s="234" cm="1">
        <f t="array" ref="BR283">$BM283 * SUMPRODUCT(INDEX($AV$76:$AX$81,,$AI283),INDEX($AY$76:$BE$81,,$AH283), N($AU$76:$AU$81&gt;$AM283)) / BQ283 / 1000</f>
        <v>0</v>
      </c>
      <c r="BS283" s="231">
        <f t="shared" si="310"/>
        <v>30</v>
      </c>
      <c r="BT283" s="229">
        <f t="shared" si="535"/>
        <v>43</v>
      </c>
      <c r="BU283" s="234">
        <f t="shared" si="536"/>
        <v>3.5018750000000001</v>
      </c>
      <c r="BV283" s="234" cm="1">
        <f t="array" ref="BV283">$BM283 * IF($AH283&lt;=2,
SUMPRODUCT(INDEX($AV$71:$AX$75,,$AI283), INDEX($AY$71:$BE$75,,$AH283), 1 / ($BF$71:$BF$75*BU283 + (1-$BF$71:$BF$75)*BQ283), N($AU$71:$AU$75&gt;$AM283)),
SUMPRODUCT(INDEX($AV$66:$AX$75,,$AI283), INDEX($AY$66:$BE$75,,$AH283), 1 / ($BG$66:$BG$75*BU283 + (1-$BG$66:$BG$75)*BQ283), N($AU$66:$AU$75&gt;$AM283))
) / 1000</f>
        <v>0</v>
      </c>
      <c r="BW283" s="231">
        <f t="shared" si="313"/>
        <v>25</v>
      </c>
      <c r="BX283" s="229">
        <f t="shared" si="537"/>
        <v>38</v>
      </c>
      <c r="BY283" s="234">
        <f t="shared" si="538"/>
        <v>4.0666935483870965</v>
      </c>
      <c r="BZ283" s="234" cm="1">
        <f t="array" ref="BZ283">$BM283 * IF($AH283&lt;=2,
SUMPRODUCT(INDEX($AV$66:$AX$70,,$AI283), INDEX($AY$66:$BE$70,,$AH283), 1 / ($BF$66:$BF$70*BY283 + (1-$BF$66:$BF$70)*BU283), N($AU$66:$AU$70&gt;$AM283)),
SUMPRODUCT(INDEX($AV$56:$AX$65,,$AI283), INDEX($AY$56:$BE$65,,$AH283), 1 / ($BG$56:$BG$65*BY283 + (1-$BG$56:$BG$65)*BU283), N($AU$56:$AU$65&gt;$AM283))
) / 1000</f>
        <v>0</v>
      </c>
      <c r="CA283" s="231">
        <f t="shared" si="316"/>
        <v>20</v>
      </c>
      <c r="CB283" s="229">
        <f t="shared" si="539"/>
        <v>33</v>
      </c>
      <c r="CC283" s="234">
        <f t="shared" si="540"/>
        <v>4.8487499999999999</v>
      </c>
      <c r="CD283" s="234" cm="1">
        <f t="array" ref="CD283">$BM283 * IF($AH283&lt;=2,
SUMPRODUCT(INDEX($AV$61:$AX$65,,$AI283), INDEX($AY$61:$BE$65,,$AH283), 1 / ($BF$61:$BF$65*CC283 + (1-$BF$61:$BF$65)*BY283), N($AU$61:$AU$65&gt;$AM283)),
SUMPRODUCT(INDEX($AV$46:$AX$55,,$AI283), INDEX($AY$46:$BE$55,,$AH283), 1 / ($BG$46:$BG$55*CC283 + (1-$BG$46:$BG$55)*BY283), N($AU$46:$AU$55&gt;$AM283))
) / 1000</f>
        <v>0</v>
      </c>
      <c r="CE283" s="234" cm="1">
        <f t="array" ref="CE283">$BM283 * IF($AH283&lt;=2,
SUMPRODUCT(INDEX($AV$22:$AX$60,,$AI283), INDEX($AY$22:$BE$60,,$AH283), 1 / ($BF$22:$BF$60*CC283), N($AU$22:$AU$60&gt;$AM283)),
SUMPRODUCT(INDEX($AV$22:$AX$45,,$AI283), INDEX($AY$22:$BE$45,,$AH283), 1 / ($BG$22:$BG$45*CC283), N($AU$22:$AU$45&gt;$AM283))
) / 1000</f>
        <v>0</v>
      </c>
      <c r="CF283" s="229">
        <f t="shared" si="541"/>
        <v>0</v>
      </c>
      <c r="CG283" s="246"/>
      <c r="CH283" s="229">
        <f t="shared" si="542"/>
        <v>0</v>
      </c>
      <c r="CI283" s="228">
        <v>35</v>
      </c>
      <c r="CJ283" s="229">
        <f t="shared" si="543"/>
        <v>48</v>
      </c>
      <c r="CK283" s="234">
        <f t="shared" si="544"/>
        <v>3.0748170731707316</v>
      </c>
      <c r="CL283" s="234" cm="1">
        <f t="array" ref="CL283">$BM283 * SUMPRODUCT(INDEX($AV$76:$AX$81,,$AI283),INDEX($AY$76:$BE$81,,$AH283), N($AU$76:$AU$81&gt;$AM283)) / CK283 / 1000</f>
        <v>0</v>
      </c>
      <c r="CM283" s="231">
        <f t="shared" si="323"/>
        <v>30</v>
      </c>
      <c r="CN283" s="229">
        <f t="shared" si="545"/>
        <v>43</v>
      </c>
      <c r="CO283" s="234">
        <f t="shared" si="546"/>
        <v>3.5018750000000001</v>
      </c>
      <c r="CP283" s="234" cm="1">
        <f t="array" ref="CP283">$BM283 * IF($AH283&lt;=2,
SUMPRODUCT(INDEX($AV$71:$AX$75,,$AI283), INDEX($AY$71:$BE$75,,$AH283), 1 / ($BF$71:$BF$75*CO283 + (1-$BF$71:$BF$75)*CK283), N($AU$71:$AU$75&gt;$AM283)),
SUMPRODUCT(INDEX($AV$66:$AX$75,,$AI283), INDEX($AY$66:$BE$75,,$AH283), 1 / ($BG$66:$BG$75*CO283 + (1-$BG$66:$BG$75)*CK283), N($AU$66:$AU$75&gt;$AM283))
) / 1000</f>
        <v>0</v>
      </c>
      <c r="CQ283" s="231">
        <f t="shared" si="326"/>
        <v>25</v>
      </c>
      <c r="CR283" s="229">
        <f t="shared" si="547"/>
        <v>38</v>
      </c>
      <c r="CS283" s="234">
        <f t="shared" si="548"/>
        <v>4.0666935483870965</v>
      </c>
      <c r="CT283" s="234" cm="1">
        <f t="array" ref="CT283">$BM283 * IF($AH283&lt;=2,
SUMPRODUCT(INDEX($AV$66:$AX$70,,$AI283), INDEX($AY$66:$BE$70,,$AH283), 1 / ($BF$66:$BF$70*CS283 + (1-$BF$66:$BF$70)*CO283), N($AU$66:$AU$70&gt;$AM283)),
SUMPRODUCT(INDEX($AV$56:$AX$65,,$AI283), INDEX($AY$56:$BE$65,,$AH283), 1 / ($BG$56:$BG$65*CS283 + (1-$BG$56:$BG$65)*CO283), N($AU$56:$AU$65&gt;$AM283))
) / 1000</f>
        <v>0</v>
      </c>
      <c r="CU283" s="231">
        <f t="shared" si="329"/>
        <v>20</v>
      </c>
      <c r="CV283" s="229">
        <f t="shared" si="549"/>
        <v>33</v>
      </c>
      <c r="CW283" s="234">
        <f t="shared" si="550"/>
        <v>4.8487499999999999</v>
      </c>
      <c r="CX283" s="234" cm="1">
        <f t="array" ref="CX283">$BM283 * IF($AH283&lt;=2,
SUMPRODUCT(INDEX($AV$61:$AX$65,,$AI283), INDEX($AY$61:$BE$65,,$AH283), 1 / ($BF$61:$BF$65*CW283 + (1-$BF$61:$BF$65)*CS283), N($AU$61:$AU$65&gt;$AM283)),
SUMPRODUCT(INDEX($AV$46:$AX$55,,$AI283), INDEX($AY$46:$BE$55,,$AH283), 1 / ($BG$46:$BG$55*CW283 + (1-$BG$46:$BG$55)*CS283), N($AU$46:$AU$55&gt;$AM283))
) / 1000</f>
        <v>0</v>
      </c>
      <c r="CY283" s="234" cm="1">
        <f t="array" ref="CY283">$BM283 * IF($AH283&lt;=2,
SUMPRODUCT(INDEX($AV$22:$AX$60,,$AI283), INDEX($AY$22:$BE$60,,$AH283), 1 / ($BF$22:$BF$60*CW283), N($AU$22:$AU$60&gt;$AM283)),
SUMPRODUCT(INDEX($AV$22:$AX$45,,$AI283), INDEX($AY$22:$BE$45,,$AH283), 1 / ($BG$22:$BG$45*CW283), N($AU$22:$AU$45&gt;$AM283))
) / 1000</f>
        <v>0</v>
      </c>
      <c r="CZ283" s="229">
        <f t="shared" si="551"/>
        <v>0</v>
      </c>
      <c r="DA283" s="246"/>
    </row>
    <row r="284" spans="1:105" s="75" customFormat="1" ht="14.25" customHeight="1" x14ac:dyDescent="0.2">
      <c r="A284" s="230" t="b">
        <f t="shared" si="291"/>
        <v>0</v>
      </c>
      <c r="B284" s="253">
        <v>263</v>
      </c>
      <c r="C284" s="266"/>
      <c r="D284" s="266"/>
      <c r="E284" s="254"/>
      <c r="F284" s="255" t="str">
        <f>IF(ISBLANK(E284), "", VLOOKUP(E284, Z!$A$2:$C$4127, 3, FALSE))</f>
        <v/>
      </c>
      <c r="G284" s="256"/>
      <c r="H284" s="256"/>
      <c r="I284" s="256"/>
      <c r="J284" s="257"/>
      <c r="K284" s="258"/>
      <c r="L284" s="267"/>
      <c r="M284" s="268"/>
      <c r="N284" s="259" t="str" cm="1">
        <f t="array" ref="N284">IF($L284&gt;0, INDEX(Clean,1+AK284,$D$1), "")</f>
        <v/>
      </c>
      <c r="O284" s="260"/>
      <c r="P284" s="260"/>
      <c r="Q284" s="261"/>
      <c r="R284" s="264">
        <f t="shared" si="527"/>
        <v>0</v>
      </c>
      <c r="S284" s="259" t="str" cm="1">
        <f t="array" ref="S284">IF($L284&gt;0, INDEX(Clean,1+AL284,$D$1), "")</f>
        <v/>
      </c>
      <c r="T284" s="260"/>
      <c r="U284" s="260"/>
      <c r="V284" s="261"/>
      <c r="W284" s="267"/>
      <c r="X284" s="267"/>
      <c r="Y284" s="257"/>
      <c r="Z284" s="264">
        <f t="shared" si="528"/>
        <v>0</v>
      </c>
      <c r="AA284" s="269"/>
      <c r="AB284" s="266"/>
      <c r="AC284" s="254"/>
      <c r="AD284" s="255" t="str">
        <f>IF(ISBLANK(AC284), "", VLOOKUP(AC284, Z!$A$2:$C$4127, 3, FALSE))</f>
        <v/>
      </c>
      <c r="AE284" s="270"/>
      <c r="AF284" s="265">
        <f t="shared" si="529"/>
        <v>0</v>
      </c>
      <c r="AG284" s="246"/>
      <c r="AH284" s="228">
        <f t="shared" si="552"/>
        <v>1</v>
      </c>
      <c r="AI284" s="228">
        <f t="shared" si="553"/>
        <v>1</v>
      </c>
      <c r="AJ284" s="228">
        <f t="shared" si="554"/>
        <v>0</v>
      </c>
      <c r="AK284" s="228">
        <v>0</v>
      </c>
      <c r="AL284" s="228">
        <v>0</v>
      </c>
      <c r="AM284" s="228">
        <f t="shared" si="530"/>
        <v>-100</v>
      </c>
      <c r="AN284" s="228" cm="1">
        <f t="array" ref="AN284">IF(ISBLANK(G284), 1, IFERROR(MATCH(G284, INDEX(Kat,,1), 0), IFERROR(MATCH(Kat, INDEX(Use,,2), 0), MATCH(Kat, INDEX(Use,,3), 0))))</f>
        <v>1</v>
      </c>
      <c r="AO284" s="246"/>
      <c r="AP284" s="228" cm="1">
        <f t="array" ref="AP284">IF(W284&gt;0, INDEX(Kat, AN284,4), 0)</f>
        <v>0</v>
      </c>
      <c r="AQ284" s="228">
        <f t="shared" si="555"/>
        <v>0</v>
      </c>
      <c r="AR284" s="228" cm="1">
        <f t="array" ref="AR284">IF(X284&gt;0, INDEX(Kat, $AN284, 4+AQ284), 0)</f>
        <v>0</v>
      </c>
      <c r="AS284" s="228" cm="1">
        <f t="array" ref="AS284">IF(X284&gt;0, INDEX(Kat, $AN284, 9+AQ284), 0)</f>
        <v>0</v>
      </c>
      <c r="AT284" s="246"/>
      <c r="AU284" s="262"/>
      <c r="AV284" s="262"/>
      <c r="AW284" s="263"/>
      <c r="AX284" s="263"/>
      <c r="AY284" s="263"/>
      <c r="AZ284" s="263"/>
      <c r="BA284" s="263"/>
      <c r="BB284" s="263"/>
      <c r="BC284" s="263"/>
      <c r="BD284" s="263"/>
      <c r="BE284" s="263"/>
      <c r="BF284" s="263"/>
      <c r="BG284" s="263"/>
      <c r="BH284" s="246"/>
      <c r="BI284" s="228" cm="1">
        <f t="array" ref="BI284">INDEX(Use, $AH284, 4)</f>
        <v>7</v>
      </c>
      <c r="BJ284" s="228">
        <f t="shared" si="531"/>
        <v>32</v>
      </c>
      <c r="BK284" s="228">
        <f t="shared" si="305"/>
        <v>13</v>
      </c>
      <c r="BL284" s="228">
        <f t="shared" si="306"/>
        <v>0</v>
      </c>
      <c r="BM284" s="233" cm="1">
        <f t="array" ref="BM284">L284/IF($M284&gt;0, INDEX($AY$22:$BE$76, $M284+20, $AH284), 1)</f>
        <v>0</v>
      </c>
      <c r="BN284" s="229">
        <f t="shared" si="532"/>
        <v>0</v>
      </c>
      <c r="BO284" s="228">
        <v>35</v>
      </c>
      <c r="BP284" s="229">
        <f t="shared" si="533"/>
        <v>48</v>
      </c>
      <c r="BQ284" s="234">
        <f t="shared" si="534"/>
        <v>3.0748170731707316</v>
      </c>
      <c r="BR284" s="234" cm="1">
        <f t="array" ref="BR284">$BM284 * SUMPRODUCT(INDEX($AV$76:$AX$81,,$AI284),INDEX($AY$76:$BE$81,,$AH284), N($AU$76:$AU$81&gt;$AM284)) / BQ284 / 1000</f>
        <v>0</v>
      </c>
      <c r="BS284" s="231">
        <f t="shared" si="310"/>
        <v>30</v>
      </c>
      <c r="BT284" s="229">
        <f t="shared" si="535"/>
        <v>43</v>
      </c>
      <c r="BU284" s="234">
        <f t="shared" si="536"/>
        <v>3.5018750000000001</v>
      </c>
      <c r="BV284" s="234" cm="1">
        <f t="array" ref="BV284">$BM284 * IF($AH284&lt;=2,
SUMPRODUCT(INDEX($AV$71:$AX$75,,$AI284), INDEX($AY$71:$BE$75,,$AH284), 1 / ($BF$71:$BF$75*BU284 + (1-$BF$71:$BF$75)*BQ284), N($AU$71:$AU$75&gt;$AM284)),
SUMPRODUCT(INDEX($AV$66:$AX$75,,$AI284), INDEX($AY$66:$BE$75,,$AH284), 1 / ($BG$66:$BG$75*BU284 + (1-$BG$66:$BG$75)*BQ284), N($AU$66:$AU$75&gt;$AM284))
) / 1000</f>
        <v>0</v>
      </c>
      <c r="BW284" s="231">
        <f t="shared" si="313"/>
        <v>25</v>
      </c>
      <c r="BX284" s="229">
        <f t="shared" si="537"/>
        <v>38</v>
      </c>
      <c r="BY284" s="234">
        <f t="shared" si="538"/>
        <v>4.0666935483870965</v>
      </c>
      <c r="BZ284" s="234" cm="1">
        <f t="array" ref="BZ284">$BM284 * IF($AH284&lt;=2,
SUMPRODUCT(INDEX($AV$66:$AX$70,,$AI284), INDEX($AY$66:$BE$70,,$AH284), 1 / ($BF$66:$BF$70*BY284 + (1-$BF$66:$BF$70)*BU284), N($AU$66:$AU$70&gt;$AM284)),
SUMPRODUCT(INDEX($AV$56:$AX$65,,$AI284), INDEX($AY$56:$BE$65,,$AH284), 1 / ($BG$56:$BG$65*BY284 + (1-$BG$56:$BG$65)*BU284), N($AU$56:$AU$65&gt;$AM284))
) / 1000</f>
        <v>0</v>
      </c>
      <c r="CA284" s="231">
        <f t="shared" si="316"/>
        <v>20</v>
      </c>
      <c r="CB284" s="229">
        <f t="shared" si="539"/>
        <v>33</v>
      </c>
      <c r="CC284" s="234">
        <f t="shared" si="540"/>
        <v>4.8487499999999999</v>
      </c>
      <c r="CD284" s="234" cm="1">
        <f t="array" ref="CD284">$BM284 * IF($AH284&lt;=2,
SUMPRODUCT(INDEX($AV$61:$AX$65,,$AI284), INDEX($AY$61:$BE$65,,$AH284), 1 / ($BF$61:$BF$65*CC284 + (1-$BF$61:$BF$65)*BY284), N($AU$61:$AU$65&gt;$AM284)),
SUMPRODUCT(INDEX($AV$46:$AX$55,,$AI284), INDEX($AY$46:$BE$55,,$AH284), 1 / ($BG$46:$BG$55*CC284 + (1-$BG$46:$BG$55)*BY284), N($AU$46:$AU$55&gt;$AM284))
) / 1000</f>
        <v>0</v>
      </c>
      <c r="CE284" s="234" cm="1">
        <f t="array" ref="CE284">$BM284 * IF($AH284&lt;=2,
SUMPRODUCT(INDEX($AV$22:$AX$60,,$AI284), INDEX($AY$22:$BE$60,,$AH284), 1 / ($BF$22:$BF$60*CC284), N($AU$22:$AU$60&gt;$AM284)),
SUMPRODUCT(INDEX($AV$22:$AX$45,,$AI284), INDEX($AY$22:$BE$45,,$AH284), 1 / ($BG$22:$BG$45*CC284), N($AU$22:$AU$45&gt;$AM284))
) / 1000</f>
        <v>0</v>
      </c>
      <c r="CF284" s="229">
        <f t="shared" si="541"/>
        <v>0</v>
      </c>
      <c r="CG284" s="246"/>
      <c r="CH284" s="229">
        <f t="shared" si="542"/>
        <v>0</v>
      </c>
      <c r="CI284" s="228">
        <v>35</v>
      </c>
      <c r="CJ284" s="229">
        <f t="shared" si="543"/>
        <v>48</v>
      </c>
      <c r="CK284" s="234">
        <f t="shared" si="544"/>
        <v>3.0748170731707316</v>
      </c>
      <c r="CL284" s="234" cm="1">
        <f t="array" ref="CL284">$BM284 * SUMPRODUCT(INDEX($AV$76:$AX$81,,$AI284),INDEX($AY$76:$BE$81,,$AH284), N($AU$76:$AU$81&gt;$AM284)) / CK284 / 1000</f>
        <v>0</v>
      </c>
      <c r="CM284" s="231">
        <f t="shared" si="323"/>
        <v>30</v>
      </c>
      <c r="CN284" s="229">
        <f t="shared" si="545"/>
        <v>43</v>
      </c>
      <c r="CO284" s="234">
        <f t="shared" si="546"/>
        <v>3.5018750000000001</v>
      </c>
      <c r="CP284" s="234" cm="1">
        <f t="array" ref="CP284">$BM284 * IF($AH284&lt;=2,
SUMPRODUCT(INDEX($AV$71:$AX$75,,$AI284), INDEX($AY$71:$BE$75,,$AH284), 1 / ($BF$71:$BF$75*CO284 + (1-$BF$71:$BF$75)*CK284), N($AU$71:$AU$75&gt;$AM284)),
SUMPRODUCT(INDEX($AV$66:$AX$75,,$AI284), INDEX($AY$66:$BE$75,,$AH284), 1 / ($BG$66:$BG$75*CO284 + (1-$BG$66:$BG$75)*CK284), N($AU$66:$AU$75&gt;$AM284))
) / 1000</f>
        <v>0</v>
      </c>
      <c r="CQ284" s="231">
        <f t="shared" si="326"/>
        <v>25</v>
      </c>
      <c r="CR284" s="229">
        <f t="shared" si="547"/>
        <v>38</v>
      </c>
      <c r="CS284" s="234">
        <f t="shared" si="548"/>
        <v>4.0666935483870965</v>
      </c>
      <c r="CT284" s="234" cm="1">
        <f t="array" ref="CT284">$BM284 * IF($AH284&lt;=2,
SUMPRODUCT(INDEX($AV$66:$AX$70,,$AI284), INDEX($AY$66:$BE$70,,$AH284), 1 / ($BF$66:$BF$70*CS284 + (1-$BF$66:$BF$70)*CO284), N($AU$66:$AU$70&gt;$AM284)),
SUMPRODUCT(INDEX($AV$56:$AX$65,,$AI284), INDEX($AY$56:$BE$65,,$AH284), 1 / ($BG$56:$BG$65*CS284 + (1-$BG$56:$BG$65)*CO284), N($AU$56:$AU$65&gt;$AM284))
) / 1000</f>
        <v>0</v>
      </c>
      <c r="CU284" s="231">
        <f t="shared" si="329"/>
        <v>20</v>
      </c>
      <c r="CV284" s="229">
        <f t="shared" si="549"/>
        <v>33</v>
      </c>
      <c r="CW284" s="234">
        <f t="shared" si="550"/>
        <v>4.8487499999999999</v>
      </c>
      <c r="CX284" s="234" cm="1">
        <f t="array" ref="CX284">$BM284 * IF($AH284&lt;=2,
SUMPRODUCT(INDEX($AV$61:$AX$65,,$AI284), INDEX($AY$61:$BE$65,,$AH284), 1 / ($BF$61:$BF$65*CW284 + (1-$BF$61:$BF$65)*CS284), N($AU$61:$AU$65&gt;$AM284)),
SUMPRODUCT(INDEX($AV$46:$AX$55,,$AI284), INDEX($AY$46:$BE$55,,$AH284), 1 / ($BG$46:$BG$55*CW284 + (1-$BG$46:$BG$55)*CS284), N($AU$46:$AU$55&gt;$AM284))
) / 1000</f>
        <v>0</v>
      </c>
      <c r="CY284" s="234" cm="1">
        <f t="array" ref="CY284">$BM284 * IF($AH284&lt;=2,
SUMPRODUCT(INDEX($AV$22:$AX$60,,$AI284), INDEX($AY$22:$BE$60,,$AH284), 1 / ($BF$22:$BF$60*CW284), N($AU$22:$AU$60&gt;$AM284)),
SUMPRODUCT(INDEX($AV$22:$AX$45,,$AI284), INDEX($AY$22:$BE$45,,$AH284), 1 / ($BG$22:$BG$45*CW284), N($AU$22:$AU$45&gt;$AM284))
) / 1000</f>
        <v>0</v>
      </c>
      <c r="CZ284" s="229">
        <f t="shared" si="551"/>
        <v>0</v>
      </c>
      <c r="DA284" s="246"/>
    </row>
    <row r="285" spans="1:105" s="75" customFormat="1" ht="14.25" customHeight="1" x14ac:dyDescent="0.2">
      <c r="A285" s="230" t="b">
        <f t="shared" si="291"/>
        <v>0</v>
      </c>
      <c r="B285" s="253">
        <v>264</v>
      </c>
      <c r="C285" s="266"/>
      <c r="D285" s="266"/>
      <c r="E285" s="254"/>
      <c r="F285" s="255" t="str">
        <f>IF(ISBLANK(E285), "", VLOOKUP(E285, Z!$A$2:$C$4127, 3, FALSE))</f>
        <v/>
      </c>
      <c r="G285" s="256"/>
      <c r="H285" s="256"/>
      <c r="I285" s="256"/>
      <c r="J285" s="257"/>
      <c r="K285" s="258"/>
      <c r="L285" s="267"/>
      <c r="M285" s="268"/>
      <c r="N285" s="259" t="str" cm="1">
        <f t="array" ref="N285">IF($L285&gt;0, INDEX(Clean,1+AK285,$D$1), "")</f>
        <v/>
      </c>
      <c r="O285" s="260"/>
      <c r="P285" s="260"/>
      <c r="Q285" s="261"/>
      <c r="R285" s="264">
        <f t="shared" si="527"/>
        <v>0</v>
      </c>
      <c r="S285" s="259" t="str" cm="1">
        <f t="array" ref="S285">IF($L285&gt;0, INDEX(Clean,1+AL285,$D$1), "")</f>
        <v/>
      </c>
      <c r="T285" s="260"/>
      <c r="U285" s="260"/>
      <c r="V285" s="261"/>
      <c r="W285" s="267"/>
      <c r="X285" s="267"/>
      <c r="Y285" s="257"/>
      <c r="Z285" s="264">
        <f t="shared" si="528"/>
        <v>0</v>
      </c>
      <c r="AA285" s="269"/>
      <c r="AB285" s="266"/>
      <c r="AC285" s="254"/>
      <c r="AD285" s="255" t="str">
        <f>IF(ISBLANK(AC285), "", VLOOKUP(AC285, Z!$A$2:$C$4127, 3, FALSE))</f>
        <v/>
      </c>
      <c r="AE285" s="270"/>
      <c r="AF285" s="265">
        <f t="shared" si="529"/>
        <v>0</v>
      </c>
      <c r="AG285" s="246"/>
      <c r="AH285" s="228">
        <f t="shared" si="552"/>
        <v>1</v>
      </c>
      <c r="AI285" s="228">
        <f t="shared" si="553"/>
        <v>1</v>
      </c>
      <c r="AJ285" s="228">
        <f t="shared" si="554"/>
        <v>0</v>
      </c>
      <c r="AK285" s="228">
        <v>0</v>
      </c>
      <c r="AL285" s="228">
        <v>0</v>
      </c>
      <c r="AM285" s="228">
        <f t="shared" si="530"/>
        <v>-100</v>
      </c>
      <c r="AN285" s="228" cm="1">
        <f t="array" ref="AN285">IF(ISBLANK(G285), 1, IFERROR(MATCH(G285, INDEX(Kat,,1), 0), IFERROR(MATCH(Kat, INDEX(Use,,2), 0), MATCH(Kat, INDEX(Use,,3), 0))))</f>
        <v>1</v>
      </c>
      <c r="AO285" s="246"/>
      <c r="AP285" s="228" cm="1">
        <f t="array" ref="AP285">IF(W285&gt;0, INDEX(Kat, AN285,4), 0)</f>
        <v>0</v>
      </c>
      <c r="AQ285" s="228">
        <f t="shared" si="555"/>
        <v>0</v>
      </c>
      <c r="AR285" s="228" cm="1">
        <f t="array" ref="AR285">IF(X285&gt;0, INDEX(Kat, $AN285, 4+AQ285), 0)</f>
        <v>0</v>
      </c>
      <c r="AS285" s="228" cm="1">
        <f t="array" ref="AS285">IF(X285&gt;0, INDEX(Kat, $AN285, 9+AQ285), 0)</f>
        <v>0</v>
      </c>
      <c r="AT285" s="246"/>
      <c r="AU285" s="262"/>
      <c r="AV285" s="262"/>
      <c r="AW285" s="263"/>
      <c r="AX285" s="263"/>
      <c r="AY285" s="263"/>
      <c r="AZ285" s="263"/>
      <c r="BA285" s="263"/>
      <c r="BB285" s="263"/>
      <c r="BC285" s="263"/>
      <c r="BD285" s="263"/>
      <c r="BE285" s="263"/>
      <c r="BF285" s="263"/>
      <c r="BG285" s="263"/>
      <c r="BH285" s="246"/>
      <c r="BI285" s="228" cm="1">
        <f t="array" ref="BI285">INDEX(Use, $AH285, 4)</f>
        <v>7</v>
      </c>
      <c r="BJ285" s="228">
        <f t="shared" si="531"/>
        <v>32</v>
      </c>
      <c r="BK285" s="228">
        <f t="shared" si="305"/>
        <v>13</v>
      </c>
      <c r="BL285" s="228">
        <f t="shared" si="306"/>
        <v>0</v>
      </c>
      <c r="BM285" s="233" cm="1">
        <f t="array" ref="BM285">L285/IF($M285&gt;0, INDEX($AY$22:$BE$76, $M285+20, $AH285), 1)</f>
        <v>0</v>
      </c>
      <c r="BN285" s="229">
        <f t="shared" si="532"/>
        <v>0</v>
      </c>
      <c r="BO285" s="228">
        <v>35</v>
      </c>
      <c r="BP285" s="229">
        <f t="shared" si="533"/>
        <v>48</v>
      </c>
      <c r="BQ285" s="234">
        <f t="shared" si="534"/>
        <v>3.0748170731707316</v>
      </c>
      <c r="BR285" s="234" cm="1">
        <f t="array" ref="BR285">$BM285 * SUMPRODUCT(INDEX($AV$76:$AX$81,,$AI285),INDEX($AY$76:$BE$81,,$AH285), N($AU$76:$AU$81&gt;$AM285)) / BQ285 / 1000</f>
        <v>0</v>
      </c>
      <c r="BS285" s="231">
        <f t="shared" si="310"/>
        <v>30</v>
      </c>
      <c r="BT285" s="229">
        <f t="shared" si="535"/>
        <v>43</v>
      </c>
      <c r="BU285" s="234">
        <f t="shared" si="536"/>
        <v>3.5018750000000001</v>
      </c>
      <c r="BV285" s="234" cm="1">
        <f t="array" ref="BV285">$BM285 * IF($AH285&lt;=2,
SUMPRODUCT(INDEX($AV$71:$AX$75,,$AI285), INDEX($AY$71:$BE$75,,$AH285), 1 / ($BF$71:$BF$75*BU285 + (1-$BF$71:$BF$75)*BQ285), N($AU$71:$AU$75&gt;$AM285)),
SUMPRODUCT(INDEX($AV$66:$AX$75,,$AI285), INDEX($AY$66:$BE$75,,$AH285), 1 / ($BG$66:$BG$75*BU285 + (1-$BG$66:$BG$75)*BQ285), N($AU$66:$AU$75&gt;$AM285))
) / 1000</f>
        <v>0</v>
      </c>
      <c r="BW285" s="231">
        <f t="shared" si="313"/>
        <v>25</v>
      </c>
      <c r="BX285" s="229">
        <f t="shared" si="537"/>
        <v>38</v>
      </c>
      <c r="BY285" s="234">
        <f t="shared" si="538"/>
        <v>4.0666935483870965</v>
      </c>
      <c r="BZ285" s="234" cm="1">
        <f t="array" ref="BZ285">$BM285 * IF($AH285&lt;=2,
SUMPRODUCT(INDEX($AV$66:$AX$70,,$AI285), INDEX($AY$66:$BE$70,,$AH285), 1 / ($BF$66:$BF$70*BY285 + (1-$BF$66:$BF$70)*BU285), N($AU$66:$AU$70&gt;$AM285)),
SUMPRODUCT(INDEX($AV$56:$AX$65,,$AI285), INDEX($AY$56:$BE$65,,$AH285), 1 / ($BG$56:$BG$65*BY285 + (1-$BG$56:$BG$65)*BU285), N($AU$56:$AU$65&gt;$AM285))
) / 1000</f>
        <v>0</v>
      </c>
      <c r="CA285" s="231">
        <f t="shared" si="316"/>
        <v>20</v>
      </c>
      <c r="CB285" s="229">
        <f t="shared" si="539"/>
        <v>33</v>
      </c>
      <c r="CC285" s="234">
        <f t="shared" si="540"/>
        <v>4.8487499999999999</v>
      </c>
      <c r="CD285" s="234" cm="1">
        <f t="array" ref="CD285">$BM285 * IF($AH285&lt;=2,
SUMPRODUCT(INDEX($AV$61:$AX$65,,$AI285), INDEX($AY$61:$BE$65,,$AH285), 1 / ($BF$61:$BF$65*CC285 + (1-$BF$61:$BF$65)*BY285), N($AU$61:$AU$65&gt;$AM285)),
SUMPRODUCT(INDEX($AV$46:$AX$55,,$AI285), INDEX($AY$46:$BE$55,,$AH285), 1 / ($BG$46:$BG$55*CC285 + (1-$BG$46:$BG$55)*BY285), N($AU$46:$AU$55&gt;$AM285))
) / 1000</f>
        <v>0</v>
      </c>
      <c r="CE285" s="234" cm="1">
        <f t="array" ref="CE285">$BM285 * IF($AH285&lt;=2,
SUMPRODUCT(INDEX($AV$22:$AX$60,,$AI285), INDEX($AY$22:$BE$60,,$AH285), 1 / ($BF$22:$BF$60*CC285), N($AU$22:$AU$60&gt;$AM285)),
SUMPRODUCT(INDEX($AV$22:$AX$45,,$AI285), INDEX($AY$22:$BE$45,,$AH285), 1 / ($BG$22:$BG$45*CC285), N($AU$22:$AU$45&gt;$AM285))
) / 1000</f>
        <v>0</v>
      </c>
      <c r="CF285" s="229">
        <f t="shared" si="541"/>
        <v>0</v>
      </c>
      <c r="CG285" s="246"/>
      <c r="CH285" s="229">
        <f t="shared" si="542"/>
        <v>0</v>
      </c>
      <c r="CI285" s="228">
        <v>35</v>
      </c>
      <c r="CJ285" s="229">
        <f t="shared" si="543"/>
        <v>48</v>
      </c>
      <c r="CK285" s="234">
        <f t="shared" si="544"/>
        <v>3.0748170731707316</v>
      </c>
      <c r="CL285" s="234" cm="1">
        <f t="array" ref="CL285">$BM285 * SUMPRODUCT(INDEX($AV$76:$AX$81,,$AI285),INDEX($AY$76:$BE$81,,$AH285), N($AU$76:$AU$81&gt;$AM285)) / CK285 / 1000</f>
        <v>0</v>
      </c>
      <c r="CM285" s="231">
        <f t="shared" si="323"/>
        <v>30</v>
      </c>
      <c r="CN285" s="229">
        <f t="shared" si="545"/>
        <v>43</v>
      </c>
      <c r="CO285" s="234">
        <f t="shared" si="546"/>
        <v>3.5018750000000001</v>
      </c>
      <c r="CP285" s="234" cm="1">
        <f t="array" ref="CP285">$BM285 * IF($AH285&lt;=2,
SUMPRODUCT(INDEX($AV$71:$AX$75,,$AI285), INDEX($AY$71:$BE$75,,$AH285), 1 / ($BF$71:$BF$75*CO285 + (1-$BF$71:$BF$75)*CK285), N($AU$71:$AU$75&gt;$AM285)),
SUMPRODUCT(INDEX($AV$66:$AX$75,,$AI285), INDEX($AY$66:$BE$75,,$AH285), 1 / ($BG$66:$BG$75*CO285 + (1-$BG$66:$BG$75)*CK285), N($AU$66:$AU$75&gt;$AM285))
) / 1000</f>
        <v>0</v>
      </c>
      <c r="CQ285" s="231">
        <f t="shared" si="326"/>
        <v>25</v>
      </c>
      <c r="CR285" s="229">
        <f t="shared" si="547"/>
        <v>38</v>
      </c>
      <c r="CS285" s="234">
        <f t="shared" si="548"/>
        <v>4.0666935483870965</v>
      </c>
      <c r="CT285" s="234" cm="1">
        <f t="array" ref="CT285">$BM285 * IF($AH285&lt;=2,
SUMPRODUCT(INDEX($AV$66:$AX$70,,$AI285), INDEX($AY$66:$BE$70,,$AH285), 1 / ($BF$66:$BF$70*CS285 + (1-$BF$66:$BF$70)*CO285), N($AU$66:$AU$70&gt;$AM285)),
SUMPRODUCT(INDEX($AV$56:$AX$65,,$AI285), INDEX($AY$56:$BE$65,,$AH285), 1 / ($BG$56:$BG$65*CS285 + (1-$BG$56:$BG$65)*CO285), N($AU$56:$AU$65&gt;$AM285))
) / 1000</f>
        <v>0</v>
      </c>
      <c r="CU285" s="231">
        <f t="shared" si="329"/>
        <v>20</v>
      </c>
      <c r="CV285" s="229">
        <f t="shared" si="549"/>
        <v>33</v>
      </c>
      <c r="CW285" s="234">
        <f t="shared" si="550"/>
        <v>4.8487499999999999</v>
      </c>
      <c r="CX285" s="234" cm="1">
        <f t="array" ref="CX285">$BM285 * IF($AH285&lt;=2,
SUMPRODUCT(INDEX($AV$61:$AX$65,,$AI285), INDEX($AY$61:$BE$65,,$AH285), 1 / ($BF$61:$BF$65*CW285 + (1-$BF$61:$BF$65)*CS285), N($AU$61:$AU$65&gt;$AM285)),
SUMPRODUCT(INDEX($AV$46:$AX$55,,$AI285), INDEX($AY$46:$BE$55,,$AH285), 1 / ($BG$46:$BG$55*CW285 + (1-$BG$46:$BG$55)*CS285), N($AU$46:$AU$55&gt;$AM285))
) / 1000</f>
        <v>0</v>
      </c>
      <c r="CY285" s="234" cm="1">
        <f t="array" ref="CY285">$BM285 * IF($AH285&lt;=2,
SUMPRODUCT(INDEX($AV$22:$AX$60,,$AI285), INDEX($AY$22:$BE$60,,$AH285), 1 / ($BF$22:$BF$60*CW285), N($AU$22:$AU$60&gt;$AM285)),
SUMPRODUCT(INDEX($AV$22:$AX$45,,$AI285), INDEX($AY$22:$BE$45,,$AH285), 1 / ($BG$22:$BG$45*CW285), N($AU$22:$AU$45&gt;$AM285))
) / 1000</f>
        <v>0</v>
      </c>
      <c r="CZ285" s="229">
        <f t="shared" si="551"/>
        <v>0</v>
      </c>
      <c r="DA285" s="246"/>
    </row>
    <row r="286" spans="1:105" s="75" customFormat="1" ht="14.25" customHeight="1" x14ac:dyDescent="0.2">
      <c r="A286" s="230" t="b">
        <f t="shared" si="291"/>
        <v>0</v>
      </c>
      <c r="B286" s="253">
        <v>265</v>
      </c>
      <c r="C286" s="266"/>
      <c r="D286" s="266"/>
      <c r="E286" s="254"/>
      <c r="F286" s="255" t="str">
        <f>IF(ISBLANK(E286), "", VLOOKUP(E286, Z!$A$2:$C$4127, 3, FALSE))</f>
        <v/>
      </c>
      <c r="G286" s="256"/>
      <c r="H286" s="256"/>
      <c r="I286" s="256"/>
      <c r="J286" s="257"/>
      <c r="K286" s="258"/>
      <c r="L286" s="267"/>
      <c r="M286" s="268"/>
      <c r="N286" s="259" t="str" cm="1">
        <f t="array" ref="N286">IF($L286&gt;0, INDEX(Clean,1+AK286,$D$1), "")</f>
        <v/>
      </c>
      <c r="O286" s="260"/>
      <c r="P286" s="260"/>
      <c r="Q286" s="261"/>
      <c r="R286" s="264">
        <f t="shared" si="527"/>
        <v>0</v>
      </c>
      <c r="S286" s="259" t="str" cm="1">
        <f t="array" ref="S286">IF($L286&gt;0, INDEX(Clean,1+AL286,$D$1), "")</f>
        <v/>
      </c>
      <c r="T286" s="260"/>
      <c r="U286" s="260"/>
      <c r="V286" s="261"/>
      <c r="W286" s="267"/>
      <c r="X286" s="267"/>
      <c r="Y286" s="257"/>
      <c r="Z286" s="264">
        <f t="shared" si="528"/>
        <v>0</v>
      </c>
      <c r="AA286" s="269"/>
      <c r="AB286" s="266"/>
      <c r="AC286" s="254"/>
      <c r="AD286" s="255" t="str">
        <f>IF(ISBLANK(AC286), "", VLOOKUP(AC286, Z!$A$2:$C$4127, 3, FALSE))</f>
        <v/>
      </c>
      <c r="AE286" s="270"/>
      <c r="AF286" s="265">
        <f t="shared" si="529"/>
        <v>0</v>
      </c>
      <c r="AG286" s="246"/>
      <c r="AH286" s="228">
        <f t="shared" si="552"/>
        <v>1</v>
      </c>
      <c r="AI286" s="228">
        <f t="shared" si="553"/>
        <v>1</v>
      </c>
      <c r="AJ286" s="228">
        <f t="shared" si="554"/>
        <v>0</v>
      </c>
      <c r="AK286" s="228">
        <v>0</v>
      </c>
      <c r="AL286" s="228">
        <v>0</v>
      </c>
      <c r="AM286" s="228">
        <f t="shared" si="530"/>
        <v>-100</v>
      </c>
      <c r="AN286" s="228" cm="1">
        <f t="array" ref="AN286">IF(ISBLANK(G286), 1, IFERROR(MATCH(G286, INDEX(Kat,,1), 0), IFERROR(MATCH(Kat, INDEX(Use,,2), 0), MATCH(Kat, INDEX(Use,,3), 0))))</f>
        <v>1</v>
      </c>
      <c r="AO286" s="246"/>
      <c r="AP286" s="228" cm="1">
        <f t="array" ref="AP286">IF(W286&gt;0, INDEX(Kat, AN286,4), 0)</f>
        <v>0</v>
      </c>
      <c r="AQ286" s="228">
        <f t="shared" si="555"/>
        <v>0</v>
      </c>
      <c r="AR286" s="228" cm="1">
        <f t="array" ref="AR286">IF(X286&gt;0, INDEX(Kat, $AN286, 4+AQ286), 0)</f>
        <v>0</v>
      </c>
      <c r="AS286" s="228" cm="1">
        <f t="array" ref="AS286">IF(X286&gt;0, INDEX(Kat, $AN286, 9+AQ286), 0)</f>
        <v>0</v>
      </c>
      <c r="AT286" s="246"/>
      <c r="AU286" s="262"/>
      <c r="AV286" s="262"/>
      <c r="AW286" s="263"/>
      <c r="AX286" s="263"/>
      <c r="AY286" s="263"/>
      <c r="AZ286" s="263"/>
      <c r="BA286" s="263"/>
      <c r="BB286" s="263"/>
      <c r="BC286" s="263"/>
      <c r="BD286" s="263"/>
      <c r="BE286" s="263"/>
      <c r="BF286" s="263"/>
      <c r="BG286" s="263"/>
      <c r="BH286" s="246"/>
      <c r="BI286" s="228" cm="1">
        <f t="array" ref="BI286">INDEX(Use, $AH286, 4)</f>
        <v>7</v>
      </c>
      <c r="BJ286" s="228">
        <f t="shared" si="531"/>
        <v>32</v>
      </c>
      <c r="BK286" s="228">
        <f t="shared" si="305"/>
        <v>13</v>
      </c>
      <c r="BL286" s="228">
        <f t="shared" si="306"/>
        <v>0</v>
      </c>
      <c r="BM286" s="233" cm="1">
        <f t="array" ref="BM286">L286/IF($M286&gt;0, INDEX($AY$22:$BE$76, $M286+20, $AH286), 1)</f>
        <v>0</v>
      </c>
      <c r="BN286" s="229">
        <f t="shared" si="532"/>
        <v>0</v>
      </c>
      <c r="BO286" s="228">
        <v>35</v>
      </c>
      <c r="BP286" s="229">
        <f t="shared" si="533"/>
        <v>48</v>
      </c>
      <c r="BQ286" s="234">
        <f t="shared" si="534"/>
        <v>3.0748170731707316</v>
      </c>
      <c r="BR286" s="234" cm="1">
        <f t="array" ref="BR286">$BM286 * SUMPRODUCT(INDEX($AV$76:$AX$81,,$AI286),INDEX($AY$76:$BE$81,,$AH286), N($AU$76:$AU$81&gt;$AM286)) / BQ286 / 1000</f>
        <v>0</v>
      </c>
      <c r="BS286" s="231">
        <f t="shared" si="310"/>
        <v>30</v>
      </c>
      <c r="BT286" s="229">
        <f t="shared" si="535"/>
        <v>43</v>
      </c>
      <c r="BU286" s="234">
        <f t="shared" si="536"/>
        <v>3.5018750000000001</v>
      </c>
      <c r="BV286" s="234" cm="1">
        <f t="array" ref="BV286">$BM286 * IF($AH286&lt;=2,
SUMPRODUCT(INDEX($AV$71:$AX$75,,$AI286), INDEX($AY$71:$BE$75,,$AH286), 1 / ($BF$71:$BF$75*BU286 + (1-$BF$71:$BF$75)*BQ286), N($AU$71:$AU$75&gt;$AM286)),
SUMPRODUCT(INDEX($AV$66:$AX$75,,$AI286), INDEX($AY$66:$BE$75,,$AH286), 1 / ($BG$66:$BG$75*BU286 + (1-$BG$66:$BG$75)*BQ286), N($AU$66:$AU$75&gt;$AM286))
) / 1000</f>
        <v>0</v>
      </c>
      <c r="BW286" s="231">
        <f t="shared" si="313"/>
        <v>25</v>
      </c>
      <c r="BX286" s="229">
        <f t="shared" si="537"/>
        <v>38</v>
      </c>
      <c r="BY286" s="234">
        <f t="shared" si="538"/>
        <v>4.0666935483870965</v>
      </c>
      <c r="BZ286" s="234" cm="1">
        <f t="array" ref="BZ286">$BM286 * IF($AH286&lt;=2,
SUMPRODUCT(INDEX($AV$66:$AX$70,,$AI286), INDEX($AY$66:$BE$70,,$AH286), 1 / ($BF$66:$BF$70*BY286 + (1-$BF$66:$BF$70)*BU286), N($AU$66:$AU$70&gt;$AM286)),
SUMPRODUCT(INDEX($AV$56:$AX$65,,$AI286), INDEX($AY$56:$BE$65,,$AH286), 1 / ($BG$56:$BG$65*BY286 + (1-$BG$56:$BG$65)*BU286), N($AU$56:$AU$65&gt;$AM286))
) / 1000</f>
        <v>0</v>
      </c>
      <c r="CA286" s="231">
        <f t="shared" si="316"/>
        <v>20</v>
      </c>
      <c r="CB286" s="229">
        <f t="shared" si="539"/>
        <v>33</v>
      </c>
      <c r="CC286" s="234">
        <f t="shared" si="540"/>
        <v>4.8487499999999999</v>
      </c>
      <c r="CD286" s="234" cm="1">
        <f t="array" ref="CD286">$BM286 * IF($AH286&lt;=2,
SUMPRODUCT(INDEX($AV$61:$AX$65,,$AI286), INDEX($AY$61:$BE$65,,$AH286), 1 / ($BF$61:$BF$65*CC286 + (1-$BF$61:$BF$65)*BY286), N($AU$61:$AU$65&gt;$AM286)),
SUMPRODUCT(INDEX($AV$46:$AX$55,,$AI286), INDEX($AY$46:$BE$55,,$AH286), 1 / ($BG$46:$BG$55*CC286 + (1-$BG$46:$BG$55)*BY286), N($AU$46:$AU$55&gt;$AM286))
) / 1000</f>
        <v>0</v>
      </c>
      <c r="CE286" s="234" cm="1">
        <f t="array" ref="CE286">$BM286 * IF($AH286&lt;=2,
SUMPRODUCT(INDEX($AV$22:$AX$60,,$AI286), INDEX($AY$22:$BE$60,,$AH286), 1 / ($BF$22:$BF$60*CC286), N($AU$22:$AU$60&gt;$AM286)),
SUMPRODUCT(INDEX($AV$22:$AX$45,,$AI286), INDEX($AY$22:$BE$45,,$AH286), 1 / ($BG$22:$BG$45*CC286), N($AU$22:$AU$45&gt;$AM286))
) / 1000</f>
        <v>0</v>
      </c>
      <c r="CF286" s="229">
        <f t="shared" si="541"/>
        <v>0</v>
      </c>
      <c r="CG286" s="246"/>
      <c r="CH286" s="229">
        <f t="shared" si="542"/>
        <v>0</v>
      </c>
      <c r="CI286" s="228">
        <v>35</v>
      </c>
      <c r="CJ286" s="229">
        <f t="shared" si="543"/>
        <v>48</v>
      </c>
      <c r="CK286" s="234">
        <f t="shared" si="544"/>
        <v>3.0748170731707316</v>
      </c>
      <c r="CL286" s="234" cm="1">
        <f t="array" ref="CL286">$BM286 * SUMPRODUCT(INDEX($AV$76:$AX$81,,$AI286),INDEX($AY$76:$BE$81,,$AH286), N($AU$76:$AU$81&gt;$AM286)) / CK286 / 1000</f>
        <v>0</v>
      </c>
      <c r="CM286" s="231">
        <f t="shared" si="323"/>
        <v>30</v>
      </c>
      <c r="CN286" s="229">
        <f t="shared" si="545"/>
        <v>43</v>
      </c>
      <c r="CO286" s="234">
        <f t="shared" si="546"/>
        <v>3.5018750000000001</v>
      </c>
      <c r="CP286" s="234" cm="1">
        <f t="array" ref="CP286">$BM286 * IF($AH286&lt;=2,
SUMPRODUCT(INDEX($AV$71:$AX$75,,$AI286), INDEX($AY$71:$BE$75,,$AH286), 1 / ($BF$71:$BF$75*CO286 + (1-$BF$71:$BF$75)*CK286), N($AU$71:$AU$75&gt;$AM286)),
SUMPRODUCT(INDEX($AV$66:$AX$75,,$AI286), INDEX($AY$66:$BE$75,,$AH286), 1 / ($BG$66:$BG$75*CO286 + (1-$BG$66:$BG$75)*CK286), N($AU$66:$AU$75&gt;$AM286))
) / 1000</f>
        <v>0</v>
      </c>
      <c r="CQ286" s="231">
        <f t="shared" si="326"/>
        <v>25</v>
      </c>
      <c r="CR286" s="229">
        <f t="shared" si="547"/>
        <v>38</v>
      </c>
      <c r="CS286" s="234">
        <f t="shared" si="548"/>
        <v>4.0666935483870965</v>
      </c>
      <c r="CT286" s="234" cm="1">
        <f t="array" ref="CT286">$BM286 * IF($AH286&lt;=2,
SUMPRODUCT(INDEX($AV$66:$AX$70,,$AI286), INDEX($AY$66:$BE$70,,$AH286), 1 / ($BF$66:$BF$70*CS286 + (1-$BF$66:$BF$70)*CO286), N($AU$66:$AU$70&gt;$AM286)),
SUMPRODUCT(INDEX($AV$56:$AX$65,,$AI286), INDEX($AY$56:$BE$65,,$AH286), 1 / ($BG$56:$BG$65*CS286 + (1-$BG$56:$BG$65)*CO286), N($AU$56:$AU$65&gt;$AM286))
) / 1000</f>
        <v>0</v>
      </c>
      <c r="CU286" s="231">
        <f t="shared" si="329"/>
        <v>20</v>
      </c>
      <c r="CV286" s="229">
        <f t="shared" si="549"/>
        <v>33</v>
      </c>
      <c r="CW286" s="234">
        <f t="shared" si="550"/>
        <v>4.8487499999999999</v>
      </c>
      <c r="CX286" s="234" cm="1">
        <f t="array" ref="CX286">$BM286 * IF($AH286&lt;=2,
SUMPRODUCT(INDEX($AV$61:$AX$65,,$AI286), INDEX($AY$61:$BE$65,,$AH286), 1 / ($BF$61:$BF$65*CW286 + (1-$BF$61:$BF$65)*CS286), N($AU$61:$AU$65&gt;$AM286)),
SUMPRODUCT(INDEX($AV$46:$AX$55,,$AI286), INDEX($AY$46:$BE$55,,$AH286), 1 / ($BG$46:$BG$55*CW286 + (1-$BG$46:$BG$55)*CS286), N($AU$46:$AU$55&gt;$AM286))
) / 1000</f>
        <v>0</v>
      </c>
      <c r="CY286" s="234" cm="1">
        <f t="array" ref="CY286">$BM286 * IF($AH286&lt;=2,
SUMPRODUCT(INDEX($AV$22:$AX$60,,$AI286), INDEX($AY$22:$BE$60,,$AH286), 1 / ($BF$22:$BF$60*CW286), N($AU$22:$AU$60&gt;$AM286)),
SUMPRODUCT(INDEX($AV$22:$AX$45,,$AI286), INDEX($AY$22:$BE$45,,$AH286), 1 / ($BG$22:$BG$45*CW286), N($AU$22:$AU$45&gt;$AM286))
) / 1000</f>
        <v>0</v>
      </c>
      <c r="CZ286" s="229">
        <f t="shared" si="551"/>
        <v>0</v>
      </c>
      <c r="DA286" s="246"/>
    </row>
    <row r="287" spans="1:105" s="75" customFormat="1" ht="14.25" customHeight="1" x14ac:dyDescent="0.2">
      <c r="A287" s="230" t="b">
        <f t="shared" si="291"/>
        <v>0</v>
      </c>
      <c r="B287" s="253">
        <v>266</v>
      </c>
      <c r="C287" s="266"/>
      <c r="D287" s="266"/>
      <c r="E287" s="254"/>
      <c r="F287" s="255" t="str">
        <f>IF(ISBLANK(E287), "", VLOOKUP(E287, Z!$A$2:$C$4127, 3, FALSE))</f>
        <v/>
      </c>
      <c r="G287" s="256"/>
      <c r="H287" s="256"/>
      <c r="I287" s="256"/>
      <c r="J287" s="257"/>
      <c r="K287" s="258"/>
      <c r="L287" s="267"/>
      <c r="M287" s="268"/>
      <c r="N287" s="259" t="str" cm="1">
        <f t="array" ref="N287">IF($L287&gt;0, INDEX(Clean,1+AK287,$D$1), "")</f>
        <v/>
      </c>
      <c r="O287" s="260"/>
      <c r="P287" s="260"/>
      <c r="Q287" s="261"/>
      <c r="R287" s="264">
        <f t="shared" si="527"/>
        <v>0</v>
      </c>
      <c r="S287" s="259" t="str" cm="1">
        <f t="array" ref="S287">IF($L287&gt;0, INDEX(Clean,1+AL287,$D$1), "")</f>
        <v/>
      </c>
      <c r="T287" s="260"/>
      <c r="U287" s="260"/>
      <c r="V287" s="261"/>
      <c r="W287" s="267"/>
      <c r="X287" s="267"/>
      <c r="Y287" s="257"/>
      <c r="Z287" s="264">
        <f t="shared" si="528"/>
        <v>0</v>
      </c>
      <c r="AA287" s="269"/>
      <c r="AB287" s="266"/>
      <c r="AC287" s="254"/>
      <c r="AD287" s="255" t="str">
        <f>IF(ISBLANK(AC287), "", VLOOKUP(AC287, Z!$A$2:$C$4127, 3, FALSE))</f>
        <v/>
      </c>
      <c r="AE287" s="270"/>
      <c r="AF287" s="265">
        <f t="shared" si="529"/>
        <v>0</v>
      </c>
      <c r="AG287" s="246"/>
      <c r="AH287" s="228">
        <f t="shared" si="552"/>
        <v>1</v>
      </c>
      <c r="AI287" s="228">
        <f t="shared" si="553"/>
        <v>1</v>
      </c>
      <c r="AJ287" s="228">
        <f t="shared" si="554"/>
        <v>0</v>
      </c>
      <c r="AK287" s="228">
        <v>0</v>
      </c>
      <c r="AL287" s="228">
        <v>0</v>
      </c>
      <c r="AM287" s="228">
        <f t="shared" si="530"/>
        <v>-100</v>
      </c>
      <c r="AN287" s="228" cm="1">
        <f t="array" ref="AN287">IF(ISBLANK(G287), 1, IFERROR(MATCH(G287, INDEX(Kat,,1), 0), IFERROR(MATCH(Kat, INDEX(Use,,2), 0), MATCH(Kat, INDEX(Use,,3), 0))))</f>
        <v>1</v>
      </c>
      <c r="AO287" s="246"/>
      <c r="AP287" s="228" cm="1">
        <f t="array" ref="AP287">IF(W287&gt;0, INDEX(Kat, AN287,4), 0)</f>
        <v>0</v>
      </c>
      <c r="AQ287" s="228">
        <f t="shared" si="555"/>
        <v>0</v>
      </c>
      <c r="AR287" s="228" cm="1">
        <f t="array" ref="AR287">IF(X287&gt;0, INDEX(Kat, $AN287, 4+AQ287), 0)</f>
        <v>0</v>
      </c>
      <c r="AS287" s="228" cm="1">
        <f t="array" ref="AS287">IF(X287&gt;0, INDEX(Kat, $AN287, 9+AQ287), 0)</f>
        <v>0</v>
      </c>
      <c r="AT287" s="246"/>
      <c r="AU287" s="262"/>
      <c r="AV287" s="262"/>
      <c r="AW287" s="263"/>
      <c r="AX287" s="263"/>
      <c r="AY287" s="263"/>
      <c r="AZ287" s="263"/>
      <c r="BA287" s="263"/>
      <c r="BB287" s="263"/>
      <c r="BC287" s="263"/>
      <c r="BD287" s="263"/>
      <c r="BE287" s="263"/>
      <c r="BF287" s="263"/>
      <c r="BG287" s="263"/>
      <c r="BH287" s="246"/>
      <c r="BI287" s="228" cm="1">
        <f t="array" ref="BI287">INDEX(Use, $AH287, 4)</f>
        <v>7</v>
      </c>
      <c r="BJ287" s="228">
        <f t="shared" si="531"/>
        <v>32</v>
      </c>
      <c r="BK287" s="228">
        <f t="shared" si="305"/>
        <v>13</v>
      </c>
      <c r="BL287" s="228">
        <f t="shared" si="306"/>
        <v>0</v>
      </c>
      <c r="BM287" s="233" cm="1">
        <f t="array" ref="BM287">L287/IF($M287&gt;0, INDEX($AY$22:$BE$76, $M287+20, $AH287), 1)</f>
        <v>0</v>
      </c>
      <c r="BN287" s="229">
        <f t="shared" si="532"/>
        <v>0</v>
      </c>
      <c r="BO287" s="228">
        <v>35</v>
      </c>
      <c r="BP287" s="229">
        <f t="shared" si="533"/>
        <v>48</v>
      </c>
      <c r="BQ287" s="234">
        <f t="shared" si="534"/>
        <v>3.0748170731707316</v>
      </c>
      <c r="BR287" s="234" cm="1">
        <f t="array" ref="BR287">$BM287 * SUMPRODUCT(INDEX($AV$76:$AX$81,,$AI287),INDEX($AY$76:$BE$81,,$AH287), N($AU$76:$AU$81&gt;$AM287)) / BQ287 / 1000</f>
        <v>0</v>
      </c>
      <c r="BS287" s="231">
        <f t="shared" si="310"/>
        <v>30</v>
      </c>
      <c r="BT287" s="229">
        <f t="shared" si="535"/>
        <v>43</v>
      </c>
      <c r="BU287" s="234">
        <f t="shared" si="536"/>
        <v>3.5018750000000001</v>
      </c>
      <c r="BV287" s="234" cm="1">
        <f t="array" ref="BV287">$BM287 * IF($AH287&lt;=2,
SUMPRODUCT(INDEX($AV$71:$AX$75,,$AI287), INDEX($AY$71:$BE$75,,$AH287), 1 / ($BF$71:$BF$75*BU287 + (1-$BF$71:$BF$75)*BQ287), N($AU$71:$AU$75&gt;$AM287)),
SUMPRODUCT(INDEX($AV$66:$AX$75,,$AI287), INDEX($AY$66:$BE$75,,$AH287), 1 / ($BG$66:$BG$75*BU287 + (1-$BG$66:$BG$75)*BQ287), N($AU$66:$AU$75&gt;$AM287))
) / 1000</f>
        <v>0</v>
      </c>
      <c r="BW287" s="231">
        <f t="shared" si="313"/>
        <v>25</v>
      </c>
      <c r="BX287" s="229">
        <f t="shared" si="537"/>
        <v>38</v>
      </c>
      <c r="BY287" s="234">
        <f t="shared" si="538"/>
        <v>4.0666935483870965</v>
      </c>
      <c r="BZ287" s="234" cm="1">
        <f t="array" ref="BZ287">$BM287 * IF($AH287&lt;=2,
SUMPRODUCT(INDEX($AV$66:$AX$70,,$AI287), INDEX($AY$66:$BE$70,,$AH287), 1 / ($BF$66:$BF$70*BY287 + (1-$BF$66:$BF$70)*BU287), N($AU$66:$AU$70&gt;$AM287)),
SUMPRODUCT(INDEX($AV$56:$AX$65,,$AI287), INDEX($AY$56:$BE$65,,$AH287), 1 / ($BG$56:$BG$65*BY287 + (1-$BG$56:$BG$65)*BU287), N($AU$56:$AU$65&gt;$AM287))
) / 1000</f>
        <v>0</v>
      </c>
      <c r="CA287" s="231">
        <f t="shared" si="316"/>
        <v>20</v>
      </c>
      <c r="CB287" s="229">
        <f t="shared" si="539"/>
        <v>33</v>
      </c>
      <c r="CC287" s="234">
        <f t="shared" si="540"/>
        <v>4.8487499999999999</v>
      </c>
      <c r="CD287" s="234" cm="1">
        <f t="array" ref="CD287">$BM287 * IF($AH287&lt;=2,
SUMPRODUCT(INDEX($AV$61:$AX$65,,$AI287), INDEX($AY$61:$BE$65,,$AH287), 1 / ($BF$61:$BF$65*CC287 + (1-$BF$61:$BF$65)*BY287), N($AU$61:$AU$65&gt;$AM287)),
SUMPRODUCT(INDEX($AV$46:$AX$55,,$AI287), INDEX($AY$46:$BE$55,,$AH287), 1 / ($BG$46:$BG$55*CC287 + (1-$BG$46:$BG$55)*BY287), N($AU$46:$AU$55&gt;$AM287))
) / 1000</f>
        <v>0</v>
      </c>
      <c r="CE287" s="234" cm="1">
        <f t="array" ref="CE287">$BM287 * IF($AH287&lt;=2,
SUMPRODUCT(INDEX($AV$22:$AX$60,,$AI287), INDEX($AY$22:$BE$60,,$AH287), 1 / ($BF$22:$BF$60*CC287), N($AU$22:$AU$60&gt;$AM287)),
SUMPRODUCT(INDEX($AV$22:$AX$45,,$AI287), INDEX($AY$22:$BE$45,,$AH287), 1 / ($BG$22:$BG$45*CC287), N($AU$22:$AU$45&gt;$AM287))
) / 1000</f>
        <v>0</v>
      </c>
      <c r="CF287" s="229">
        <f t="shared" si="541"/>
        <v>0</v>
      </c>
      <c r="CG287" s="246"/>
      <c r="CH287" s="229">
        <f t="shared" si="542"/>
        <v>0</v>
      </c>
      <c r="CI287" s="228">
        <v>35</v>
      </c>
      <c r="CJ287" s="229">
        <f t="shared" si="543"/>
        <v>48</v>
      </c>
      <c r="CK287" s="234">
        <f t="shared" si="544"/>
        <v>3.0748170731707316</v>
      </c>
      <c r="CL287" s="234" cm="1">
        <f t="array" ref="CL287">$BM287 * SUMPRODUCT(INDEX($AV$76:$AX$81,,$AI287),INDEX($AY$76:$BE$81,,$AH287), N($AU$76:$AU$81&gt;$AM287)) / CK287 / 1000</f>
        <v>0</v>
      </c>
      <c r="CM287" s="231">
        <f t="shared" si="323"/>
        <v>30</v>
      </c>
      <c r="CN287" s="229">
        <f t="shared" si="545"/>
        <v>43</v>
      </c>
      <c r="CO287" s="234">
        <f t="shared" si="546"/>
        <v>3.5018750000000001</v>
      </c>
      <c r="CP287" s="234" cm="1">
        <f t="array" ref="CP287">$BM287 * IF($AH287&lt;=2,
SUMPRODUCT(INDEX($AV$71:$AX$75,,$AI287), INDEX($AY$71:$BE$75,,$AH287), 1 / ($BF$71:$BF$75*CO287 + (1-$BF$71:$BF$75)*CK287), N($AU$71:$AU$75&gt;$AM287)),
SUMPRODUCT(INDEX($AV$66:$AX$75,,$AI287), INDEX($AY$66:$BE$75,,$AH287), 1 / ($BG$66:$BG$75*CO287 + (1-$BG$66:$BG$75)*CK287), N($AU$66:$AU$75&gt;$AM287))
) / 1000</f>
        <v>0</v>
      </c>
      <c r="CQ287" s="231">
        <f t="shared" si="326"/>
        <v>25</v>
      </c>
      <c r="CR287" s="229">
        <f t="shared" si="547"/>
        <v>38</v>
      </c>
      <c r="CS287" s="234">
        <f t="shared" si="548"/>
        <v>4.0666935483870965</v>
      </c>
      <c r="CT287" s="234" cm="1">
        <f t="array" ref="CT287">$BM287 * IF($AH287&lt;=2,
SUMPRODUCT(INDEX($AV$66:$AX$70,,$AI287), INDEX($AY$66:$BE$70,,$AH287), 1 / ($BF$66:$BF$70*CS287 + (1-$BF$66:$BF$70)*CO287), N($AU$66:$AU$70&gt;$AM287)),
SUMPRODUCT(INDEX($AV$56:$AX$65,,$AI287), INDEX($AY$56:$BE$65,,$AH287), 1 / ($BG$56:$BG$65*CS287 + (1-$BG$56:$BG$65)*CO287), N($AU$56:$AU$65&gt;$AM287))
) / 1000</f>
        <v>0</v>
      </c>
      <c r="CU287" s="231">
        <f t="shared" si="329"/>
        <v>20</v>
      </c>
      <c r="CV287" s="229">
        <f t="shared" si="549"/>
        <v>33</v>
      </c>
      <c r="CW287" s="234">
        <f t="shared" si="550"/>
        <v>4.8487499999999999</v>
      </c>
      <c r="CX287" s="234" cm="1">
        <f t="array" ref="CX287">$BM287 * IF($AH287&lt;=2,
SUMPRODUCT(INDEX($AV$61:$AX$65,,$AI287), INDEX($AY$61:$BE$65,,$AH287), 1 / ($BF$61:$BF$65*CW287 + (1-$BF$61:$BF$65)*CS287), N($AU$61:$AU$65&gt;$AM287)),
SUMPRODUCT(INDEX($AV$46:$AX$55,,$AI287), INDEX($AY$46:$BE$55,,$AH287), 1 / ($BG$46:$BG$55*CW287 + (1-$BG$46:$BG$55)*CS287), N($AU$46:$AU$55&gt;$AM287))
) / 1000</f>
        <v>0</v>
      </c>
      <c r="CY287" s="234" cm="1">
        <f t="array" ref="CY287">$BM287 * IF($AH287&lt;=2,
SUMPRODUCT(INDEX($AV$22:$AX$60,,$AI287), INDEX($AY$22:$BE$60,,$AH287), 1 / ($BF$22:$BF$60*CW287), N($AU$22:$AU$60&gt;$AM287)),
SUMPRODUCT(INDEX($AV$22:$AX$45,,$AI287), INDEX($AY$22:$BE$45,,$AH287), 1 / ($BG$22:$BG$45*CW287), N($AU$22:$AU$45&gt;$AM287))
) / 1000</f>
        <v>0</v>
      </c>
      <c r="CZ287" s="229">
        <f t="shared" si="551"/>
        <v>0</v>
      </c>
      <c r="DA287" s="246"/>
    </row>
    <row r="288" spans="1:105" s="75" customFormat="1" ht="14.25" customHeight="1" x14ac:dyDescent="0.2">
      <c r="A288" s="230" t="b">
        <f t="shared" si="291"/>
        <v>0</v>
      </c>
      <c r="B288" s="253">
        <v>267</v>
      </c>
      <c r="C288" s="266"/>
      <c r="D288" s="266"/>
      <c r="E288" s="254"/>
      <c r="F288" s="255" t="str">
        <f>IF(ISBLANK(E288), "", VLOOKUP(E288, Z!$A$2:$C$4127, 3, FALSE))</f>
        <v/>
      </c>
      <c r="G288" s="256"/>
      <c r="H288" s="256"/>
      <c r="I288" s="256"/>
      <c r="J288" s="257"/>
      <c r="K288" s="258"/>
      <c r="L288" s="267"/>
      <c r="M288" s="268"/>
      <c r="N288" s="259" t="str" cm="1">
        <f t="array" ref="N288">IF($L288&gt;0, INDEX(Clean,1+AK288,$D$1), "")</f>
        <v/>
      </c>
      <c r="O288" s="260"/>
      <c r="P288" s="260"/>
      <c r="Q288" s="261"/>
      <c r="R288" s="264">
        <f t="shared" si="527"/>
        <v>0</v>
      </c>
      <c r="S288" s="259" t="str" cm="1">
        <f t="array" ref="S288">IF($L288&gt;0, INDEX(Clean,1+AL288,$D$1), "")</f>
        <v/>
      </c>
      <c r="T288" s="260"/>
      <c r="U288" s="260"/>
      <c r="V288" s="261"/>
      <c r="W288" s="267"/>
      <c r="X288" s="267"/>
      <c r="Y288" s="257"/>
      <c r="Z288" s="264">
        <f t="shared" si="528"/>
        <v>0</v>
      </c>
      <c r="AA288" s="269"/>
      <c r="AB288" s="266"/>
      <c r="AC288" s="254"/>
      <c r="AD288" s="255" t="str">
        <f>IF(ISBLANK(AC288), "", VLOOKUP(AC288, Z!$A$2:$C$4127, 3, FALSE))</f>
        <v/>
      </c>
      <c r="AE288" s="270"/>
      <c r="AF288" s="265">
        <f t="shared" si="529"/>
        <v>0</v>
      </c>
      <c r="AG288" s="246"/>
      <c r="AH288" s="228">
        <f t="shared" si="552"/>
        <v>1</v>
      </c>
      <c r="AI288" s="228">
        <f t="shared" si="553"/>
        <v>1</v>
      </c>
      <c r="AJ288" s="228">
        <f t="shared" si="554"/>
        <v>0</v>
      </c>
      <c r="AK288" s="228">
        <v>0</v>
      </c>
      <c r="AL288" s="228">
        <v>0</v>
      </c>
      <c r="AM288" s="228">
        <f t="shared" si="530"/>
        <v>-100</v>
      </c>
      <c r="AN288" s="228" cm="1">
        <f t="array" ref="AN288">IF(ISBLANK(G288), 1, IFERROR(MATCH(G288, INDEX(Kat,,1), 0), IFERROR(MATCH(Kat, INDEX(Use,,2), 0), MATCH(Kat, INDEX(Use,,3), 0))))</f>
        <v>1</v>
      </c>
      <c r="AO288" s="246"/>
      <c r="AP288" s="228" cm="1">
        <f t="array" ref="AP288">IF(W288&gt;0, INDEX(Kat, AN288,4), 0)</f>
        <v>0</v>
      </c>
      <c r="AQ288" s="228">
        <f t="shared" si="555"/>
        <v>0</v>
      </c>
      <c r="AR288" s="228" cm="1">
        <f t="array" ref="AR288">IF(X288&gt;0, INDEX(Kat, $AN288, 4+AQ288), 0)</f>
        <v>0</v>
      </c>
      <c r="AS288" s="228" cm="1">
        <f t="array" ref="AS288">IF(X288&gt;0, INDEX(Kat, $AN288, 9+AQ288), 0)</f>
        <v>0</v>
      </c>
      <c r="AT288" s="246"/>
      <c r="AU288" s="262"/>
      <c r="AV288" s="262"/>
      <c r="AW288" s="263"/>
      <c r="AX288" s="263"/>
      <c r="AY288" s="263"/>
      <c r="AZ288" s="263"/>
      <c r="BA288" s="263"/>
      <c r="BB288" s="263"/>
      <c r="BC288" s="263"/>
      <c r="BD288" s="263"/>
      <c r="BE288" s="263"/>
      <c r="BF288" s="263"/>
      <c r="BG288" s="263"/>
      <c r="BH288" s="246"/>
      <c r="BI288" s="228" cm="1">
        <f t="array" ref="BI288">INDEX(Use, $AH288, 4)</f>
        <v>7</v>
      </c>
      <c r="BJ288" s="228">
        <f t="shared" si="531"/>
        <v>32</v>
      </c>
      <c r="BK288" s="228">
        <f t="shared" si="305"/>
        <v>13</v>
      </c>
      <c r="BL288" s="228">
        <f t="shared" si="306"/>
        <v>0</v>
      </c>
      <c r="BM288" s="233" cm="1">
        <f t="array" ref="BM288">L288/IF($M288&gt;0, INDEX($AY$22:$BE$76, $M288+20, $AH288), 1)</f>
        <v>0</v>
      </c>
      <c r="BN288" s="229">
        <f t="shared" si="532"/>
        <v>0</v>
      </c>
      <c r="BO288" s="228">
        <v>35</v>
      </c>
      <c r="BP288" s="229">
        <f t="shared" si="533"/>
        <v>48</v>
      </c>
      <c r="BQ288" s="234">
        <f t="shared" si="534"/>
        <v>3.0748170731707316</v>
      </c>
      <c r="BR288" s="234" cm="1">
        <f t="array" ref="BR288">$BM288 * SUMPRODUCT(INDEX($AV$76:$AX$81,,$AI288),INDEX($AY$76:$BE$81,,$AH288), N($AU$76:$AU$81&gt;$AM288)) / BQ288 / 1000</f>
        <v>0</v>
      </c>
      <c r="BS288" s="231">
        <f t="shared" si="310"/>
        <v>30</v>
      </c>
      <c r="BT288" s="229">
        <f t="shared" si="535"/>
        <v>43</v>
      </c>
      <c r="BU288" s="234">
        <f t="shared" si="536"/>
        <v>3.5018750000000001</v>
      </c>
      <c r="BV288" s="234" cm="1">
        <f t="array" ref="BV288">$BM288 * IF($AH288&lt;=2,
SUMPRODUCT(INDEX($AV$71:$AX$75,,$AI288), INDEX($AY$71:$BE$75,,$AH288), 1 / ($BF$71:$BF$75*BU288 + (1-$BF$71:$BF$75)*BQ288), N($AU$71:$AU$75&gt;$AM288)),
SUMPRODUCT(INDEX($AV$66:$AX$75,,$AI288), INDEX($AY$66:$BE$75,,$AH288), 1 / ($BG$66:$BG$75*BU288 + (1-$BG$66:$BG$75)*BQ288), N($AU$66:$AU$75&gt;$AM288))
) / 1000</f>
        <v>0</v>
      </c>
      <c r="BW288" s="231">
        <f t="shared" si="313"/>
        <v>25</v>
      </c>
      <c r="BX288" s="229">
        <f t="shared" si="537"/>
        <v>38</v>
      </c>
      <c r="BY288" s="234">
        <f t="shared" si="538"/>
        <v>4.0666935483870965</v>
      </c>
      <c r="BZ288" s="234" cm="1">
        <f t="array" ref="BZ288">$BM288 * IF($AH288&lt;=2,
SUMPRODUCT(INDEX($AV$66:$AX$70,,$AI288), INDEX($AY$66:$BE$70,,$AH288), 1 / ($BF$66:$BF$70*BY288 + (1-$BF$66:$BF$70)*BU288), N($AU$66:$AU$70&gt;$AM288)),
SUMPRODUCT(INDEX($AV$56:$AX$65,,$AI288), INDEX($AY$56:$BE$65,,$AH288), 1 / ($BG$56:$BG$65*BY288 + (1-$BG$56:$BG$65)*BU288), N($AU$56:$AU$65&gt;$AM288))
) / 1000</f>
        <v>0</v>
      </c>
      <c r="CA288" s="231">
        <f t="shared" si="316"/>
        <v>20</v>
      </c>
      <c r="CB288" s="229">
        <f t="shared" si="539"/>
        <v>33</v>
      </c>
      <c r="CC288" s="234">
        <f t="shared" si="540"/>
        <v>4.8487499999999999</v>
      </c>
      <c r="CD288" s="234" cm="1">
        <f t="array" ref="CD288">$BM288 * IF($AH288&lt;=2,
SUMPRODUCT(INDEX($AV$61:$AX$65,,$AI288), INDEX($AY$61:$BE$65,,$AH288), 1 / ($BF$61:$BF$65*CC288 + (1-$BF$61:$BF$65)*BY288), N($AU$61:$AU$65&gt;$AM288)),
SUMPRODUCT(INDEX($AV$46:$AX$55,,$AI288), INDEX($AY$46:$BE$55,,$AH288), 1 / ($BG$46:$BG$55*CC288 + (1-$BG$46:$BG$55)*BY288), N($AU$46:$AU$55&gt;$AM288))
) / 1000</f>
        <v>0</v>
      </c>
      <c r="CE288" s="234" cm="1">
        <f t="array" ref="CE288">$BM288 * IF($AH288&lt;=2,
SUMPRODUCT(INDEX($AV$22:$AX$60,,$AI288), INDEX($AY$22:$BE$60,,$AH288), 1 / ($BF$22:$BF$60*CC288), N($AU$22:$AU$60&gt;$AM288)),
SUMPRODUCT(INDEX($AV$22:$AX$45,,$AI288), INDEX($AY$22:$BE$45,,$AH288), 1 / ($BG$22:$BG$45*CC288), N($AU$22:$AU$45&gt;$AM288))
) / 1000</f>
        <v>0</v>
      </c>
      <c r="CF288" s="229">
        <f t="shared" si="541"/>
        <v>0</v>
      </c>
      <c r="CG288" s="246"/>
      <c r="CH288" s="229">
        <f t="shared" si="542"/>
        <v>0</v>
      </c>
      <c r="CI288" s="228">
        <v>35</v>
      </c>
      <c r="CJ288" s="229">
        <f t="shared" si="543"/>
        <v>48</v>
      </c>
      <c r="CK288" s="234">
        <f t="shared" si="544"/>
        <v>3.0748170731707316</v>
      </c>
      <c r="CL288" s="234" cm="1">
        <f t="array" ref="CL288">$BM288 * SUMPRODUCT(INDEX($AV$76:$AX$81,,$AI288),INDEX($AY$76:$BE$81,,$AH288), N($AU$76:$AU$81&gt;$AM288)) / CK288 / 1000</f>
        <v>0</v>
      </c>
      <c r="CM288" s="231">
        <f t="shared" si="323"/>
        <v>30</v>
      </c>
      <c r="CN288" s="229">
        <f t="shared" si="545"/>
        <v>43</v>
      </c>
      <c r="CO288" s="234">
        <f t="shared" si="546"/>
        <v>3.5018750000000001</v>
      </c>
      <c r="CP288" s="234" cm="1">
        <f t="array" ref="CP288">$BM288 * IF($AH288&lt;=2,
SUMPRODUCT(INDEX($AV$71:$AX$75,,$AI288), INDEX($AY$71:$BE$75,,$AH288), 1 / ($BF$71:$BF$75*CO288 + (1-$BF$71:$BF$75)*CK288), N($AU$71:$AU$75&gt;$AM288)),
SUMPRODUCT(INDEX($AV$66:$AX$75,,$AI288), INDEX($AY$66:$BE$75,,$AH288), 1 / ($BG$66:$BG$75*CO288 + (1-$BG$66:$BG$75)*CK288), N($AU$66:$AU$75&gt;$AM288))
) / 1000</f>
        <v>0</v>
      </c>
      <c r="CQ288" s="231">
        <f t="shared" si="326"/>
        <v>25</v>
      </c>
      <c r="CR288" s="229">
        <f t="shared" si="547"/>
        <v>38</v>
      </c>
      <c r="CS288" s="234">
        <f t="shared" si="548"/>
        <v>4.0666935483870965</v>
      </c>
      <c r="CT288" s="234" cm="1">
        <f t="array" ref="CT288">$BM288 * IF($AH288&lt;=2,
SUMPRODUCT(INDEX($AV$66:$AX$70,,$AI288), INDEX($AY$66:$BE$70,,$AH288), 1 / ($BF$66:$BF$70*CS288 + (1-$BF$66:$BF$70)*CO288), N($AU$66:$AU$70&gt;$AM288)),
SUMPRODUCT(INDEX($AV$56:$AX$65,,$AI288), INDEX($AY$56:$BE$65,,$AH288), 1 / ($BG$56:$BG$65*CS288 + (1-$BG$56:$BG$65)*CO288), N($AU$56:$AU$65&gt;$AM288))
) / 1000</f>
        <v>0</v>
      </c>
      <c r="CU288" s="231">
        <f t="shared" si="329"/>
        <v>20</v>
      </c>
      <c r="CV288" s="229">
        <f t="shared" si="549"/>
        <v>33</v>
      </c>
      <c r="CW288" s="234">
        <f t="shared" si="550"/>
        <v>4.8487499999999999</v>
      </c>
      <c r="CX288" s="234" cm="1">
        <f t="array" ref="CX288">$BM288 * IF($AH288&lt;=2,
SUMPRODUCT(INDEX($AV$61:$AX$65,,$AI288), INDEX($AY$61:$BE$65,,$AH288), 1 / ($BF$61:$BF$65*CW288 + (1-$BF$61:$BF$65)*CS288), N($AU$61:$AU$65&gt;$AM288)),
SUMPRODUCT(INDEX($AV$46:$AX$55,,$AI288), INDEX($AY$46:$BE$55,,$AH288), 1 / ($BG$46:$BG$55*CW288 + (1-$BG$46:$BG$55)*CS288), N($AU$46:$AU$55&gt;$AM288))
) / 1000</f>
        <v>0</v>
      </c>
      <c r="CY288" s="234" cm="1">
        <f t="array" ref="CY288">$BM288 * IF($AH288&lt;=2,
SUMPRODUCT(INDEX($AV$22:$AX$60,,$AI288), INDEX($AY$22:$BE$60,,$AH288), 1 / ($BF$22:$BF$60*CW288), N($AU$22:$AU$60&gt;$AM288)),
SUMPRODUCT(INDEX($AV$22:$AX$45,,$AI288), INDEX($AY$22:$BE$45,,$AH288), 1 / ($BG$22:$BG$45*CW288), N($AU$22:$AU$45&gt;$AM288))
) / 1000</f>
        <v>0</v>
      </c>
      <c r="CZ288" s="229">
        <f t="shared" si="551"/>
        <v>0</v>
      </c>
      <c r="DA288" s="246"/>
    </row>
    <row r="289" spans="1:105" s="75" customFormat="1" ht="14.25" customHeight="1" x14ac:dyDescent="0.2">
      <c r="A289" s="230" t="b">
        <f t="shared" si="291"/>
        <v>0</v>
      </c>
      <c r="B289" s="253">
        <v>268</v>
      </c>
      <c r="C289" s="266"/>
      <c r="D289" s="266"/>
      <c r="E289" s="254"/>
      <c r="F289" s="255" t="str">
        <f>IF(ISBLANK(E289), "", VLOOKUP(E289, Z!$A$2:$C$4127, 3, FALSE))</f>
        <v/>
      </c>
      <c r="G289" s="256"/>
      <c r="H289" s="256"/>
      <c r="I289" s="256"/>
      <c r="J289" s="257"/>
      <c r="K289" s="258"/>
      <c r="L289" s="267"/>
      <c r="M289" s="268"/>
      <c r="N289" s="259" t="str" cm="1">
        <f t="array" ref="N289">IF($L289&gt;0, INDEX(Clean,1+AK289,$D$1), "")</f>
        <v/>
      </c>
      <c r="O289" s="260"/>
      <c r="P289" s="260"/>
      <c r="Q289" s="261"/>
      <c r="R289" s="264">
        <f t="shared" si="527"/>
        <v>0</v>
      </c>
      <c r="S289" s="259" t="str" cm="1">
        <f t="array" ref="S289">IF($L289&gt;0, INDEX(Clean,1+AL289,$D$1), "")</f>
        <v/>
      </c>
      <c r="T289" s="260"/>
      <c r="U289" s="260"/>
      <c r="V289" s="261"/>
      <c r="W289" s="267"/>
      <c r="X289" s="267"/>
      <c r="Y289" s="257"/>
      <c r="Z289" s="264">
        <f t="shared" si="528"/>
        <v>0</v>
      </c>
      <c r="AA289" s="269"/>
      <c r="AB289" s="266"/>
      <c r="AC289" s="254"/>
      <c r="AD289" s="255" t="str">
        <f>IF(ISBLANK(AC289), "", VLOOKUP(AC289, Z!$A$2:$C$4127, 3, FALSE))</f>
        <v/>
      </c>
      <c r="AE289" s="270"/>
      <c r="AF289" s="265">
        <f t="shared" si="529"/>
        <v>0</v>
      </c>
      <c r="AG289" s="246"/>
      <c r="AH289" s="228">
        <f t="shared" si="552"/>
        <v>1</v>
      </c>
      <c r="AI289" s="228">
        <f t="shared" si="553"/>
        <v>1</v>
      </c>
      <c r="AJ289" s="228">
        <f t="shared" si="554"/>
        <v>0</v>
      </c>
      <c r="AK289" s="228">
        <v>0</v>
      </c>
      <c r="AL289" s="228">
        <v>0</v>
      </c>
      <c r="AM289" s="228">
        <f t="shared" si="530"/>
        <v>-100</v>
      </c>
      <c r="AN289" s="228" cm="1">
        <f t="array" ref="AN289">IF(ISBLANK(G289), 1, IFERROR(MATCH(G289, INDEX(Kat,,1), 0), IFERROR(MATCH(Kat, INDEX(Use,,2), 0), MATCH(Kat, INDEX(Use,,3), 0))))</f>
        <v>1</v>
      </c>
      <c r="AO289" s="246"/>
      <c r="AP289" s="228" cm="1">
        <f t="array" ref="AP289">IF(W289&gt;0, INDEX(Kat, AN289,4), 0)</f>
        <v>0</v>
      </c>
      <c r="AQ289" s="228">
        <f t="shared" si="555"/>
        <v>0</v>
      </c>
      <c r="AR289" s="228" cm="1">
        <f t="array" ref="AR289">IF(X289&gt;0, INDEX(Kat, $AN289, 4+AQ289), 0)</f>
        <v>0</v>
      </c>
      <c r="AS289" s="228" cm="1">
        <f t="array" ref="AS289">IF(X289&gt;0, INDEX(Kat, $AN289, 9+AQ289), 0)</f>
        <v>0</v>
      </c>
      <c r="AT289" s="246"/>
      <c r="AU289" s="262"/>
      <c r="AV289" s="262"/>
      <c r="AW289" s="263"/>
      <c r="AX289" s="263"/>
      <c r="AY289" s="263"/>
      <c r="AZ289" s="263"/>
      <c r="BA289" s="263"/>
      <c r="BB289" s="263"/>
      <c r="BC289" s="263"/>
      <c r="BD289" s="263"/>
      <c r="BE289" s="263"/>
      <c r="BF289" s="263"/>
      <c r="BG289" s="263"/>
      <c r="BH289" s="246"/>
      <c r="BI289" s="228" cm="1">
        <f t="array" ref="BI289">INDEX(Use, $AH289, 4)</f>
        <v>7</v>
      </c>
      <c r="BJ289" s="228">
        <f t="shared" si="531"/>
        <v>32</v>
      </c>
      <c r="BK289" s="228">
        <f t="shared" si="305"/>
        <v>13</v>
      </c>
      <c r="BL289" s="228">
        <f t="shared" si="306"/>
        <v>0</v>
      </c>
      <c r="BM289" s="233" cm="1">
        <f t="array" ref="BM289">L289/IF($M289&gt;0, INDEX($AY$22:$BE$76, $M289+20, $AH289), 1)</f>
        <v>0</v>
      </c>
      <c r="BN289" s="229">
        <f t="shared" si="532"/>
        <v>0</v>
      </c>
      <c r="BO289" s="228">
        <v>35</v>
      </c>
      <c r="BP289" s="229">
        <f t="shared" si="533"/>
        <v>48</v>
      </c>
      <c r="BQ289" s="234">
        <f t="shared" si="534"/>
        <v>3.0748170731707316</v>
      </c>
      <c r="BR289" s="234" cm="1">
        <f t="array" ref="BR289">$BM289 * SUMPRODUCT(INDEX($AV$76:$AX$81,,$AI289),INDEX($AY$76:$BE$81,,$AH289), N($AU$76:$AU$81&gt;$AM289)) / BQ289 / 1000</f>
        <v>0</v>
      </c>
      <c r="BS289" s="231">
        <f t="shared" si="310"/>
        <v>30</v>
      </c>
      <c r="BT289" s="229">
        <f t="shared" si="535"/>
        <v>43</v>
      </c>
      <c r="BU289" s="234">
        <f t="shared" si="536"/>
        <v>3.5018750000000001</v>
      </c>
      <c r="BV289" s="234" cm="1">
        <f t="array" ref="BV289">$BM289 * IF($AH289&lt;=2,
SUMPRODUCT(INDEX($AV$71:$AX$75,,$AI289), INDEX($AY$71:$BE$75,,$AH289), 1 / ($BF$71:$BF$75*BU289 + (1-$BF$71:$BF$75)*BQ289), N($AU$71:$AU$75&gt;$AM289)),
SUMPRODUCT(INDEX($AV$66:$AX$75,,$AI289), INDEX($AY$66:$BE$75,,$AH289), 1 / ($BG$66:$BG$75*BU289 + (1-$BG$66:$BG$75)*BQ289), N($AU$66:$AU$75&gt;$AM289))
) / 1000</f>
        <v>0</v>
      </c>
      <c r="BW289" s="231">
        <f t="shared" si="313"/>
        <v>25</v>
      </c>
      <c r="BX289" s="229">
        <f t="shared" si="537"/>
        <v>38</v>
      </c>
      <c r="BY289" s="234">
        <f t="shared" si="538"/>
        <v>4.0666935483870965</v>
      </c>
      <c r="BZ289" s="234" cm="1">
        <f t="array" ref="BZ289">$BM289 * IF($AH289&lt;=2,
SUMPRODUCT(INDEX($AV$66:$AX$70,,$AI289), INDEX($AY$66:$BE$70,,$AH289), 1 / ($BF$66:$BF$70*BY289 + (1-$BF$66:$BF$70)*BU289), N($AU$66:$AU$70&gt;$AM289)),
SUMPRODUCT(INDEX($AV$56:$AX$65,,$AI289), INDEX($AY$56:$BE$65,,$AH289), 1 / ($BG$56:$BG$65*BY289 + (1-$BG$56:$BG$65)*BU289), N($AU$56:$AU$65&gt;$AM289))
) / 1000</f>
        <v>0</v>
      </c>
      <c r="CA289" s="231">
        <f t="shared" si="316"/>
        <v>20</v>
      </c>
      <c r="CB289" s="229">
        <f t="shared" si="539"/>
        <v>33</v>
      </c>
      <c r="CC289" s="234">
        <f t="shared" si="540"/>
        <v>4.8487499999999999</v>
      </c>
      <c r="CD289" s="234" cm="1">
        <f t="array" ref="CD289">$BM289 * IF($AH289&lt;=2,
SUMPRODUCT(INDEX($AV$61:$AX$65,,$AI289), INDEX($AY$61:$BE$65,,$AH289), 1 / ($BF$61:$BF$65*CC289 + (1-$BF$61:$BF$65)*BY289), N($AU$61:$AU$65&gt;$AM289)),
SUMPRODUCT(INDEX($AV$46:$AX$55,,$AI289), INDEX($AY$46:$BE$55,,$AH289), 1 / ($BG$46:$BG$55*CC289 + (1-$BG$46:$BG$55)*BY289), N($AU$46:$AU$55&gt;$AM289))
) / 1000</f>
        <v>0</v>
      </c>
      <c r="CE289" s="234" cm="1">
        <f t="array" ref="CE289">$BM289 * IF($AH289&lt;=2,
SUMPRODUCT(INDEX($AV$22:$AX$60,,$AI289), INDEX($AY$22:$BE$60,,$AH289), 1 / ($BF$22:$BF$60*CC289), N($AU$22:$AU$60&gt;$AM289)),
SUMPRODUCT(INDEX($AV$22:$AX$45,,$AI289), INDEX($AY$22:$BE$45,,$AH289), 1 / ($BG$22:$BG$45*CC289), N($AU$22:$AU$45&gt;$AM289))
) / 1000</f>
        <v>0</v>
      </c>
      <c r="CF289" s="229">
        <f t="shared" si="541"/>
        <v>0</v>
      </c>
      <c r="CG289" s="246"/>
      <c r="CH289" s="229">
        <f t="shared" si="542"/>
        <v>0</v>
      </c>
      <c r="CI289" s="228">
        <v>35</v>
      </c>
      <c r="CJ289" s="229">
        <f t="shared" si="543"/>
        <v>48</v>
      </c>
      <c r="CK289" s="234">
        <f t="shared" si="544"/>
        <v>3.0748170731707316</v>
      </c>
      <c r="CL289" s="234" cm="1">
        <f t="array" ref="CL289">$BM289 * SUMPRODUCT(INDEX($AV$76:$AX$81,,$AI289),INDEX($AY$76:$BE$81,,$AH289), N($AU$76:$AU$81&gt;$AM289)) / CK289 / 1000</f>
        <v>0</v>
      </c>
      <c r="CM289" s="231">
        <f t="shared" si="323"/>
        <v>30</v>
      </c>
      <c r="CN289" s="229">
        <f t="shared" si="545"/>
        <v>43</v>
      </c>
      <c r="CO289" s="234">
        <f t="shared" si="546"/>
        <v>3.5018750000000001</v>
      </c>
      <c r="CP289" s="234" cm="1">
        <f t="array" ref="CP289">$BM289 * IF($AH289&lt;=2,
SUMPRODUCT(INDEX($AV$71:$AX$75,,$AI289), INDEX($AY$71:$BE$75,,$AH289), 1 / ($BF$71:$BF$75*CO289 + (1-$BF$71:$BF$75)*CK289), N($AU$71:$AU$75&gt;$AM289)),
SUMPRODUCT(INDEX($AV$66:$AX$75,,$AI289), INDEX($AY$66:$BE$75,,$AH289), 1 / ($BG$66:$BG$75*CO289 + (1-$BG$66:$BG$75)*CK289), N($AU$66:$AU$75&gt;$AM289))
) / 1000</f>
        <v>0</v>
      </c>
      <c r="CQ289" s="231">
        <f t="shared" si="326"/>
        <v>25</v>
      </c>
      <c r="CR289" s="229">
        <f t="shared" si="547"/>
        <v>38</v>
      </c>
      <c r="CS289" s="234">
        <f t="shared" si="548"/>
        <v>4.0666935483870965</v>
      </c>
      <c r="CT289" s="234" cm="1">
        <f t="array" ref="CT289">$BM289 * IF($AH289&lt;=2,
SUMPRODUCT(INDEX($AV$66:$AX$70,,$AI289), INDEX($AY$66:$BE$70,,$AH289), 1 / ($BF$66:$BF$70*CS289 + (1-$BF$66:$BF$70)*CO289), N($AU$66:$AU$70&gt;$AM289)),
SUMPRODUCT(INDEX($AV$56:$AX$65,,$AI289), INDEX($AY$56:$BE$65,,$AH289), 1 / ($BG$56:$BG$65*CS289 + (1-$BG$56:$BG$65)*CO289), N($AU$56:$AU$65&gt;$AM289))
) / 1000</f>
        <v>0</v>
      </c>
      <c r="CU289" s="231">
        <f t="shared" si="329"/>
        <v>20</v>
      </c>
      <c r="CV289" s="229">
        <f t="shared" si="549"/>
        <v>33</v>
      </c>
      <c r="CW289" s="234">
        <f t="shared" si="550"/>
        <v>4.8487499999999999</v>
      </c>
      <c r="CX289" s="234" cm="1">
        <f t="array" ref="CX289">$BM289 * IF($AH289&lt;=2,
SUMPRODUCT(INDEX($AV$61:$AX$65,,$AI289), INDEX($AY$61:$BE$65,,$AH289), 1 / ($BF$61:$BF$65*CW289 + (1-$BF$61:$BF$65)*CS289), N($AU$61:$AU$65&gt;$AM289)),
SUMPRODUCT(INDEX($AV$46:$AX$55,,$AI289), INDEX($AY$46:$BE$55,,$AH289), 1 / ($BG$46:$BG$55*CW289 + (1-$BG$46:$BG$55)*CS289), N($AU$46:$AU$55&gt;$AM289))
) / 1000</f>
        <v>0</v>
      </c>
      <c r="CY289" s="234" cm="1">
        <f t="array" ref="CY289">$BM289 * IF($AH289&lt;=2,
SUMPRODUCT(INDEX($AV$22:$AX$60,,$AI289), INDEX($AY$22:$BE$60,,$AH289), 1 / ($BF$22:$BF$60*CW289), N($AU$22:$AU$60&gt;$AM289)),
SUMPRODUCT(INDEX($AV$22:$AX$45,,$AI289), INDEX($AY$22:$BE$45,,$AH289), 1 / ($BG$22:$BG$45*CW289), N($AU$22:$AU$45&gt;$AM289))
) / 1000</f>
        <v>0</v>
      </c>
      <c r="CZ289" s="229">
        <f t="shared" si="551"/>
        <v>0</v>
      </c>
      <c r="DA289" s="246"/>
    </row>
    <row r="290" spans="1:105" s="75" customFormat="1" ht="14.25" customHeight="1" x14ac:dyDescent="0.2">
      <c r="A290" s="230" t="b">
        <f t="shared" si="291"/>
        <v>0</v>
      </c>
      <c r="B290" s="253">
        <v>269</v>
      </c>
      <c r="C290" s="266"/>
      <c r="D290" s="266"/>
      <c r="E290" s="254"/>
      <c r="F290" s="255" t="str">
        <f>IF(ISBLANK(E290), "", VLOOKUP(E290, Z!$A$2:$C$4127, 3, FALSE))</f>
        <v/>
      </c>
      <c r="G290" s="256"/>
      <c r="H290" s="256"/>
      <c r="I290" s="256"/>
      <c r="J290" s="257"/>
      <c r="K290" s="258"/>
      <c r="L290" s="267"/>
      <c r="M290" s="268"/>
      <c r="N290" s="259" t="str" cm="1">
        <f t="array" ref="N290">IF($L290&gt;0, INDEX(Clean,1+AK290,$D$1), "")</f>
        <v/>
      </c>
      <c r="O290" s="260"/>
      <c r="P290" s="260"/>
      <c r="Q290" s="261"/>
      <c r="R290" s="264">
        <f t="shared" si="527"/>
        <v>0</v>
      </c>
      <c r="S290" s="259" t="str" cm="1">
        <f t="array" ref="S290">IF($L290&gt;0, INDEX(Clean,1+AL290,$D$1), "")</f>
        <v/>
      </c>
      <c r="T290" s="260"/>
      <c r="U290" s="260"/>
      <c r="V290" s="261"/>
      <c r="W290" s="267"/>
      <c r="X290" s="267"/>
      <c r="Y290" s="257"/>
      <c r="Z290" s="264">
        <f t="shared" si="528"/>
        <v>0</v>
      </c>
      <c r="AA290" s="269"/>
      <c r="AB290" s="266"/>
      <c r="AC290" s="254"/>
      <c r="AD290" s="255" t="str">
        <f>IF(ISBLANK(AC290), "", VLOOKUP(AC290, Z!$A$2:$C$4127, 3, FALSE))</f>
        <v/>
      </c>
      <c r="AE290" s="270"/>
      <c r="AF290" s="265">
        <f t="shared" si="529"/>
        <v>0</v>
      </c>
      <c r="AG290" s="246"/>
      <c r="AH290" s="228">
        <f t="shared" si="552"/>
        <v>1</v>
      </c>
      <c r="AI290" s="228">
        <f t="shared" si="553"/>
        <v>1</v>
      </c>
      <c r="AJ290" s="228">
        <f t="shared" si="554"/>
        <v>0</v>
      </c>
      <c r="AK290" s="228">
        <v>0</v>
      </c>
      <c r="AL290" s="228">
        <v>0</v>
      </c>
      <c r="AM290" s="228">
        <f t="shared" si="530"/>
        <v>-100</v>
      </c>
      <c r="AN290" s="228" cm="1">
        <f t="array" ref="AN290">IF(ISBLANK(G290), 1, IFERROR(MATCH(G290, INDEX(Kat,,1), 0), IFERROR(MATCH(Kat, INDEX(Use,,2), 0), MATCH(Kat, INDEX(Use,,3), 0))))</f>
        <v>1</v>
      </c>
      <c r="AO290" s="246"/>
      <c r="AP290" s="228" cm="1">
        <f t="array" ref="AP290">IF(W290&gt;0, INDEX(Kat, AN290,4), 0)</f>
        <v>0</v>
      </c>
      <c r="AQ290" s="228">
        <f t="shared" si="555"/>
        <v>0</v>
      </c>
      <c r="AR290" s="228" cm="1">
        <f t="array" ref="AR290">IF(X290&gt;0, INDEX(Kat, $AN290, 4+AQ290), 0)</f>
        <v>0</v>
      </c>
      <c r="AS290" s="228" cm="1">
        <f t="array" ref="AS290">IF(X290&gt;0, INDEX(Kat, $AN290, 9+AQ290), 0)</f>
        <v>0</v>
      </c>
      <c r="AT290" s="246"/>
      <c r="AU290" s="262"/>
      <c r="AV290" s="262"/>
      <c r="AW290" s="263"/>
      <c r="AX290" s="263"/>
      <c r="AY290" s="263"/>
      <c r="AZ290" s="263"/>
      <c r="BA290" s="263"/>
      <c r="BB290" s="263"/>
      <c r="BC290" s="263"/>
      <c r="BD290" s="263"/>
      <c r="BE290" s="263"/>
      <c r="BF290" s="263"/>
      <c r="BG290" s="263"/>
      <c r="BH290" s="246"/>
      <c r="BI290" s="228" cm="1">
        <f t="array" ref="BI290">INDEX(Use, $AH290, 4)</f>
        <v>7</v>
      </c>
      <c r="BJ290" s="228">
        <f t="shared" si="531"/>
        <v>32</v>
      </c>
      <c r="BK290" s="228">
        <f t="shared" si="305"/>
        <v>13</v>
      </c>
      <c r="BL290" s="228">
        <f t="shared" si="306"/>
        <v>0</v>
      </c>
      <c r="BM290" s="233" cm="1">
        <f t="array" ref="BM290">L290/IF($M290&gt;0, INDEX($AY$22:$BE$76, $M290+20, $AH290), 1)</f>
        <v>0</v>
      </c>
      <c r="BN290" s="229">
        <f t="shared" si="532"/>
        <v>0</v>
      </c>
      <c r="BO290" s="228">
        <v>35</v>
      </c>
      <c r="BP290" s="229">
        <f t="shared" si="533"/>
        <v>48</v>
      </c>
      <c r="BQ290" s="234">
        <f t="shared" si="534"/>
        <v>3.0748170731707316</v>
      </c>
      <c r="BR290" s="234" cm="1">
        <f t="array" ref="BR290">$BM290 * SUMPRODUCT(INDEX($AV$76:$AX$81,,$AI290),INDEX($AY$76:$BE$81,,$AH290), N($AU$76:$AU$81&gt;$AM290)) / BQ290 / 1000</f>
        <v>0</v>
      </c>
      <c r="BS290" s="231">
        <f t="shared" si="310"/>
        <v>30</v>
      </c>
      <c r="BT290" s="229">
        <f t="shared" si="535"/>
        <v>43</v>
      </c>
      <c r="BU290" s="234">
        <f t="shared" si="536"/>
        <v>3.5018750000000001</v>
      </c>
      <c r="BV290" s="234" cm="1">
        <f t="array" ref="BV290">$BM290 * IF($AH290&lt;=2,
SUMPRODUCT(INDEX($AV$71:$AX$75,,$AI290), INDEX($AY$71:$BE$75,,$AH290), 1 / ($BF$71:$BF$75*BU290 + (1-$BF$71:$BF$75)*BQ290), N($AU$71:$AU$75&gt;$AM290)),
SUMPRODUCT(INDEX($AV$66:$AX$75,,$AI290), INDEX($AY$66:$BE$75,,$AH290), 1 / ($BG$66:$BG$75*BU290 + (1-$BG$66:$BG$75)*BQ290), N($AU$66:$AU$75&gt;$AM290))
) / 1000</f>
        <v>0</v>
      </c>
      <c r="BW290" s="231">
        <f t="shared" si="313"/>
        <v>25</v>
      </c>
      <c r="BX290" s="229">
        <f t="shared" si="537"/>
        <v>38</v>
      </c>
      <c r="BY290" s="234">
        <f t="shared" si="538"/>
        <v>4.0666935483870965</v>
      </c>
      <c r="BZ290" s="234" cm="1">
        <f t="array" ref="BZ290">$BM290 * IF($AH290&lt;=2,
SUMPRODUCT(INDEX($AV$66:$AX$70,,$AI290), INDEX($AY$66:$BE$70,,$AH290), 1 / ($BF$66:$BF$70*BY290 + (1-$BF$66:$BF$70)*BU290), N($AU$66:$AU$70&gt;$AM290)),
SUMPRODUCT(INDEX($AV$56:$AX$65,,$AI290), INDEX($AY$56:$BE$65,,$AH290), 1 / ($BG$56:$BG$65*BY290 + (1-$BG$56:$BG$65)*BU290), N($AU$56:$AU$65&gt;$AM290))
) / 1000</f>
        <v>0</v>
      </c>
      <c r="CA290" s="231">
        <f t="shared" si="316"/>
        <v>20</v>
      </c>
      <c r="CB290" s="229">
        <f t="shared" si="539"/>
        <v>33</v>
      </c>
      <c r="CC290" s="234">
        <f t="shared" si="540"/>
        <v>4.8487499999999999</v>
      </c>
      <c r="CD290" s="234" cm="1">
        <f t="array" ref="CD290">$BM290 * IF($AH290&lt;=2,
SUMPRODUCT(INDEX($AV$61:$AX$65,,$AI290), INDEX($AY$61:$BE$65,,$AH290), 1 / ($BF$61:$BF$65*CC290 + (1-$BF$61:$BF$65)*BY290), N($AU$61:$AU$65&gt;$AM290)),
SUMPRODUCT(INDEX($AV$46:$AX$55,,$AI290), INDEX($AY$46:$BE$55,,$AH290), 1 / ($BG$46:$BG$55*CC290 + (1-$BG$46:$BG$55)*BY290), N($AU$46:$AU$55&gt;$AM290))
) / 1000</f>
        <v>0</v>
      </c>
      <c r="CE290" s="234" cm="1">
        <f t="array" ref="CE290">$BM290 * IF($AH290&lt;=2,
SUMPRODUCT(INDEX($AV$22:$AX$60,,$AI290), INDEX($AY$22:$BE$60,,$AH290), 1 / ($BF$22:$BF$60*CC290), N($AU$22:$AU$60&gt;$AM290)),
SUMPRODUCT(INDEX($AV$22:$AX$45,,$AI290), INDEX($AY$22:$BE$45,,$AH290), 1 / ($BG$22:$BG$45*CC290), N($AU$22:$AU$45&gt;$AM290))
) / 1000</f>
        <v>0</v>
      </c>
      <c r="CF290" s="229">
        <f t="shared" si="541"/>
        <v>0</v>
      </c>
      <c r="CG290" s="246"/>
      <c r="CH290" s="229">
        <f t="shared" si="542"/>
        <v>0</v>
      </c>
      <c r="CI290" s="228">
        <v>35</v>
      </c>
      <c r="CJ290" s="229">
        <f t="shared" si="543"/>
        <v>48</v>
      </c>
      <c r="CK290" s="234">
        <f t="shared" si="544"/>
        <v>3.0748170731707316</v>
      </c>
      <c r="CL290" s="234" cm="1">
        <f t="array" ref="CL290">$BM290 * SUMPRODUCT(INDEX($AV$76:$AX$81,,$AI290),INDEX($AY$76:$BE$81,,$AH290), N($AU$76:$AU$81&gt;$AM290)) / CK290 / 1000</f>
        <v>0</v>
      </c>
      <c r="CM290" s="231">
        <f t="shared" si="323"/>
        <v>30</v>
      </c>
      <c r="CN290" s="229">
        <f t="shared" si="545"/>
        <v>43</v>
      </c>
      <c r="CO290" s="234">
        <f t="shared" si="546"/>
        <v>3.5018750000000001</v>
      </c>
      <c r="CP290" s="234" cm="1">
        <f t="array" ref="CP290">$BM290 * IF($AH290&lt;=2,
SUMPRODUCT(INDEX($AV$71:$AX$75,,$AI290), INDEX($AY$71:$BE$75,,$AH290), 1 / ($BF$71:$BF$75*CO290 + (1-$BF$71:$BF$75)*CK290), N($AU$71:$AU$75&gt;$AM290)),
SUMPRODUCT(INDEX($AV$66:$AX$75,,$AI290), INDEX($AY$66:$BE$75,,$AH290), 1 / ($BG$66:$BG$75*CO290 + (1-$BG$66:$BG$75)*CK290), N($AU$66:$AU$75&gt;$AM290))
) / 1000</f>
        <v>0</v>
      </c>
      <c r="CQ290" s="231">
        <f t="shared" si="326"/>
        <v>25</v>
      </c>
      <c r="CR290" s="229">
        <f t="shared" si="547"/>
        <v>38</v>
      </c>
      <c r="CS290" s="234">
        <f t="shared" si="548"/>
        <v>4.0666935483870965</v>
      </c>
      <c r="CT290" s="234" cm="1">
        <f t="array" ref="CT290">$BM290 * IF($AH290&lt;=2,
SUMPRODUCT(INDEX($AV$66:$AX$70,,$AI290), INDEX($AY$66:$BE$70,,$AH290), 1 / ($BF$66:$BF$70*CS290 + (1-$BF$66:$BF$70)*CO290), N($AU$66:$AU$70&gt;$AM290)),
SUMPRODUCT(INDEX($AV$56:$AX$65,,$AI290), INDEX($AY$56:$BE$65,,$AH290), 1 / ($BG$56:$BG$65*CS290 + (1-$BG$56:$BG$65)*CO290), N($AU$56:$AU$65&gt;$AM290))
) / 1000</f>
        <v>0</v>
      </c>
      <c r="CU290" s="231">
        <f t="shared" si="329"/>
        <v>20</v>
      </c>
      <c r="CV290" s="229">
        <f t="shared" si="549"/>
        <v>33</v>
      </c>
      <c r="CW290" s="234">
        <f t="shared" si="550"/>
        <v>4.8487499999999999</v>
      </c>
      <c r="CX290" s="234" cm="1">
        <f t="array" ref="CX290">$BM290 * IF($AH290&lt;=2,
SUMPRODUCT(INDEX($AV$61:$AX$65,,$AI290), INDEX($AY$61:$BE$65,,$AH290), 1 / ($BF$61:$BF$65*CW290 + (1-$BF$61:$BF$65)*CS290), N($AU$61:$AU$65&gt;$AM290)),
SUMPRODUCT(INDEX($AV$46:$AX$55,,$AI290), INDEX($AY$46:$BE$55,,$AH290), 1 / ($BG$46:$BG$55*CW290 + (1-$BG$46:$BG$55)*CS290), N($AU$46:$AU$55&gt;$AM290))
) / 1000</f>
        <v>0</v>
      </c>
      <c r="CY290" s="234" cm="1">
        <f t="array" ref="CY290">$BM290 * IF($AH290&lt;=2,
SUMPRODUCT(INDEX($AV$22:$AX$60,,$AI290), INDEX($AY$22:$BE$60,,$AH290), 1 / ($BF$22:$BF$60*CW290), N($AU$22:$AU$60&gt;$AM290)),
SUMPRODUCT(INDEX($AV$22:$AX$45,,$AI290), INDEX($AY$22:$BE$45,,$AH290), 1 / ($BG$22:$BG$45*CW290), N($AU$22:$AU$45&gt;$AM290))
) / 1000</f>
        <v>0</v>
      </c>
      <c r="CZ290" s="229">
        <f t="shared" si="551"/>
        <v>0</v>
      </c>
      <c r="DA290" s="246"/>
    </row>
    <row r="291" spans="1:105" s="75" customFormat="1" ht="14.25" customHeight="1" x14ac:dyDescent="0.2">
      <c r="A291" s="230" t="b">
        <f t="shared" si="291"/>
        <v>0</v>
      </c>
      <c r="B291" s="253">
        <v>270</v>
      </c>
      <c r="C291" s="266"/>
      <c r="D291" s="266"/>
      <c r="E291" s="254"/>
      <c r="F291" s="255" t="str">
        <f>IF(ISBLANK(E291), "", VLOOKUP(E291, Z!$A$2:$C$4127, 3, FALSE))</f>
        <v/>
      </c>
      <c r="G291" s="256"/>
      <c r="H291" s="256"/>
      <c r="I291" s="256"/>
      <c r="J291" s="257"/>
      <c r="K291" s="258"/>
      <c r="L291" s="267"/>
      <c r="M291" s="268"/>
      <c r="N291" s="259" t="str" cm="1">
        <f t="array" ref="N291">IF($L291&gt;0, INDEX(Clean,1+AK291,$D$1), "")</f>
        <v/>
      </c>
      <c r="O291" s="260"/>
      <c r="P291" s="260"/>
      <c r="Q291" s="261"/>
      <c r="R291" s="264">
        <f t="shared" si="527"/>
        <v>0</v>
      </c>
      <c r="S291" s="259" t="str" cm="1">
        <f t="array" ref="S291">IF($L291&gt;0, INDEX(Clean,1+AL291,$D$1), "")</f>
        <v/>
      </c>
      <c r="T291" s="260"/>
      <c r="U291" s="260"/>
      <c r="V291" s="261"/>
      <c r="W291" s="267"/>
      <c r="X291" s="267"/>
      <c r="Y291" s="257"/>
      <c r="Z291" s="264">
        <f t="shared" si="528"/>
        <v>0</v>
      </c>
      <c r="AA291" s="269"/>
      <c r="AB291" s="266"/>
      <c r="AC291" s="254"/>
      <c r="AD291" s="255" t="str">
        <f>IF(ISBLANK(AC291), "", VLOOKUP(AC291, Z!$A$2:$C$4127, 3, FALSE))</f>
        <v/>
      </c>
      <c r="AE291" s="270"/>
      <c r="AF291" s="265">
        <f t="shared" si="529"/>
        <v>0</v>
      </c>
      <c r="AG291" s="246"/>
      <c r="AH291" s="228">
        <f t="shared" si="552"/>
        <v>1</v>
      </c>
      <c r="AI291" s="228">
        <f t="shared" si="553"/>
        <v>1</v>
      </c>
      <c r="AJ291" s="228">
        <f t="shared" si="554"/>
        <v>0</v>
      </c>
      <c r="AK291" s="228">
        <v>0</v>
      </c>
      <c r="AL291" s="228">
        <v>0</v>
      </c>
      <c r="AM291" s="228">
        <f t="shared" si="530"/>
        <v>-100</v>
      </c>
      <c r="AN291" s="228" cm="1">
        <f t="array" ref="AN291">IF(ISBLANK(G291), 1, IFERROR(MATCH(G291, INDEX(Kat,,1), 0), IFERROR(MATCH(Kat, INDEX(Use,,2), 0), MATCH(Kat, INDEX(Use,,3), 0))))</f>
        <v>1</v>
      </c>
      <c r="AO291" s="246"/>
      <c r="AP291" s="228" cm="1">
        <f t="array" ref="AP291">IF(W291&gt;0, INDEX(Kat, AN291,4), 0)</f>
        <v>0</v>
      </c>
      <c r="AQ291" s="228">
        <f t="shared" si="555"/>
        <v>0</v>
      </c>
      <c r="AR291" s="228" cm="1">
        <f t="array" ref="AR291">IF(X291&gt;0, INDEX(Kat, $AN291, 4+AQ291), 0)</f>
        <v>0</v>
      </c>
      <c r="AS291" s="228" cm="1">
        <f t="array" ref="AS291">IF(X291&gt;0, INDEX(Kat, $AN291, 9+AQ291), 0)</f>
        <v>0</v>
      </c>
      <c r="AT291" s="246"/>
      <c r="AU291" s="262"/>
      <c r="AV291" s="262"/>
      <c r="AW291" s="263"/>
      <c r="AX291" s="263"/>
      <c r="AY291" s="263"/>
      <c r="AZ291" s="263"/>
      <c r="BA291" s="263"/>
      <c r="BB291" s="263"/>
      <c r="BC291" s="263"/>
      <c r="BD291" s="263"/>
      <c r="BE291" s="263"/>
      <c r="BF291" s="263"/>
      <c r="BG291" s="263"/>
      <c r="BH291" s="246"/>
      <c r="BI291" s="228" cm="1">
        <f t="array" ref="BI291">INDEX(Use, $AH291, 4)</f>
        <v>7</v>
      </c>
      <c r="BJ291" s="228">
        <f t="shared" si="531"/>
        <v>32</v>
      </c>
      <c r="BK291" s="228">
        <f t="shared" si="305"/>
        <v>13</v>
      </c>
      <c r="BL291" s="228">
        <f t="shared" si="306"/>
        <v>0</v>
      </c>
      <c r="BM291" s="233" cm="1">
        <f t="array" ref="BM291">L291/IF($M291&gt;0, INDEX($AY$22:$BE$76, $M291+20, $AH291), 1)</f>
        <v>0</v>
      </c>
      <c r="BN291" s="229">
        <f t="shared" si="532"/>
        <v>0</v>
      </c>
      <c r="BO291" s="228">
        <v>35</v>
      </c>
      <c r="BP291" s="229">
        <f t="shared" si="533"/>
        <v>48</v>
      </c>
      <c r="BQ291" s="234">
        <f t="shared" si="534"/>
        <v>3.0748170731707316</v>
      </c>
      <c r="BR291" s="234" cm="1">
        <f t="array" ref="BR291">$BM291 * SUMPRODUCT(INDEX($AV$76:$AX$81,,$AI291),INDEX($AY$76:$BE$81,,$AH291), N($AU$76:$AU$81&gt;$AM291)) / BQ291 / 1000</f>
        <v>0</v>
      </c>
      <c r="BS291" s="231">
        <f t="shared" si="310"/>
        <v>30</v>
      </c>
      <c r="BT291" s="229">
        <f t="shared" si="535"/>
        <v>43</v>
      </c>
      <c r="BU291" s="234">
        <f t="shared" si="536"/>
        <v>3.5018750000000001</v>
      </c>
      <c r="BV291" s="234" cm="1">
        <f t="array" ref="BV291">$BM291 * IF($AH291&lt;=2,
SUMPRODUCT(INDEX($AV$71:$AX$75,,$AI291), INDEX($AY$71:$BE$75,,$AH291), 1 / ($BF$71:$BF$75*BU291 + (1-$BF$71:$BF$75)*BQ291), N($AU$71:$AU$75&gt;$AM291)),
SUMPRODUCT(INDEX($AV$66:$AX$75,,$AI291), INDEX($AY$66:$BE$75,,$AH291), 1 / ($BG$66:$BG$75*BU291 + (1-$BG$66:$BG$75)*BQ291), N($AU$66:$AU$75&gt;$AM291))
) / 1000</f>
        <v>0</v>
      </c>
      <c r="BW291" s="231">
        <f t="shared" si="313"/>
        <v>25</v>
      </c>
      <c r="BX291" s="229">
        <f t="shared" si="537"/>
        <v>38</v>
      </c>
      <c r="BY291" s="234">
        <f t="shared" si="538"/>
        <v>4.0666935483870965</v>
      </c>
      <c r="BZ291" s="234" cm="1">
        <f t="array" ref="BZ291">$BM291 * IF($AH291&lt;=2,
SUMPRODUCT(INDEX($AV$66:$AX$70,,$AI291), INDEX($AY$66:$BE$70,,$AH291), 1 / ($BF$66:$BF$70*BY291 + (1-$BF$66:$BF$70)*BU291), N($AU$66:$AU$70&gt;$AM291)),
SUMPRODUCT(INDEX($AV$56:$AX$65,,$AI291), INDEX($AY$56:$BE$65,,$AH291), 1 / ($BG$56:$BG$65*BY291 + (1-$BG$56:$BG$65)*BU291), N($AU$56:$AU$65&gt;$AM291))
) / 1000</f>
        <v>0</v>
      </c>
      <c r="CA291" s="231">
        <f t="shared" si="316"/>
        <v>20</v>
      </c>
      <c r="CB291" s="229">
        <f t="shared" si="539"/>
        <v>33</v>
      </c>
      <c r="CC291" s="234">
        <f t="shared" si="540"/>
        <v>4.8487499999999999</v>
      </c>
      <c r="CD291" s="234" cm="1">
        <f t="array" ref="CD291">$BM291 * IF($AH291&lt;=2,
SUMPRODUCT(INDEX($AV$61:$AX$65,,$AI291), INDEX($AY$61:$BE$65,,$AH291), 1 / ($BF$61:$BF$65*CC291 + (1-$BF$61:$BF$65)*BY291), N($AU$61:$AU$65&gt;$AM291)),
SUMPRODUCT(INDEX($AV$46:$AX$55,,$AI291), INDEX($AY$46:$BE$55,,$AH291), 1 / ($BG$46:$BG$55*CC291 + (1-$BG$46:$BG$55)*BY291), N($AU$46:$AU$55&gt;$AM291))
) / 1000</f>
        <v>0</v>
      </c>
      <c r="CE291" s="234" cm="1">
        <f t="array" ref="CE291">$BM291 * IF($AH291&lt;=2,
SUMPRODUCT(INDEX($AV$22:$AX$60,,$AI291), INDEX($AY$22:$BE$60,,$AH291), 1 / ($BF$22:$BF$60*CC291), N($AU$22:$AU$60&gt;$AM291)),
SUMPRODUCT(INDEX($AV$22:$AX$45,,$AI291), INDEX($AY$22:$BE$45,,$AH291), 1 / ($BG$22:$BG$45*CC291), N($AU$22:$AU$45&gt;$AM291))
) / 1000</f>
        <v>0</v>
      </c>
      <c r="CF291" s="229">
        <f t="shared" si="541"/>
        <v>0</v>
      </c>
      <c r="CG291" s="246"/>
      <c r="CH291" s="229">
        <f t="shared" si="542"/>
        <v>0</v>
      </c>
      <c r="CI291" s="228">
        <v>35</v>
      </c>
      <c r="CJ291" s="229">
        <f t="shared" si="543"/>
        <v>48</v>
      </c>
      <c r="CK291" s="234">
        <f t="shared" si="544"/>
        <v>3.0748170731707316</v>
      </c>
      <c r="CL291" s="234" cm="1">
        <f t="array" ref="CL291">$BM291 * SUMPRODUCT(INDEX($AV$76:$AX$81,,$AI291),INDEX($AY$76:$BE$81,,$AH291), N($AU$76:$AU$81&gt;$AM291)) / CK291 / 1000</f>
        <v>0</v>
      </c>
      <c r="CM291" s="231">
        <f t="shared" si="323"/>
        <v>30</v>
      </c>
      <c r="CN291" s="229">
        <f t="shared" si="545"/>
        <v>43</v>
      </c>
      <c r="CO291" s="234">
        <f t="shared" si="546"/>
        <v>3.5018750000000001</v>
      </c>
      <c r="CP291" s="234" cm="1">
        <f t="array" ref="CP291">$BM291 * IF($AH291&lt;=2,
SUMPRODUCT(INDEX($AV$71:$AX$75,,$AI291), INDEX($AY$71:$BE$75,,$AH291), 1 / ($BF$71:$BF$75*CO291 + (1-$BF$71:$BF$75)*CK291), N($AU$71:$AU$75&gt;$AM291)),
SUMPRODUCT(INDEX($AV$66:$AX$75,,$AI291), INDEX($AY$66:$BE$75,,$AH291), 1 / ($BG$66:$BG$75*CO291 + (1-$BG$66:$BG$75)*CK291), N($AU$66:$AU$75&gt;$AM291))
) / 1000</f>
        <v>0</v>
      </c>
      <c r="CQ291" s="231">
        <f t="shared" si="326"/>
        <v>25</v>
      </c>
      <c r="CR291" s="229">
        <f t="shared" si="547"/>
        <v>38</v>
      </c>
      <c r="CS291" s="234">
        <f t="shared" si="548"/>
        <v>4.0666935483870965</v>
      </c>
      <c r="CT291" s="234" cm="1">
        <f t="array" ref="CT291">$BM291 * IF($AH291&lt;=2,
SUMPRODUCT(INDEX($AV$66:$AX$70,,$AI291), INDEX($AY$66:$BE$70,,$AH291), 1 / ($BF$66:$BF$70*CS291 + (1-$BF$66:$BF$70)*CO291), N($AU$66:$AU$70&gt;$AM291)),
SUMPRODUCT(INDEX($AV$56:$AX$65,,$AI291), INDEX($AY$56:$BE$65,,$AH291), 1 / ($BG$56:$BG$65*CS291 + (1-$BG$56:$BG$65)*CO291), N($AU$56:$AU$65&gt;$AM291))
) / 1000</f>
        <v>0</v>
      </c>
      <c r="CU291" s="231">
        <f t="shared" si="329"/>
        <v>20</v>
      </c>
      <c r="CV291" s="229">
        <f t="shared" si="549"/>
        <v>33</v>
      </c>
      <c r="CW291" s="234">
        <f t="shared" si="550"/>
        <v>4.8487499999999999</v>
      </c>
      <c r="CX291" s="234" cm="1">
        <f t="array" ref="CX291">$BM291 * IF($AH291&lt;=2,
SUMPRODUCT(INDEX($AV$61:$AX$65,,$AI291), INDEX($AY$61:$BE$65,,$AH291), 1 / ($BF$61:$BF$65*CW291 + (1-$BF$61:$BF$65)*CS291), N($AU$61:$AU$65&gt;$AM291)),
SUMPRODUCT(INDEX($AV$46:$AX$55,,$AI291), INDEX($AY$46:$BE$55,,$AH291), 1 / ($BG$46:$BG$55*CW291 + (1-$BG$46:$BG$55)*CS291), N($AU$46:$AU$55&gt;$AM291))
) / 1000</f>
        <v>0</v>
      </c>
      <c r="CY291" s="234" cm="1">
        <f t="array" ref="CY291">$BM291 * IF($AH291&lt;=2,
SUMPRODUCT(INDEX($AV$22:$AX$60,,$AI291), INDEX($AY$22:$BE$60,,$AH291), 1 / ($BF$22:$BF$60*CW291), N($AU$22:$AU$60&gt;$AM291)),
SUMPRODUCT(INDEX($AV$22:$AX$45,,$AI291), INDEX($AY$22:$BE$45,,$AH291), 1 / ($BG$22:$BG$45*CW291), N($AU$22:$AU$45&gt;$AM291))
) / 1000</f>
        <v>0</v>
      </c>
      <c r="CZ291" s="229">
        <f t="shared" si="551"/>
        <v>0</v>
      </c>
      <c r="DA291" s="246"/>
    </row>
    <row r="292" spans="1:105" s="75" customFormat="1" ht="14.25" customHeight="1" x14ac:dyDescent="0.2">
      <c r="A292" s="230" t="b">
        <f t="shared" si="291"/>
        <v>0</v>
      </c>
      <c r="B292" s="253">
        <v>271</v>
      </c>
      <c r="C292" s="266"/>
      <c r="D292" s="266"/>
      <c r="E292" s="254"/>
      <c r="F292" s="255" t="str">
        <f>IF(ISBLANK(E292), "", VLOOKUP(E292, Z!$A$2:$C$4127, 3, FALSE))</f>
        <v/>
      </c>
      <c r="G292" s="256"/>
      <c r="H292" s="256"/>
      <c r="I292" s="256"/>
      <c r="J292" s="257"/>
      <c r="K292" s="258"/>
      <c r="L292" s="267"/>
      <c r="M292" s="268"/>
      <c r="N292" s="259" t="str" cm="1">
        <f t="array" ref="N292">IF($L292&gt;0, INDEX(Clean,1+AK292,$D$1), "")</f>
        <v/>
      </c>
      <c r="O292" s="260"/>
      <c r="P292" s="260"/>
      <c r="Q292" s="261"/>
      <c r="R292" s="264">
        <f t="shared" si="527"/>
        <v>0</v>
      </c>
      <c r="S292" s="259" t="str" cm="1">
        <f t="array" ref="S292">IF($L292&gt;0, INDEX(Clean,1+AL292,$D$1), "")</f>
        <v/>
      </c>
      <c r="T292" s="260"/>
      <c r="U292" s="260"/>
      <c r="V292" s="261"/>
      <c r="W292" s="267"/>
      <c r="X292" s="267"/>
      <c r="Y292" s="257"/>
      <c r="Z292" s="264">
        <f t="shared" si="528"/>
        <v>0</v>
      </c>
      <c r="AA292" s="269"/>
      <c r="AB292" s="266"/>
      <c r="AC292" s="254"/>
      <c r="AD292" s="255" t="str">
        <f>IF(ISBLANK(AC292), "", VLOOKUP(AC292, Z!$A$2:$C$4127, 3, FALSE))</f>
        <v/>
      </c>
      <c r="AE292" s="270"/>
      <c r="AF292" s="265">
        <f t="shared" si="529"/>
        <v>0</v>
      </c>
      <c r="AG292" s="246"/>
      <c r="AH292" s="228">
        <f t="shared" si="552"/>
        <v>1</v>
      </c>
      <c r="AI292" s="228">
        <f t="shared" si="553"/>
        <v>1</v>
      </c>
      <c r="AJ292" s="228">
        <f t="shared" si="554"/>
        <v>0</v>
      </c>
      <c r="AK292" s="228">
        <v>0</v>
      </c>
      <c r="AL292" s="228">
        <v>0</v>
      </c>
      <c r="AM292" s="228">
        <f t="shared" si="530"/>
        <v>-100</v>
      </c>
      <c r="AN292" s="228" cm="1">
        <f t="array" ref="AN292">IF(ISBLANK(G292), 1, IFERROR(MATCH(G292, INDEX(Kat,,1), 0), IFERROR(MATCH(Kat, INDEX(Use,,2), 0), MATCH(Kat, INDEX(Use,,3), 0))))</f>
        <v>1</v>
      </c>
      <c r="AO292" s="246"/>
      <c r="AP292" s="228" cm="1">
        <f t="array" ref="AP292">IF(W292&gt;0, INDEX(Kat, AN292,4), 0)</f>
        <v>0</v>
      </c>
      <c r="AQ292" s="228">
        <f t="shared" si="555"/>
        <v>0</v>
      </c>
      <c r="AR292" s="228" cm="1">
        <f t="array" ref="AR292">IF(X292&gt;0, INDEX(Kat, $AN292, 4+AQ292), 0)</f>
        <v>0</v>
      </c>
      <c r="AS292" s="228" cm="1">
        <f t="array" ref="AS292">IF(X292&gt;0, INDEX(Kat, $AN292, 9+AQ292), 0)</f>
        <v>0</v>
      </c>
      <c r="AT292" s="246"/>
      <c r="AU292" s="262"/>
      <c r="AV292" s="262"/>
      <c r="AW292" s="263"/>
      <c r="AX292" s="263"/>
      <c r="AY292" s="263"/>
      <c r="AZ292" s="263"/>
      <c r="BA292" s="263"/>
      <c r="BB292" s="263"/>
      <c r="BC292" s="263"/>
      <c r="BD292" s="263"/>
      <c r="BE292" s="263"/>
      <c r="BF292" s="263"/>
      <c r="BG292" s="263"/>
      <c r="BH292" s="246"/>
      <c r="BI292" s="228" cm="1">
        <f t="array" ref="BI292">INDEX(Use, $AH292, 4)</f>
        <v>7</v>
      </c>
      <c r="BJ292" s="228">
        <f t="shared" si="531"/>
        <v>32</v>
      </c>
      <c r="BK292" s="228">
        <f t="shared" si="305"/>
        <v>13</v>
      </c>
      <c r="BL292" s="228">
        <f t="shared" si="306"/>
        <v>0</v>
      </c>
      <c r="BM292" s="233" cm="1">
        <f t="array" ref="BM292">L292/IF($M292&gt;0, INDEX($AY$22:$BE$76, $M292+20, $AH292), 1)</f>
        <v>0</v>
      </c>
      <c r="BN292" s="229">
        <f t="shared" si="532"/>
        <v>0</v>
      </c>
      <c r="BO292" s="228">
        <v>35</v>
      </c>
      <c r="BP292" s="229">
        <f t="shared" si="533"/>
        <v>48</v>
      </c>
      <c r="BQ292" s="234">
        <f t="shared" si="534"/>
        <v>3.0748170731707316</v>
      </c>
      <c r="BR292" s="234" cm="1">
        <f t="array" ref="BR292">$BM292 * SUMPRODUCT(INDEX($AV$76:$AX$81,,$AI292),INDEX($AY$76:$BE$81,,$AH292), N($AU$76:$AU$81&gt;$AM292)) / BQ292 / 1000</f>
        <v>0</v>
      </c>
      <c r="BS292" s="231">
        <f t="shared" si="310"/>
        <v>30</v>
      </c>
      <c r="BT292" s="229">
        <f t="shared" si="535"/>
        <v>43</v>
      </c>
      <c r="BU292" s="234">
        <f t="shared" si="536"/>
        <v>3.5018750000000001</v>
      </c>
      <c r="BV292" s="234" cm="1">
        <f t="array" ref="BV292">$BM292 * IF($AH292&lt;=2,
SUMPRODUCT(INDEX($AV$71:$AX$75,,$AI292), INDEX($AY$71:$BE$75,,$AH292), 1 / ($BF$71:$BF$75*BU292 + (1-$BF$71:$BF$75)*BQ292), N($AU$71:$AU$75&gt;$AM292)),
SUMPRODUCT(INDEX($AV$66:$AX$75,,$AI292), INDEX($AY$66:$BE$75,,$AH292), 1 / ($BG$66:$BG$75*BU292 + (1-$BG$66:$BG$75)*BQ292), N($AU$66:$AU$75&gt;$AM292))
) / 1000</f>
        <v>0</v>
      </c>
      <c r="BW292" s="231">
        <f t="shared" si="313"/>
        <v>25</v>
      </c>
      <c r="BX292" s="229">
        <f t="shared" si="537"/>
        <v>38</v>
      </c>
      <c r="BY292" s="234">
        <f t="shared" si="538"/>
        <v>4.0666935483870965</v>
      </c>
      <c r="BZ292" s="234" cm="1">
        <f t="array" ref="BZ292">$BM292 * IF($AH292&lt;=2,
SUMPRODUCT(INDEX($AV$66:$AX$70,,$AI292), INDEX($AY$66:$BE$70,,$AH292), 1 / ($BF$66:$BF$70*BY292 + (1-$BF$66:$BF$70)*BU292), N($AU$66:$AU$70&gt;$AM292)),
SUMPRODUCT(INDEX($AV$56:$AX$65,,$AI292), INDEX($AY$56:$BE$65,,$AH292), 1 / ($BG$56:$BG$65*BY292 + (1-$BG$56:$BG$65)*BU292), N($AU$56:$AU$65&gt;$AM292))
) / 1000</f>
        <v>0</v>
      </c>
      <c r="CA292" s="231">
        <f t="shared" si="316"/>
        <v>20</v>
      </c>
      <c r="CB292" s="229">
        <f t="shared" si="539"/>
        <v>33</v>
      </c>
      <c r="CC292" s="234">
        <f t="shared" si="540"/>
        <v>4.8487499999999999</v>
      </c>
      <c r="CD292" s="234" cm="1">
        <f t="array" ref="CD292">$BM292 * IF($AH292&lt;=2,
SUMPRODUCT(INDEX($AV$61:$AX$65,,$AI292), INDEX($AY$61:$BE$65,,$AH292), 1 / ($BF$61:$BF$65*CC292 + (1-$BF$61:$BF$65)*BY292), N($AU$61:$AU$65&gt;$AM292)),
SUMPRODUCT(INDEX($AV$46:$AX$55,,$AI292), INDEX($AY$46:$BE$55,,$AH292), 1 / ($BG$46:$BG$55*CC292 + (1-$BG$46:$BG$55)*BY292), N($AU$46:$AU$55&gt;$AM292))
) / 1000</f>
        <v>0</v>
      </c>
      <c r="CE292" s="234" cm="1">
        <f t="array" ref="CE292">$BM292 * IF($AH292&lt;=2,
SUMPRODUCT(INDEX($AV$22:$AX$60,,$AI292), INDEX($AY$22:$BE$60,,$AH292), 1 / ($BF$22:$BF$60*CC292), N($AU$22:$AU$60&gt;$AM292)),
SUMPRODUCT(INDEX($AV$22:$AX$45,,$AI292), INDEX($AY$22:$BE$45,,$AH292), 1 / ($BG$22:$BG$45*CC292), N($AU$22:$AU$45&gt;$AM292))
) / 1000</f>
        <v>0</v>
      </c>
      <c r="CF292" s="229">
        <f t="shared" si="541"/>
        <v>0</v>
      </c>
      <c r="CG292" s="246"/>
      <c r="CH292" s="229">
        <f t="shared" si="542"/>
        <v>0</v>
      </c>
      <c r="CI292" s="228">
        <v>35</v>
      </c>
      <c r="CJ292" s="229">
        <f t="shared" si="543"/>
        <v>48</v>
      </c>
      <c r="CK292" s="234">
        <f t="shared" si="544"/>
        <v>3.0748170731707316</v>
      </c>
      <c r="CL292" s="234" cm="1">
        <f t="array" ref="CL292">$BM292 * SUMPRODUCT(INDEX($AV$76:$AX$81,,$AI292),INDEX($AY$76:$BE$81,,$AH292), N($AU$76:$AU$81&gt;$AM292)) / CK292 / 1000</f>
        <v>0</v>
      </c>
      <c r="CM292" s="231">
        <f t="shared" si="323"/>
        <v>30</v>
      </c>
      <c r="CN292" s="229">
        <f t="shared" si="545"/>
        <v>43</v>
      </c>
      <c r="CO292" s="234">
        <f t="shared" si="546"/>
        <v>3.5018750000000001</v>
      </c>
      <c r="CP292" s="234" cm="1">
        <f t="array" ref="CP292">$BM292 * IF($AH292&lt;=2,
SUMPRODUCT(INDEX($AV$71:$AX$75,,$AI292), INDEX($AY$71:$BE$75,,$AH292), 1 / ($BF$71:$BF$75*CO292 + (1-$BF$71:$BF$75)*CK292), N($AU$71:$AU$75&gt;$AM292)),
SUMPRODUCT(INDEX($AV$66:$AX$75,,$AI292), INDEX($AY$66:$BE$75,,$AH292), 1 / ($BG$66:$BG$75*CO292 + (1-$BG$66:$BG$75)*CK292), N($AU$66:$AU$75&gt;$AM292))
) / 1000</f>
        <v>0</v>
      </c>
      <c r="CQ292" s="231">
        <f t="shared" si="326"/>
        <v>25</v>
      </c>
      <c r="CR292" s="229">
        <f t="shared" si="547"/>
        <v>38</v>
      </c>
      <c r="CS292" s="234">
        <f t="shared" si="548"/>
        <v>4.0666935483870965</v>
      </c>
      <c r="CT292" s="234" cm="1">
        <f t="array" ref="CT292">$BM292 * IF($AH292&lt;=2,
SUMPRODUCT(INDEX($AV$66:$AX$70,,$AI292), INDEX($AY$66:$BE$70,,$AH292), 1 / ($BF$66:$BF$70*CS292 + (1-$BF$66:$BF$70)*CO292), N($AU$66:$AU$70&gt;$AM292)),
SUMPRODUCT(INDEX($AV$56:$AX$65,,$AI292), INDEX($AY$56:$BE$65,,$AH292), 1 / ($BG$56:$BG$65*CS292 + (1-$BG$56:$BG$65)*CO292), N($AU$56:$AU$65&gt;$AM292))
) / 1000</f>
        <v>0</v>
      </c>
      <c r="CU292" s="231">
        <f t="shared" si="329"/>
        <v>20</v>
      </c>
      <c r="CV292" s="229">
        <f t="shared" si="549"/>
        <v>33</v>
      </c>
      <c r="CW292" s="234">
        <f t="shared" si="550"/>
        <v>4.8487499999999999</v>
      </c>
      <c r="CX292" s="234" cm="1">
        <f t="array" ref="CX292">$BM292 * IF($AH292&lt;=2,
SUMPRODUCT(INDEX($AV$61:$AX$65,,$AI292), INDEX($AY$61:$BE$65,,$AH292), 1 / ($BF$61:$BF$65*CW292 + (1-$BF$61:$BF$65)*CS292), N($AU$61:$AU$65&gt;$AM292)),
SUMPRODUCT(INDEX($AV$46:$AX$55,,$AI292), INDEX($AY$46:$BE$55,,$AH292), 1 / ($BG$46:$BG$55*CW292 + (1-$BG$46:$BG$55)*CS292), N($AU$46:$AU$55&gt;$AM292))
) / 1000</f>
        <v>0</v>
      </c>
      <c r="CY292" s="234" cm="1">
        <f t="array" ref="CY292">$BM292 * IF($AH292&lt;=2,
SUMPRODUCT(INDEX($AV$22:$AX$60,,$AI292), INDEX($AY$22:$BE$60,,$AH292), 1 / ($BF$22:$BF$60*CW292), N($AU$22:$AU$60&gt;$AM292)),
SUMPRODUCT(INDEX($AV$22:$AX$45,,$AI292), INDEX($AY$22:$BE$45,,$AH292), 1 / ($BG$22:$BG$45*CW292), N($AU$22:$AU$45&gt;$AM292))
) / 1000</f>
        <v>0</v>
      </c>
      <c r="CZ292" s="229">
        <f t="shared" si="551"/>
        <v>0</v>
      </c>
      <c r="DA292" s="246"/>
    </row>
    <row r="293" spans="1:105" s="75" customFormat="1" ht="14.25" customHeight="1" x14ac:dyDescent="0.2">
      <c r="A293" s="230" t="b">
        <f t="shared" si="291"/>
        <v>0</v>
      </c>
      <c r="B293" s="253">
        <v>272</v>
      </c>
      <c r="C293" s="266"/>
      <c r="D293" s="266"/>
      <c r="E293" s="254"/>
      <c r="F293" s="255" t="str">
        <f>IF(ISBLANK(E293), "", VLOOKUP(E293, Z!$A$2:$C$4127, 3, FALSE))</f>
        <v/>
      </c>
      <c r="G293" s="256"/>
      <c r="H293" s="256"/>
      <c r="I293" s="256"/>
      <c r="J293" s="257"/>
      <c r="K293" s="258"/>
      <c r="L293" s="267"/>
      <c r="M293" s="268"/>
      <c r="N293" s="259" t="str" cm="1">
        <f t="array" ref="N293">IF($L293&gt;0, INDEX(Clean,1+AK293,$D$1), "")</f>
        <v/>
      </c>
      <c r="O293" s="260"/>
      <c r="P293" s="260"/>
      <c r="Q293" s="261"/>
      <c r="R293" s="264">
        <f t="shared" si="527"/>
        <v>0</v>
      </c>
      <c r="S293" s="259" t="str" cm="1">
        <f t="array" ref="S293">IF($L293&gt;0, INDEX(Clean,1+AL293,$D$1), "")</f>
        <v/>
      </c>
      <c r="T293" s="260"/>
      <c r="U293" s="260"/>
      <c r="V293" s="261"/>
      <c r="W293" s="267"/>
      <c r="X293" s="267"/>
      <c r="Y293" s="257"/>
      <c r="Z293" s="264">
        <f t="shared" si="528"/>
        <v>0</v>
      </c>
      <c r="AA293" s="269"/>
      <c r="AB293" s="266"/>
      <c r="AC293" s="254"/>
      <c r="AD293" s="255" t="str">
        <f>IF(ISBLANK(AC293), "", VLOOKUP(AC293, Z!$A$2:$C$4127, 3, FALSE))</f>
        <v/>
      </c>
      <c r="AE293" s="270"/>
      <c r="AF293" s="265">
        <f t="shared" si="529"/>
        <v>0</v>
      </c>
      <c r="AG293" s="246"/>
      <c r="AH293" s="228">
        <f t="shared" si="552"/>
        <v>1</v>
      </c>
      <c r="AI293" s="228">
        <f t="shared" si="553"/>
        <v>1</v>
      </c>
      <c r="AJ293" s="228">
        <f t="shared" si="554"/>
        <v>0</v>
      </c>
      <c r="AK293" s="228">
        <v>0</v>
      </c>
      <c r="AL293" s="228">
        <v>0</v>
      </c>
      <c r="AM293" s="228">
        <f t="shared" si="530"/>
        <v>-100</v>
      </c>
      <c r="AN293" s="228" cm="1">
        <f t="array" ref="AN293">IF(ISBLANK(G293), 1, IFERROR(MATCH(G293, INDEX(Kat,,1), 0), IFERROR(MATCH(Kat, INDEX(Use,,2), 0), MATCH(Kat, INDEX(Use,,3), 0))))</f>
        <v>1</v>
      </c>
      <c r="AO293" s="246"/>
      <c r="AP293" s="228" cm="1">
        <f t="array" ref="AP293">IF(W293&gt;0, INDEX(Kat, AN293,4), 0)</f>
        <v>0</v>
      </c>
      <c r="AQ293" s="228">
        <f t="shared" si="555"/>
        <v>0</v>
      </c>
      <c r="AR293" s="228" cm="1">
        <f t="array" ref="AR293">IF(X293&gt;0, INDEX(Kat, $AN293, 4+AQ293), 0)</f>
        <v>0</v>
      </c>
      <c r="AS293" s="228" cm="1">
        <f t="array" ref="AS293">IF(X293&gt;0, INDEX(Kat, $AN293, 9+AQ293), 0)</f>
        <v>0</v>
      </c>
      <c r="AT293" s="246"/>
      <c r="AU293" s="262"/>
      <c r="AV293" s="262"/>
      <c r="AW293" s="263"/>
      <c r="AX293" s="263"/>
      <c r="AY293" s="263"/>
      <c r="AZ293" s="263"/>
      <c r="BA293" s="263"/>
      <c r="BB293" s="263"/>
      <c r="BC293" s="263"/>
      <c r="BD293" s="263"/>
      <c r="BE293" s="263"/>
      <c r="BF293" s="263"/>
      <c r="BG293" s="263"/>
      <c r="BH293" s="246"/>
      <c r="BI293" s="228" cm="1">
        <f t="array" ref="BI293">INDEX(Use, $AH293, 4)</f>
        <v>7</v>
      </c>
      <c r="BJ293" s="228">
        <f t="shared" si="531"/>
        <v>32</v>
      </c>
      <c r="BK293" s="228">
        <f t="shared" si="305"/>
        <v>13</v>
      </c>
      <c r="BL293" s="228">
        <f t="shared" si="306"/>
        <v>0</v>
      </c>
      <c r="BM293" s="233" cm="1">
        <f t="array" ref="BM293">L293/IF($M293&gt;0, INDEX($AY$22:$BE$76, $M293+20, $AH293), 1)</f>
        <v>0</v>
      </c>
      <c r="BN293" s="229">
        <f t="shared" si="532"/>
        <v>0</v>
      </c>
      <c r="BO293" s="228">
        <v>35</v>
      </c>
      <c r="BP293" s="229">
        <f t="shared" si="533"/>
        <v>48</v>
      </c>
      <c r="BQ293" s="234">
        <f t="shared" si="534"/>
        <v>3.0748170731707316</v>
      </c>
      <c r="BR293" s="234" cm="1">
        <f t="array" ref="BR293">$BM293 * SUMPRODUCT(INDEX($AV$76:$AX$81,,$AI293),INDEX($AY$76:$BE$81,,$AH293), N($AU$76:$AU$81&gt;$AM293)) / BQ293 / 1000</f>
        <v>0</v>
      </c>
      <c r="BS293" s="231">
        <f t="shared" si="310"/>
        <v>30</v>
      </c>
      <c r="BT293" s="229">
        <f t="shared" si="535"/>
        <v>43</v>
      </c>
      <c r="BU293" s="234">
        <f t="shared" si="536"/>
        <v>3.5018750000000001</v>
      </c>
      <c r="BV293" s="234" cm="1">
        <f t="array" ref="BV293">$BM293 * IF($AH293&lt;=2,
SUMPRODUCT(INDEX($AV$71:$AX$75,,$AI293), INDEX($AY$71:$BE$75,,$AH293), 1 / ($BF$71:$BF$75*BU293 + (1-$BF$71:$BF$75)*BQ293), N($AU$71:$AU$75&gt;$AM293)),
SUMPRODUCT(INDEX($AV$66:$AX$75,,$AI293), INDEX($AY$66:$BE$75,,$AH293), 1 / ($BG$66:$BG$75*BU293 + (1-$BG$66:$BG$75)*BQ293), N($AU$66:$AU$75&gt;$AM293))
) / 1000</f>
        <v>0</v>
      </c>
      <c r="BW293" s="231">
        <f t="shared" si="313"/>
        <v>25</v>
      </c>
      <c r="BX293" s="229">
        <f t="shared" si="537"/>
        <v>38</v>
      </c>
      <c r="BY293" s="234">
        <f t="shared" si="538"/>
        <v>4.0666935483870965</v>
      </c>
      <c r="BZ293" s="234" cm="1">
        <f t="array" ref="BZ293">$BM293 * IF($AH293&lt;=2,
SUMPRODUCT(INDEX($AV$66:$AX$70,,$AI293), INDEX($AY$66:$BE$70,,$AH293), 1 / ($BF$66:$BF$70*BY293 + (1-$BF$66:$BF$70)*BU293), N($AU$66:$AU$70&gt;$AM293)),
SUMPRODUCT(INDEX($AV$56:$AX$65,,$AI293), INDEX($AY$56:$BE$65,,$AH293), 1 / ($BG$56:$BG$65*BY293 + (1-$BG$56:$BG$65)*BU293), N($AU$56:$AU$65&gt;$AM293))
) / 1000</f>
        <v>0</v>
      </c>
      <c r="CA293" s="231">
        <f t="shared" si="316"/>
        <v>20</v>
      </c>
      <c r="CB293" s="229">
        <f t="shared" si="539"/>
        <v>33</v>
      </c>
      <c r="CC293" s="234">
        <f t="shared" si="540"/>
        <v>4.8487499999999999</v>
      </c>
      <c r="CD293" s="234" cm="1">
        <f t="array" ref="CD293">$BM293 * IF($AH293&lt;=2,
SUMPRODUCT(INDEX($AV$61:$AX$65,,$AI293), INDEX($AY$61:$BE$65,,$AH293), 1 / ($BF$61:$BF$65*CC293 + (1-$BF$61:$BF$65)*BY293), N($AU$61:$AU$65&gt;$AM293)),
SUMPRODUCT(INDEX($AV$46:$AX$55,,$AI293), INDEX($AY$46:$BE$55,,$AH293), 1 / ($BG$46:$BG$55*CC293 + (1-$BG$46:$BG$55)*BY293), N($AU$46:$AU$55&gt;$AM293))
) / 1000</f>
        <v>0</v>
      </c>
      <c r="CE293" s="234" cm="1">
        <f t="array" ref="CE293">$BM293 * IF($AH293&lt;=2,
SUMPRODUCT(INDEX($AV$22:$AX$60,,$AI293), INDEX($AY$22:$BE$60,,$AH293), 1 / ($BF$22:$BF$60*CC293), N($AU$22:$AU$60&gt;$AM293)),
SUMPRODUCT(INDEX($AV$22:$AX$45,,$AI293), INDEX($AY$22:$BE$45,,$AH293), 1 / ($BG$22:$BG$45*CC293), N($AU$22:$AU$45&gt;$AM293))
) / 1000</f>
        <v>0</v>
      </c>
      <c r="CF293" s="229">
        <f t="shared" si="541"/>
        <v>0</v>
      </c>
      <c r="CG293" s="246"/>
      <c r="CH293" s="229">
        <f t="shared" si="542"/>
        <v>0</v>
      </c>
      <c r="CI293" s="228">
        <v>35</v>
      </c>
      <c r="CJ293" s="229">
        <f t="shared" si="543"/>
        <v>48</v>
      </c>
      <c r="CK293" s="234">
        <f t="shared" si="544"/>
        <v>3.0748170731707316</v>
      </c>
      <c r="CL293" s="234" cm="1">
        <f t="array" ref="CL293">$BM293 * SUMPRODUCT(INDEX($AV$76:$AX$81,,$AI293),INDEX($AY$76:$BE$81,,$AH293), N($AU$76:$AU$81&gt;$AM293)) / CK293 / 1000</f>
        <v>0</v>
      </c>
      <c r="CM293" s="231">
        <f t="shared" si="323"/>
        <v>30</v>
      </c>
      <c r="CN293" s="229">
        <f t="shared" si="545"/>
        <v>43</v>
      </c>
      <c r="CO293" s="234">
        <f t="shared" si="546"/>
        <v>3.5018750000000001</v>
      </c>
      <c r="CP293" s="234" cm="1">
        <f t="array" ref="CP293">$BM293 * IF($AH293&lt;=2,
SUMPRODUCT(INDEX($AV$71:$AX$75,,$AI293), INDEX($AY$71:$BE$75,,$AH293), 1 / ($BF$71:$BF$75*CO293 + (1-$BF$71:$BF$75)*CK293), N($AU$71:$AU$75&gt;$AM293)),
SUMPRODUCT(INDEX($AV$66:$AX$75,,$AI293), INDEX($AY$66:$BE$75,,$AH293), 1 / ($BG$66:$BG$75*CO293 + (1-$BG$66:$BG$75)*CK293), N($AU$66:$AU$75&gt;$AM293))
) / 1000</f>
        <v>0</v>
      </c>
      <c r="CQ293" s="231">
        <f t="shared" si="326"/>
        <v>25</v>
      </c>
      <c r="CR293" s="229">
        <f t="shared" si="547"/>
        <v>38</v>
      </c>
      <c r="CS293" s="234">
        <f t="shared" si="548"/>
        <v>4.0666935483870965</v>
      </c>
      <c r="CT293" s="234" cm="1">
        <f t="array" ref="CT293">$BM293 * IF($AH293&lt;=2,
SUMPRODUCT(INDEX($AV$66:$AX$70,,$AI293), INDEX($AY$66:$BE$70,,$AH293), 1 / ($BF$66:$BF$70*CS293 + (1-$BF$66:$BF$70)*CO293), N($AU$66:$AU$70&gt;$AM293)),
SUMPRODUCT(INDEX($AV$56:$AX$65,,$AI293), INDEX($AY$56:$BE$65,,$AH293), 1 / ($BG$56:$BG$65*CS293 + (1-$BG$56:$BG$65)*CO293), N($AU$56:$AU$65&gt;$AM293))
) / 1000</f>
        <v>0</v>
      </c>
      <c r="CU293" s="231">
        <f t="shared" si="329"/>
        <v>20</v>
      </c>
      <c r="CV293" s="229">
        <f t="shared" si="549"/>
        <v>33</v>
      </c>
      <c r="CW293" s="234">
        <f t="shared" si="550"/>
        <v>4.8487499999999999</v>
      </c>
      <c r="CX293" s="234" cm="1">
        <f t="array" ref="CX293">$BM293 * IF($AH293&lt;=2,
SUMPRODUCT(INDEX($AV$61:$AX$65,,$AI293), INDEX($AY$61:$BE$65,,$AH293), 1 / ($BF$61:$BF$65*CW293 + (1-$BF$61:$BF$65)*CS293), N($AU$61:$AU$65&gt;$AM293)),
SUMPRODUCT(INDEX($AV$46:$AX$55,,$AI293), INDEX($AY$46:$BE$55,,$AH293), 1 / ($BG$46:$BG$55*CW293 + (1-$BG$46:$BG$55)*CS293), N($AU$46:$AU$55&gt;$AM293))
) / 1000</f>
        <v>0</v>
      </c>
      <c r="CY293" s="234" cm="1">
        <f t="array" ref="CY293">$BM293 * IF($AH293&lt;=2,
SUMPRODUCT(INDEX($AV$22:$AX$60,,$AI293), INDEX($AY$22:$BE$60,,$AH293), 1 / ($BF$22:$BF$60*CW293), N($AU$22:$AU$60&gt;$AM293)),
SUMPRODUCT(INDEX($AV$22:$AX$45,,$AI293), INDEX($AY$22:$BE$45,,$AH293), 1 / ($BG$22:$BG$45*CW293), N($AU$22:$AU$45&gt;$AM293))
) / 1000</f>
        <v>0</v>
      </c>
      <c r="CZ293" s="229">
        <f t="shared" si="551"/>
        <v>0</v>
      </c>
      <c r="DA293" s="246"/>
    </row>
    <row r="294" spans="1:105" s="75" customFormat="1" ht="14.25" customHeight="1" x14ac:dyDescent="0.2">
      <c r="A294" s="230" t="b">
        <f t="shared" si="291"/>
        <v>0</v>
      </c>
      <c r="B294" s="253">
        <v>273</v>
      </c>
      <c r="C294" s="266"/>
      <c r="D294" s="266"/>
      <c r="E294" s="254"/>
      <c r="F294" s="255" t="str">
        <f>IF(ISBLANK(E294), "", VLOOKUP(E294, Z!$A$2:$C$4127, 3, FALSE))</f>
        <v/>
      </c>
      <c r="G294" s="256"/>
      <c r="H294" s="256"/>
      <c r="I294" s="256"/>
      <c r="J294" s="257"/>
      <c r="K294" s="258"/>
      <c r="L294" s="267"/>
      <c r="M294" s="268"/>
      <c r="N294" s="259" t="str" cm="1">
        <f t="array" ref="N294">IF($L294&gt;0, INDEX(Clean,1+AK294,$D$1), "")</f>
        <v/>
      </c>
      <c r="O294" s="260"/>
      <c r="P294" s="260"/>
      <c r="Q294" s="261"/>
      <c r="R294" s="264">
        <f t="shared" si="527"/>
        <v>0</v>
      </c>
      <c r="S294" s="259" t="str" cm="1">
        <f t="array" ref="S294">IF($L294&gt;0, INDEX(Clean,1+AL294,$D$1), "")</f>
        <v/>
      </c>
      <c r="T294" s="260"/>
      <c r="U294" s="260"/>
      <c r="V294" s="261"/>
      <c r="W294" s="267"/>
      <c r="X294" s="267"/>
      <c r="Y294" s="257"/>
      <c r="Z294" s="264">
        <f t="shared" si="528"/>
        <v>0</v>
      </c>
      <c r="AA294" s="269"/>
      <c r="AB294" s="266"/>
      <c r="AC294" s="254"/>
      <c r="AD294" s="255" t="str">
        <f>IF(ISBLANK(AC294), "", VLOOKUP(AC294, Z!$A$2:$C$4127, 3, FALSE))</f>
        <v/>
      </c>
      <c r="AE294" s="270"/>
      <c r="AF294" s="265">
        <f t="shared" si="529"/>
        <v>0</v>
      </c>
      <c r="AG294" s="246"/>
      <c r="AH294" s="228">
        <f t="shared" si="552"/>
        <v>1</v>
      </c>
      <c r="AI294" s="228">
        <f t="shared" si="553"/>
        <v>1</v>
      </c>
      <c r="AJ294" s="228">
        <f t="shared" si="554"/>
        <v>0</v>
      </c>
      <c r="AK294" s="228">
        <v>0</v>
      </c>
      <c r="AL294" s="228">
        <v>0</v>
      </c>
      <c r="AM294" s="228">
        <f t="shared" si="530"/>
        <v>-100</v>
      </c>
      <c r="AN294" s="228" cm="1">
        <f t="array" ref="AN294">IF(ISBLANK(G294), 1, IFERROR(MATCH(G294, INDEX(Kat,,1), 0), IFERROR(MATCH(Kat, INDEX(Use,,2), 0), MATCH(Kat, INDEX(Use,,3), 0))))</f>
        <v>1</v>
      </c>
      <c r="AO294" s="246"/>
      <c r="AP294" s="228" cm="1">
        <f t="array" ref="AP294">IF(W294&gt;0, INDEX(Kat, AN294,4), 0)</f>
        <v>0</v>
      </c>
      <c r="AQ294" s="228">
        <f t="shared" si="555"/>
        <v>0</v>
      </c>
      <c r="AR294" s="228" cm="1">
        <f t="array" ref="AR294">IF(X294&gt;0, INDEX(Kat, $AN294, 4+AQ294), 0)</f>
        <v>0</v>
      </c>
      <c r="AS294" s="228" cm="1">
        <f t="array" ref="AS294">IF(X294&gt;0, INDEX(Kat, $AN294, 9+AQ294), 0)</f>
        <v>0</v>
      </c>
      <c r="AT294" s="246"/>
      <c r="AU294" s="262"/>
      <c r="AV294" s="262"/>
      <c r="AW294" s="263"/>
      <c r="AX294" s="263"/>
      <c r="AY294" s="263"/>
      <c r="AZ294" s="263"/>
      <c r="BA294" s="263"/>
      <c r="BB294" s="263"/>
      <c r="BC294" s="263"/>
      <c r="BD294" s="263"/>
      <c r="BE294" s="263"/>
      <c r="BF294" s="263"/>
      <c r="BG294" s="263"/>
      <c r="BH294" s="246"/>
      <c r="BI294" s="228" cm="1">
        <f t="array" ref="BI294">INDEX(Use, $AH294, 4)</f>
        <v>7</v>
      </c>
      <c r="BJ294" s="228">
        <f t="shared" si="531"/>
        <v>32</v>
      </c>
      <c r="BK294" s="228">
        <f t="shared" si="305"/>
        <v>13</v>
      </c>
      <c r="BL294" s="228">
        <f t="shared" si="306"/>
        <v>0</v>
      </c>
      <c r="BM294" s="233" cm="1">
        <f t="array" ref="BM294">L294/IF($M294&gt;0, INDEX($AY$22:$BE$76, $M294+20, $AH294), 1)</f>
        <v>0</v>
      </c>
      <c r="BN294" s="229">
        <f t="shared" si="532"/>
        <v>0</v>
      </c>
      <c r="BO294" s="228">
        <v>35</v>
      </c>
      <c r="BP294" s="229">
        <f t="shared" si="533"/>
        <v>48</v>
      </c>
      <c r="BQ294" s="234">
        <f t="shared" si="534"/>
        <v>3.0748170731707316</v>
      </c>
      <c r="BR294" s="234" cm="1">
        <f t="array" ref="BR294">$BM294 * SUMPRODUCT(INDEX($AV$76:$AX$81,,$AI294),INDEX($AY$76:$BE$81,,$AH294), N($AU$76:$AU$81&gt;$AM294)) / BQ294 / 1000</f>
        <v>0</v>
      </c>
      <c r="BS294" s="231">
        <f t="shared" si="310"/>
        <v>30</v>
      </c>
      <c r="BT294" s="229">
        <f t="shared" si="535"/>
        <v>43</v>
      </c>
      <c r="BU294" s="234">
        <f t="shared" si="536"/>
        <v>3.5018750000000001</v>
      </c>
      <c r="BV294" s="234" cm="1">
        <f t="array" ref="BV294">$BM294 * IF($AH294&lt;=2,
SUMPRODUCT(INDEX($AV$71:$AX$75,,$AI294), INDEX($AY$71:$BE$75,,$AH294), 1 / ($BF$71:$BF$75*BU294 + (1-$BF$71:$BF$75)*BQ294), N($AU$71:$AU$75&gt;$AM294)),
SUMPRODUCT(INDEX($AV$66:$AX$75,,$AI294), INDEX($AY$66:$BE$75,,$AH294), 1 / ($BG$66:$BG$75*BU294 + (1-$BG$66:$BG$75)*BQ294), N($AU$66:$AU$75&gt;$AM294))
) / 1000</f>
        <v>0</v>
      </c>
      <c r="BW294" s="231">
        <f t="shared" si="313"/>
        <v>25</v>
      </c>
      <c r="BX294" s="229">
        <f t="shared" si="537"/>
        <v>38</v>
      </c>
      <c r="BY294" s="234">
        <f t="shared" si="538"/>
        <v>4.0666935483870965</v>
      </c>
      <c r="BZ294" s="234" cm="1">
        <f t="array" ref="BZ294">$BM294 * IF($AH294&lt;=2,
SUMPRODUCT(INDEX($AV$66:$AX$70,,$AI294), INDEX($AY$66:$BE$70,,$AH294), 1 / ($BF$66:$BF$70*BY294 + (1-$BF$66:$BF$70)*BU294), N($AU$66:$AU$70&gt;$AM294)),
SUMPRODUCT(INDEX($AV$56:$AX$65,,$AI294), INDEX($AY$56:$BE$65,,$AH294), 1 / ($BG$56:$BG$65*BY294 + (1-$BG$56:$BG$65)*BU294), N($AU$56:$AU$65&gt;$AM294))
) / 1000</f>
        <v>0</v>
      </c>
      <c r="CA294" s="231">
        <f t="shared" si="316"/>
        <v>20</v>
      </c>
      <c r="CB294" s="229">
        <f t="shared" si="539"/>
        <v>33</v>
      </c>
      <c r="CC294" s="234">
        <f t="shared" si="540"/>
        <v>4.8487499999999999</v>
      </c>
      <c r="CD294" s="234" cm="1">
        <f t="array" ref="CD294">$BM294 * IF($AH294&lt;=2,
SUMPRODUCT(INDEX($AV$61:$AX$65,,$AI294), INDEX($AY$61:$BE$65,,$AH294), 1 / ($BF$61:$BF$65*CC294 + (1-$BF$61:$BF$65)*BY294), N($AU$61:$AU$65&gt;$AM294)),
SUMPRODUCT(INDEX($AV$46:$AX$55,,$AI294), INDEX($AY$46:$BE$55,,$AH294), 1 / ($BG$46:$BG$55*CC294 + (1-$BG$46:$BG$55)*BY294), N($AU$46:$AU$55&gt;$AM294))
) / 1000</f>
        <v>0</v>
      </c>
      <c r="CE294" s="234" cm="1">
        <f t="array" ref="CE294">$BM294 * IF($AH294&lt;=2,
SUMPRODUCT(INDEX($AV$22:$AX$60,,$AI294), INDEX($AY$22:$BE$60,,$AH294), 1 / ($BF$22:$BF$60*CC294), N($AU$22:$AU$60&gt;$AM294)),
SUMPRODUCT(INDEX($AV$22:$AX$45,,$AI294), INDEX($AY$22:$BE$45,,$AH294), 1 / ($BG$22:$BG$45*CC294), N($AU$22:$AU$45&gt;$AM294))
) / 1000</f>
        <v>0</v>
      </c>
      <c r="CF294" s="229">
        <f t="shared" si="541"/>
        <v>0</v>
      </c>
      <c r="CG294" s="246"/>
      <c r="CH294" s="229">
        <f t="shared" si="542"/>
        <v>0</v>
      </c>
      <c r="CI294" s="228">
        <v>35</v>
      </c>
      <c r="CJ294" s="229">
        <f t="shared" si="543"/>
        <v>48</v>
      </c>
      <c r="CK294" s="234">
        <f t="shared" si="544"/>
        <v>3.0748170731707316</v>
      </c>
      <c r="CL294" s="234" cm="1">
        <f t="array" ref="CL294">$BM294 * SUMPRODUCT(INDEX($AV$76:$AX$81,,$AI294),INDEX($AY$76:$BE$81,,$AH294), N($AU$76:$AU$81&gt;$AM294)) / CK294 / 1000</f>
        <v>0</v>
      </c>
      <c r="CM294" s="231">
        <f t="shared" si="323"/>
        <v>30</v>
      </c>
      <c r="CN294" s="229">
        <f t="shared" si="545"/>
        <v>43</v>
      </c>
      <c r="CO294" s="234">
        <f t="shared" si="546"/>
        <v>3.5018750000000001</v>
      </c>
      <c r="CP294" s="234" cm="1">
        <f t="array" ref="CP294">$BM294 * IF($AH294&lt;=2,
SUMPRODUCT(INDEX($AV$71:$AX$75,,$AI294), INDEX($AY$71:$BE$75,,$AH294), 1 / ($BF$71:$BF$75*CO294 + (1-$BF$71:$BF$75)*CK294), N($AU$71:$AU$75&gt;$AM294)),
SUMPRODUCT(INDEX($AV$66:$AX$75,,$AI294), INDEX($AY$66:$BE$75,,$AH294), 1 / ($BG$66:$BG$75*CO294 + (1-$BG$66:$BG$75)*CK294), N($AU$66:$AU$75&gt;$AM294))
) / 1000</f>
        <v>0</v>
      </c>
      <c r="CQ294" s="231">
        <f t="shared" si="326"/>
        <v>25</v>
      </c>
      <c r="CR294" s="229">
        <f t="shared" si="547"/>
        <v>38</v>
      </c>
      <c r="CS294" s="234">
        <f t="shared" si="548"/>
        <v>4.0666935483870965</v>
      </c>
      <c r="CT294" s="234" cm="1">
        <f t="array" ref="CT294">$BM294 * IF($AH294&lt;=2,
SUMPRODUCT(INDEX($AV$66:$AX$70,,$AI294), INDEX($AY$66:$BE$70,,$AH294), 1 / ($BF$66:$BF$70*CS294 + (1-$BF$66:$BF$70)*CO294), N($AU$66:$AU$70&gt;$AM294)),
SUMPRODUCT(INDEX($AV$56:$AX$65,,$AI294), INDEX($AY$56:$BE$65,,$AH294), 1 / ($BG$56:$BG$65*CS294 + (1-$BG$56:$BG$65)*CO294), N($AU$56:$AU$65&gt;$AM294))
) / 1000</f>
        <v>0</v>
      </c>
      <c r="CU294" s="231">
        <f t="shared" si="329"/>
        <v>20</v>
      </c>
      <c r="CV294" s="229">
        <f t="shared" si="549"/>
        <v>33</v>
      </c>
      <c r="CW294" s="234">
        <f t="shared" si="550"/>
        <v>4.8487499999999999</v>
      </c>
      <c r="CX294" s="234" cm="1">
        <f t="array" ref="CX294">$BM294 * IF($AH294&lt;=2,
SUMPRODUCT(INDEX($AV$61:$AX$65,,$AI294), INDEX($AY$61:$BE$65,,$AH294), 1 / ($BF$61:$BF$65*CW294 + (1-$BF$61:$BF$65)*CS294), N($AU$61:$AU$65&gt;$AM294)),
SUMPRODUCT(INDEX($AV$46:$AX$55,,$AI294), INDEX($AY$46:$BE$55,,$AH294), 1 / ($BG$46:$BG$55*CW294 + (1-$BG$46:$BG$55)*CS294), N($AU$46:$AU$55&gt;$AM294))
) / 1000</f>
        <v>0</v>
      </c>
      <c r="CY294" s="234" cm="1">
        <f t="array" ref="CY294">$BM294 * IF($AH294&lt;=2,
SUMPRODUCT(INDEX($AV$22:$AX$60,,$AI294), INDEX($AY$22:$BE$60,,$AH294), 1 / ($BF$22:$BF$60*CW294), N($AU$22:$AU$60&gt;$AM294)),
SUMPRODUCT(INDEX($AV$22:$AX$45,,$AI294), INDEX($AY$22:$BE$45,,$AH294), 1 / ($BG$22:$BG$45*CW294), N($AU$22:$AU$45&gt;$AM294))
) / 1000</f>
        <v>0</v>
      </c>
      <c r="CZ294" s="229">
        <f t="shared" si="551"/>
        <v>0</v>
      </c>
      <c r="DA294" s="246"/>
    </row>
    <row r="295" spans="1:105" s="75" customFormat="1" ht="14.25" customHeight="1" x14ac:dyDescent="0.2">
      <c r="A295" s="230" t="b">
        <f t="shared" si="291"/>
        <v>0</v>
      </c>
      <c r="B295" s="253">
        <v>274</v>
      </c>
      <c r="C295" s="266"/>
      <c r="D295" s="266"/>
      <c r="E295" s="254"/>
      <c r="F295" s="255" t="str">
        <f>IF(ISBLANK(E295), "", VLOOKUP(E295, Z!$A$2:$C$4127, 3, FALSE))</f>
        <v/>
      </c>
      <c r="G295" s="256"/>
      <c r="H295" s="256"/>
      <c r="I295" s="256"/>
      <c r="J295" s="257"/>
      <c r="K295" s="258"/>
      <c r="L295" s="267"/>
      <c r="M295" s="268"/>
      <c r="N295" s="259" t="str" cm="1">
        <f t="array" ref="N295">IF($L295&gt;0, INDEX(Clean,1+AK295,$D$1), "")</f>
        <v/>
      </c>
      <c r="O295" s="260"/>
      <c r="P295" s="260"/>
      <c r="Q295" s="261"/>
      <c r="R295" s="264">
        <f t="shared" si="527"/>
        <v>0</v>
      </c>
      <c r="S295" s="259" t="str" cm="1">
        <f t="array" ref="S295">IF($L295&gt;0, INDEX(Clean,1+AL295,$D$1), "")</f>
        <v/>
      </c>
      <c r="T295" s="260"/>
      <c r="U295" s="260"/>
      <c r="V295" s="261"/>
      <c r="W295" s="267"/>
      <c r="X295" s="267"/>
      <c r="Y295" s="257"/>
      <c r="Z295" s="264">
        <f t="shared" si="528"/>
        <v>0</v>
      </c>
      <c r="AA295" s="269"/>
      <c r="AB295" s="266"/>
      <c r="AC295" s="254"/>
      <c r="AD295" s="255" t="str">
        <f>IF(ISBLANK(AC295), "", VLOOKUP(AC295, Z!$A$2:$C$4127, 3, FALSE))</f>
        <v/>
      </c>
      <c r="AE295" s="270"/>
      <c r="AF295" s="265">
        <f t="shared" si="529"/>
        <v>0</v>
      </c>
      <c r="AG295" s="246"/>
      <c r="AH295" s="228">
        <f t="shared" si="552"/>
        <v>1</v>
      </c>
      <c r="AI295" s="228">
        <f t="shared" si="553"/>
        <v>1</v>
      </c>
      <c r="AJ295" s="228">
        <f t="shared" si="554"/>
        <v>0</v>
      </c>
      <c r="AK295" s="228">
        <v>0</v>
      </c>
      <c r="AL295" s="228">
        <v>0</v>
      </c>
      <c r="AM295" s="228">
        <f t="shared" si="530"/>
        <v>-100</v>
      </c>
      <c r="AN295" s="228" cm="1">
        <f t="array" ref="AN295">IF(ISBLANK(G295), 1, IFERROR(MATCH(G295, INDEX(Kat,,1), 0), IFERROR(MATCH(Kat, INDEX(Use,,2), 0), MATCH(Kat, INDEX(Use,,3), 0))))</f>
        <v>1</v>
      </c>
      <c r="AO295" s="246"/>
      <c r="AP295" s="228" cm="1">
        <f t="array" ref="AP295">IF(W295&gt;0, INDEX(Kat, AN295,4), 0)</f>
        <v>0</v>
      </c>
      <c r="AQ295" s="228">
        <f t="shared" si="555"/>
        <v>0</v>
      </c>
      <c r="AR295" s="228" cm="1">
        <f t="array" ref="AR295">IF(X295&gt;0, INDEX(Kat, $AN295, 4+AQ295), 0)</f>
        <v>0</v>
      </c>
      <c r="AS295" s="228" cm="1">
        <f t="array" ref="AS295">IF(X295&gt;0, INDEX(Kat, $AN295, 9+AQ295), 0)</f>
        <v>0</v>
      </c>
      <c r="AT295" s="246"/>
      <c r="AU295" s="262"/>
      <c r="AV295" s="262"/>
      <c r="AW295" s="263"/>
      <c r="AX295" s="263"/>
      <c r="AY295" s="263"/>
      <c r="AZ295" s="263"/>
      <c r="BA295" s="263"/>
      <c r="BB295" s="263"/>
      <c r="BC295" s="263"/>
      <c r="BD295" s="263"/>
      <c r="BE295" s="263"/>
      <c r="BF295" s="263"/>
      <c r="BG295" s="263"/>
      <c r="BH295" s="246"/>
      <c r="BI295" s="228" cm="1">
        <f t="array" ref="BI295">INDEX(Use, $AH295, 4)</f>
        <v>7</v>
      </c>
      <c r="BJ295" s="228">
        <f t="shared" si="531"/>
        <v>32</v>
      </c>
      <c r="BK295" s="228">
        <f t="shared" si="305"/>
        <v>13</v>
      </c>
      <c r="BL295" s="228">
        <f t="shared" si="306"/>
        <v>0</v>
      </c>
      <c r="BM295" s="233" cm="1">
        <f t="array" ref="BM295">L295/IF($M295&gt;0, INDEX($AY$22:$BE$76, $M295+20, $AH295), 1)</f>
        <v>0</v>
      </c>
      <c r="BN295" s="229">
        <f t="shared" si="532"/>
        <v>0</v>
      </c>
      <c r="BO295" s="228">
        <v>35</v>
      </c>
      <c r="BP295" s="229">
        <f t="shared" si="533"/>
        <v>48</v>
      </c>
      <c r="BQ295" s="234">
        <f t="shared" si="534"/>
        <v>3.0748170731707316</v>
      </c>
      <c r="BR295" s="234" cm="1">
        <f t="array" ref="BR295">$BM295 * SUMPRODUCT(INDEX($AV$76:$AX$81,,$AI295),INDEX($AY$76:$BE$81,,$AH295), N($AU$76:$AU$81&gt;$AM295)) / BQ295 / 1000</f>
        <v>0</v>
      </c>
      <c r="BS295" s="231">
        <f t="shared" si="310"/>
        <v>30</v>
      </c>
      <c r="BT295" s="229">
        <f t="shared" si="535"/>
        <v>43</v>
      </c>
      <c r="BU295" s="234">
        <f t="shared" si="536"/>
        <v>3.5018750000000001</v>
      </c>
      <c r="BV295" s="234" cm="1">
        <f t="array" ref="BV295">$BM295 * IF($AH295&lt;=2,
SUMPRODUCT(INDEX($AV$71:$AX$75,,$AI295), INDEX($AY$71:$BE$75,,$AH295), 1 / ($BF$71:$BF$75*BU295 + (1-$BF$71:$BF$75)*BQ295), N($AU$71:$AU$75&gt;$AM295)),
SUMPRODUCT(INDEX($AV$66:$AX$75,,$AI295), INDEX($AY$66:$BE$75,,$AH295), 1 / ($BG$66:$BG$75*BU295 + (1-$BG$66:$BG$75)*BQ295), N($AU$66:$AU$75&gt;$AM295))
) / 1000</f>
        <v>0</v>
      </c>
      <c r="BW295" s="231">
        <f t="shared" si="313"/>
        <v>25</v>
      </c>
      <c r="BX295" s="229">
        <f t="shared" si="537"/>
        <v>38</v>
      </c>
      <c r="BY295" s="234">
        <f t="shared" si="538"/>
        <v>4.0666935483870965</v>
      </c>
      <c r="BZ295" s="234" cm="1">
        <f t="array" ref="BZ295">$BM295 * IF($AH295&lt;=2,
SUMPRODUCT(INDEX($AV$66:$AX$70,,$AI295), INDEX($AY$66:$BE$70,,$AH295), 1 / ($BF$66:$BF$70*BY295 + (1-$BF$66:$BF$70)*BU295), N($AU$66:$AU$70&gt;$AM295)),
SUMPRODUCT(INDEX($AV$56:$AX$65,,$AI295), INDEX($AY$56:$BE$65,,$AH295), 1 / ($BG$56:$BG$65*BY295 + (1-$BG$56:$BG$65)*BU295), N($AU$56:$AU$65&gt;$AM295))
) / 1000</f>
        <v>0</v>
      </c>
      <c r="CA295" s="231">
        <f t="shared" si="316"/>
        <v>20</v>
      </c>
      <c r="CB295" s="229">
        <f t="shared" si="539"/>
        <v>33</v>
      </c>
      <c r="CC295" s="234">
        <f t="shared" si="540"/>
        <v>4.8487499999999999</v>
      </c>
      <c r="CD295" s="234" cm="1">
        <f t="array" ref="CD295">$BM295 * IF($AH295&lt;=2,
SUMPRODUCT(INDEX($AV$61:$AX$65,,$AI295), INDEX($AY$61:$BE$65,,$AH295), 1 / ($BF$61:$BF$65*CC295 + (1-$BF$61:$BF$65)*BY295), N($AU$61:$AU$65&gt;$AM295)),
SUMPRODUCT(INDEX($AV$46:$AX$55,,$AI295), INDEX($AY$46:$BE$55,,$AH295), 1 / ($BG$46:$BG$55*CC295 + (1-$BG$46:$BG$55)*BY295), N($AU$46:$AU$55&gt;$AM295))
) / 1000</f>
        <v>0</v>
      </c>
      <c r="CE295" s="234" cm="1">
        <f t="array" ref="CE295">$BM295 * IF($AH295&lt;=2,
SUMPRODUCT(INDEX($AV$22:$AX$60,,$AI295), INDEX($AY$22:$BE$60,,$AH295), 1 / ($BF$22:$BF$60*CC295), N($AU$22:$AU$60&gt;$AM295)),
SUMPRODUCT(INDEX($AV$22:$AX$45,,$AI295), INDEX($AY$22:$BE$45,,$AH295), 1 / ($BG$22:$BG$45*CC295), N($AU$22:$AU$45&gt;$AM295))
) / 1000</f>
        <v>0</v>
      </c>
      <c r="CF295" s="229">
        <f t="shared" si="541"/>
        <v>0</v>
      </c>
      <c r="CG295" s="246"/>
      <c r="CH295" s="229">
        <f t="shared" si="542"/>
        <v>0</v>
      </c>
      <c r="CI295" s="228">
        <v>35</v>
      </c>
      <c r="CJ295" s="229">
        <f t="shared" si="543"/>
        <v>48</v>
      </c>
      <c r="CK295" s="234">
        <f t="shared" si="544"/>
        <v>3.0748170731707316</v>
      </c>
      <c r="CL295" s="234" cm="1">
        <f t="array" ref="CL295">$BM295 * SUMPRODUCT(INDEX($AV$76:$AX$81,,$AI295),INDEX($AY$76:$BE$81,,$AH295), N($AU$76:$AU$81&gt;$AM295)) / CK295 / 1000</f>
        <v>0</v>
      </c>
      <c r="CM295" s="231">
        <f t="shared" si="323"/>
        <v>30</v>
      </c>
      <c r="CN295" s="229">
        <f t="shared" si="545"/>
        <v>43</v>
      </c>
      <c r="CO295" s="234">
        <f t="shared" si="546"/>
        <v>3.5018750000000001</v>
      </c>
      <c r="CP295" s="234" cm="1">
        <f t="array" ref="CP295">$BM295 * IF($AH295&lt;=2,
SUMPRODUCT(INDEX($AV$71:$AX$75,,$AI295), INDEX($AY$71:$BE$75,,$AH295), 1 / ($BF$71:$BF$75*CO295 + (1-$BF$71:$BF$75)*CK295), N($AU$71:$AU$75&gt;$AM295)),
SUMPRODUCT(INDEX($AV$66:$AX$75,,$AI295), INDEX($AY$66:$BE$75,,$AH295), 1 / ($BG$66:$BG$75*CO295 + (1-$BG$66:$BG$75)*CK295), N($AU$66:$AU$75&gt;$AM295))
) / 1000</f>
        <v>0</v>
      </c>
      <c r="CQ295" s="231">
        <f t="shared" si="326"/>
        <v>25</v>
      </c>
      <c r="CR295" s="229">
        <f t="shared" si="547"/>
        <v>38</v>
      </c>
      <c r="CS295" s="234">
        <f t="shared" si="548"/>
        <v>4.0666935483870965</v>
      </c>
      <c r="CT295" s="234" cm="1">
        <f t="array" ref="CT295">$BM295 * IF($AH295&lt;=2,
SUMPRODUCT(INDEX($AV$66:$AX$70,,$AI295), INDEX($AY$66:$BE$70,,$AH295), 1 / ($BF$66:$BF$70*CS295 + (1-$BF$66:$BF$70)*CO295), N($AU$66:$AU$70&gt;$AM295)),
SUMPRODUCT(INDEX($AV$56:$AX$65,,$AI295), INDEX($AY$56:$BE$65,,$AH295), 1 / ($BG$56:$BG$65*CS295 + (1-$BG$56:$BG$65)*CO295), N($AU$56:$AU$65&gt;$AM295))
) / 1000</f>
        <v>0</v>
      </c>
      <c r="CU295" s="231">
        <f t="shared" si="329"/>
        <v>20</v>
      </c>
      <c r="CV295" s="229">
        <f t="shared" si="549"/>
        <v>33</v>
      </c>
      <c r="CW295" s="234">
        <f t="shared" si="550"/>
        <v>4.8487499999999999</v>
      </c>
      <c r="CX295" s="234" cm="1">
        <f t="array" ref="CX295">$BM295 * IF($AH295&lt;=2,
SUMPRODUCT(INDEX($AV$61:$AX$65,,$AI295), INDEX($AY$61:$BE$65,,$AH295), 1 / ($BF$61:$BF$65*CW295 + (1-$BF$61:$BF$65)*CS295), N($AU$61:$AU$65&gt;$AM295)),
SUMPRODUCT(INDEX($AV$46:$AX$55,,$AI295), INDEX($AY$46:$BE$55,,$AH295), 1 / ($BG$46:$BG$55*CW295 + (1-$BG$46:$BG$55)*CS295), N($AU$46:$AU$55&gt;$AM295))
) / 1000</f>
        <v>0</v>
      </c>
      <c r="CY295" s="234" cm="1">
        <f t="array" ref="CY295">$BM295 * IF($AH295&lt;=2,
SUMPRODUCT(INDEX($AV$22:$AX$60,,$AI295), INDEX($AY$22:$BE$60,,$AH295), 1 / ($BF$22:$BF$60*CW295), N($AU$22:$AU$60&gt;$AM295)),
SUMPRODUCT(INDEX($AV$22:$AX$45,,$AI295), INDEX($AY$22:$BE$45,,$AH295), 1 / ($BG$22:$BG$45*CW295), N($AU$22:$AU$45&gt;$AM295))
) / 1000</f>
        <v>0</v>
      </c>
      <c r="CZ295" s="229">
        <f t="shared" si="551"/>
        <v>0</v>
      </c>
      <c r="DA295" s="246"/>
    </row>
    <row r="296" spans="1:105" s="75" customFormat="1" ht="14.25" customHeight="1" x14ac:dyDescent="0.2">
      <c r="A296" s="230" t="b">
        <f t="shared" si="291"/>
        <v>0</v>
      </c>
      <c r="B296" s="253">
        <v>275</v>
      </c>
      <c r="C296" s="266"/>
      <c r="D296" s="266"/>
      <c r="E296" s="254"/>
      <c r="F296" s="255" t="str">
        <f>IF(ISBLANK(E296), "", VLOOKUP(E296, Z!$A$2:$C$4127, 3, FALSE))</f>
        <v/>
      </c>
      <c r="G296" s="256"/>
      <c r="H296" s="256"/>
      <c r="I296" s="256"/>
      <c r="J296" s="257"/>
      <c r="K296" s="258"/>
      <c r="L296" s="267"/>
      <c r="M296" s="268"/>
      <c r="N296" s="259" t="str" cm="1">
        <f t="array" ref="N296">IF($L296&gt;0, INDEX(Clean,1+AK296,$D$1), "")</f>
        <v/>
      </c>
      <c r="O296" s="260"/>
      <c r="P296" s="260"/>
      <c r="Q296" s="261"/>
      <c r="R296" s="264">
        <f t="shared" si="527"/>
        <v>0</v>
      </c>
      <c r="S296" s="259" t="str" cm="1">
        <f t="array" ref="S296">IF($L296&gt;0, INDEX(Clean,1+AL296,$D$1), "")</f>
        <v/>
      </c>
      <c r="T296" s="260"/>
      <c r="U296" s="260"/>
      <c r="V296" s="261"/>
      <c r="W296" s="267"/>
      <c r="X296" s="267"/>
      <c r="Y296" s="257"/>
      <c r="Z296" s="264">
        <f t="shared" si="528"/>
        <v>0</v>
      </c>
      <c r="AA296" s="269"/>
      <c r="AB296" s="266"/>
      <c r="AC296" s="254"/>
      <c r="AD296" s="255" t="str">
        <f>IF(ISBLANK(AC296), "", VLOOKUP(AC296, Z!$A$2:$C$4127, 3, FALSE))</f>
        <v/>
      </c>
      <c r="AE296" s="270"/>
      <c r="AF296" s="265">
        <f t="shared" si="529"/>
        <v>0</v>
      </c>
      <c r="AG296" s="246"/>
      <c r="AH296" s="228">
        <f t="shared" si="552"/>
        <v>1</v>
      </c>
      <c r="AI296" s="228">
        <f t="shared" si="553"/>
        <v>1</v>
      </c>
      <c r="AJ296" s="228">
        <f t="shared" si="554"/>
        <v>0</v>
      </c>
      <c r="AK296" s="228">
        <v>0</v>
      </c>
      <c r="AL296" s="228">
        <v>0</v>
      </c>
      <c r="AM296" s="228">
        <f t="shared" si="530"/>
        <v>-100</v>
      </c>
      <c r="AN296" s="228" cm="1">
        <f t="array" ref="AN296">IF(ISBLANK(G296), 1, IFERROR(MATCH(G296, INDEX(Kat,,1), 0), IFERROR(MATCH(Kat, INDEX(Use,,2), 0), MATCH(Kat, INDEX(Use,,3), 0))))</f>
        <v>1</v>
      </c>
      <c r="AO296" s="246"/>
      <c r="AP296" s="228" cm="1">
        <f t="array" ref="AP296">IF(W296&gt;0, INDEX(Kat, AN296,4), 0)</f>
        <v>0</v>
      </c>
      <c r="AQ296" s="228">
        <f t="shared" si="555"/>
        <v>0</v>
      </c>
      <c r="AR296" s="228" cm="1">
        <f t="array" ref="AR296">IF(X296&gt;0, INDEX(Kat, $AN296, 4+AQ296), 0)</f>
        <v>0</v>
      </c>
      <c r="AS296" s="228" cm="1">
        <f t="array" ref="AS296">IF(X296&gt;0, INDEX(Kat, $AN296, 9+AQ296), 0)</f>
        <v>0</v>
      </c>
      <c r="AT296" s="246"/>
      <c r="AU296" s="262"/>
      <c r="AV296" s="262"/>
      <c r="AW296" s="263"/>
      <c r="AX296" s="263"/>
      <c r="AY296" s="263"/>
      <c r="AZ296" s="263"/>
      <c r="BA296" s="263"/>
      <c r="BB296" s="263"/>
      <c r="BC296" s="263"/>
      <c r="BD296" s="263"/>
      <c r="BE296" s="263"/>
      <c r="BF296" s="263"/>
      <c r="BG296" s="263"/>
      <c r="BH296" s="246"/>
      <c r="BI296" s="228" cm="1">
        <f t="array" ref="BI296">INDEX(Use, $AH296, 4)</f>
        <v>7</v>
      </c>
      <c r="BJ296" s="228">
        <f t="shared" si="531"/>
        <v>32</v>
      </c>
      <c r="BK296" s="228">
        <f t="shared" si="305"/>
        <v>13</v>
      </c>
      <c r="BL296" s="228">
        <f t="shared" si="306"/>
        <v>0</v>
      </c>
      <c r="BM296" s="233" cm="1">
        <f t="array" ref="BM296">L296/IF($M296&gt;0, INDEX($AY$22:$BE$76, $M296+20, $AH296), 1)</f>
        <v>0</v>
      </c>
      <c r="BN296" s="229">
        <f t="shared" si="532"/>
        <v>0</v>
      </c>
      <c r="BO296" s="228">
        <v>35</v>
      </c>
      <c r="BP296" s="229">
        <f t="shared" si="533"/>
        <v>48</v>
      </c>
      <c r="BQ296" s="234">
        <f t="shared" si="534"/>
        <v>3.0748170731707316</v>
      </c>
      <c r="BR296" s="234" cm="1">
        <f t="array" ref="BR296">$BM296 * SUMPRODUCT(INDEX($AV$76:$AX$81,,$AI296),INDEX($AY$76:$BE$81,,$AH296), N($AU$76:$AU$81&gt;$AM296)) / BQ296 / 1000</f>
        <v>0</v>
      </c>
      <c r="BS296" s="231">
        <f t="shared" si="310"/>
        <v>30</v>
      </c>
      <c r="BT296" s="229">
        <f t="shared" si="535"/>
        <v>43</v>
      </c>
      <c r="BU296" s="234">
        <f t="shared" si="536"/>
        <v>3.5018750000000001</v>
      </c>
      <c r="BV296" s="234" cm="1">
        <f t="array" ref="BV296">$BM296 * IF($AH296&lt;=2,
SUMPRODUCT(INDEX($AV$71:$AX$75,,$AI296), INDEX($AY$71:$BE$75,,$AH296), 1 / ($BF$71:$BF$75*BU296 + (1-$BF$71:$BF$75)*BQ296), N($AU$71:$AU$75&gt;$AM296)),
SUMPRODUCT(INDEX($AV$66:$AX$75,,$AI296), INDEX($AY$66:$BE$75,,$AH296), 1 / ($BG$66:$BG$75*BU296 + (1-$BG$66:$BG$75)*BQ296), N($AU$66:$AU$75&gt;$AM296))
) / 1000</f>
        <v>0</v>
      </c>
      <c r="BW296" s="231">
        <f t="shared" si="313"/>
        <v>25</v>
      </c>
      <c r="BX296" s="229">
        <f t="shared" si="537"/>
        <v>38</v>
      </c>
      <c r="BY296" s="234">
        <f t="shared" si="538"/>
        <v>4.0666935483870965</v>
      </c>
      <c r="BZ296" s="234" cm="1">
        <f t="array" ref="BZ296">$BM296 * IF($AH296&lt;=2,
SUMPRODUCT(INDEX($AV$66:$AX$70,,$AI296), INDEX($AY$66:$BE$70,,$AH296), 1 / ($BF$66:$BF$70*BY296 + (1-$BF$66:$BF$70)*BU296), N($AU$66:$AU$70&gt;$AM296)),
SUMPRODUCT(INDEX($AV$56:$AX$65,,$AI296), INDEX($AY$56:$BE$65,,$AH296), 1 / ($BG$56:$BG$65*BY296 + (1-$BG$56:$BG$65)*BU296), N($AU$56:$AU$65&gt;$AM296))
) / 1000</f>
        <v>0</v>
      </c>
      <c r="CA296" s="231">
        <f t="shared" si="316"/>
        <v>20</v>
      </c>
      <c r="CB296" s="229">
        <f t="shared" si="539"/>
        <v>33</v>
      </c>
      <c r="CC296" s="234">
        <f t="shared" si="540"/>
        <v>4.8487499999999999</v>
      </c>
      <c r="CD296" s="234" cm="1">
        <f t="array" ref="CD296">$BM296 * IF($AH296&lt;=2,
SUMPRODUCT(INDEX($AV$61:$AX$65,,$AI296), INDEX($AY$61:$BE$65,,$AH296), 1 / ($BF$61:$BF$65*CC296 + (1-$BF$61:$BF$65)*BY296), N($AU$61:$AU$65&gt;$AM296)),
SUMPRODUCT(INDEX($AV$46:$AX$55,,$AI296), INDEX($AY$46:$BE$55,,$AH296), 1 / ($BG$46:$BG$55*CC296 + (1-$BG$46:$BG$55)*BY296), N($AU$46:$AU$55&gt;$AM296))
) / 1000</f>
        <v>0</v>
      </c>
      <c r="CE296" s="234" cm="1">
        <f t="array" ref="CE296">$BM296 * IF($AH296&lt;=2,
SUMPRODUCT(INDEX($AV$22:$AX$60,,$AI296), INDEX($AY$22:$BE$60,,$AH296), 1 / ($BF$22:$BF$60*CC296), N($AU$22:$AU$60&gt;$AM296)),
SUMPRODUCT(INDEX($AV$22:$AX$45,,$AI296), INDEX($AY$22:$BE$45,,$AH296), 1 / ($BG$22:$BG$45*CC296), N($AU$22:$AU$45&gt;$AM296))
) / 1000</f>
        <v>0</v>
      </c>
      <c r="CF296" s="229">
        <f t="shared" si="541"/>
        <v>0</v>
      </c>
      <c r="CG296" s="246"/>
      <c r="CH296" s="229">
        <f t="shared" si="542"/>
        <v>0</v>
      </c>
      <c r="CI296" s="228">
        <v>35</v>
      </c>
      <c r="CJ296" s="229">
        <f t="shared" si="543"/>
        <v>48</v>
      </c>
      <c r="CK296" s="234">
        <f t="shared" si="544"/>
        <v>3.0748170731707316</v>
      </c>
      <c r="CL296" s="234" cm="1">
        <f t="array" ref="CL296">$BM296 * SUMPRODUCT(INDEX($AV$76:$AX$81,,$AI296),INDEX($AY$76:$BE$81,,$AH296), N($AU$76:$AU$81&gt;$AM296)) / CK296 / 1000</f>
        <v>0</v>
      </c>
      <c r="CM296" s="231">
        <f t="shared" si="323"/>
        <v>30</v>
      </c>
      <c r="CN296" s="229">
        <f t="shared" si="545"/>
        <v>43</v>
      </c>
      <c r="CO296" s="234">
        <f t="shared" si="546"/>
        <v>3.5018750000000001</v>
      </c>
      <c r="CP296" s="234" cm="1">
        <f t="array" ref="CP296">$BM296 * IF($AH296&lt;=2,
SUMPRODUCT(INDEX($AV$71:$AX$75,,$AI296), INDEX($AY$71:$BE$75,,$AH296), 1 / ($BF$71:$BF$75*CO296 + (1-$BF$71:$BF$75)*CK296), N($AU$71:$AU$75&gt;$AM296)),
SUMPRODUCT(INDEX($AV$66:$AX$75,,$AI296), INDEX($AY$66:$BE$75,,$AH296), 1 / ($BG$66:$BG$75*CO296 + (1-$BG$66:$BG$75)*CK296), N($AU$66:$AU$75&gt;$AM296))
) / 1000</f>
        <v>0</v>
      </c>
      <c r="CQ296" s="231">
        <f t="shared" si="326"/>
        <v>25</v>
      </c>
      <c r="CR296" s="229">
        <f t="shared" si="547"/>
        <v>38</v>
      </c>
      <c r="CS296" s="234">
        <f t="shared" si="548"/>
        <v>4.0666935483870965</v>
      </c>
      <c r="CT296" s="234" cm="1">
        <f t="array" ref="CT296">$BM296 * IF($AH296&lt;=2,
SUMPRODUCT(INDEX($AV$66:$AX$70,,$AI296), INDEX($AY$66:$BE$70,,$AH296), 1 / ($BF$66:$BF$70*CS296 + (1-$BF$66:$BF$70)*CO296), N($AU$66:$AU$70&gt;$AM296)),
SUMPRODUCT(INDEX($AV$56:$AX$65,,$AI296), INDEX($AY$56:$BE$65,,$AH296), 1 / ($BG$56:$BG$65*CS296 + (1-$BG$56:$BG$65)*CO296), N($AU$56:$AU$65&gt;$AM296))
) / 1000</f>
        <v>0</v>
      </c>
      <c r="CU296" s="231">
        <f t="shared" si="329"/>
        <v>20</v>
      </c>
      <c r="CV296" s="229">
        <f t="shared" si="549"/>
        <v>33</v>
      </c>
      <c r="CW296" s="234">
        <f t="shared" si="550"/>
        <v>4.8487499999999999</v>
      </c>
      <c r="CX296" s="234" cm="1">
        <f t="array" ref="CX296">$BM296 * IF($AH296&lt;=2,
SUMPRODUCT(INDEX($AV$61:$AX$65,,$AI296), INDEX($AY$61:$BE$65,,$AH296), 1 / ($BF$61:$BF$65*CW296 + (1-$BF$61:$BF$65)*CS296), N($AU$61:$AU$65&gt;$AM296)),
SUMPRODUCT(INDEX($AV$46:$AX$55,,$AI296), INDEX($AY$46:$BE$55,,$AH296), 1 / ($BG$46:$BG$55*CW296 + (1-$BG$46:$BG$55)*CS296), N($AU$46:$AU$55&gt;$AM296))
) / 1000</f>
        <v>0</v>
      </c>
      <c r="CY296" s="234" cm="1">
        <f t="array" ref="CY296">$BM296 * IF($AH296&lt;=2,
SUMPRODUCT(INDEX($AV$22:$AX$60,,$AI296), INDEX($AY$22:$BE$60,,$AH296), 1 / ($BF$22:$BF$60*CW296), N($AU$22:$AU$60&gt;$AM296)),
SUMPRODUCT(INDEX($AV$22:$AX$45,,$AI296), INDEX($AY$22:$BE$45,,$AH296), 1 / ($BG$22:$BG$45*CW296), N($AU$22:$AU$45&gt;$AM296))
) / 1000</f>
        <v>0</v>
      </c>
      <c r="CZ296" s="229">
        <f t="shared" si="551"/>
        <v>0</v>
      </c>
      <c r="DA296" s="246"/>
    </row>
    <row r="297" spans="1:105" s="75" customFormat="1" ht="14.25" customHeight="1" x14ac:dyDescent="0.2">
      <c r="A297" s="230" t="b">
        <f t="shared" si="291"/>
        <v>0</v>
      </c>
      <c r="B297" s="253">
        <v>276</v>
      </c>
      <c r="C297" s="266"/>
      <c r="D297" s="266"/>
      <c r="E297" s="254"/>
      <c r="F297" s="255" t="str">
        <f>IF(ISBLANK(E297), "", VLOOKUP(E297, Z!$A$2:$C$4127, 3, FALSE))</f>
        <v/>
      </c>
      <c r="G297" s="256"/>
      <c r="H297" s="256"/>
      <c r="I297" s="256"/>
      <c r="J297" s="257"/>
      <c r="K297" s="258"/>
      <c r="L297" s="267"/>
      <c r="M297" s="268"/>
      <c r="N297" s="259" t="str" cm="1">
        <f t="array" ref="N297">IF($L297&gt;0, INDEX(Clean,1+AK297,$D$1), "")</f>
        <v/>
      </c>
      <c r="O297" s="260"/>
      <c r="P297" s="260"/>
      <c r="Q297" s="261"/>
      <c r="R297" s="264">
        <f t="shared" si="527"/>
        <v>0</v>
      </c>
      <c r="S297" s="259" t="str" cm="1">
        <f t="array" ref="S297">IF($L297&gt;0, INDEX(Clean,1+AL297,$D$1), "")</f>
        <v/>
      </c>
      <c r="T297" s="260"/>
      <c r="U297" s="260"/>
      <c r="V297" s="261"/>
      <c r="W297" s="267"/>
      <c r="X297" s="267"/>
      <c r="Y297" s="257"/>
      <c r="Z297" s="264">
        <f t="shared" si="528"/>
        <v>0</v>
      </c>
      <c r="AA297" s="269"/>
      <c r="AB297" s="266"/>
      <c r="AC297" s="254"/>
      <c r="AD297" s="255" t="str">
        <f>IF(ISBLANK(AC297), "", VLOOKUP(AC297, Z!$A$2:$C$4127, 3, FALSE))</f>
        <v/>
      </c>
      <c r="AE297" s="270"/>
      <c r="AF297" s="265">
        <f t="shared" si="529"/>
        <v>0</v>
      </c>
      <c r="AG297" s="246"/>
      <c r="AH297" s="228">
        <f t="shared" si="552"/>
        <v>1</v>
      </c>
      <c r="AI297" s="228">
        <f t="shared" si="553"/>
        <v>1</v>
      </c>
      <c r="AJ297" s="228">
        <f t="shared" si="554"/>
        <v>0</v>
      </c>
      <c r="AK297" s="228">
        <v>0</v>
      </c>
      <c r="AL297" s="228">
        <v>0</v>
      </c>
      <c r="AM297" s="228">
        <f t="shared" si="530"/>
        <v>-100</v>
      </c>
      <c r="AN297" s="228" cm="1">
        <f t="array" ref="AN297">IF(ISBLANK(G297), 1, IFERROR(MATCH(G297, INDEX(Kat,,1), 0), IFERROR(MATCH(Kat, INDEX(Use,,2), 0), MATCH(Kat, INDEX(Use,,3), 0))))</f>
        <v>1</v>
      </c>
      <c r="AO297" s="246"/>
      <c r="AP297" s="228" cm="1">
        <f t="array" ref="AP297">IF(W297&gt;0, INDEX(Kat, AN297,4), 0)</f>
        <v>0</v>
      </c>
      <c r="AQ297" s="228">
        <f t="shared" si="555"/>
        <v>0</v>
      </c>
      <c r="AR297" s="228" cm="1">
        <f t="array" ref="AR297">IF(X297&gt;0, INDEX(Kat, $AN297, 4+AQ297), 0)</f>
        <v>0</v>
      </c>
      <c r="AS297" s="228" cm="1">
        <f t="array" ref="AS297">IF(X297&gt;0, INDEX(Kat, $AN297, 9+AQ297), 0)</f>
        <v>0</v>
      </c>
      <c r="AT297" s="246"/>
      <c r="AU297" s="262"/>
      <c r="AV297" s="262"/>
      <c r="AW297" s="263"/>
      <c r="AX297" s="263"/>
      <c r="AY297" s="263"/>
      <c r="AZ297" s="263"/>
      <c r="BA297" s="263"/>
      <c r="BB297" s="263"/>
      <c r="BC297" s="263"/>
      <c r="BD297" s="263"/>
      <c r="BE297" s="263"/>
      <c r="BF297" s="263"/>
      <c r="BG297" s="263"/>
      <c r="BH297" s="246"/>
      <c r="BI297" s="228" cm="1">
        <f t="array" ref="BI297">INDEX(Use, $AH297, 4)</f>
        <v>7</v>
      </c>
      <c r="BJ297" s="228">
        <f t="shared" si="531"/>
        <v>32</v>
      </c>
      <c r="BK297" s="228">
        <f t="shared" si="305"/>
        <v>13</v>
      </c>
      <c r="BL297" s="228">
        <f t="shared" si="306"/>
        <v>0</v>
      </c>
      <c r="BM297" s="233" cm="1">
        <f t="array" ref="BM297">L297/IF($M297&gt;0, INDEX($AY$22:$BE$76, $M297+20, $AH297), 1)</f>
        <v>0</v>
      </c>
      <c r="BN297" s="229">
        <f t="shared" si="532"/>
        <v>0</v>
      </c>
      <c r="BO297" s="228">
        <v>35</v>
      </c>
      <c r="BP297" s="229">
        <f t="shared" si="533"/>
        <v>48</v>
      </c>
      <c r="BQ297" s="234">
        <f t="shared" si="534"/>
        <v>3.0748170731707316</v>
      </c>
      <c r="BR297" s="234" cm="1">
        <f t="array" ref="BR297">$BM297 * SUMPRODUCT(INDEX($AV$76:$AX$81,,$AI297),INDEX($AY$76:$BE$81,,$AH297), N($AU$76:$AU$81&gt;$AM297)) / BQ297 / 1000</f>
        <v>0</v>
      </c>
      <c r="BS297" s="231">
        <f t="shared" si="310"/>
        <v>30</v>
      </c>
      <c r="BT297" s="229">
        <f t="shared" si="535"/>
        <v>43</v>
      </c>
      <c r="BU297" s="234">
        <f t="shared" si="536"/>
        <v>3.5018750000000001</v>
      </c>
      <c r="BV297" s="234" cm="1">
        <f t="array" ref="BV297">$BM297 * IF($AH297&lt;=2,
SUMPRODUCT(INDEX($AV$71:$AX$75,,$AI297), INDEX($AY$71:$BE$75,,$AH297), 1 / ($BF$71:$BF$75*BU297 + (1-$BF$71:$BF$75)*BQ297), N($AU$71:$AU$75&gt;$AM297)),
SUMPRODUCT(INDEX($AV$66:$AX$75,,$AI297), INDEX($AY$66:$BE$75,,$AH297), 1 / ($BG$66:$BG$75*BU297 + (1-$BG$66:$BG$75)*BQ297), N($AU$66:$AU$75&gt;$AM297))
) / 1000</f>
        <v>0</v>
      </c>
      <c r="BW297" s="231">
        <f t="shared" si="313"/>
        <v>25</v>
      </c>
      <c r="BX297" s="229">
        <f t="shared" si="537"/>
        <v>38</v>
      </c>
      <c r="BY297" s="234">
        <f t="shared" si="538"/>
        <v>4.0666935483870965</v>
      </c>
      <c r="BZ297" s="234" cm="1">
        <f t="array" ref="BZ297">$BM297 * IF($AH297&lt;=2,
SUMPRODUCT(INDEX($AV$66:$AX$70,,$AI297), INDEX($AY$66:$BE$70,,$AH297), 1 / ($BF$66:$BF$70*BY297 + (1-$BF$66:$BF$70)*BU297), N($AU$66:$AU$70&gt;$AM297)),
SUMPRODUCT(INDEX($AV$56:$AX$65,,$AI297), INDEX($AY$56:$BE$65,,$AH297), 1 / ($BG$56:$BG$65*BY297 + (1-$BG$56:$BG$65)*BU297), N($AU$56:$AU$65&gt;$AM297))
) / 1000</f>
        <v>0</v>
      </c>
      <c r="CA297" s="231">
        <f t="shared" si="316"/>
        <v>20</v>
      </c>
      <c r="CB297" s="229">
        <f t="shared" si="539"/>
        <v>33</v>
      </c>
      <c r="CC297" s="234">
        <f t="shared" si="540"/>
        <v>4.8487499999999999</v>
      </c>
      <c r="CD297" s="234" cm="1">
        <f t="array" ref="CD297">$BM297 * IF($AH297&lt;=2,
SUMPRODUCT(INDEX($AV$61:$AX$65,,$AI297), INDEX($AY$61:$BE$65,,$AH297), 1 / ($BF$61:$BF$65*CC297 + (1-$BF$61:$BF$65)*BY297), N($AU$61:$AU$65&gt;$AM297)),
SUMPRODUCT(INDEX($AV$46:$AX$55,,$AI297), INDEX($AY$46:$BE$55,,$AH297), 1 / ($BG$46:$BG$55*CC297 + (1-$BG$46:$BG$55)*BY297), N($AU$46:$AU$55&gt;$AM297))
) / 1000</f>
        <v>0</v>
      </c>
      <c r="CE297" s="234" cm="1">
        <f t="array" ref="CE297">$BM297 * IF($AH297&lt;=2,
SUMPRODUCT(INDEX($AV$22:$AX$60,,$AI297), INDEX($AY$22:$BE$60,,$AH297), 1 / ($BF$22:$BF$60*CC297), N($AU$22:$AU$60&gt;$AM297)),
SUMPRODUCT(INDEX($AV$22:$AX$45,,$AI297), INDEX($AY$22:$BE$45,,$AH297), 1 / ($BG$22:$BG$45*CC297), N($AU$22:$AU$45&gt;$AM297))
) / 1000</f>
        <v>0</v>
      </c>
      <c r="CF297" s="229">
        <f t="shared" si="541"/>
        <v>0</v>
      </c>
      <c r="CG297" s="246"/>
      <c r="CH297" s="229">
        <f t="shared" si="542"/>
        <v>0</v>
      </c>
      <c r="CI297" s="228">
        <v>35</v>
      </c>
      <c r="CJ297" s="229">
        <f t="shared" si="543"/>
        <v>48</v>
      </c>
      <c r="CK297" s="234">
        <f t="shared" si="544"/>
        <v>3.0748170731707316</v>
      </c>
      <c r="CL297" s="234" cm="1">
        <f t="array" ref="CL297">$BM297 * SUMPRODUCT(INDEX($AV$76:$AX$81,,$AI297),INDEX($AY$76:$BE$81,,$AH297), N($AU$76:$AU$81&gt;$AM297)) / CK297 / 1000</f>
        <v>0</v>
      </c>
      <c r="CM297" s="231">
        <f t="shared" si="323"/>
        <v>30</v>
      </c>
      <c r="CN297" s="229">
        <f t="shared" si="545"/>
        <v>43</v>
      </c>
      <c r="CO297" s="234">
        <f t="shared" si="546"/>
        <v>3.5018750000000001</v>
      </c>
      <c r="CP297" s="234" cm="1">
        <f t="array" ref="CP297">$BM297 * IF($AH297&lt;=2,
SUMPRODUCT(INDEX($AV$71:$AX$75,,$AI297), INDEX($AY$71:$BE$75,,$AH297), 1 / ($BF$71:$BF$75*CO297 + (1-$BF$71:$BF$75)*CK297), N($AU$71:$AU$75&gt;$AM297)),
SUMPRODUCT(INDEX($AV$66:$AX$75,,$AI297), INDEX($AY$66:$BE$75,,$AH297), 1 / ($BG$66:$BG$75*CO297 + (1-$BG$66:$BG$75)*CK297), N($AU$66:$AU$75&gt;$AM297))
) / 1000</f>
        <v>0</v>
      </c>
      <c r="CQ297" s="231">
        <f t="shared" si="326"/>
        <v>25</v>
      </c>
      <c r="CR297" s="229">
        <f t="shared" si="547"/>
        <v>38</v>
      </c>
      <c r="CS297" s="234">
        <f t="shared" si="548"/>
        <v>4.0666935483870965</v>
      </c>
      <c r="CT297" s="234" cm="1">
        <f t="array" ref="CT297">$BM297 * IF($AH297&lt;=2,
SUMPRODUCT(INDEX($AV$66:$AX$70,,$AI297), INDEX($AY$66:$BE$70,,$AH297), 1 / ($BF$66:$BF$70*CS297 + (1-$BF$66:$BF$70)*CO297), N($AU$66:$AU$70&gt;$AM297)),
SUMPRODUCT(INDEX($AV$56:$AX$65,,$AI297), INDEX($AY$56:$BE$65,,$AH297), 1 / ($BG$56:$BG$65*CS297 + (1-$BG$56:$BG$65)*CO297), N($AU$56:$AU$65&gt;$AM297))
) / 1000</f>
        <v>0</v>
      </c>
      <c r="CU297" s="231">
        <f t="shared" si="329"/>
        <v>20</v>
      </c>
      <c r="CV297" s="229">
        <f t="shared" si="549"/>
        <v>33</v>
      </c>
      <c r="CW297" s="234">
        <f t="shared" si="550"/>
        <v>4.8487499999999999</v>
      </c>
      <c r="CX297" s="234" cm="1">
        <f t="array" ref="CX297">$BM297 * IF($AH297&lt;=2,
SUMPRODUCT(INDEX($AV$61:$AX$65,,$AI297), INDEX($AY$61:$BE$65,,$AH297), 1 / ($BF$61:$BF$65*CW297 + (1-$BF$61:$BF$65)*CS297), N($AU$61:$AU$65&gt;$AM297)),
SUMPRODUCT(INDEX($AV$46:$AX$55,,$AI297), INDEX($AY$46:$BE$55,,$AH297), 1 / ($BG$46:$BG$55*CW297 + (1-$BG$46:$BG$55)*CS297), N($AU$46:$AU$55&gt;$AM297))
) / 1000</f>
        <v>0</v>
      </c>
      <c r="CY297" s="234" cm="1">
        <f t="array" ref="CY297">$BM297 * IF($AH297&lt;=2,
SUMPRODUCT(INDEX($AV$22:$AX$60,,$AI297), INDEX($AY$22:$BE$60,,$AH297), 1 / ($BF$22:$BF$60*CW297), N($AU$22:$AU$60&gt;$AM297)),
SUMPRODUCT(INDEX($AV$22:$AX$45,,$AI297), INDEX($AY$22:$BE$45,,$AH297), 1 / ($BG$22:$BG$45*CW297), N($AU$22:$AU$45&gt;$AM297))
) / 1000</f>
        <v>0</v>
      </c>
      <c r="CZ297" s="229">
        <f t="shared" si="551"/>
        <v>0</v>
      </c>
      <c r="DA297" s="246"/>
    </row>
    <row r="298" spans="1:105" s="75" customFormat="1" ht="14.25" customHeight="1" x14ac:dyDescent="0.2">
      <c r="A298" s="230" t="b">
        <f t="shared" si="291"/>
        <v>0</v>
      </c>
      <c r="B298" s="253">
        <v>277</v>
      </c>
      <c r="C298" s="266"/>
      <c r="D298" s="266"/>
      <c r="E298" s="254"/>
      <c r="F298" s="255" t="str">
        <f>IF(ISBLANK(E298), "", VLOOKUP(E298, Z!$A$2:$C$4127, 3, FALSE))</f>
        <v/>
      </c>
      <c r="G298" s="256"/>
      <c r="H298" s="256"/>
      <c r="I298" s="256"/>
      <c r="J298" s="257"/>
      <c r="K298" s="258"/>
      <c r="L298" s="267"/>
      <c r="M298" s="268"/>
      <c r="N298" s="259" t="str" cm="1">
        <f t="array" ref="N298">IF($L298&gt;0, INDEX(Clean,1+AK298,$D$1), "")</f>
        <v/>
      </c>
      <c r="O298" s="260"/>
      <c r="P298" s="260"/>
      <c r="Q298" s="261"/>
      <c r="R298" s="264">
        <f t="shared" si="527"/>
        <v>0</v>
      </c>
      <c r="S298" s="259" t="str" cm="1">
        <f t="array" ref="S298">IF($L298&gt;0, INDEX(Clean,1+AL298,$D$1), "")</f>
        <v/>
      </c>
      <c r="T298" s="260"/>
      <c r="U298" s="260"/>
      <c r="V298" s="261"/>
      <c r="W298" s="267"/>
      <c r="X298" s="267"/>
      <c r="Y298" s="257"/>
      <c r="Z298" s="264">
        <f t="shared" si="528"/>
        <v>0</v>
      </c>
      <c r="AA298" s="269"/>
      <c r="AB298" s="266"/>
      <c r="AC298" s="254"/>
      <c r="AD298" s="255" t="str">
        <f>IF(ISBLANK(AC298), "", VLOOKUP(AC298, Z!$A$2:$C$4127, 3, FALSE))</f>
        <v/>
      </c>
      <c r="AE298" s="270"/>
      <c r="AF298" s="265">
        <f t="shared" si="529"/>
        <v>0</v>
      </c>
      <c r="AG298" s="246"/>
      <c r="AH298" s="228">
        <f t="shared" si="552"/>
        <v>1</v>
      </c>
      <c r="AI298" s="228">
        <f t="shared" si="553"/>
        <v>1</v>
      </c>
      <c r="AJ298" s="228">
        <f t="shared" si="554"/>
        <v>0</v>
      </c>
      <c r="AK298" s="228">
        <v>0</v>
      </c>
      <c r="AL298" s="228">
        <v>0</v>
      </c>
      <c r="AM298" s="228">
        <f t="shared" si="530"/>
        <v>-100</v>
      </c>
      <c r="AN298" s="228" cm="1">
        <f t="array" ref="AN298">IF(ISBLANK(G298), 1, IFERROR(MATCH(G298, INDEX(Kat,,1), 0), IFERROR(MATCH(Kat, INDEX(Use,,2), 0), MATCH(Kat, INDEX(Use,,3), 0))))</f>
        <v>1</v>
      </c>
      <c r="AO298" s="246"/>
      <c r="AP298" s="228" cm="1">
        <f t="array" ref="AP298">IF(W298&gt;0, INDEX(Kat, AN298,4), 0)</f>
        <v>0</v>
      </c>
      <c r="AQ298" s="228">
        <f t="shared" si="555"/>
        <v>0</v>
      </c>
      <c r="AR298" s="228" cm="1">
        <f t="array" ref="AR298">IF(X298&gt;0, INDEX(Kat, $AN298, 4+AQ298), 0)</f>
        <v>0</v>
      </c>
      <c r="AS298" s="228" cm="1">
        <f t="array" ref="AS298">IF(X298&gt;0, INDEX(Kat, $AN298, 9+AQ298), 0)</f>
        <v>0</v>
      </c>
      <c r="AT298" s="246"/>
      <c r="AU298" s="262"/>
      <c r="AV298" s="262"/>
      <c r="AW298" s="263"/>
      <c r="AX298" s="263"/>
      <c r="AY298" s="263"/>
      <c r="AZ298" s="263"/>
      <c r="BA298" s="263"/>
      <c r="BB298" s="263"/>
      <c r="BC298" s="263"/>
      <c r="BD298" s="263"/>
      <c r="BE298" s="263"/>
      <c r="BF298" s="263"/>
      <c r="BG298" s="263"/>
      <c r="BH298" s="246"/>
      <c r="BI298" s="228" cm="1">
        <f t="array" ref="BI298">INDEX(Use, $AH298, 4)</f>
        <v>7</v>
      </c>
      <c r="BJ298" s="228">
        <f t="shared" si="531"/>
        <v>32</v>
      </c>
      <c r="BK298" s="228">
        <f t="shared" si="305"/>
        <v>13</v>
      </c>
      <c r="BL298" s="228">
        <f t="shared" si="306"/>
        <v>0</v>
      </c>
      <c r="BM298" s="233" cm="1">
        <f t="array" ref="BM298">L298/IF($M298&gt;0, INDEX($AY$22:$BE$76, $M298+20, $AH298), 1)</f>
        <v>0</v>
      </c>
      <c r="BN298" s="229">
        <f t="shared" si="532"/>
        <v>0</v>
      </c>
      <c r="BO298" s="228">
        <v>35</v>
      </c>
      <c r="BP298" s="229">
        <f t="shared" si="533"/>
        <v>48</v>
      </c>
      <c r="BQ298" s="234">
        <f t="shared" si="534"/>
        <v>3.0748170731707316</v>
      </c>
      <c r="BR298" s="234" cm="1">
        <f t="array" ref="BR298">$BM298 * SUMPRODUCT(INDEX($AV$76:$AX$81,,$AI298),INDEX($AY$76:$BE$81,,$AH298), N($AU$76:$AU$81&gt;$AM298)) / BQ298 / 1000</f>
        <v>0</v>
      </c>
      <c r="BS298" s="231">
        <f t="shared" si="310"/>
        <v>30</v>
      </c>
      <c r="BT298" s="229">
        <f t="shared" si="535"/>
        <v>43</v>
      </c>
      <c r="BU298" s="234">
        <f t="shared" si="536"/>
        <v>3.5018750000000001</v>
      </c>
      <c r="BV298" s="234" cm="1">
        <f t="array" ref="BV298">$BM298 * IF($AH298&lt;=2,
SUMPRODUCT(INDEX($AV$71:$AX$75,,$AI298), INDEX($AY$71:$BE$75,,$AH298), 1 / ($BF$71:$BF$75*BU298 + (1-$BF$71:$BF$75)*BQ298), N($AU$71:$AU$75&gt;$AM298)),
SUMPRODUCT(INDEX($AV$66:$AX$75,,$AI298), INDEX($AY$66:$BE$75,,$AH298), 1 / ($BG$66:$BG$75*BU298 + (1-$BG$66:$BG$75)*BQ298), N($AU$66:$AU$75&gt;$AM298))
) / 1000</f>
        <v>0</v>
      </c>
      <c r="BW298" s="231">
        <f t="shared" si="313"/>
        <v>25</v>
      </c>
      <c r="BX298" s="229">
        <f t="shared" si="537"/>
        <v>38</v>
      </c>
      <c r="BY298" s="234">
        <f t="shared" si="538"/>
        <v>4.0666935483870965</v>
      </c>
      <c r="BZ298" s="234" cm="1">
        <f t="array" ref="BZ298">$BM298 * IF($AH298&lt;=2,
SUMPRODUCT(INDEX($AV$66:$AX$70,,$AI298), INDEX($AY$66:$BE$70,,$AH298), 1 / ($BF$66:$BF$70*BY298 + (1-$BF$66:$BF$70)*BU298), N($AU$66:$AU$70&gt;$AM298)),
SUMPRODUCT(INDEX($AV$56:$AX$65,,$AI298), INDEX($AY$56:$BE$65,,$AH298), 1 / ($BG$56:$BG$65*BY298 + (1-$BG$56:$BG$65)*BU298), N($AU$56:$AU$65&gt;$AM298))
) / 1000</f>
        <v>0</v>
      </c>
      <c r="CA298" s="231">
        <f t="shared" si="316"/>
        <v>20</v>
      </c>
      <c r="CB298" s="229">
        <f t="shared" si="539"/>
        <v>33</v>
      </c>
      <c r="CC298" s="234">
        <f t="shared" si="540"/>
        <v>4.8487499999999999</v>
      </c>
      <c r="CD298" s="234" cm="1">
        <f t="array" ref="CD298">$BM298 * IF($AH298&lt;=2,
SUMPRODUCT(INDEX($AV$61:$AX$65,,$AI298), INDEX($AY$61:$BE$65,,$AH298), 1 / ($BF$61:$BF$65*CC298 + (1-$BF$61:$BF$65)*BY298), N($AU$61:$AU$65&gt;$AM298)),
SUMPRODUCT(INDEX($AV$46:$AX$55,,$AI298), INDEX($AY$46:$BE$55,,$AH298), 1 / ($BG$46:$BG$55*CC298 + (1-$BG$46:$BG$55)*BY298), N($AU$46:$AU$55&gt;$AM298))
) / 1000</f>
        <v>0</v>
      </c>
      <c r="CE298" s="234" cm="1">
        <f t="array" ref="CE298">$BM298 * IF($AH298&lt;=2,
SUMPRODUCT(INDEX($AV$22:$AX$60,,$AI298), INDEX($AY$22:$BE$60,,$AH298), 1 / ($BF$22:$BF$60*CC298), N($AU$22:$AU$60&gt;$AM298)),
SUMPRODUCT(INDEX($AV$22:$AX$45,,$AI298), INDEX($AY$22:$BE$45,,$AH298), 1 / ($BG$22:$BG$45*CC298), N($AU$22:$AU$45&gt;$AM298))
) / 1000</f>
        <v>0</v>
      </c>
      <c r="CF298" s="229">
        <f t="shared" si="541"/>
        <v>0</v>
      </c>
      <c r="CG298" s="246"/>
      <c r="CH298" s="229">
        <f t="shared" si="542"/>
        <v>0</v>
      </c>
      <c r="CI298" s="228">
        <v>35</v>
      </c>
      <c r="CJ298" s="229">
        <f t="shared" si="543"/>
        <v>48</v>
      </c>
      <c r="CK298" s="234">
        <f t="shared" si="544"/>
        <v>3.0748170731707316</v>
      </c>
      <c r="CL298" s="234" cm="1">
        <f t="array" ref="CL298">$BM298 * SUMPRODUCT(INDEX($AV$76:$AX$81,,$AI298),INDEX($AY$76:$BE$81,,$AH298), N($AU$76:$AU$81&gt;$AM298)) / CK298 / 1000</f>
        <v>0</v>
      </c>
      <c r="CM298" s="231">
        <f t="shared" si="323"/>
        <v>30</v>
      </c>
      <c r="CN298" s="229">
        <f t="shared" si="545"/>
        <v>43</v>
      </c>
      <c r="CO298" s="234">
        <f t="shared" si="546"/>
        <v>3.5018750000000001</v>
      </c>
      <c r="CP298" s="234" cm="1">
        <f t="array" ref="CP298">$BM298 * IF($AH298&lt;=2,
SUMPRODUCT(INDEX($AV$71:$AX$75,,$AI298), INDEX($AY$71:$BE$75,,$AH298), 1 / ($BF$71:$BF$75*CO298 + (1-$BF$71:$BF$75)*CK298), N($AU$71:$AU$75&gt;$AM298)),
SUMPRODUCT(INDEX($AV$66:$AX$75,,$AI298), INDEX($AY$66:$BE$75,,$AH298), 1 / ($BG$66:$BG$75*CO298 + (1-$BG$66:$BG$75)*CK298), N($AU$66:$AU$75&gt;$AM298))
) / 1000</f>
        <v>0</v>
      </c>
      <c r="CQ298" s="231">
        <f t="shared" si="326"/>
        <v>25</v>
      </c>
      <c r="CR298" s="229">
        <f t="shared" si="547"/>
        <v>38</v>
      </c>
      <c r="CS298" s="234">
        <f t="shared" si="548"/>
        <v>4.0666935483870965</v>
      </c>
      <c r="CT298" s="234" cm="1">
        <f t="array" ref="CT298">$BM298 * IF($AH298&lt;=2,
SUMPRODUCT(INDEX($AV$66:$AX$70,,$AI298), INDEX($AY$66:$BE$70,,$AH298), 1 / ($BF$66:$BF$70*CS298 + (1-$BF$66:$BF$70)*CO298), N($AU$66:$AU$70&gt;$AM298)),
SUMPRODUCT(INDEX($AV$56:$AX$65,,$AI298), INDEX($AY$56:$BE$65,,$AH298), 1 / ($BG$56:$BG$65*CS298 + (1-$BG$56:$BG$65)*CO298), N($AU$56:$AU$65&gt;$AM298))
) / 1000</f>
        <v>0</v>
      </c>
      <c r="CU298" s="231">
        <f t="shared" si="329"/>
        <v>20</v>
      </c>
      <c r="CV298" s="229">
        <f t="shared" si="549"/>
        <v>33</v>
      </c>
      <c r="CW298" s="234">
        <f t="shared" si="550"/>
        <v>4.8487499999999999</v>
      </c>
      <c r="CX298" s="234" cm="1">
        <f t="array" ref="CX298">$BM298 * IF($AH298&lt;=2,
SUMPRODUCT(INDEX($AV$61:$AX$65,,$AI298), INDEX($AY$61:$BE$65,,$AH298), 1 / ($BF$61:$BF$65*CW298 + (1-$BF$61:$BF$65)*CS298), N($AU$61:$AU$65&gt;$AM298)),
SUMPRODUCT(INDEX($AV$46:$AX$55,,$AI298), INDEX($AY$46:$BE$55,,$AH298), 1 / ($BG$46:$BG$55*CW298 + (1-$BG$46:$BG$55)*CS298), N($AU$46:$AU$55&gt;$AM298))
) / 1000</f>
        <v>0</v>
      </c>
      <c r="CY298" s="234" cm="1">
        <f t="array" ref="CY298">$BM298 * IF($AH298&lt;=2,
SUMPRODUCT(INDEX($AV$22:$AX$60,,$AI298), INDEX($AY$22:$BE$60,,$AH298), 1 / ($BF$22:$BF$60*CW298), N($AU$22:$AU$60&gt;$AM298)),
SUMPRODUCT(INDEX($AV$22:$AX$45,,$AI298), INDEX($AY$22:$BE$45,,$AH298), 1 / ($BG$22:$BG$45*CW298), N($AU$22:$AU$45&gt;$AM298))
) / 1000</f>
        <v>0</v>
      </c>
      <c r="CZ298" s="229">
        <f t="shared" si="551"/>
        <v>0</v>
      </c>
      <c r="DA298" s="246"/>
    </row>
    <row r="299" spans="1:105" s="75" customFormat="1" ht="14.25" customHeight="1" x14ac:dyDescent="0.2">
      <c r="A299" s="230" t="b">
        <f t="shared" si="291"/>
        <v>0</v>
      </c>
      <c r="B299" s="253">
        <v>278</v>
      </c>
      <c r="C299" s="266"/>
      <c r="D299" s="266"/>
      <c r="E299" s="254"/>
      <c r="F299" s="255" t="str">
        <f>IF(ISBLANK(E299), "", VLOOKUP(E299, Z!$A$2:$C$4127, 3, FALSE))</f>
        <v/>
      </c>
      <c r="G299" s="256"/>
      <c r="H299" s="256"/>
      <c r="I299" s="256"/>
      <c r="J299" s="257"/>
      <c r="K299" s="258"/>
      <c r="L299" s="267"/>
      <c r="M299" s="268"/>
      <c r="N299" s="259" t="str" cm="1">
        <f t="array" ref="N299">IF($L299&gt;0, INDEX(Clean,1+AK299,$D$1), "")</f>
        <v/>
      </c>
      <c r="O299" s="260"/>
      <c r="P299" s="260"/>
      <c r="Q299" s="261"/>
      <c r="R299" s="264">
        <f t="shared" si="527"/>
        <v>0</v>
      </c>
      <c r="S299" s="259" t="str" cm="1">
        <f t="array" ref="S299">IF($L299&gt;0, INDEX(Clean,1+AL299,$D$1), "")</f>
        <v/>
      </c>
      <c r="T299" s="260"/>
      <c r="U299" s="260"/>
      <c r="V299" s="261"/>
      <c r="W299" s="267"/>
      <c r="X299" s="267"/>
      <c r="Y299" s="257"/>
      <c r="Z299" s="264">
        <f t="shared" si="528"/>
        <v>0</v>
      </c>
      <c r="AA299" s="269"/>
      <c r="AB299" s="266"/>
      <c r="AC299" s="254"/>
      <c r="AD299" s="255" t="str">
        <f>IF(ISBLANK(AC299), "", VLOOKUP(AC299, Z!$A$2:$C$4127, 3, FALSE))</f>
        <v/>
      </c>
      <c r="AE299" s="270"/>
      <c r="AF299" s="265">
        <f t="shared" si="529"/>
        <v>0</v>
      </c>
      <c r="AG299" s="246"/>
      <c r="AH299" s="228">
        <f t="shared" si="552"/>
        <v>1</v>
      </c>
      <c r="AI299" s="228">
        <f t="shared" si="553"/>
        <v>1</v>
      </c>
      <c r="AJ299" s="228">
        <f t="shared" si="554"/>
        <v>0</v>
      </c>
      <c r="AK299" s="228">
        <v>0</v>
      </c>
      <c r="AL299" s="228">
        <v>0</v>
      </c>
      <c r="AM299" s="228">
        <f t="shared" si="530"/>
        <v>-100</v>
      </c>
      <c r="AN299" s="228" cm="1">
        <f t="array" ref="AN299">IF(ISBLANK(G299), 1, IFERROR(MATCH(G299, INDEX(Kat,,1), 0), IFERROR(MATCH(Kat, INDEX(Use,,2), 0), MATCH(Kat, INDEX(Use,,3), 0))))</f>
        <v>1</v>
      </c>
      <c r="AO299" s="246"/>
      <c r="AP299" s="228" cm="1">
        <f t="array" ref="AP299">IF(W299&gt;0, INDEX(Kat, AN299,4), 0)</f>
        <v>0</v>
      </c>
      <c r="AQ299" s="228">
        <f t="shared" si="555"/>
        <v>0</v>
      </c>
      <c r="AR299" s="228" cm="1">
        <f t="array" ref="AR299">IF(X299&gt;0, INDEX(Kat, $AN299, 4+AQ299), 0)</f>
        <v>0</v>
      </c>
      <c r="AS299" s="228" cm="1">
        <f t="array" ref="AS299">IF(X299&gt;0, INDEX(Kat, $AN299, 9+AQ299), 0)</f>
        <v>0</v>
      </c>
      <c r="AT299" s="246"/>
      <c r="AU299" s="262"/>
      <c r="AV299" s="262"/>
      <c r="AW299" s="263"/>
      <c r="AX299" s="263"/>
      <c r="AY299" s="263"/>
      <c r="AZ299" s="263"/>
      <c r="BA299" s="263"/>
      <c r="BB299" s="263"/>
      <c r="BC299" s="263"/>
      <c r="BD299" s="263"/>
      <c r="BE299" s="263"/>
      <c r="BF299" s="263"/>
      <c r="BG299" s="263"/>
      <c r="BH299" s="246"/>
      <c r="BI299" s="228" cm="1">
        <f t="array" ref="BI299">INDEX(Use, $AH299, 4)</f>
        <v>7</v>
      </c>
      <c r="BJ299" s="228">
        <f t="shared" si="531"/>
        <v>32</v>
      </c>
      <c r="BK299" s="228">
        <f t="shared" si="305"/>
        <v>13</v>
      </c>
      <c r="BL299" s="228">
        <f t="shared" si="306"/>
        <v>0</v>
      </c>
      <c r="BM299" s="233" cm="1">
        <f t="array" ref="BM299">L299/IF($M299&gt;0, INDEX($AY$22:$BE$76, $M299+20, $AH299), 1)</f>
        <v>0</v>
      </c>
      <c r="BN299" s="229">
        <f t="shared" si="532"/>
        <v>0</v>
      </c>
      <c r="BO299" s="228">
        <v>35</v>
      </c>
      <c r="BP299" s="229">
        <f t="shared" si="533"/>
        <v>48</v>
      </c>
      <c r="BQ299" s="234">
        <f t="shared" si="534"/>
        <v>3.0748170731707316</v>
      </c>
      <c r="BR299" s="234" cm="1">
        <f t="array" ref="BR299">$BM299 * SUMPRODUCT(INDEX($AV$76:$AX$81,,$AI299),INDEX($AY$76:$BE$81,,$AH299), N($AU$76:$AU$81&gt;$AM299)) / BQ299 / 1000</f>
        <v>0</v>
      </c>
      <c r="BS299" s="231">
        <f t="shared" si="310"/>
        <v>30</v>
      </c>
      <c r="BT299" s="229">
        <f t="shared" si="535"/>
        <v>43</v>
      </c>
      <c r="BU299" s="234">
        <f t="shared" si="536"/>
        <v>3.5018750000000001</v>
      </c>
      <c r="BV299" s="234" cm="1">
        <f t="array" ref="BV299">$BM299 * IF($AH299&lt;=2,
SUMPRODUCT(INDEX($AV$71:$AX$75,,$AI299), INDEX($AY$71:$BE$75,,$AH299), 1 / ($BF$71:$BF$75*BU299 + (1-$BF$71:$BF$75)*BQ299), N($AU$71:$AU$75&gt;$AM299)),
SUMPRODUCT(INDEX($AV$66:$AX$75,,$AI299), INDEX($AY$66:$BE$75,,$AH299), 1 / ($BG$66:$BG$75*BU299 + (1-$BG$66:$BG$75)*BQ299), N($AU$66:$AU$75&gt;$AM299))
) / 1000</f>
        <v>0</v>
      </c>
      <c r="BW299" s="231">
        <f t="shared" si="313"/>
        <v>25</v>
      </c>
      <c r="BX299" s="229">
        <f t="shared" si="537"/>
        <v>38</v>
      </c>
      <c r="BY299" s="234">
        <f t="shared" si="538"/>
        <v>4.0666935483870965</v>
      </c>
      <c r="BZ299" s="234" cm="1">
        <f t="array" ref="BZ299">$BM299 * IF($AH299&lt;=2,
SUMPRODUCT(INDEX($AV$66:$AX$70,,$AI299), INDEX($AY$66:$BE$70,,$AH299), 1 / ($BF$66:$BF$70*BY299 + (1-$BF$66:$BF$70)*BU299), N($AU$66:$AU$70&gt;$AM299)),
SUMPRODUCT(INDEX($AV$56:$AX$65,,$AI299), INDEX($AY$56:$BE$65,,$AH299), 1 / ($BG$56:$BG$65*BY299 + (1-$BG$56:$BG$65)*BU299), N($AU$56:$AU$65&gt;$AM299))
) / 1000</f>
        <v>0</v>
      </c>
      <c r="CA299" s="231">
        <f t="shared" si="316"/>
        <v>20</v>
      </c>
      <c r="CB299" s="229">
        <f t="shared" si="539"/>
        <v>33</v>
      </c>
      <c r="CC299" s="234">
        <f t="shared" si="540"/>
        <v>4.8487499999999999</v>
      </c>
      <c r="CD299" s="234" cm="1">
        <f t="array" ref="CD299">$BM299 * IF($AH299&lt;=2,
SUMPRODUCT(INDEX($AV$61:$AX$65,,$AI299), INDEX($AY$61:$BE$65,,$AH299), 1 / ($BF$61:$BF$65*CC299 + (1-$BF$61:$BF$65)*BY299), N($AU$61:$AU$65&gt;$AM299)),
SUMPRODUCT(INDEX($AV$46:$AX$55,,$AI299), INDEX($AY$46:$BE$55,,$AH299), 1 / ($BG$46:$BG$55*CC299 + (1-$BG$46:$BG$55)*BY299), N($AU$46:$AU$55&gt;$AM299))
) / 1000</f>
        <v>0</v>
      </c>
      <c r="CE299" s="234" cm="1">
        <f t="array" ref="CE299">$BM299 * IF($AH299&lt;=2,
SUMPRODUCT(INDEX($AV$22:$AX$60,,$AI299), INDEX($AY$22:$BE$60,,$AH299), 1 / ($BF$22:$BF$60*CC299), N($AU$22:$AU$60&gt;$AM299)),
SUMPRODUCT(INDEX($AV$22:$AX$45,,$AI299), INDEX($AY$22:$BE$45,,$AH299), 1 / ($BG$22:$BG$45*CC299), N($AU$22:$AU$45&gt;$AM299))
) / 1000</f>
        <v>0</v>
      </c>
      <c r="CF299" s="229">
        <f t="shared" si="541"/>
        <v>0</v>
      </c>
      <c r="CG299" s="246"/>
      <c r="CH299" s="229">
        <f t="shared" si="542"/>
        <v>0</v>
      </c>
      <c r="CI299" s="228">
        <v>35</v>
      </c>
      <c r="CJ299" s="229">
        <f t="shared" si="543"/>
        <v>48</v>
      </c>
      <c r="CK299" s="234">
        <f t="shared" si="544"/>
        <v>3.0748170731707316</v>
      </c>
      <c r="CL299" s="234" cm="1">
        <f t="array" ref="CL299">$BM299 * SUMPRODUCT(INDEX($AV$76:$AX$81,,$AI299),INDEX($AY$76:$BE$81,,$AH299), N($AU$76:$AU$81&gt;$AM299)) / CK299 / 1000</f>
        <v>0</v>
      </c>
      <c r="CM299" s="231">
        <f t="shared" si="323"/>
        <v>30</v>
      </c>
      <c r="CN299" s="229">
        <f t="shared" si="545"/>
        <v>43</v>
      </c>
      <c r="CO299" s="234">
        <f t="shared" si="546"/>
        <v>3.5018750000000001</v>
      </c>
      <c r="CP299" s="234" cm="1">
        <f t="array" ref="CP299">$BM299 * IF($AH299&lt;=2,
SUMPRODUCT(INDEX($AV$71:$AX$75,,$AI299), INDEX($AY$71:$BE$75,,$AH299), 1 / ($BF$71:$BF$75*CO299 + (1-$BF$71:$BF$75)*CK299), N($AU$71:$AU$75&gt;$AM299)),
SUMPRODUCT(INDEX($AV$66:$AX$75,,$AI299), INDEX($AY$66:$BE$75,,$AH299), 1 / ($BG$66:$BG$75*CO299 + (1-$BG$66:$BG$75)*CK299), N($AU$66:$AU$75&gt;$AM299))
) / 1000</f>
        <v>0</v>
      </c>
      <c r="CQ299" s="231">
        <f t="shared" si="326"/>
        <v>25</v>
      </c>
      <c r="CR299" s="229">
        <f t="shared" si="547"/>
        <v>38</v>
      </c>
      <c r="CS299" s="234">
        <f t="shared" si="548"/>
        <v>4.0666935483870965</v>
      </c>
      <c r="CT299" s="234" cm="1">
        <f t="array" ref="CT299">$BM299 * IF($AH299&lt;=2,
SUMPRODUCT(INDEX($AV$66:$AX$70,,$AI299), INDEX($AY$66:$BE$70,,$AH299), 1 / ($BF$66:$BF$70*CS299 + (1-$BF$66:$BF$70)*CO299), N($AU$66:$AU$70&gt;$AM299)),
SUMPRODUCT(INDEX($AV$56:$AX$65,,$AI299), INDEX($AY$56:$BE$65,,$AH299), 1 / ($BG$56:$BG$65*CS299 + (1-$BG$56:$BG$65)*CO299), N($AU$56:$AU$65&gt;$AM299))
) / 1000</f>
        <v>0</v>
      </c>
      <c r="CU299" s="231">
        <f t="shared" si="329"/>
        <v>20</v>
      </c>
      <c r="CV299" s="229">
        <f t="shared" si="549"/>
        <v>33</v>
      </c>
      <c r="CW299" s="234">
        <f t="shared" si="550"/>
        <v>4.8487499999999999</v>
      </c>
      <c r="CX299" s="234" cm="1">
        <f t="array" ref="CX299">$BM299 * IF($AH299&lt;=2,
SUMPRODUCT(INDEX($AV$61:$AX$65,,$AI299), INDEX($AY$61:$BE$65,,$AH299), 1 / ($BF$61:$BF$65*CW299 + (1-$BF$61:$BF$65)*CS299), N($AU$61:$AU$65&gt;$AM299)),
SUMPRODUCT(INDEX($AV$46:$AX$55,,$AI299), INDEX($AY$46:$BE$55,,$AH299), 1 / ($BG$46:$BG$55*CW299 + (1-$BG$46:$BG$55)*CS299), N($AU$46:$AU$55&gt;$AM299))
) / 1000</f>
        <v>0</v>
      </c>
      <c r="CY299" s="234" cm="1">
        <f t="array" ref="CY299">$BM299 * IF($AH299&lt;=2,
SUMPRODUCT(INDEX($AV$22:$AX$60,,$AI299), INDEX($AY$22:$BE$60,,$AH299), 1 / ($BF$22:$BF$60*CW299), N($AU$22:$AU$60&gt;$AM299)),
SUMPRODUCT(INDEX($AV$22:$AX$45,,$AI299), INDEX($AY$22:$BE$45,,$AH299), 1 / ($BG$22:$BG$45*CW299), N($AU$22:$AU$45&gt;$AM299))
) / 1000</f>
        <v>0</v>
      </c>
      <c r="CZ299" s="229">
        <f t="shared" si="551"/>
        <v>0</v>
      </c>
      <c r="DA299" s="246"/>
    </row>
    <row r="300" spans="1:105" s="75" customFormat="1" ht="14.25" customHeight="1" x14ac:dyDescent="0.2">
      <c r="A300" s="230" t="b">
        <f t="shared" si="291"/>
        <v>0</v>
      </c>
      <c r="B300" s="253">
        <v>279</v>
      </c>
      <c r="C300" s="266"/>
      <c r="D300" s="266"/>
      <c r="E300" s="254"/>
      <c r="F300" s="255" t="str">
        <f>IF(ISBLANK(E300), "", VLOOKUP(E300, Z!$A$2:$C$4127, 3, FALSE))</f>
        <v/>
      </c>
      <c r="G300" s="256"/>
      <c r="H300" s="256"/>
      <c r="I300" s="256"/>
      <c r="J300" s="257"/>
      <c r="K300" s="258"/>
      <c r="L300" s="267"/>
      <c r="M300" s="268"/>
      <c r="N300" s="259" t="str" cm="1">
        <f t="array" ref="N300">IF($L300&gt;0, INDEX(Clean,1+AK300,$D$1), "")</f>
        <v/>
      </c>
      <c r="O300" s="260"/>
      <c r="P300" s="260"/>
      <c r="Q300" s="261"/>
      <c r="R300" s="264">
        <f t="shared" si="527"/>
        <v>0</v>
      </c>
      <c r="S300" s="259" t="str" cm="1">
        <f t="array" ref="S300">IF($L300&gt;0, INDEX(Clean,1+AL300,$D$1), "")</f>
        <v/>
      </c>
      <c r="T300" s="260"/>
      <c r="U300" s="260"/>
      <c r="V300" s="261"/>
      <c r="W300" s="267"/>
      <c r="X300" s="267"/>
      <c r="Y300" s="257"/>
      <c r="Z300" s="264">
        <f t="shared" si="528"/>
        <v>0</v>
      </c>
      <c r="AA300" s="269"/>
      <c r="AB300" s="266"/>
      <c r="AC300" s="254"/>
      <c r="AD300" s="255" t="str">
        <f>IF(ISBLANK(AC300), "", VLOOKUP(AC300, Z!$A$2:$C$4127, 3, FALSE))</f>
        <v/>
      </c>
      <c r="AE300" s="270"/>
      <c r="AF300" s="265">
        <f t="shared" si="529"/>
        <v>0</v>
      </c>
      <c r="AG300" s="246"/>
      <c r="AH300" s="228">
        <f t="shared" si="552"/>
        <v>1</v>
      </c>
      <c r="AI300" s="228">
        <f t="shared" si="553"/>
        <v>1</v>
      </c>
      <c r="AJ300" s="228">
        <f t="shared" si="554"/>
        <v>0</v>
      </c>
      <c r="AK300" s="228">
        <v>0</v>
      </c>
      <c r="AL300" s="228">
        <v>0</v>
      </c>
      <c r="AM300" s="228">
        <f t="shared" si="530"/>
        <v>-100</v>
      </c>
      <c r="AN300" s="228" cm="1">
        <f t="array" ref="AN300">IF(ISBLANK(G300), 1, IFERROR(MATCH(G300, INDEX(Kat,,1), 0), IFERROR(MATCH(Kat, INDEX(Use,,2), 0), MATCH(Kat, INDEX(Use,,3), 0))))</f>
        <v>1</v>
      </c>
      <c r="AO300" s="246"/>
      <c r="AP300" s="228" cm="1">
        <f t="array" ref="AP300">IF(W300&gt;0, INDEX(Kat, AN300,4), 0)</f>
        <v>0</v>
      </c>
      <c r="AQ300" s="228">
        <f t="shared" si="555"/>
        <v>0</v>
      </c>
      <c r="AR300" s="228" cm="1">
        <f t="array" ref="AR300">IF(X300&gt;0, INDEX(Kat, $AN300, 4+AQ300), 0)</f>
        <v>0</v>
      </c>
      <c r="AS300" s="228" cm="1">
        <f t="array" ref="AS300">IF(X300&gt;0, INDEX(Kat, $AN300, 9+AQ300), 0)</f>
        <v>0</v>
      </c>
      <c r="AT300" s="246"/>
      <c r="AU300" s="262"/>
      <c r="AV300" s="262"/>
      <c r="AW300" s="263"/>
      <c r="AX300" s="263"/>
      <c r="AY300" s="263"/>
      <c r="AZ300" s="263"/>
      <c r="BA300" s="263"/>
      <c r="BB300" s="263"/>
      <c r="BC300" s="263"/>
      <c r="BD300" s="263"/>
      <c r="BE300" s="263"/>
      <c r="BF300" s="263"/>
      <c r="BG300" s="263"/>
      <c r="BH300" s="246"/>
      <c r="BI300" s="228" cm="1">
        <f t="array" ref="BI300">INDEX(Use, $AH300, 4)</f>
        <v>7</v>
      </c>
      <c r="BJ300" s="228">
        <f t="shared" si="531"/>
        <v>32</v>
      </c>
      <c r="BK300" s="228">
        <f t="shared" si="305"/>
        <v>13</v>
      </c>
      <c r="BL300" s="228">
        <f t="shared" si="306"/>
        <v>0</v>
      </c>
      <c r="BM300" s="233" cm="1">
        <f t="array" ref="BM300">L300/IF($M300&gt;0, INDEX($AY$22:$BE$76, $M300+20, $AH300), 1)</f>
        <v>0</v>
      </c>
      <c r="BN300" s="229">
        <f t="shared" si="532"/>
        <v>0</v>
      </c>
      <c r="BO300" s="228">
        <v>35</v>
      </c>
      <c r="BP300" s="229">
        <f t="shared" si="533"/>
        <v>48</v>
      </c>
      <c r="BQ300" s="234">
        <f t="shared" si="534"/>
        <v>3.0748170731707316</v>
      </c>
      <c r="BR300" s="234" cm="1">
        <f t="array" ref="BR300">$BM300 * SUMPRODUCT(INDEX($AV$76:$AX$81,,$AI300),INDEX($AY$76:$BE$81,,$AH300), N($AU$76:$AU$81&gt;$AM300)) / BQ300 / 1000</f>
        <v>0</v>
      </c>
      <c r="BS300" s="231">
        <f t="shared" si="310"/>
        <v>30</v>
      </c>
      <c r="BT300" s="229">
        <f t="shared" si="535"/>
        <v>43</v>
      </c>
      <c r="BU300" s="234">
        <f t="shared" si="536"/>
        <v>3.5018750000000001</v>
      </c>
      <c r="BV300" s="234" cm="1">
        <f t="array" ref="BV300">$BM300 * IF($AH300&lt;=2,
SUMPRODUCT(INDEX($AV$71:$AX$75,,$AI300), INDEX($AY$71:$BE$75,,$AH300), 1 / ($BF$71:$BF$75*BU300 + (1-$BF$71:$BF$75)*BQ300), N($AU$71:$AU$75&gt;$AM300)),
SUMPRODUCT(INDEX($AV$66:$AX$75,,$AI300), INDEX($AY$66:$BE$75,,$AH300), 1 / ($BG$66:$BG$75*BU300 + (1-$BG$66:$BG$75)*BQ300), N($AU$66:$AU$75&gt;$AM300))
) / 1000</f>
        <v>0</v>
      </c>
      <c r="BW300" s="231">
        <f t="shared" si="313"/>
        <v>25</v>
      </c>
      <c r="BX300" s="229">
        <f t="shared" si="537"/>
        <v>38</v>
      </c>
      <c r="BY300" s="234">
        <f t="shared" si="538"/>
        <v>4.0666935483870965</v>
      </c>
      <c r="BZ300" s="234" cm="1">
        <f t="array" ref="BZ300">$BM300 * IF($AH300&lt;=2,
SUMPRODUCT(INDEX($AV$66:$AX$70,,$AI300), INDEX($AY$66:$BE$70,,$AH300), 1 / ($BF$66:$BF$70*BY300 + (1-$BF$66:$BF$70)*BU300), N($AU$66:$AU$70&gt;$AM300)),
SUMPRODUCT(INDEX($AV$56:$AX$65,,$AI300), INDEX($AY$56:$BE$65,,$AH300), 1 / ($BG$56:$BG$65*BY300 + (1-$BG$56:$BG$65)*BU300), N($AU$56:$AU$65&gt;$AM300))
) / 1000</f>
        <v>0</v>
      </c>
      <c r="CA300" s="231">
        <f t="shared" si="316"/>
        <v>20</v>
      </c>
      <c r="CB300" s="229">
        <f t="shared" si="539"/>
        <v>33</v>
      </c>
      <c r="CC300" s="234">
        <f t="shared" si="540"/>
        <v>4.8487499999999999</v>
      </c>
      <c r="CD300" s="234" cm="1">
        <f t="array" ref="CD300">$BM300 * IF($AH300&lt;=2,
SUMPRODUCT(INDEX($AV$61:$AX$65,,$AI300), INDEX($AY$61:$BE$65,,$AH300), 1 / ($BF$61:$BF$65*CC300 + (1-$BF$61:$BF$65)*BY300), N($AU$61:$AU$65&gt;$AM300)),
SUMPRODUCT(INDEX($AV$46:$AX$55,,$AI300), INDEX($AY$46:$BE$55,,$AH300), 1 / ($BG$46:$BG$55*CC300 + (1-$BG$46:$BG$55)*BY300), N($AU$46:$AU$55&gt;$AM300))
) / 1000</f>
        <v>0</v>
      </c>
      <c r="CE300" s="234" cm="1">
        <f t="array" ref="CE300">$BM300 * IF($AH300&lt;=2,
SUMPRODUCT(INDEX($AV$22:$AX$60,,$AI300), INDEX($AY$22:$BE$60,,$AH300), 1 / ($BF$22:$BF$60*CC300), N($AU$22:$AU$60&gt;$AM300)),
SUMPRODUCT(INDEX($AV$22:$AX$45,,$AI300), INDEX($AY$22:$BE$45,,$AH300), 1 / ($BG$22:$BG$45*CC300), N($AU$22:$AU$45&gt;$AM300))
) / 1000</f>
        <v>0</v>
      </c>
      <c r="CF300" s="229">
        <f t="shared" si="541"/>
        <v>0</v>
      </c>
      <c r="CG300" s="246"/>
      <c r="CH300" s="229">
        <f t="shared" si="542"/>
        <v>0</v>
      </c>
      <c r="CI300" s="228">
        <v>35</v>
      </c>
      <c r="CJ300" s="229">
        <f t="shared" si="543"/>
        <v>48</v>
      </c>
      <c r="CK300" s="234">
        <f t="shared" si="544"/>
        <v>3.0748170731707316</v>
      </c>
      <c r="CL300" s="234" cm="1">
        <f t="array" ref="CL300">$BM300 * SUMPRODUCT(INDEX($AV$76:$AX$81,,$AI300),INDEX($AY$76:$BE$81,,$AH300), N($AU$76:$AU$81&gt;$AM300)) / CK300 / 1000</f>
        <v>0</v>
      </c>
      <c r="CM300" s="231">
        <f t="shared" si="323"/>
        <v>30</v>
      </c>
      <c r="CN300" s="229">
        <f t="shared" si="545"/>
        <v>43</v>
      </c>
      <c r="CO300" s="234">
        <f t="shared" si="546"/>
        <v>3.5018750000000001</v>
      </c>
      <c r="CP300" s="234" cm="1">
        <f t="array" ref="CP300">$BM300 * IF($AH300&lt;=2,
SUMPRODUCT(INDEX($AV$71:$AX$75,,$AI300), INDEX($AY$71:$BE$75,,$AH300), 1 / ($BF$71:$BF$75*CO300 + (1-$BF$71:$BF$75)*CK300), N($AU$71:$AU$75&gt;$AM300)),
SUMPRODUCT(INDEX($AV$66:$AX$75,,$AI300), INDEX($AY$66:$BE$75,,$AH300), 1 / ($BG$66:$BG$75*CO300 + (1-$BG$66:$BG$75)*CK300), N($AU$66:$AU$75&gt;$AM300))
) / 1000</f>
        <v>0</v>
      </c>
      <c r="CQ300" s="231">
        <f t="shared" si="326"/>
        <v>25</v>
      </c>
      <c r="CR300" s="229">
        <f t="shared" si="547"/>
        <v>38</v>
      </c>
      <c r="CS300" s="234">
        <f t="shared" si="548"/>
        <v>4.0666935483870965</v>
      </c>
      <c r="CT300" s="234" cm="1">
        <f t="array" ref="CT300">$BM300 * IF($AH300&lt;=2,
SUMPRODUCT(INDEX($AV$66:$AX$70,,$AI300), INDEX($AY$66:$BE$70,,$AH300), 1 / ($BF$66:$BF$70*CS300 + (1-$BF$66:$BF$70)*CO300), N($AU$66:$AU$70&gt;$AM300)),
SUMPRODUCT(INDEX($AV$56:$AX$65,,$AI300), INDEX($AY$56:$BE$65,,$AH300), 1 / ($BG$56:$BG$65*CS300 + (1-$BG$56:$BG$65)*CO300), N($AU$56:$AU$65&gt;$AM300))
) / 1000</f>
        <v>0</v>
      </c>
      <c r="CU300" s="231">
        <f t="shared" si="329"/>
        <v>20</v>
      </c>
      <c r="CV300" s="229">
        <f t="shared" si="549"/>
        <v>33</v>
      </c>
      <c r="CW300" s="234">
        <f t="shared" si="550"/>
        <v>4.8487499999999999</v>
      </c>
      <c r="CX300" s="234" cm="1">
        <f t="array" ref="CX300">$BM300 * IF($AH300&lt;=2,
SUMPRODUCT(INDEX($AV$61:$AX$65,,$AI300), INDEX($AY$61:$BE$65,,$AH300), 1 / ($BF$61:$BF$65*CW300 + (1-$BF$61:$BF$65)*CS300), N($AU$61:$AU$65&gt;$AM300)),
SUMPRODUCT(INDEX($AV$46:$AX$55,,$AI300), INDEX($AY$46:$BE$55,,$AH300), 1 / ($BG$46:$BG$55*CW300 + (1-$BG$46:$BG$55)*CS300), N($AU$46:$AU$55&gt;$AM300))
) / 1000</f>
        <v>0</v>
      </c>
      <c r="CY300" s="234" cm="1">
        <f t="array" ref="CY300">$BM300 * IF($AH300&lt;=2,
SUMPRODUCT(INDEX($AV$22:$AX$60,,$AI300), INDEX($AY$22:$BE$60,,$AH300), 1 / ($BF$22:$BF$60*CW300), N($AU$22:$AU$60&gt;$AM300)),
SUMPRODUCT(INDEX($AV$22:$AX$45,,$AI300), INDEX($AY$22:$BE$45,,$AH300), 1 / ($BG$22:$BG$45*CW300), N($AU$22:$AU$45&gt;$AM300))
) / 1000</f>
        <v>0</v>
      </c>
      <c r="CZ300" s="229">
        <f t="shared" si="551"/>
        <v>0</v>
      </c>
      <c r="DA300" s="246"/>
    </row>
    <row r="301" spans="1:105" s="75" customFormat="1" ht="14.25" customHeight="1" x14ac:dyDescent="0.2">
      <c r="A301" s="230" t="b">
        <f t="shared" si="291"/>
        <v>0</v>
      </c>
      <c r="B301" s="253">
        <v>280</v>
      </c>
      <c r="C301" s="266"/>
      <c r="D301" s="266"/>
      <c r="E301" s="254"/>
      <c r="F301" s="255" t="str">
        <f>IF(ISBLANK(E301), "", VLOOKUP(E301, Z!$A$2:$C$4127, 3, FALSE))</f>
        <v/>
      </c>
      <c r="G301" s="256"/>
      <c r="H301" s="256"/>
      <c r="I301" s="256"/>
      <c r="J301" s="257"/>
      <c r="K301" s="258"/>
      <c r="L301" s="267"/>
      <c r="M301" s="268"/>
      <c r="N301" s="259" t="str" cm="1">
        <f t="array" ref="N301">IF($L301&gt;0, INDEX(Clean,1+AK301,$D$1), "")</f>
        <v/>
      </c>
      <c r="O301" s="260"/>
      <c r="P301" s="260"/>
      <c r="Q301" s="261"/>
      <c r="R301" s="264">
        <f t="shared" si="527"/>
        <v>0</v>
      </c>
      <c r="S301" s="259" t="str" cm="1">
        <f t="array" ref="S301">IF($L301&gt;0, INDEX(Clean,1+AL301,$D$1), "")</f>
        <v/>
      </c>
      <c r="T301" s="260"/>
      <c r="U301" s="260"/>
      <c r="V301" s="261"/>
      <c r="W301" s="267"/>
      <c r="X301" s="267"/>
      <c r="Y301" s="257"/>
      <c r="Z301" s="264">
        <f t="shared" si="528"/>
        <v>0</v>
      </c>
      <c r="AA301" s="269"/>
      <c r="AB301" s="266"/>
      <c r="AC301" s="254"/>
      <c r="AD301" s="255" t="str">
        <f>IF(ISBLANK(AC301), "", VLOOKUP(AC301, Z!$A$2:$C$4127, 3, FALSE))</f>
        <v/>
      </c>
      <c r="AE301" s="270"/>
      <c r="AF301" s="265">
        <f t="shared" si="529"/>
        <v>0</v>
      </c>
      <c r="AG301" s="246"/>
      <c r="AH301" s="228">
        <f t="shared" si="552"/>
        <v>1</v>
      </c>
      <c r="AI301" s="228">
        <f t="shared" si="553"/>
        <v>1</v>
      </c>
      <c r="AJ301" s="228">
        <f t="shared" si="554"/>
        <v>0</v>
      </c>
      <c r="AK301" s="228">
        <v>0</v>
      </c>
      <c r="AL301" s="228">
        <v>0</v>
      </c>
      <c r="AM301" s="228">
        <f t="shared" si="530"/>
        <v>-100</v>
      </c>
      <c r="AN301" s="228" cm="1">
        <f t="array" ref="AN301">IF(ISBLANK(G301), 1, IFERROR(MATCH(G301, INDEX(Kat,,1), 0), IFERROR(MATCH(Kat, INDEX(Use,,2), 0), MATCH(Kat, INDEX(Use,,3), 0))))</f>
        <v>1</v>
      </c>
      <c r="AO301" s="246"/>
      <c r="AP301" s="228" cm="1">
        <f t="array" ref="AP301">IF(W301&gt;0, INDEX(Kat, AN301,4), 0)</f>
        <v>0</v>
      </c>
      <c r="AQ301" s="228">
        <f t="shared" si="555"/>
        <v>0</v>
      </c>
      <c r="AR301" s="228" cm="1">
        <f t="array" ref="AR301">IF(X301&gt;0, INDEX(Kat, $AN301, 4+AQ301), 0)</f>
        <v>0</v>
      </c>
      <c r="AS301" s="228" cm="1">
        <f t="array" ref="AS301">IF(X301&gt;0, INDEX(Kat, $AN301, 9+AQ301), 0)</f>
        <v>0</v>
      </c>
      <c r="AT301" s="246"/>
      <c r="AU301" s="262"/>
      <c r="AV301" s="262"/>
      <c r="AW301" s="263"/>
      <c r="AX301" s="263"/>
      <c r="AY301" s="263"/>
      <c r="AZ301" s="263"/>
      <c r="BA301" s="263"/>
      <c r="BB301" s="263"/>
      <c r="BC301" s="263"/>
      <c r="BD301" s="263"/>
      <c r="BE301" s="263"/>
      <c r="BF301" s="263"/>
      <c r="BG301" s="263"/>
      <c r="BH301" s="246"/>
      <c r="BI301" s="228" cm="1">
        <f t="array" ref="BI301">INDEX(Use, $AH301, 4)</f>
        <v>7</v>
      </c>
      <c r="BJ301" s="228">
        <f t="shared" si="531"/>
        <v>32</v>
      </c>
      <c r="BK301" s="228">
        <f t="shared" si="305"/>
        <v>13</v>
      </c>
      <c r="BL301" s="228">
        <f t="shared" si="306"/>
        <v>0</v>
      </c>
      <c r="BM301" s="233" cm="1">
        <f t="array" ref="BM301">L301/IF($M301&gt;0, INDEX($AY$22:$BE$76, $M301+20, $AH301), 1)</f>
        <v>0</v>
      </c>
      <c r="BN301" s="229">
        <f t="shared" si="532"/>
        <v>0</v>
      </c>
      <c r="BO301" s="228">
        <v>35</v>
      </c>
      <c r="BP301" s="229">
        <f t="shared" si="533"/>
        <v>48</v>
      </c>
      <c r="BQ301" s="234">
        <f t="shared" si="534"/>
        <v>3.0748170731707316</v>
      </c>
      <c r="BR301" s="234" cm="1">
        <f t="array" ref="BR301">$BM301 * SUMPRODUCT(INDEX($AV$76:$AX$81,,$AI301),INDEX($AY$76:$BE$81,,$AH301), N($AU$76:$AU$81&gt;$AM301)) / BQ301 / 1000</f>
        <v>0</v>
      </c>
      <c r="BS301" s="231">
        <f t="shared" si="310"/>
        <v>30</v>
      </c>
      <c r="BT301" s="229">
        <f t="shared" si="535"/>
        <v>43</v>
      </c>
      <c r="BU301" s="234">
        <f t="shared" si="536"/>
        <v>3.5018750000000001</v>
      </c>
      <c r="BV301" s="234" cm="1">
        <f t="array" ref="BV301">$BM301 * IF($AH301&lt;=2,
SUMPRODUCT(INDEX($AV$71:$AX$75,,$AI301), INDEX($AY$71:$BE$75,,$AH301), 1 / ($BF$71:$BF$75*BU301 + (1-$BF$71:$BF$75)*BQ301), N($AU$71:$AU$75&gt;$AM301)),
SUMPRODUCT(INDEX($AV$66:$AX$75,,$AI301), INDEX($AY$66:$BE$75,,$AH301), 1 / ($BG$66:$BG$75*BU301 + (1-$BG$66:$BG$75)*BQ301), N($AU$66:$AU$75&gt;$AM301))
) / 1000</f>
        <v>0</v>
      </c>
      <c r="BW301" s="231">
        <f t="shared" si="313"/>
        <v>25</v>
      </c>
      <c r="BX301" s="229">
        <f t="shared" si="537"/>
        <v>38</v>
      </c>
      <c r="BY301" s="234">
        <f t="shared" si="538"/>
        <v>4.0666935483870965</v>
      </c>
      <c r="BZ301" s="234" cm="1">
        <f t="array" ref="BZ301">$BM301 * IF($AH301&lt;=2,
SUMPRODUCT(INDEX($AV$66:$AX$70,,$AI301), INDEX($AY$66:$BE$70,,$AH301), 1 / ($BF$66:$BF$70*BY301 + (1-$BF$66:$BF$70)*BU301), N($AU$66:$AU$70&gt;$AM301)),
SUMPRODUCT(INDEX($AV$56:$AX$65,,$AI301), INDEX($AY$56:$BE$65,,$AH301), 1 / ($BG$56:$BG$65*BY301 + (1-$BG$56:$BG$65)*BU301), N($AU$56:$AU$65&gt;$AM301))
) / 1000</f>
        <v>0</v>
      </c>
      <c r="CA301" s="231">
        <f t="shared" si="316"/>
        <v>20</v>
      </c>
      <c r="CB301" s="229">
        <f t="shared" si="539"/>
        <v>33</v>
      </c>
      <c r="CC301" s="234">
        <f t="shared" si="540"/>
        <v>4.8487499999999999</v>
      </c>
      <c r="CD301" s="234" cm="1">
        <f t="array" ref="CD301">$BM301 * IF($AH301&lt;=2,
SUMPRODUCT(INDEX($AV$61:$AX$65,,$AI301), INDEX($AY$61:$BE$65,,$AH301), 1 / ($BF$61:$BF$65*CC301 + (1-$BF$61:$BF$65)*BY301), N($AU$61:$AU$65&gt;$AM301)),
SUMPRODUCT(INDEX($AV$46:$AX$55,,$AI301), INDEX($AY$46:$BE$55,,$AH301), 1 / ($BG$46:$BG$55*CC301 + (1-$BG$46:$BG$55)*BY301), N($AU$46:$AU$55&gt;$AM301))
) / 1000</f>
        <v>0</v>
      </c>
      <c r="CE301" s="234" cm="1">
        <f t="array" ref="CE301">$BM301 * IF($AH301&lt;=2,
SUMPRODUCT(INDEX($AV$22:$AX$60,,$AI301), INDEX($AY$22:$BE$60,,$AH301), 1 / ($BF$22:$BF$60*CC301), N($AU$22:$AU$60&gt;$AM301)),
SUMPRODUCT(INDEX($AV$22:$AX$45,,$AI301), INDEX($AY$22:$BE$45,,$AH301), 1 / ($BG$22:$BG$45*CC301), N($AU$22:$AU$45&gt;$AM301))
) / 1000</f>
        <v>0</v>
      </c>
      <c r="CF301" s="229">
        <f t="shared" si="541"/>
        <v>0</v>
      </c>
      <c r="CG301" s="246"/>
      <c r="CH301" s="229">
        <f t="shared" si="542"/>
        <v>0</v>
      </c>
      <c r="CI301" s="228">
        <v>35</v>
      </c>
      <c r="CJ301" s="229">
        <f t="shared" si="543"/>
        <v>48</v>
      </c>
      <c r="CK301" s="234">
        <f t="shared" si="544"/>
        <v>3.0748170731707316</v>
      </c>
      <c r="CL301" s="234" cm="1">
        <f t="array" ref="CL301">$BM301 * SUMPRODUCT(INDEX($AV$76:$AX$81,,$AI301),INDEX($AY$76:$BE$81,,$AH301), N($AU$76:$AU$81&gt;$AM301)) / CK301 / 1000</f>
        <v>0</v>
      </c>
      <c r="CM301" s="231">
        <f t="shared" si="323"/>
        <v>30</v>
      </c>
      <c r="CN301" s="229">
        <f t="shared" si="545"/>
        <v>43</v>
      </c>
      <c r="CO301" s="234">
        <f t="shared" si="546"/>
        <v>3.5018750000000001</v>
      </c>
      <c r="CP301" s="234" cm="1">
        <f t="array" ref="CP301">$BM301 * IF($AH301&lt;=2,
SUMPRODUCT(INDEX($AV$71:$AX$75,,$AI301), INDEX($AY$71:$BE$75,,$AH301), 1 / ($BF$71:$BF$75*CO301 + (1-$BF$71:$BF$75)*CK301), N($AU$71:$AU$75&gt;$AM301)),
SUMPRODUCT(INDEX($AV$66:$AX$75,,$AI301), INDEX($AY$66:$BE$75,,$AH301), 1 / ($BG$66:$BG$75*CO301 + (1-$BG$66:$BG$75)*CK301), N($AU$66:$AU$75&gt;$AM301))
) / 1000</f>
        <v>0</v>
      </c>
      <c r="CQ301" s="231">
        <f t="shared" si="326"/>
        <v>25</v>
      </c>
      <c r="CR301" s="229">
        <f t="shared" si="547"/>
        <v>38</v>
      </c>
      <c r="CS301" s="234">
        <f t="shared" si="548"/>
        <v>4.0666935483870965</v>
      </c>
      <c r="CT301" s="234" cm="1">
        <f t="array" ref="CT301">$BM301 * IF($AH301&lt;=2,
SUMPRODUCT(INDEX($AV$66:$AX$70,,$AI301), INDEX($AY$66:$BE$70,,$AH301), 1 / ($BF$66:$BF$70*CS301 + (1-$BF$66:$BF$70)*CO301), N($AU$66:$AU$70&gt;$AM301)),
SUMPRODUCT(INDEX($AV$56:$AX$65,,$AI301), INDEX($AY$56:$BE$65,,$AH301), 1 / ($BG$56:$BG$65*CS301 + (1-$BG$56:$BG$65)*CO301), N($AU$56:$AU$65&gt;$AM301))
) / 1000</f>
        <v>0</v>
      </c>
      <c r="CU301" s="231">
        <f t="shared" si="329"/>
        <v>20</v>
      </c>
      <c r="CV301" s="229">
        <f t="shared" si="549"/>
        <v>33</v>
      </c>
      <c r="CW301" s="234">
        <f t="shared" si="550"/>
        <v>4.8487499999999999</v>
      </c>
      <c r="CX301" s="234" cm="1">
        <f t="array" ref="CX301">$BM301 * IF($AH301&lt;=2,
SUMPRODUCT(INDEX($AV$61:$AX$65,,$AI301), INDEX($AY$61:$BE$65,,$AH301), 1 / ($BF$61:$BF$65*CW301 + (1-$BF$61:$BF$65)*CS301), N($AU$61:$AU$65&gt;$AM301)),
SUMPRODUCT(INDEX($AV$46:$AX$55,,$AI301), INDEX($AY$46:$BE$55,,$AH301), 1 / ($BG$46:$BG$55*CW301 + (1-$BG$46:$BG$55)*CS301), N($AU$46:$AU$55&gt;$AM301))
) / 1000</f>
        <v>0</v>
      </c>
      <c r="CY301" s="234" cm="1">
        <f t="array" ref="CY301">$BM301 * IF($AH301&lt;=2,
SUMPRODUCT(INDEX($AV$22:$AX$60,,$AI301), INDEX($AY$22:$BE$60,,$AH301), 1 / ($BF$22:$BF$60*CW301), N($AU$22:$AU$60&gt;$AM301)),
SUMPRODUCT(INDEX($AV$22:$AX$45,,$AI301), INDEX($AY$22:$BE$45,,$AH301), 1 / ($BG$22:$BG$45*CW301), N($AU$22:$AU$45&gt;$AM301))
) / 1000</f>
        <v>0</v>
      </c>
      <c r="CZ301" s="229">
        <f t="shared" si="551"/>
        <v>0</v>
      </c>
      <c r="DA301" s="246"/>
    </row>
    <row r="302" spans="1:105" s="75" customFormat="1" ht="14.25" customHeight="1" x14ac:dyDescent="0.2">
      <c r="A302" s="230" t="b">
        <f t="shared" si="291"/>
        <v>0</v>
      </c>
      <c r="B302" s="253">
        <v>281</v>
      </c>
      <c r="C302" s="266"/>
      <c r="D302" s="266"/>
      <c r="E302" s="254"/>
      <c r="F302" s="255" t="str">
        <f>IF(ISBLANK(E302), "", VLOOKUP(E302, Z!$A$2:$C$4127, 3, FALSE))</f>
        <v/>
      </c>
      <c r="G302" s="256"/>
      <c r="H302" s="256"/>
      <c r="I302" s="256"/>
      <c r="J302" s="257"/>
      <c r="K302" s="258"/>
      <c r="L302" s="267"/>
      <c r="M302" s="268"/>
      <c r="N302" s="259" t="str" cm="1">
        <f t="array" ref="N302">IF($L302&gt;0, INDEX(Clean,1+AK302,$D$1), "")</f>
        <v/>
      </c>
      <c r="O302" s="260"/>
      <c r="P302" s="260"/>
      <c r="Q302" s="261"/>
      <c r="R302" s="264">
        <f t="shared" si="527"/>
        <v>0</v>
      </c>
      <c r="S302" s="259" t="str" cm="1">
        <f t="array" ref="S302">IF($L302&gt;0, INDEX(Clean,1+AL302,$D$1), "")</f>
        <v/>
      </c>
      <c r="T302" s="260"/>
      <c r="U302" s="260"/>
      <c r="V302" s="261"/>
      <c r="W302" s="267"/>
      <c r="X302" s="267"/>
      <c r="Y302" s="257"/>
      <c r="Z302" s="264">
        <f t="shared" si="528"/>
        <v>0</v>
      </c>
      <c r="AA302" s="269"/>
      <c r="AB302" s="266"/>
      <c r="AC302" s="254"/>
      <c r="AD302" s="255" t="str">
        <f>IF(ISBLANK(AC302), "", VLOOKUP(AC302, Z!$A$2:$C$4127, 3, FALSE))</f>
        <v/>
      </c>
      <c r="AE302" s="270"/>
      <c r="AF302" s="265">
        <f t="shared" si="529"/>
        <v>0</v>
      </c>
      <c r="AG302" s="246"/>
      <c r="AH302" s="228">
        <f t="shared" si="552"/>
        <v>1</v>
      </c>
      <c r="AI302" s="228">
        <f t="shared" si="553"/>
        <v>1</v>
      </c>
      <c r="AJ302" s="228">
        <f t="shared" si="554"/>
        <v>0</v>
      </c>
      <c r="AK302" s="228">
        <v>0</v>
      </c>
      <c r="AL302" s="228">
        <v>0</v>
      </c>
      <c r="AM302" s="228">
        <f t="shared" si="530"/>
        <v>-100</v>
      </c>
      <c r="AN302" s="228" cm="1">
        <f t="array" ref="AN302">IF(ISBLANK(G302), 1, IFERROR(MATCH(G302, INDEX(Kat,,1), 0), IFERROR(MATCH(Kat, INDEX(Use,,2), 0), MATCH(Kat, INDEX(Use,,3), 0))))</f>
        <v>1</v>
      </c>
      <c r="AO302" s="246"/>
      <c r="AP302" s="228" cm="1">
        <f t="array" ref="AP302">IF(W302&gt;0, INDEX(Kat, AN302,4), 0)</f>
        <v>0</v>
      </c>
      <c r="AQ302" s="228">
        <f t="shared" si="555"/>
        <v>0</v>
      </c>
      <c r="AR302" s="228" cm="1">
        <f t="array" ref="AR302">IF(X302&gt;0, INDEX(Kat, $AN302, 4+AQ302), 0)</f>
        <v>0</v>
      </c>
      <c r="AS302" s="228" cm="1">
        <f t="array" ref="AS302">IF(X302&gt;0, INDEX(Kat, $AN302, 9+AQ302), 0)</f>
        <v>0</v>
      </c>
      <c r="AT302" s="246"/>
      <c r="AU302" s="262"/>
      <c r="AV302" s="262"/>
      <c r="AW302" s="263"/>
      <c r="AX302" s="263"/>
      <c r="AY302" s="263"/>
      <c r="AZ302" s="263"/>
      <c r="BA302" s="263"/>
      <c r="BB302" s="263"/>
      <c r="BC302" s="263"/>
      <c r="BD302" s="263"/>
      <c r="BE302" s="263"/>
      <c r="BF302" s="263"/>
      <c r="BG302" s="263"/>
      <c r="BH302" s="246"/>
      <c r="BI302" s="228" cm="1">
        <f t="array" ref="BI302">INDEX(Use, $AH302, 4)</f>
        <v>7</v>
      </c>
      <c r="BJ302" s="228">
        <f t="shared" si="531"/>
        <v>32</v>
      </c>
      <c r="BK302" s="228">
        <f t="shared" si="305"/>
        <v>13</v>
      </c>
      <c r="BL302" s="228">
        <f t="shared" si="306"/>
        <v>0</v>
      </c>
      <c r="BM302" s="233" cm="1">
        <f t="array" ref="BM302">L302/IF($M302&gt;0, INDEX($AY$22:$BE$76, $M302+20, $AH302), 1)</f>
        <v>0</v>
      </c>
      <c r="BN302" s="229">
        <f t="shared" si="532"/>
        <v>0</v>
      </c>
      <c r="BO302" s="228">
        <v>35</v>
      </c>
      <c r="BP302" s="229">
        <f t="shared" si="533"/>
        <v>48</v>
      </c>
      <c r="BQ302" s="234">
        <f t="shared" si="534"/>
        <v>3.0748170731707316</v>
      </c>
      <c r="BR302" s="234" cm="1">
        <f t="array" ref="BR302">$BM302 * SUMPRODUCT(INDEX($AV$76:$AX$81,,$AI302),INDEX($AY$76:$BE$81,,$AH302), N($AU$76:$AU$81&gt;$AM302)) / BQ302 / 1000</f>
        <v>0</v>
      </c>
      <c r="BS302" s="231">
        <f t="shared" si="310"/>
        <v>30</v>
      </c>
      <c r="BT302" s="229">
        <f t="shared" si="535"/>
        <v>43</v>
      </c>
      <c r="BU302" s="234">
        <f t="shared" si="536"/>
        <v>3.5018750000000001</v>
      </c>
      <c r="BV302" s="234" cm="1">
        <f t="array" ref="BV302">$BM302 * IF($AH302&lt;=2,
SUMPRODUCT(INDEX($AV$71:$AX$75,,$AI302), INDEX($AY$71:$BE$75,,$AH302), 1 / ($BF$71:$BF$75*BU302 + (1-$BF$71:$BF$75)*BQ302), N($AU$71:$AU$75&gt;$AM302)),
SUMPRODUCT(INDEX($AV$66:$AX$75,,$AI302), INDEX($AY$66:$BE$75,,$AH302), 1 / ($BG$66:$BG$75*BU302 + (1-$BG$66:$BG$75)*BQ302), N($AU$66:$AU$75&gt;$AM302))
) / 1000</f>
        <v>0</v>
      </c>
      <c r="BW302" s="231">
        <f t="shared" si="313"/>
        <v>25</v>
      </c>
      <c r="BX302" s="229">
        <f t="shared" si="537"/>
        <v>38</v>
      </c>
      <c r="BY302" s="234">
        <f t="shared" si="538"/>
        <v>4.0666935483870965</v>
      </c>
      <c r="BZ302" s="234" cm="1">
        <f t="array" ref="BZ302">$BM302 * IF($AH302&lt;=2,
SUMPRODUCT(INDEX($AV$66:$AX$70,,$AI302), INDEX($AY$66:$BE$70,,$AH302), 1 / ($BF$66:$BF$70*BY302 + (1-$BF$66:$BF$70)*BU302), N($AU$66:$AU$70&gt;$AM302)),
SUMPRODUCT(INDEX($AV$56:$AX$65,,$AI302), INDEX($AY$56:$BE$65,,$AH302), 1 / ($BG$56:$BG$65*BY302 + (1-$BG$56:$BG$65)*BU302), N($AU$56:$AU$65&gt;$AM302))
) / 1000</f>
        <v>0</v>
      </c>
      <c r="CA302" s="231">
        <f t="shared" si="316"/>
        <v>20</v>
      </c>
      <c r="CB302" s="229">
        <f t="shared" si="539"/>
        <v>33</v>
      </c>
      <c r="CC302" s="234">
        <f t="shared" si="540"/>
        <v>4.8487499999999999</v>
      </c>
      <c r="CD302" s="234" cm="1">
        <f t="array" ref="CD302">$BM302 * IF($AH302&lt;=2,
SUMPRODUCT(INDEX($AV$61:$AX$65,,$AI302), INDEX($AY$61:$BE$65,,$AH302), 1 / ($BF$61:$BF$65*CC302 + (1-$BF$61:$BF$65)*BY302), N($AU$61:$AU$65&gt;$AM302)),
SUMPRODUCT(INDEX($AV$46:$AX$55,,$AI302), INDEX($AY$46:$BE$55,,$AH302), 1 / ($BG$46:$BG$55*CC302 + (1-$BG$46:$BG$55)*BY302), N($AU$46:$AU$55&gt;$AM302))
) / 1000</f>
        <v>0</v>
      </c>
      <c r="CE302" s="234" cm="1">
        <f t="array" ref="CE302">$BM302 * IF($AH302&lt;=2,
SUMPRODUCT(INDEX($AV$22:$AX$60,,$AI302), INDEX($AY$22:$BE$60,,$AH302), 1 / ($BF$22:$BF$60*CC302), N($AU$22:$AU$60&gt;$AM302)),
SUMPRODUCT(INDEX($AV$22:$AX$45,,$AI302), INDEX($AY$22:$BE$45,,$AH302), 1 / ($BG$22:$BG$45*CC302), N($AU$22:$AU$45&gt;$AM302))
) / 1000</f>
        <v>0</v>
      </c>
      <c r="CF302" s="229">
        <f t="shared" si="541"/>
        <v>0</v>
      </c>
      <c r="CG302" s="246"/>
      <c r="CH302" s="229">
        <f t="shared" si="542"/>
        <v>0</v>
      </c>
      <c r="CI302" s="228">
        <v>35</v>
      </c>
      <c r="CJ302" s="229">
        <f t="shared" si="543"/>
        <v>48</v>
      </c>
      <c r="CK302" s="234">
        <f t="shared" si="544"/>
        <v>3.0748170731707316</v>
      </c>
      <c r="CL302" s="234" cm="1">
        <f t="array" ref="CL302">$BM302 * SUMPRODUCT(INDEX($AV$76:$AX$81,,$AI302),INDEX($AY$76:$BE$81,,$AH302), N($AU$76:$AU$81&gt;$AM302)) / CK302 / 1000</f>
        <v>0</v>
      </c>
      <c r="CM302" s="231">
        <f t="shared" si="323"/>
        <v>30</v>
      </c>
      <c r="CN302" s="229">
        <f t="shared" si="545"/>
        <v>43</v>
      </c>
      <c r="CO302" s="234">
        <f t="shared" si="546"/>
        <v>3.5018750000000001</v>
      </c>
      <c r="CP302" s="234" cm="1">
        <f t="array" ref="CP302">$BM302 * IF($AH302&lt;=2,
SUMPRODUCT(INDEX($AV$71:$AX$75,,$AI302), INDEX($AY$71:$BE$75,,$AH302), 1 / ($BF$71:$BF$75*CO302 + (1-$BF$71:$BF$75)*CK302), N($AU$71:$AU$75&gt;$AM302)),
SUMPRODUCT(INDEX($AV$66:$AX$75,,$AI302), INDEX($AY$66:$BE$75,,$AH302), 1 / ($BG$66:$BG$75*CO302 + (1-$BG$66:$BG$75)*CK302), N($AU$66:$AU$75&gt;$AM302))
) / 1000</f>
        <v>0</v>
      </c>
      <c r="CQ302" s="231">
        <f t="shared" si="326"/>
        <v>25</v>
      </c>
      <c r="CR302" s="229">
        <f t="shared" si="547"/>
        <v>38</v>
      </c>
      <c r="CS302" s="234">
        <f t="shared" si="548"/>
        <v>4.0666935483870965</v>
      </c>
      <c r="CT302" s="234" cm="1">
        <f t="array" ref="CT302">$BM302 * IF($AH302&lt;=2,
SUMPRODUCT(INDEX($AV$66:$AX$70,,$AI302), INDEX($AY$66:$BE$70,,$AH302), 1 / ($BF$66:$BF$70*CS302 + (1-$BF$66:$BF$70)*CO302), N($AU$66:$AU$70&gt;$AM302)),
SUMPRODUCT(INDEX($AV$56:$AX$65,,$AI302), INDEX($AY$56:$BE$65,,$AH302), 1 / ($BG$56:$BG$65*CS302 + (1-$BG$56:$BG$65)*CO302), N($AU$56:$AU$65&gt;$AM302))
) / 1000</f>
        <v>0</v>
      </c>
      <c r="CU302" s="231">
        <f t="shared" si="329"/>
        <v>20</v>
      </c>
      <c r="CV302" s="229">
        <f t="shared" si="549"/>
        <v>33</v>
      </c>
      <c r="CW302" s="234">
        <f t="shared" si="550"/>
        <v>4.8487499999999999</v>
      </c>
      <c r="CX302" s="234" cm="1">
        <f t="array" ref="CX302">$BM302 * IF($AH302&lt;=2,
SUMPRODUCT(INDEX($AV$61:$AX$65,,$AI302), INDEX($AY$61:$BE$65,,$AH302), 1 / ($BF$61:$BF$65*CW302 + (1-$BF$61:$BF$65)*CS302), N($AU$61:$AU$65&gt;$AM302)),
SUMPRODUCT(INDEX($AV$46:$AX$55,,$AI302), INDEX($AY$46:$BE$55,,$AH302), 1 / ($BG$46:$BG$55*CW302 + (1-$BG$46:$BG$55)*CS302), N($AU$46:$AU$55&gt;$AM302))
) / 1000</f>
        <v>0</v>
      </c>
      <c r="CY302" s="234" cm="1">
        <f t="array" ref="CY302">$BM302 * IF($AH302&lt;=2,
SUMPRODUCT(INDEX($AV$22:$AX$60,,$AI302), INDEX($AY$22:$BE$60,,$AH302), 1 / ($BF$22:$BF$60*CW302), N($AU$22:$AU$60&gt;$AM302)),
SUMPRODUCT(INDEX($AV$22:$AX$45,,$AI302), INDEX($AY$22:$BE$45,,$AH302), 1 / ($BG$22:$BG$45*CW302), N($AU$22:$AU$45&gt;$AM302))
) / 1000</f>
        <v>0</v>
      </c>
      <c r="CZ302" s="229">
        <f t="shared" si="551"/>
        <v>0</v>
      </c>
      <c r="DA302" s="246"/>
    </row>
    <row r="303" spans="1:105" s="75" customFormat="1" ht="14.25" customHeight="1" x14ac:dyDescent="0.2">
      <c r="A303" s="230" t="b">
        <f t="shared" si="291"/>
        <v>0</v>
      </c>
      <c r="B303" s="253">
        <v>282</v>
      </c>
      <c r="C303" s="266"/>
      <c r="D303" s="266"/>
      <c r="E303" s="254"/>
      <c r="F303" s="255" t="str">
        <f>IF(ISBLANK(E303), "", VLOOKUP(E303, Z!$A$2:$C$4127, 3, FALSE))</f>
        <v/>
      </c>
      <c r="G303" s="256"/>
      <c r="H303" s="256"/>
      <c r="I303" s="256"/>
      <c r="J303" s="257"/>
      <c r="K303" s="258"/>
      <c r="L303" s="267"/>
      <c r="M303" s="268"/>
      <c r="N303" s="259" t="str" cm="1">
        <f t="array" ref="N303">IF($L303&gt;0, INDEX(Clean,1+AK303,$D$1), "")</f>
        <v/>
      </c>
      <c r="O303" s="260"/>
      <c r="P303" s="260"/>
      <c r="Q303" s="261"/>
      <c r="R303" s="264">
        <f t="shared" si="527"/>
        <v>0</v>
      </c>
      <c r="S303" s="259" t="str" cm="1">
        <f t="array" ref="S303">IF($L303&gt;0, INDEX(Clean,1+AL303,$D$1), "")</f>
        <v/>
      </c>
      <c r="T303" s="260"/>
      <c r="U303" s="260"/>
      <c r="V303" s="261"/>
      <c r="W303" s="267"/>
      <c r="X303" s="267"/>
      <c r="Y303" s="257"/>
      <c r="Z303" s="264">
        <f t="shared" si="528"/>
        <v>0</v>
      </c>
      <c r="AA303" s="269"/>
      <c r="AB303" s="266"/>
      <c r="AC303" s="254"/>
      <c r="AD303" s="255" t="str">
        <f>IF(ISBLANK(AC303), "", VLOOKUP(AC303, Z!$A$2:$C$4127, 3, FALSE))</f>
        <v/>
      </c>
      <c r="AE303" s="270"/>
      <c r="AF303" s="265">
        <f t="shared" si="529"/>
        <v>0</v>
      </c>
      <c r="AG303" s="246"/>
      <c r="AH303" s="228">
        <f t="shared" si="552"/>
        <v>1</v>
      </c>
      <c r="AI303" s="228">
        <f t="shared" si="553"/>
        <v>1</v>
      </c>
      <c r="AJ303" s="228">
        <f t="shared" si="554"/>
        <v>0</v>
      </c>
      <c r="AK303" s="228">
        <v>0</v>
      </c>
      <c r="AL303" s="228">
        <v>0</v>
      </c>
      <c r="AM303" s="228">
        <f t="shared" si="530"/>
        <v>-100</v>
      </c>
      <c r="AN303" s="228" cm="1">
        <f t="array" ref="AN303">IF(ISBLANK(G303), 1, IFERROR(MATCH(G303, INDEX(Kat,,1), 0), IFERROR(MATCH(Kat, INDEX(Use,,2), 0), MATCH(Kat, INDEX(Use,,3), 0))))</f>
        <v>1</v>
      </c>
      <c r="AO303" s="246"/>
      <c r="AP303" s="228" cm="1">
        <f t="array" ref="AP303">IF(W303&gt;0, INDEX(Kat, AN303,4), 0)</f>
        <v>0</v>
      </c>
      <c r="AQ303" s="228">
        <f t="shared" si="555"/>
        <v>0</v>
      </c>
      <c r="AR303" s="228" cm="1">
        <f t="array" ref="AR303">IF(X303&gt;0, INDEX(Kat, $AN303, 4+AQ303), 0)</f>
        <v>0</v>
      </c>
      <c r="AS303" s="228" cm="1">
        <f t="array" ref="AS303">IF(X303&gt;0, INDEX(Kat, $AN303, 9+AQ303), 0)</f>
        <v>0</v>
      </c>
      <c r="AT303" s="246"/>
      <c r="AU303" s="262"/>
      <c r="AV303" s="262"/>
      <c r="AW303" s="263"/>
      <c r="AX303" s="263"/>
      <c r="AY303" s="263"/>
      <c r="AZ303" s="263"/>
      <c r="BA303" s="263"/>
      <c r="BB303" s="263"/>
      <c r="BC303" s="263"/>
      <c r="BD303" s="263"/>
      <c r="BE303" s="263"/>
      <c r="BF303" s="263"/>
      <c r="BG303" s="263"/>
      <c r="BH303" s="246"/>
      <c r="BI303" s="228" cm="1">
        <f t="array" ref="BI303">INDEX(Use, $AH303, 4)</f>
        <v>7</v>
      </c>
      <c r="BJ303" s="228">
        <f t="shared" si="531"/>
        <v>32</v>
      </c>
      <c r="BK303" s="228">
        <f t="shared" si="305"/>
        <v>13</v>
      </c>
      <c r="BL303" s="228">
        <f t="shared" si="306"/>
        <v>0</v>
      </c>
      <c r="BM303" s="233" cm="1">
        <f t="array" ref="BM303">L303/IF($M303&gt;0, INDEX($AY$22:$BE$76, $M303+20, $AH303), 1)</f>
        <v>0</v>
      </c>
      <c r="BN303" s="229">
        <f t="shared" si="532"/>
        <v>0</v>
      </c>
      <c r="BO303" s="228">
        <v>35</v>
      </c>
      <c r="BP303" s="229">
        <f t="shared" si="533"/>
        <v>48</v>
      </c>
      <c r="BQ303" s="234">
        <f t="shared" si="534"/>
        <v>3.0748170731707316</v>
      </c>
      <c r="BR303" s="234" cm="1">
        <f t="array" ref="BR303">$BM303 * SUMPRODUCT(INDEX($AV$76:$AX$81,,$AI303),INDEX($AY$76:$BE$81,,$AH303), N($AU$76:$AU$81&gt;$AM303)) / BQ303 / 1000</f>
        <v>0</v>
      </c>
      <c r="BS303" s="231">
        <f t="shared" si="310"/>
        <v>30</v>
      </c>
      <c r="BT303" s="229">
        <f t="shared" si="535"/>
        <v>43</v>
      </c>
      <c r="BU303" s="234">
        <f t="shared" si="536"/>
        <v>3.5018750000000001</v>
      </c>
      <c r="BV303" s="234" cm="1">
        <f t="array" ref="BV303">$BM303 * IF($AH303&lt;=2,
SUMPRODUCT(INDEX($AV$71:$AX$75,,$AI303), INDEX($AY$71:$BE$75,,$AH303), 1 / ($BF$71:$BF$75*BU303 + (1-$BF$71:$BF$75)*BQ303), N($AU$71:$AU$75&gt;$AM303)),
SUMPRODUCT(INDEX($AV$66:$AX$75,,$AI303), INDEX($AY$66:$BE$75,,$AH303), 1 / ($BG$66:$BG$75*BU303 + (1-$BG$66:$BG$75)*BQ303), N($AU$66:$AU$75&gt;$AM303))
) / 1000</f>
        <v>0</v>
      </c>
      <c r="BW303" s="231">
        <f t="shared" si="313"/>
        <v>25</v>
      </c>
      <c r="BX303" s="229">
        <f t="shared" si="537"/>
        <v>38</v>
      </c>
      <c r="BY303" s="234">
        <f t="shared" si="538"/>
        <v>4.0666935483870965</v>
      </c>
      <c r="BZ303" s="234" cm="1">
        <f t="array" ref="BZ303">$BM303 * IF($AH303&lt;=2,
SUMPRODUCT(INDEX($AV$66:$AX$70,,$AI303), INDEX($AY$66:$BE$70,,$AH303), 1 / ($BF$66:$BF$70*BY303 + (1-$BF$66:$BF$70)*BU303), N($AU$66:$AU$70&gt;$AM303)),
SUMPRODUCT(INDEX($AV$56:$AX$65,,$AI303), INDEX($AY$56:$BE$65,,$AH303), 1 / ($BG$56:$BG$65*BY303 + (1-$BG$56:$BG$65)*BU303), N($AU$56:$AU$65&gt;$AM303))
) / 1000</f>
        <v>0</v>
      </c>
      <c r="CA303" s="231">
        <f t="shared" si="316"/>
        <v>20</v>
      </c>
      <c r="CB303" s="229">
        <f t="shared" si="539"/>
        <v>33</v>
      </c>
      <c r="CC303" s="234">
        <f t="shared" si="540"/>
        <v>4.8487499999999999</v>
      </c>
      <c r="CD303" s="234" cm="1">
        <f t="array" ref="CD303">$BM303 * IF($AH303&lt;=2,
SUMPRODUCT(INDEX($AV$61:$AX$65,,$AI303), INDEX($AY$61:$BE$65,,$AH303), 1 / ($BF$61:$BF$65*CC303 + (1-$BF$61:$BF$65)*BY303), N($AU$61:$AU$65&gt;$AM303)),
SUMPRODUCT(INDEX($AV$46:$AX$55,,$AI303), INDEX($AY$46:$BE$55,,$AH303), 1 / ($BG$46:$BG$55*CC303 + (1-$BG$46:$BG$55)*BY303), N($AU$46:$AU$55&gt;$AM303))
) / 1000</f>
        <v>0</v>
      </c>
      <c r="CE303" s="234" cm="1">
        <f t="array" ref="CE303">$BM303 * IF($AH303&lt;=2,
SUMPRODUCT(INDEX($AV$22:$AX$60,,$AI303), INDEX($AY$22:$BE$60,,$AH303), 1 / ($BF$22:$BF$60*CC303), N($AU$22:$AU$60&gt;$AM303)),
SUMPRODUCT(INDEX($AV$22:$AX$45,,$AI303), INDEX($AY$22:$BE$45,,$AH303), 1 / ($BG$22:$BG$45*CC303), N($AU$22:$AU$45&gt;$AM303))
) / 1000</f>
        <v>0</v>
      </c>
      <c r="CF303" s="229">
        <f t="shared" si="541"/>
        <v>0</v>
      </c>
      <c r="CG303" s="246"/>
      <c r="CH303" s="229">
        <f t="shared" si="542"/>
        <v>0</v>
      </c>
      <c r="CI303" s="228">
        <v>35</v>
      </c>
      <c r="CJ303" s="229">
        <f t="shared" si="543"/>
        <v>48</v>
      </c>
      <c r="CK303" s="234">
        <f t="shared" si="544"/>
        <v>3.0748170731707316</v>
      </c>
      <c r="CL303" s="234" cm="1">
        <f t="array" ref="CL303">$BM303 * SUMPRODUCT(INDEX($AV$76:$AX$81,,$AI303),INDEX($AY$76:$BE$81,,$AH303), N($AU$76:$AU$81&gt;$AM303)) / CK303 / 1000</f>
        <v>0</v>
      </c>
      <c r="CM303" s="231">
        <f t="shared" si="323"/>
        <v>30</v>
      </c>
      <c r="CN303" s="229">
        <f t="shared" si="545"/>
        <v>43</v>
      </c>
      <c r="CO303" s="234">
        <f t="shared" si="546"/>
        <v>3.5018750000000001</v>
      </c>
      <c r="CP303" s="234" cm="1">
        <f t="array" ref="CP303">$BM303 * IF($AH303&lt;=2,
SUMPRODUCT(INDEX($AV$71:$AX$75,,$AI303), INDEX($AY$71:$BE$75,,$AH303), 1 / ($BF$71:$BF$75*CO303 + (1-$BF$71:$BF$75)*CK303), N($AU$71:$AU$75&gt;$AM303)),
SUMPRODUCT(INDEX($AV$66:$AX$75,,$AI303), INDEX($AY$66:$BE$75,,$AH303), 1 / ($BG$66:$BG$75*CO303 + (1-$BG$66:$BG$75)*CK303), N($AU$66:$AU$75&gt;$AM303))
) / 1000</f>
        <v>0</v>
      </c>
      <c r="CQ303" s="231">
        <f t="shared" si="326"/>
        <v>25</v>
      </c>
      <c r="CR303" s="229">
        <f t="shared" si="547"/>
        <v>38</v>
      </c>
      <c r="CS303" s="234">
        <f t="shared" si="548"/>
        <v>4.0666935483870965</v>
      </c>
      <c r="CT303" s="234" cm="1">
        <f t="array" ref="CT303">$BM303 * IF($AH303&lt;=2,
SUMPRODUCT(INDEX($AV$66:$AX$70,,$AI303), INDEX($AY$66:$BE$70,,$AH303), 1 / ($BF$66:$BF$70*CS303 + (1-$BF$66:$BF$70)*CO303), N($AU$66:$AU$70&gt;$AM303)),
SUMPRODUCT(INDEX($AV$56:$AX$65,,$AI303), INDEX($AY$56:$BE$65,,$AH303), 1 / ($BG$56:$BG$65*CS303 + (1-$BG$56:$BG$65)*CO303), N($AU$56:$AU$65&gt;$AM303))
) / 1000</f>
        <v>0</v>
      </c>
      <c r="CU303" s="231">
        <f t="shared" si="329"/>
        <v>20</v>
      </c>
      <c r="CV303" s="229">
        <f t="shared" si="549"/>
        <v>33</v>
      </c>
      <c r="CW303" s="234">
        <f t="shared" si="550"/>
        <v>4.8487499999999999</v>
      </c>
      <c r="CX303" s="234" cm="1">
        <f t="array" ref="CX303">$BM303 * IF($AH303&lt;=2,
SUMPRODUCT(INDEX($AV$61:$AX$65,,$AI303), INDEX($AY$61:$BE$65,,$AH303), 1 / ($BF$61:$BF$65*CW303 + (1-$BF$61:$BF$65)*CS303), N($AU$61:$AU$65&gt;$AM303)),
SUMPRODUCT(INDEX($AV$46:$AX$55,,$AI303), INDEX($AY$46:$BE$55,,$AH303), 1 / ($BG$46:$BG$55*CW303 + (1-$BG$46:$BG$55)*CS303), N($AU$46:$AU$55&gt;$AM303))
) / 1000</f>
        <v>0</v>
      </c>
      <c r="CY303" s="234" cm="1">
        <f t="array" ref="CY303">$BM303 * IF($AH303&lt;=2,
SUMPRODUCT(INDEX($AV$22:$AX$60,,$AI303), INDEX($AY$22:$BE$60,,$AH303), 1 / ($BF$22:$BF$60*CW303), N($AU$22:$AU$60&gt;$AM303)),
SUMPRODUCT(INDEX($AV$22:$AX$45,,$AI303), INDEX($AY$22:$BE$45,,$AH303), 1 / ($BG$22:$BG$45*CW303), N($AU$22:$AU$45&gt;$AM303))
) / 1000</f>
        <v>0</v>
      </c>
      <c r="CZ303" s="229">
        <f t="shared" si="551"/>
        <v>0</v>
      </c>
      <c r="DA303" s="246"/>
    </row>
    <row r="304" spans="1:105" s="75" customFormat="1" ht="14.25" customHeight="1" x14ac:dyDescent="0.2">
      <c r="A304" s="230" t="b">
        <f t="shared" si="291"/>
        <v>0</v>
      </c>
      <c r="B304" s="253">
        <v>283</v>
      </c>
      <c r="C304" s="266"/>
      <c r="D304" s="266"/>
      <c r="E304" s="254"/>
      <c r="F304" s="255" t="str">
        <f>IF(ISBLANK(E304), "", VLOOKUP(E304, Z!$A$2:$C$4127, 3, FALSE))</f>
        <v/>
      </c>
      <c r="G304" s="256"/>
      <c r="H304" s="256"/>
      <c r="I304" s="256"/>
      <c r="J304" s="257"/>
      <c r="K304" s="258"/>
      <c r="L304" s="267"/>
      <c r="M304" s="268"/>
      <c r="N304" s="259" t="str" cm="1">
        <f t="array" ref="N304">IF($L304&gt;0, INDEX(Clean,1+AK304,$D$1), "")</f>
        <v/>
      </c>
      <c r="O304" s="260"/>
      <c r="P304" s="260"/>
      <c r="Q304" s="261"/>
      <c r="R304" s="264">
        <f t="shared" si="527"/>
        <v>0</v>
      </c>
      <c r="S304" s="259" t="str" cm="1">
        <f t="array" ref="S304">IF($L304&gt;0, INDEX(Clean,1+AL304,$D$1), "")</f>
        <v/>
      </c>
      <c r="T304" s="260"/>
      <c r="U304" s="260"/>
      <c r="V304" s="261"/>
      <c r="W304" s="267"/>
      <c r="X304" s="267"/>
      <c r="Y304" s="257"/>
      <c r="Z304" s="264">
        <f t="shared" si="528"/>
        <v>0</v>
      </c>
      <c r="AA304" s="269"/>
      <c r="AB304" s="266"/>
      <c r="AC304" s="254"/>
      <c r="AD304" s="255" t="str">
        <f>IF(ISBLANK(AC304), "", VLOOKUP(AC304, Z!$A$2:$C$4127, 3, FALSE))</f>
        <v/>
      </c>
      <c r="AE304" s="270"/>
      <c r="AF304" s="265">
        <f t="shared" si="529"/>
        <v>0</v>
      </c>
      <c r="AG304" s="246"/>
      <c r="AH304" s="228">
        <f t="shared" si="552"/>
        <v>1</v>
      </c>
      <c r="AI304" s="228">
        <f t="shared" si="553"/>
        <v>1</v>
      </c>
      <c r="AJ304" s="228">
        <f t="shared" si="554"/>
        <v>0</v>
      </c>
      <c r="AK304" s="228">
        <v>0</v>
      </c>
      <c r="AL304" s="228">
        <v>0</v>
      </c>
      <c r="AM304" s="228">
        <f t="shared" si="530"/>
        <v>-100</v>
      </c>
      <c r="AN304" s="228" cm="1">
        <f t="array" ref="AN304">IF(ISBLANK(G304), 1, IFERROR(MATCH(G304, INDEX(Kat,,1), 0), IFERROR(MATCH(Kat, INDEX(Use,,2), 0), MATCH(Kat, INDEX(Use,,3), 0))))</f>
        <v>1</v>
      </c>
      <c r="AO304" s="246"/>
      <c r="AP304" s="228" cm="1">
        <f t="array" ref="AP304">IF(W304&gt;0, INDEX(Kat, AN304,4), 0)</f>
        <v>0</v>
      </c>
      <c r="AQ304" s="228">
        <f t="shared" si="555"/>
        <v>0</v>
      </c>
      <c r="AR304" s="228" cm="1">
        <f t="array" ref="AR304">IF(X304&gt;0, INDEX(Kat, $AN304, 4+AQ304), 0)</f>
        <v>0</v>
      </c>
      <c r="AS304" s="228" cm="1">
        <f t="array" ref="AS304">IF(X304&gt;0, INDEX(Kat, $AN304, 9+AQ304), 0)</f>
        <v>0</v>
      </c>
      <c r="AT304" s="246"/>
      <c r="AU304" s="262"/>
      <c r="AV304" s="262"/>
      <c r="AW304" s="263"/>
      <c r="AX304" s="263"/>
      <c r="AY304" s="263"/>
      <c r="AZ304" s="263"/>
      <c r="BA304" s="263"/>
      <c r="BB304" s="263"/>
      <c r="BC304" s="263"/>
      <c r="BD304" s="263"/>
      <c r="BE304" s="263"/>
      <c r="BF304" s="263"/>
      <c r="BG304" s="263"/>
      <c r="BH304" s="246"/>
      <c r="BI304" s="228" cm="1">
        <f t="array" ref="BI304">INDEX(Use, $AH304, 4)</f>
        <v>7</v>
      </c>
      <c r="BJ304" s="228">
        <f t="shared" si="531"/>
        <v>32</v>
      </c>
      <c r="BK304" s="228">
        <f t="shared" si="305"/>
        <v>13</v>
      </c>
      <c r="BL304" s="228">
        <f t="shared" si="306"/>
        <v>0</v>
      </c>
      <c r="BM304" s="233" cm="1">
        <f t="array" ref="BM304">L304/IF($M304&gt;0, INDEX($AY$22:$BE$76, $M304+20, $AH304), 1)</f>
        <v>0</v>
      </c>
      <c r="BN304" s="229">
        <f t="shared" si="532"/>
        <v>0</v>
      </c>
      <c r="BO304" s="228">
        <v>35</v>
      </c>
      <c r="BP304" s="229">
        <f t="shared" si="533"/>
        <v>48</v>
      </c>
      <c r="BQ304" s="234">
        <f t="shared" si="534"/>
        <v>3.0748170731707316</v>
      </c>
      <c r="BR304" s="234" cm="1">
        <f t="array" ref="BR304">$BM304 * SUMPRODUCT(INDEX($AV$76:$AX$81,,$AI304),INDEX($AY$76:$BE$81,,$AH304), N($AU$76:$AU$81&gt;$AM304)) / BQ304 / 1000</f>
        <v>0</v>
      </c>
      <c r="BS304" s="231">
        <f t="shared" si="310"/>
        <v>30</v>
      </c>
      <c r="BT304" s="229">
        <f t="shared" si="535"/>
        <v>43</v>
      </c>
      <c r="BU304" s="234">
        <f t="shared" si="536"/>
        <v>3.5018750000000001</v>
      </c>
      <c r="BV304" s="234" cm="1">
        <f t="array" ref="BV304">$BM304 * IF($AH304&lt;=2,
SUMPRODUCT(INDEX($AV$71:$AX$75,,$AI304), INDEX($AY$71:$BE$75,,$AH304), 1 / ($BF$71:$BF$75*BU304 + (1-$BF$71:$BF$75)*BQ304), N($AU$71:$AU$75&gt;$AM304)),
SUMPRODUCT(INDEX($AV$66:$AX$75,,$AI304), INDEX($AY$66:$BE$75,,$AH304), 1 / ($BG$66:$BG$75*BU304 + (1-$BG$66:$BG$75)*BQ304), N($AU$66:$AU$75&gt;$AM304))
) / 1000</f>
        <v>0</v>
      </c>
      <c r="BW304" s="231">
        <f t="shared" si="313"/>
        <v>25</v>
      </c>
      <c r="BX304" s="229">
        <f t="shared" si="537"/>
        <v>38</v>
      </c>
      <c r="BY304" s="234">
        <f t="shared" si="538"/>
        <v>4.0666935483870965</v>
      </c>
      <c r="BZ304" s="234" cm="1">
        <f t="array" ref="BZ304">$BM304 * IF($AH304&lt;=2,
SUMPRODUCT(INDEX($AV$66:$AX$70,,$AI304), INDEX($AY$66:$BE$70,,$AH304), 1 / ($BF$66:$BF$70*BY304 + (1-$BF$66:$BF$70)*BU304), N($AU$66:$AU$70&gt;$AM304)),
SUMPRODUCT(INDEX($AV$56:$AX$65,,$AI304), INDEX($AY$56:$BE$65,,$AH304), 1 / ($BG$56:$BG$65*BY304 + (1-$BG$56:$BG$65)*BU304), N($AU$56:$AU$65&gt;$AM304))
) / 1000</f>
        <v>0</v>
      </c>
      <c r="CA304" s="231">
        <f t="shared" si="316"/>
        <v>20</v>
      </c>
      <c r="CB304" s="229">
        <f t="shared" si="539"/>
        <v>33</v>
      </c>
      <c r="CC304" s="234">
        <f t="shared" si="540"/>
        <v>4.8487499999999999</v>
      </c>
      <c r="CD304" s="234" cm="1">
        <f t="array" ref="CD304">$BM304 * IF($AH304&lt;=2,
SUMPRODUCT(INDEX($AV$61:$AX$65,,$AI304), INDEX($AY$61:$BE$65,,$AH304), 1 / ($BF$61:$BF$65*CC304 + (1-$BF$61:$BF$65)*BY304), N($AU$61:$AU$65&gt;$AM304)),
SUMPRODUCT(INDEX($AV$46:$AX$55,,$AI304), INDEX($AY$46:$BE$55,,$AH304), 1 / ($BG$46:$BG$55*CC304 + (1-$BG$46:$BG$55)*BY304), N($AU$46:$AU$55&gt;$AM304))
) / 1000</f>
        <v>0</v>
      </c>
      <c r="CE304" s="234" cm="1">
        <f t="array" ref="CE304">$BM304 * IF($AH304&lt;=2,
SUMPRODUCT(INDEX($AV$22:$AX$60,,$AI304), INDEX($AY$22:$BE$60,,$AH304), 1 / ($BF$22:$BF$60*CC304), N($AU$22:$AU$60&gt;$AM304)),
SUMPRODUCT(INDEX($AV$22:$AX$45,,$AI304), INDEX($AY$22:$BE$45,,$AH304), 1 / ($BG$22:$BG$45*CC304), N($AU$22:$AU$45&gt;$AM304))
) / 1000</f>
        <v>0</v>
      </c>
      <c r="CF304" s="229">
        <f t="shared" si="541"/>
        <v>0</v>
      </c>
      <c r="CG304" s="246"/>
      <c r="CH304" s="229">
        <f t="shared" si="542"/>
        <v>0</v>
      </c>
      <c r="CI304" s="228">
        <v>35</v>
      </c>
      <c r="CJ304" s="229">
        <f t="shared" si="543"/>
        <v>48</v>
      </c>
      <c r="CK304" s="234">
        <f t="shared" si="544"/>
        <v>3.0748170731707316</v>
      </c>
      <c r="CL304" s="234" cm="1">
        <f t="array" ref="CL304">$BM304 * SUMPRODUCT(INDEX($AV$76:$AX$81,,$AI304),INDEX($AY$76:$BE$81,,$AH304), N($AU$76:$AU$81&gt;$AM304)) / CK304 / 1000</f>
        <v>0</v>
      </c>
      <c r="CM304" s="231">
        <f t="shared" si="323"/>
        <v>30</v>
      </c>
      <c r="CN304" s="229">
        <f t="shared" si="545"/>
        <v>43</v>
      </c>
      <c r="CO304" s="234">
        <f t="shared" si="546"/>
        <v>3.5018750000000001</v>
      </c>
      <c r="CP304" s="234" cm="1">
        <f t="array" ref="CP304">$BM304 * IF($AH304&lt;=2,
SUMPRODUCT(INDEX($AV$71:$AX$75,,$AI304), INDEX($AY$71:$BE$75,,$AH304), 1 / ($BF$71:$BF$75*CO304 + (1-$BF$71:$BF$75)*CK304), N($AU$71:$AU$75&gt;$AM304)),
SUMPRODUCT(INDEX($AV$66:$AX$75,,$AI304), INDEX($AY$66:$BE$75,,$AH304), 1 / ($BG$66:$BG$75*CO304 + (1-$BG$66:$BG$75)*CK304), N($AU$66:$AU$75&gt;$AM304))
) / 1000</f>
        <v>0</v>
      </c>
      <c r="CQ304" s="231">
        <f t="shared" si="326"/>
        <v>25</v>
      </c>
      <c r="CR304" s="229">
        <f t="shared" si="547"/>
        <v>38</v>
      </c>
      <c r="CS304" s="234">
        <f t="shared" si="548"/>
        <v>4.0666935483870965</v>
      </c>
      <c r="CT304" s="234" cm="1">
        <f t="array" ref="CT304">$BM304 * IF($AH304&lt;=2,
SUMPRODUCT(INDEX($AV$66:$AX$70,,$AI304), INDEX($AY$66:$BE$70,,$AH304), 1 / ($BF$66:$BF$70*CS304 + (1-$BF$66:$BF$70)*CO304), N($AU$66:$AU$70&gt;$AM304)),
SUMPRODUCT(INDEX($AV$56:$AX$65,,$AI304), INDEX($AY$56:$BE$65,,$AH304), 1 / ($BG$56:$BG$65*CS304 + (1-$BG$56:$BG$65)*CO304), N($AU$56:$AU$65&gt;$AM304))
) / 1000</f>
        <v>0</v>
      </c>
      <c r="CU304" s="231">
        <f t="shared" si="329"/>
        <v>20</v>
      </c>
      <c r="CV304" s="229">
        <f t="shared" si="549"/>
        <v>33</v>
      </c>
      <c r="CW304" s="234">
        <f t="shared" si="550"/>
        <v>4.8487499999999999</v>
      </c>
      <c r="CX304" s="234" cm="1">
        <f t="array" ref="CX304">$BM304 * IF($AH304&lt;=2,
SUMPRODUCT(INDEX($AV$61:$AX$65,,$AI304), INDEX($AY$61:$BE$65,,$AH304), 1 / ($BF$61:$BF$65*CW304 + (1-$BF$61:$BF$65)*CS304), N($AU$61:$AU$65&gt;$AM304)),
SUMPRODUCT(INDEX($AV$46:$AX$55,,$AI304), INDEX($AY$46:$BE$55,,$AH304), 1 / ($BG$46:$BG$55*CW304 + (1-$BG$46:$BG$55)*CS304), N($AU$46:$AU$55&gt;$AM304))
) / 1000</f>
        <v>0</v>
      </c>
      <c r="CY304" s="234" cm="1">
        <f t="array" ref="CY304">$BM304 * IF($AH304&lt;=2,
SUMPRODUCT(INDEX($AV$22:$AX$60,,$AI304), INDEX($AY$22:$BE$60,,$AH304), 1 / ($BF$22:$BF$60*CW304), N($AU$22:$AU$60&gt;$AM304)),
SUMPRODUCT(INDEX($AV$22:$AX$45,,$AI304), INDEX($AY$22:$BE$45,,$AH304), 1 / ($BG$22:$BG$45*CW304), N($AU$22:$AU$45&gt;$AM304))
) / 1000</f>
        <v>0</v>
      </c>
      <c r="CZ304" s="229">
        <f t="shared" si="551"/>
        <v>0</v>
      </c>
      <c r="DA304" s="246"/>
    </row>
    <row r="305" spans="1:105" s="75" customFormat="1" ht="14.25" customHeight="1" x14ac:dyDescent="0.2">
      <c r="A305" s="230" t="b">
        <f t="shared" si="291"/>
        <v>0</v>
      </c>
      <c r="B305" s="253">
        <v>284</v>
      </c>
      <c r="C305" s="266"/>
      <c r="D305" s="266"/>
      <c r="E305" s="254"/>
      <c r="F305" s="255" t="str">
        <f>IF(ISBLANK(E305), "", VLOOKUP(E305, Z!$A$2:$C$4127, 3, FALSE))</f>
        <v/>
      </c>
      <c r="G305" s="256"/>
      <c r="H305" s="256"/>
      <c r="I305" s="256"/>
      <c r="J305" s="257"/>
      <c r="K305" s="258"/>
      <c r="L305" s="267"/>
      <c r="M305" s="268"/>
      <c r="N305" s="259" t="str" cm="1">
        <f t="array" ref="N305">IF($L305&gt;0, INDEX(Clean,1+AK305,$D$1), "")</f>
        <v/>
      </c>
      <c r="O305" s="260"/>
      <c r="P305" s="260"/>
      <c r="Q305" s="261"/>
      <c r="R305" s="264">
        <f t="shared" si="527"/>
        <v>0</v>
      </c>
      <c r="S305" s="259" t="str" cm="1">
        <f t="array" ref="S305">IF($L305&gt;0, INDEX(Clean,1+AL305,$D$1), "")</f>
        <v/>
      </c>
      <c r="T305" s="260"/>
      <c r="U305" s="260"/>
      <c r="V305" s="261"/>
      <c r="W305" s="267"/>
      <c r="X305" s="267"/>
      <c r="Y305" s="257"/>
      <c r="Z305" s="264">
        <f t="shared" si="528"/>
        <v>0</v>
      </c>
      <c r="AA305" s="269"/>
      <c r="AB305" s="266"/>
      <c r="AC305" s="254"/>
      <c r="AD305" s="255" t="str">
        <f>IF(ISBLANK(AC305), "", VLOOKUP(AC305, Z!$A$2:$C$4127, 3, FALSE))</f>
        <v/>
      </c>
      <c r="AE305" s="270"/>
      <c r="AF305" s="265">
        <f t="shared" si="529"/>
        <v>0</v>
      </c>
      <c r="AG305" s="246"/>
      <c r="AH305" s="228">
        <f t="shared" si="552"/>
        <v>1</v>
      </c>
      <c r="AI305" s="228">
        <f t="shared" si="553"/>
        <v>1</v>
      </c>
      <c r="AJ305" s="228">
        <f t="shared" si="554"/>
        <v>0</v>
      </c>
      <c r="AK305" s="228">
        <v>0</v>
      </c>
      <c r="AL305" s="228">
        <v>0</v>
      </c>
      <c r="AM305" s="228">
        <f t="shared" si="530"/>
        <v>-100</v>
      </c>
      <c r="AN305" s="228" cm="1">
        <f t="array" ref="AN305">IF(ISBLANK(G305), 1, IFERROR(MATCH(G305, INDEX(Kat,,1), 0), IFERROR(MATCH(Kat, INDEX(Use,,2), 0), MATCH(Kat, INDEX(Use,,3), 0))))</f>
        <v>1</v>
      </c>
      <c r="AO305" s="246"/>
      <c r="AP305" s="228" cm="1">
        <f t="array" ref="AP305">IF(W305&gt;0, INDEX(Kat, AN305,4), 0)</f>
        <v>0</v>
      </c>
      <c r="AQ305" s="228">
        <f t="shared" si="555"/>
        <v>0</v>
      </c>
      <c r="AR305" s="228" cm="1">
        <f t="array" ref="AR305">IF(X305&gt;0, INDEX(Kat, $AN305, 4+AQ305), 0)</f>
        <v>0</v>
      </c>
      <c r="AS305" s="228" cm="1">
        <f t="array" ref="AS305">IF(X305&gt;0, INDEX(Kat, $AN305, 9+AQ305), 0)</f>
        <v>0</v>
      </c>
      <c r="AT305" s="246"/>
      <c r="AU305" s="262"/>
      <c r="AV305" s="262"/>
      <c r="AW305" s="263"/>
      <c r="AX305" s="263"/>
      <c r="AY305" s="263"/>
      <c r="AZ305" s="263"/>
      <c r="BA305" s="263"/>
      <c r="BB305" s="263"/>
      <c r="BC305" s="263"/>
      <c r="BD305" s="263"/>
      <c r="BE305" s="263"/>
      <c r="BF305" s="263"/>
      <c r="BG305" s="263"/>
      <c r="BH305" s="246"/>
      <c r="BI305" s="228" cm="1">
        <f t="array" ref="BI305">INDEX(Use, $AH305, 4)</f>
        <v>7</v>
      </c>
      <c r="BJ305" s="228">
        <f t="shared" si="531"/>
        <v>32</v>
      </c>
      <c r="BK305" s="228">
        <f t="shared" si="305"/>
        <v>13</v>
      </c>
      <c r="BL305" s="228">
        <f t="shared" si="306"/>
        <v>0</v>
      </c>
      <c r="BM305" s="233" cm="1">
        <f t="array" ref="BM305">L305/IF($M305&gt;0, INDEX($AY$22:$BE$76, $M305+20, $AH305), 1)</f>
        <v>0</v>
      </c>
      <c r="BN305" s="229">
        <f t="shared" si="532"/>
        <v>0</v>
      </c>
      <c r="BO305" s="228">
        <v>35</v>
      </c>
      <c r="BP305" s="229">
        <f t="shared" si="533"/>
        <v>48</v>
      </c>
      <c r="BQ305" s="234">
        <f t="shared" si="534"/>
        <v>3.0748170731707316</v>
      </c>
      <c r="BR305" s="234" cm="1">
        <f t="array" ref="BR305">$BM305 * SUMPRODUCT(INDEX($AV$76:$AX$81,,$AI305),INDEX($AY$76:$BE$81,,$AH305), N($AU$76:$AU$81&gt;$AM305)) / BQ305 / 1000</f>
        <v>0</v>
      </c>
      <c r="BS305" s="231">
        <f t="shared" si="310"/>
        <v>30</v>
      </c>
      <c r="BT305" s="229">
        <f t="shared" si="535"/>
        <v>43</v>
      </c>
      <c r="BU305" s="234">
        <f t="shared" si="536"/>
        <v>3.5018750000000001</v>
      </c>
      <c r="BV305" s="234" cm="1">
        <f t="array" ref="BV305">$BM305 * IF($AH305&lt;=2,
SUMPRODUCT(INDEX($AV$71:$AX$75,,$AI305), INDEX($AY$71:$BE$75,,$AH305), 1 / ($BF$71:$BF$75*BU305 + (1-$BF$71:$BF$75)*BQ305), N($AU$71:$AU$75&gt;$AM305)),
SUMPRODUCT(INDEX($AV$66:$AX$75,,$AI305), INDEX($AY$66:$BE$75,,$AH305), 1 / ($BG$66:$BG$75*BU305 + (1-$BG$66:$BG$75)*BQ305), N($AU$66:$AU$75&gt;$AM305))
) / 1000</f>
        <v>0</v>
      </c>
      <c r="BW305" s="231">
        <f t="shared" si="313"/>
        <v>25</v>
      </c>
      <c r="BX305" s="229">
        <f t="shared" si="537"/>
        <v>38</v>
      </c>
      <c r="BY305" s="234">
        <f t="shared" si="538"/>
        <v>4.0666935483870965</v>
      </c>
      <c r="BZ305" s="234" cm="1">
        <f t="array" ref="BZ305">$BM305 * IF($AH305&lt;=2,
SUMPRODUCT(INDEX($AV$66:$AX$70,,$AI305), INDEX($AY$66:$BE$70,,$AH305), 1 / ($BF$66:$BF$70*BY305 + (1-$BF$66:$BF$70)*BU305), N($AU$66:$AU$70&gt;$AM305)),
SUMPRODUCT(INDEX($AV$56:$AX$65,,$AI305), INDEX($AY$56:$BE$65,,$AH305), 1 / ($BG$56:$BG$65*BY305 + (1-$BG$56:$BG$65)*BU305), N($AU$56:$AU$65&gt;$AM305))
) / 1000</f>
        <v>0</v>
      </c>
      <c r="CA305" s="231">
        <f t="shared" si="316"/>
        <v>20</v>
      </c>
      <c r="CB305" s="229">
        <f t="shared" si="539"/>
        <v>33</v>
      </c>
      <c r="CC305" s="234">
        <f t="shared" si="540"/>
        <v>4.8487499999999999</v>
      </c>
      <c r="CD305" s="234" cm="1">
        <f t="array" ref="CD305">$BM305 * IF($AH305&lt;=2,
SUMPRODUCT(INDEX($AV$61:$AX$65,,$AI305), INDEX($AY$61:$BE$65,,$AH305), 1 / ($BF$61:$BF$65*CC305 + (1-$BF$61:$BF$65)*BY305), N($AU$61:$AU$65&gt;$AM305)),
SUMPRODUCT(INDEX($AV$46:$AX$55,,$AI305), INDEX($AY$46:$BE$55,,$AH305), 1 / ($BG$46:$BG$55*CC305 + (1-$BG$46:$BG$55)*BY305), N($AU$46:$AU$55&gt;$AM305))
) / 1000</f>
        <v>0</v>
      </c>
      <c r="CE305" s="234" cm="1">
        <f t="array" ref="CE305">$BM305 * IF($AH305&lt;=2,
SUMPRODUCT(INDEX($AV$22:$AX$60,,$AI305), INDEX($AY$22:$BE$60,,$AH305), 1 / ($BF$22:$BF$60*CC305), N($AU$22:$AU$60&gt;$AM305)),
SUMPRODUCT(INDEX($AV$22:$AX$45,,$AI305), INDEX($AY$22:$BE$45,,$AH305), 1 / ($BG$22:$BG$45*CC305), N($AU$22:$AU$45&gt;$AM305))
) / 1000</f>
        <v>0</v>
      </c>
      <c r="CF305" s="229">
        <f t="shared" si="541"/>
        <v>0</v>
      </c>
      <c r="CG305" s="246"/>
      <c r="CH305" s="229">
        <f t="shared" si="542"/>
        <v>0</v>
      </c>
      <c r="CI305" s="228">
        <v>35</v>
      </c>
      <c r="CJ305" s="229">
        <f t="shared" si="543"/>
        <v>48</v>
      </c>
      <c r="CK305" s="234">
        <f t="shared" si="544"/>
        <v>3.0748170731707316</v>
      </c>
      <c r="CL305" s="234" cm="1">
        <f t="array" ref="CL305">$BM305 * SUMPRODUCT(INDEX($AV$76:$AX$81,,$AI305),INDEX($AY$76:$BE$81,,$AH305), N($AU$76:$AU$81&gt;$AM305)) / CK305 / 1000</f>
        <v>0</v>
      </c>
      <c r="CM305" s="231">
        <f t="shared" si="323"/>
        <v>30</v>
      </c>
      <c r="CN305" s="229">
        <f t="shared" si="545"/>
        <v>43</v>
      </c>
      <c r="CO305" s="234">
        <f t="shared" si="546"/>
        <v>3.5018750000000001</v>
      </c>
      <c r="CP305" s="234" cm="1">
        <f t="array" ref="CP305">$BM305 * IF($AH305&lt;=2,
SUMPRODUCT(INDEX($AV$71:$AX$75,,$AI305), INDEX($AY$71:$BE$75,,$AH305), 1 / ($BF$71:$BF$75*CO305 + (1-$BF$71:$BF$75)*CK305), N($AU$71:$AU$75&gt;$AM305)),
SUMPRODUCT(INDEX($AV$66:$AX$75,,$AI305), INDEX($AY$66:$BE$75,,$AH305), 1 / ($BG$66:$BG$75*CO305 + (1-$BG$66:$BG$75)*CK305), N($AU$66:$AU$75&gt;$AM305))
) / 1000</f>
        <v>0</v>
      </c>
      <c r="CQ305" s="231">
        <f t="shared" si="326"/>
        <v>25</v>
      </c>
      <c r="CR305" s="229">
        <f t="shared" si="547"/>
        <v>38</v>
      </c>
      <c r="CS305" s="234">
        <f t="shared" si="548"/>
        <v>4.0666935483870965</v>
      </c>
      <c r="CT305" s="234" cm="1">
        <f t="array" ref="CT305">$BM305 * IF($AH305&lt;=2,
SUMPRODUCT(INDEX($AV$66:$AX$70,,$AI305), INDEX($AY$66:$BE$70,,$AH305), 1 / ($BF$66:$BF$70*CS305 + (1-$BF$66:$BF$70)*CO305), N($AU$66:$AU$70&gt;$AM305)),
SUMPRODUCT(INDEX($AV$56:$AX$65,,$AI305), INDEX($AY$56:$BE$65,,$AH305), 1 / ($BG$56:$BG$65*CS305 + (1-$BG$56:$BG$65)*CO305), N($AU$56:$AU$65&gt;$AM305))
) / 1000</f>
        <v>0</v>
      </c>
      <c r="CU305" s="231">
        <f t="shared" si="329"/>
        <v>20</v>
      </c>
      <c r="CV305" s="229">
        <f t="shared" si="549"/>
        <v>33</v>
      </c>
      <c r="CW305" s="234">
        <f t="shared" si="550"/>
        <v>4.8487499999999999</v>
      </c>
      <c r="CX305" s="234" cm="1">
        <f t="array" ref="CX305">$BM305 * IF($AH305&lt;=2,
SUMPRODUCT(INDEX($AV$61:$AX$65,,$AI305), INDEX($AY$61:$BE$65,,$AH305), 1 / ($BF$61:$BF$65*CW305 + (1-$BF$61:$BF$65)*CS305), N($AU$61:$AU$65&gt;$AM305)),
SUMPRODUCT(INDEX($AV$46:$AX$55,,$AI305), INDEX($AY$46:$BE$55,,$AH305), 1 / ($BG$46:$BG$55*CW305 + (1-$BG$46:$BG$55)*CS305), N($AU$46:$AU$55&gt;$AM305))
) / 1000</f>
        <v>0</v>
      </c>
      <c r="CY305" s="234" cm="1">
        <f t="array" ref="CY305">$BM305 * IF($AH305&lt;=2,
SUMPRODUCT(INDEX($AV$22:$AX$60,,$AI305), INDEX($AY$22:$BE$60,,$AH305), 1 / ($BF$22:$BF$60*CW305), N($AU$22:$AU$60&gt;$AM305)),
SUMPRODUCT(INDEX($AV$22:$AX$45,,$AI305), INDEX($AY$22:$BE$45,,$AH305), 1 / ($BG$22:$BG$45*CW305), N($AU$22:$AU$45&gt;$AM305))
) / 1000</f>
        <v>0</v>
      </c>
      <c r="CZ305" s="229">
        <f t="shared" si="551"/>
        <v>0</v>
      </c>
      <c r="DA305" s="246"/>
    </row>
    <row r="306" spans="1:105" s="75" customFormat="1" ht="14.25" customHeight="1" x14ac:dyDescent="0.2">
      <c r="A306" s="230" t="b">
        <f t="shared" si="291"/>
        <v>0</v>
      </c>
      <c r="B306" s="253">
        <v>285</v>
      </c>
      <c r="C306" s="266"/>
      <c r="D306" s="266"/>
      <c r="E306" s="254"/>
      <c r="F306" s="255" t="str">
        <f>IF(ISBLANK(E306), "", VLOOKUP(E306, Z!$A$2:$C$4127, 3, FALSE))</f>
        <v/>
      </c>
      <c r="G306" s="256"/>
      <c r="H306" s="256"/>
      <c r="I306" s="256"/>
      <c r="J306" s="257"/>
      <c r="K306" s="258"/>
      <c r="L306" s="267"/>
      <c r="M306" s="268"/>
      <c r="N306" s="259" t="str" cm="1">
        <f t="array" ref="N306">IF($L306&gt;0, INDEX(Clean,1+AK306,$D$1), "")</f>
        <v/>
      </c>
      <c r="O306" s="260"/>
      <c r="P306" s="260"/>
      <c r="Q306" s="261"/>
      <c r="R306" s="264">
        <f t="shared" si="527"/>
        <v>0</v>
      </c>
      <c r="S306" s="259" t="str" cm="1">
        <f t="array" ref="S306">IF($L306&gt;0, INDEX(Clean,1+AL306,$D$1), "")</f>
        <v/>
      </c>
      <c r="T306" s="260"/>
      <c r="U306" s="260"/>
      <c r="V306" s="261"/>
      <c r="W306" s="267"/>
      <c r="X306" s="267"/>
      <c r="Y306" s="257"/>
      <c r="Z306" s="264">
        <f t="shared" si="528"/>
        <v>0</v>
      </c>
      <c r="AA306" s="269"/>
      <c r="AB306" s="266"/>
      <c r="AC306" s="254"/>
      <c r="AD306" s="255" t="str">
        <f>IF(ISBLANK(AC306), "", VLOOKUP(AC306, Z!$A$2:$C$4127, 3, FALSE))</f>
        <v/>
      </c>
      <c r="AE306" s="270"/>
      <c r="AF306" s="265">
        <f t="shared" si="529"/>
        <v>0</v>
      </c>
      <c r="AG306" s="246"/>
      <c r="AH306" s="228">
        <f t="shared" si="552"/>
        <v>1</v>
      </c>
      <c r="AI306" s="228">
        <f t="shared" si="553"/>
        <v>1</v>
      </c>
      <c r="AJ306" s="228">
        <f t="shared" si="554"/>
        <v>0</v>
      </c>
      <c r="AK306" s="228">
        <v>0</v>
      </c>
      <c r="AL306" s="228">
        <v>0</v>
      </c>
      <c r="AM306" s="228">
        <f t="shared" si="530"/>
        <v>-100</v>
      </c>
      <c r="AN306" s="228" cm="1">
        <f t="array" ref="AN306">IF(ISBLANK(G306), 1, IFERROR(MATCH(G306, INDEX(Kat,,1), 0), IFERROR(MATCH(Kat, INDEX(Use,,2), 0), MATCH(Kat, INDEX(Use,,3), 0))))</f>
        <v>1</v>
      </c>
      <c r="AO306" s="246"/>
      <c r="AP306" s="228" cm="1">
        <f t="array" ref="AP306">IF(W306&gt;0, INDEX(Kat, AN306,4), 0)</f>
        <v>0</v>
      </c>
      <c r="AQ306" s="228">
        <f t="shared" si="555"/>
        <v>0</v>
      </c>
      <c r="AR306" s="228" cm="1">
        <f t="array" ref="AR306">IF(X306&gt;0, INDEX(Kat, $AN306, 4+AQ306), 0)</f>
        <v>0</v>
      </c>
      <c r="AS306" s="228" cm="1">
        <f t="array" ref="AS306">IF(X306&gt;0, INDEX(Kat, $AN306, 9+AQ306), 0)</f>
        <v>0</v>
      </c>
      <c r="AT306" s="246"/>
      <c r="AU306" s="262"/>
      <c r="AV306" s="262"/>
      <c r="AW306" s="263"/>
      <c r="AX306" s="263"/>
      <c r="AY306" s="263"/>
      <c r="AZ306" s="263"/>
      <c r="BA306" s="263"/>
      <c r="BB306" s="263"/>
      <c r="BC306" s="263"/>
      <c r="BD306" s="263"/>
      <c r="BE306" s="263"/>
      <c r="BF306" s="263"/>
      <c r="BG306" s="263"/>
      <c r="BH306" s="246"/>
      <c r="BI306" s="228" cm="1">
        <f t="array" ref="BI306">INDEX(Use, $AH306, 4)</f>
        <v>7</v>
      </c>
      <c r="BJ306" s="228">
        <f t="shared" si="531"/>
        <v>32</v>
      </c>
      <c r="BK306" s="228">
        <f t="shared" si="305"/>
        <v>13</v>
      </c>
      <c r="BL306" s="228">
        <f t="shared" si="306"/>
        <v>0</v>
      </c>
      <c r="BM306" s="233" cm="1">
        <f t="array" ref="BM306">L306/IF($M306&gt;0, INDEX($AY$22:$BE$76, $M306+20, $AH306), 1)</f>
        <v>0</v>
      </c>
      <c r="BN306" s="229">
        <f t="shared" si="532"/>
        <v>0</v>
      </c>
      <c r="BO306" s="228">
        <v>35</v>
      </c>
      <c r="BP306" s="229">
        <f t="shared" si="533"/>
        <v>48</v>
      </c>
      <c r="BQ306" s="234">
        <f t="shared" si="534"/>
        <v>3.0748170731707316</v>
      </c>
      <c r="BR306" s="234" cm="1">
        <f t="array" ref="BR306">$BM306 * SUMPRODUCT(INDEX($AV$76:$AX$81,,$AI306),INDEX($AY$76:$BE$81,,$AH306), N($AU$76:$AU$81&gt;$AM306)) / BQ306 / 1000</f>
        <v>0</v>
      </c>
      <c r="BS306" s="231">
        <f t="shared" si="310"/>
        <v>30</v>
      </c>
      <c r="BT306" s="229">
        <f t="shared" si="535"/>
        <v>43</v>
      </c>
      <c r="BU306" s="234">
        <f t="shared" si="536"/>
        <v>3.5018750000000001</v>
      </c>
      <c r="BV306" s="234" cm="1">
        <f t="array" ref="BV306">$BM306 * IF($AH306&lt;=2,
SUMPRODUCT(INDEX($AV$71:$AX$75,,$AI306), INDEX($AY$71:$BE$75,,$AH306), 1 / ($BF$71:$BF$75*BU306 + (1-$BF$71:$BF$75)*BQ306), N($AU$71:$AU$75&gt;$AM306)),
SUMPRODUCT(INDEX($AV$66:$AX$75,,$AI306), INDEX($AY$66:$BE$75,,$AH306), 1 / ($BG$66:$BG$75*BU306 + (1-$BG$66:$BG$75)*BQ306), N($AU$66:$AU$75&gt;$AM306))
) / 1000</f>
        <v>0</v>
      </c>
      <c r="BW306" s="231">
        <f t="shared" si="313"/>
        <v>25</v>
      </c>
      <c r="BX306" s="229">
        <f t="shared" si="537"/>
        <v>38</v>
      </c>
      <c r="BY306" s="234">
        <f t="shared" si="538"/>
        <v>4.0666935483870965</v>
      </c>
      <c r="BZ306" s="234" cm="1">
        <f t="array" ref="BZ306">$BM306 * IF($AH306&lt;=2,
SUMPRODUCT(INDEX($AV$66:$AX$70,,$AI306), INDEX($AY$66:$BE$70,,$AH306), 1 / ($BF$66:$BF$70*BY306 + (1-$BF$66:$BF$70)*BU306), N($AU$66:$AU$70&gt;$AM306)),
SUMPRODUCT(INDEX($AV$56:$AX$65,,$AI306), INDEX($AY$56:$BE$65,,$AH306), 1 / ($BG$56:$BG$65*BY306 + (1-$BG$56:$BG$65)*BU306), N($AU$56:$AU$65&gt;$AM306))
) / 1000</f>
        <v>0</v>
      </c>
      <c r="CA306" s="231">
        <f t="shared" si="316"/>
        <v>20</v>
      </c>
      <c r="CB306" s="229">
        <f t="shared" si="539"/>
        <v>33</v>
      </c>
      <c r="CC306" s="234">
        <f t="shared" si="540"/>
        <v>4.8487499999999999</v>
      </c>
      <c r="CD306" s="234" cm="1">
        <f t="array" ref="CD306">$BM306 * IF($AH306&lt;=2,
SUMPRODUCT(INDEX($AV$61:$AX$65,,$AI306), INDEX($AY$61:$BE$65,,$AH306), 1 / ($BF$61:$BF$65*CC306 + (1-$BF$61:$BF$65)*BY306), N($AU$61:$AU$65&gt;$AM306)),
SUMPRODUCT(INDEX($AV$46:$AX$55,,$AI306), INDEX($AY$46:$BE$55,,$AH306), 1 / ($BG$46:$BG$55*CC306 + (1-$BG$46:$BG$55)*BY306), N($AU$46:$AU$55&gt;$AM306))
) / 1000</f>
        <v>0</v>
      </c>
      <c r="CE306" s="234" cm="1">
        <f t="array" ref="CE306">$BM306 * IF($AH306&lt;=2,
SUMPRODUCT(INDEX($AV$22:$AX$60,,$AI306), INDEX($AY$22:$BE$60,,$AH306), 1 / ($BF$22:$BF$60*CC306), N($AU$22:$AU$60&gt;$AM306)),
SUMPRODUCT(INDEX($AV$22:$AX$45,,$AI306), INDEX($AY$22:$BE$45,,$AH306), 1 / ($BG$22:$BG$45*CC306), N($AU$22:$AU$45&gt;$AM306))
) / 1000</f>
        <v>0</v>
      </c>
      <c r="CF306" s="229">
        <f t="shared" si="541"/>
        <v>0</v>
      </c>
      <c r="CG306" s="246"/>
      <c r="CH306" s="229">
        <f t="shared" si="542"/>
        <v>0</v>
      </c>
      <c r="CI306" s="228">
        <v>35</v>
      </c>
      <c r="CJ306" s="229">
        <f t="shared" si="543"/>
        <v>48</v>
      </c>
      <c r="CK306" s="234">
        <f t="shared" si="544"/>
        <v>3.0748170731707316</v>
      </c>
      <c r="CL306" s="234" cm="1">
        <f t="array" ref="CL306">$BM306 * SUMPRODUCT(INDEX($AV$76:$AX$81,,$AI306),INDEX($AY$76:$BE$81,,$AH306), N($AU$76:$AU$81&gt;$AM306)) / CK306 / 1000</f>
        <v>0</v>
      </c>
      <c r="CM306" s="231">
        <f t="shared" si="323"/>
        <v>30</v>
      </c>
      <c r="CN306" s="229">
        <f t="shared" si="545"/>
        <v>43</v>
      </c>
      <c r="CO306" s="234">
        <f t="shared" si="546"/>
        <v>3.5018750000000001</v>
      </c>
      <c r="CP306" s="234" cm="1">
        <f t="array" ref="CP306">$BM306 * IF($AH306&lt;=2,
SUMPRODUCT(INDEX($AV$71:$AX$75,,$AI306), INDEX($AY$71:$BE$75,,$AH306), 1 / ($BF$71:$BF$75*CO306 + (1-$BF$71:$BF$75)*CK306), N($AU$71:$AU$75&gt;$AM306)),
SUMPRODUCT(INDEX($AV$66:$AX$75,,$AI306), INDEX($AY$66:$BE$75,,$AH306), 1 / ($BG$66:$BG$75*CO306 + (1-$BG$66:$BG$75)*CK306), N($AU$66:$AU$75&gt;$AM306))
) / 1000</f>
        <v>0</v>
      </c>
      <c r="CQ306" s="231">
        <f t="shared" si="326"/>
        <v>25</v>
      </c>
      <c r="CR306" s="229">
        <f t="shared" si="547"/>
        <v>38</v>
      </c>
      <c r="CS306" s="234">
        <f t="shared" si="548"/>
        <v>4.0666935483870965</v>
      </c>
      <c r="CT306" s="234" cm="1">
        <f t="array" ref="CT306">$BM306 * IF($AH306&lt;=2,
SUMPRODUCT(INDEX($AV$66:$AX$70,,$AI306), INDEX($AY$66:$BE$70,,$AH306), 1 / ($BF$66:$BF$70*CS306 + (1-$BF$66:$BF$70)*CO306), N($AU$66:$AU$70&gt;$AM306)),
SUMPRODUCT(INDEX($AV$56:$AX$65,,$AI306), INDEX($AY$56:$BE$65,,$AH306), 1 / ($BG$56:$BG$65*CS306 + (1-$BG$56:$BG$65)*CO306), N($AU$56:$AU$65&gt;$AM306))
) / 1000</f>
        <v>0</v>
      </c>
      <c r="CU306" s="231">
        <f t="shared" si="329"/>
        <v>20</v>
      </c>
      <c r="CV306" s="229">
        <f t="shared" si="549"/>
        <v>33</v>
      </c>
      <c r="CW306" s="234">
        <f t="shared" si="550"/>
        <v>4.8487499999999999</v>
      </c>
      <c r="CX306" s="234" cm="1">
        <f t="array" ref="CX306">$BM306 * IF($AH306&lt;=2,
SUMPRODUCT(INDEX($AV$61:$AX$65,,$AI306), INDEX($AY$61:$BE$65,,$AH306), 1 / ($BF$61:$BF$65*CW306 + (1-$BF$61:$BF$65)*CS306), N($AU$61:$AU$65&gt;$AM306)),
SUMPRODUCT(INDEX($AV$46:$AX$55,,$AI306), INDEX($AY$46:$BE$55,,$AH306), 1 / ($BG$46:$BG$55*CW306 + (1-$BG$46:$BG$55)*CS306), N($AU$46:$AU$55&gt;$AM306))
) / 1000</f>
        <v>0</v>
      </c>
      <c r="CY306" s="234" cm="1">
        <f t="array" ref="CY306">$BM306 * IF($AH306&lt;=2,
SUMPRODUCT(INDEX($AV$22:$AX$60,,$AI306), INDEX($AY$22:$BE$60,,$AH306), 1 / ($BF$22:$BF$60*CW306), N($AU$22:$AU$60&gt;$AM306)),
SUMPRODUCT(INDEX($AV$22:$AX$45,,$AI306), INDEX($AY$22:$BE$45,,$AH306), 1 / ($BG$22:$BG$45*CW306), N($AU$22:$AU$45&gt;$AM306))
) / 1000</f>
        <v>0</v>
      </c>
      <c r="CZ306" s="229">
        <f t="shared" si="551"/>
        <v>0</v>
      </c>
      <c r="DA306" s="246"/>
    </row>
    <row r="307" spans="1:105" s="75" customFormat="1" ht="14.25" customHeight="1" x14ac:dyDescent="0.2">
      <c r="A307" s="230" t="b">
        <f t="shared" si="291"/>
        <v>0</v>
      </c>
      <c r="B307" s="253">
        <v>286</v>
      </c>
      <c r="C307" s="266"/>
      <c r="D307" s="266"/>
      <c r="E307" s="254"/>
      <c r="F307" s="255" t="str">
        <f>IF(ISBLANK(E307), "", VLOOKUP(E307, Z!$A$2:$C$4127, 3, FALSE))</f>
        <v/>
      </c>
      <c r="G307" s="256"/>
      <c r="H307" s="256"/>
      <c r="I307" s="256"/>
      <c r="J307" s="257"/>
      <c r="K307" s="258"/>
      <c r="L307" s="267"/>
      <c r="M307" s="268"/>
      <c r="N307" s="259" t="str" cm="1">
        <f t="array" ref="N307">IF($L307&gt;0, INDEX(Clean,1+AK307,$D$1), "")</f>
        <v/>
      </c>
      <c r="O307" s="260"/>
      <c r="P307" s="260"/>
      <c r="Q307" s="261"/>
      <c r="R307" s="264">
        <f t="shared" si="527"/>
        <v>0</v>
      </c>
      <c r="S307" s="259" t="str" cm="1">
        <f t="array" ref="S307">IF($L307&gt;0, INDEX(Clean,1+AL307,$D$1), "")</f>
        <v/>
      </c>
      <c r="T307" s="260"/>
      <c r="U307" s="260"/>
      <c r="V307" s="261"/>
      <c r="W307" s="267"/>
      <c r="X307" s="267"/>
      <c r="Y307" s="257"/>
      <c r="Z307" s="264">
        <f t="shared" si="528"/>
        <v>0</v>
      </c>
      <c r="AA307" s="269"/>
      <c r="AB307" s="266"/>
      <c r="AC307" s="254"/>
      <c r="AD307" s="255" t="str">
        <f>IF(ISBLANK(AC307), "", VLOOKUP(AC307, Z!$A$2:$C$4127, 3, FALSE))</f>
        <v/>
      </c>
      <c r="AE307" s="270"/>
      <c r="AF307" s="265">
        <f t="shared" si="529"/>
        <v>0</v>
      </c>
      <c r="AG307" s="246"/>
      <c r="AH307" s="228">
        <f t="shared" si="552"/>
        <v>1</v>
      </c>
      <c r="AI307" s="228">
        <f t="shared" si="553"/>
        <v>1</v>
      </c>
      <c r="AJ307" s="228">
        <f t="shared" si="554"/>
        <v>0</v>
      </c>
      <c r="AK307" s="228">
        <v>0</v>
      </c>
      <c r="AL307" s="228">
        <v>0</v>
      </c>
      <c r="AM307" s="228">
        <f t="shared" si="530"/>
        <v>-100</v>
      </c>
      <c r="AN307" s="228" cm="1">
        <f t="array" ref="AN307">IF(ISBLANK(G307), 1, IFERROR(MATCH(G307, INDEX(Kat,,1), 0), IFERROR(MATCH(Kat, INDEX(Use,,2), 0), MATCH(Kat, INDEX(Use,,3), 0))))</f>
        <v>1</v>
      </c>
      <c r="AO307" s="246"/>
      <c r="AP307" s="228" cm="1">
        <f t="array" ref="AP307">IF(W307&gt;0, INDEX(Kat, AN307,4), 0)</f>
        <v>0</v>
      </c>
      <c r="AQ307" s="228">
        <f t="shared" si="555"/>
        <v>0</v>
      </c>
      <c r="AR307" s="228" cm="1">
        <f t="array" ref="AR307">IF(X307&gt;0, INDEX(Kat, $AN307, 4+AQ307), 0)</f>
        <v>0</v>
      </c>
      <c r="AS307" s="228" cm="1">
        <f t="array" ref="AS307">IF(X307&gt;0, INDEX(Kat, $AN307, 9+AQ307), 0)</f>
        <v>0</v>
      </c>
      <c r="AT307" s="246"/>
      <c r="AU307" s="262"/>
      <c r="AV307" s="262"/>
      <c r="AW307" s="263"/>
      <c r="AX307" s="263"/>
      <c r="AY307" s="263"/>
      <c r="AZ307" s="263"/>
      <c r="BA307" s="263"/>
      <c r="BB307" s="263"/>
      <c r="BC307" s="263"/>
      <c r="BD307" s="263"/>
      <c r="BE307" s="263"/>
      <c r="BF307" s="263"/>
      <c r="BG307" s="263"/>
      <c r="BH307" s="246"/>
      <c r="BI307" s="228" cm="1">
        <f t="array" ref="BI307">INDEX(Use, $AH307, 4)</f>
        <v>7</v>
      </c>
      <c r="BJ307" s="228">
        <f t="shared" si="531"/>
        <v>32</v>
      </c>
      <c r="BK307" s="228">
        <f t="shared" si="305"/>
        <v>13</v>
      </c>
      <c r="BL307" s="228">
        <f t="shared" si="306"/>
        <v>0</v>
      </c>
      <c r="BM307" s="233" cm="1">
        <f t="array" ref="BM307">L307/IF($M307&gt;0, INDEX($AY$22:$BE$76, $M307+20, $AH307), 1)</f>
        <v>0</v>
      </c>
      <c r="BN307" s="229">
        <f t="shared" si="532"/>
        <v>0</v>
      </c>
      <c r="BO307" s="228">
        <v>35</v>
      </c>
      <c r="BP307" s="229">
        <f t="shared" si="533"/>
        <v>48</v>
      </c>
      <c r="BQ307" s="234">
        <f t="shared" si="534"/>
        <v>3.0748170731707316</v>
      </c>
      <c r="BR307" s="234" cm="1">
        <f t="array" ref="BR307">$BM307 * SUMPRODUCT(INDEX($AV$76:$AX$81,,$AI307),INDEX($AY$76:$BE$81,,$AH307), N($AU$76:$AU$81&gt;$AM307)) / BQ307 / 1000</f>
        <v>0</v>
      </c>
      <c r="BS307" s="231">
        <f t="shared" si="310"/>
        <v>30</v>
      </c>
      <c r="BT307" s="229">
        <f t="shared" si="535"/>
        <v>43</v>
      </c>
      <c r="BU307" s="234">
        <f t="shared" si="536"/>
        <v>3.5018750000000001</v>
      </c>
      <c r="BV307" s="234" cm="1">
        <f t="array" ref="BV307">$BM307 * IF($AH307&lt;=2,
SUMPRODUCT(INDEX($AV$71:$AX$75,,$AI307), INDEX($AY$71:$BE$75,,$AH307), 1 / ($BF$71:$BF$75*BU307 + (1-$BF$71:$BF$75)*BQ307), N($AU$71:$AU$75&gt;$AM307)),
SUMPRODUCT(INDEX($AV$66:$AX$75,,$AI307), INDEX($AY$66:$BE$75,,$AH307), 1 / ($BG$66:$BG$75*BU307 + (1-$BG$66:$BG$75)*BQ307), N($AU$66:$AU$75&gt;$AM307))
) / 1000</f>
        <v>0</v>
      </c>
      <c r="BW307" s="231">
        <f t="shared" si="313"/>
        <v>25</v>
      </c>
      <c r="BX307" s="229">
        <f t="shared" si="537"/>
        <v>38</v>
      </c>
      <c r="BY307" s="234">
        <f t="shared" si="538"/>
        <v>4.0666935483870965</v>
      </c>
      <c r="BZ307" s="234" cm="1">
        <f t="array" ref="BZ307">$BM307 * IF($AH307&lt;=2,
SUMPRODUCT(INDEX($AV$66:$AX$70,,$AI307), INDEX($AY$66:$BE$70,,$AH307), 1 / ($BF$66:$BF$70*BY307 + (1-$BF$66:$BF$70)*BU307), N($AU$66:$AU$70&gt;$AM307)),
SUMPRODUCT(INDEX($AV$56:$AX$65,,$AI307), INDEX($AY$56:$BE$65,,$AH307), 1 / ($BG$56:$BG$65*BY307 + (1-$BG$56:$BG$65)*BU307), N($AU$56:$AU$65&gt;$AM307))
) / 1000</f>
        <v>0</v>
      </c>
      <c r="CA307" s="231">
        <f t="shared" si="316"/>
        <v>20</v>
      </c>
      <c r="CB307" s="229">
        <f t="shared" si="539"/>
        <v>33</v>
      </c>
      <c r="CC307" s="234">
        <f t="shared" si="540"/>
        <v>4.8487499999999999</v>
      </c>
      <c r="CD307" s="234" cm="1">
        <f t="array" ref="CD307">$BM307 * IF($AH307&lt;=2,
SUMPRODUCT(INDEX($AV$61:$AX$65,,$AI307), INDEX($AY$61:$BE$65,,$AH307), 1 / ($BF$61:$BF$65*CC307 + (1-$BF$61:$BF$65)*BY307), N($AU$61:$AU$65&gt;$AM307)),
SUMPRODUCT(INDEX($AV$46:$AX$55,,$AI307), INDEX($AY$46:$BE$55,,$AH307), 1 / ($BG$46:$BG$55*CC307 + (1-$BG$46:$BG$55)*BY307), N($AU$46:$AU$55&gt;$AM307))
) / 1000</f>
        <v>0</v>
      </c>
      <c r="CE307" s="234" cm="1">
        <f t="array" ref="CE307">$BM307 * IF($AH307&lt;=2,
SUMPRODUCT(INDEX($AV$22:$AX$60,,$AI307), INDEX($AY$22:$BE$60,,$AH307), 1 / ($BF$22:$BF$60*CC307), N($AU$22:$AU$60&gt;$AM307)),
SUMPRODUCT(INDEX($AV$22:$AX$45,,$AI307), INDEX($AY$22:$BE$45,,$AH307), 1 / ($BG$22:$BG$45*CC307), N($AU$22:$AU$45&gt;$AM307))
) / 1000</f>
        <v>0</v>
      </c>
      <c r="CF307" s="229">
        <f t="shared" si="541"/>
        <v>0</v>
      </c>
      <c r="CG307" s="246"/>
      <c r="CH307" s="229">
        <f t="shared" si="542"/>
        <v>0</v>
      </c>
      <c r="CI307" s="228">
        <v>35</v>
      </c>
      <c r="CJ307" s="229">
        <f t="shared" si="543"/>
        <v>48</v>
      </c>
      <c r="CK307" s="234">
        <f t="shared" si="544"/>
        <v>3.0748170731707316</v>
      </c>
      <c r="CL307" s="234" cm="1">
        <f t="array" ref="CL307">$BM307 * SUMPRODUCT(INDEX($AV$76:$AX$81,,$AI307),INDEX($AY$76:$BE$81,,$AH307), N($AU$76:$AU$81&gt;$AM307)) / CK307 / 1000</f>
        <v>0</v>
      </c>
      <c r="CM307" s="231">
        <f t="shared" si="323"/>
        <v>30</v>
      </c>
      <c r="CN307" s="229">
        <f t="shared" si="545"/>
        <v>43</v>
      </c>
      <c r="CO307" s="234">
        <f t="shared" si="546"/>
        <v>3.5018750000000001</v>
      </c>
      <c r="CP307" s="234" cm="1">
        <f t="array" ref="CP307">$BM307 * IF($AH307&lt;=2,
SUMPRODUCT(INDEX($AV$71:$AX$75,,$AI307), INDEX($AY$71:$BE$75,,$AH307), 1 / ($BF$71:$BF$75*CO307 + (1-$BF$71:$BF$75)*CK307), N($AU$71:$AU$75&gt;$AM307)),
SUMPRODUCT(INDEX($AV$66:$AX$75,,$AI307), INDEX($AY$66:$BE$75,,$AH307), 1 / ($BG$66:$BG$75*CO307 + (1-$BG$66:$BG$75)*CK307), N($AU$66:$AU$75&gt;$AM307))
) / 1000</f>
        <v>0</v>
      </c>
      <c r="CQ307" s="231">
        <f t="shared" si="326"/>
        <v>25</v>
      </c>
      <c r="CR307" s="229">
        <f t="shared" si="547"/>
        <v>38</v>
      </c>
      <c r="CS307" s="234">
        <f t="shared" si="548"/>
        <v>4.0666935483870965</v>
      </c>
      <c r="CT307" s="234" cm="1">
        <f t="array" ref="CT307">$BM307 * IF($AH307&lt;=2,
SUMPRODUCT(INDEX($AV$66:$AX$70,,$AI307), INDEX($AY$66:$BE$70,,$AH307), 1 / ($BF$66:$BF$70*CS307 + (1-$BF$66:$BF$70)*CO307), N($AU$66:$AU$70&gt;$AM307)),
SUMPRODUCT(INDEX($AV$56:$AX$65,,$AI307), INDEX($AY$56:$BE$65,,$AH307), 1 / ($BG$56:$BG$65*CS307 + (1-$BG$56:$BG$65)*CO307), N($AU$56:$AU$65&gt;$AM307))
) / 1000</f>
        <v>0</v>
      </c>
      <c r="CU307" s="231">
        <f t="shared" si="329"/>
        <v>20</v>
      </c>
      <c r="CV307" s="229">
        <f t="shared" si="549"/>
        <v>33</v>
      </c>
      <c r="CW307" s="234">
        <f t="shared" si="550"/>
        <v>4.8487499999999999</v>
      </c>
      <c r="CX307" s="234" cm="1">
        <f t="array" ref="CX307">$BM307 * IF($AH307&lt;=2,
SUMPRODUCT(INDEX($AV$61:$AX$65,,$AI307), INDEX($AY$61:$BE$65,,$AH307), 1 / ($BF$61:$BF$65*CW307 + (1-$BF$61:$BF$65)*CS307), N($AU$61:$AU$65&gt;$AM307)),
SUMPRODUCT(INDEX($AV$46:$AX$55,,$AI307), INDEX($AY$46:$BE$55,,$AH307), 1 / ($BG$46:$BG$55*CW307 + (1-$BG$46:$BG$55)*CS307), N($AU$46:$AU$55&gt;$AM307))
) / 1000</f>
        <v>0</v>
      </c>
      <c r="CY307" s="234" cm="1">
        <f t="array" ref="CY307">$BM307 * IF($AH307&lt;=2,
SUMPRODUCT(INDEX($AV$22:$AX$60,,$AI307), INDEX($AY$22:$BE$60,,$AH307), 1 / ($BF$22:$BF$60*CW307), N($AU$22:$AU$60&gt;$AM307)),
SUMPRODUCT(INDEX($AV$22:$AX$45,,$AI307), INDEX($AY$22:$BE$45,,$AH307), 1 / ($BG$22:$BG$45*CW307), N($AU$22:$AU$45&gt;$AM307))
) / 1000</f>
        <v>0</v>
      </c>
      <c r="CZ307" s="229">
        <f t="shared" si="551"/>
        <v>0</v>
      </c>
      <c r="DA307" s="246"/>
    </row>
    <row r="308" spans="1:105" s="75" customFormat="1" ht="14.25" customHeight="1" x14ac:dyDescent="0.2">
      <c r="A308" s="230" t="b">
        <f t="shared" si="291"/>
        <v>0</v>
      </c>
      <c r="B308" s="253">
        <v>287</v>
      </c>
      <c r="C308" s="266"/>
      <c r="D308" s="266"/>
      <c r="E308" s="254"/>
      <c r="F308" s="255" t="str">
        <f>IF(ISBLANK(E308), "", VLOOKUP(E308, Z!$A$2:$C$4127, 3, FALSE))</f>
        <v/>
      </c>
      <c r="G308" s="256"/>
      <c r="H308" s="256"/>
      <c r="I308" s="256"/>
      <c r="J308" s="257"/>
      <c r="K308" s="258"/>
      <c r="L308" s="267"/>
      <c r="M308" s="268"/>
      <c r="N308" s="259" t="str" cm="1">
        <f t="array" ref="N308">IF($L308&gt;0, INDEX(Clean,1+AK308,$D$1), "")</f>
        <v/>
      </c>
      <c r="O308" s="260"/>
      <c r="P308" s="260"/>
      <c r="Q308" s="261"/>
      <c r="R308" s="264">
        <f t="shared" si="527"/>
        <v>0</v>
      </c>
      <c r="S308" s="259" t="str" cm="1">
        <f t="array" ref="S308">IF($L308&gt;0, INDEX(Clean,1+AL308,$D$1), "")</f>
        <v/>
      </c>
      <c r="T308" s="260"/>
      <c r="U308" s="260"/>
      <c r="V308" s="261"/>
      <c r="W308" s="267"/>
      <c r="X308" s="267"/>
      <c r="Y308" s="257"/>
      <c r="Z308" s="264">
        <f t="shared" si="528"/>
        <v>0</v>
      </c>
      <c r="AA308" s="269"/>
      <c r="AB308" s="266"/>
      <c r="AC308" s="254"/>
      <c r="AD308" s="255" t="str">
        <f>IF(ISBLANK(AC308), "", VLOOKUP(AC308, Z!$A$2:$C$4127, 3, FALSE))</f>
        <v/>
      </c>
      <c r="AE308" s="270"/>
      <c r="AF308" s="265">
        <f t="shared" si="529"/>
        <v>0</v>
      </c>
      <c r="AG308" s="246"/>
      <c r="AH308" s="228">
        <f t="shared" si="552"/>
        <v>1</v>
      </c>
      <c r="AI308" s="228">
        <f t="shared" si="553"/>
        <v>1</v>
      </c>
      <c r="AJ308" s="228">
        <f t="shared" si="554"/>
        <v>0</v>
      </c>
      <c r="AK308" s="228">
        <v>0</v>
      </c>
      <c r="AL308" s="228">
        <v>0</v>
      </c>
      <c r="AM308" s="228">
        <f t="shared" si="530"/>
        <v>-100</v>
      </c>
      <c r="AN308" s="228" cm="1">
        <f t="array" ref="AN308">IF(ISBLANK(G308), 1, IFERROR(MATCH(G308, INDEX(Kat,,1), 0), IFERROR(MATCH(Kat, INDEX(Use,,2), 0), MATCH(Kat, INDEX(Use,,3), 0))))</f>
        <v>1</v>
      </c>
      <c r="AO308" s="246"/>
      <c r="AP308" s="228" cm="1">
        <f t="array" ref="AP308">IF(W308&gt;0, INDEX(Kat, AN308,4), 0)</f>
        <v>0</v>
      </c>
      <c r="AQ308" s="228">
        <f t="shared" si="555"/>
        <v>0</v>
      </c>
      <c r="AR308" s="228" cm="1">
        <f t="array" ref="AR308">IF(X308&gt;0, INDEX(Kat, $AN308, 4+AQ308), 0)</f>
        <v>0</v>
      </c>
      <c r="AS308" s="228" cm="1">
        <f t="array" ref="AS308">IF(X308&gt;0, INDEX(Kat, $AN308, 9+AQ308), 0)</f>
        <v>0</v>
      </c>
      <c r="AT308" s="246"/>
      <c r="AU308" s="262"/>
      <c r="AV308" s="262"/>
      <c r="AW308" s="263"/>
      <c r="AX308" s="263"/>
      <c r="AY308" s="263"/>
      <c r="AZ308" s="263"/>
      <c r="BA308" s="263"/>
      <c r="BB308" s="263"/>
      <c r="BC308" s="263"/>
      <c r="BD308" s="263"/>
      <c r="BE308" s="263"/>
      <c r="BF308" s="263"/>
      <c r="BG308" s="263"/>
      <c r="BH308" s="246"/>
      <c r="BI308" s="228" cm="1">
        <f t="array" ref="BI308">INDEX(Use, $AH308, 4)</f>
        <v>7</v>
      </c>
      <c r="BJ308" s="228">
        <f t="shared" si="531"/>
        <v>32</v>
      </c>
      <c r="BK308" s="228">
        <f t="shared" si="305"/>
        <v>13</v>
      </c>
      <c r="BL308" s="228">
        <f t="shared" si="306"/>
        <v>0</v>
      </c>
      <c r="BM308" s="233" cm="1">
        <f t="array" ref="BM308">L308/IF($M308&gt;0, INDEX($AY$22:$BE$76, $M308+20, $AH308), 1)</f>
        <v>0</v>
      </c>
      <c r="BN308" s="229">
        <f t="shared" si="532"/>
        <v>0</v>
      </c>
      <c r="BO308" s="228">
        <v>35</v>
      </c>
      <c r="BP308" s="229">
        <f t="shared" si="533"/>
        <v>48</v>
      </c>
      <c r="BQ308" s="234">
        <f t="shared" si="534"/>
        <v>3.0748170731707316</v>
      </c>
      <c r="BR308" s="234" cm="1">
        <f t="array" ref="BR308">$BM308 * SUMPRODUCT(INDEX($AV$76:$AX$81,,$AI308),INDEX($AY$76:$BE$81,,$AH308), N($AU$76:$AU$81&gt;$AM308)) / BQ308 / 1000</f>
        <v>0</v>
      </c>
      <c r="BS308" s="231">
        <f t="shared" si="310"/>
        <v>30</v>
      </c>
      <c r="BT308" s="229">
        <f t="shared" si="535"/>
        <v>43</v>
      </c>
      <c r="BU308" s="234">
        <f t="shared" si="536"/>
        <v>3.5018750000000001</v>
      </c>
      <c r="BV308" s="234" cm="1">
        <f t="array" ref="BV308">$BM308 * IF($AH308&lt;=2,
SUMPRODUCT(INDEX($AV$71:$AX$75,,$AI308), INDEX($AY$71:$BE$75,,$AH308), 1 / ($BF$71:$BF$75*BU308 + (1-$BF$71:$BF$75)*BQ308), N($AU$71:$AU$75&gt;$AM308)),
SUMPRODUCT(INDEX($AV$66:$AX$75,,$AI308), INDEX($AY$66:$BE$75,,$AH308), 1 / ($BG$66:$BG$75*BU308 + (1-$BG$66:$BG$75)*BQ308), N($AU$66:$AU$75&gt;$AM308))
) / 1000</f>
        <v>0</v>
      </c>
      <c r="BW308" s="231">
        <f t="shared" si="313"/>
        <v>25</v>
      </c>
      <c r="BX308" s="229">
        <f t="shared" si="537"/>
        <v>38</v>
      </c>
      <c r="BY308" s="234">
        <f t="shared" si="538"/>
        <v>4.0666935483870965</v>
      </c>
      <c r="BZ308" s="234" cm="1">
        <f t="array" ref="BZ308">$BM308 * IF($AH308&lt;=2,
SUMPRODUCT(INDEX($AV$66:$AX$70,,$AI308), INDEX($AY$66:$BE$70,,$AH308), 1 / ($BF$66:$BF$70*BY308 + (1-$BF$66:$BF$70)*BU308), N($AU$66:$AU$70&gt;$AM308)),
SUMPRODUCT(INDEX($AV$56:$AX$65,,$AI308), INDEX($AY$56:$BE$65,,$AH308), 1 / ($BG$56:$BG$65*BY308 + (1-$BG$56:$BG$65)*BU308), N($AU$56:$AU$65&gt;$AM308))
) / 1000</f>
        <v>0</v>
      </c>
      <c r="CA308" s="231">
        <f t="shared" si="316"/>
        <v>20</v>
      </c>
      <c r="CB308" s="229">
        <f t="shared" si="539"/>
        <v>33</v>
      </c>
      <c r="CC308" s="234">
        <f t="shared" si="540"/>
        <v>4.8487499999999999</v>
      </c>
      <c r="CD308" s="234" cm="1">
        <f t="array" ref="CD308">$BM308 * IF($AH308&lt;=2,
SUMPRODUCT(INDEX($AV$61:$AX$65,,$AI308), INDEX($AY$61:$BE$65,,$AH308), 1 / ($BF$61:$BF$65*CC308 + (1-$BF$61:$BF$65)*BY308), N($AU$61:$AU$65&gt;$AM308)),
SUMPRODUCT(INDEX($AV$46:$AX$55,,$AI308), INDEX($AY$46:$BE$55,,$AH308), 1 / ($BG$46:$BG$55*CC308 + (1-$BG$46:$BG$55)*BY308), N($AU$46:$AU$55&gt;$AM308))
) / 1000</f>
        <v>0</v>
      </c>
      <c r="CE308" s="234" cm="1">
        <f t="array" ref="CE308">$BM308 * IF($AH308&lt;=2,
SUMPRODUCT(INDEX($AV$22:$AX$60,,$AI308), INDEX($AY$22:$BE$60,,$AH308), 1 / ($BF$22:$BF$60*CC308), N($AU$22:$AU$60&gt;$AM308)),
SUMPRODUCT(INDEX($AV$22:$AX$45,,$AI308), INDEX($AY$22:$BE$45,,$AH308), 1 / ($BG$22:$BG$45*CC308), N($AU$22:$AU$45&gt;$AM308))
) / 1000</f>
        <v>0</v>
      </c>
      <c r="CF308" s="229">
        <f t="shared" si="541"/>
        <v>0</v>
      </c>
      <c r="CG308" s="246"/>
      <c r="CH308" s="229">
        <f t="shared" si="542"/>
        <v>0</v>
      </c>
      <c r="CI308" s="228">
        <v>35</v>
      </c>
      <c r="CJ308" s="229">
        <f t="shared" si="543"/>
        <v>48</v>
      </c>
      <c r="CK308" s="234">
        <f t="shared" si="544"/>
        <v>3.0748170731707316</v>
      </c>
      <c r="CL308" s="234" cm="1">
        <f t="array" ref="CL308">$BM308 * SUMPRODUCT(INDEX($AV$76:$AX$81,,$AI308),INDEX($AY$76:$BE$81,,$AH308), N($AU$76:$AU$81&gt;$AM308)) / CK308 / 1000</f>
        <v>0</v>
      </c>
      <c r="CM308" s="231">
        <f t="shared" si="323"/>
        <v>30</v>
      </c>
      <c r="CN308" s="229">
        <f t="shared" si="545"/>
        <v>43</v>
      </c>
      <c r="CO308" s="234">
        <f t="shared" si="546"/>
        <v>3.5018750000000001</v>
      </c>
      <c r="CP308" s="234" cm="1">
        <f t="array" ref="CP308">$BM308 * IF($AH308&lt;=2,
SUMPRODUCT(INDEX($AV$71:$AX$75,,$AI308), INDEX($AY$71:$BE$75,,$AH308), 1 / ($BF$71:$BF$75*CO308 + (1-$BF$71:$BF$75)*CK308), N($AU$71:$AU$75&gt;$AM308)),
SUMPRODUCT(INDEX($AV$66:$AX$75,,$AI308), INDEX($AY$66:$BE$75,,$AH308), 1 / ($BG$66:$BG$75*CO308 + (1-$BG$66:$BG$75)*CK308), N($AU$66:$AU$75&gt;$AM308))
) / 1000</f>
        <v>0</v>
      </c>
      <c r="CQ308" s="231">
        <f t="shared" si="326"/>
        <v>25</v>
      </c>
      <c r="CR308" s="229">
        <f t="shared" si="547"/>
        <v>38</v>
      </c>
      <c r="CS308" s="234">
        <f t="shared" si="548"/>
        <v>4.0666935483870965</v>
      </c>
      <c r="CT308" s="234" cm="1">
        <f t="array" ref="CT308">$BM308 * IF($AH308&lt;=2,
SUMPRODUCT(INDEX($AV$66:$AX$70,,$AI308), INDEX($AY$66:$BE$70,,$AH308), 1 / ($BF$66:$BF$70*CS308 + (1-$BF$66:$BF$70)*CO308), N($AU$66:$AU$70&gt;$AM308)),
SUMPRODUCT(INDEX($AV$56:$AX$65,,$AI308), INDEX($AY$56:$BE$65,,$AH308), 1 / ($BG$56:$BG$65*CS308 + (1-$BG$56:$BG$65)*CO308), N($AU$56:$AU$65&gt;$AM308))
) / 1000</f>
        <v>0</v>
      </c>
      <c r="CU308" s="231">
        <f t="shared" si="329"/>
        <v>20</v>
      </c>
      <c r="CV308" s="229">
        <f t="shared" si="549"/>
        <v>33</v>
      </c>
      <c r="CW308" s="234">
        <f t="shared" si="550"/>
        <v>4.8487499999999999</v>
      </c>
      <c r="CX308" s="234" cm="1">
        <f t="array" ref="CX308">$BM308 * IF($AH308&lt;=2,
SUMPRODUCT(INDEX($AV$61:$AX$65,,$AI308), INDEX($AY$61:$BE$65,,$AH308), 1 / ($BF$61:$BF$65*CW308 + (1-$BF$61:$BF$65)*CS308), N($AU$61:$AU$65&gt;$AM308)),
SUMPRODUCT(INDEX($AV$46:$AX$55,,$AI308), INDEX($AY$46:$BE$55,,$AH308), 1 / ($BG$46:$BG$55*CW308 + (1-$BG$46:$BG$55)*CS308), N($AU$46:$AU$55&gt;$AM308))
) / 1000</f>
        <v>0</v>
      </c>
      <c r="CY308" s="234" cm="1">
        <f t="array" ref="CY308">$BM308 * IF($AH308&lt;=2,
SUMPRODUCT(INDEX($AV$22:$AX$60,,$AI308), INDEX($AY$22:$BE$60,,$AH308), 1 / ($BF$22:$BF$60*CW308), N($AU$22:$AU$60&gt;$AM308)),
SUMPRODUCT(INDEX($AV$22:$AX$45,,$AI308), INDEX($AY$22:$BE$45,,$AH308), 1 / ($BG$22:$BG$45*CW308), N($AU$22:$AU$45&gt;$AM308))
) / 1000</f>
        <v>0</v>
      </c>
      <c r="CZ308" s="229">
        <f t="shared" si="551"/>
        <v>0</v>
      </c>
      <c r="DA308" s="246"/>
    </row>
    <row r="309" spans="1:105" s="75" customFormat="1" ht="14.25" customHeight="1" x14ac:dyDescent="0.2">
      <c r="A309" s="230" t="b">
        <f t="shared" si="291"/>
        <v>0</v>
      </c>
      <c r="B309" s="253">
        <v>288</v>
      </c>
      <c r="C309" s="266"/>
      <c r="D309" s="266"/>
      <c r="E309" s="254"/>
      <c r="F309" s="255" t="str">
        <f>IF(ISBLANK(E309), "", VLOOKUP(E309, Z!$A$2:$C$4127, 3, FALSE))</f>
        <v/>
      </c>
      <c r="G309" s="256"/>
      <c r="H309" s="256"/>
      <c r="I309" s="256"/>
      <c r="J309" s="257"/>
      <c r="K309" s="258"/>
      <c r="L309" s="267"/>
      <c r="M309" s="268"/>
      <c r="N309" s="259" t="str" cm="1">
        <f t="array" ref="N309">IF($L309&gt;0, INDEX(Clean,1+AK309,$D$1), "")</f>
        <v/>
      </c>
      <c r="O309" s="260"/>
      <c r="P309" s="260"/>
      <c r="Q309" s="261"/>
      <c r="R309" s="264">
        <f t="shared" si="527"/>
        <v>0</v>
      </c>
      <c r="S309" s="259" t="str" cm="1">
        <f t="array" ref="S309">IF($L309&gt;0, INDEX(Clean,1+AL309,$D$1), "")</f>
        <v/>
      </c>
      <c r="T309" s="260"/>
      <c r="U309" s="260"/>
      <c r="V309" s="261"/>
      <c r="W309" s="267"/>
      <c r="X309" s="267"/>
      <c r="Y309" s="257"/>
      <c r="Z309" s="264">
        <f t="shared" si="528"/>
        <v>0</v>
      </c>
      <c r="AA309" s="269"/>
      <c r="AB309" s="266"/>
      <c r="AC309" s="254"/>
      <c r="AD309" s="255" t="str">
        <f>IF(ISBLANK(AC309), "", VLOOKUP(AC309, Z!$A$2:$C$4127, 3, FALSE))</f>
        <v/>
      </c>
      <c r="AE309" s="270"/>
      <c r="AF309" s="265">
        <f t="shared" si="529"/>
        <v>0</v>
      </c>
      <c r="AG309" s="246"/>
      <c r="AH309" s="228">
        <f t="shared" si="552"/>
        <v>1</v>
      </c>
      <c r="AI309" s="228">
        <f t="shared" si="553"/>
        <v>1</v>
      </c>
      <c r="AJ309" s="228">
        <f t="shared" si="554"/>
        <v>0</v>
      </c>
      <c r="AK309" s="228">
        <v>0</v>
      </c>
      <c r="AL309" s="228">
        <v>0</v>
      </c>
      <c r="AM309" s="228">
        <f t="shared" si="530"/>
        <v>-100</v>
      </c>
      <c r="AN309" s="228" cm="1">
        <f t="array" ref="AN309">IF(ISBLANK(G309), 1, IFERROR(MATCH(G309, INDEX(Kat,,1), 0), IFERROR(MATCH(Kat, INDEX(Use,,2), 0), MATCH(Kat, INDEX(Use,,3), 0))))</f>
        <v>1</v>
      </c>
      <c r="AO309" s="246"/>
      <c r="AP309" s="228" cm="1">
        <f t="array" ref="AP309">IF(W309&gt;0, INDEX(Kat, AN309,4), 0)</f>
        <v>0</v>
      </c>
      <c r="AQ309" s="228">
        <f t="shared" si="555"/>
        <v>0</v>
      </c>
      <c r="AR309" s="228" cm="1">
        <f t="array" ref="AR309">IF(X309&gt;0, INDEX(Kat, $AN309, 4+AQ309), 0)</f>
        <v>0</v>
      </c>
      <c r="AS309" s="228" cm="1">
        <f t="array" ref="AS309">IF(X309&gt;0, INDEX(Kat, $AN309, 9+AQ309), 0)</f>
        <v>0</v>
      </c>
      <c r="AT309" s="246"/>
      <c r="AU309" s="262"/>
      <c r="AV309" s="262"/>
      <c r="AW309" s="263"/>
      <c r="AX309" s="263"/>
      <c r="AY309" s="263"/>
      <c r="AZ309" s="263"/>
      <c r="BA309" s="263"/>
      <c r="BB309" s="263"/>
      <c r="BC309" s="263"/>
      <c r="BD309" s="263"/>
      <c r="BE309" s="263"/>
      <c r="BF309" s="263"/>
      <c r="BG309" s="263"/>
      <c r="BH309" s="246"/>
      <c r="BI309" s="228" cm="1">
        <f t="array" ref="BI309">INDEX(Use, $AH309, 4)</f>
        <v>7</v>
      </c>
      <c r="BJ309" s="228">
        <f t="shared" si="531"/>
        <v>32</v>
      </c>
      <c r="BK309" s="228">
        <f t="shared" si="305"/>
        <v>13</v>
      </c>
      <c r="BL309" s="228">
        <f t="shared" si="306"/>
        <v>0</v>
      </c>
      <c r="BM309" s="233" cm="1">
        <f t="array" ref="BM309">L309/IF($M309&gt;0, INDEX($AY$22:$BE$76, $M309+20, $AH309), 1)</f>
        <v>0</v>
      </c>
      <c r="BN309" s="229">
        <f t="shared" si="532"/>
        <v>0</v>
      </c>
      <c r="BO309" s="228">
        <v>35</v>
      </c>
      <c r="BP309" s="229">
        <f t="shared" si="533"/>
        <v>48</v>
      </c>
      <c r="BQ309" s="234">
        <f t="shared" si="534"/>
        <v>3.0748170731707316</v>
      </c>
      <c r="BR309" s="234" cm="1">
        <f t="array" ref="BR309">$BM309 * SUMPRODUCT(INDEX($AV$76:$AX$81,,$AI309),INDEX($AY$76:$BE$81,,$AH309), N($AU$76:$AU$81&gt;$AM309)) / BQ309 / 1000</f>
        <v>0</v>
      </c>
      <c r="BS309" s="231">
        <f t="shared" si="310"/>
        <v>30</v>
      </c>
      <c r="BT309" s="229">
        <f t="shared" si="535"/>
        <v>43</v>
      </c>
      <c r="BU309" s="234">
        <f t="shared" si="536"/>
        <v>3.5018750000000001</v>
      </c>
      <c r="BV309" s="234" cm="1">
        <f t="array" ref="BV309">$BM309 * IF($AH309&lt;=2,
SUMPRODUCT(INDEX($AV$71:$AX$75,,$AI309), INDEX($AY$71:$BE$75,,$AH309), 1 / ($BF$71:$BF$75*BU309 + (1-$BF$71:$BF$75)*BQ309), N($AU$71:$AU$75&gt;$AM309)),
SUMPRODUCT(INDEX($AV$66:$AX$75,,$AI309), INDEX($AY$66:$BE$75,,$AH309), 1 / ($BG$66:$BG$75*BU309 + (1-$BG$66:$BG$75)*BQ309), N($AU$66:$AU$75&gt;$AM309))
) / 1000</f>
        <v>0</v>
      </c>
      <c r="BW309" s="231">
        <f t="shared" si="313"/>
        <v>25</v>
      </c>
      <c r="BX309" s="229">
        <f t="shared" si="537"/>
        <v>38</v>
      </c>
      <c r="BY309" s="234">
        <f t="shared" si="538"/>
        <v>4.0666935483870965</v>
      </c>
      <c r="BZ309" s="234" cm="1">
        <f t="array" ref="BZ309">$BM309 * IF($AH309&lt;=2,
SUMPRODUCT(INDEX($AV$66:$AX$70,,$AI309), INDEX($AY$66:$BE$70,,$AH309), 1 / ($BF$66:$BF$70*BY309 + (1-$BF$66:$BF$70)*BU309), N($AU$66:$AU$70&gt;$AM309)),
SUMPRODUCT(INDEX($AV$56:$AX$65,,$AI309), INDEX($AY$56:$BE$65,,$AH309), 1 / ($BG$56:$BG$65*BY309 + (1-$BG$56:$BG$65)*BU309), N($AU$56:$AU$65&gt;$AM309))
) / 1000</f>
        <v>0</v>
      </c>
      <c r="CA309" s="231">
        <f t="shared" si="316"/>
        <v>20</v>
      </c>
      <c r="CB309" s="229">
        <f t="shared" si="539"/>
        <v>33</v>
      </c>
      <c r="CC309" s="234">
        <f t="shared" si="540"/>
        <v>4.8487499999999999</v>
      </c>
      <c r="CD309" s="234" cm="1">
        <f t="array" ref="CD309">$BM309 * IF($AH309&lt;=2,
SUMPRODUCT(INDEX($AV$61:$AX$65,,$AI309), INDEX($AY$61:$BE$65,,$AH309), 1 / ($BF$61:$BF$65*CC309 + (1-$BF$61:$BF$65)*BY309), N($AU$61:$AU$65&gt;$AM309)),
SUMPRODUCT(INDEX($AV$46:$AX$55,,$AI309), INDEX($AY$46:$BE$55,,$AH309), 1 / ($BG$46:$BG$55*CC309 + (1-$BG$46:$BG$55)*BY309), N($AU$46:$AU$55&gt;$AM309))
) / 1000</f>
        <v>0</v>
      </c>
      <c r="CE309" s="234" cm="1">
        <f t="array" ref="CE309">$BM309 * IF($AH309&lt;=2,
SUMPRODUCT(INDEX($AV$22:$AX$60,,$AI309), INDEX($AY$22:$BE$60,,$AH309), 1 / ($BF$22:$BF$60*CC309), N($AU$22:$AU$60&gt;$AM309)),
SUMPRODUCT(INDEX($AV$22:$AX$45,,$AI309), INDEX($AY$22:$BE$45,,$AH309), 1 / ($BG$22:$BG$45*CC309), N($AU$22:$AU$45&gt;$AM309))
) / 1000</f>
        <v>0</v>
      </c>
      <c r="CF309" s="229">
        <f t="shared" si="541"/>
        <v>0</v>
      </c>
      <c r="CG309" s="246"/>
      <c r="CH309" s="229">
        <f t="shared" si="542"/>
        <v>0</v>
      </c>
      <c r="CI309" s="228">
        <v>35</v>
      </c>
      <c r="CJ309" s="229">
        <f t="shared" si="543"/>
        <v>48</v>
      </c>
      <c r="CK309" s="234">
        <f t="shared" si="544"/>
        <v>3.0748170731707316</v>
      </c>
      <c r="CL309" s="234" cm="1">
        <f t="array" ref="CL309">$BM309 * SUMPRODUCT(INDEX($AV$76:$AX$81,,$AI309),INDEX($AY$76:$BE$81,,$AH309), N($AU$76:$AU$81&gt;$AM309)) / CK309 / 1000</f>
        <v>0</v>
      </c>
      <c r="CM309" s="231">
        <f t="shared" si="323"/>
        <v>30</v>
      </c>
      <c r="CN309" s="229">
        <f t="shared" si="545"/>
        <v>43</v>
      </c>
      <c r="CO309" s="234">
        <f t="shared" si="546"/>
        <v>3.5018750000000001</v>
      </c>
      <c r="CP309" s="234" cm="1">
        <f t="array" ref="CP309">$BM309 * IF($AH309&lt;=2,
SUMPRODUCT(INDEX($AV$71:$AX$75,,$AI309), INDEX($AY$71:$BE$75,,$AH309), 1 / ($BF$71:$BF$75*CO309 + (1-$BF$71:$BF$75)*CK309), N($AU$71:$AU$75&gt;$AM309)),
SUMPRODUCT(INDEX($AV$66:$AX$75,,$AI309), INDEX($AY$66:$BE$75,,$AH309), 1 / ($BG$66:$BG$75*CO309 + (1-$BG$66:$BG$75)*CK309), N($AU$66:$AU$75&gt;$AM309))
) / 1000</f>
        <v>0</v>
      </c>
      <c r="CQ309" s="231">
        <f t="shared" si="326"/>
        <v>25</v>
      </c>
      <c r="CR309" s="229">
        <f t="shared" si="547"/>
        <v>38</v>
      </c>
      <c r="CS309" s="234">
        <f t="shared" si="548"/>
        <v>4.0666935483870965</v>
      </c>
      <c r="CT309" s="234" cm="1">
        <f t="array" ref="CT309">$BM309 * IF($AH309&lt;=2,
SUMPRODUCT(INDEX($AV$66:$AX$70,,$AI309), INDEX($AY$66:$BE$70,,$AH309), 1 / ($BF$66:$BF$70*CS309 + (1-$BF$66:$BF$70)*CO309), N($AU$66:$AU$70&gt;$AM309)),
SUMPRODUCT(INDEX($AV$56:$AX$65,,$AI309), INDEX($AY$56:$BE$65,,$AH309), 1 / ($BG$56:$BG$65*CS309 + (1-$BG$56:$BG$65)*CO309), N($AU$56:$AU$65&gt;$AM309))
) / 1000</f>
        <v>0</v>
      </c>
      <c r="CU309" s="231">
        <f t="shared" si="329"/>
        <v>20</v>
      </c>
      <c r="CV309" s="229">
        <f t="shared" si="549"/>
        <v>33</v>
      </c>
      <c r="CW309" s="234">
        <f t="shared" si="550"/>
        <v>4.8487499999999999</v>
      </c>
      <c r="CX309" s="234" cm="1">
        <f t="array" ref="CX309">$BM309 * IF($AH309&lt;=2,
SUMPRODUCT(INDEX($AV$61:$AX$65,,$AI309), INDEX($AY$61:$BE$65,,$AH309), 1 / ($BF$61:$BF$65*CW309 + (1-$BF$61:$BF$65)*CS309), N($AU$61:$AU$65&gt;$AM309)),
SUMPRODUCT(INDEX($AV$46:$AX$55,,$AI309), INDEX($AY$46:$BE$55,,$AH309), 1 / ($BG$46:$BG$55*CW309 + (1-$BG$46:$BG$55)*CS309), N($AU$46:$AU$55&gt;$AM309))
) / 1000</f>
        <v>0</v>
      </c>
      <c r="CY309" s="234" cm="1">
        <f t="array" ref="CY309">$BM309 * IF($AH309&lt;=2,
SUMPRODUCT(INDEX($AV$22:$AX$60,,$AI309), INDEX($AY$22:$BE$60,,$AH309), 1 / ($BF$22:$BF$60*CW309), N($AU$22:$AU$60&gt;$AM309)),
SUMPRODUCT(INDEX($AV$22:$AX$45,,$AI309), INDEX($AY$22:$BE$45,,$AH309), 1 / ($BG$22:$BG$45*CW309), N($AU$22:$AU$45&gt;$AM309))
) / 1000</f>
        <v>0</v>
      </c>
      <c r="CZ309" s="229">
        <f t="shared" si="551"/>
        <v>0</v>
      </c>
      <c r="DA309" s="246"/>
    </row>
    <row r="310" spans="1:105" s="75" customFormat="1" ht="14.25" customHeight="1" x14ac:dyDescent="0.2">
      <c r="A310" s="230" t="b">
        <f t="shared" si="291"/>
        <v>0</v>
      </c>
      <c r="B310" s="253">
        <v>289</v>
      </c>
      <c r="C310" s="266"/>
      <c r="D310" s="266"/>
      <c r="E310" s="254"/>
      <c r="F310" s="255" t="str">
        <f>IF(ISBLANK(E310), "", VLOOKUP(E310, Z!$A$2:$C$4127, 3, FALSE))</f>
        <v/>
      </c>
      <c r="G310" s="256"/>
      <c r="H310" s="256"/>
      <c r="I310" s="256"/>
      <c r="J310" s="257"/>
      <c r="K310" s="258"/>
      <c r="L310" s="267"/>
      <c r="M310" s="268"/>
      <c r="N310" s="259" t="str" cm="1">
        <f t="array" ref="N310">IF($L310&gt;0, INDEX(Clean,1+AK310,$D$1), "")</f>
        <v/>
      </c>
      <c r="O310" s="260"/>
      <c r="P310" s="260"/>
      <c r="Q310" s="261"/>
      <c r="R310" s="264">
        <f t="shared" si="527"/>
        <v>0</v>
      </c>
      <c r="S310" s="259" t="str" cm="1">
        <f t="array" ref="S310">IF($L310&gt;0, INDEX(Clean,1+AL310,$D$1), "")</f>
        <v/>
      </c>
      <c r="T310" s="260"/>
      <c r="U310" s="260"/>
      <c r="V310" s="261"/>
      <c r="W310" s="267"/>
      <c r="X310" s="267"/>
      <c r="Y310" s="257"/>
      <c r="Z310" s="264">
        <f t="shared" si="528"/>
        <v>0</v>
      </c>
      <c r="AA310" s="269"/>
      <c r="AB310" s="266"/>
      <c r="AC310" s="254"/>
      <c r="AD310" s="255" t="str">
        <f>IF(ISBLANK(AC310), "", VLOOKUP(AC310, Z!$A$2:$C$4127, 3, FALSE))</f>
        <v/>
      </c>
      <c r="AE310" s="270"/>
      <c r="AF310" s="265">
        <f t="shared" si="529"/>
        <v>0</v>
      </c>
      <c r="AG310" s="246"/>
      <c r="AH310" s="228">
        <f t="shared" si="552"/>
        <v>1</v>
      </c>
      <c r="AI310" s="228">
        <f t="shared" si="553"/>
        <v>1</v>
      </c>
      <c r="AJ310" s="228">
        <f t="shared" si="554"/>
        <v>0</v>
      </c>
      <c r="AK310" s="228">
        <v>0</v>
      </c>
      <c r="AL310" s="228">
        <v>0</v>
      </c>
      <c r="AM310" s="228">
        <f t="shared" si="530"/>
        <v>-100</v>
      </c>
      <c r="AN310" s="228" cm="1">
        <f t="array" ref="AN310">IF(ISBLANK(G310), 1, IFERROR(MATCH(G310, INDEX(Kat,,1), 0), IFERROR(MATCH(Kat, INDEX(Use,,2), 0), MATCH(Kat, INDEX(Use,,3), 0))))</f>
        <v>1</v>
      </c>
      <c r="AO310" s="246"/>
      <c r="AP310" s="228" cm="1">
        <f t="array" ref="AP310">IF(W310&gt;0, INDEX(Kat, AN310,4), 0)</f>
        <v>0</v>
      </c>
      <c r="AQ310" s="228">
        <f t="shared" si="555"/>
        <v>0</v>
      </c>
      <c r="AR310" s="228" cm="1">
        <f t="array" ref="AR310">IF(X310&gt;0, INDEX(Kat, $AN310, 4+AQ310), 0)</f>
        <v>0</v>
      </c>
      <c r="AS310" s="228" cm="1">
        <f t="array" ref="AS310">IF(X310&gt;0, INDEX(Kat, $AN310, 9+AQ310), 0)</f>
        <v>0</v>
      </c>
      <c r="AT310" s="246"/>
      <c r="AU310" s="262"/>
      <c r="AV310" s="262"/>
      <c r="AW310" s="263"/>
      <c r="AX310" s="263"/>
      <c r="AY310" s="263"/>
      <c r="AZ310" s="263"/>
      <c r="BA310" s="263"/>
      <c r="BB310" s="263"/>
      <c r="BC310" s="263"/>
      <c r="BD310" s="263"/>
      <c r="BE310" s="263"/>
      <c r="BF310" s="263"/>
      <c r="BG310" s="263"/>
      <c r="BH310" s="246"/>
      <c r="BI310" s="228" cm="1">
        <f t="array" ref="BI310">INDEX(Use, $AH310, 4)</f>
        <v>7</v>
      </c>
      <c r="BJ310" s="228">
        <f t="shared" si="531"/>
        <v>32</v>
      </c>
      <c r="BK310" s="228">
        <f t="shared" si="305"/>
        <v>13</v>
      </c>
      <c r="BL310" s="228">
        <f t="shared" si="306"/>
        <v>0</v>
      </c>
      <c r="BM310" s="233" cm="1">
        <f t="array" ref="BM310">L310/IF($M310&gt;0, INDEX($AY$22:$BE$76, $M310+20, $AH310), 1)</f>
        <v>0</v>
      </c>
      <c r="BN310" s="229">
        <f t="shared" si="532"/>
        <v>0</v>
      </c>
      <c r="BO310" s="228">
        <v>35</v>
      </c>
      <c r="BP310" s="229">
        <f t="shared" si="533"/>
        <v>48</v>
      </c>
      <c r="BQ310" s="234">
        <f t="shared" si="534"/>
        <v>3.0748170731707316</v>
      </c>
      <c r="BR310" s="234" cm="1">
        <f t="array" ref="BR310">$BM310 * SUMPRODUCT(INDEX($AV$76:$AX$81,,$AI310),INDEX($AY$76:$BE$81,,$AH310), N($AU$76:$AU$81&gt;$AM310)) / BQ310 / 1000</f>
        <v>0</v>
      </c>
      <c r="BS310" s="231">
        <f t="shared" si="310"/>
        <v>30</v>
      </c>
      <c r="BT310" s="229">
        <f t="shared" si="535"/>
        <v>43</v>
      </c>
      <c r="BU310" s="234">
        <f t="shared" si="536"/>
        <v>3.5018750000000001</v>
      </c>
      <c r="BV310" s="234" cm="1">
        <f t="array" ref="BV310">$BM310 * IF($AH310&lt;=2,
SUMPRODUCT(INDEX($AV$71:$AX$75,,$AI310), INDEX($AY$71:$BE$75,,$AH310), 1 / ($BF$71:$BF$75*BU310 + (1-$BF$71:$BF$75)*BQ310), N($AU$71:$AU$75&gt;$AM310)),
SUMPRODUCT(INDEX($AV$66:$AX$75,,$AI310), INDEX($AY$66:$BE$75,,$AH310), 1 / ($BG$66:$BG$75*BU310 + (1-$BG$66:$BG$75)*BQ310), N($AU$66:$AU$75&gt;$AM310))
) / 1000</f>
        <v>0</v>
      </c>
      <c r="BW310" s="231">
        <f t="shared" si="313"/>
        <v>25</v>
      </c>
      <c r="BX310" s="229">
        <f t="shared" si="537"/>
        <v>38</v>
      </c>
      <c r="BY310" s="234">
        <f t="shared" si="538"/>
        <v>4.0666935483870965</v>
      </c>
      <c r="BZ310" s="234" cm="1">
        <f t="array" ref="BZ310">$BM310 * IF($AH310&lt;=2,
SUMPRODUCT(INDEX($AV$66:$AX$70,,$AI310), INDEX($AY$66:$BE$70,,$AH310), 1 / ($BF$66:$BF$70*BY310 + (1-$BF$66:$BF$70)*BU310), N($AU$66:$AU$70&gt;$AM310)),
SUMPRODUCT(INDEX($AV$56:$AX$65,,$AI310), INDEX($AY$56:$BE$65,,$AH310), 1 / ($BG$56:$BG$65*BY310 + (1-$BG$56:$BG$65)*BU310), N($AU$56:$AU$65&gt;$AM310))
) / 1000</f>
        <v>0</v>
      </c>
      <c r="CA310" s="231">
        <f t="shared" si="316"/>
        <v>20</v>
      </c>
      <c r="CB310" s="229">
        <f t="shared" si="539"/>
        <v>33</v>
      </c>
      <c r="CC310" s="234">
        <f t="shared" si="540"/>
        <v>4.8487499999999999</v>
      </c>
      <c r="CD310" s="234" cm="1">
        <f t="array" ref="CD310">$BM310 * IF($AH310&lt;=2,
SUMPRODUCT(INDEX($AV$61:$AX$65,,$AI310), INDEX($AY$61:$BE$65,,$AH310), 1 / ($BF$61:$BF$65*CC310 + (1-$BF$61:$BF$65)*BY310), N($AU$61:$AU$65&gt;$AM310)),
SUMPRODUCT(INDEX($AV$46:$AX$55,,$AI310), INDEX($AY$46:$BE$55,,$AH310), 1 / ($BG$46:$BG$55*CC310 + (1-$BG$46:$BG$55)*BY310), N($AU$46:$AU$55&gt;$AM310))
) / 1000</f>
        <v>0</v>
      </c>
      <c r="CE310" s="234" cm="1">
        <f t="array" ref="CE310">$BM310 * IF($AH310&lt;=2,
SUMPRODUCT(INDEX($AV$22:$AX$60,,$AI310), INDEX($AY$22:$BE$60,,$AH310), 1 / ($BF$22:$BF$60*CC310), N($AU$22:$AU$60&gt;$AM310)),
SUMPRODUCT(INDEX($AV$22:$AX$45,,$AI310), INDEX($AY$22:$BE$45,,$AH310), 1 / ($BG$22:$BG$45*CC310), N($AU$22:$AU$45&gt;$AM310))
) / 1000</f>
        <v>0</v>
      </c>
      <c r="CF310" s="229">
        <f t="shared" si="541"/>
        <v>0</v>
      </c>
      <c r="CG310" s="246"/>
      <c r="CH310" s="229">
        <f t="shared" si="542"/>
        <v>0</v>
      </c>
      <c r="CI310" s="228">
        <v>35</v>
      </c>
      <c r="CJ310" s="229">
        <f t="shared" si="543"/>
        <v>48</v>
      </c>
      <c r="CK310" s="234">
        <f t="shared" si="544"/>
        <v>3.0748170731707316</v>
      </c>
      <c r="CL310" s="234" cm="1">
        <f t="array" ref="CL310">$BM310 * SUMPRODUCT(INDEX($AV$76:$AX$81,,$AI310),INDEX($AY$76:$BE$81,,$AH310), N($AU$76:$AU$81&gt;$AM310)) / CK310 / 1000</f>
        <v>0</v>
      </c>
      <c r="CM310" s="231">
        <f t="shared" si="323"/>
        <v>30</v>
      </c>
      <c r="CN310" s="229">
        <f t="shared" si="545"/>
        <v>43</v>
      </c>
      <c r="CO310" s="234">
        <f t="shared" si="546"/>
        <v>3.5018750000000001</v>
      </c>
      <c r="CP310" s="234" cm="1">
        <f t="array" ref="CP310">$BM310 * IF($AH310&lt;=2,
SUMPRODUCT(INDEX($AV$71:$AX$75,,$AI310), INDEX($AY$71:$BE$75,,$AH310), 1 / ($BF$71:$BF$75*CO310 + (1-$BF$71:$BF$75)*CK310), N($AU$71:$AU$75&gt;$AM310)),
SUMPRODUCT(INDEX($AV$66:$AX$75,,$AI310), INDEX($AY$66:$BE$75,,$AH310), 1 / ($BG$66:$BG$75*CO310 + (1-$BG$66:$BG$75)*CK310), N($AU$66:$AU$75&gt;$AM310))
) / 1000</f>
        <v>0</v>
      </c>
      <c r="CQ310" s="231">
        <f t="shared" si="326"/>
        <v>25</v>
      </c>
      <c r="CR310" s="229">
        <f t="shared" si="547"/>
        <v>38</v>
      </c>
      <c r="CS310" s="234">
        <f t="shared" si="548"/>
        <v>4.0666935483870965</v>
      </c>
      <c r="CT310" s="234" cm="1">
        <f t="array" ref="CT310">$BM310 * IF($AH310&lt;=2,
SUMPRODUCT(INDEX($AV$66:$AX$70,,$AI310), INDEX($AY$66:$BE$70,,$AH310), 1 / ($BF$66:$BF$70*CS310 + (1-$BF$66:$BF$70)*CO310), N($AU$66:$AU$70&gt;$AM310)),
SUMPRODUCT(INDEX($AV$56:$AX$65,,$AI310), INDEX($AY$56:$BE$65,,$AH310), 1 / ($BG$56:$BG$65*CS310 + (1-$BG$56:$BG$65)*CO310), N($AU$56:$AU$65&gt;$AM310))
) / 1000</f>
        <v>0</v>
      </c>
      <c r="CU310" s="231">
        <f t="shared" si="329"/>
        <v>20</v>
      </c>
      <c r="CV310" s="229">
        <f t="shared" si="549"/>
        <v>33</v>
      </c>
      <c r="CW310" s="234">
        <f t="shared" si="550"/>
        <v>4.8487499999999999</v>
      </c>
      <c r="CX310" s="234" cm="1">
        <f t="array" ref="CX310">$BM310 * IF($AH310&lt;=2,
SUMPRODUCT(INDEX($AV$61:$AX$65,,$AI310), INDEX($AY$61:$BE$65,,$AH310), 1 / ($BF$61:$BF$65*CW310 + (1-$BF$61:$BF$65)*CS310), N($AU$61:$AU$65&gt;$AM310)),
SUMPRODUCT(INDEX($AV$46:$AX$55,,$AI310), INDEX($AY$46:$BE$55,,$AH310), 1 / ($BG$46:$BG$55*CW310 + (1-$BG$46:$BG$55)*CS310), N($AU$46:$AU$55&gt;$AM310))
) / 1000</f>
        <v>0</v>
      </c>
      <c r="CY310" s="234" cm="1">
        <f t="array" ref="CY310">$BM310 * IF($AH310&lt;=2,
SUMPRODUCT(INDEX($AV$22:$AX$60,,$AI310), INDEX($AY$22:$BE$60,,$AH310), 1 / ($BF$22:$BF$60*CW310), N($AU$22:$AU$60&gt;$AM310)),
SUMPRODUCT(INDEX($AV$22:$AX$45,,$AI310), INDEX($AY$22:$BE$45,,$AH310), 1 / ($BG$22:$BG$45*CW310), N($AU$22:$AU$45&gt;$AM310))
) / 1000</f>
        <v>0</v>
      </c>
      <c r="CZ310" s="229">
        <f t="shared" si="551"/>
        <v>0</v>
      </c>
      <c r="DA310" s="246"/>
    </row>
    <row r="311" spans="1:105" s="75" customFormat="1" ht="14.25" customHeight="1" x14ac:dyDescent="0.2">
      <c r="A311" s="230" t="b">
        <f t="shared" si="291"/>
        <v>0</v>
      </c>
      <c r="B311" s="253">
        <v>290</v>
      </c>
      <c r="C311" s="266"/>
      <c r="D311" s="266"/>
      <c r="E311" s="254"/>
      <c r="F311" s="255" t="str">
        <f>IF(ISBLANK(E311), "", VLOOKUP(E311, Z!$A$2:$C$4127, 3, FALSE))</f>
        <v/>
      </c>
      <c r="G311" s="256"/>
      <c r="H311" s="256"/>
      <c r="I311" s="256"/>
      <c r="J311" s="257"/>
      <c r="K311" s="258"/>
      <c r="L311" s="267"/>
      <c r="M311" s="268"/>
      <c r="N311" s="259" t="str" cm="1">
        <f t="array" ref="N311">IF($L311&gt;0, INDEX(Clean,1+AK311,$D$1), "")</f>
        <v/>
      </c>
      <c r="O311" s="260"/>
      <c r="P311" s="260"/>
      <c r="Q311" s="261"/>
      <c r="R311" s="264">
        <f t="shared" si="527"/>
        <v>0</v>
      </c>
      <c r="S311" s="259" t="str" cm="1">
        <f t="array" ref="S311">IF($L311&gt;0, INDEX(Clean,1+AL311,$D$1), "")</f>
        <v/>
      </c>
      <c r="T311" s="260"/>
      <c r="U311" s="260"/>
      <c r="V311" s="261"/>
      <c r="W311" s="267"/>
      <c r="X311" s="267"/>
      <c r="Y311" s="257"/>
      <c r="Z311" s="264">
        <f t="shared" si="528"/>
        <v>0</v>
      </c>
      <c r="AA311" s="269"/>
      <c r="AB311" s="266"/>
      <c r="AC311" s="254"/>
      <c r="AD311" s="255" t="str">
        <f>IF(ISBLANK(AC311), "", VLOOKUP(AC311, Z!$A$2:$C$4127, 3, FALSE))</f>
        <v/>
      </c>
      <c r="AE311" s="270"/>
      <c r="AF311" s="265">
        <f t="shared" si="529"/>
        <v>0</v>
      </c>
      <c r="AG311" s="246"/>
      <c r="AH311" s="228">
        <f t="shared" si="552"/>
        <v>1</v>
      </c>
      <c r="AI311" s="228">
        <f t="shared" si="553"/>
        <v>1</v>
      </c>
      <c r="AJ311" s="228">
        <f t="shared" si="554"/>
        <v>0</v>
      </c>
      <c r="AK311" s="228">
        <v>0</v>
      </c>
      <c r="AL311" s="228">
        <v>0</v>
      </c>
      <c r="AM311" s="228">
        <f t="shared" si="530"/>
        <v>-100</v>
      </c>
      <c r="AN311" s="228" cm="1">
        <f t="array" ref="AN311">IF(ISBLANK(G311), 1, IFERROR(MATCH(G311, INDEX(Kat,,1), 0), IFERROR(MATCH(Kat, INDEX(Use,,2), 0), MATCH(Kat, INDEX(Use,,3), 0))))</f>
        <v>1</v>
      </c>
      <c r="AO311" s="246"/>
      <c r="AP311" s="228" cm="1">
        <f t="array" ref="AP311">IF(W311&gt;0, INDEX(Kat, AN311,4), 0)</f>
        <v>0</v>
      </c>
      <c r="AQ311" s="228">
        <f t="shared" si="555"/>
        <v>0</v>
      </c>
      <c r="AR311" s="228" cm="1">
        <f t="array" ref="AR311">IF(X311&gt;0, INDEX(Kat, $AN311, 4+AQ311), 0)</f>
        <v>0</v>
      </c>
      <c r="AS311" s="228" cm="1">
        <f t="array" ref="AS311">IF(X311&gt;0, INDEX(Kat, $AN311, 9+AQ311), 0)</f>
        <v>0</v>
      </c>
      <c r="AT311" s="246"/>
      <c r="AU311" s="262"/>
      <c r="AV311" s="262"/>
      <c r="AW311" s="263"/>
      <c r="AX311" s="263"/>
      <c r="AY311" s="263"/>
      <c r="AZ311" s="263"/>
      <c r="BA311" s="263"/>
      <c r="BB311" s="263"/>
      <c r="BC311" s="263"/>
      <c r="BD311" s="263"/>
      <c r="BE311" s="263"/>
      <c r="BF311" s="263"/>
      <c r="BG311" s="263"/>
      <c r="BH311" s="246"/>
      <c r="BI311" s="228" cm="1">
        <f t="array" ref="BI311">INDEX(Use, $AH311, 4)</f>
        <v>7</v>
      </c>
      <c r="BJ311" s="228">
        <f t="shared" si="531"/>
        <v>32</v>
      </c>
      <c r="BK311" s="228">
        <f t="shared" si="305"/>
        <v>13</v>
      </c>
      <c r="BL311" s="228">
        <f t="shared" si="306"/>
        <v>0</v>
      </c>
      <c r="BM311" s="233" cm="1">
        <f t="array" ref="BM311">L311/IF($M311&gt;0, INDEX($AY$22:$BE$76, $M311+20, $AH311), 1)</f>
        <v>0</v>
      </c>
      <c r="BN311" s="229">
        <f t="shared" si="532"/>
        <v>0</v>
      </c>
      <c r="BO311" s="228">
        <v>35</v>
      </c>
      <c r="BP311" s="229">
        <f t="shared" si="533"/>
        <v>48</v>
      </c>
      <c r="BQ311" s="234">
        <f t="shared" si="534"/>
        <v>3.0748170731707316</v>
      </c>
      <c r="BR311" s="234" cm="1">
        <f t="array" ref="BR311">$BM311 * SUMPRODUCT(INDEX($AV$76:$AX$81,,$AI311),INDEX($AY$76:$BE$81,,$AH311), N($AU$76:$AU$81&gt;$AM311)) / BQ311 / 1000</f>
        <v>0</v>
      </c>
      <c r="BS311" s="231">
        <f t="shared" si="310"/>
        <v>30</v>
      </c>
      <c r="BT311" s="229">
        <f t="shared" si="535"/>
        <v>43</v>
      </c>
      <c r="BU311" s="234">
        <f t="shared" si="536"/>
        <v>3.5018750000000001</v>
      </c>
      <c r="BV311" s="234" cm="1">
        <f t="array" ref="BV311">$BM311 * IF($AH311&lt;=2,
SUMPRODUCT(INDEX($AV$71:$AX$75,,$AI311), INDEX($AY$71:$BE$75,,$AH311), 1 / ($BF$71:$BF$75*BU311 + (1-$BF$71:$BF$75)*BQ311), N($AU$71:$AU$75&gt;$AM311)),
SUMPRODUCT(INDEX($AV$66:$AX$75,,$AI311), INDEX($AY$66:$BE$75,,$AH311), 1 / ($BG$66:$BG$75*BU311 + (1-$BG$66:$BG$75)*BQ311), N($AU$66:$AU$75&gt;$AM311))
) / 1000</f>
        <v>0</v>
      </c>
      <c r="BW311" s="231">
        <f t="shared" si="313"/>
        <v>25</v>
      </c>
      <c r="BX311" s="229">
        <f t="shared" si="537"/>
        <v>38</v>
      </c>
      <c r="BY311" s="234">
        <f t="shared" si="538"/>
        <v>4.0666935483870965</v>
      </c>
      <c r="BZ311" s="234" cm="1">
        <f t="array" ref="BZ311">$BM311 * IF($AH311&lt;=2,
SUMPRODUCT(INDEX($AV$66:$AX$70,,$AI311), INDEX($AY$66:$BE$70,,$AH311), 1 / ($BF$66:$BF$70*BY311 + (1-$BF$66:$BF$70)*BU311), N($AU$66:$AU$70&gt;$AM311)),
SUMPRODUCT(INDEX($AV$56:$AX$65,,$AI311), INDEX($AY$56:$BE$65,,$AH311), 1 / ($BG$56:$BG$65*BY311 + (1-$BG$56:$BG$65)*BU311), N($AU$56:$AU$65&gt;$AM311))
) / 1000</f>
        <v>0</v>
      </c>
      <c r="CA311" s="231">
        <f t="shared" si="316"/>
        <v>20</v>
      </c>
      <c r="CB311" s="229">
        <f t="shared" si="539"/>
        <v>33</v>
      </c>
      <c r="CC311" s="234">
        <f t="shared" si="540"/>
        <v>4.8487499999999999</v>
      </c>
      <c r="CD311" s="234" cm="1">
        <f t="array" ref="CD311">$BM311 * IF($AH311&lt;=2,
SUMPRODUCT(INDEX($AV$61:$AX$65,,$AI311), INDEX($AY$61:$BE$65,,$AH311), 1 / ($BF$61:$BF$65*CC311 + (1-$BF$61:$BF$65)*BY311), N($AU$61:$AU$65&gt;$AM311)),
SUMPRODUCT(INDEX($AV$46:$AX$55,,$AI311), INDEX($AY$46:$BE$55,,$AH311), 1 / ($BG$46:$BG$55*CC311 + (1-$BG$46:$BG$55)*BY311), N($AU$46:$AU$55&gt;$AM311))
) / 1000</f>
        <v>0</v>
      </c>
      <c r="CE311" s="234" cm="1">
        <f t="array" ref="CE311">$BM311 * IF($AH311&lt;=2,
SUMPRODUCT(INDEX($AV$22:$AX$60,,$AI311), INDEX($AY$22:$BE$60,,$AH311), 1 / ($BF$22:$BF$60*CC311), N($AU$22:$AU$60&gt;$AM311)),
SUMPRODUCT(INDEX($AV$22:$AX$45,,$AI311), INDEX($AY$22:$BE$45,,$AH311), 1 / ($BG$22:$BG$45*CC311), N($AU$22:$AU$45&gt;$AM311))
) / 1000</f>
        <v>0</v>
      </c>
      <c r="CF311" s="229">
        <f t="shared" si="541"/>
        <v>0</v>
      </c>
      <c r="CG311" s="246"/>
      <c r="CH311" s="229">
        <f t="shared" si="542"/>
        <v>0</v>
      </c>
      <c r="CI311" s="228">
        <v>35</v>
      </c>
      <c r="CJ311" s="229">
        <f t="shared" si="543"/>
        <v>48</v>
      </c>
      <c r="CK311" s="234">
        <f t="shared" si="544"/>
        <v>3.0748170731707316</v>
      </c>
      <c r="CL311" s="234" cm="1">
        <f t="array" ref="CL311">$BM311 * SUMPRODUCT(INDEX($AV$76:$AX$81,,$AI311),INDEX($AY$76:$BE$81,,$AH311), N($AU$76:$AU$81&gt;$AM311)) / CK311 / 1000</f>
        <v>0</v>
      </c>
      <c r="CM311" s="231">
        <f t="shared" si="323"/>
        <v>30</v>
      </c>
      <c r="CN311" s="229">
        <f t="shared" si="545"/>
        <v>43</v>
      </c>
      <c r="CO311" s="234">
        <f t="shared" si="546"/>
        <v>3.5018750000000001</v>
      </c>
      <c r="CP311" s="234" cm="1">
        <f t="array" ref="CP311">$BM311 * IF($AH311&lt;=2,
SUMPRODUCT(INDEX($AV$71:$AX$75,,$AI311), INDEX($AY$71:$BE$75,,$AH311), 1 / ($BF$71:$BF$75*CO311 + (1-$BF$71:$BF$75)*CK311), N($AU$71:$AU$75&gt;$AM311)),
SUMPRODUCT(INDEX($AV$66:$AX$75,,$AI311), INDEX($AY$66:$BE$75,,$AH311), 1 / ($BG$66:$BG$75*CO311 + (1-$BG$66:$BG$75)*CK311), N($AU$66:$AU$75&gt;$AM311))
) / 1000</f>
        <v>0</v>
      </c>
      <c r="CQ311" s="231">
        <f t="shared" si="326"/>
        <v>25</v>
      </c>
      <c r="CR311" s="229">
        <f t="shared" si="547"/>
        <v>38</v>
      </c>
      <c r="CS311" s="234">
        <f t="shared" si="548"/>
        <v>4.0666935483870965</v>
      </c>
      <c r="CT311" s="234" cm="1">
        <f t="array" ref="CT311">$BM311 * IF($AH311&lt;=2,
SUMPRODUCT(INDEX($AV$66:$AX$70,,$AI311), INDEX($AY$66:$BE$70,,$AH311), 1 / ($BF$66:$BF$70*CS311 + (1-$BF$66:$BF$70)*CO311), N($AU$66:$AU$70&gt;$AM311)),
SUMPRODUCT(INDEX($AV$56:$AX$65,,$AI311), INDEX($AY$56:$BE$65,,$AH311), 1 / ($BG$56:$BG$65*CS311 + (1-$BG$56:$BG$65)*CO311), N($AU$56:$AU$65&gt;$AM311))
) / 1000</f>
        <v>0</v>
      </c>
      <c r="CU311" s="231">
        <f t="shared" si="329"/>
        <v>20</v>
      </c>
      <c r="CV311" s="229">
        <f t="shared" si="549"/>
        <v>33</v>
      </c>
      <c r="CW311" s="234">
        <f t="shared" si="550"/>
        <v>4.8487499999999999</v>
      </c>
      <c r="CX311" s="234" cm="1">
        <f t="array" ref="CX311">$BM311 * IF($AH311&lt;=2,
SUMPRODUCT(INDEX($AV$61:$AX$65,,$AI311), INDEX($AY$61:$BE$65,,$AH311), 1 / ($BF$61:$BF$65*CW311 + (1-$BF$61:$BF$65)*CS311), N($AU$61:$AU$65&gt;$AM311)),
SUMPRODUCT(INDEX($AV$46:$AX$55,,$AI311), INDEX($AY$46:$BE$55,,$AH311), 1 / ($BG$46:$BG$55*CW311 + (1-$BG$46:$BG$55)*CS311), N($AU$46:$AU$55&gt;$AM311))
) / 1000</f>
        <v>0</v>
      </c>
      <c r="CY311" s="234" cm="1">
        <f t="array" ref="CY311">$BM311 * IF($AH311&lt;=2,
SUMPRODUCT(INDEX($AV$22:$AX$60,,$AI311), INDEX($AY$22:$BE$60,,$AH311), 1 / ($BF$22:$BF$60*CW311), N($AU$22:$AU$60&gt;$AM311)),
SUMPRODUCT(INDEX($AV$22:$AX$45,,$AI311), INDEX($AY$22:$BE$45,,$AH311), 1 / ($BG$22:$BG$45*CW311), N($AU$22:$AU$45&gt;$AM311))
) / 1000</f>
        <v>0</v>
      </c>
      <c r="CZ311" s="229">
        <f t="shared" si="551"/>
        <v>0</v>
      </c>
      <c r="DA311" s="246"/>
    </row>
    <row r="312" spans="1:105" s="75" customFormat="1" ht="14.25" customHeight="1" x14ac:dyDescent="0.2">
      <c r="A312" s="230" t="b">
        <f t="shared" si="291"/>
        <v>0</v>
      </c>
      <c r="B312" s="253">
        <v>291</v>
      </c>
      <c r="C312" s="266"/>
      <c r="D312" s="266"/>
      <c r="E312" s="254"/>
      <c r="F312" s="255" t="str">
        <f>IF(ISBLANK(E312), "", VLOOKUP(E312, Z!$A$2:$C$4127, 3, FALSE))</f>
        <v/>
      </c>
      <c r="G312" s="256"/>
      <c r="H312" s="256"/>
      <c r="I312" s="256"/>
      <c r="J312" s="257"/>
      <c r="K312" s="258"/>
      <c r="L312" s="267"/>
      <c r="M312" s="268"/>
      <c r="N312" s="259" t="str" cm="1">
        <f t="array" ref="N312">IF($L312&gt;0, INDEX(Clean,1+AK312,$D$1), "")</f>
        <v/>
      </c>
      <c r="O312" s="260"/>
      <c r="P312" s="260"/>
      <c r="Q312" s="261"/>
      <c r="R312" s="264">
        <f t="shared" si="527"/>
        <v>0</v>
      </c>
      <c r="S312" s="259" t="str" cm="1">
        <f t="array" ref="S312">IF($L312&gt;0, INDEX(Clean,1+AL312,$D$1), "")</f>
        <v/>
      </c>
      <c r="T312" s="260"/>
      <c r="U312" s="260"/>
      <c r="V312" s="261"/>
      <c r="W312" s="267"/>
      <c r="X312" s="267"/>
      <c r="Y312" s="257"/>
      <c r="Z312" s="264">
        <f t="shared" si="528"/>
        <v>0</v>
      </c>
      <c r="AA312" s="269"/>
      <c r="AB312" s="266"/>
      <c r="AC312" s="254"/>
      <c r="AD312" s="255" t="str">
        <f>IF(ISBLANK(AC312), "", VLOOKUP(AC312, Z!$A$2:$C$4127, 3, FALSE))</f>
        <v/>
      </c>
      <c r="AE312" s="270"/>
      <c r="AF312" s="265">
        <f t="shared" si="529"/>
        <v>0</v>
      </c>
      <c r="AG312" s="246"/>
      <c r="AH312" s="228">
        <f t="shared" si="552"/>
        <v>1</v>
      </c>
      <c r="AI312" s="228">
        <f t="shared" si="553"/>
        <v>1</v>
      </c>
      <c r="AJ312" s="228">
        <f t="shared" si="554"/>
        <v>0</v>
      </c>
      <c r="AK312" s="228">
        <v>0</v>
      </c>
      <c r="AL312" s="228">
        <v>0</v>
      </c>
      <c r="AM312" s="228">
        <f t="shared" si="530"/>
        <v>-100</v>
      </c>
      <c r="AN312" s="228" cm="1">
        <f t="array" ref="AN312">IF(ISBLANK(G312), 1, IFERROR(MATCH(G312, INDEX(Kat,,1), 0), IFERROR(MATCH(Kat, INDEX(Use,,2), 0), MATCH(Kat, INDEX(Use,,3), 0))))</f>
        <v>1</v>
      </c>
      <c r="AO312" s="246"/>
      <c r="AP312" s="228" cm="1">
        <f t="array" ref="AP312">IF(W312&gt;0, INDEX(Kat, AN312,4), 0)</f>
        <v>0</v>
      </c>
      <c r="AQ312" s="228">
        <f t="shared" si="555"/>
        <v>0</v>
      </c>
      <c r="AR312" s="228" cm="1">
        <f t="array" ref="AR312">IF(X312&gt;0, INDEX(Kat, $AN312, 4+AQ312), 0)</f>
        <v>0</v>
      </c>
      <c r="AS312" s="228" cm="1">
        <f t="array" ref="AS312">IF(X312&gt;0, INDEX(Kat, $AN312, 9+AQ312), 0)</f>
        <v>0</v>
      </c>
      <c r="AT312" s="246"/>
      <c r="AU312" s="262"/>
      <c r="AV312" s="262"/>
      <c r="AW312" s="263"/>
      <c r="AX312" s="263"/>
      <c r="AY312" s="263"/>
      <c r="AZ312" s="263"/>
      <c r="BA312" s="263"/>
      <c r="BB312" s="263"/>
      <c r="BC312" s="263"/>
      <c r="BD312" s="263"/>
      <c r="BE312" s="263"/>
      <c r="BF312" s="263"/>
      <c r="BG312" s="263"/>
      <c r="BH312" s="246"/>
      <c r="BI312" s="228" cm="1">
        <f t="array" ref="BI312">INDEX(Use, $AH312, 4)</f>
        <v>7</v>
      </c>
      <c r="BJ312" s="228">
        <f t="shared" si="531"/>
        <v>32</v>
      </c>
      <c r="BK312" s="228">
        <f t="shared" si="305"/>
        <v>13</v>
      </c>
      <c r="BL312" s="228">
        <f t="shared" si="306"/>
        <v>0</v>
      </c>
      <c r="BM312" s="233" cm="1">
        <f t="array" ref="BM312">L312/IF($M312&gt;0, INDEX($AY$22:$BE$76, $M312+20, $AH312), 1)</f>
        <v>0</v>
      </c>
      <c r="BN312" s="229">
        <f t="shared" si="532"/>
        <v>0</v>
      </c>
      <c r="BO312" s="228">
        <v>35</v>
      </c>
      <c r="BP312" s="229">
        <f t="shared" si="533"/>
        <v>48</v>
      </c>
      <c r="BQ312" s="234">
        <f t="shared" si="534"/>
        <v>3.0748170731707316</v>
      </c>
      <c r="BR312" s="234" cm="1">
        <f t="array" ref="BR312">$BM312 * SUMPRODUCT(INDEX($AV$76:$AX$81,,$AI312),INDEX($AY$76:$BE$81,,$AH312), N($AU$76:$AU$81&gt;$AM312)) / BQ312 / 1000</f>
        <v>0</v>
      </c>
      <c r="BS312" s="231">
        <f t="shared" si="310"/>
        <v>30</v>
      </c>
      <c r="BT312" s="229">
        <f t="shared" si="535"/>
        <v>43</v>
      </c>
      <c r="BU312" s="234">
        <f t="shared" si="536"/>
        <v>3.5018750000000001</v>
      </c>
      <c r="BV312" s="234" cm="1">
        <f t="array" ref="BV312">$BM312 * IF($AH312&lt;=2,
SUMPRODUCT(INDEX($AV$71:$AX$75,,$AI312), INDEX($AY$71:$BE$75,,$AH312), 1 / ($BF$71:$BF$75*BU312 + (1-$BF$71:$BF$75)*BQ312), N($AU$71:$AU$75&gt;$AM312)),
SUMPRODUCT(INDEX($AV$66:$AX$75,,$AI312), INDEX($AY$66:$BE$75,,$AH312), 1 / ($BG$66:$BG$75*BU312 + (1-$BG$66:$BG$75)*BQ312), N($AU$66:$AU$75&gt;$AM312))
) / 1000</f>
        <v>0</v>
      </c>
      <c r="BW312" s="231">
        <f t="shared" si="313"/>
        <v>25</v>
      </c>
      <c r="BX312" s="229">
        <f t="shared" si="537"/>
        <v>38</v>
      </c>
      <c r="BY312" s="234">
        <f t="shared" si="538"/>
        <v>4.0666935483870965</v>
      </c>
      <c r="BZ312" s="234" cm="1">
        <f t="array" ref="BZ312">$BM312 * IF($AH312&lt;=2,
SUMPRODUCT(INDEX($AV$66:$AX$70,,$AI312), INDEX($AY$66:$BE$70,,$AH312), 1 / ($BF$66:$BF$70*BY312 + (1-$BF$66:$BF$70)*BU312), N($AU$66:$AU$70&gt;$AM312)),
SUMPRODUCT(INDEX($AV$56:$AX$65,,$AI312), INDEX($AY$56:$BE$65,,$AH312), 1 / ($BG$56:$BG$65*BY312 + (1-$BG$56:$BG$65)*BU312), N($AU$56:$AU$65&gt;$AM312))
) / 1000</f>
        <v>0</v>
      </c>
      <c r="CA312" s="231">
        <f t="shared" si="316"/>
        <v>20</v>
      </c>
      <c r="CB312" s="229">
        <f t="shared" si="539"/>
        <v>33</v>
      </c>
      <c r="CC312" s="234">
        <f t="shared" si="540"/>
        <v>4.8487499999999999</v>
      </c>
      <c r="CD312" s="234" cm="1">
        <f t="array" ref="CD312">$BM312 * IF($AH312&lt;=2,
SUMPRODUCT(INDEX($AV$61:$AX$65,,$AI312), INDEX($AY$61:$BE$65,,$AH312), 1 / ($BF$61:$BF$65*CC312 + (1-$BF$61:$BF$65)*BY312), N($AU$61:$AU$65&gt;$AM312)),
SUMPRODUCT(INDEX($AV$46:$AX$55,,$AI312), INDEX($AY$46:$BE$55,,$AH312), 1 / ($BG$46:$BG$55*CC312 + (1-$BG$46:$BG$55)*BY312), N($AU$46:$AU$55&gt;$AM312))
) / 1000</f>
        <v>0</v>
      </c>
      <c r="CE312" s="234" cm="1">
        <f t="array" ref="CE312">$BM312 * IF($AH312&lt;=2,
SUMPRODUCT(INDEX($AV$22:$AX$60,,$AI312), INDEX($AY$22:$BE$60,,$AH312), 1 / ($BF$22:$BF$60*CC312), N($AU$22:$AU$60&gt;$AM312)),
SUMPRODUCT(INDEX($AV$22:$AX$45,,$AI312), INDEX($AY$22:$BE$45,,$AH312), 1 / ($BG$22:$BG$45*CC312), N($AU$22:$AU$45&gt;$AM312))
) / 1000</f>
        <v>0</v>
      </c>
      <c r="CF312" s="229">
        <f t="shared" si="541"/>
        <v>0</v>
      </c>
      <c r="CG312" s="246"/>
      <c r="CH312" s="229">
        <f t="shared" si="542"/>
        <v>0</v>
      </c>
      <c r="CI312" s="228">
        <v>35</v>
      </c>
      <c r="CJ312" s="229">
        <f t="shared" si="543"/>
        <v>48</v>
      </c>
      <c r="CK312" s="234">
        <f t="shared" si="544"/>
        <v>3.0748170731707316</v>
      </c>
      <c r="CL312" s="234" cm="1">
        <f t="array" ref="CL312">$BM312 * SUMPRODUCT(INDEX($AV$76:$AX$81,,$AI312),INDEX($AY$76:$BE$81,,$AH312), N($AU$76:$AU$81&gt;$AM312)) / CK312 / 1000</f>
        <v>0</v>
      </c>
      <c r="CM312" s="231">
        <f t="shared" si="323"/>
        <v>30</v>
      </c>
      <c r="CN312" s="229">
        <f t="shared" si="545"/>
        <v>43</v>
      </c>
      <c r="CO312" s="234">
        <f t="shared" si="546"/>
        <v>3.5018750000000001</v>
      </c>
      <c r="CP312" s="234" cm="1">
        <f t="array" ref="CP312">$BM312 * IF($AH312&lt;=2,
SUMPRODUCT(INDEX($AV$71:$AX$75,,$AI312), INDEX($AY$71:$BE$75,,$AH312), 1 / ($BF$71:$BF$75*CO312 + (1-$BF$71:$BF$75)*CK312), N($AU$71:$AU$75&gt;$AM312)),
SUMPRODUCT(INDEX($AV$66:$AX$75,,$AI312), INDEX($AY$66:$BE$75,,$AH312), 1 / ($BG$66:$BG$75*CO312 + (1-$BG$66:$BG$75)*CK312), N($AU$66:$AU$75&gt;$AM312))
) / 1000</f>
        <v>0</v>
      </c>
      <c r="CQ312" s="231">
        <f t="shared" si="326"/>
        <v>25</v>
      </c>
      <c r="CR312" s="229">
        <f t="shared" si="547"/>
        <v>38</v>
      </c>
      <c r="CS312" s="234">
        <f t="shared" si="548"/>
        <v>4.0666935483870965</v>
      </c>
      <c r="CT312" s="234" cm="1">
        <f t="array" ref="CT312">$BM312 * IF($AH312&lt;=2,
SUMPRODUCT(INDEX($AV$66:$AX$70,,$AI312), INDEX($AY$66:$BE$70,,$AH312), 1 / ($BF$66:$BF$70*CS312 + (1-$BF$66:$BF$70)*CO312), N($AU$66:$AU$70&gt;$AM312)),
SUMPRODUCT(INDEX($AV$56:$AX$65,,$AI312), INDEX($AY$56:$BE$65,,$AH312), 1 / ($BG$56:$BG$65*CS312 + (1-$BG$56:$BG$65)*CO312), N($AU$56:$AU$65&gt;$AM312))
) / 1000</f>
        <v>0</v>
      </c>
      <c r="CU312" s="231">
        <f t="shared" si="329"/>
        <v>20</v>
      </c>
      <c r="CV312" s="229">
        <f t="shared" si="549"/>
        <v>33</v>
      </c>
      <c r="CW312" s="234">
        <f t="shared" si="550"/>
        <v>4.8487499999999999</v>
      </c>
      <c r="CX312" s="234" cm="1">
        <f t="array" ref="CX312">$BM312 * IF($AH312&lt;=2,
SUMPRODUCT(INDEX($AV$61:$AX$65,,$AI312), INDEX($AY$61:$BE$65,,$AH312), 1 / ($BF$61:$BF$65*CW312 + (1-$BF$61:$BF$65)*CS312), N($AU$61:$AU$65&gt;$AM312)),
SUMPRODUCT(INDEX($AV$46:$AX$55,,$AI312), INDEX($AY$46:$BE$55,,$AH312), 1 / ($BG$46:$BG$55*CW312 + (1-$BG$46:$BG$55)*CS312), N($AU$46:$AU$55&gt;$AM312))
) / 1000</f>
        <v>0</v>
      </c>
      <c r="CY312" s="234" cm="1">
        <f t="array" ref="CY312">$BM312 * IF($AH312&lt;=2,
SUMPRODUCT(INDEX($AV$22:$AX$60,,$AI312), INDEX($AY$22:$BE$60,,$AH312), 1 / ($BF$22:$BF$60*CW312), N($AU$22:$AU$60&gt;$AM312)),
SUMPRODUCT(INDEX($AV$22:$AX$45,,$AI312), INDEX($AY$22:$BE$45,,$AH312), 1 / ($BG$22:$BG$45*CW312), N($AU$22:$AU$45&gt;$AM312))
) / 1000</f>
        <v>0</v>
      </c>
      <c r="CZ312" s="229">
        <f t="shared" si="551"/>
        <v>0</v>
      </c>
      <c r="DA312" s="246"/>
    </row>
    <row r="313" spans="1:105" s="75" customFormat="1" ht="14.25" customHeight="1" x14ac:dyDescent="0.2">
      <c r="A313" s="230" t="b">
        <f t="shared" si="291"/>
        <v>0</v>
      </c>
      <c r="B313" s="253">
        <v>292</v>
      </c>
      <c r="C313" s="266"/>
      <c r="D313" s="266"/>
      <c r="E313" s="254"/>
      <c r="F313" s="255" t="str">
        <f>IF(ISBLANK(E313), "", VLOOKUP(E313, Z!$A$2:$C$4127, 3, FALSE))</f>
        <v/>
      </c>
      <c r="G313" s="256"/>
      <c r="H313" s="256"/>
      <c r="I313" s="256"/>
      <c r="J313" s="257"/>
      <c r="K313" s="258"/>
      <c r="L313" s="267"/>
      <c r="M313" s="268"/>
      <c r="N313" s="259" t="str" cm="1">
        <f t="array" ref="N313">IF($L313&gt;0, INDEX(Clean,1+AK313,$D$1), "")</f>
        <v/>
      </c>
      <c r="O313" s="260"/>
      <c r="P313" s="260"/>
      <c r="Q313" s="261"/>
      <c r="R313" s="264">
        <f t="shared" si="527"/>
        <v>0</v>
      </c>
      <c r="S313" s="259" t="str" cm="1">
        <f t="array" ref="S313">IF($L313&gt;0, INDEX(Clean,1+AL313,$D$1), "")</f>
        <v/>
      </c>
      <c r="T313" s="260"/>
      <c r="U313" s="260"/>
      <c r="V313" s="261"/>
      <c r="W313" s="267"/>
      <c r="X313" s="267"/>
      <c r="Y313" s="257"/>
      <c r="Z313" s="264">
        <f t="shared" si="528"/>
        <v>0</v>
      </c>
      <c r="AA313" s="269"/>
      <c r="AB313" s="266"/>
      <c r="AC313" s="254"/>
      <c r="AD313" s="255" t="str">
        <f>IF(ISBLANK(AC313), "", VLOOKUP(AC313, Z!$A$2:$C$4127, 3, FALSE))</f>
        <v/>
      </c>
      <c r="AE313" s="270"/>
      <c r="AF313" s="265">
        <f t="shared" si="529"/>
        <v>0</v>
      </c>
      <c r="AG313" s="246"/>
      <c r="AH313" s="228">
        <f t="shared" si="552"/>
        <v>1</v>
      </c>
      <c r="AI313" s="228">
        <f t="shared" si="553"/>
        <v>1</v>
      </c>
      <c r="AJ313" s="228">
        <f t="shared" si="554"/>
        <v>0</v>
      </c>
      <c r="AK313" s="228">
        <v>0</v>
      </c>
      <c r="AL313" s="228">
        <v>0</v>
      </c>
      <c r="AM313" s="228">
        <f t="shared" si="530"/>
        <v>-100</v>
      </c>
      <c r="AN313" s="228" cm="1">
        <f t="array" ref="AN313">IF(ISBLANK(G313), 1, IFERROR(MATCH(G313, INDEX(Kat,,1), 0), IFERROR(MATCH(Kat, INDEX(Use,,2), 0), MATCH(Kat, INDEX(Use,,3), 0))))</f>
        <v>1</v>
      </c>
      <c r="AO313" s="246"/>
      <c r="AP313" s="228" cm="1">
        <f t="array" ref="AP313">IF(W313&gt;0, INDEX(Kat, AN313,4), 0)</f>
        <v>0</v>
      </c>
      <c r="AQ313" s="228">
        <f t="shared" si="555"/>
        <v>0</v>
      </c>
      <c r="AR313" s="228" cm="1">
        <f t="array" ref="AR313">IF(X313&gt;0, INDEX(Kat, $AN313, 4+AQ313), 0)</f>
        <v>0</v>
      </c>
      <c r="AS313" s="228" cm="1">
        <f t="array" ref="AS313">IF(X313&gt;0, INDEX(Kat, $AN313, 9+AQ313), 0)</f>
        <v>0</v>
      </c>
      <c r="AT313" s="246"/>
      <c r="AU313" s="262"/>
      <c r="AV313" s="262"/>
      <c r="AW313" s="263"/>
      <c r="AX313" s="263"/>
      <c r="AY313" s="263"/>
      <c r="AZ313" s="263"/>
      <c r="BA313" s="263"/>
      <c r="BB313" s="263"/>
      <c r="BC313" s="263"/>
      <c r="BD313" s="263"/>
      <c r="BE313" s="263"/>
      <c r="BF313" s="263"/>
      <c r="BG313" s="263"/>
      <c r="BH313" s="246"/>
      <c r="BI313" s="228" cm="1">
        <f t="array" ref="BI313">INDEX(Use, $AH313, 4)</f>
        <v>7</v>
      </c>
      <c r="BJ313" s="228">
        <f t="shared" si="531"/>
        <v>32</v>
      </c>
      <c r="BK313" s="228">
        <f t="shared" si="305"/>
        <v>13</v>
      </c>
      <c r="BL313" s="228">
        <f t="shared" si="306"/>
        <v>0</v>
      </c>
      <c r="BM313" s="233" cm="1">
        <f t="array" ref="BM313">L313/IF($M313&gt;0, INDEX($AY$22:$BE$76, $M313+20, $AH313), 1)</f>
        <v>0</v>
      </c>
      <c r="BN313" s="229">
        <f t="shared" si="532"/>
        <v>0</v>
      </c>
      <c r="BO313" s="228">
        <v>35</v>
      </c>
      <c r="BP313" s="229">
        <f t="shared" si="533"/>
        <v>48</v>
      </c>
      <c r="BQ313" s="234">
        <f t="shared" si="534"/>
        <v>3.0748170731707316</v>
      </c>
      <c r="BR313" s="234" cm="1">
        <f t="array" ref="BR313">$BM313 * SUMPRODUCT(INDEX($AV$76:$AX$81,,$AI313),INDEX($AY$76:$BE$81,,$AH313), N($AU$76:$AU$81&gt;$AM313)) / BQ313 / 1000</f>
        <v>0</v>
      </c>
      <c r="BS313" s="231">
        <f t="shared" si="310"/>
        <v>30</v>
      </c>
      <c r="BT313" s="229">
        <f t="shared" si="535"/>
        <v>43</v>
      </c>
      <c r="BU313" s="234">
        <f t="shared" si="536"/>
        <v>3.5018750000000001</v>
      </c>
      <c r="BV313" s="234" cm="1">
        <f t="array" ref="BV313">$BM313 * IF($AH313&lt;=2,
SUMPRODUCT(INDEX($AV$71:$AX$75,,$AI313), INDEX($AY$71:$BE$75,,$AH313), 1 / ($BF$71:$BF$75*BU313 + (1-$BF$71:$BF$75)*BQ313), N($AU$71:$AU$75&gt;$AM313)),
SUMPRODUCT(INDEX($AV$66:$AX$75,,$AI313), INDEX($AY$66:$BE$75,,$AH313), 1 / ($BG$66:$BG$75*BU313 + (1-$BG$66:$BG$75)*BQ313), N($AU$66:$AU$75&gt;$AM313))
) / 1000</f>
        <v>0</v>
      </c>
      <c r="BW313" s="231">
        <f t="shared" si="313"/>
        <v>25</v>
      </c>
      <c r="BX313" s="229">
        <f t="shared" si="537"/>
        <v>38</v>
      </c>
      <c r="BY313" s="234">
        <f t="shared" si="538"/>
        <v>4.0666935483870965</v>
      </c>
      <c r="BZ313" s="234" cm="1">
        <f t="array" ref="BZ313">$BM313 * IF($AH313&lt;=2,
SUMPRODUCT(INDEX($AV$66:$AX$70,,$AI313), INDEX($AY$66:$BE$70,,$AH313), 1 / ($BF$66:$BF$70*BY313 + (1-$BF$66:$BF$70)*BU313), N($AU$66:$AU$70&gt;$AM313)),
SUMPRODUCT(INDEX($AV$56:$AX$65,,$AI313), INDEX($AY$56:$BE$65,,$AH313), 1 / ($BG$56:$BG$65*BY313 + (1-$BG$56:$BG$65)*BU313), N($AU$56:$AU$65&gt;$AM313))
) / 1000</f>
        <v>0</v>
      </c>
      <c r="CA313" s="231">
        <f t="shared" si="316"/>
        <v>20</v>
      </c>
      <c r="CB313" s="229">
        <f t="shared" si="539"/>
        <v>33</v>
      </c>
      <c r="CC313" s="234">
        <f t="shared" si="540"/>
        <v>4.8487499999999999</v>
      </c>
      <c r="CD313" s="234" cm="1">
        <f t="array" ref="CD313">$BM313 * IF($AH313&lt;=2,
SUMPRODUCT(INDEX($AV$61:$AX$65,,$AI313), INDEX($AY$61:$BE$65,,$AH313), 1 / ($BF$61:$BF$65*CC313 + (1-$BF$61:$BF$65)*BY313), N($AU$61:$AU$65&gt;$AM313)),
SUMPRODUCT(INDEX($AV$46:$AX$55,,$AI313), INDEX($AY$46:$BE$55,,$AH313), 1 / ($BG$46:$BG$55*CC313 + (1-$BG$46:$BG$55)*BY313), N($AU$46:$AU$55&gt;$AM313))
) / 1000</f>
        <v>0</v>
      </c>
      <c r="CE313" s="234" cm="1">
        <f t="array" ref="CE313">$BM313 * IF($AH313&lt;=2,
SUMPRODUCT(INDEX($AV$22:$AX$60,,$AI313), INDEX($AY$22:$BE$60,,$AH313), 1 / ($BF$22:$BF$60*CC313), N($AU$22:$AU$60&gt;$AM313)),
SUMPRODUCT(INDEX($AV$22:$AX$45,,$AI313), INDEX($AY$22:$BE$45,,$AH313), 1 / ($BG$22:$BG$45*CC313), N($AU$22:$AU$45&gt;$AM313))
) / 1000</f>
        <v>0</v>
      </c>
      <c r="CF313" s="229">
        <f t="shared" si="541"/>
        <v>0</v>
      </c>
      <c r="CG313" s="246"/>
      <c r="CH313" s="229">
        <f t="shared" si="542"/>
        <v>0</v>
      </c>
      <c r="CI313" s="228">
        <v>35</v>
      </c>
      <c r="CJ313" s="229">
        <f t="shared" si="543"/>
        <v>48</v>
      </c>
      <c r="CK313" s="234">
        <f t="shared" si="544"/>
        <v>3.0748170731707316</v>
      </c>
      <c r="CL313" s="234" cm="1">
        <f t="array" ref="CL313">$BM313 * SUMPRODUCT(INDEX($AV$76:$AX$81,,$AI313),INDEX($AY$76:$BE$81,,$AH313), N($AU$76:$AU$81&gt;$AM313)) / CK313 / 1000</f>
        <v>0</v>
      </c>
      <c r="CM313" s="231">
        <f t="shared" si="323"/>
        <v>30</v>
      </c>
      <c r="CN313" s="229">
        <f t="shared" si="545"/>
        <v>43</v>
      </c>
      <c r="CO313" s="234">
        <f t="shared" si="546"/>
        <v>3.5018750000000001</v>
      </c>
      <c r="CP313" s="234" cm="1">
        <f t="array" ref="CP313">$BM313 * IF($AH313&lt;=2,
SUMPRODUCT(INDEX($AV$71:$AX$75,,$AI313), INDEX($AY$71:$BE$75,,$AH313), 1 / ($BF$71:$BF$75*CO313 + (1-$BF$71:$BF$75)*CK313), N($AU$71:$AU$75&gt;$AM313)),
SUMPRODUCT(INDEX($AV$66:$AX$75,,$AI313), INDEX($AY$66:$BE$75,,$AH313), 1 / ($BG$66:$BG$75*CO313 + (1-$BG$66:$BG$75)*CK313), N($AU$66:$AU$75&gt;$AM313))
) / 1000</f>
        <v>0</v>
      </c>
      <c r="CQ313" s="231">
        <f t="shared" si="326"/>
        <v>25</v>
      </c>
      <c r="CR313" s="229">
        <f t="shared" si="547"/>
        <v>38</v>
      </c>
      <c r="CS313" s="234">
        <f t="shared" si="548"/>
        <v>4.0666935483870965</v>
      </c>
      <c r="CT313" s="234" cm="1">
        <f t="array" ref="CT313">$BM313 * IF($AH313&lt;=2,
SUMPRODUCT(INDEX($AV$66:$AX$70,,$AI313), INDEX($AY$66:$BE$70,,$AH313), 1 / ($BF$66:$BF$70*CS313 + (1-$BF$66:$BF$70)*CO313), N($AU$66:$AU$70&gt;$AM313)),
SUMPRODUCT(INDEX($AV$56:$AX$65,,$AI313), INDEX($AY$56:$BE$65,,$AH313), 1 / ($BG$56:$BG$65*CS313 + (1-$BG$56:$BG$65)*CO313), N($AU$56:$AU$65&gt;$AM313))
) / 1000</f>
        <v>0</v>
      </c>
      <c r="CU313" s="231">
        <f t="shared" si="329"/>
        <v>20</v>
      </c>
      <c r="CV313" s="229">
        <f t="shared" si="549"/>
        <v>33</v>
      </c>
      <c r="CW313" s="234">
        <f t="shared" si="550"/>
        <v>4.8487499999999999</v>
      </c>
      <c r="CX313" s="234" cm="1">
        <f t="array" ref="CX313">$BM313 * IF($AH313&lt;=2,
SUMPRODUCT(INDEX($AV$61:$AX$65,,$AI313), INDEX($AY$61:$BE$65,,$AH313), 1 / ($BF$61:$BF$65*CW313 + (1-$BF$61:$BF$65)*CS313), N($AU$61:$AU$65&gt;$AM313)),
SUMPRODUCT(INDEX($AV$46:$AX$55,,$AI313), INDEX($AY$46:$BE$55,,$AH313), 1 / ($BG$46:$BG$55*CW313 + (1-$BG$46:$BG$55)*CS313), N($AU$46:$AU$55&gt;$AM313))
) / 1000</f>
        <v>0</v>
      </c>
      <c r="CY313" s="234" cm="1">
        <f t="array" ref="CY313">$BM313 * IF($AH313&lt;=2,
SUMPRODUCT(INDEX($AV$22:$AX$60,,$AI313), INDEX($AY$22:$BE$60,,$AH313), 1 / ($BF$22:$BF$60*CW313), N($AU$22:$AU$60&gt;$AM313)),
SUMPRODUCT(INDEX($AV$22:$AX$45,,$AI313), INDEX($AY$22:$BE$45,,$AH313), 1 / ($BG$22:$BG$45*CW313), N($AU$22:$AU$45&gt;$AM313))
) / 1000</f>
        <v>0</v>
      </c>
      <c r="CZ313" s="229">
        <f t="shared" si="551"/>
        <v>0</v>
      </c>
      <c r="DA313" s="246"/>
    </row>
    <row r="314" spans="1:105" s="75" customFormat="1" ht="14.25" customHeight="1" x14ac:dyDescent="0.2">
      <c r="A314" s="230" t="b">
        <f t="shared" si="291"/>
        <v>0</v>
      </c>
      <c r="B314" s="253">
        <v>293</v>
      </c>
      <c r="C314" s="266"/>
      <c r="D314" s="266"/>
      <c r="E314" s="254"/>
      <c r="F314" s="255" t="str">
        <f>IF(ISBLANK(E314), "", VLOOKUP(E314, Z!$A$2:$C$4127, 3, FALSE))</f>
        <v/>
      </c>
      <c r="G314" s="256"/>
      <c r="H314" s="256"/>
      <c r="I314" s="256"/>
      <c r="J314" s="257"/>
      <c r="K314" s="258"/>
      <c r="L314" s="267"/>
      <c r="M314" s="268"/>
      <c r="N314" s="259" t="str" cm="1">
        <f t="array" ref="N314">IF($L314&gt;0, INDEX(Clean,1+AK314,$D$1), "")</f>
        <v/>
      </c>
      <c r="O314" s="260"/>
      <c r="P314" s="260"/>
      <c r="Q314" s="261"/>
      <c r="R314" s="264">
        <f t="shared" ref="R314:R377" si="556">CF314*1000</f>
        <v>0</v>
      </c>
      <c r="S314" s="259" t="str" cm="1">
        <f t="array" ref="S314">IF($L314&gt;0, INDEX(Clean,1+AL314,$D$1), "")</f>
        <v/>
      </c>
      <c r="T314" s="260"/>
      <c r="U314" s="260"/>
      <c r="V314" s="261"/>
      <c r="W314" s="267"/>
      <c r="X314" s="267"/>
      <c r="Y314" s="257"/>
      <c r="Z314" s="264">
        <f t="shared" ref="Z314:Z377" si="557">(CZ314 - IF(W314&gt;0, CZ314*(W314/7)*AP314, 0) - IF(X314&gt;0, CZ314*(X314*AR314*AS314), 0))*1000</f>
        <v>0</v>
      </c>
      <c r="AA314" s="269"/>
      <c r="AB314" s="266"/>
      <c r="AC314" s="254"/>
      <c r="AD314" s="255" t="str">
        <f>IF(ISBLANK(AC314), "", VLOOKUP(AC314, Z!$A$2:$C$4127, 3, FALSE))</f>
        <v/>
      </c>
      <c r="AE314" s="270"/>
      <c r="AF314" s="265">
        <f t="shared" ref="AF314:AF377" si="558">0.75*AO$22*(R314-Z314)</f>
        <v>0</v>
      </c>
      <c r="AG314" s="246"/>
      <c r="AH314" s="228">
        <f t="shared" si="552"/>
        <v>1</v>
      </c>
      <c r="AI314" s="228">
        <f t="shared" si="553"/>
        <v>1</v>
      </c>
      <c r="AJ314" s="228">
        <f t="shared" si="554"/>
        <v>0</v>
      </c>
      <c r="AK314" s="228">
        <v>0</v>
      </c>
      <c r="AL314" s="228">
        <v>0</v>
      </c>
      <c r="AM314" s="228">
        <f t="shared" ref="AM314:AM377" si="559">IF(AND(K314="x", AH314=5), 11, IF(AND(K314="x", AH314=6), 19, -100))</f>
        <v>-100</v>
      </c>
      <c r="AN314" s="228" cm="1">
        <f t="array" ref="AN314">IF(ISBLANK(G314), 1, IFERROR(MATCH(G314, INDEX(Kat,,1), 0), IFERROR(MATCH(Kat, INDEX(Use,,2), 0), MATCH(Kat, INDEX(Use,,3), 0))))</f>
        <v>1</v>
      </c>
      <c r="AO314" s="246"/>
      <c r="AP314" s="228" cm="1">
        <f t="array" ref="AP314">IF(W314&gt;0, INDEX(Kat, AN314,4), 0)</f>
        <v>0</v>
      </c>
      <c r="AQ314" s="228">
        <f t="shared" si="555"/>
        <v>0</v>
      </c>
      <c r="AR314" s="228" cm="1">
        <f t="array" ref="AR314">IF(X314&gt;0, INDEX(Kat, $AN314, 4+AQ314), 0)</f>
        <v>0</v>
      </c>
      <c r="AS314" s="228" cm="1">
        <f t="array" ref="AS314">IF(X314&gt;0, INDEX(Kat, $AN314, 9+AQ314), 0)</f>
        <v>0</v>
      </c>
      <c r="AT314" s="246"/>
      <c r="AU314" s="262"/>
      <c r="AV314" s="262"/>
      <c r="AW314" s="263"/>
      <c r="AX314" s="263"/>
      <c r="AY314" s="263"/>
      <c r="AZ314" s="263"/>
      <c r="BA314" s="263"/>
      <c r="BB314" s="263"/>
      <c r="BC314" s="263"/>
      <c r="BD314" s="263"/>
      <c r="BE314" s="263"/>
      <c r="BF314" s="263"/>
      <c r="BG314" s="263"/>
      <c r="BH314" s="246"/>
      <c r="BI314" s="228" cm="1">
        <f t="array" ref="BI314">INDEX(Use, $AH314, 4)</f>
        <v>7</v>
      </c>
      <c r="BJ314" s="228">
        <f t="shared" ref="BJ314:BJ377" si="560">MAX(25, BI314+25)</f>
        <v>32</v>
      </c>
      <c r="BK314" s="228">
        <f t="shared" si="305"/>
        <v>13</v>
      </c>
      <c r="BL314" s="228">
        <f t="shared" si="306"/>
        <v>0</v>
      </c>
      <c r="BM314" s="233" cm="1">
        <f t="array" ref="BM314">L314/IF($M314&gt;0, INDEX($AY$22:$BE$76, $M314+20, $AH314), 1)</f>
        <v>0</v>
      </c>
      <c r="BN314" s="229">
        <f t="shared" ref="BN314:BN377" si="561">Q314 /  IF(AH314&lt;=2, 0.7 + 0.3 * (P314-20)/(35-20), 0.4 + 0.6 * (P314-5)/(35-5))</f>
        <v>0</v>
      </c>
      <c r="BO314" s="228">
        <v>35</v>
      </c>
      <c r="BP314" s="229">
        <f t="shared" ref="BP314:BP377" si="562">MAX($O314, MAX($BJ314, $BO314 + $BK314 + $BL314 + 0.35*$AK314*$BK314 + BN314))</f>
        <v>48</v>
      </c>
      <c r="BQ314" s="234">
        <f t="shared" ref="BQ314:BQ377" si="563">0.45*($BI314+273.15)/(BP314-$BI314)</f>
        <v>3.0748170731707316</v>
      </c>
      <c r="BR314" s="234" cm="1">
        <f t="array" ref="BR314">$BM314 * SUMPRODUCT(INDEX($AV$76:$AX$81,,$AI314),INDEX($AY$76:$BE$81,,$AH314), N($AU$76:$AU$81&gt;$AM314)) / BQ314 / 1000</f>
        <v>0</v>
      </c>
      <c r="BS314" s="231">
        <f t="shared" si="310"/>
        <v>30</v>
      </c>
      <c r="BT314" s="229">
        <f t="shared" ref="BT314:BT377" si="564">MAX($O314, MAX($BJ314, BS314 + $BK314 + $BL314 + IF($AH314&lt;=2, (BS314-20)/(35-20), 0.6+0.4*(BS314-5)/(35-5))*0.35*$AK314*$BK314) + IF($AH314&lt;=2,0.9,0.8)*$BN314)</f>
        <v>43</v>
      </c>
      <c r="BU314" s="234">
        <f t="shared" ref="BU314:BU377" si="565">0.45*($BI314+273.15)/(BT314-$BI314)</f>
        <v>3.5018750000000001</v>
      </c>
      <c r="BV314" s="234" cm="1">
        <f t="array" ref="BV314">$BM314 * IF($AH314&lt;=2,
SUMPRODUCT(INDEX($AV$71:$AX$75,,$AI314), INDEX($AY$71:$BE$75,,$AH314), 1 / ($BF$71:$BF$75*BU314 + (1-$BF$71:$BF$75)*BQ314), N($AU$71:$AU$75&gt;$AM314)),
SUMPRODUCT(INDEX($AV$66:$AX$75,,$AI314), INDEX($AY$66:$BE$75,,$AH314), 1 / ($BG$66:$BG$75*BU314 + (1-$BG$66:$BG$75)*BQ314), N($AU$66:$AU$75&gt;$AM314))
) / 1000</f>
        <v>0</v>
      </c>
      <c r="BW314" s="231">
        <f t="shared" si="313"/>
        <v>25</v>
      </c>
      <c r="BX314" s="229">
        <f t="shared" ref="BX314:BX377" si="566">MAX($O314, MAX($BJ314, BW314 + $BK314 + $BL314 + IF($AH314&lt;=2, (BW314-20)/(35-20), 0.6+0.4*(BW314-5)/(35-5))*0.35*$AK314*$BK314) + IF($AH314&lt;=2,0.8,0.6)*$BN314)</f>
        <v>38</v>
      </c>
      <c r="BY314" s="234">
        <f t="shared" ref="BY314:BY377" si="567">0.45*($BI314+273.15)/(BX314-$BI314)</f>
        <v>4.0666935483870965</v>
      </c>
      <c r="BZ314" s="234" cm="1">
        <f t="array" ref="BZ314">$BM314 * IF($AH314&lt;=2,
SUMPRODUCT(INDEX($AV$66:$AX$70,,$AI314), INDEX($AY$66:$BE$70,,$AH314), 1 / ($BF$66:$BF$70*BY314 + (1-$BF$66:$BF$70)*BU314), N($AU$66:$AU$70&gt;$AM314)),
SUMPRODUCT(INDEX($AV$56:$AX$65,,$AI314), INDEX($AY$56:$BE$65,,$AH314), 1 / ($BG$56:$BG$65*BY314 + (1-$BG$56:$BG$65)*BU314), N($AU$56:$AU$65&gt;$AM314))
) / 1000</f>
        <v>0</v>
      </c>
      <c r="CA314" s="231">
        <f t="shared" si="316"/>
        <v>20</v>
      </c>
      <c r="CB314" s="229">
        <f t="shared" ref="CB314:CB377" si="568">MAX($O314, MAX($BJ314, CA314 + $BK314 + $BL314 + IF($AH314&lt;=2, (CA314-20)/(35-20), 0.6+0.4*(CA314-5)/(35-5))*0.35*$AK314*$BK314) + IF($AH314&lt;=2,0.7,0.4)*$BN314)</f>
        <v>33</v>
      </c>
      <c r="CC314" s="234">
        <f t="shared" ref="CC314:CC377" si="569">0.45*($BI314+273.15)/(CB314-$BI314)</f>
        <v>4.8487499999999999</v>
      </c>
      <c r="CD314" s="234" cm="1">
        <f t="array" ref="CD314">$BM314 * IF($AH314&lt;=2,
SUMPRODUCT(INDEX($AV$61:$AX$65,,$AI314), INDEX($AY$61:$BE$65,,$AH314), 1 / ($BF$61:$BF$65*CC314 + (1-$BF$61:$BF$65)*BY314), N($AU$61:$AU$65&gt;$AM314)),
SUMPRODUCT(INDEX($AV$46:$AX$55,,$AI314), INDEX($AY$46:$BE$55,,$AH314), 1 / ($BG$46:$BG$55*CC314 + (1-$BG$46:$BG$55)*BY314), N($AU$46:$AU$55&gt;$AM314))
) / 1000</f>
        <v>0</v>
      </c>
      <c r="CE314" s="234" cm="1">
        <f t="array" ref="CE314">$BM314 * IF($AH314&lt;=2,
SUMPRODUCT(INDEX($AV$22:$AX$60,,$AI314), INDEX($AY$22:$BE$60,,$AH314), 1 / ($BF$22:$BF$60*CC314), N($AU$22:$AU$60&gt;$AM314)),
SUMPRODUCT(INDEX($AV$22:$AX$45,,$AI314), INDEX($AY$22:$BE$45,,$AH314), 1 / ($BG$22:$BG$45*CC314), N($AU$22:$AU$45&gt;$AM314))
) / 1000</f>
        <v>0</v>
      </c>
      <c r="CF314" s="229">
        <f t="shared" ref="CF314:CF377" si="570">BR314+BV314+BZ314+CD314+CE314</f>
        <v>0</v>
      </c>
      <c r="CG314" s="246"/>
      <c r="CH314" s="229">
        <f t="shared" ref="CH314:CH377" si="571">V314 /  IF(AH314&lt;=2, 0.7 + 0.3 * (U314-20)/(35-20), 0.4 + 0.6 * (U314-5)/(35-5))</f>
        <v>0</v>
      </c>
      <c r="CI314" s="228">
        <v>35</v>
      </c>
      <c r="CJ314" s="229">
        <f t="shared" ref="CJ314:CJ377" si="572">MAX($T314, MAX($BJ314, $BO314 + $BK314 + $BL314 + 0.35*$AL314*$BK314 + CH314))</f>
        <v>48</v>
      </c>
      <c r="CK314" s="234">
        <f t="shared" ref="CK314:CK377" si="573">0.45*($BI314+273.15)/(CJ314-$BI314)</f>
        <v>3.0748170731707316</v>
      </c>
      <c r="CL314" s="234" cm="1">
        <f t="array" ref="CL314">$BM314 * SUMPRODUCT(INDEX($AV$76:$AX$81,,$AI314),INDEX($AY$76:$BE$81,,$AH314), N($AU$76:$AU$81&gt;$AM314)) / CK314 / 1000</f>
        <v>0</v>
      </c>
      <c r="CM314" s="231">
        <f t="shared" si="323"/>
        <v>30</v>
      </c>
      <c r="CN314" s="229">
        <f t="shared" ref="CN314:CN377" si="574">MAX($T314, MAX($BJ314, CM314 + $BK314 + $BL314 + IF($AH314&lt;=2, (CM314-20)/(35-20), 0.6+0.4*(CM314-5)/(35-5))*0.35*$AL314*$BK314) + IF($AH314&lt;=2,0.9,0.8)*$CH314)</f>
        <v>43</v>
      </c>
      <c r="CO314" s="234">
        <f t="shared" ref="CO314:CO377" si="575">0.45*($BI314+273.15)/(CN314-$BI314)</f>
        <v>3.5018750000000001</v>
      </c>
      <c r="CP314" s="234" cm="1">
        <f t="array" ref="CP314">$BM314 * IF($AH314&lt;=2,
SUMPRODUCT(INDEX($AV$71:$AX$75,,$AI314), INDEX($AY$71:$BE$75,,$AH314), 1 / ($BF$71:$BF$75*CO314 + (1-$BF$71:$BF$75)*CK314), N($AU$71:$AU$75&gt;$AM314)),
SUMPRODUCT(INDEX($AV$66:$AX$75,,$AI314), INDEX($AY$66:$BE$75,,$AH314), 1 / ($BG$66:$BG$75*CO314 + (1-$BG$66:$BG$75)*CK314), N($AU$66:$AU$75&gt;$AM314))
) / 1000</f>
        <v>0</v>
      </c>
      <c r="CQ314" s="231">
        <f t="shared" si="326"/>
        <v>25</v>
      </c>
      <c r="CR314" s="229">
        <f t="shared" ref="CR314:CR377" si="576">MAX($T314, MAX($BJ314, CQ314 + $BK314 + $BL314 + IF($AH314&lt;=2, (CQ314-20)/(35-20), 0.6+0.4*(CQ314-5)/(35-5))*0.35*$AL314*$BK314) + IF($AH314&lt;=2,0.8,0.6)*$CH314)</f>
        <v>38</v>
      </c>
      <c r="CS314" s="234">
        <f t="shared" ref="CS314:CS377" si="577">0.45*($BI314+273.15)/(CR314-$BI314)</f>
        <v>4.0666935483870965</v>
      </c>
      <c r="CT314" s="234" cm="1">
        <f t="array" ref="CT314">$BM314 * IF($AH314&lt;=2,
SUMPRODUCT(INDEX($AV$66:$AX$70,,$AI314), INDEX($AY$66:$BE$70,,$AH314), 1 / ($BF$66:$BF$70*CS314 + (1-$BF$66:$BF$70)*CO314), N($AU$66:$AU$70&gt;$AM314)),
SUMPRODUCT(INDEX($AV$56:$AX$65,,$AI314), INDEX($AY$56:$BE$65,,$AH314), 1 / ($BG$56:$BG$65*CS314 + (1-$BG$56:$BG$65)*CO314), N($AU$56:$AU$65&gt;$AM314))
) / 1000</f>
        <v>0</v>
      </c>
      <c r="CU314" s="231">
        <f t="shared" si="329"/>
        <v>20</v>
      </c>
      <c r="CV314" s="229">
        <f t="shared" ref="CV314:CV377" si="578">MAX($T314, MAX($BJ314, CU314 + $BK314 + $BL314 + IF($AH314&lt;=2, (CU314-20)/(35-20), 0.6+0.4*(CU314-5)/(35-5))*0.35*$AL314*$BK314) + IF($AH314&lt;=2,0.7,0.4)*$CH314)</f>
        <v>33</v>
      </c>
      <c r="CW314" s="234">
        <f t="shared" ref="CW314:CW377" si="579">0.45*($BI314+273.15)/(CV314-$BI314)</f>
        <v>4.8487499999999999</v>
      </c>
      <c r="CX314" s="234" cm="1">
        <f t="array" ref="CX314">$BM314 * IF($AH314&lt;=2,
SUMPRODUCT(INDEX($AV$61:$AX$65,,$AI314), INDEX($AY$61:$BE$65,,$AH314), 1 / ($BF$61:$BF$65*CW314 + (1-$BF$61:$BF$65)*CS314), N($AU$61:$AU$65&gt;$AM314)),
SUMPRODUCT(INDEX($AV$46:$AX$55,,$AI314), INDEX($AY$46:$BE$55,,$AH314), 1 / ($BG$46:$BG$55*CW314 + (1-$BG$46:$BG$55)*CS314), N($AU$46:$AU$55&gt;$AM314))
) / 1000</f>
        <v>0</v>
      </c>
      <c r="CY314" s="234" cm="1">
        <f t="array" ref="CY314">$BM314 * IF($AH314&lt;=2,
SUMPRODUCT(INDEX($AV$22:$AX$60,,$AI314), INDEX($AY$22:$BE$60,,$AH314), 1 / ($BF$22:$BF$60*CW314), N($AU$22:$AU$60&gt;$AM314)),
SUMPRODUCT(INDEX($AV$22:$AX$45,,$AI314), INDEX($AY$22:$BE$45,,$AH314), 1 / ($BG$22:$BG$45*CW314), N($AU$22:$AU$45&gt;$AM314))
) / 1000</f>
        <v>0</v>
      </c>
      <c r="CZ314" s="229">
        <f t="shared" ref="CZ314:CZ377" si="580">CL314+CP314+CT314+CX314+CY314</f>
        <v>0</v>
      </c>
      <c r="DA314" s="246"/>
    </row>
    <row r="315" spans="1:105" s="75" customFormat="1" ht="14.25" customHeight="1" x14ac:dyDescent="0.2">
      <c r="A315" s="230" t="b">
        <f t="shared" si="291"/>
        <v>0</v>
      </c>
      <c r="B315" s="253">
        <v>294</v>
      </c>
      <c r="C315" s="266"/>
      <c r="D315" s="266"/>
      <c r="E315" s="254"/>
      <c r="F315" s="255" t="str">
        <f>IF(ISBLANK(E315), "", VLOOKUP(E315, Z!$A$2:$C$4127, 3, FALSE))</f>
        <v/>
      </c>
      <c r="G315" s="256"/>
      <c r="H315" s="256"/>
      <c r="I315" s="256"/>
      <c r="J315" s="257"/>
      <c r="K315" s="258"/>
      <c r="L315" s="267"/>
      <c r="M315" s="268"/>
      <c r="N315" s="259" t="str" cm="1">
        <f t="array" ref="N315">IF($L315&gt;0, INDEX(Clean,1+AK315,$D$1), "")</f>
        <v/>
      </c>
      <c r="O315" s="260"/>
      <c r="P315" s="260"/>
      <c r="Q315" s="261"/>
      <c r="R315" s="264">
        <f t="shared" si="556"/>
        <v>0</v>
      </c>
      <c r="S315" s="259" t="str" cm="1">
        <f t="array" ref="S315">IF($L315&gt;0, INDEX(Clean,1+AL315,$D$1), "")</f>
        <v/>
      </c>
      <c r="T315" s="260"/>
      <c r="U315" s="260"/>
      <c r="V315" s="261"/>
      <c r="W315" s="267"/>
      <c r="X315" s="267"/>
      <c r="Y315" s="257"/>
      <c r="Z315" s="264">
        <f t="shared" si="557"/>
        <v>0</v>
      </c>
      <c r="AA315" s="269"/>
      <c r="AB315" s="266"/>
      <c r="AC315" s="254"/>
      <c r="AD315" s="255" t="str">
        <f>IF(ISBLANK(AC315), "", VLOOKUP(AC315, Z!$A$2:$C$4127, 3, FALSE))</f>
        <v/>
      </c>
      <c r="AE315" s="270"/>
      <c r="AF315" s="265">
        <f t="shared" si="558"/>
        <v>0</v>
      </c>
      <c r="AG315" s="246"/>
      <c r="AH315" s="228">
        <f t="shared" ref="AH315:AH378" si="581">IF(ISBLANK(I315), 1, IFERROR(MATCH(I315, INDEX(Use,,1), 0), IFERROR(MATCH(I315, INDEX(Use,,2), 0), MATCH(I315, INDEX(Use,,3), 0))))</f>
        <v>1</v>
      </c>
      <c r="AI315" s="228">
        <f t="shared" ref="AI315:AI378" si="582">IF(ISBLANK(H315), 1, IFERROR(MATCH(H315, INDEX(Loc,,1), 0), IFERROR(MATCH(H315, INDEX(Loc,,2), 0), MATCH(H315, INDEX(Loc,,3), 0))))</f>
        <v>1</v>
      </c>
      <c r="AJ315" s="228">
        <f t="shared" ref="AJ315:AJ378" si="583">_xlfn.IFNA(IF(IFERROR(MATCH(J315, INDEX(Medium,,1), 0), IFERROR(MATCH(J315, INDEX(Medium,,2), 0), MATCH(J315, INDEX(Medium,,3), 0))) = 2, 1, 0), 0)</f>
        <v>0</v>
      </c>
      <c r="AK315" s="228">
        <v>0</v>
      </c>
      <c r="AL315" s="228">
        <v>0</v>
      </c>
      <c r="AM315" s="228">
        <f t="shared" si="559"/>
        <v>-100</v>
      </c>
      <c r="AN315" s="228" cm="1">
        <f t="array" ref="AN315">IF(ISBLANK(G315), 1, IFERROR(MATCH(G315, INDEX(Kat,,1), 0), IFERROR(MATCH(Kat, INDEX(Use,,2), 0), MATCH(Kat, INDEX(Use,,3), 0))))</f>
        <v>1</v>
      </c>
      <c r="AO315" s="246"/>
      <c r="AP315" s="228" cm="1">
        <f t="array" ref="AP315">IF(W315&gt;0, INDEX(Kat, AN315,4), 0)</f>
        <v>0</v>
      </c>
      <c r="AQ315" s="228">
        <f t="shared" ref="AQ315:AQ378" si="584">IF(ISBLANK(Y315), 0, IFERROR(MATCH(Y315, INDEX(Month,,1), 0), IFERROR(MATCH(Y315, INDEX(Month,,2), 0), MATCH(Y315, INDEX(Month,,3), 0))))</f>
        <v>0</v>
      </c>
      <c r="AR315" s="228" cm="1">
        <f t="array" ref="AR315">IF(X315&gt;0, INDEX(Kat, $AN315, 4+AQ315), 0)</f>
        <v>0</v>
      </c>
      <c r="AS315" s="228" cm="1">
        <f t="array" ref="AS315">IF(X315&gt;0, INDEX(Kat, $AN315, 9+AQ315), 0)</f>
        <v>0</v>
      </c>
      <c r="AT315" s="246"/>
      <c r="AU315" s="262"/>
      <c r="AV315" s="262"/>
      <c r="AW315" s="263"/>
      <c r="AX315" s="263"/>
      <c r="AY315" s="263"/>
      <c r="AZ315" s="263"/>
      <c r="BA315" s="263"/>
      <c r="BB315" s="263"/>
      <c r="BC315" s="263"/>
      <c r="BD315" s="263"/>
      <c r="BE315" s="263"/>
      <c r="BF315" s="263"/>
      <c r="BG315" s="263"/>
      <c r="BH315" s="246"/>
      <c r="BI315" s="228" cm="1">
        <f t="array" ref="BI315">INDEX(Use, $AH315, 4)</f>
        <v>7</v>
      </c>
      <c r="BJ315" s="228">
        <f t="shared" si="560"/>
        <v>32</v>
      </c>
      <c r="BK315" s="228">
        <f t="shared" si="305"/>
        <v>13</v>
      </c>
      <c r="BL315" s="228">
        <f t="shared" si="306"/>
        <v>0</v>
      </c>
      <c r="BM315" s="233" cm="1">
        <f t="array" ref="BM315">L315/IF($M315&gt;0, INDEX($AY$22:$BE$76, $M315+20, $AH315), 1)</f>
        <v>0</v>
      </c>
      <c r="BN315" s="229">
        <f t="shared" si="561"/>
        <v>0</v>
      </c>
      <c r="BO315" s="228">
        <v>35</v>
      </c>
      <c r="BP315" s="229">
        <f t="shared" si="562"/>
        <v>48</v>
      </c>
      <c r="BQ315" s="234">
        <f t="shared" si="563"/>
        <v>3.0748170731707316</v>
      </c>
      <c r="BR315" s="234" cm="1">
        <f t="array" ref="BR315">$BM315 * SUMPRODUCT(INDEX($AV$76:$AX$81,,$AI315),INDEX($AY$76:$BE$81,,$AH315), N($AU$76:$AU$81&gt;$AM315)) / BQ315 / 1000</f>
        <v>0</v>
      </c>
      <c r="BS315" s="231">
        <f t="shared" si="310"/>
        <v>30</v>
      </c>
      <c r="BT315" s="229">
        <f t="shared" si="564"/>
        <v>43</v>
      </c>
      <c r="BU315" s="234">
        <f t="shared" si="565"/>
        <v>3.5018750000000001</v>
      </c>
      <c r="BV315" s="234" cm="1">
        <f t="array" ref="BV315">$BM315 * IF($AH315&lt;=2,
SUMPRODUCT(INDEX($AV$71:$AX$75,,$AI315), INDEX($AY$71:$BE$75,,$AH315), 1 / ($BF$71:$BF$75*BU315 + (1-$BF$71:$BF$75)*BQ315), N($AU$71:$AU$75&gt;$AM315)),
SUMPRODUCT(INDEX($AV$66:$AX$75,,$AI315), INDEX($AY$66:$BE$75,,$AH315), 1 / ($BG$66:$BG$75*BU315 + (1-$BG$66:$BG$75)*BQ315), N($AU$66:$AU$75&gt;$AM315))
) / 1000</f>
        <v>0</v>
      </c>
      <c r="BW315" s="231">
        <f t="shared" si="313"/>
        <v>25</v>
      </c>
      <c r="BX315" s="229">
        <f t="shared" si="566"/>
        <v>38</v>
      </c>
      <c r="BY315" s="234">
        <f t="shared" si="567"/>
        <v>4.0666935483870965</v>
      </c>
      <c r="BZ315" s="234" cm="1">
        <f t="array" ref="BZ315">$BM315 * IF($AH315&lt;=2,
SUMPRODUCT(INDEX($AV$66:$AX$70,,$AI315), INDEX($AY$66:$BE$70,,$AH315), 1 / ($BF$66:$BF$70*BY315 + (1-$BF$66:$BF$70)*BU315), N($AU$66:$AU$70&gt;$AM315)),
SUMPRODUCT(INDEX($AV$56:$AX$65,,$AI315), INDEX($AY$56:$BE$65,,$AH315), 1 / ($BG$56:$BG$65*BY315 + (1-$BG$56:$BG$65)*BU315), N($AU$56:$AU$65&gt;$AM315))
) / 1000</f>
        <v>0</v>
      </c>
      <c r="CA315" s="231">
        <f t="shared" si="316"/>
        <v>20</v>
      </c>
      <c r="CB315" s="229">
        <f t="shared" si="568"/>
        <v>33</v>
      </c>
      <c r="CC315" s="234">
        <f t="shared" si="569"/>
        <v>4.8487499999999999</v>
      </c>
      <c r="CD315" s="234" cm="1">
        <f t="array" ref="CD315">$BM315 * IF($AH315&lt;=2,
SUMPRODUCT(INDEX($AV$61:$AX$65,,$AI315), INDEX($AY$61:$BE$65,,$AH315), 1 / ($BF$61:$BF$65*CC315 + (1-$BF$61:$BF$65)*BY315), N($AU$61:$AU$65&gt;$AM315)),
SUMPRODUCT(INDEX($AV$46:$AX$55,,$AI315), INDEX($AY$46:$BE$55,,$AH315), 1 / ($BG$46:$BG$55*CC315 + (1-$BG$46:$BG$55)*BY315), N($AU$46:$AU$55&gt;$AM315))
) / 1000</f>
        <v>0</v>
      </c>
      <c r="CE315" s="234" cm="1">
        <f t="array" ref="CE315">$BM315 * IF($AH315&lt;=2,
SUMPRODUCT(INDEX($AV$22:$AX$60,,$AI315), INDEX($AY$22:$BE$60,,$AH315), 1 / ($BF$22:$BF$60*CC315), N($AU$22:$AU$60&gt;$AM315)),
SUMPRODUCT(INDEX($AV$22:$AX$45,,$AI315), INDEX($AY$22:$BE$45,,$AH315), 1 / ($BG$22:$BG$45*CC315), N($AU$22:$AU$45&gt;$AM315))
) / 1000</f>
        <v>0</v>
      </c>
      <c r="CF315" s="229">
        <f t="shared" si="570"/>
        <v>0</v>
      </c>
      <c r="CG315" s="246"/>
      <c r="CH315" s="229">
        <f t="shared" si="571"/>
        <v>0</v>
      </c>
      <c r="CI315" s="228">
        <v>35</v>
      </c>
      <c r="CJ315" s="229">
        <f t="shared" si="572"/>
        <v>48</v>
      </c>
      <c r="CK315" s="234">
        <f t="shared" si="573"/>
        <v>3.0748170731707316</v>
      </c>
      <c r="CL315" s="234" cm="1">
        <f t="array" ref="CL315">$BM315 * SUMPRODUCT(INDEX($AV$76:$AX$81,,$AI315),INDEX($AY$76:$BE$81,,$AH315), N($AU$76:$AU$81&gt;$AM315)) / CK315 / 1000</f>
        <v>0</v>
      </c>
      <c r="CM315" s="231">
        <f t="shared" si="323"/>
        <v>30</v>
      </c>
      <c r="CN315" s="229">
        <f t="shared" si="574"/>
        <v>43</v>
      </c>
      <c r="CO315" s="234">
        <f t="shared" si="575"/>
        <v>3.5018750000000001</v>
      </c>
      <c r="CP315" s="234" cm="1">
        <f t="array" ref="CP315">$BM315 * IF($AH315&lt;=2,
SUMPRODUCT(INDEX($AV$71:$AX$75,,$AI315), INDEX($AY$71:$BE$75,,$AH315), 1 / ($BF$71:$BF$75*CO315 + (1-$BF$71:$BF$75)*CK315), N($AU$71:$AU$75&gt;$AM315)),
SUMPRODUCT(INDEX($AV$66:$AX$75,,$AI315), INDEX($AY$66:$BE$75,,$AH315), 1 / ($BG$66:$BG$75*CO315 + (1-$BG$66:$BG$75)*CK315), N($AU$66:$AU$75&gt;$AM315))
) / 1000</f>
        <v>0</v>
      </c>
      <c r="CQ315" s="231">
        <f t="shared" si="326"/>
        <v>25</v>
      </c>
      <c r="CR315" s="229">
        <f t="shared" si="576"/>
        <v>38</v>
      </c>
      <c r="CS315" s="234">
        <f t="shared" si="577"/>
        <v>4.0666935483870965</v>
      </c>
      <c r="CT315" s="234" cm="1">
        <f t="array" ref="CT315">$BM315 * IF($AH315&lt;=2,
SUMPRODUCT(INDEX($AV$66:$AX$70,,$AI315), INDEX($AY$66:$BE$70,,$AH315), 1 / ($BF$66:$BF$70*CS315 + (1-$BF$66:$BF$70)*CO315), N($AU$66:$AU$70&gt;$AM315)),
SUMPRODUCT(INDEX($AV$56:$AX$65,,$AI315), INDEX($AY$56:$BE$65,,$AH315), 1 / ($BG$56:$BG$65*CS315 + (1-$BG$56:$BG$65)*CO315), N($AU$56:$AU$65&gt;$AM315))
) / 1000</f>
        <v>0</v>
      </c>
      <c r="CU315" s="231">
        <f t="shared" si="329"/>
        <v>20</v>
      </c>
      <c r="CV315" s="229">
        <f t="shared" si="578"/>
        <v>33</v>
      </c>
      <c r="CW315" s="234">
        <f t="shared" si="579"/>
        <v>4.8487499999999999</v>
      </c>
      <c r="CX315" s="234" cm="1">
        <f t="array" ref="CX315">$BM315 * IF($AH315&lt;=2,
SUMPRODUCT(INDEX($AV$61:$AX$65,,$AI315), INDEX($AY$61:$BE$65,,$AH315), 1 / ($BF$61:$BF$65*CW315 + (1-$BF$61:$BF$65)*CS315), N($AU$61:$AU$65&gt;$AM315)),
SUMPRODUCT(INDEX($AV$46:$AX$55,,$AI315), INDEX($AY$46:$BE$55,,$AH315), 1 / ($BG$46:$BG$55*CW315 + (1-$BG$46:$BG$55)*CS315), N($AU$46:$AU$55&gt;$AM315))
) / 1000</f>
        <v>0</v>
      </c>
      <c r="CY315" s="234" cm="1">
        <f t="array" ref="CY315">$BM315 * IF($AH315&lt;=2,
SUMPRODUCT(INDEX($AV$22:$AX$60,,$AI315), INDEX($AY$22:$BE$60,,$AH315), 1 / ($BF$22:$BF$60*CW315), N($AU$22:$AU$60&gt;$AM315)),
SUMPRODUCT(INDEX($AV$22:$AX$45,,$AI315), INDEX($AY$22:$BE$45,,$AH315), 1 / ($BG$22:$BG$45*CW315), N($AU$22:$AU$45&gt;$AM315))
) / 1000</f>
        <v>0</v>
      </c>
      <c r="CZ315" s="229">
        <f t="shared" si="580"/>
        <v>0</v>
      </c>
      <c r="DA315" s="246"/>
    </row>
    <row r="316" spans="1:105" s="75" customFormat="1" ht="14.25" customHeight="1" x14ac:dyDescent="0.2">
      <c r="A316" s="230" t="b">
        <f t="shared" si="291"/>
        <v>0</v>
      </c>
      <c r="B316" s="253">
        <v>295</v>
      </c>
      <c r="C316" s="266"/>
      <c r="D316" s="266"/>
      <c r="E316" s="254"/>
      <c r="F316" s="255" t="str">
        <f>IF(ISBLANK(E316), "", VLOOKUP(E316, Z!$A$2:$C$4127, 3, FALSE))</f>
        <v/>
      </c>
      <c r="G316" s="256"/>
      <c r="H316" s="256"/>
      <c r="I316" s="256"/>
      <c r="J316" s="257"/>
      <c r="K316" s="258"/>
      <c r="L316" s="267"/>
      <c r="M316" s="268"/>
      <c r="N316" s="259" t="str" cm="1">
        <f t="array" ref="N316">IF($L316&gt;0, INDEX(Clean,1+AK316,$D$1), "")</f>
        <v/>
      </c>
      <c r="O316" s="260"/>
      <c r="P316" s="260"/>
      <c r="Q316" s="261"/>
      <c r="R316" s="264">
        <f t="shared" si="556"/>
        <v>0</v>
      </c>
      <c r="S316" s="259" t="str" cm="1">
        <f t="array" ref="S316">IF($L316&gt;0, INDEX(Clean,1+AL316,$D$1), "")</f>
        <v/>
      </c>
      <c r="T316" s="260"/>
      <c r="U316" s="260"/>
      <c r="V316" s="261"/>
      <c r="W316" s="267"/>
      <c r="X316" s="267"/>
      <c r="Y316" s="257"/>
      <c r="Z316" s="264">
        <f t="shared" si="557"/>
        <v>0</v>
      </c>
      <c r="AA316" s="269"/>
      <c r="AB316" s="266"/>
      <c r="AC316" s="254"/>
      <c r="AD316" s="255" t="str">
        <f>IF(ISBLANK(AC316), "", VLOOKUP(AC316, Z!$A$2:$C$4127, 3, FALSE))</f>
        <v/>
      </c>
      <c r="AE316" s="270"/>
      <c r="AF316" s="265">
        <f t="shared" si="558"/>
        <v>0</v>
      </c>
      <c r="AG316" s="246"/>
      <c r="AH316" s="228">
        <f t="shared" si="581"/>
        <v>1</v>
      </c>
      <c r="AI316" s="228">
        <f t="shared" si="582"/>
        <v>1</v>
      </c>
      <c r="AJ316" s="228">
        <f t="shared" si="583"/>
        <v>0</v>
      </c>
      <c r="AK316" s="228">
        <v>0</v>
      </c>
      <c r="AL316" s="228">
        <v>0</v>
      </c>
      <c r="AM316" s="228">
        <f t="shared" si="559"/>
        <v>-100</v>
      </c>
      <c r="AN316" s="228" cm="1">
        <f t="array" ref="AN316">IF(ISBLANK(G316), 1, IFERROR(MATCH(G316, INDEX(Kat,,1), 0), IFERROR(MATCH(Kat, INDEX(Use,,2), 0), MATCH(Kat, INDEX(Use,,3), 0))))</f>
        <v>1</v>
      </c>
      <c r="AO316" s="246"/>
      <c r="AP316" s="228" cm="1">
        <f t="array" ref="AP316">IF(W316&gt;0, INDEX(Kat, AN316,4), 0)</f>
        <v>0</v>
      </c>
      <c r="AQ316" s="228">
        <f t="shared" si="584"/>
        <v>0</v>
      </c>
      <c r="AR316" s="228" cm="1">
        <f t="array" ref="AR316">IF(X316&gt;0, INDEX(Kat, $AN316, 4+AQ316), 0)</f>
        <v>0</v>
      </c>
      <c r="AS316" s="228" cm="1">
        <f t="array" ref="AS316">IF(X316&gt;0, INDEX(Kat, $AN316, 9+AQ316), 0)</f>
        <v>0</v>
      </c>
      <c r="AT316" s="246"/>
      <c r="AU316" s="262"/>
      <c r="AV316" s="262"/>
      <c r="AW316" s="263"/>
      <c r="AX316" s="263"/>
      <c r="AY316" s="263"/>
      <c r="AZ316" s="263"/>
      <c r="BA316" s="263"/>
      <c r="BB316" s="263"/>
      <c r="BC316" s="263"/>
      <c r="BD316" s="263"/>
      <c r="BE316" s="263"/>
      <c r="BF316" s="263"/>
      <c r="BG316" s="263"/>
      <c r="BH316" s="246"/>
      <c r="BI316" s="228" cm="1">
        <f t="array" ref="BI316">INDEX(Use, $AH316, 4)</f>
        <v>7</v>
      </c>
      <c r="BJ316" s="228">
        <f t="shared" si="560"/>
        <v>32</v>
      </c>
      <c r="BK316" s="228">
        <f t="shared" si="305"/>
        <v>13</v>
      </c>
      <c r="BL316" s="228">
        <f t="shared" si="306"/>
        <v>0</v>
      </c>
      <c r="BM316" s="233" cm="1">
        <f t="array" ref="BM316">L316/IF($M316&gt;0, INDEX($AY$22:$BE$76, $M316+20, $AH316), 1)</f>
        <v>0</v>
      </c>
      <c r="BN316" s="229">
        <f t="shared" si="561"/>
        <v>0</v>
      </c>
      <c r="BO316" s="228">
        <v>35</v>
      </c>
      <c r="BP316" s="229">
        <f t="shared" si="562"/>
        <v>48</v>
      </c>
      <c r="BQ316" s="234">
        <f t="shared" si="563"/>
        <v>3.0748170731707316</v>
      </c>
      <c r="BR316" s="234" cm="1">
        <f t="array" ref="BR316">$BM316 * SUMPRODUCT(INDEX($AV$76:$AX$81,,$AI316),INDEX($AY$76:$BE$81,,$AH316), N($AU$76:$AU$81&gt;$AM316)) / BQ316 / 1000</f>
        <v>0</v>
      </c>
      <c r="BS316" s="231">
        <f t="shared" si="310"/>
        <v>30</v>
      </c>
      <c r="BT316" s="229">
        <f t="shared" si="564"/>
        <v>43</v>
      </c>
      <c r="BU316" s="234">
        <f t="shared" si="565"/>
        <v>3.5018750000000001</v>
      </c>
      <c r="BV316" s="234" cm="1">
        <f t="array" ref="BV316">$BM316 * IF($AH316&lt;=2,
SUMPRODUCT(INDEX($AV$71:$AX$75,,$AI316), INDEX($AY$71:$BE$75,,$AH316), 1 / ($BF$71:$BF$75*BU316 + (1-$BF$71:$BF$75)*BQ316), N($AU$71:$AU$75&gt;$AM316)),
SUMPRODUCT(INDEX($AV$66:$AX$75,,$AI316), INDEX($AY$66:$BE$75,,$AH316), 1 / ($BG$66:$BG$75*BU316 + (1-$BG$66:$BG$75)*BQ316), N($AU$66:$AU$75&gt;$AM316))
) / 1000</f>
        <v>0</v>
      </c>
      <c r="BW316" s="231">
        <f t="shared" si="313"/>
        <v>25</v>
      </c>
      <c r="BX316" s="229">
        <f t="shared" si="566"/>
        <v>38</v>
      </c>
      <c r="BY316" s="234">
        <f t="shared" si="567"/>
        <v>4.0666935483870965</v>
      </c>
      <c r="BZ316" s="234" cm="1">
        <f t="array" ref="BZ316">$BM316 * IF($AH316&lt;=2,
SUMPRODUCT(INDEX($AV$66:$AX$70,,$AI316), INDEX($AY$66:$BE$70,,$AH316), 1 / ($BF$66:$BF$70*BY316 + (1-$BF$66:$BF$70)*BU316), N($AU$66:$AU$70&gt;$AM316)),
SUMPRODUCT(INDEX($AV$56:$AX$65,,$AI316), INDEX($AY$56:$BE$65,,$AH316), 1 / ($BG$56:$BG$65*BY316 + (1-$BG$56:$BG$65)*BU316), N($AU$56:$AU$65&gt;$AM316))
) / 1000</f>
        <v>0</v>
      </c>
      <c r="CA316" s="231">
        <f t="shared" si="316"/>
        <v>20</v>
      </c>
      <c r="CB316" s="229">
        <f t="shared" si="568"/>
        <v>33</v>
      </c>
      <c r="CC316" s="234">
        <f t="shared" si="569"/>
        <v>4.8487499999999999</v>
      </c>
      <c r="CD316" s="234" cm="1">
        <f t="array" ref="CD316">$BM316 * IF($AH316&lt;=2,
SUMPRODUCT(INDEX($AV$61:$AX$65,,$AI316), INDEX($AY$61:$BE$65,,$AH316), 1 / ($BF$61:$BF$65*CC316 + (1-$BF$61:$BF$65)*BY316), N($AU$61:$AU$65&gt;$AM316)),
SUMPRODUCT(INDEX($AV$46:$AX$55,,$AI316), INDEX($AY$46:$BE$55,,$AH316), 1 / ($BG$46:$BG$55*CC316 + (1-$BG$46:$BG$55)*BY316), N($AU$46:$AU$55&gt;$AM316))
) / 1000</f>
        <v>0</v>
      </c>
      <c r="CE316" s="234" cm="1">
        <f t="array" ref="CE316">$BM316 * IF($AH316&lt;=2,
SUMPRODUCT(INDEX($AV$22:$AX$60,,$AI316), INDEX($AY$22:$BE$60,,$AH316), 1 / ($BF$22:$BF$60*CC316), N($AU$22:$AU$60&gt;$AM316)),
SUMPRODUCT(INDEX($AV$22:$AX$45,,$AI316), INDEX($AY$22:$BE$45,,$AH316), 1 / ($BG$22:$BG$45*CC316), N($AU$22:$AU$45&gt;$AM316))
) / 1000</f>
        <v>0</v>
      </c>
      <c r="CF316" s="229">
        <f t="shared" si="570"/>
        <v>0</v>
      </c>
      <c r="CG316" s="246"/>
      <c r="CH316" s="229">
        <f t="shared" si="571"/>
        <v>0</v>
      </c>
      <c r="CI316" s="228">
        <v>35</v>
      </c>
      <c r="CJ316" s="229">
        <f t="shared" si="572"/>
        <v>48</v>
      </c>
      <c r="CK316" s="234">
        <f t="shared" si="573"/>
        <v>3.0748170731707316</v>
      </c>
      <c r="CL316" s="234" cm="1">
        <f t="array" ref="CL316">$BM316 * SUMPRODUCT(INDEX($AV$76:$AX$81,,$AI316),INDEX($AY$76:$BE$81,,$AH316), N($AU$76:$AU$81&gt;$AM316)) / CK316 / 1000</f>
        <v>0</v>
      </c>
      <c r="CM316" s="231">
        <f t="shared" si="323"/>
        <v>30</v>
      </c>
      <c r="CN316" s="229">
        <f t="shared" si="574"/>
        <v>43</v>
      </c>
      <c r="CO316" s="234">
        <f t="shared" si="575"/>
        <v>3.5018750000000001</v>
      </c>
      <c r="CP316" s="234" cm="1">
        <f t="array" ref="CP316">$BM316 * IF($AH316&lt;=2,
SUMPRODUCT(INDEX($AV$71:$AX$75,,$AI316), INDEX($AY$71:$BE$75,,$AH316), 1 / ($BF$71:$BF$75*CO316 + (1-$BF$71:$BF$75)*CK316), N($AU$71:$AU$75&gt;$AM316)),
SUMPRODUCT(INDEX($AV$66:$AX$75,,$AI316), INDEX($AY$66:$BE$75,,$AH316), 1 / ($BG$66:$BG$75*CO316 + (1-$BG$66:$BG$75)*CK316), N($AU$66:$AU$75&gt;$AM316))
) / 1000</f>
        <v>0</v>
      </c>
      <c r="CQ316" s="231">
        <f t="shared" si="326"/>
        <v>25</v>
      </c>
      <c r="CR316" s="229">
        <f t="shared" si="576"/>
        <v>38</v>
      </c>
      <c r="CS316" s="234">
        <f t="shared" si="577"/>
        <v>4.0666935483870965</v>
      </c>
      <c r="CT316" s="234" cm="1">
        <f t="array" ref="CT316">$BM316 * IF($AH316&lt;=2,
SUMPRODUCT(INDEX($AV$66:$AX$70,,$AI316), INDEX($AY$66:$BE$70,,$AH316), 1 / ($BF$66:$BF$70*CS316 + (1-$BF$66:$BF$70)*CO316), N($AU$66:$AU$70&gt;$AM316)),
SUMPRODUCT(INDEX($AV$56:$AX$65,,$AI316), INDEX($AY$56:$BE$65,,$AH316), 1 / ($BG$56:$BG$65*CS316 + (1-$BG$56:$BG$65)*CO316), N($AU$56:$AU$65&gt;$AM316))
) / 1000</f>
        <v>0</v>
      </c>
      <c r="CU316" s="231">
        <f t="shared" si="329"/>
        <v>20</v>
      </c>
      <c r="CV316" s="229">
        <f t="shared" si="578"/>
        <v>33</v>
      </c>
      <c r="CW316" s="234">
        <f t="shared" si="579"/>
        <v>4.8487499999999999</v>
      </c>
      <c r="CX316" s="234" cm="1">
        <f t="array" ref="CX316">$BM316 * IF($AH316&lt;=2,
SUMPRODUCT(INDEX($AV$61:$AX$65,,$AI316), INDEX($AY$61:$BE$65,,$AH316), 1 / ($BF$61:$BF$65*CW316 + (1-$BF$61:$BF$65)*CS316), N($AU$61:$AU$65&gt;$AM316)),
SUMPRODUCT(INDEX($AV$46:$AX$55,,$AI316), INDEX($AY$46:$BE$55,,$AH316), 1 / ($BG$46:$BG$55*CW316 + (1-$BG$46:$BG$55)*CS316), N($AU$46:$AU$55&gt;$AM316))
) / 1000</f>
        <v>0</v>
      </c>
      <c r="CY316" s="234" cm="1">
        <f t="array" ref="CY316">$BM316 * IF($AH316&lt;=2,
SUMPRODUCT(INDEX($AV$22:$AX$60,,$AI316), INDEX($AY$22:$BE$60,,$AH316), 1 / ($BF$22:$BF$60*CW316), N($AU$22:$AU$60&gt;$AM316)),
SUMPRODUCT(INDEX($AV$22:$AX$45,,$AI316), INDEX($AY$22:$BE$45,,$AH316), 1 / ($BG$22:$BG$45*CW316), N($AU$22:$AU$45&gt;$AM316))
) / 1000</f>
        <v>0</v>
      </c>
      <c r="CZ316" s="229">
        <f t="shared" si="580"/>
        <v>0</v>
      </c>
      <c r="DA316" s="246"/>
    </row>
    <row r="317" spans="1:105" s="75" customFormat="1" ht="14.25" customHeight="1" x14ac:dyDescent="0.2">
      <c r="A317" s="230" t="b">
        <f t="shared" si="291"/>
        <v>0</v>
      </c>
      <c r="B317" s="253">
        <v>296</v>
      </c>
      <c r="C317" s="266"/>
      <c r="D317" s="266"/>
      <c r="E317" s="254"/>
      <c r="F317" s="255" t="str">
        <f>IF(ISBLANK(E317), "", VLOOKUP(E317, Z!$A$2:$C$4127, 3, FALSE))</f>
        <v/>
      </c>
      <c r="G317" s="256"/>
      <c r="H317" s="256"/>
      <c r="I317" s="256"/>
      <c r="J317" s="257"/>
      <c r="K317" s="258"/>
      <c r="L317" s="267"/>
      <c r="M317" s="268"/>
      <c r="N317" s="259" t="str" cm="1">
        <f t="array" ref="N317">IF($L317&gt;0, INDEX(Clean,1+AK317,$D$1), "")</f>
        <v/>
      </c>
      <c r="O317" s="260"/>
      <c r="P317" s="260"/>
      <c r="Q317" s="261"/>
      <c r="R317" s="264">
        <f t="shared" si="556"/>
        <v>0</v>
      </c>
      <c r="S317" s="259" t="str" cm="1">
        <f t="array" ref="S317">IF($L317&gt;0, INDEX(Clean,1+AL317,$D$1), "")</f>
        <v/>
      </c>
      <c r="T317" s="260"/>
      <c r="U317" s="260"/>
      <c r="V317" s="261"/>
      <c r="W317" s="267"/>
      <c r="X317" s="267"/>
      <c r="Y317" s="257"/>
      <c r="Z317" s="264">
        <f t="shared" si="557"/>
        <v>0</v>
      </c>
      <c r="AA317" s="269"/>
      <c r="AB317" s="266"/>
      <c r="AC317" s="254"/>
      <c r="AD317" s="255" t="str">
        <f>IF(ISBLANK(AC317), "", VLOOKUP(AC317, Z!$A$2:$C$4127, 3, FALSE))</f>
        <v/>
      </c>
      <c r="AE317" s="270"/>
      <c r="AF317" s="265">
        <f t="shared" si="558"/>
        <v>0</v>
      </c>
      <c r="AG317" s="246"/>
      <c r="AH317" s="228">
        <f t="shared" si="581"/>
        <v>1</v>
      </c>
      <c r="AI317" s="228">
        <f t="shared" si="582"/>
        <v>1</v>
      </c>
      <c r="AJ317" s="228">
        <f t="shared" si="583"/>
        <v>0</v>
      </c>
      <c r="AK317" s="228">
        <v>0</v>
      </c>
      <c r="AL317" s="228">
        <v>0</v>
      </c>
      <c r="AM317" s="228">
        <f t="shared" si="559"/>
        <v>-100</v>
      </c>
      <c r="AN317" s="228" cm="1">
        <f t="array" ref="AN317">IF(ISBLANK(G317), 1, IFERROR(MATCH(G317, INDEX(Kat,,1), 0), IFERROR(MATCH(Kat, INDEX(Use,,2), 0), MATCH(Kat, INDEX(Use,,3), 0))))</f>
        <v>1</v>
      </c>
      <c r="AO317" s="246"/>
      <c r="AP317" s="228" cm="1">
        <f t="array" ref="AP317">IF(W317&gt;0, INDEX(Kat, AN317,4), 0)</f>
        <v>0</v>
      </c>
      <c r="AQ317" s="228">
        <f t="shared" si="584"/>
        <v>0</v>
      </c>
      <c r="AR317" s="228" cm="1">
        <f t="array" ref="AR317">IF(X317&gt;0, INDEX(Kat, $AN317, 4+AQ317), 0)</f>
        <v>0</v>
      </c>
      <c r="AS317" s="228" cm="1">
        <f t="array" ref="AS317">IF(X317&gt;0, INDEX(Kat, $AN317, 9+AQ317), 0)</f>
        <v>0</v>
      </c>
      <c r="AT317" s="246"/>
      <c r="AU317" s="262"/>
      <c r="AV317" s="262"/>
      <c r="AW317" s="263"/>
      <c r="AX317" s="263"/>
      <c r="AY317" s="263"/>
      <c r="AZ317" s="263"/>
      <c r="BA317" s="263"/>
      <c r="BB317" s="263"/>
      <c r="BC317" s="263"/>
      <c r="BD317" s="263"/>
      <c r="BE317" s="263"/>
      <c r="BF317" s="263"/>
      <c r="BG317" s="263"/>
      <c r="BH317" s="246"/>
      <c r="BI317" s="228" cm="1">
        <f t="array" ref="BI317">INDEX(Use, $AH317, 4)</f>
        <v>7</v>
      </c>
      <c r="BJ317" s="228">
        <f t="shared" si="560"/>
        <v>32</v>
      </c>
      <c r="BK317" s="228">
        <f t="shared" si="305"/>
        <v>13</v>
      </c>
      <c r="BL317" s="228">
        <f t="shared" si="306"/>
        <v>0</v>
      </c>
      <c r="BM317" s="233" cm="1">
        <f t="array" ref="BM317">L317/IF($M317&gt;0, INDEX($AY$22:$BE$76, $M317+20, $AH317), 1)</f>
        <v>0</v>
      </c>
      <c r="BN317" s="229">
        <f t="shared" si="561"/>
        <v>0</v>
      </c>
      <c r="BO317" s="228">
        <v>35</v>
      </c>
      <c r="BP317" s="229">
        <f t="shared" si="562"/>
        <v>48</v>
      </c>
      <c r="BQ317" s="234">
        <f t="shared" si="563"/>
        <v>3.0748170731707316</v>
      </c>
      <c r="BR317" s="234" cm="1">
        <f t="array" ref="BR317">$BM317 * SUMPRODUCT(INDEX($AV$76:$AX$81,,$AI317),INDEX($AY$76:$BE$81,,$AH317), N($AU$76:$AU$81&gt;$AM317)) / BQ317 / 1000</f>
        <v>0</v>
      </c>
      <c r="BS317" s="231">
        <f t="shared" si="310"/>
        <v>30</v>
      </c>
      <c r="BT317" s="229">
        <f t="shared" si="564"/>
        <v>43</v>
      </c>
      <c r="BU317" s="234">
        <f t="shared" si="565"/>
        <v>3.5018750000000001</v>
      </c>
      <c r="BV317" s="234" cm="1">
        <f t="array" ref="BV317">$BM317 * IF($AH317&lt;=2,
SUMPRODUCT(INDEX($AV$71:$AX$75,,$AI317), INDEX($AY$71:$BE$75,,$AH317), 1 / ($BF$71:$BF$75*BU317 + (1-$BF$71:$BF$75)*BQ317), N($AU$71:$AU$75&gt;$AM317)),
SUMPRODUCT(INDEX($AV$66:$AX$75,,$AI317), INDEX($AY$66:$BE$75,,$AH317), 1 / ($BG$66:$BG$75*BU317 + (1-$BG$66:$BG$75)*BQ317), N($AU$66:$AU$75&gt;$AM317))
) / 1000</f>
        <v>0</v>
      </c>
      <c r="BW317" s="231">
        <f t="shared" si="313"/>
        <v>25</v>
      </c>
      <c r="BX317" s="229">
        <f t="shared" si="566"/>
        <v>38</v>
      </c>
      <c r="BY317" s="234">
        <f t="shared" si="567"/>
        <v>4.0666935483870965</v>
      </c>
      <c r="BZ317" s="234" cm="1">
        <f t="array" ref="BZ317">$BM317 * IF($AH317&lt;=2,
SUMPRODUCT(INDEX($AV$66:$AX$70,,$AI317), INDEX($AY$66:$BE$70,,$AH317), 1 / ($BF$66:$BF$70*BY317 + (1-$BF$66:$BF$70)*BU317), N($AU$66:$AU$70&gt;$AM317)),
SUMPRODUCT(INDEX($AV$56:$AX$65,,$AI317), INDEX($AY$56:$BE$65,,$AH317), 1 / ($BG$56:$BG$65*BY317 + (1-$BG$56:$BG$65)*BU317), N($AU$56:$AU$65&gt;$AM317))
) / 1000</f>
        <v>0</v>
      </c>
      <c r="CA317" s="231">
        <f t="shared" si="316"/>
        <v>20</v>
      </c>
      <c r="CB317" s="229">
        <f t="shared" si="568"/>
        <v>33</v>
      </c>
      <c r="CC317" s="234">
        <f t="shared" si="569"/>
        <v>4.8487499999999999</v>
      </c>
      <c r="CD317" s="234" cm="1">
        <f t="array" ref="CD317">$BM317 * IF($AH317&lt;=2,
SUMPRODUCT(INDEX($AV$61:$AX$65,,$AI317), INDEX($AY$61:$BE$65,,$AH317), 1 / ($BF$61:$BF$65*CC317 + (1-$BF$61:$BF$65)*BY317), N($AU$61:$AU$65&gt;$AM317)),
SUMPRODUCT(INDEX($AV$46:$AX$55,,$AI317), INDEX($AY$46:$BE$55,,$AH317), 1 / ($BG$46:$BG$55*CC317 + (1-$BG$46:$BG$55)*BY317), N($AU$46:$AU$55&gt;$AM317))
) / 1000</f>
        <v>0</v>
      </c>
      <c r="CE317" s="234" cm="1">
        <f t="array" ref="CE317">$BM317 * IF($AH317&lt;=2,
SUMPRODUCT(INDEX($AV$22:$AX$60,,$AI317), INDEX($AY$22:$BE$60,,$AH317), 1 / ($BF$22:$BF$60*CC317), N($AU$22:$AU$60&gt;$AM317)),
SUMPRODUCT(INDEX($AV$22:$AX$45,,$AI317), INDEX($AY$22:$BE$45,,$AH317), 1 / ($BG$22:$BG$45*CC317), N($AU$22:$AU$45&gt;$AM317))
) / 1000</f>
        <v>0</v>
      </c>
      <c r="CF317" s="229">
        <f t="shared" si="570"/>
        <v>0</v>
      </c>
      <c r="CG317" s="246"/>
      <c r="CH317" s="229">
        <f t="shared" si="571"/>
        <v>0</v>
      </c>
      <c r="CI317" s="228">
        <v>35</v>
      </c>
      <c r="CJ317" s="229">
        <f t="shared" si="572"/>
        <v>48</v>
      </c>
      <c r="CK317" s="234">
        <f t="shared" si="573"/>
        <v>3.0748170731707316</v>
      </c>
      <c r="CL317" s="234" cm="1">
        <f t="array" ref="CL317">$BM317 * SUMPRODUCT(INDEX($AV$76:$AX$81,,$AI317),INDEX($AY$76:$BE$81,,$AH317), N($AU$76:$AU$81&gt;$AM317)) / CK317 / 1000</f>
        <v>0</v>
      </c>
      <c r="CM317" s="231">
        <f t="shared" si="323"/>
        <v>30</v>
      </c>
      <c r="CN317" s="229">
        <f t="shared" si="574"/>
        <v>43</v>
      </c>
      <c r="CO317" s="234">
        <f t="shared" si="575"/>
        <v>3.5018750000000001</v>
      </c>
      <c r="CP317" s="234" cm="1">
        <f t="array" ref="CP317">$BM317 * IF($AH317&lt;=2,
SUMPRODUCT(INDEX($AV$71:$AX$75,,$AI317), INDEX($AY$71:$BE$75,,$AH317), 1 / ($BF$71:$BF$75*CO317 + (1-$BF$71:$BF$75)*CK317), N($AU$71:$AU$75&gt;$AM317)),
SUMPRODUCT(INDEX($AV$66:$AX$75,,$AI317), INDEX($AY$66:$BE$75,,$AH317), 1 / ($BG$66:$BG$75*CO317 + (1-$BG$66:$BG$75)*CK317), N($AU$66:$AU$75&gt;$AM317))
) / 1000</f>
        <v>0</v>
      </c>
      <c r="CQ317" s="231">
        <f t="shared" si="326"/>
        <v>25</v>
      </c>
      <c r="CR317" s="229">
        <f t="shared" si="576"/>
        <v>38</v>
      </c>
      <c r="CS317" s="234">
        <f t="shared" si="577"/>
        <v>4.0666935483870965</v>
      </c>
      <c r="CT317" s="234" cm="1">
        <f t="array" ref="CT317">$BM317 * IF($AH317&lt;=2,
SUMPRODUCT(INDEX($AV$66:$AX$70,,$AI317), INDEX($AY$66:$BE$70,,$AH317), 1 / ($BF$66:$BF$70*CS317 + (1-$BF$66:$BF$70)*CO317), N($AU$66:$AU$70&gt;$AM317)),
SUMPRODUCT(INDEX($AV$56:$AX$65,,$AI317), INDEX($AY$56:$BE$65,,$AH317), 1 / ($BG$56:$BG$65*CS317 + (1-$BG$56:$BG$65)*CO317), N($AU$56:$AU$65&gt;$AM317))
) / 1000</f>
        <v>0</v>
      </c>
      <c r="CU317" s="231">
        <f t="shared" si="329"/>
        <v>20</v>
      </c>
      <c r="CV317" s="229">
        <f t="shared" si="578"/>
        <v>33</v>
      </c>
      <c r="CW317" s="234">
        <f t="shared" si="579"/>
        <v>4.8487499999999999</v>
      </c>
      <c r="CX317" s="234" cm="1">
        <f t="array" ref="CX317">$BM317 * IF($AH317&lt;=2,
SUMPRODUCT(INDEX($AV$61:$AX$65,,$AI317), INDEX($AY$61:$BE$65,,$AH317), 1 / ($BF$61:$BF$65*CW317 + (1-$BF$61:$BF$65)*CS317), N($AU$61:$AU$65&gt;$AM317)),
SUMPRODUCT(INDEX($AV$46:$AX$55,,$AI317), INDEX($AY$46:$BE$55,,$AH317), 1 / ($BG$46:$BG$55*CW317 + (1-$BG$46:$BG$55)*CS317), N($AU$46:$AU$55&gt;$AM317))
) / 1000</f>
        <v>0</v>
      </c>
      <c r="CY317" s="234" cm="1">
        <f t="array" ref="CY317">$BM317 * IF($AH317&lt;=2,
SUMPRODUCT(INDEX($AV$22:$AX$60,,$AI317), INDEX($AY$22:$BE$60,,$AH317), 1 / ($BF$22:$BF$60*CW317), N($AU$22:$AU$60&gt;$AM317)),
SUMPRODUCT(INDEX($AV$22:$AX$45,,$AI317), INDEX($AY$22:$BE$45,,$AH317), 1 / ($BG$22:$BG$45*CW317), N($AU$22:$AU$45&gt;$AM317))
) / 1000</f>
        <v>0</v>
      </c>
      <c r="CZ317" s="229">
        <f t="shared" si="580"/>
        <v>0</v>
      </c>
      <c r="DA317" s="246"/>
    </row>
    <row r="318" spans="1:105" s="75" customFormat="1" ht="14.25" customHeight="1" x14ac:dyDescent="0.2">
      <c r="A318" s="230" t="b">
        <f t="shared" si="291"/>
        <v>0</v>
      </c>
      <c r="B318" s="253">
        <v>297</v>
      </c>
      <c r="C318" s="266"/>
      <c r="D318" s="266"/>
      <c r="E318" s="254"/>
      <c r="F318" s="255" t="str">
        <f>IF(ISBLANK(E318), "", VLOOKUP(E318, Z!$A$2:$C$4127, 3, FALSE))</f>
        <v/>
      </c>
      <c r="G318" s="256"/>
      <c r="H318" s="256"/>
      <c r="I318" s="256"/>
      <c r="J318" s="257"/>
      <c r="K318" s="258"/>
      <c r="L318" s="267"/>
      <c r="M318" s="268"/>
      <c r="N318" s="259" t="str" cm="1">
        <f t="array" ref="N318">IF($L318&gt;0, INDEX(Clean,1+AK318,$D$1), "")</f>
        <v/>
      </c>
      <c r="O318" s="260"/>
      <c r="P318" s="260"/>
      <c r="Q318" s="261"/>
      <c r="R318" s="264">
        <f t="shared" si="556"/>
        <v>0</v>
      </c>
      <c r="S318" s="259" t="str" cm="1">
        <f t="array" ref="S318">IF($L318&gt;0, INDEX(Clean,1+AL318,$D$1), "")</f>
        <v/>
      </c>
      <c r="T318" s="260"/>
      <c r="U318" s="260"/>
      <c r="V318" s="261"/>
      <c r="W318" s="267"/>
      <c r="X318" s="267"/>
      <c r="Y318" s="257"/>
      <c r="Z318" s="264">
        <f t="shared" si="557"/>
        <v>0</v>
      </c>
      <c r="AA318" s="269"/>
      <c r="AB318" s="266"/>
      <c r="AC318" s="254"/>
      <c r="AD318" s="255" t="str">
        <f>IF(ISBLANK(AC318), "", VLOOKUP(AC318, Z!$A$2:$C$4127, 3, FALSE))</f>
        <v/>
      </c>
      <c r="AE318" s="270"/>
      <c r="AF318" s="265">
        <f t="shared" si="558"/>
        <v>0</v>
      </c>
      <c r="AG318" s="246"/>
      <c r="AH318" s="228">
        <f t="shared" si="581"/>
        <v>1</v>
      </c>
      <c r="AI318" s="228">
        <f t="shared" si="582"/>
        <v>1</v>
      </c>
      <c r="AJ318" s="228">
        <f t="shared" si="583"/>
        <v>0</v>
      </c>
      <c r="AK318" s="228">
        <v>0</v>
      </c>
      <c r="AL318" s="228">
        <v>0</v>
      </c>
      <c r="AM318" s="228">
        <f t="shared" si="559"/>
        <v>-100</v>
      </c>
      <c r="AN318" s="228" cm="1">
        <f t="array" ref="AN318">IF(ISBLANK(G318), 1, IFERROR(MATCH(G318, INDEX(Kat,,1), 0), IFERROR(MATCH(Kat, INDEX(Use,,2), 0), MATCH(Kat, INDEX(Use,,3), 0))))</f>
        <v>1</v>
      </c>
      <c r="AO318" s="246"/>
      <c r="AP318" s="228" cm="1">
        <f t="array" ref="AP318">IF(W318&gt;0, INDEX(Kat, AN318,4), 0)</f>
        <v>0</v>
      </c>
      <c r="AQ318" s="228">
        <f t="shared" si="584"/>
        <v>0</v>
      </c>
      <c r="AR318" s="228" cm="1">
        <f t="array" ref="AR318">IF(X318&gt;0, INDEX(Kat, $AN318, 4+AQ318), 0)</f>
        <v>0</v>
      </c>
      <c r="AS318" s="228" cm="1">
        <f t="array" ref="AS318">IF(X318&gt;0, INDEX(Kat, $AN318, 9+AQ318), 0)</f>
        <v>0</v>
      </c>
      <c r="AT318" s="246"/>
      <c r="AU318" s="262"/>
      <c r="AV318" s="262"/>
      <c r="AW318" s="263"/>
      <c r="AX318" s="263"/>
      <c r="AY318" s="263"/>
      <c r="AZ318" s="263"/>
      <c r="BA318" s="263"/>
      <c r="BB318" s="263"/>
      <c r="BC318" s="263"/>
      <c r="BD318" s="263"/>
      <c r="BE318" s="263"/>
      <c r="BF318" s="263"/>
      <c r="BG318" s="263"/>
      <c r="BH318" s="246"/>
      <c r="BI318" s="228" cm="1">
        <f t="array" ref="BI318">INDEX(Use, $AH318, 4)</f>
        <v>7</v>
      </c>
      <c r="BJ318" s="228">
        <f t="shared" si="560"/>
        <v>32</v>
      </c>
      <c r="BK318" s="228">
        <f t="shared" si="305"/>
        <v>13</v>
      </c>
      <c r="BL318" s="228">
        <f t="shared" si="306"/>
        <v>0</v>
      </c>
      <c r="BM318" s="233" cm="1">
        <f t="array" ref="BM318">L318/IF($M318&gt;0, INDEX($AY$22:$BE$76, $M318+20, $AH318), 1)</f>
        <v>0</v>
      </c>
      <c r="BN318" s="229">
        <f t="shared" si="561"/>
        <v>0</v>
      </c>
      <c r="BO318" s="228">
        <v>35</v>
      </c>
      <c r="BP318" s="229">
        <f t="shared" si="562"/>
        <v>48</v>
      </c>
      <c r="BQ318" s="234">
        <f t="shared" si="563"/>
        <v>3.0748170731707316</v>
      </c>
      <c r="BR318" s="234" cm="1">
        <f t="array" ref="BR318">$BM318 * SUMPRODUCT(INDEX($AV$76:$AX$81,,$AI318),INDEX($AY$76:$BE$81,,$AH318), N($AU$76:$AU$81&gt;$AM318)) / BQ318 / 1000</f>
        <v>0</v>
      </c>
      <c r="BS318" s="231">
        <f t="shared" si="310"/>
        <v>30</v>
      </c>
      <c r="BT318" s="229">
        <f t="shared" si="564"/>
        <v>43</v>
      </c>
      <c r="BU318" s="234">
        <f t="shared" si="565"/>
        <v>3.5018750000000001</v>
      </c>
      <c r="BV318" s="234" cm="1">
        <f t="array" ref="BV318">$BM318 * IF($AH318&lt;=2,
SUMPRODUCT(INDEX($AV$71:$AX$75,,$AI318), INDEX($AY$71:$BE$75,,$AH318), 1 / ($BF$71:$BF$75*BU318 + (1-$BF$71:$BF$75)*BQ318), N($AU$71:$AU$75&gt;$AM318)),
SUMPRODUCT(INDEX($AV$66:$AX$75,,$AI318), INDEX($AY$66:$BE$75,,$AH318), 1 / ($BG$66:$BG$75*BU318 + (1-$BG$66:$BG$75)*BQ318), N($AU$66:$AU$75&gt;$AM318))
) / 1000</f>
        <v>0</v>
      </c>
      <c r="BW318" s="231">
        <f t="shared" si="313"/>
        <v>25</v>
      </c>
      <c r="BX318" s="229">
        <f t="shared" si="566"/>
        <v>38</v>
      </c>
      <c r="BY318" s="234">
        <f t="shared" si="567"/>
        <v>4.0666935483870965</v>
      </c>
      <c r="BZ318" s="234" cm="1">
        <f t="array" ref="BZ318">$BM318 * IF($AH318&lt;=2,
SUMPRODUCT(INDEX($AV$66:$AX$70,,$AI318), INDEX($AY$66:$BE$70,,$AH318), 1 / ($BF$66:$BF$70*BY318 + (1-$BF$66:$BF$70)*BU318), N($AU$66:$AU$70&gt;$AM318)),
SUMPRODUCT(INDEX($AV$56:$AX$65,,$AI318), INDEX($AY$56:$BE$65,,$AH318), 1 / ($BG$56:$BG$65*BY318 + (1-$BG$56:$BG$65)*BU318), N($AU$56:$AU$65&gt;$AM318))
) / 1000</f>
        <v>0</v>
      </c>
      <c r="CA318" s="231">
        <f t="shared" si="316"/>
        <v>20</v>
      </c>
      <c r="CB318" s="229">
        <f t="shared" si="568"/>
        <v>33</v>
      </c>
      <c r="CC318" s="234">
        <f t="shared" si="569"/>
        <v>4.8487499999999999</v>
      </c>
      <c r="CD318" s="234" cm="1">
        <f t="array" ref="CD318">$BM318 * IF($AH318&lt;=2,
SUMPRODUCT(INDEX($AV$61:$AX$65,,$AI318), INDEX($AY$61:$BE$65,,$AH318), 1 / ($BF$61:$BF$65*CC318 + (1-$BF$61:$BF$65)*BY318), N($AU$61:$AU$65&gt;$AM318)),
SUMPRODUCT(INDEX($AV$46:$AX$55,,$AI318), INDEX($AY$46:$BE$55,,$AH318), 1 / ($BG$46:$BG$55*CC318 + (1-$BG$46:$BG$55)*BY318), N($AU$46:$AU$55&gt;$AM318))
) / 1000</f>
        <v>0</v>
      </c>
      <c r="CE318" s="234" cm="1">
        <f t="array" ref="CE318">$BM318 * IF($AH318&lt;=2,
SUMPRODUCT(INDEX($AV$22:$AX$60,,$AI318), INDEX($AY$22:$BE$60,,$AH318), 1 / ($BF$22:$BF$60*CC318), N($AU$22:$AU$60&gt;$AM318)),
SUMPRODUCT(INDEX($AV$22:$AX$45,,$AI318), INDEX($AY$22:$BE$45,,$AH318), 1 / ($BG$22:$BG$45*CC318), N($AU$22:$AU$45&gt;$AM318))
) / 1000</f>
        <v>0</v>
      </c>
      <c r="CF318" s="229">
        <f t="shared" si="570"/>
        <v>0</v>
      </c>
      <c r="CG318" s="246"/>
      <c r="CH318" s="229">
        <f t="shared" si="571"/>
        <v>0</v>
      </c>
      <c r="CI318" s="228">
        <v>35</v>
      </c>
      <c r="CJ318" s="229">
        <f t="shared" si="572"/>
        <v>48</v>
      </c>
      <c r="CK318" s="234">
        <f t="shared" si="573"/>
        <v>3.0748170731707316</v>
      </c>
      <c r="CL318" s="234" cm="1">
        <f t="array" ref="CL318">$BM318 * SUMPRODUCT(INDEX($AV$76:$AX$81,,$AI318),INDEX($AY$76:$BE$81,,$AH318), N($AU$76:$AU$81&gt;$AM318)) / CK318 / 1000</f>
        <v>0</v>
      </c>
      <c r="CM318" s="231">
        <f t="shared" si="323"/>
        <v>30</v>
      </c>
      <c r="CN318" s="229">
        <f t="shared" si="574"/>
        <v>43</v>
      </c>
      <c r="CO318" s="234">
        <f t="shared" si="575"/>
        <v>3.5018750000000001</v>
      </c>
      <c r="CP318" s="234" cm="1">
        <f t="array" ref="CP318">$BM318 * IF($AH318&lt;=2,
SUMPRODUCT(INDEX($AV$71:$AX$75,,$AI318), INDEX($AY$71:$BE$75,,$AH318), 1 / ($BF$71:$BF$75*CO318 + (1-$BF$71:$BF$75)*CK318), N($AU$71:$AU$75&gt;$AM318)),
SUMPRODUCT(INDEX($AV$66:$AX$75,,$AI318), INDEX($AY$66:$BE$75,,$AH318), 1 / ($BG$66:$BG$75*CO318 + (1-$BG$66:$BG$75)*CK318), N($AU$66:$AU$75&gt;$AM318))
) / 1000</f>
        <v>0</v>
      </c>
      <c r="CQ318" s="231">
        <f t="shared" si="326"/>
        <v>25</v>
      </c>
      <c r="CR318" s="229">
        <f t="shared" si="576"/>
        <v>38</v>
      </c>
      <c r="CS318" s="234">
        <f t="shared" si="577"/>
        <v>4.0666935483870965</v>
      </c>
      <c r="CT318" s="234" cm="1">
        <f t="array" ref="CT318">$BM318 * IF($AH318&lt;=2,
SUMPRODUCT(INDEX($AV$66:$AX$70,,$AI318), INDEX($AY$66:$BE$70,,$AH318), 1 / ($BF$66:$BF$70*CS318 + (1-$BF$66:$BF$70)*CO318), N($AU$66:$AU$70&gt;$AM318)),
SUMPRODUCT(INDEX($AV$56:$AX$65,,$AI318), INDEX($AY$56:$BE$65,,$AH318), 1 / ($BG$56:$BG$65*CS318 + (1-$BG$56:$BG$65)*CO318), N($AU$56:$AU$65&gt;$AM318))
) / 1000</f>
        <v>0</v>
      </c>
      <c r="CU318" s="231">
        <f t="shared" si="329"/>
        <v>20</v>
      </c>
      <c r="CV318" s="229">
        <f t="shared" si="578"/>
        <v>33</v>
      </c>
      <c r="CW318" s="234">
        <f t="shared" si="579"/>
        <v>4.8487499999999999</v>
      </c>
      <c r="CX318" s="234" cm="1">
        <f t="array" ref="CX318">$BM318 * IF($AH318&lt;=2,
SUMPRODUCT(INDEX($AV$61:$AX$65,,$AI318), INDEX($AY$61:$BE$65,,$AH318), 1 / ($BF$61:$BF$65*CW318 + (1-$BF$61:$BF$65)*CS318), N($AU$61:$AU$65&gt;$AM318)),
SUMPRODUCT(INDEX($AV$46:$AX$55,,$AI318), INDEX($AY$46:$BE$55,,$AH318), 1 / ($BG$46:$BG$55*CW318 + (1-$BG$46:$BG$55)*CS318), N($AU$46:$AU$55&gt;$AM318))
) / 1000</f>
        <v>0</v>
      </c>
      <c r="CY318" s="234" cm="1">
        <f t="array" ref="CY318">$BM318 * IF($AH318&lt;=2,
SUMPRODUCT(INDEX($AV$22:$AX$60,,$AI318), INDEX($AY$22:$BE$60,,$AH318), 1 / ($BF$22:$BF$60*CW318), N($AU$22:$AU$60&gt;$AM318)),
SUMPRODUCT(INDEX($AV$22:$AX$45,,$AI318), INDEX($AY$22:$BE$45,,$AH318), 1 / ($BG$22:$BG$45*CW318), N($AU$22:$AU$45&gt;$AM318))
) / 1000</f>
        <v>0</v>
      </c>
      <c r="CZ318" s="229">
        <f t="shared" si="580"/>
        <v>0</v>
      </c>
      <c r="DA318" s="246"/>
    </row>
    <row r="319" spans="1:105" s="75" customFormat="1" ht="14.25" customHeight="1" x14ac:dyDescent="0.2">
      <c r="A319" s="230" t="b">
        <f t="shared" si="291"/>
        <v>0</v>
      </c>
      <c r="B319" s="253">
        <v>298</v>
      </c>
      <c r="C319" s="266"/>
      <c r="D319" s="266"/>
      <c r="E319" s="254"/>
      <c r="F319" s="255" t="str">
        <f>IF(ISBLANK(E319), "", VLOOKUP(E319, Z!$A$2:$C$4127, 3, FALSE))</f>
        <v/>
      </c>
      <c r="G319" s="256"/>
      <c r="H319" s="256"/>
      <c r="I319" s="256"/>
      <c r="J319" s="257"/>
      <c r="K319" s="258"/>
      <c r="L319" s="267"/>
      <c r="M319" s="268"/>
      <c r="N319" s="259" t="str" cm="1">
        <f t="array" ref="N319">IF($L319&gt;0, INDEX(Clean,1+AK319,$D$1), "")</f>
        <v/>
      </c>
      <c r="O319" s="260"/>
      <c r="P319" s="260"/>
      <c r="Q319" s="261"/>
      <c r="R319" s="264">
        <f t="shared" si="556"/>
        <v>0</v>
      </c>
      <c r="S319" s="259" t="str" cm="1">
        <f t="array" ref="S319">IF($L319&gt;0, INDEX(Clean,1+AL319,$D$1), "")</f>
        <v/>
      </c>
      <c r="T319" s="260"/>
      <c r="U319" s="260"/>
      <c r="V319" s="261"/>
      <c r="W319" s="267"/>
      <c r="X319" s="267"/>
      <c r="Y319" s="257"/>
      <c r="Z319" s="264">
        <f t="shared" si="557"/>
        <v>0</v>
      </c>
      <c r="AA319" s="269"/>
      <c r="AB319" s="266"/>
      <c r="AC319" s="254"/>
      <c r="AD319" s="255" t="str">
        <f>IF(ISBLANK(AC319), "", VLOOKUP(AC319, Z!$A$2:$C$4127, 3, FALSE))</f>
        <v/>
      </c>
      <c r="AE319" s="270"/>
      <c r="AF319" s="265">
        <f t="shared" si="558"/>
        <v>0</v>
      </c>
      <c r="AG319" s="246"/>
      <c r="AH319" s="228">
        <f t="shared" si="581"/>
        <v>1</v>
      </c>
      <c r="AI319" s="228">
        <f t="shared" si="582"/>
        <v>1</v>
      </c>
      <c r="AJ319" s="228">
        <f t="shared" si="583"/>
        <v>0</v>
      </c>
      <c r="AK319" s="228">
        <v>0</v>
      </c>
      <c r="AL319" s="228">
        <v>0</v>
      </c>
      <c r="AM319" s="228">
        <f t="shared" si="559"/>
        <v>-100</v>
      </c>
      <c r="AN319" s="228" cm="1">
        <f t="array" ref="AN319">IF(ISBLANK(G319), 1, IFERROR(MATCH(G319, INDEX(Kat,,1), 0), IFERROR(MATCH(Kat, INDEX(Use,,2), 0), MATCH(Kat, INDEX(Use,,3), 0))))</f>
        <v>1</v>
      </c>
      <c r="AO319" s="246"/>
      <c r="AP319" s="228" cm="1">
        <f t="array" ref="AP319">IF(W319&gt;0, INDEX(Kat, AN319,4), 0)</f>
        <v>0</v>
      </c>
      <c r="AQ319" s="228">
        <f t="shared" si="584"/>
        <v>0</v>
      </c>
      <c r="AR319" s="228" cm="1">
        <f t="array" ref="AR319">IF(X319&gt;0, INDEX(Kat, $AN319, 4+AQ319), 0)</f>
        <v>0</v>
      </c>
      <c r="AS319" s="228" cm="1">
        <f t="array" ref="AS319">IF(X319&gt;0, INDEX(Kat, $AN319, 9+AQ319), 0)</f>
        <v>0</v>
      </c>
      <c r="AT319" s="246"/>
      <c r="AU319" s="262"/>
      <c r="AV319" s="262"/>
      <c r="AW319" s="263"/>
      <c r="AX319" s="263"/>
      <c r="AY319" s="263"/>
      <c r="AZ319" s="263"/>
      <c r="BA319" s="263"/>
      <c r="BB319" s="263"/>
      <c r="BC319" s="263"/>
      <c r="BD319" s="263"/>
      <c r="BE319" s="263"/>
      <c r="BF319" s="263"/>
      <c r="BG319" s="263"/>
      <c r="BH319" s="246"/>
      <c r="BI319" s="228" cm="1">
        <f t="array" ref="BI319">INDEX(Use, $AH319, 4)</f>
        <v>7</v>
      </c>
      <c r="BJ319" s="228">
        <f t="shared" si="560"/>
        <v>32</v>
      </c>
      <c r="BK319" s="228">
        <f t="shared" si="305"/>
        <v>13</v>
      </c>
      <c r="BL319" s="228">
        <f t="shared" si="306"/>
        <v>0</v>
      </c>
      <c r="BM319" s="233" cm="1">
        <f t="array" ref="BM319">L319/IF($M319&gt;0, INDEX($AY$22:$BE$76, $M319+20, $AH319), 1)</f>
        <v>0</v>
      </c>
      <c r="BN319" s="229">
        <f t="shared" si="561"/>
        <v>0</v>
      </c>
      <c r="BO319" s="228">
        <v>35</v>
      </c>
      <c r="BP319" s="229">
        <f t="shared" si="562"/>
        <v>48</v>
      </c>
      <c r="BQ319" s="234">
        <f t="shared" si="563"/>
        <v>3.0748170731707316</v>
      </c>
      <c r="BR319" s="234" cm="1">
        <f t="array" ref="BR319">$BM319 * SUMPRODUCT(INDEX($AV$76:$AX$81,,$AI319),INDEX($AY$76:$BE$81,,$AH319), N($AU$76:$AU$81&gt;$AM319)) / BQ319 / 1000</f>
        <v>0</v>
      </c>
      <c r="BS319" s="231">
        <f t="shared" si="310"/>
        <v>30</v>
      </c>
      <c r="BT319" s="229">
        <f t="shared" si="564"/>
        <v>43</v>
      </c>
      <c r="BU319" s="234">
        <f t="shared" si="565"/>
        <v>3.5018750000000001</v>
      </c>
      <c r="BV319" s="234" cm="1">
        <f t="array" ref="BV319">$BM319 * IF($AH319&lt;=2,
SUMPRODUCT(INDEX($AV$71:$AX$75,,$AI319), INDEX($AY$71:$BE$75,,$AH319), 1 / ($BF$71:$BF$75*BU319 + (1-$BF$71:$BF$75)*BQ319), N($AU$71:$AU$75&gt;$AM319)),
SUMPRODUCT(INDEX($AV$66:$AX$75,,$AI319), INDEX($AY$66:$BE$75,,$AH319), 1 / ($BG$66:$BG$75*BU319 + (1-$BG$66:$BG$75)*BQ319), N($AU$66:$AU$75&gt;$AM319))
) / 1000</f>
        <v>0</v>
      </c>
      <c r="BW319" s="231">
        <f t="shared" si="313"/>
        <v>25</v>
      </c>
      <c r="BX319" s="229">
        <f t="shared" si="566"/>
        <v>38</v>
      </c>
      <c r="BY319" s="234">
        <f t="shared" si="567"/>
        <v>4.0666935483870965</v>
      </c>
      <c r="BZ319" s="234" cm="1">
        <f t="array" ref="BZ319">$BM319 * IF($AH319&lt;=2,
SUMPRODUCT(INDEX($AV$66:$AX$70,,$AI319), INDEX($AY$66:$BE$70,,$AH319), 1 / ($BF$66:$BF$70*BY319 + (1-$BF$66:$BF$70)*BU319), N($AU$66:$AU$70&gt;$AM319)),
SUMPRODUCT(INDEX($AV$56:$AX$65,,$AI319), INDEX($AY$56:$BE$65,,$AH319), 1 / ($BG$56:$BG$65*BY319 + (1-$BG$56:$BG$65)*BU319), N($AU$56:$AU$65&gt;$AM319))
) / 1000</f>
        <v>0</v>
      </c>
      <c r="CA319" s="231">
        <f t="shared" si="316"/>
        <v>20</v>
      </c>
      <c r="CB319" s="229">
        <f t="shared" si="568"/>
        <v>33</v>
      </c>
      <c r="CC319" s="234">
        <f t="shared" si="569"/>
        <v>4.8487499999999999</v>
      </c>
      <c r="CD319" s="234" cm="1">
        <f t="array" ref="CD319">$BM319 * IF($AH319&lt;=2,
SUMPRODUCT(INDEX($AV$61:$AX$65,,$AI319), INDEX($AY$61:$BE$65,,$AH319), 1 / ($BF$61:$BF$65*CC319 + (1-$BF$61:$BF$65)*BY319), N($AU$61:$AU$65&gt;$AM319)),
SUMPRODUCT(INDEX($AV$46:$AX$55,,$AI319), INDEX($AY$46:$BE$55,,$AH319), 1 / ($BG$46:$BG$55*CC319 + (1-$BG$46:$BG$55)*BY319), N($AU$46:$AU$55&gt;$AM319))
) / 1000</f>
        <v>0</v>
      </c>
      <c r="CE319" s="234" cm="1">
        <f t="array" ref="CE319">$BM319 * IF($AH319&lt;=2,
SUMPRODUCT(INDEX($AV$22:$AX$60,,$AI319), INDEX($AY$22:$BE$60,,$AH319), 1 / ($BF$22:$BF$60*CC319), N($AU$22:$AU$60&gt;$AM319)),
SUMPRODUCT(INDEX($AV$22:$AX$45,,$AI319), INDEX($AY$22:$BE$45,,$AH319), 1 / ($BG$22:$BG$45*CC319), N($AU$22:$AU$45&gt;$AM319))
) / 1000</f>
        <v>0</v>
      </c>
      <c r="CF319" s="229">
        <f t="shared" si="570"/>
        <v>0</v>
      </c>
      <c r="CG319" s="246"/>
      <c r="CH319" s="229">
        <f t="shared" si="571"/>
        <v>0</v>
      </c>
      <c r="CI319" s="228">
        <v>35</v>
      </c>
      <c r="CJ319" s="229">
        <f t="shared" si="572"/>
        <v>48</v>
      </c>
      <c r="CK319" s="234">
        <f t="shared" si="573"/>
        <v>3.0748170731707316</v>
      </c>
      <c r="CL319" s="234" cm="1">
        <f t="array" ref="CL319">$BM319 * SUMPRODUCT(INDEX($AV$76:$AX$81,,$AI319),INDEX($AY$76:$BE$81,,$AH319), N($AU$76:$AU$81&gt;$AM319)) / CK319 / 1000</f>
        <v>0</v>
      </c>
      <c r="CM319" s="231">
        <f t="shared" si="323"/>
        <v>30</v>
      </c>
      <c r="CN319" s="229">
        <f t="shared" si="574"/>
        <v>43</v>
      </c>
      <c r="CO319" s="234">
        <f t="shared" si="575"/>
        <v>3.5018750000000001</v>
      </c>
      <c r="CP319" s="234" cm="1">
        <f t="array" ref="CP319">$BM319 * IF($AH319&lt;=2,
SUMPRODUCT(INDEX($AV$71:$AX$75,,$AI319), INDEX($AY$71:$BE$75,,$AH319), 1 / ($BF$71:$BF$75*CO319 + (1-$BF$71:$BF$75)*CK319), N($AU$71:$AU$75&gt;$AM319)),
SUMPRODUCT(INDEX($AV$66:$AX$75,,$AI319), INDEX($AY$66:$BE$75,,$AH319), 1 / ($BG$66:$BG$75*CO319 + (1-$BG$66:$BG$75)*CK319), N($AU$66:$AU$75&gt;$AM319))
) / 1000</f>
        <v>0</v>
      </c>
      <c r="CQ319" s="231">
        <f t="shared" si="326"/>
        <v>25</v>
      </c>
      <c r="CR319" s="229">
        <f t="shared" si="576"/>
        <v>38</v>
      </c>
      <c r="CS319" s="234">
        <f t="shared" si="577"/>
        <v>4.0666935483870965</v>
      </c>
      <c r="CT319" s="234" cm="1">
        <f t="array" ref="CT319">$BM319 * IF($AH319&lt;=2,
SUMPRODUCT(INDEX($AV$66:$AX$70,,$AI319), INDEX($AY$66:$BE$70,,$AH319), 1 / ($BF$66:$BF$70*CS319 + (1-$BF$66:$BF$70)*CO319), N($AU$66:$AU$70&gt;$AM319)),
SUMPRODUCT(INDEX($AV$56:$AX$65,,$AI319), INDEX($AY$56:$BE$65,,$AH319), 1 / ($BG$56:$BG$65*CS319 + (1-$BG$56:$BG$65)*CO319), N($AU$56:$AU$65&gt;$AM319))
) / 1000</f>
        <v>0</v>
      </c>
      <c r="CU319" s="231">
        <f t="shared" si="329"/>
        <v>20</v>
      </c>
      <c r="CV319" s="229">
        <f t="shared" si="578"/>
        <v>33</v>
      </c>
      <c r="CW319" s="234">
        <f t="shared" si="579"/>
        <v>4.8487499999999999</v>
      </c>
      <c r="CX319" s="234" cm="1">
        <f t="array" ref="CX319">$BM319 * IF($AH319&lt;=2,
SUMPRODUCT(INDEX($AV$61:$AX$65,,$AI319), INDEX($AY$61:$BE$65,,$AH319), 1 / ($BF$61:$BF$65*CW319 + (1-$BF$61:$BF$65)*CS319), N($AU$61:$AU$65&gt;$AM319)),
SUMPRODUCT(INDEX($AV$46:$AX$55,,$AI319), INDEX($AY$46:$BE$55,,$AH319), 1 / ($BG$46:$BG$55*CW319 + (1-$BG$46:$BG$55)*CS319), N($AU$46:$AU$55&gt;$AM319))
) / 1000</f>
        <v>0</v>
      </c>
      <c r="CY319" s="234" cm="1">
        <f t="array" ref="CY319">$BM319 * IF($AH319&lt;=2,
SUMPRODUCT(INDEX($AV$22:$AX$60,,$AI319), INDEX($AY$22:$BE$60,,$AH319), 1 / ($BF$22:$BF$60*CW319), N($AU$22:$AU$60&gt;$AM319)),
SUMPRODUCT(INDEX($AV$22:$AX$45,,$AI319), INDEX($AY$22:$BE$45,,$AH319), 1 / ($BG$22:$BG$45*CW319), N($AU$22:$AU$45&gt;$AM319))
) / 1000</f>
        <v>0</v>
      </c>
      <c r="CZ319" s="229">
        <f t="shared" si="580"/>
        <v>0</v>
      </c>
      <c r="DA319" s="246"/>
    </row>
    <row r="320" spans="1:105" s="75" customFormat="1" ht="14.25" customHeight="1" x14ac:dyDescent="0.2">
      <c r="A320" s="230" t="b">
        <f t="shared" si="291"/>
        <v>0</v>
      </c>
      <c r="B320" s="253">
        <v>299</v>
      </c>
      <c r="C320" s="266"/>
      <c r="D320" s="266"/>
      <c r="E320" s="254"/>
      <c r="F320" s="255" t="str">
        <f>IF(ISBLANK(E320), "", VLOOKUP(E320, Z!$A$2:$C$4127, 3, FALSE))</f>
        <v/>
      </c>
      <c r="G320" s="256"/>
      <c r="H320" s="256"/>
      <c r="I320" s="256"/>
      <c r="J320" s="257"/>
      <c r="K320" s="258"/>
      <c r="L320" s="267"/>
      <c r="M320" s="268"/>
      <c r="N320" s="259" t="str" cm="1">
        <f t="array" ref="N320">IF($L320&gt;0, INDEX(Clean,1+AK320,$D$1), "")</f>
        <v/>
      </c>
      <c r="O320" s="260"/>
      <c r="P320" s="260"/>
      <c r="Q320" s="261"/>
      <c r="R320" s="264">
        <f t="shared" si="556"/>
        <v>0</v>
      </c>
      <c r="S320" s="259" t="str" cm="1">
        <f t="array" ref="S320">IF($L320&gt;0, INDEX(Clean,1+AL320,$D$1), "")</f>
        <v/>
      </c>
      <c r="T320" s="260"/>
      <c r="U320" s="260"/>
      <c r="V320" s="261"/>
      <c r="W320" s="267"/>
      <c r="X320" s="267"/>
      <c r="Y320" s="257"/>
      <c r="Z320" s="264">
        <f t="shared" si="557"/>
        <v>0</v>
      </c>
      <c r="AA320" s="269"/>
      <c r="AB320" s="266"/>
      <c r="AC320" s="254"/>
      <c r="AD320" s="255" t="str">
        <f>IF(ISBLANK(AC320), "", VLOOKUP(AC320, Z!$A$2:$C$4127, 3, FALSE))</f>
        <v/>
      </c>
      <c r="AE320" s="270"/>
      <c r="AF320" s="265">
        <f t="shared" si="558"/>
        <v>0</v>
      </c>
      <c r="AG320" s="246"/>
      <c r="AH320" s="228">
        <f t="shared" si="581"/>
        <v>1</v>
      </c>
      <c r="AI320" s="228">
        <f t="shared" si="582"/>
        <v>1</v>
      </c>
      <c r="AJ320" s="228">
        <f t="shared" si="583"/>
        <v>0</v>
      </c>
      <c r="AK320" s="228">
        <v>0</v>
      </c>
      <c r="AL320" s="228">
        <v>0</v>
      </c>
      <c r="AM320" s="228">
        <f t="shared" si="559"/>
        <v>-100</v>
      </c>
      <c r="AN320" s="228" cm="1">
        <f t="array" ref="AN320">IF(ISBLANK(G320), 1, IFERROR(MATCH(G320, INDEX(Kat,,1), 0), IFERROR(MATCH(Kat, INDEX(Use,,2), 0), MATCH(Kat, INDEX(Use,,3), 0))))</f>
        <v>1</v>
      </c>
      <c r="AO320" s="246"/>
      <c r="AP320" s="228" cm="1">
        <f t="array" ref="AP320">IF(W320&gt;0, INDEX(Kat, AN320,4), 0)</f>
        <v>0</v>
      </c>
      <c r="AQ320" s="228">
        <f t="shared" si="584"/>
        <v>0</v>
      </c>
      <c r="AR320" s="228" cm="1">
        <f t="array" ref="AR320">IF(X320&gt;0, INDEX(Kat, $AN320, 4+AQ320), 0)</f>
        <v>0</v>
      </c>
      <c r="AS320" s="228" cm="1">
        <f t="array" ref="AS320">IF(X320&gt;0, INDEX(Kat, $AN320, 9+AQ320), 0)</f>
        <v>0</v>
      </c>
      <c r="AT320" s="246"/>
      <c r="AU320" s="262"/>
      <c r="AV320" s="262"/>
      <c r="AW320" s="263"/>
      <c r="AX320" s="263"/>
      <c r="AY320" s="263"/>
      <c r="AZ320" s="263"/>
      <c r="BA320" s="263"/>
      <c r="BB320" s="263"/>
      <c r="BC320" s="263"/>
      <c r="BD320" s="263"/>
      <c r="BE320" s="263"/>
      <c r="BF320" s="263"/>
      <c r="BG320" s="263"/>
      <c r="BH320" s="246"/>
      <c r="BI320" s="228" cm="1">
        <f t="array" ref="BI320">INDEX(Use, $AH320, 4)</f>
        <v>7</v>
      </c>
      <c r="BJ320" s="228">
        <f t="shared" si="560"/>
        <v>32</v>
      </c>
      <c r="BK320" s="228">
        <f t="shared" si="305"/>
        <v>13</v>
      </c>
      <c r="BL320" s="228">
        <f t="shared" si="306"/>
        <v>0</v>
      </c>
      <c r="BM320" s="233" cm="1">
        <f t="array" ref="BM320">L320/IF($M320&gt;0, INDEX($AY$22:$BE$76, $M320+20, $AH320), 1)</f>
        <v>0</v>
      </c>
      <c r="BN320" s="229">
        <f t="shared" si="561"/>
        <v>0</v>
      </c>
      <c r="BO320" s="228">
        <v>35</v>
      </c>
      <c r="BP320" s="229">
        <f t="shared" si="562"/>
        <v>48</v>
      </c>
      <c r="BQ320" s="234">
        <f t="shared" si="563"/>
        <v>3.0748170731707316</v>
      </c>
      <c r="BR320" s="234" cm="1">
        <f t="array" ref="BR320">$BM320 * SUMPRODUCT(INDEX($AV$76:$AX$81,,$AI320),INDEX($AY$76:$BE$81,,$AH320), N($AU$76:$AU$81&gt;$AM320)) / BQ320 / 1000</f>
        <v>0</v>
      </c>
      <c r="BS320" s="231">
        <f t="shared" si="310"/>
        <v>30</v>
      </c>
      <c r="BT320" s="229">
        <f t="shared" si="564"/>
        <v>43</v>
      </c>
      <c r="BU320" s="234">
        <f t="shared" si="565"/>
        <v>3.5018750000000001</v>
      </c>
      <c r="BV320" s="234" cm="1">
        <f t="array" ref="BV320">$BM320 * IF($AH320&lt;=2,
SUMPRODUCT(INDEX($AV$71:$AX$75,,$AI320), INDEX($AY$71:$BE$75,,$AH320), 1 / ($BF$71:$BF$75*BU320 + (1-$BF$71:$BF$75)*BQ320), N($AU$71:$AU$75&gt;$AM320)),
SUMPRODUCT(INDEX($AV$66:$AX$75,,$AI320), INDEX($AY$66:$BE$75,,$AH320), 1 / ($BG$66:$BG$75*BU320 + (1-$BG$66:$BG$75)*BQ320), N($AU$66:$AU$75&gt;$AM320))
) / 1000</f>
        <v>0</v>
      </c>
      <c r="BW320" s="231">
        <f t="shared" si="313"/>
        <v>25</v>
      </c>
      <c r="BX320" s="229">
        <f t="shared" si="566"/>
        <v>38</v>
      </c>
      <c r="BY320" s="234">
        <f t="shared" si="567"/>
        <v>4.0666935483870965</v>
      </c>
      <c r="BZ320" s="234" cm="1">
        <f t="array" ref="BZ320">$BM320 * IF($AH320&lt;=2,
SUMPRODUCT(INDEX($AV$66:$AX$70,,$AI320), INDEX($AY$66:$BE$70,,$AH320), 1 / ($BF$66:$BF$70*BY320 + (1-$BF$66:$BF$70)*BU320), N($AU$66:$AU$70&gt;$AM320)),
SUMPRODUCT(INDEX($AV$56:$AX$65,,$AI320), INDEX($AY$56:$BE$65,,$AH320), 1 / ($BG$56:$BG$65*BY320 + (1-$BG$56:$BG$65)*BU320), N($AU$56:$AU$65&gt;$AM320))
) / 1000</f>
        <v>0</v>
      </c>
      <c r="CA320" s="231">
        <f t="shared" si="316"/>
        <v>20</v>
      </c>
      <c r="CB320" s="229">
        <f t="shared" si="568"/>
        <v>33</v>
      </c>
      <c r="CC320" s="234">
        <f t="shared" si="569"/>
        <v>4.8487499999999999</v>
      </c>
      <c r="CD320" s="234" cm="1">
        <f t="array" ref="CD320">$BM320 * IF($AH320&lt;=2,
SUMPRODUCT(INDEX($AV$61:$AX$65,,$AI320), INDEX($AY$61:$BE$65,,$AH320), 1 / ($BF$61:$BF$65*CC320 + (1-$BF$61:$BF$65)*BY320), N($AU$61:$AU$65&gt;$AM320)),
SUMPRODUCT(INDEX($AV$46:$AX$55,,$AI320), INDEX($AY$46:$BE$55,,$AH320), 1 / ($BG$46:$BG$55*CC320 + (1-$BG$46:$BG$55)*BY320), N($AU$46:$AU$55&gt;$AM320))
) / 1000</f>
        <v>0</v>
      </c>
      <c r="CE320" s="234" cm="1">
        <f t="array" ref="CE320">$BM320 * IF($AH320&lt;=2,
SUMPRODUCT(INDEX($AV$22:$AX$60,,$AI320), INDEX($AY$22:$BE$60,,$AH320), 1 / ($BF$22:$BF$60*CC320), N($AU$22:$AU$60&gt;$AM320)),
SUMPRODUCT(INDEX($AV$22:$AX$45,,$AI320), INDEX($AY$22:$BE$45,,$AH320), 1 / ($BG$22:$BG$45*CC320), N($AU$22:$AU$45&gt;$AM320))
) / 1000</f>
        <v>0</v>
      </c>
      <c r="CF320" s="229">
        <f t="shared" si="570"/>
        <v>0</v>
      </c>
      <c r="CG320" s="246"/>
      <c r="CH320" s="229">
        <f t="shared" si="571"/>
        <v>0</v>
      </c>
      <c r="CI320" s="228">
        <v>35</v>
      </c>
      <c r="CJ320" s="229">
        <f t="shared" si="572"/>
        <v>48</v>
      </c>
      <c r="CK320" s="234">
        <f t="shared" si="573"/>
        <v>3.0748170731707316</v>
      </c>
      <c r="CL320" s="234" cm="1">
        <f t="array" ref="CL320">$BM320 * SUMPRODUCT(INDEX($AV$76:$AX$81,,$AI320),INDEX($AY$76:$BE$81,,$AH320), N($AU$76:$AU$81&gt;$AM320)) / CK320 / 1000</f>
        <v>0</v>
      </c>
      <c r="CM320" s="231">
        <f t="shared" si="323"/>
        <v>30</v>
      </c>
      <c r="CN320" s="229">
        <f t="shared" si="574"/>
        <v>43</v>
      </c>
      <c r="CO320" s="234">
        <f t="shared" si="575"/>
        <v>3.5018750000000001</v>
      </c>
      <c r="CP320" s="234" cm="1">
        <f t="array" ref="CP320">$BM320 * IF($AH320&lt;=2,
SUMPRODUCT(INDEX($AV$71:$AX$75,,$AI320), INDEX($AY$71:$BE$75,,$AH320), 1 / ($BF$71:$BF$75*CO320 + (1-$BF$71:$BF$75)*CK320), N($AU$71:$AU$75&gt;$AM320)),
SUMPRODUCT(INDEX($AV$66:$AX$75,,$AI320), INDEX($AY$66:$BE$75,,$AH320), 1 / ($BG$66:$BG$75*CO320 + (1-$BG$66:$BG$75)*CK320), N($AU$66:$AU$75&gt;$AM320))
) / 1000</f>
        <v>0</v>
      </c>
      <c r="CQ320" s="231">
        <f t="shared" si="326"/>
        <v>25</v>
      </c>
      <c r="CR320" s="229">
        <f t="shared" si="576"/>
        <v>38</v>
      </c>
      <c r="CS320" s="234">
        <f t="shared" si="577"/>
        <v>4.0666935483870965</v>
      </c>
      <c r="CT320" s="234" cm="1">
        <f t="array" ref="CT320">$BM320 * IF($AH320&lt;=2,
SUMPRODUCT(INDEX($AV$66:$AX$70,,$AI320), INDEX($AY$66:$BE$70,,$AH320), 1 / ($BF$66:$BF$70*CS320 + (1-$BF$66:$BF$70)*CO320), N($AU$66:$AU$70&gt;$AM320)),
SUMPRODUCT(INDEX($AV$56:$AX$65,,$AI320), INDEX($AY$56:$BE$65,,$AH320), 1 / ($BG$56:$BG$65*CS320 + (1-$BG$56:$BG$65)*CO320), N($AU$56:$AU$65&gt;$AM320))
) / 1000</f>
        <v>0</v>
      </c>
      <c r="CU320" s="231">
        <f t="shared" si="329"/>
        <v>20</v>
      </c>
      <c r="CV320" s="229">
        <f t="shared" si="578"/>
        <v>33</v>
      </c>
      <c r="CW320" s="234">
        <f t="shared" si="579"/>
        <v>4.8487499999999999</v>
      </c>
      <c r="CX320" s="234" cm="1">
        <f t="array" ref="CX320">$BM320 * IF($AH320&lt;=2,
SUMPRODUCT(INDEX($AV$61:$AX$65,,$AI320), INDEX($AY$61:$BE$65,,$AH320), 1 / ($BF$61:$BF$65*CW320 + (1-$BF$61:$BF$65)*CS320), N($AU$61:$AU$65&gt;$AM320)),
SUMPRODUCT(INDEX($AV$46:$AX$55,,$AI320), INDEX($AY$46:$BE$55,,$AH320), 1 / ($BG$46:$BG$55*CW320 + (1-$BG$46:$BG$55)*CS320), N($AU$46:$AU$55&gt;$AM320))
) / 1000</f>
        <v>0</v>
      </c>
      <c r="CY320" s="234" cm="1">
        <f t="array" ref="CY320">$BM320 * IF($AH320&lt;=2,
SUMPRODUCT(INDEX($AV$22:$AX$60,,$AI320), INDEX($AY$22:$BE$60,,$AH320), 1 / ($BF$22:$BF$60*CW320), N($AU$22:$AU$60&gt;$AM320)),
SUMPRODUCT(INDEX($AV$22:$AX$45,,$AI320), INDEX($AY$22:$BE$45,,$AH320), 1 / ($BG$22:$BG$45*CW320), N($AU$22:$AU$45&gt;$AM320))
) / 1000</f>
        <v>0</v>
      </c>
      <c r="CZ320" s="229">
        <f t="shared" si="580"/>
        <v>0</v>
      </c>
      <c r="DA320" s="246"/>
    </row>
    <row r="321" spans="1:105" s="75" customFormat="1" ht="14.25" customHeight="1" x14ac:dyDescent="0.2">
      <c r="A321" s="230" t="b">
        <f t="shared" si="291"/>
        <v>0</v>
      </c>
      <c r="B321" s="253">
        <v>300</v>
      </c>
      <c r="C321" s="266"/>
      <c r="D321" s="266"/>
      <c r="E321" s="254"/>
      <c r="F321" s="255" t="str">
        <f>IF(ISBLANK(E321), "", VLOOKUP(E321, Z!$A$2:$C$4127, 3, FALSE))</f>
        <v/>
      </c>
      <c r="G321" s="256"/>
      <c r="H321" s="256"/>
      <c r="I321" s="256"/>
      <c r="J321" s="257"/>
      <c r="K321" s="258"/>
      <c r="L321" s="267"/>
      <c r="M321" s="268"/>
      <c r="N321" s="259" t="str" cm="1">
        <f t="array" ref="N321">IF($L321&gt;0, INDEX(Clean,1+AK321,$D$1), "")</f>
        <v/>
      </c>
      <c r="O321" s="260"/>
      <c r="P321" s="260"/>
      <c r="Q321" s="261"/>
      <c r="R321" s="264">
        <f t="shared" si="556"/>
        <v>0</v>
      </c>
      <c r="S321" s="259" t="str" cm="1">
        <f t="array" ref="S321">IF($L321&gt;0, INDEX(Clean,1+AL321,$D$1), "")</f>
        <v/>
      </c>
      <c r="T321" s="260"/>
      <c r="U321" s="260"/>
      <c r="V321" s="261"/>
      <c r="W321" s="267"/>
      <c r="X321" s="267"/>
      <c r="Y321" s="257"/>
      <c r="Z321" s="264">
        <f t="shared" si="557"/>
        <v>0</v>
      </c>
      <c r="AA321" s="269"/>
      <c r="AB321" s="266"/>
      <c r="AC321" s="254"/>
      <c r="AD321" s="255" t="str">
        <f>IF(ISBLANK(AC321), "", VLOOKUP(AC321, Z!$A$2:$C$4127, 3, FALSE))</f>
        <v/>
      </c>
      <c r="AE321" s="270"/>
      <c r="AF321" s="265">
        <f t="shared" si="558"/>
        <v>0</v>
      </c>
      <c r="AG321" s="246"/>
      <c r="AH321" s="228">
        <f t="shared" si="581"/>
        <v>1</v>
      </c>
      <c r="AI321" s="228">
        <f t="shared" si="582"/>
        <v>1</v>
      </c>
      <c r="AJ321" s="228">
        <f t="shared" si="583"/>
        <v>0</v>
      </c>
      <c r="AK321" s="228">
        <v>0</v>
      </c>
      <c r="AL321" s="228">
        <v>0</v>
      </c>
      <c r="AM321" s="228">
        <f t="shared" si="559"/>
        <v>-100</v>
      </c>
      <c r="AN321" s="228" cm="1">
        <f t="array" ref="AN321">IF(ISBLANK(G321), 1, IFERROR(MATCH(G321, INDEX(Kat,,1), 0), IFERROR(MATCH(Kat, INDEX(Use,,2), 0), MATCH(Kat, INDEX(Use,,3), 0))))</f>
        <v>1</v>
      </c>
      <c r="AO321" s="246"/>
      <c r="AP321" s="228" cm="1">
        <f t="array" ref="AP321">IF(W321&gt;0, INDEX(Kat, AN321,4), 0)</f>
        <v>0</v>
      </c>
      <c r="AQ321" s="228">
        <f t="shared" si="584"/>
        <v>0</v>
      </c>
      <c r="AR321" s="228" cm="1">
        <f t="array" ref="AR321">IF(X321&gt;0, INDEX(Kat, $AN321, 4+AQ321), 0)</f>
        <v>0</v>
      </c>
      <c r="AS321" s="228" cm="1">
        <f t="array" ref="AS321">IF(X321&gt;0, INDEX(Kat, $AN321, 9+AQ321), 0)</f>
        <v>0</v>
      </c>
      <c r="AT321" s="246"/>
      <c r="AU321" s="262"/>
      <c r="AV321" s="262"/>
      <c r="AW321" s="263"/>
      <c r="AX321" s="263"/>
      <c r="AY321" s="263"/>
      <c r="AZ321" s="263"/>
      <c r="BA321" s="263"/>
      <c r="BB321" s="263"/>
      <c r="BC321" s="263"/>
      <c r="BD321" s="263"/>
      <c r="BE321" s="263"/>
      <c r="BF321" s="263"/>
      <c r="BG321" s="263"/>
      <c r="BH321" s="246"/>
      <c r="BI321" s="228" cm="1">
        <f t="array" ref="BI321">INDEX(Use, $AH321, 4)</f>
        <v>7</v>
      </c>
      <c r="BJ321" s="228">
        <f t="shared" si="560"/>
        <v>32</v>
      </c>
      <c r="BK321" s="228">
        <f t="shared" si="305"/>
        <v>13</v>
      </c>
      <c r="BL321" s="228">
        <f t="shared" si="306"/>
        <v>0</v>
      </c>
      <c r="BM321" s="233" cm="1">
        <f t="array" ref="BM321">L321/IF($M321&gt;0, INDEX($AY$22:$BE$76, $M321+20, $AH321), 1)</f>
        <v>0</v>
      </c>
      <c r="BN321" s="229">
        <f t="shared" si="561"/>
        <v>0</v>
      </c>
      <c r="BO321" s="228">
        <v>35</v>
      </c>
      <c r="BP321" s="229">
        <f t="shared" si="562"/>
        <v>48</v>
      </c>
      <c r="BQ321" s="234">
        <f t="shared" si="563"/>
        <v>3.0748170731707316</v>
      </c>
      <c r="BR321" s="234" cm="1">
        <f t="array" ref="BR321">$BM321 * SUMPRODUCT(INDEX($AV$76:$AX$81,,$AI321),INDEX($AY$76:$BE$81,,$AH321), N($AU$76:$AU$81&gt;$AM321)) / BQ321 / 1000</f>
        <v>0</v>
      </c>
      <c r="BS321" s="231">
        <f t="shared" si="310"/>
        <v>30</v>
      </c>
      <c r="BT321" s="229">
        <f t="shared" si="564"/>
        <v>43</v>
      </c>
      <c r="BU321" s="234">
        <f t="shared" si="565"/>
        <v>3.5018750000000001</v>
      </c>
      <c r="BV321" s="234" cm="1">
        <f t="array" ref="BV321">$BM321 * IF($AH321&lt;=2,
SUMPRODUCT(INDEX($AV$71:$AX$75,,$AI321), INDEX($AY$71:$BE$75,,$AH321), 1 / ($BF$71:$BF$75*BU321 + (1-$BF$71:$BF$75)*BQ321), N($AU$71:$AU$75&gt;$AM321)),
SUMPRODUCT(INDEX($AV$66:$AX$75,,$AI321), INDEX($AY$66:$BE$75,,$AH321), 1 / ($BG$66:$BG$75*BU321 + (1-$BG$66:$BG$75)*BQ321), N($AU$66:$AU$75&gt;$AM321))
) / 1000</f>
        <v>0</v>
      </c>
      <c r="BW321" s="231">
        <f t="shared" si="313"/>
        <v>25</v>
      </c>
      <c r="BX321" s="229">
        <f t="shared" si="566"/>
        <v>38</v>
      </c>
      <c r="BY321" s="234">
        <f t="shared" si="567"/>
        <v>4.0666935483870965</v>
      </c>
      <c r="BZ321" s="234" cm="1">
        <f t="array" ref="BZ321">$BM321 * IF($AH321&lt;=2,
SUMPRODUCT(INDEX($AV$66:$AX$70,,$AI321), INDEX($AY$66:$BE$70,,$AH321), 1 / ($BF$66:$BF$70*BY321 + (1-$BF$66:$BF$70)*BU321), N($AU$66:$AU$70&gt;$AM321)),
SUMPRODUCT(INDEX($AV$56:$AX$65,,$AI321), INDEX($AY$56:$BE$65,,$AH321), 1 / ($BG$56:$BG$65*BY321 + (1-$BG$56:$BG$65)*BU321), N($AU$56:$AU$65&gt;$AM321))
) / 1000</f>
        <v>0</v>
      </c>
      <c r="CA321" s="231">
        <f t="shared" si="316"/>
        <v>20</v>
      </c>
      <c r="CB321" s="229">
        <f t="shared" si="568"/>
        <v>33</v>
      </c>
      <c r="CC321" s="234">
        <f t="shared" si="569"/>
        <v>4.8487499999999999</v>
      </c>
      <c r="CD321" s="234" cm="1">
        <f t="array" ref="CD321">$BM321 * IF($AH321&lt;=2,
SUMPRODUCT(INDEX($AV$61:$AX$65,,$AI321), INDEX($AY$61:$BE$65,,$AH321), 1 / ($BF$61:$BF$65*CC321 + (1-$BF$61:$BF$65)*BY321), N($AU$61:$AU$65&gt;$AM321)),
SUMPRODUCT(INDEX($AV$46:$AX$55,,$AI321), INDEX($AY$46:$BE$55,,$AH321), 1 / ($BG$46:$BG$55*CC321 + (1-$BG$46:$BG$55)*BY321), N($AU$46:$AU$55&gt;$AM321))
) / 1000</f>
        <v>0</v>
      </c>
      <c r="CE321" s="234" cm="1">
        <f t="array" ref="CE321">$BM321 * IF($AH321&lt;=2,
SUMPRODUCT(INDEX($AV$22:$AX$60,,$AI321), INDEX($AY$22:$BE$60,,$AH321), 1 / ($BF$22:$BF$60*CC321), N($AU$22:$AU$60&gt;$AM321)),
SUMPRODUCT(INDEX($AV$22:$AX$45,,$AI321), INDEX($AY$22:$BE$45,,$AH321), 1 / ($BG$22:$BG$45*CC321), N($AU$22:$AU$45&gt;$AM321))
) / 1000</f>
        <v>0</v>
      </c>
      <c r="CF321" s="229">
        <f t="shared" si="570"/>
        <v>0</v>
      </c>
      <c r="CG321" s="246"/>
      <c r="CH321" s="229">
        <f t="shared" si="571"/>
        <v>0</v>
      </c>
      <c r="CI321" s="228">
        <v>35</v>
      </c>
      <c r="CJ321" s="229">
        <f t="shared" si="572"/>
        <v>48</v>
      </c>
      <c r="CK321" s="234">
        <f t="shared" si="573"/>
        <v>3.0748170731707316</v>
      </c>
      <c r="CL321" s="234" cm="1">
        <f t="array" ref="CL321">$BM321 * SUMPRODUCT(INDEX($AV$76:$AX$81,,$AI321),INDEX($AY$76:$BE$81,,$AH321), N($AU$76:$AU$81&gt;$AM321)) / CK321 / 1000</f>
        <v>0</v>
      </c>
      <c r="CM321" s="231">
        <f t="shared" si="323"/>
        <v>30</v>
      </c>
      <c r="CN321" s="229">
        <f t="shared" si="574"/>
        <v>43</v>
      </c>
      <c r="CO321" s="234">
        <f t="shared" si="575"/>
        <v>3.5018750000000001</v>
      </c>
      <c r="CP321" s="234" cm="1">
        <f t="array" ref="CP321">$BM321 * IF($AH321&lt;=2,
SUMPRODUCT(INDEX($AV$71:$AX$75,,$AI321), INDEX($AY$71:$BE$75,,$AH321), 1 / ($BF$71:$BF$75*CO321 + (1-$BF$71:$BF$75)*CK321), N($AU$71:$AU$75&gt;$AM321)),
SUMPRODUCT(INDEX($AV$66:$AX$75,,$AI321), INDEX($AY$66:$BE$75,,$AH321), 1 / ($BG$66:$BG$75*CO321 + (1-$BG$66:$BG$75)*CK321), N($AU$66:$AU$75&gt;$AM321))
) / 1000</f>
        <v>0</v>
      </c>
      <c r="CQ321" s="231">
        <f t="shared" si="326"/>
        <v>25</v>
      </c>
      <c r="CR321" s="229">
        <f t="shared" si="576"/>
        <v>38</v>
      </c>
      <c r="CS321" s="234">
        <f t="shared" si="577"/>
        <v>4.0666935483870965</v>
      </c>
      <c r="CT321" s="234" cm="1">
        <f t="array" ref="CT321">$BM321 * IF($AH321&lt;=2,
SUMPRODUCT(INDEX($AV$66:$AX$70,,$AI321), INDEX($AY$66:$BE$70,,$AH321), 1 / ($BF$66:$BF$70*CS321 + (1-$BF$66:$BF$70)*CO321), N($AU$66:$AU$70&gt;$AM321)),
SUMPRODUCT(INDEX($AV$56:$AX$65,,$AI321), INDEX($AY$56:$BE$65,,$AH321), 1 / ($BG$56:$BG$65*CS321 + (1-$BG$56:$BG$65)*CO321), N($AU$56:$AU$65&gt;$AM321))
) / 1000</f>
        <v>0</v>
      </c>
      <c r="CU321" s="231">
        <f t="shared" si="329"/>
        <v>20</v>
      </c>
      <c r="CV321" s="229">
        <f t="shared" si="578"/>
        <v>33</v>
      </c>
      <c r="CW321" s="234">
        <f t="shared" si="579"/>
        <v>4.8487499999999999</v>
      </c>
      <c r="CX321" s="234" cm="1">
        <f t="array" ref="CX321">$BM321 * IF($AH321&lt;=2,
SUMPRODUCT(INDEX($AV$61:$AX$65,,$AI321), INDEX($AY$61:$BE$65,,$AH321), 1 / ($BF$61:$BF$65*CW321 + (1-$BF$61:$BF$65)*CS321), N($AU$61:$AU$65&gt;$AM321)),
SUMPRODUCT(INDEX($AV$46:$AX$55,,$AI321), INDEX($AY$46:$BE$55,,$AH321), 1 / ($BG$46:$BG$55*CW321 + (1-$BG$46:$BG$55)*CS321), N($AU$46:$AU$55&gt;$AM321))
) / 1000</f>
        <v>0</v>
      </c>
      <c r="CY321" s="234" cm="1">
        <f t="array" ref="CY321">$BM321 * IF($AH321&lt;=2,
SUMPRODUCT(INDEX($AV$22:$AX$60,,$AI321), INDEX($AY$22:$BE$60,,$AH321), 1 / ($BF$22:$BF$60*CW321), N($AU$22:$AU$60&gt;$AM321)),
SUMPRODUCT(INDEX($AV$22:$AX$45,,$AI321), INDEX($AY$22:$BE$45,,$AH321), 1 / ($BG$22:$BG$45*CW321), N($AU$22:$AU$45&gt;$AM321))
) / 1000</f>
        <v>0</v>
      </c>
      <c r="CZ321" s="229">
        <f t="shared" si="580"/>
        <v>0</v>
      </c>
      <c r="DA321" s="246"/>
    </row>
    <row r="322" spans="1:105" s="75" customFormat="1" ht="14.25" customHeight="1" x14ac:dyDescent="0.2">
      <c r="A322" s="230" t="b">
        <f t="shared" si="291"/>
        <v>0</v>
      </c>
      <c r="B322" s="253">
        <v>301</v>
      </c>
      <c r="C322" s="266"/>
      <c r="D322" s="266"/>
      <c r="E322" s="254"/>
      <c r="F322" s="255" t="str">
        <f>IF(ISBLANK(E322), "", VLOOKUP(E322, Z!$A$2:$C$4127, 3, FALSE))</f>
        <v/>
      </c>
      <c r="G322" s="256"/>
      <c r="H322" s="256"/>
      <c r="I322" s="256"/>
      <c r="J322" s="257"/>
      <c r="K322" s="258"/>
      <c r="L322" s="267"/>
      <c r="M322" s="268"/>
      <c r="N322" s="259" t="str" cm="1">
        <f t="array" ref="N322">IF($L322&gt;0, INDEX(Clean,1+AK322,$D$1), "")</f>
        <v/>
      </c>
      <c r="O322" s="260"/>
      <c r="P322" s="260"/>
      <c r="Q322" s="261"/>
      <c r="R322" s="264">
        <f t="shared" si="556"/>
        <v>0</v>
      </c>
      <c r="S322" s="259" t="str" cm="1">
        <f t="array" ref="S322">IF($L322&gt;0, INDEX(Clean,1+AL322,$D$1), "")</f>
        <v/>
      </c>
      <c r="T322" s="260"/>
      <c r="U322" s="260"/>
      <c r="V322" s="261"/>
      <c r="W322" s="267"/>
      <c r="X322" s="267"/>
      <c r="Y322" s="257"/>
      <c r="Z322" s="264">
        <f t="shared" si="557"/>
        <v>0</v>
      </c>
      <c r="AA322" s="269"/>
      <c r="AB322" s="266"/>
      <c r="AC322" s="254"/>
      <c r="AD322" s="255" t="str">
        <f>IF(ISBLANK(AC322), "", VLOOKUP(AC322, Z!$A$2:$C$4127, 3, FALSE))</f>
        <v/>
      </c>
      <c r="AE322" s="270"/>
      <c r="AF322" s="265">
        <f t="shared" si="558"/>
        <v>0</v>
      </c>
      <c r="AG322" s="246"/>
      <c r="AH322" s="228">
        <f t="shared" si="581"/>
        <v>1</v>
      </c>
      <c r="AI322" s="228">
        <f t="shared" si="582"/>
        <v>1</v>
      </c>
      <c r="AJ322" s="228">
        <f t="shared" si="583"/>
        <v>0</v>
      </c>
      <c r="AK322" s="228">
        <v>0</v>
      </c>
      <c r="AL322" s="228">
        <v>0</v>
      </c>
      <c r="AM322" s="228">
        <f t="shared" si="559"/>
        <v>-100</v>
      </c>
      <c r="AN322" s="228" cm="1">
        <f t="array" ref="AN322">IF(ISBLANK(G322), 1, IFERROR(MATCH(G322, INDEX(Kat,,1), 0), IFERROR(MATCH(Kat, INDEX(Use,,2), 0), MATCH(Kat, INDEX(Use,,3), 0))))</f>
        <v>1</v>
      </c>
      <c r="AO322" s="246"/>
      <c r="AP322" s="228" cm="1">
        <f t="array" ref="AP322">IF(W322&gt;0, INDEX(Kat, AN322,4), 0)</f>
        <v>0</v>
      </c>
      <c r="AQ322" s="228">
        <f t="shared" si="584"/>
        <v>0</v>
      </c>
      <c r="AR322" s="228" cm="1">
        <f t="array" ref="AR322">IF(X322&gt;0, INDEX(Kat, $AN322, 4+AQ322), 0)</f>
        <v>0</v>
      </c>
      <c r="AS322" s="228" cm="1">
        <f t="array" ref="AS322">IF(X322&gt;0, INDEX(Kat, $AN322, 9+AQ322), 0)</f>
        <v>0</v>
      </c>
      <c r="AT322" s="246"/>
      <c r="AU322" s="262"/>
      <c r="AV322" s="262"/>
      <c r="AW322" s="263"/>
      <c r="AX322" s="263"/>
      <c r="AY322" s="263"/>
      <c r="AZ322" s="263"/>
      <c r="BA322" s="263"/>
      <c r="BB322" s="263"/>
      <c r="BC322" s="263"/>
      <c r="BD322" s="263"/>
      <c r="BE322" s="263"/>
      <c r="BF322" s="263"/>
      <c r="BG322" s="263"/>
      <c r="BH322" s="246"/>
      <c r="BI322" s="228" cm="1">
        <f t="array" ref="BI322">INDEX(Use, $AH322, 4)</f>
        <v>7</v>
      </c>
      <c r="BJ322" s="228">
        <f t="shared" si="560"/>
        <v>32</v>
      </c>
      <c r="BK322" s="228">
        <f t="shared" si="305"/>
        <v>13</v>
      </c>
      <c r="BL322" s="228">
        <f t="shared" si="306"/>
        <v>0</v>
      </c>
      <c r="BM322" s="233" cm="1">
        <f t="array" ref="BM322">L322/IF($M322&gt;0, INDEX($AY$22:$BE$76, $M322+20, $AH322), 1)</f>
        <v>0</v>
      </c>
      <c r="BN322" s="229">
        <f t="shared" si="561"/>
        <v>0</v>
      </c>
      <c r="BO322" s="228">
        <v>35</v>
      </c>
      <c r="BP322" s="229">
        <f t="shared" si="562"/>
        <v>48</v>
      </c>
      <c r="BQ322" s="234">
        <f t="shared" si="563"/>
        <v>3.0748170731707316</v>
      </c>
      <c r="BR322" s="234" cm="1">
        <f t="array" ref="BR322">$BM322 * SUMPRODUCT(INDEX($AV$76:$AX$81,,$AI322),INDEX($AY$76:$BE$81,,$AH322), N($AU$76:$AU$81&gt;$AM322)) / BQ322 / 1000</f>
        <v>0</v>
      </c>
      <c r="BS322" s="231">
        <f t="shared" si="310"/>
        <v>30</v>
      </c>
      <c r="BT322" s="229">
        <f t="shared" si="564"/>
        <v>43</v>
      </c>
      <c r="BU322" s="234">
        <f t="shared" si="565"/>
        <v>3.5018750000000001</v>
      </c>
      <c r="BV322" s="234" cm="1">
        <f t="array" ref="BV322">$BM322 * IF($AH322&lt;=2,
SUMPRODUCT(INDEX($AV$71:$AX$75,,$AI322), INDEX($AY$71:$BE$75,,$AH322), 1 / ($BF$71:$BF$75*BU322 + (1-$BF$71:$BF$75)*BQ322), N($AU$71:$AU$75&gt;$AM322)),
SUMPRODUCT(INDEX($AV$66:$AX$75,,$AI322), INDEX($AY$66:$BE$75,,$AH322), 1 / ($BG$66:$BG$75*BU322 + (1-$BG$66:$BG$75)*BQ322), N($AU$66:$AU$75&gt;$AM322))
) / 1000</f>
        <v>0</v>
      </c>
      <c r="BW322" s="231">
        <f t="shared" si="313"/>
        <v>25</v>
      </c>
      <c r="BX322" s="229">
        <f t="shared" si="566"/>
        <v>38</v>
      </c>
      <c r="BY322" s="234">
        <f t="shared" si="567"/>
        <v>4.0666935483870965</v>
      </c>
      <c r="BZ322" s="234" cm="1">
        <f t="array" ref="BZ322">$BM322 * IF($AH322&lt;=2,
SUMPRODUCT(INDEX($AV$66:$AX$70,,$AI322), INDEX($AY$66:$BE$70,,$AH322), 1 / ($BF$66:$BF$70*BY322 + (1-$BF$66:$BF$70)*BU322), N($AU$66:$AU$70&gt;$AM322)),
SUMPRODUCT(INDEX($AV$56:$AX$65,,$AI322), INDEX($AY$56:$BE$65,,$AH322), 1 / ($BG$56:$BG$65*BY322 + (1-$BG$56:$BG$65)*BU322), N($AU$56:$AU$65&gt;$AM322))
) / 1000</f>
        <v>0</v>
      </c>
      <c r="CA322" s="231">
        <f t="shared" si="316"/>
        <v>20</v>
      </c>
      <c r="CB322" s="229">
        <f t="shared" si="568"/>
        <v>33</v>
      </c>
      <c r="CC322" s="234">
        <f t="shared" si="569"/>
        <v>4.8487499999999999</v>
      </c>
      <c r="CD322" s="234" cm="1">
        <f t="array" ref="CD322">$BM322 * IF($AH322&lt;=2,
SUMPRODUCT(INDEX($AV$61:$AX$65,,$AI322), INDEX($AY$61:$BE$65,,$AH322), 1 / ($BF$61:$BF$65*CC322 + (1-$BF$61:$BF$65)*BY322), N($AU$61:$AU$65&gt;$AM322)),
SUMPRODUCT(INDEX($AV$46:$AX$55,,$AI322), INDEX($AY$46:$BE$55,,$AH322), 1 / ($BG$46:$BG$55*CC322 + (1-$BG$46:$BG$55)*BY322), N($AU$46:$AU$55&gt;$AM322))
) / 1000</f>
        <v>0</v>
      </c>
      <c r="CE322" s="234" cm="1">
        <f t="array" ref="CE322">$BM322 * IF($AH322&lt;=2,
SUMPRODUCT(INDEX($AV$22:$AX$60,,$AI322), INDEX($AY$22:$BE$60,,$AH322), 1 / ($BF$22:$BF$60*CC322), N($AU$22:$AU$60&gt;$AM322)),
SUMPRODUCT(INDEX($AV$22:$AX$45,,$AI322), INDEX($AY$22:$BE$45,,$AH322), 1 / ($BG$22:$BG$45*CC322), N($AU$22:$AU$45&gt;$AM322))
) / 1000</f>
        <v>0</v>
      </c>
      <c r="CF322" s="229">
        <f t="shared" si="570"/>
        <v>0</v>
      </c>
      <c r="CG322" s="246"/>
      <c r="CH322" s="229">
        <f t="shared" si="571"/>
        <v>0</v>
      </c>
      <c r="CI322" s="228">
        <v>35</v>
      </c>
      <c r="CJ322" s="229">
        <f t="shared" si="572"/>
        <v>48</v>
      </c>
      <c r="CK322" s="234">
        <f t="shared" si="573"/>
        <v>3.0748170731707316</v>
      </c>
      <c r="CL322" s="234" cm="1">
        <f t="array" ref="CL322">$BM322 * SUMPRODUCT(INDEX($AV$76:$AX$81,,$AI322),INDEX($AY$76:$BE$81,,$AH322), N($AU$76:$AU$81&gt;$AM322)) / CK322 / 1000</f>
        <v>0</v>
      </c>
      <c r="CM322" s="231">
        <f t="shared" si="323"/>
        <v>30</v>
      </c>
      <c r="CN322" s="229">
        <f t="shared" si="574"/>
        <v>43</v>
      </c>
      <c r="CO322" s="234">
        <f t="shared" si="575"/>
        <v>3.5018750000000001</v>
      </c>
      <c r="CP322" s="234" cm="1">
        <f t="array" ref="CP322">$BM322 * IF($AH322&lt;=2,
SUMPRODUCT(INDEX($AV$71:$AX$75,,$AI322), INDEX($AY$71:$BE$75,,$AH322), 1 / ($BF$71:$BF$75*CO322 + (1-$BF$71:$BF$75)*CK322), N($AU$71:$AU$75&gt;$AM322)),
SUMPRODUCT(INDEX($AV$66:$AX$75,,$AI322), INDEX($AY$66:$BE$75,,$AH322), 1 / ($BG$66:$BG$75*CO322 + (1-$BG$66:$BG$75)*CK322), N($AU$66:$AU$75&gt;$AM322))
) / 1000</f>
        <v>0</v>
      </c>
      <c r="CQ322" s="231">
        <f t="shared" si="326"/>
        <v>25</v>
      </c>
      <c r="CR322" s="229">
        <f t="shared" si="576"/>
        <v>38</v>
      </c>
      <c r="CS322" s="234">
        <f t="shared" si="577"/>
        <v>4.0666935483870965</v>
      </c>
      <c r="CT322" s="234" cm="1">
        <f t="array" ref="CT322">$BM322 * IF($AH322&lt;=2,
SUMPRODUCT(INDEX($AV$66:$AX$70,,$AI322), INDEX($AY$66:$BE$70,,$AH322), 1 / ($BF$66:$BF$70*CS322 + (1-$BF$66:$BF$70)*CO322), N($AU$66:$AU$70&gt;$AM322)),
SUMPRODUCT(INDEX($AV$56:$AX$65,,$AI322), INDEX($AY$56:$BE$65,,$AH322), 1 / ($BG$56:$BG$65*CS322 + (1-$BG$56:$BG$65)*CO322), N($AU$56:$AU$65&gt;$AM322))
) / 1000</f>
        <v>0</v>
      </c>
      <c r="CU322" s="231">
        <f t="shared" si="329"/>
        <v>20</v>
      </c>
      <c r="CV322" s="229">
        <f t="shared" si="578"/>
        <v>33</v>
      </c>
      <c r="CW322" s="234">
        <f t="shared" si="579"/>
        <v>4.8487499999999999</v>
      </c>
      <c r="CX322" s="234" cm="1">
        <f t="array" ref="CX322">$BM322 * IF($AH322&lt;=2,
SUMPRODUCT(INDEX($AV$61:$AX$65,,$AI322), INDEX($AY$61:$BE$65,,$AH322), 1 / ($BF$61:$BF$65*CW322 + (1-$BF$61:$BF$65)*CS322), N($AU$61:$AU$65&gt;$AM322)),
SUMPRODUCT(INDEX($AV$46:$AX$55,,$AI322), INDEX($AY$46:$BE$55,,$AH322), 1 / ($BG$46:$BG$55*CW322 + (1-$BG$46:$BG$55)*CS322), N($AU$46:$AU$55&gt;$AM322))
) / 1000</f>
        <v>0</v>
      </c>
      <c r="CY322" s="234" cm="1">
        <f t="array" ref="CY322">$BM322 * IF($AH322&lt;=2,
SUMPRODUCT(INDEX($AV$22:$AX$60,,$AI322), INDEX($AY$22:$BE$60,,$AH322), 1 / ($BF$22:$BF$60*CW322), N($AU$22:$AU$60&gt;$AM322)),
SUMPRODUCT(INDEX($AV$22:$AX$45,,$AI322), INDEX($AY$22:$BE$45,,$AH322), 1 / ($BG$22:$BG$45*CW322), N($AU$22:$AU$45&gt;$AM322))
) / 1000</f>
        <v>0</v>
      </c>
      <c r="CZ322" s="229">
        <f t="shared" si="580"/>
        <v>0</v>
      </c>
      <c r="DA322" s="246"/>
    </row>
    <row r="323" spans="1:105" s="75" customFormat="1" ht="14.25" customHeight="1" x14ac:dyDescent="0.2">
      <c r="A323" s="230" t="b">
        <f t="shared" si="291"/>
        <v>0</v>
      </c>
      <c r="B323" s="253">
        <v>302</v>
      </c>
      <c r="C323" s="266"/>
      <c r="D323" s="266"/>
      <c r="E323" s="254"/>
      <c r="F323" s="255" t="str">
        <f>IF(ISBLANK(E323), "", VLOOKUP(E323, Z!$A$2:$C$4127, 3, FALSE))</f>
        <v/>
      </c>
      <c r="G323" s="256"/>
      <c r="H323" s="256"/>
      <c r="I323" s="256"/>
      <c r="J323" s="257"/>
      <c r="K323" s="258"/>
      <c r="L323" s="267"/>
      <c r="M323" s="268"/>
      <c r="N323" s="259" t="str" cm="1">
        <f t="array" ref="N323">IF($L323&gt;0, INDEX(Clean,1+AK323,$D$1), "")</f>
        <v/>
      </c>
      <c r="O323" s="260"/>
      <c r="P323" s="260"/>
      <c r="Q323" s="261"/>
      <c r="R323" s="264">
        <f t="shared" si="556"/>
        <v>0</v>
      </c>
      <c r="S323" s="259" t="str" cm="1">
        <f t="array" ref="S323">IF($L323&gt;0, INDEX(Clean,1+AL323,$D$1), "")</f>
        <v/>
      </c>
      <c r="T323" s="260"/>
      <c r="U323" s="260"/>
      <c r="V323" s="261"/>
      <c r="W323" s="267"/>
      <c r="X323" s="267"/>
      <c r="Y323" s="257"/>
      <c r="Z323" s="264">
        <f t="shared" si="557"/>
        <v>0</v>
      </c>
      <c r="AA323" s="269"/>
      <c r="AB323" s="266"/>
      <c r="AC323" s="254"/>
      <c r="AD323" s="255" t="str">
        <f>IF(ISBLANK(AC323), "", VLOOKUP(AC323, Z!$A$2:$C$4127, 3, FALSE))</f>
        <v/>
      </c>
      <c r="AE323" s="270"/>
      <c r="AF323" s="265">
        <f t="shared" si="558"/>
        <v>0</v>
      </c>
      <c r="AG323" s="246"/>
      <c r="AH323" s="228">
        <f t="shared" si="581"/>
        <v>1</v>
      </c>
      <c r="AI323" s="228">
        <f t="shared" si="582"/>
        <v>1</v>
      </c>
      <c r="AJ323" s="228">
        <f t="shared" si="583"/>
        <v>0</v>
      </c>
      <c r="AK323" s="228">
        <v>0</v>
      </c>
      <c r="AL323" s="228">
        <v>0</v>
      </c>
      <c r="AM323" s="228">
        <f t="shared" si="559"/>
        <v>-100</v>
      </c>
      <c r="AN323" s="228" cm="1">
        <f t="array" ref="AN323">IF(ISBLANK(G323), 1, IFERROR(MATCH(G323, INDEX(Kat,,1), 0), IFERROR(MATCH(Kat, INDEX(Use,,2), 0), MATCH(Kat, INDEX(Use,,3), 0))))</f>
        <v>1</v>
      </c>
      <c r="AO323" s="246"/>
      <c r="AP323" s="228" cm="1">
        <f t="array" ref="AP323">IF(W323&gt;0, INDEX(Kat, AN323,4), 0)</f>
        <v>0</v>
      </c>
      <c r="AQ323" s="228">
        <f t="shared" si="584"/>
        <v>0</v>
      </c>
      <c r="AR323" s="228" cm="1">
        <f t="array" ref="AR323">IF(X323&gt;0, INDEX(Kat, $AN323, 4+AQ323), 0)</f>
        <v>0</v>
      </c>
      <c r="AS323" s="228" cm="1">
        <f t="array" ref="AS323">IF(X323&gt;0, INDEX(Kat, $AN323, 9+AQ323), 0)</f>
        <v>0</v>
      </c>
      <c r="AT323" s="246"/>
      <c r="AU323" s="262"/>
      <c r="AV323" s="262"/>
      <c r="AW323" s="263"/>
      <c r="AX323" s="263"/>
      <c r="AY323" s="263"/>
      <c r="AZ323" s="263"/>
      <c r="BA323" s="263"/>
      <c r="BB323" s="263"/>
      <c r="BC323" s="263"/>
      <c r="BD323" s="263"/>
      <c r="BE323" s="263"/>
      <c r="BF323" s="263"/>
      <c r="BG323" s="263"/>
      <c r="BH323" s="246"/>
      <c r="BI323" s="228" cm="1">
        <f t="array" ref="BI323">INDEX(Use, $AH323, 4)</f>
        <v>7</v>
      </c>
      <c r="BJ323" s="228">
        <f t="shared" si="560"/>
        <v>32</v>
      </c>
      <c r="BK323" s="228">
        <f t="shared" si="305"/>
        <v>13</v>
      </c>
      <c r="BL323" s="228">
        <f t="shared" si="306"/>
        <v>0</v>
      </c>
      <c r="BM323" s="233" cm="1">
        <f t="array" ref="BM323">L323/IF($M323&gt;0, INDEX($AY$22:$BE$76, $M323+20, $AH323), 1)</f>
        <v>0</v>
      </c>
      <c r="BN323" s="229">
        <f t="shared" si="561"/>
        <v>0</v>
      </c>
      <c r="BO323" s="228">
        <v>35</v>
      </c>
      <c r="BP323" s="229">
        <f t="shared" si="562"/>
        <v>48</v>
      </c>
      <c r="BQ323" s="234">
        <f t="shared" si="563"/>
        <v>3.0748170731707316</v>
      </c>
      <c r="BR323" s="234" cm="1">
        <f t="array" ref="BR323">$BM323 * SUMPRODUCT(INDEX($AV$76:$AX$81,,$AI323),INDEX($AY$76:$BE$81,,$AH323), N($AU$76:$AU$81&gt;$AM323)) / BQ323 / 1000</f>
        <v>0</v>
      </c>
      <c r="BS323" s="231">
        <f t="shared" si="310"/>
        <v>30</v>
      </c>
      <c r="BT323" s="229">
        <f t="shared" si="564"/>
        <v>43</v>
      </c>
      <c r="BU323" s="234">
        <f t="shared" si="565"/>
        <v>3.5018750000000001</v>
      </c>
      <c r="BV323" s="234" cm="1">
        <f t="array" ref="BV323">$BM323 * IF($AH323&lt;=2,
SUMPRODUCT(INDEX($AV$71:$AX$75,,$AI323), INDEX($AY$71:$BE$75,,$AH323), 1 / ($BF$71:$BF$75*BU323 + (1-$BF$71:$BF$75)*BQ323), N($AU$71:$AU$75&gt;$AM323)),
SUMPRODUCT(INDEX($AV$66:$AX$75,,$AI323), INDEX($AY$66:$BE$75,,$AH323), 1 / ($BG$66:$BG$75*BU323 + (1-$BG$66:$BG$75)*BQ323), N($AU$66:$AU$75&gt;$AM323))
) / 1000</f>
        <v>0</v>
      </c>
      <c r="BW323" s="231">
        <f t="shared" si="313"/>
        <v>25</v>
      </c>
      <c r="BX323" s="229">
        <f t="shared" si="566"/>
        <v>38</v>
      </c>
      <c r="BY323" s="234">
        <f t="shared" si="567"/>
        <v>4.0666935483870965</v>
      </c>
      <c r="BZ323" s="234" cm="1">
        <f t="array" ref="BZ323">$BM323 * IF($AH323&lt;=2,
SUMPRODUCT(INDEX($AV$66:$AX$70,,$AI323), INDEX($AY$66:$BE$70,,$AH323), 1 / ($BF$66:$BF$70*BY323 + (1-$BF$66:$BF$70)*BU323), N($AU$66:$AU$70&gt;$AM323)),
SUMPRODUCT(INDEX($AV$56:$AX$65,,$AI323), INDEX($AY$56:$BE$65,,$AH323), 1 / ($BG$56:$BG$65*BY323 + (1-$BG$56:$BG$65)*BU323), N($AU$56:$AU$65&gt;$AM323))
) / 1000</f>
        <v>0</v>
      </c>
      <c r="CA323" s="231">
        <f t="shared" si="316"/>
        <v>20</v>
      </c>
      <c r="CB323" s="229">
        <f t="shared" si="568"/>
        <v>33</v>
      </c>
      <c r="CC323" s="234">
        <f t="shared" si="569"/>
        <v>4.8487499999999999</v>
      </c>
      <c r="CD323" s="234" cm="1">
        <f t="array" ref="CD323">$BM323 * IF($AH323&lt;=2,
SUMPRODUCT(INDEX($AV$61:$AX$65,,$AI323), INDEX($AY$61:$BE$65,,$AH323), 1 / ($BF$61:$BF$65*CC323 + (1-$BF$61:$BF$65)*BY323), N($AU$61:$AU$65&gt;$AM323)),
SUMPRODUCT(INDEX($AV$46:$AX$55,,$AI323), INDEX($AY$46:$BE$55,,$AH323), 1 / ($BG$46:$BG$55*CC323 + (1-$BG$46:$BG$55)*BY323), N($AU$46:$AU$55&gt;$AM323))
) / 1000</f>
        <v>0</v>
      </c>
      <c r="CE323" s="234" cm="1">
        <f t="array" ref="CE323">$BM323 * IF($AH323&lt;=2,
SUMPRODUCT(INDEX($AV$22:$AX$60,,$AI323), INDEX($AY$22:$BE$60,,$AH323), 1 / ($BF$22:$BF$60*CC323), N($AU$22:$AU$60&gt;$AM323)),
SUMPRODUCT(INDEX($AV$22:$AX$45,,$AI323), INDEX($AY$22:$BE$45,,$AH323), 1 / ($BG$22:$BG$45*CC323), N($AU$22:$AU$45&gt;$AM323))
) / 1000</f>
        <v>0</v>
      </c>
      <c r="CF323" s="229">
        <f t="shared" si="570"/>
        <v>0</v>
      </c>
      <c r="CG323" s="246"/>
      <c r="CH323" s="229">
        <f t="shared" si="571"/>
        <v>0</v>
      </c>
      <c r="CI323" s="228">
        <v>35</v>
      </c>
      <c r="CJ323" s="229">
        <f t="shared" si="572"/>
        <v>48</v>
      </c>
      <c r="CK323" s="234">
        <f t="shared" si="573"/>
        <v>3.0748170731707316</v>
      </c>
      <c r="CL323" s="234" cm="1">
        <f t="array" ref="CL323">$BM323 * SUMPRODUCT(INDEX($AV$76:$AX$81,,$AI323),INDEX($AY$76:$BE$81,,$AH323), N($AU$76:$AU$81&gt;$AM323)) / CK323 / 1000</f>
        <v>0</v>
      </c>
      <c r="CM323" s="231">
        <f t="shared" si="323"/>
        <v>30</v>
      </c>
      <c r="CN323" s="229">
        <f t="shared" si="574"/>
        <v>43</v>
      </c>
      <c r="CO323" s="234">
        <f t="shared" si="575"/>
        <v>3.5018750000000001</v>
      </c>
      <c r="CP323" s="234" cm="1">
        <f t="array" ref="CP323">$BM323 * IF($AH323&lt;=2,
SUMPRODUCT(INDEX($AV$71:$AX$75,,$AI323), INDEX($AY$71:$BE$75,,$AH323), 1 / ($BF$71:$BF$75*CO323 + (1-$BF$71:$BF$75)*CK323), N($AU$71:$AU$75&gt;$AM323)),
SUMPRODUCT(INDEX($AV$66:$AX$75,,$AI323), INDEX($AY$66:$BE$75,,$AH323), 1 / ($BG$66:$BG$75*CO323 + (1-$BG$66:$BG$75)*CK323), N($AU$66:$AU$75&gt;$AM323))
) / 1000</f>
        <v>0</v>
      </c>
      <c r="CQ323" s="231">
        <f t="shared" si="326"/>
        <v>25</v>
      </c>
      <c r="CR323" s="229">
        <f t="shared" si="576"/>
        <v>38</v>
      </c>
      <c r="CS323" s="234">
        <f t="shared" si="577"/>
        <v>4.0666935483870965</v>
      </c>
      <c r="CT323" s="234" cm="1">
        <f t="array" ref="CT323">$BM323 * IF($AH323&lt;=2,
SUMPRODUCT(INDEX($AV$66:$AX$70,,$AI323), INDEX($AY$66:$BE$70,,$AH323), 1 / ($BF$66:$BF$70*CS323 + (1-$BF$66:$BF$70)*CO323), N($AU$66:$AU$70&gt;$AM323)),
SUMPRODUCT(INDEX($AV$56:$AX$65,,$AI323), INDEX($AY$56:$BE$65,,$AH323), 1 / ($BG$56:$BG$65*CS323 + (1-$BG$56:$BG$65)*CO323), N($AU$56:$AU$65&gt;$AM323))
) / 1000</f>
        <v>0</v>
      </c>
      <c r="CU323" s="231">
        <f t="shared" si="329"/>
        <v>20</v>
      </c>
      <c r="CV323" s="229">
        <f t="shared" si="578"/>
        <v>33</v>
      </c>
      <c r="CW323" s="234">
        <f t="shared" si="579"/>
        <v>4.8487499999999999</v>
      </c>
      <c r="CX323" s="234" cm="1">
        <f t="array" ref="CX323">$BM323 * IF($AH323&lt;=2,
SUMPRODUCT(INDEX($AV$61:$AX$65,,$AI323), INDEX($AY$61:$BE$65,,$AH323), 1 / ($BF$61:$BF$65*CW323 + (1-$BF$61:$BF$65)*CS323), N($AU$61:$AU$65&gt;$AM323)),
SUMPRODUCT(INDEX($AV$46:$AX$55,,$AI323), INDEX($AY$46:$BE$55,,$AH323), 1 / ($BG$46:$BG$55*CW323 + (1-$BG$46:$BG$55)*CS323), N($AU$46:$AU$55&gt;$AM323))
) / 1000</f>
        <v>0</v>
      </c>
      <c r="CY323" s="234" cm="1">
        <f t="array" ref="CY323">$BM323 * IF($AH323&lt;=2,
SUMPRODUCT(INDEX($AV$22:$AX$60,,$AI323), INDEX($AY$22:$BE$60,,$AH323), 1 / ($BF$22:$BF$60*CW323), N($AU$22:$AU$60&gt;$AM323)),
SUMPRODUCT(INDEX($AV$22:$AX$45,,$AI323), INDEX($AY$22:$BE$45,,$AH323), 1 / ($BG$22:$BG$45*CW323), N($AU$22:$AU$45&gt;$AM323))
) / 1000</f>
        <v>0</v>
      </c>
      <c r="CZ323" s="229">
        <f t="shared" si="580"/>
        <v>0</v>
      </c>
      <c r="DA323" s="246"/>
    </row>
    <row r="324" spans="1:105" s="75" customFormat="1" ht="14.25" customHeight="1" x14ac:dyDescent="0.2">
      <c r="A324" s="230" t="b">
        <f t="shared" si="291"/>
        <v>0</v>
      </c>
      <c r="B324" s="253">
        <v>303</v>
      </c>
      <c r="C324" s="266"/>
      <c r="D324" s="266"/>
      <c r="E324" s="254"/>
      <c r="F324" s="255" t="str">
        <f>IF(ISBLANK(E324), "", VLOOKUP(E324, Z!$A$2:$C$4127, 3, FALSE))</f>
        <v/>
      </c>
      <c r="G324" s="256"/>
      <c r="H324" s="256"/>
      <c r="I324" s="256"/>
      <c r="J324" s="257"/>
      <c r="K324" s="258"/>
      <c r="L324" s="267"/>
      <c r="M324" s="268"/>
      <c r="N324" s="259" t="str" cm="1">
        <f t="array" ref="N324">IF($L324&gt;0, INDEX(Clean,1+AK324,$D$1), "")</f>
        <v/>
      </c>
      <c r="O324" s="260"/>
      <c r="P324" s="260"/>
      <c r="Q324" s="261"/>
      <c r="R324" s="264">
        <f t="shared" si="556"/>
        <v>0</v>
      </c>
      <c r="S324" s="259" t="str" cm="1">
        <f t="array" ref="S324">IF($L324&gt;0, INDEX(Clean,1+AL324,$D$1), "")</f>
        <v/>
      </c>
      <c r="T324" s="260"/>
      <c r="U324" s="260"/>
      <c r="V324" s="261"/>
      <c r="W324" s="267"/>
      <c r="X324" s="267"/>
      <c r="Y324" s="257"/>
      <c r="Z324" s="264">
        <f t="shared" si="557"/>
        <v>0</v>
      </c>
      <c r="AA324" s="269"/>
      <c r="AB324" s="266"/>
      <c r="AC324" s="254"/>
      <c r="AD324" s="255" t="str">
        <f>IF(ISBLANK(AC324), "", VLOOKUP(AC324, Z!$A$2:$C$4127, 3, FALSE))</f>
        <v/>
      </c>
      <c r="AE324" s="270"/>
      <c r="AF324" s="265">
        <f t="shared" si="558"/>
        <v>0</v>
      </c>
      <c r="AG324" s="246"/>
      <c r="AH324" s="228">
        <f t="shared" si="581"/>
        <v>1</v>
      </c>
      <c r="AI324" s="228">
        <f t="shared" si="582"/>
        <v>1</v>
      </c>
      <c r="AJ324" s="228">
        <f t="shared" si="583"/>
        <v>0</v>
      </c>
      <c r="AK324" s="228">
        <v>0</v>
      </c>
      <c r="AL324" s="228">
        <v>0</v>
      </c>
      <c r="AM324" s="228">
        <f t="shared" si="559"/>
        <v>-100</v>
      </c>
      <c r="AN324" s="228" cm="1">
        <f t="array" ref="AN324">IF(ISBLANK(G324), 1, IFERROR(MATCH(G324, INDEX(Kat,,1), 0), IFERROR(MATCH(Kat, INDEX(Use,,2), 0), MATCH(Kat, INDEX(Use,,3), 0))))</f>
        <v>1</v>
      </c>
      <c r="AO324" s="246"/>
      <c r="AP324" s="228" cm="1">
        <f t="array" ref="AP324">IF(W324&gt;0, INDEX(Kat, AN324,4), 0)</f>
        <v>0</v>
      </c>
      <c r="AQ324" s="228">
        <f t="shared" si="584"/>
        <v>0</v>
      </c>
      <c r="AR324" s="228" cm="1">
        <f t="array" ref="AR324">IF(X324&gt;0, INDEX(Kat, $AN324, 4+AQ324), 0)</f>
        <v>0</v>
      </c>
      <c r="AS324" s="228" cm="1">
        <f t="array" ref="AS324">IF(X324&gt;0, INDEX(Kat, $AN324, 9+AQ324), 0)</f>
        <v>0</v>
      </c>
      <c r="AT324" s="246"/>
      <c r="AU324" s="262"/>
      <c r="AV324" s="262"/>
      <c r="AW324" s="263"/>
      <c r="AX324" s="263"/>
      <c r="AY324" s="263"/>
      <c r="AZ324" s="263"/>
      <c r="BA324" s="263"/>
      <c r="BB324" s="263"/>
      <c r="BC324" s="263"/>
      <c r="BD324" s="263"/>
      <c r="BE324" s="263"/>
      <c r="BF324" s="263"/>
      <c r="BG324" s="263"/>
      <c r="BH324" s="246"/>
      <c r="BI324" s="228" cm="1">
        <f t="array" ref="BI324">INDEX(Use, $AH324, 4)</f>
        <v>7</v>
      </c>
      <c r="BJ324" s="228">
        <f t="shared" si="560"/>
        <v>32</v>
      </c>
      <c r="BK324" s="228">
        <f t="shared" si="305"/>
        <v>13</v>
      </c>
      <c r="BL324" s="228">
        <f t="shared" si="306"/>
        <v>0</v>
      </c>
      <c r="BM324" s="233" cm="1">
        <f t="array" ref="BM324">L324/IF($M324&gt;0, INDEX($AY$22:$BE$76, $M324+20, $AH324), 1)</f>
        <v>0</v>
      </c>
      <c r="BN324" s="229">
        <f t="shared" si="561"/>
        <v>0</v>
      </c>
      <c r="BO324" s="228">
        <v>35</v>
      </c>
      <c r="BP324" s="229">
        <f t="shared" si="562"/>
        <v>48</v>
      </c>
      <c r="BQ324" s="234">
        <f t="shared" si="563"/>
        <v>3.0748170731707316</v>
      </c>
      <c r="BR324" s="234" cm="1">
        <f t="array" ref="BR324">$BM324 * SUMPRODUCT(INDEX($AV$76:$AX$81,,$AI324),INDEX($AY$76:$BE$81,,$AH324), N($AU$76:$AU$81&gt;$AM324)) / BQ324 / 1000</f>
        <v>0</v>
      </c>
      <c r="BS324" s="231">
        <f t="shared" si="310"/>
        <v>30</v>
      </c>
      <c r="BT324" s="229">
        <f t="shared" si="564"/>
        <v>43</v>
      </c>
      <c r="BU324" s="234">
        <f t="shared" si="565"/>
        <v>3.5018750000000001</v>
      </c>
      <c r="BV324" s="234" cm="1">
        <f t="array" ref="BV324">$BM324 * IF($AH324&lt;=2,
SUMPRODUCT(INDEX($AV$71:$AX$75,,$AI324), INDEX($AY$71:$BE$75,,$AH324), 1 / ($BF$71:$BF$75*BU324 + (1-$BF$71:$BF$75)*BQ324), N($AU$71:$AU$75&gt;$AM324)),
SUMPRODUCT(INDEX($AV$66:$AX$75,,$AI324), INDEX($AY$66:$BE$75,,$AH324), 1 / ($BG$66:$BG$75*BU324 + (1-$BG$66:$BG$75)*BQ324), N($AU$66:$AU$75&gt;$AM324))
) / 1000</f>
        <v>0</v>
      </c>
      <c r="BW324" s="231">
        <f t="shared" si="313"/>
        <v>25</v>
      </c>
      <c r="BX324" s="229">
        <f t="shared" si="566"/>
        <v>38</v>
      </c>
      <c r="BY324" s="234">
        <f t="shared" si="567"/>
        <v>4.0666935483870965</v>
      </c>
      <c r="BZ324" s="234" cm="1">
        <f t="array" ref="BZ324">$BM324 * IF($AH324&lt;=2,
SUMPRODUCT(INDEX($AV$66:$AX$70,,$AI324), INDEX($AY$66:$BE$70,,$AH324), 1 / ($BF$66:$BF$70*BY324 + (1-$BF$66:$BF$70)*BU324), N($AU$66:$AU$70&gt;$AM324)),
SUMPRODUCT(INDEX($AV$56:$AX$65,,$AI324), INDEX($AY$56:$BE$65,,$AH324), 1 / ($BG$56:$BG$65*BY324 + (1-$BG$56:$BG$65)*BU324), N($AU$56:$AU$65&gt;$AM324))
) / 1000</f>
        <v>0</v>
      </c>
      <c r="CA324" s="231">
        <f t="shared" si="316"/>
        <v>20</v>
      </c>
      <c r="CB324" s="229">
        <f t="shared" si="568"/>
        <v>33</v>
      </c>
      <c r="CC324" s="234">
        <f t="shared" si="569"/>
        <v>4.8487499999999999</v>
      </c>
      <c r="CD324" s="234" cm="1">
        <f t="array" ref="CD324">$BM324 * IF($AH324&lt;=2,
SUMPRODUCT(INDEX($AV$61:$AX$65,,$AI324), INDEX($AY$61:$BE$65,,$AH324), 1 / ($BF$61:$BF$65*CC324 + (1-$BF$61:$BF$65)*BY324), N($AU$61:$AU$65&gt;$AM324)),
SUMPRODUCT(INDEX($AV$46:$AX$55,,$AI324), INDEX($AY$46:$BE$55,,$AH324), 1 / ($BG$46:$BG$55*CC324 + (1-$BG$46:$BG$55)*BY324), N($AU$46:$AU$55&gt;$AM324))
) / 1000</f>
        <v>0</v>
      </c>
      <c r="CE324" s="234" cm="1">
        <f t="array" ref="CE324">$BM324 * IF($AH324&lt;=2,
SUMPRODUCT(INDEX($AV$22:$AX$60,,$AI324), INDEX($AY$22:$BE$60,,$AH324), 1 / ($BF$22:$BF$60*CC324), N($AU$22:$AU$60&gt;$AM324)),
SUMPRODUCT(INDEX($AV$22:$AX$45,,$AI324), INDEX($AY$22:$BE$45,,$AH324), 1 / ($BG$22:$BG$45*CC324), N($AU$22:$AU$45&gt;$AM324))
) / 1000</f>
        <v>0</v>
      </c>
      <c r="CF324" s="229">
        <f t="shared" si="570"/>
        <v>0</v>
      </c>
      <c r="CG324" s="246"/>
      <c r="CH324" s="229">
        <f t="shared" si="571"/>
        <v>0</v>
      </c>
      <c r="CI324" s="228">
        <v>35</v>
      </c>
      <c r="CJ324" s="229">
        <f t="shared" si="572"/>
        <v>48</v>
      </c>
      <c r="CK324" s="234">
        <f t="shared" si="573"/>
        <v>3.0748170731707316</v>
      </c>
      <c r="CL324" s="234" cm="1">
        <f t="array" ref="CL324">$BM324 * SUMPRODUCT(INDEX($AV$76:$AX$81,,$AI324),INDEX($AY$76:$BE$81,,$AH324), N($AU$76:$AU$81&gt;$AM324)) / CK324 / 1000</f>
        <v>0</v>
      </c>
      <c r="CM324" s="231">
        <f t="shared" si="323"/>
        <v>30</v>
      </c>
      <c r="CN324" s="229">
        <f t="shared" si="574"/>
        <v>43</v>
      </c>
      <c r="CO324" s="234">
        <f t="shared" si="575"/>
        <v>3.5018750000000001</v>
      </c>
      <c r="CP324" s="234" cm="1">
        <f t="array" ref="CP324">$BM324 * IF($AH324&lt;=2,
SUMPRODUCT(INDEX($AV$71:$AX$75,,$AI324), INDEX($AY$71:$BE$75,,$AH324), 1 / ($BF$71:$BF$75*CO324 + (1-$BF$71:$BF$75)*CK324), N($AU$71:$AU$75&gt;$AM324)),
SUMPRODUCT(INDEX($AV$66:$AX$75,,$AI324), INDEX($AY$66:$BE$75,,$AH324), 1 / ($BG$66:$BG$75*CO324 + (1-$BG$66:$BG$75)*CK324), N($AU$66:$AU$75&gt;$AM324))
) / 1000</f>
        <v>0</v>
      </c>
      <c r="CQ324" s="231">
        <f t="shared" si="326"/>
        <v>25</v>
      </c>
      <c r="CR324" s="229">
        <f t="shared" si="576"/>
        <v>38</v>
      </c>
      <c r="CS324" s="234">
        <f t="shared" si="577"/>
        <v>4.0666935483870965</v>
      </c>
      <c r="CT324" s="234" cm="1">
        <f t="array" ref="CT324">$BM324 * IF($AH324&lt;=2,
SUMPRODUCT(INDEX($AV$66:$AX$70,,$AI324), INDEX($AY$66:$BE$70,,$AH324), 1 / ($BF$66:$BF$70*CS324 + (1-$BF$66:$BF$70)*CO324), N($AU$66:$AU$70&gt;$AM324)),
SUMPRODUCT(INDEX($AV$56:$AX$65,,$AI324), INDEX($AY$56:$BE$65,,$AH324), 1 / ($BG$56:$BG$65*CS324 + (1-$BG$56:$BG$65)*CO324), N($AU$56:$AU$65&gt;$AM324))
) / 1000</f>
        <v>0</v>
      </c>
      <c r="CU324" s="231">
        <f t="shared" si="329"/>
        <v>20</v>
      </c>
      <c r="CV324" s="229">
        <f t="shared" si="578"/>
        <v>33</v>
      </c>
      <c r="CW324" s="234">
        <f t="shared" si="579"/>
        <v>4.8487499999999999</v>
      </c>
      <c r="CX324" s="234" cm="1">
        <f t="array" ref="CX324">$BM324 * IF($AH324&lt;=2,
SUMPRODUCT(INDEX($AV$61:$AX$65,,$AI324), INDEX($AY$61:$BE$65,,$AH324), 1 / ($BF$61:$BF$65*CW324 + (1-$BF$61:$BF$65)*CS324), N($AU$61:$AU$65&gt;$AM324)),
SUMPRODUCT(INDEX($AV$46:$AX$55,,$AI324), INDEX($AY$46:$BE$55,,$AH324), 1 / ($BG$46:$BG$55*CW324 + (1-$BG$46:$BG$55)*CS324), N($AU$46:$AU$55&gt;$AM324))
) / 1000</f>
        <v>0</v>
      </c>
      <c r="CY324" s="234" cm="1">
        <f t="array" ref="CY324">$BM324 * IF($AH324&lt;=2,
SUMPRODUCT(INDEX($AV$22:$AX$60,,$AI324), INDEX($AY$22:$BE$60,,$AH324), 1 / ($BF$22:$BF$60*CW324), N($AU$22:$AU$60&gt;$AM324)),
SUMPRODUCT(INDEX($AV$22:$AX$45,,$AI324), INDEX($AY$22:$BE$45,,$AH324), 1 / ($BG$22:$BG$45*CW324), N($AU$22:$AU$45&gt;$AM324))
) / 1000</f>
        <v>0</v>
      </c>
      <c r="CZ324" s="229">
        <f t="shared" si="580"/>
        <v>0</v>
      </c>
      <c r="DA324" s="246"/>
    </row>
    <row r="325" spans="1:105" s="75" customFormat="1" ht="14.25" customHeight="1" x14ac:dyDescent="0.2">
      <c r="A325" s="230" t="b">
        <f t="shared" si="291"/>
        <v>0</v>
      </c>
      <c r="B325" s="253">
        <v>304</v>
      </c>
      <c r="C325" s="266"/>
      <c r="D325" s="266"/>
      <c r="E325" s="254"/>
      <c r="F325" s="255" t="str">
        <f>IF(ISBLANK(E325), "", VLOOKUP(E325, Z!$A$2:$C$4127, 3, FALSE))</f>
        <v/>
      </c>
      <c r="G325" s="256"/>
      <c r="H325" s="256"/>
      <c r="I325" s="256"/>
      <c r="J325" s="257"/>
      <c r="K325" s="258"/>
      <c r="L325" s="267"/>
      <c r="M325" s="268"/>
      <c r="N325" s="259" t="str" cm="1">
        <f t="array" ref="N325">IF($L325&gt;0, INDEX(Clean,1+AK325,$D$1), "")</f>
        <v/>
      </c>
      <c r="O325" s="260"/>
      <c r="P325" s="260"/>
      <c r="Q325" s="261"/>
      <c r="R325" s="264">
        <f t="shared" si="556"/>
        <v>0</v>
      </c>
      <c r="S325" s="259" t="str" cm="1">
        <f t="array" ref="S325">IF($L325&gt;0, INDEX(Clean,1+AL325,$D$1), "")</f>
        <v/>
      </c>
      <c r="T325" s="260"/>
      <c r="U325" s="260"/>
      <c r="V325" s="261"/>
      <c r="W325" s="267"/>
      <c r="X325" s="267"/>
      <c r="Y325" s="257"/>
      <c r="Z325" s="264">
        <f t="shared" si="557"/>
        <v>0</v>
      </c>
      <c r="AA325" s="269"/>
      <c r="AB325" s="266"/>
      <c r="AC325" s="254"/>
      <c r="AD325" s="255" t="str">
        <f>IF(ISBLANK(AC325), "", VLOOKUP(AC325, Z!$A$2:$C$4127, 3, FALSE))</f>
        <v/>
      </c>
      <c r="AE325" s="270"/>
      <c r="AF325" s="265">
        <f t="shared" si="558"/>
        <v>0</v>
      </c>
      <c r="AG325" s="246"/>
      <c r="AH325" s="228">
        <f t="shared" si="581"/>
        <v>1</v>
      </c>
      <c r="AI325" s="228">
        <f t="shared" si="582"/>
        <v>1</v>
      </c>
      <c r="AJ325" s="228">
        <f t="shared" si="583"/>
        <v>0</v>
      </c>
      <c r="AK325" s="228">
        <v>0</v>
      </c>
      <c r="AL325" s="228">
        <v>0</v>
      </c>
      <c r="AM325" s="228">
        <f t="shared" si="559"/>
        <v>-100</v>
      </c>
      <c r="AN325" s="228" cm="1">
        <f t="array" ref="AN325">IF(ISBLANK(G325), 1, IFERROR(MATCH(G325, INDEX(Kat,,1), 0), IFERROR(MATCH(Kat, INDEX(Use,,2), 0), MATCH(Kat, INDEX(Use,,3), 0))))</f>
        <v>1</v>
      </c>
      <c r="AO325" s="246"/>
      <c r="AP325" s="228" cm="1">
        <f t="array" ref="AP325">IF(W325&gt;0, INDEX(Kat, AN325,4), 0)</f>
        <v>0</v>
      </c>
      <c r="AQ325" s="228">
        <f t="shared" si="584"/>
        <v>0</v>
      </c>
      <c r="AR325" s="228" cm="1">
        <f t="array" ref="AR325">IF(X325&gt;0, INDEX(Kat, $AN325, 4+AQ325), 0)</f>
        <v>0</v>
      </c>
      <c r="AS325" s="228" cm="1">
        <f t="array" ref="AS325">IF(X325&gt;0, INDEX(Kat, $AN325, 9+AQ325), 0)</f>
        <v>0</v>
      </c>
      <c r="AT325" s="246"/>
      <c r="AU325" s="262"/>
      <c r="AV325" s="262"/>
      <c r="AW325" s="263"/>
      <c r="AX325" s="263"/>
      <c r="AY325" s="263"/>
      <c r="AZ325" s="263"/>
      <c r="BA325" s="263"/>
      <c r="BB325" s="263"/>
      <c r="BC325" s="263"/>
      <c r="BD325" s="263"/>
      <c r="BE325" s="263"/>
      <c r="BF325" s="263"/>
      <c r="BG325" s="263"/>
      <c r="BH325" s="246"/>
      <c r="BI325" s="228" cm="1">
        <f t="array" ref="BI325">INDEX(Use, $AH325, 4)</f>
        <v>7</v>
      </c>
      <c r="BJ325" s="228">
        <f t="shared" si="560"/>
        <v>32</v>
      </c>
      <c r="BK325" s="228">
        <f t="shared" si="305"/>
        <v>13</v>
      </c>
      <c r="BL325" s="228">
        <f t="shared" si="306"/>
        <v>0</v>
      </c>
      <c r="BM325" s="233" cm="1">
        <f t="array" ref="BM325">L325/IF($M325&gt;0, INDEX($AY$22:$BE$76, $M325+20, $AH325), 1)</f>
        <v>0</v>
      </c>
      <c r="BN325" s="229">
        <f t="shared" si="561"/>
        <v>0</v>
      </c>
      <c r="BO325" s="228">
        <v>35</v>
      </c>
      <c r="BP325" s="229">
        <f t="shared" si="562"/>
        <v>48</v>
      </c>
      <c r="BQ325" s="234">
        <f t="shared" si="563"/>
        <v>3.0748170731707316</v>
      </c>
      <c r="BR325" s="234" cm="1">
        <f t="array" ref="BR325">$BM325 * SUMPRODUCT(INDEX($AV$76:$AX$81,,$AI325),INDEX($AY$76:$BE$81,,$AH325), N($AU$76:$AU$81&gt;$AM325)) / BQ325 / 1000</f>
        <v>0</v>
      </c>
      <c r="BS325" s="231">
        <f t="shared" si="310"/>
        <v>30</v>
      </c>
      <c r="BT325" s="229">
        <f t="shared" si="564"/>
        <v>43</v>
      </c>
      <c r="BU325" s="234">
        <f t="shared" si="565"/>
        <v>3.5018750000000001</v>
      </c>
      <c r="BV325" s="234" cm="1">
        <f t="array" ref="BV325">$BM325 * IF($AH325&lt;=2,
SUMPRODUCT(INDEX($AV$71:$AX$75,,$AI325), INDEX($AY$71:$BE$75,,$AH325), 1 / ($BF$71:$BF$75*BU325 + (1-$BF$71:$BF$75)*BQ325), N($AU$71:$AU$75&gt;$AM325)),
SUMPRODUCT(INDEX($AV$66:$AX$75,,$AI325), INDEX($AY$66:$BE$75,,$AH325), 1 / ($BG$66:$BG$75*BU325 + (1-$BG$66:$BG$75)*BQ325), N($AU$66:$AU$75&gt;$AM325))
) / 1000</f>
        <v>0</v>
      </c>
      <c r="BW325" s="231">
        <f t="shared" si="313"/>
        <v>25</v>
      </c>
      <c r="BX325" s="229">
        <f t="shared" si="566"/>
        <v>38</v>
      </c>
      <c r="BY325" s="234">
        <f t="shared" si="567"/>
        <v>4.0666935483870965</v>
      </c>
      <c r="BZ325" s="234" cm="1">
        <f t="array" ref="BZ325">$BM325 * IF($AH325&lt;=2,
SUMPRODUCT(INDEX($AV$66:$AX$70,,$AI325), INDEX($AY$66:$BE$70,,$AH325), 1 / ($BF$66:$BF$70*BY325 + (1-$BF$66:$BF$70)*BU325), N($AU$66:$AU$70&gt;$AM325)),
SUMPRODUCT(INDEX($AV$56:$AX$65,,$AI325), INDEX($AY$56:$BE$65,,$AH325), 1 / ($BG$56:$BG$65*BY325 + (1-$BG$56:$BG$65)*BU325), N($AU$56:$AU$65&gt;$AM325))
) / 1000</f>
        <v>0</v>
      </c>
      <c r="CA325" s="231">
        <f t="shared" si="316"/>
        <v>20</v>
      </c>
      <c r="CB325" s="229">
        <f t="shared" si="568"/>
        <v>33</v>
      </c>
      <c r="CC325" s="234">
        <f t="shared" si="569"/>
        <v>4.8487499999999999</v>
      </c>
      <c r="CD325" s="234" cm="1">
        <f t="array" ref="CD325">$BM325 * IF($AH325&lt;=2,
SUMPRODUCT(INDEX($AV$61:$AX$65,,$AI325), INDEX($AY$61:$BE$65,,$AH325), 1 / ($BF$61:$BF$65*CC325 + (1-$BF$61:$BF$65)*BY325), N($AU$61:$AU$65&gt;$AM325)),
SUMPRODUCT(INDEX($AV$46:$AX$55,,$AI325), INDEX($AY$46:$BE$55,,$AH325), 1 / ($BG$46:$BG$55*CC325 + (1-$BG$46:$BG$55)*BY325), N($AU$46:$AU$55&gt;$AM325))
) / 1000</f>
        <v>0</v>
      </c>
      <c r="CE325" s="234" cm="1">
        <f t="array" ref="CE325">$BM325 * IF($AH325&lt;=2,
SUMPRODUCT(INDEX($AV$22:$AX$60,,$AI325), INDEX($AY$22:$BE$60,,$AH325), 1 / ($BF$22:$BF$60*CC325), N($AU$22:$AU$60&gt;$AM325)),
SUMPRODUCT(INDEX($AV$22:$AX$45,,$AI325), INDEX($AY$22:$BE$45,,$AH325), 1 / ($BG$22:$BG$45*CC325), N($AU$22:$AU$45&gt;$AM325))
) / 1000</f>
        <v>0</v>
      </c>
      <c r="CF325" s="229">
        <f t="shared" si="570"/>
        <v>0</v>
      </c>
      <c r="CG325" s="246"/>
      <c r="CH325" s="229">
        <f t="shared" si="571"/>
        <v>0</v>
      </c>
      <c r="CI325" s="228">
        <v>35</v>
      </c>
      <c r="CJ325" s="229">
        <f t="shared" si="572"/>
        <v>48</v>
      </c>
      <c r="CK325" s="234">
        <f t="shared" si="573"/>
        <v>3.0748170731707316</v>
      </c>
      <c r="CL325" s="234" cm="1">
        <f t="array" ref="CL325">$BM325 * SUMPRODUCT(INDEX($AV$76:$AX$81,,$AI325),INDEX($AY$76:$BE$81,,$AH325), N($AU$76:$AU$81&gt;$AM325)) / CK325 / 1000</f>
        <v>0</v>
      </c>
      <c r="CM325" s="231">
        <f t="shared" si="323"/>
        <v>30</v>
      </c>
      <c r="CN325" s="229">
        <f t="shared" si="574"/>
        <v>43</v>
      </c>
      <c r="CO325" s="234">
        <f t="shared" si="575"/>
        <v>3.5018750000000001</v>
      </c>
      <c r="CP325" s="234" cm="1">
        <f t="array" ref="CP325">$BM325 * IF($AH325&lt;=2,
SUMPRODUCT(INDEX($AV$71:$AX$75,,$AI325), INDEX($AY$71:$BE$75,,$AH325), 1 / ($BF$71:$BF$75*CO325 + (1-$BF$71:$BF$75)*CK325), N($AU$71:$AU$75&gt;$AM325)),
SUMPRODUCT(INDEX($AV$66:$AX$75,,$AI325), INDEX($AY$66:$BE$75,,$AH325), 1 / ($BG$66:$BG$75*CO325 + (1-$BG$66:$BG$75)*CK325), N($AU$66:$AU$75&gt;$AM325))
) / 1000</f>
        <v>0</v>
      </c>
      <c r="CQ325" s="231">
        <f t="shared" si="326"/>
        <v>25</v>
      </c>
      <c r="CR325" s="229">
        <f t="shared" si="576"/>
        <v>38</v>
      </c>
      <c r="CS325" s="234">
        <f t="shared" si="577"/>
        <v>4.0666935483870965</v>
      </c>
      <c r="CT325" s="234" cm="1">
        <f t="array" ref="CT325">$BM325 * IF($AH325&lt;=2,
SUMPRODUCT(INDEX($AV$66:$AX$70,,$AI325), INDEX($AY$66:$BE$70,,$AH325), 1 / ($BF$66:$BF$70*CS325 + (1-$BF$66:$BF$70)*CO325), N($AU$66:$AU$70&gt;$AM325)),
SUMPRODUCT(INDEX($AV$56:$AX$65,,$AI325), INDEX($AY$56:$BE$65,,$AH325), 1 / ($BG$56:$BG$65*CS325 + (1-$BG$56:$BG$65)*CO325), N($AU$56:$AU$65&gt;$AM325))
) / 1000</f>
        <v>0</v>
      </c>
      <c r="CU325" s="231">
        <f t="shared" si="329"/>
        <v>20</v>
      </c>
      <c r="CV325" s="229">
        <f t="shared" si="578"/>
        <v>33</v>
      </c>
      <c r="CW325" s="234">
        <f t="shared" si="579"/>
        <v>4.8487499999999999</v>
      </c>
      <c r="CX325" s="234" cm="1">
        <f t="array" ref="CX325">$BM325 * IF($AH325&lt;=2,
SUMPRODUCT(INDEX($AV$61:$AX$65,,$AI325), INDEX($AY$61:$BE$65,,$AH325), 1 / ($BF$61:$BF$65*CW325 + (1-$BF$61:$BF$65)*CS325), N($AU$61:$AU$65&gt;$AM325)),
SUMPRODUCT(INDEX($AV$46:$AX$55,,$AI325), INDEX($AY$46:$BE$55,,$AH325), 1 / ($BG$46:$BG$55*CW325 + (1-$BG$46:$BG$55)*CS325), N($AU$46:$AU$55&gt;$AM325))
) / 1000</f>
        <v>0</v>
      </c>
      <c r="CY325" s="234" cm="1">
        <f t="array" ref="CY325">$BM325 * IF($AH325&lt;=2,
SUMPRODUCT(INDEX($AV$22:$AX$60,,$AI325), INDEX($AY$22:$BE$60,,$AH325), 1 / ($BF$22:$BF$60*CW325), N($AU$22:$AU$60&gt;$AM325)),
SUMPRODUCT(INDEX($AV$22:$AX$45,,$AI325), INDEX($AY$22:$BE$45,,$AH325), 1 / ($BG$22:$BG$45*CW325), N($AU$22:$AU$45&gt;$AM325))
) / 1000</f>
        <v>0</v>
      </c>
      <c r="CZ325" s="229">
        <f t="shared" si="580"/>
        <v>0</v>
      </c>
      <c r="DA325" s="246"/>
    </row>
    <row r="326" spans="1:105" s="75" customFormat="1" ht="14.25" customHeight="1" x14ac:dyDescent="0.2">
      <c r="A326" s="230" t="b">
        <f t="shared" si="291"/>
        <v>0</v>
      </c>
      <c r="B326" s="253">
        <v>305</v>
      </c>
      <c r="C326" s="266"/>
      <c r="D326" s="266"/>
      <c r="E326" s="254"/>
      <c r="F326" s="255" t="str">
        <f>IF(ISBLANK(E326), "", VLOOKUP(E326, Z!$A$2:$C$4127, 3, FALSE))</f>
        <v/>
      </c>
      <c r="G326" s="256"/>
      <c r="H326" s="256"/>
      <c r="I326" s="256"/>
      <c r="J326" s="257"/>
      <c r="K326" s="258"/>
      <c r="L326" s="267"/>
      <c r="M326" s="268"/>
      <c r="N326" s="259" t="str" cm="1">
        <f t="array" ref="N326">IF($L326&gt;0, INDEX(Clean,1+AK326,$D$1), "")</f>
        <v/>
      </c>
      <c r="O326" s="260"/>
      <c r="P326" s="260"/>
      <c r="Q326" s="261"/>
      <c r="R326" s="264">
        <f t="shared" si="556"/>
        <v>0</v>
      </c>
      <c r="S326" s="259" t="str" cm="1">
        <f t="array" ref="S326">IF($L326&gt;0, INDEX(Clean,1+AL326,$D$1), "")</f>
        <v/>
      </c>
      <c r="T326" s="260"/>
      <c r="U326" s="260"/>
      <c r="V326" s="261"/>
      <c r="W326" s="267"/>
      <c r="X326" s="267"/>
      <c r="Y326" s="257"/>
      <c r="Z326" s="264">
        <f t="shared" si="557"/>
        <v>0</v>
      </c>
      <c r="AA326" s="269"/>
      <c r="AB326" s="266"/>
      <c r="AC326" s="254"/>
      <c r="AD326" s="255" t="str">
        <f>IF(ISBLANK(AC326), "", VLOOKUP(AC326, Z!$A$2:$C$4127, 3, FALSE))</f>
        <v/>
      </c>
      <c r="AE326" s="270"/>
      <c r="AF326" s="265">
        <f t="shared" si="558"/>
        <v>0</v>
      </c>
      <c r="AG326" s="246"/>
      <c r="AH326" s="228">
        <f t="shared" si="581"/>
        <v>1</v>
      </c>
      <c r="AI326" s="228">
        <f t="shared" si="582"/>
        <v>1</v>
      </c>
      <c r="AJ326" s="228">
        <f t="shared" si="583"/>
        <v>0</v>
      </c>
      <c r="AK326" s="228">
        <v>0</v>
      </c>
      <c r="AL326" s="228">
        <v>0</v>
      </c>
      <c r="AM326" s="228">
        <f t="shared" si="559"/>
        <v>-100</v>
      </c>
      <c r="AN326" s="228" cm="1">
        <f t="array" ref="AN326">IF(ISBLANK(G326), 1, IFERROR(MATCH(G326, INDEX(Kat,,1), 0), IFERROR(MATCH(Kat, INDEX(Use,,2), 0), MATCH(Kat, INDEX(Use,,3), 0))))</f>
        <v>1</v>
      </c>
      <c r="AO326" s="246"/>
      <c r="AP326" s="228" cm="1">
        <f t="array" ref="AP326">IF(W326&gt;0, INDEX(Kat, AN326,4), 0)</f>
        <v>0</v>
      </c>
      <c r="AQ326" s="228">
        <f t="shared" si="584"/>
        <v>0</v>
      </c>
      <c r="AR326" s="228" cm="1">
        <f t="array" ref="AR326">IF(X326&gt;0, INDEX(Kat, $AN326, 4+AQ326), 0)</f>
        <v>0</v>
      </c>
      <c r="AS326" s="228" cm="1">
        <f t="array" ref="AS326">IF(X326&gt;0, INDEX(Kat, $AN326, 9+AQ326), 0)</f>
        <v>0</v>
      </c>
      <c r="AT326" s="246"/>
      <c r="AU326" s="262"/>
      <c r="AV326" s="262"/>
      <c r="AW326" s="263"/>
      <c r="AX326" s="263"/>
      <c r="AY326" s="263"/>
      <c r="AZ326" s="263"/>
      <c r="BA326" s="263"/>
      <c r="BB326" s="263"/>
      <c r="BC326" s="263"/>
      <c r="BD326" s="263"/>
      <c r="BE326" s="263"/>
      <c r="BF326" s="263"/>
      <c r="BG326" s="263"/>
      <c r="BH326" s="246"/>
      <c r="BI326" s="228" cm="1">
        <f t="array" ref="BI326">INDEX(Use, $AH326, 4)</f>
        <v>7</v>
      </c>
      <c r="BJ326" s="228">
        <f t="shared" si="560"/>
        <v>32</v>
      </c>
      <c r="BK326" s="228">
        <f t="shared" si="305"/>
        <v>13</v>
      </c>
      <c r="BL326" s="228">
        <f t="shared" si="306"/>
        <v>0</v>
      </c>
      <c r="BM326" s="233" cm="1">
        <f t="array" ref="BM326">L326/IF($M326&gt;0, INDEX($AY$22:$BE$76, $M326+20, $AH326), 1)</f>
        <v>0</v>
      </c>
      <c r="BN326" s="229">
        <f t="shared" si="561"/>
        <v>0</v>
      </c>
      <c r="BO326" s="228">
        <v>35</v>
      </c>
      <c r="BP326" s="229">
        <f t="shared" si="562"/>
        <v>48</v>
      </c>
      <c r="BQ326" s="234">
        <f t="shared" si="563"/>
        <v>3.0748170731707316</v>
      </c>
      <c r="BR326" s="234" cm="1">
        <f t="array" ref="BR326">$BM326 * SUMPRODUCT(INDEX($AV$76:$AX$81,,$AI326),INDEX($AY$76:$BE$81,,$AH326), N($AU$76:$AU$81&gt;$AM326)) / BQ326 / 1000</f>
        <v>0</v>
      </c>
      <c r="BS326" s="231">
        <f t="shared" si="310"/>
        <v>30</v>
      </c>
      <c r="BT326" s="229">
        <f t="shared" si="564"/>
        <v>43</v>
      </c>
      <c r="BU326" s="234">
        <f t="shared" si="565"/>
        <v>3.5018750000000001</v>
      </c>
      <c r="BV326" s="234" cm="1">
        <f t="array" ref="BV326">$BM326 * IF($AH326&lt;=2,
SUMPRODUCT(INDEX($AV$71:$AX$75,,$AI326), INDEX($AY$71:$BE$75,,$AH326), 1 / ($BF$71:$BF$75*BU326 + (1-$BF$71:$BF$75)*BQ326), N($AU$71:$AU$75&gt;$AM326)),
SUMPRODUCT(INDEX($AV$66:$AX$75,,$AI326), INDEX($AY$66:$BE$75,,$AH326), 1 / ($BG$66:$BG$75*BU326 + (1-$BG$66:$BG$75)*BQ326), N($AU$66:$AU$75&gt;$AM326))
) / 1000</f>
        <v>0</v>
      </c>
      <c r="BW326" s="231">
        <f t="shared" si="313"/>
        <v>25</v>
      </c>
      <c r="BX326" s="229">
        <f t="shared" si="566"/>
        <v>38</v>
      </c>
      <c r="BY326" s="234">
        <f t="shared" si="567"/>
        <v>4.0666935483870965</v>
      </c>
      <c r="BZ326" s="234" cm="1">
        <f t="array" ref="BZ326">$BM326 * IF($AH326&lt;=2,
SUMPRODUCT(INDEX($AV$66:$AX$70,,$AI326), INDEX($AY$66:$BE$70,,$AH326), 1 / ($BF$66:$BF$70*BY326 + (1-$BF$66:$BF$70)*BU326), N($AU$66:$AU$70&gt;$AM326)),
SUMPRODUCT(INDEX($AV$56:$AX$65,,$AI326), INDEX($AY$56:$BE$65,,$AH326), 1 / ($BG$56:$BG$65*BY326 + (1-$BG$56:$BG$65)*BU326), N($AU$56:$AU$65&gt;$AM326))
) / 1000</f>
        <v>0</v>
      </c>
      <c r="CA326" s="231">
        <f t="shared" si="316"/>
        <v>20</v>
      </c>
      <c r="CB326" s="229">
        <f t="shared" si="568"/>
        <v>33</v>
      </c>
      <c r="CC326" s="234">
        <f t="shared" si="569"/>
        <v>4.8487499999999999</v>
      </c>
      <c r="CD326" s="234" cm="1">
        <f t="array" ref="CD326">$BM326 * IF($AH326&lt;=2,
SUMPRODUCT(INDEX($AV$61:$AX$65,,$AI326), INDEX($AY$61:$BE$65,,$AH326), 1 / ($BF$61:$BF$65*CC326 + (1-$BF$61:$BF$65)*BY326), N($AU$61:$AU$65&gt;$AM326)),
SUMPRODUCT(INDEX($AV$46:$AX$55,,$AI326), INDEX($AY$46:$BE$55,,$AH326), 1 / ($BG$46:$BG$55*CC326 + (1-$BG$46:$BG$55)*BY326), N($AU$46:$AU$55&gt;$AM326))
) / 1000</f>
        <v>0</v>
      </c>
      <c r="CE326" s="234" cm="1">
        <f t="array" ref="CE326">$BM326 * IF($AH326&lt;=2,
SUMPRODUCT(INDEX($AV$22:$AX$60,,$AI326), INDEX($AY$22:$BE$60,,$AH326), 1 / ($BF$22:$BF$60*CC326), N($AU$22:$AU$60&gt;$AM326)),
SUMPRODUCT(INDEX($AV$22:$AX$45,,$AI326), INDEX($AY$22:$BE$45,,$AH326), 1 / ($BG$22:$BG$45*CC326), N($AU$22:$AU$45&gt;$AM326))
) / 1000</f>
        <v>0</v>
      </c>
      <c r="CF326" s="229">
        <f t="shared" si="570"/>
        <v>0</v>
      </c>
      <c r="CG326" s="246"/>
      <c r="CH326" s="229">
        <f t="shared" si="571"/>
        <v>0</v>
      </c>
      <c r="CI326" s="228">
        <v>35</v>
      </c>
      <c r="CJ326" s="229">
        <f t="shared" si="572"/>
        <v>48</v>
      </c>
      <c r="CK326" s="234">
        <f t="shared" si="573"/>
        <v>3.0748170731707316</v>
      </c>
      <c r="CL326" s="234" cm="1">
        <f t="array" ref="CL326">$BM326 * SUMPRODUCT(INDEX($AV$76:$AX$81,,$AI326),INDEX($AY$76:$BE$81,,$AH326), N($AU$76:$AU$81&gt;$AM326)) / CK326 / 1000</f>
        <v>0</v>
      </c>
      <c r="CM326" s="231">
        <f t="shared" si="323"/>
        <v>30</v>
      </c>
      <c r="CN326" s="229">
        <f t="shared" si="574"/>
        <v>43</v>
      </c>
      <c r="CO326" s="234">
        <f t="shared" si="575"/>
        <v>3.5018750000000001</v>
      </c>
      <c r="CP326" s="234" cm="1">
        <f t="array" ref="CP326">$BM326 * IF($AH326&lt;=2,
SUMPRODUCT(INDEX($AV$71:$AX$75,,$AI326), INDEX($AY$71:$BE$75,,$AH326), 1 / ($BF$71:$BF$75*CO326 + (1-$BF$71:$BF$75)*CK326), N($AU$71:$AU$75&gt;$AM326)),
SUMPRODUCT(INDEX($AV$66:$AX$75,,$AI326), INDEX($AY$66:$BE$75,,$AH326), 1 / ($BG$66:$BG$75*CO326 + (1-$BG$66:$BG$75)*CK326), N($AU$66:$AU$75&gt;$AM326))
) / 1000</f>
        <v>0</v>
      </c>
      <c r="CQ326" s="231">
        <f t="shared" si="326"/>
        <v>25</v>
      </c>
      <c r="CR326" s="229">
        <f t="shared" si="576"/>
        <v>38</v>
      </c>
      <c r="CS326" s="234">
        <f t="shared" si="577"/>
        <v>4.0666935483870965</v>
      </c>
      <c r="CT326" s="234" cm="1">
        <f t="array" ref="CT326">$BM326 * IF($AH326&lt;=2,
SUMPRODUCT(INDEX($AV$66:$AX$70,,$AI326), INDEX($AY$66:$BE$70,,$AH326), 1 / ($BF$66:$BF$70*CS326 + (1-$BF$66:$BF$70)*CO326), N($AU$66:$AU$70&gt;$AM326)),
SUMPRODUCT(INDEX($AV$56:$AX$65,,$AI326), INDEX($AY$56:$BE$65,,$AH326), 1 / ($BG$56:$BG$65*CS326 + (1-$BG$56:$BG$65)*CO326), N($AU$56:$AU$65&gt;$AM326))
) / 1000</f>
        <v>0</v>
      </c>
      <c r="CU326" s="231">
        <f t="shared" si="329"/>
        <v>20</v>
      </c>
      <c r="CV326" s="229">
        <f t="shared" si="578"/>
        <v>33</v>
      </c>
      <c r="CW326" s="234">
        <f t="shared" si="579"/>
        <v>4.8487499999999999</v>
      </c>
      <c r="CX326" s="234" cm="1">
        <f t="array" ref="CX326">$BM326 * IF($AH326&lt;=2,
SUMPRODUCT(INDEX($AV$61:$AX$65,,$AI326), INDEX($AY$61:$BE$65,,$AH326), 1 / ($BF$61:$BF$65*CW326 + (1-$BF$61:$BF$65)*CS326), N($AU$61:$AU$65&gt;$AM326)),
SUMPRODUCT(INDEX($AV$46:$AX$55,,$AI326), INDEX($AY$46:$BE$55,,$AH326), 1 / ($BG$46:$BG$55*CW326 + (1-$BG$46:$BG$55)*CS326), N($AU$46:$AU$55&gt;$AM326))
) / 1000</f>
        <v>0</v>
      </c>
      <c r="CY326" s="234" cm="1">
        <f t="array" ref="CY326">$BM326 * IF($AH326&lt;=2,
SUMPRODUCT(INDEX($AV$22:$AX$60,,$AI326), INDEX($AY$22:$BE$60,,$AH326), 1 / ($BF$22:$BF$60*CW326), N($AU$22:$AU$60&gt;$AM326)),
SUMPRODUCT(INDEX($AV$22:$AX$45,,$AI326), INDEX($AY$22:$BE$45,,$AH326), 1 / ($BG$22:$BG$45*CW326), N($AU$22:$AU$45&gt;$AM326))
) / 1000</f>
        <v>0</v>
      </c>
      <c r="CZ326" s="229">
        <f t="shared" si="580"/>
        <v>0</v>
      </c>
      <c r="DA326" s="246"/>
    </row>
    <row r="327" spans="1:105" s="75" customFormat="1" ht="14.25" customHeight="1" x14ac:dyDescent="0.2">
      <c r="A327" s="230" t="b">
        <f t="shared" si="291"/>
        <v>0</v>
      </c>
      <c r="B327" s="253">
        <v>306</v>
      </c>
      <c r="C327" s="266"/>
      <c r="D327" s="266"/>
      <c r="E327" s="254"/>
      <c r="F327" s="255" t="str">
        <f>IF(ISBLANK(E327), "", VLOOKUP(E327, Z!$A$2:$C$4127, 3, FALSE))</f>
        <v/>
      </c>
      <c r="G327" s="256"/>
      <c r="H327" s="256"/>
      <c r="I327" s="256"/>
      <c r="J327" s="257"/>
      <c r="K327" s="258"/>
      <c r="L327" s="267"/>
      <c r="M327" s="268"/>
      <c r="N327" s="259" t="str" cm="1">
        <f t="array" ref="N327">IF($L327&gt;0, INDEX(Clean,1+AK327,$D$1), "")</f>
        <v/>
      </c>
      <c r="O327" s="260"/>
      <c r="P327" s="260"/>
      <c r="Q327" s="261"/>
      <c r="R327" s="264">
        <f t="shared" si="556"/>
        <v>0</v>
      </c>
      <c r="S327" s="259" t="str" cm="1">
        <f t="array" ref="S327">IF($L327&gt;0, INDEX(Clean,1+AL327,$D$1), "")</f>
        <v/>
      </c>
      <c r="T327" s="260"/>
      <c r="U327" s="260"/>
      <c r="V327" s="261"/>
      <c r="W327" s="267"/>
      <c r="X327" s="267"/>
      <c r="Y327" s="257"/>
      <c r="Z327" s="264">
        <f t="shared" si="557"/>
        <v>0</v>
      </c>
      <c r="AA327" s="269"/>
      <c r="AB327" s="266"/>
      <c r="AC327" s="254"/>
      <c r="AD327" s="255" t="str">
        <f>IF(ISBLANK(AC327), "", VLOOKUP(AC327, Z!$A$2:$C$4127, 3, FALSE))</f>
        <v/>
      </c>
      <c r="AE327" s="270"/>
      <c r="AF327" s="265">
        <f t="shared" si="558"/>
        <v>0</v>
      </c>
      <c r="AG327" s="246"/>
      <c r="AH327" s="228">
        <f t="shared" si="581"/>
        <v>1</v>
      </c>
      <c r="AI327" s="228">
        <f t="shared" si="582"/>
        <v>1</v>
      </c>
      <c r="AJ327" s="228">
        <f t="shared" si="583"/>
        <v>0</v>
      </c>
      <c r="AK327" s="228">
        <v>0</v>
      </c>
      <c r="AL327" s="228">
        <v>0</v>
      </c>
      <c r="AM327" s="228">
        <f t="shared" si="559"/>
        <v>-100</v>
      </c>
      <c r="AN327" s="228" cm="1">
        <f t="array" ref="AN327">IF(ISBLANK(G327), 1, IFERROR(MATCH(G327, INDEX(Kat,,1), 0), IFERROR(MATCH(Kat, INDEX(Use,,2), 0), MATCH(Kat, INDEX(Use,,3), 0))))</f>
        <v>1</v>
      </c>
      <c r="AO327" s="246"/>
      <c r="AP327" s="228" cm="1">
        <f t="array" ref="AP327">IF(W327&gt;0, INDEX(Kat, AN327,4), 0)</f>
        <v>0</v>
      </c>
      <c r="AQ327" s="228">
        <f t="shared" si="584"/>
        <v>0</v>
      </c>
      <c r="AR327" s="228" cm="1">
        <f t="array" ref="AR327">IF(X327&gt;0, INDEX(Kat, $AN327, 4+AQ327), 0)</f>
        <v>0</v>
      </c>
      <c r="AS327" s="228" cm="1">
        <f t="array" ref="AS327">IF(X327&gt;0, INDEX(Kat, $AN327, 9+AQ327), 0)</f>
        <v>0</v>
      </c>
      <c r="AT327" s="246"/>
      <c r="AU327" s="262"/>
      <c r="AV327" s="262"/>
      <c r="AW327" s="263"/>
      <c r="AX327" s="263"/>
      <c r="AY327" s="263"/>
      <c r="AZ327" s="263"/>
      <c r="BA327" s="263"/>
      <c r="BB327" s="263"/>
      <c r="BC327" s="263"/>
      <c r="BD327" s="263"/>
      <c r="BE327" s="263"/>
      <c r="BF327" s="263"/>
      <c r="BG327" s="263"/>
      <c r="BH327" s="246"/>
      <c r="BI327" s="228" cm="1">
        <f t="array" ref="BI327">INDEX(Use, $AH327, 4)</f>
        <v>7</v>
      </c>
      <c r="BJ327" s="228">
        <f t="shared" si="560"/>
        <v>32</v>
      </c>
      <c r="BK327" s="228">
        <f t="shared" si="305"/>
        <v>13</v>
      </c>
      <c r="BL327" s="228">
        <f t="shared" si="306"/>
        <v>0</v>
      </c>
      <c r="BM327" s="233" cm="1">
        <f t="array" ref="BM327">L327/IF($M327&gt;0, INDEX($AY$22:$BE$76, $M327+20, $AH327), 1)</f>
        <v>0</v>
      </c>
      <c r="BN327" s="229">
        <f t="shared" si="561"/>
        <v>0</v>
      </c>
      <c r="BO327" s="228">
        <v>35</v>
      </c>
      <c r="BP327" s="229">
        <f t="shared" si="562"/>
        <v>48</v>
      </c>
      <c r="BQ327" s="234">
        <f t="shared" si="563"/>
        <v>3.0748170731707316</v>
      </c>
      <c r="BR327" s="234" cm="1">
        <f t="array" ref="BR327">$BM327 * SUMPRODUCT(INDEX($AV$76:$AX$81,,$AI327),INDEX($AY$76:$BE$81,,$AH327), N($AU$76:$AU$81&gt;$AM327)) / BQ327 / 1000</f>
        <v>0</v>
      </c>
      <c r="BS327" s="231">
        <f t="shared" si="310"/>
        <v>30</v>
      </c>
      <c r="BT327" s="229">
        <f t="shared" si="564"/>
        <v>43</v>
      </c>
      <c r="BU327" s="234">
        <f t="shared" si="565"/>
        <v>3.5018750000000001</v>
      </c>
      <c r="BV327" s="234" cm="1">
        <f t="array" ref="BV327">$BM327 * IF($AH327&lt;=2,
SUMPRODUCT(INDEX($AV$71:$AX$75,,$AI327), INDEX($AY$71:$BE$75,,$AH327), 1 / ($BF$71:$BF$75*BU327 + (1-$BF$71:$BF$75)*BQ327), N($AU$71:$AU$75&gt;$AM327)),
SUMPRODUCT(INDEX($AV$66:$AX$75,,$AI327), INDEX($AY$66:$BE$75,,$AH327), 1 / ($BG$66:$BG$75*BU327 + (1-$BG$66:$BG$75)*BQ327), N($AU$66:$AU$75&gt;$AM327))
) / 1000</f>
        <v>0</v>
      </c>
      <c r="BW327" s="231">
        <f t="shared" si="313"/>
        <v>25</v>
      </c>
      <c r="BX327" s="229">
        <f t="shared" si="566"/>
        <v>38</v>
      </c>
      <c r="BY327" s="234">
        <f t="shared" si="567"/>
        <v>4.0666935483870965</v>
      </c>
      <c r="BZ327" s="234" cm="1">
        <f t="array" ref="BZ327">$BM327 * IF($AH327&lt;=2,
SUMPRODUCT(INDEX($AV$66:$AX$70,,$AI327), INDEX($AY$66:$BE$70,,$AH327), 1 / ($BF$66:$BF$70*BY327 + (1-$BF$66:$BF$70)*BU327), N($AU$66:$AU$70&gt;$AM327)),
SUMPRODUCT(INDEX($AV$56:$AX$65,,$AI327), INDEX($AY$56:$BE$65,,$AH327), 1 / ($BG$56:$BG$65*BY327 + (1-$BG$56:$BG$65)*BU327), N($AU$56:$AU$65&gt;$AM327))
) / 1000</f>
        <v>0</v>
      </c>
      <c r="CA327" s="231">
        <f t="shared" si="316"/>
        <v>20</v>
      </c>
      <c r="CB327" s="229">
        <f t="shared" si="568"/>
        <v>33</v>
      </c>
      <c r="CC327" s="234">
        <f t="shared" si="569"/>
        <v>4.8487499999999999</v>
      </c>
      <c r="CD327" s="234" cm="1">
        <f t="array" ref="CD327">$BM327 * IF($AH327&lt;=2,
SUMPRODUCT(INDEX($AV$61:$AX$65,,$AI327), INDEX($AY$61:$BE$65,,$AH327), 1 / ($BF$61:$BF$65*CC327 + (1-$BF$61:$BF$65)*BY327), N($AU$61:$AU$65&gt;$AM327)),
SUMPRODUCT(INDEX($AV$46:$AX$55,,$AI327), INDEX($AY$46:$BE$55,,$AH327), 1 / ($BG$46:$BG$55*CC327 + (1-$BG$46:$BG$55)*BY327), N($AU$46:$AU$55&gt;$AM327))
) / 1000</f>
        <v>0</v>
      </c>
      <c r="CE327" s="234" cm="1">
        <f t="array" ref="CE327">$BM327 * IF($AH327&lt;=2,
SUMPRODUCT(INDEX($AV$22:$AX$60,,$AI327), INDEX($AY$22:$BE$60,,$AH327), 1 / ($BF$22:$BF$60*CC327), N($AU$22:$AU$60&gt;$AM327)),
SUMPRODUCT(INDEX($AV$22:$AX$45,,$AI327), INDEX($AY$22:$BE$45,,$AH327), 1 / ($BG$22:$BG$45*CC327), N($AU$22:$AU$45&gt;$AM327))
) / 1000</f>
        <v>0</v>
      </c>
      <c r="CF327" s="229">
        <f t="shared" si="570"/>
        <v>0</v>
      </c>
      <c r="CG327" s="246"/>
      <c r="CH327" s="229">
        <f t="shared" si="571"/>
        <v>0</v>
      </c>
      <c r="CI327" s="228">
        <v>35</v>
      </c>
      <c r="CJ327" s="229">
        <f t="shared" si="572"/>
        <v>48</v>
      </c>
      <c r="CK327" s="234">
        <f t="shared" si="573"/>
        <v>3.0748170731707316</v>
      </c>
      <c r="CL327" s="234" cm="1">
        <f t="array" ref="CL327">$BM327 * SUMPRODUCT(INDEX($AV$76:$AX$81,,$AI327),INDEX($AY$76:$BE$81,,$AH327), N($AU$76:$AU$81&gt;$AM327)) / CK327 / 1000</f>
        <v>0</v>
      </c>
      <c r="CM327" s="231">
        <f t="shared" si="323"/>
        <v>30</v>
      </c>
      <c r="CN327" s="229">
        <f t="shared" si="574"/>
        <v>43</v>
      </c>
      <c r="CO327" s="234">
        <f t="shared" si="575"/>
        <v>3.5018750000000001</v>
      </c>
      <c r="CP327" s="234" cm="1">
        <f t="array" ref="CP327">$BM327 * IF($AH327&lt;=2,
SUMPRODUCT(INDEX($AV$71:$AX$75,,$AI327), INDEX($AY$71:$BE$75,,$AH327), 1 / ($BF$71:$BF$75*CO327 + (1-$BF$71:$BF$75)*CK327), N($AU$71:$AU$75&gt;$AM327)),
SUMPRODUCT(INDEX($AV$66:$AX$75,,$AI327), INDEX($AY$66:$BE$75,,$AH327), 1 / ($BG$66:$BG$75*CO327 + (1-$BG$66:$BG$75)*CK327), N($AU$66:$AU$75&gt;$AM327))
) / 1000</f>
        <v>0</v>
      </c>
      <c r="CQ327" s="231">
        <f t="shared" si="326"/>
        <v>25</v>
      </c>
      <c r="CR327" s="229">
        <f t="shared" si="576"/>
        <v>38</v>
      </c>
      <c r="CS327" s="234">
        <f t="shared" si="577"/>
        <v>4.0666935483870965</v>
      </c>
      <c r="CT327" s="234" cm="1">
        <f t="array" ref="CT327">$BM327 * IF($AH327&lt;=2,
SUMPRODUCT(INDEX($AV$66:$AX$70,,$AI327), INDEX($AY$66:$BE$70,,$AH327), 1 / ($BF$66:$BF$70*CS327 + (1-$BF$66:$BF$70)*CO327), N($AU$66:$AU$70&gt;$AM327)),
SUMPRODUCT(INDEX($AV$56:$AX$65,,$AI327), INDEX($AY$56:$BE$65,,$AH327), 1 / ($BG$56:$BG$65*CS327 + (1-$BG$56:$BG$65)*CO327), N($AU$56:$AU$65&gt;$AM327))
) / 1000</f>
        <v>0</v>
      </c>
      <c r="CU327" s="231">
        <f t="shared" si="329"/>
        <v>20</v>
      </c>
      <c r="CV327" s="229">
        <f t="shared" si="578"/>
        <v>33</v>
      </c>
      <c r="CW327" s="234">
        <f t="shared" si="579"/>
        <v>4.8487499999999999</v>
      </c>
      <c r="CX327" s="234" cm="1">
        <f t="array" ref="CX327">$BM327 * IF($AH327&lt;=2,
SUMPRODUCT(INDEX($AV$61:$AX$65,,$AI327), INDEX($AY$61:$BE$65,,$AH327), 1 / ($BF$61:$BF$65*CW327 + (1-$BF$61:$BF$65)*CS327), N($AU$61:$AU$65&gt;$AM327)),
SUMPRODUCT(INDEX($AV$46:$AX$55,,$AI327), INDEX($AY$46:$BE$55,,$AH327), 1 / ($BG$46:$BG$55*CW327 + (1-$BG$46:$BG$55)*CS327), N($AU$46:$AU$55&gt;$AM327))
) / 1000</f>
        <v>0</v>
      </c>
      <c r="CY327" s="234" cm="1">
        <f t="array" ref="CY327">$BM327 * IF($AH327&lt;=2,
SUMPRODUCT(INDEX($AV$22:$AX$60,,$AI327), INDEX($AY$22:$BE$60,,$AH327), 1 / ($BF$22:$BF$60*CW327), N($AU$22:$AU$60&gt;$AM327)),
SUMPRODUCT(INDEX($AV$22:$AX$45,,$AI327), INDEX($AY$22:$BE$45,,$AH327), 1 / ($BG$22:$BG$45*CW327), N($AU$22:$AU$45&gt;$AM327))
) / 1000</f>
        <v>0</v>
      </c>
      <c r="CZ327" s="229">
        <f t="shared" si="580"/>
        <v>0</v>
      </c>
      <c r="DA327" s="246"/>
    </row>
    <row r="328" spans="1:105" s="75" customFormat="1" ht="14.25" customHeight="1" x14ac:dyDescent="0.2">
      <c r="A328" s="230" t="b">
        <f t="shared" si="291"/>
        <v>0</v>
      </c>
      <c r="B328" s="253">
        <v>307</v>
      </c>
      <c r="C328" s="266"/>
      <c r="D328" s="266"/>
      <c r="E328" s="254"/>
      <c r="F328" s="255" t="str">
        <f>IF(ISBLANK(E328), "", VLOOKUP(E328, Z!$A$2:$C$4127, 3, FALSE))</f>
        <v/>
      </c>
      <c r="G328" s="256"/>
      <c r="H328" s="256"/>
      <c r="I328" s="256"/>
      <c r="J328" s="257"/>
      <c r="K328" s="258"/>
      <c r="L328" s="267"/>
      <c r="M328" s="268"/>
      <c r="N328" s="259" t="str" cm="1">
        <f t="array" ref="N328">IF($L328&gt;0, INDEX(Clean,1+AK328,$D$1), "")</f>
        <v/>
      </c>
      <c r="O328" s="260"/>
      <c r="P328" s="260"/>
      <c r="Q328" s="261"/>
      <c r="R328" s="264">
        <f t="shared" si="556"/>
        <v>0</v>
      </c>
      <c r="S328" s="259" t="str" cm="1">
        <f t="array" ref="S328">IF($L328&gt;0, INDEX(Clean,1+AL328,$D$1), "")</f>
        <v/>
      </c>
      <c r="T328" s="260"/>
      <c r="U328" s="260"/>
      <c r="V328" s="261"/>
      <c r="W328" s="267"/>
      <c r="X328" s="267"/>
      <c r="Y328" s="257"/>
      <c r="Z328" s="264">
        <f t="shared" si="557"/>
        <v>0</v>
      </c>
      <c r="AA328" s="269"/>
      <c r="AB328" s="266"/>
      <c r="AC328" s="254"/>
      <c r="AD328" s="255" t="str">
        <f>IF(ISBLANK(AC328), "", VLOOKUP(AC328, Z!$A$2:$C$4127, 3, FALSE))</f>
        <v/>
      </c>
      <c r="AE328" s="270"/>
      <c r="AF328" s="265">
        <f t="shared" si="558"/>
        <v>0</v>
      </c>
      <c r="AG328" s="246"/>
      <c r="AH328" s="228">
        <f t="shared" si="581"/>
        <v>1</v>
      </c>
      <c r="AI328" s="228">
        <f t="shared" si="582"/>
        <v>1</v>
      </c>
      <c r="AJ328" s="228">
        <f t="shared" si="583"/>
        <v>0</v>
      </c>
      <c r="AK328" s="228">
        <v>0</v>
      </c>
      <c r="AL328" s="228">
        <v>0</v>
      </c>
      <c r="AM328" s="228">
        <f t="shared" si="559"/>
        <v>-100</v>
      </c>
      <c r="AN328" s="228" cm="1">
        <f t="array" ref="AN328">IF(ISBLANK(G328), 1, IFERROR(MATCH(G328, INDEX(Kat,,1), 0), IFERROR(MATCH(Kat, INDEX(Use,,2), 0), MATCH(Kat, INDEX(Use,,3), 0))))</f>
        <v>1</v>
      </c>
      <c r="AO328" s="246"/>
      <c r="AP328" s="228" cm="1">
        <f t="array" ref="AP328">IF(W328&gt;0, INDEX(Kat, AN328,4), 0)</f>
        <v>0</v>
      </c>
      <c r="AQ328" s="228">
        <f t="shared" si="584"/>
        <v>0</v>
      </c>
      <c r="AR328" s="228" cm="1">
        <f t="array" ref="AR328">IF(X328&gt;0, INDEX(Kat, $AN328, 4+AQ328), 0)</f>
        <v>0</v>
      </c>
      <c r="AS328" s="228" cm="1">
        <f t="array" ref="AS328">IF(X328&gt;0, INDEX(Kat, $AN328, 9+AQ328), 0)</f>
        <v>0</v>
      </c>
      <c r="AT328" s="246"/>
      <c r="AU328" s="262"/>
      <c r="AV328" s="262"/>
      <c r="AW328" s="263"/>
      <c r="AX328" s="263"/>
      <c r="AY328" s="263"/>
      <c r="AZ328" s="263"/>
      <c r="BA328" s="263"/>
      <c r="BB328" s="263"/>
      <c r="BC328" s="263"/>
      <c r="BD328" s="263"/>
      <c r="BE328" s="263"/>
      <c r="BF328" s="263"/>
      <c r="BG328" s="263"/>
      <c r="BH328" s="246"/>
      <c r="BI328" s="228" cm="1">
        <f t="array" ref="BI328">INDEX(Use, $AH328, 4)</f>
        <v>7</v>
      </c>
      <c r="BJ328" s="228">
        <f t="shared" si="560"/>
        <v>32</v>
      </c>
      <c r="BK328" s="228">
        <f t="shared" si="305"/>
        <v>13</v>
      </c>
      <c r="BL328" s="228">
        <f t="shared" si="306"/>
        <v>0</v>
      </c>
      <c r="BM328" s="233" cm="1">
        <f t="array" ref="BM328">L328/IF($M328&gt;0, INDEX($AY$22:$BE$76, $M328+20, $AH328), 1)</f>
        <v>0</v>
      </c>
      <c r="BN328" s="229">
        <f t="shared" si="561"/>
        <v>0</v>
      </c>
      <c r="BO328" s="228">
        <v>35</v>
      </c>
      <c r="BP328" s="229">
        <f t="shared" si="562"/>
        <v>48</v>
      </c>
      <c r="BQ328" s="234">
        <f t="shared" si="563"/>
        <v>3.0748170731707316</v>
      </c>
      <c r="BR328" s="234" cm="1">
        <f t="array" ref="BR328">$BM328 * SUMPRODUCT(INDEX($AV$76:$AX$81,,$AI328),INDEX($AY$76:$BE$81,,$AH328), N($AU$76:$AU$81&gt;$AM328)) / BQ328 / 1000</f>
        <v>0</v>
      </c>
      <c r="BS328" s="231">
        <f t="shared" si="310"/>
        <v>30</v>
      </c>
      <c r="BT328" s="229">
        <f t="shared" si="564"/>
        <v>43</v>
      </c>
      <c r="BU328" s="234">
        <f t="shared" si="565"/>
        <v>3.5018750000000001</v>
      </c>
      <c r="BV328" s="234" cm="1">
        <f t="array" ref="BV328">$BM328 * IF($AH328&lt;=2,
SUMPRODUCT(INDEX($AV$71:$AX$75,,$AI328), INDEX($AY$71:$BE$75,,$AH328), 1 / ($BF$71:$BF$75*BU328 + (1-$BF$71:$BF$75)*BQ328), N($AU$71:$AU$75&gt;$AM328)),
SUMPRODUCT(INDEX($AV$66:$AX$75,,$AI328), INDEX($AY$66:$BE$75,,$AH328), 1 / ($BG$66:$BG$75*BU328 + (1-$BG$66:$BG$75)*BQ328), N($AU$66:$AU$75&gt;$AM328))
) / 1000</f>
        <v>0</v>
      </c>
      <c r="BW328" s="231">
        <f t="shared" si="313"/>
        <v>25</v>
      </c>
      <c r="BX328" s="229">
        <f t="shared" si="566"/>
        <v>38</v>
      </c>
      <c r="BY328" s="234">
        <f t="shared" si="567"/>
        <v>4.0666935483870965</v>
      </c>
      <c r="BZ328" s="234" cm="1">
        <f t="array" ref="BZ328">$BM328 * IF($AH328&lt;=2,
SUMPRODUCT(INDEX($AV$66:$AX$70,,$AI328), INDEX($AY$66:$BE$70,,$AH328), 1 / ($BF$66:$BF$70*BY328 + (1-$BF$66:$BF$70)*BU328), N($AU$66:$AU$70&gt;$AM328)),
SUMPRODUCT(INDEX($AV$56:$AX$65,,$AI328), INDEX($AY$56:$BE$65,,$AH328), 1 / ($BG$56:$BG$65*BY328 + (1-$BG$56:$BG$65)*BU328), N($AU$56:$AU$65&gt;$AM328))
) / 1000</f>
        <v>0</v>
      </c>
      <c r="CA328" s="231">
        <f t="shared" si="316"/>
        <v>20</v>
      </c>
      <c r="CB328" s="229">
        <f t="shared" si="568"/>
        <v>33</v>
      </c>
      <c r="CC328" s="234">
        <f t="shared" si="569"/>
        <v>4.8487499999999999</v>
      </c>
      <c r="CD328" s="234" cm="1">
        <f t="array" ref="CD328">$BM328 * IF($AH328&lt;=2,
SUMPRODUCT(INDEX($AV$61:$AX$65,,$AI328), INDEX($AY$61:$BE$65,,$AH328), 1 / ($BF$61:$BF$65*CC328 + (1-$BF$61:$BF$65)*BY328), N($AU$61:$AU$65&gt;$AM328)),
SUMPRODUCT(INDEX($AV$46:$AX$55,,$AI328), INDEX($AY$46:$BE$55,,$AH328), 1 / ($BG$46:$BG$55*CC328 + (1-$BG$46:$BG$55)*BY328), N($AU$46:$AU$55&gt;$AM328))
) / 1000</f>
        <v>0</v>
      </c>
      <c r="CE328" s="234" cm="1">
        <f t="array" ref="CE328">$BM328 * IF($AH328&lt;=2,
SUMPRODUCT(INDEX($AV$22:$AX$60,,$AI328), INDEX($AY$22:$BE$60,,$AH328), 1 / ($BF$22:$BF$60*CC328), N($AU$22:$AU$60&gt;$AM328)),
SUMPRODUCT(INDEX($AV$22:$AX$45,,$AI328), INDEX($AY$22:$BE$45,,$AH328), 1 / ($BG$22:$BG$45*CC328), N($AU$22:$AU$45&gt;$AM328))
) / 1000</f>
        <v>0</v>
      </c>
      <c r="CF328" s="229">
        <f t="shared" si="570"/>
        <v>0</v>
      </c>
      <c r="CG328" s="246"/>
      <c r="CH328" s="229">
        <f t="shared" si="571"/>
        <v>0</v>
      </c>
      <c r="CI328" s="228">
        <v>35</v>
      </c>
      <c r="CJ328" s="229">
        <f t="shared" si="572"/>
        <v>48</v>
      </c>
      <c r="CK328" s="234">
        <f t="shared" si="573"/>
        <v>3.0748170731707316</v>
      </c>
      <c r="CL328" s="234" cm="1">
        <f t="array" ref="CL328">$BM328 * SUMPRODUCT(INDEX($AV$76:$AX$81,,$AI328),INDEX($AY$76:$BE$81,,$AH328), N($AU$76:$AU$81&gt;$AM328)) / CK328 / 1000</f>
        <v>0</v>
      </c>
      <c r="CM328" s="231">
        <f t="shared" si="323"/>
        <v>30</v>
      </c>
      <c r="CN328" s="229">
        <f t="shared" si="574"/>
        <v>43</v>
      </c>
      <c r="CO328" s="234">
        <f t="shared" si="575"/>
        <v>3.5018750000000001</v>
      </c>
      <c r="CP328" s="234" cm="1">
        <f t="array" ref="CP328">$BM328 * IF($AH328&lt;=2,
SUMPRODUCT(INDEX($AV$71:$AX$75,,$AI328), INDEX($AY$71:$BE$75,,$AH328), 1 / ($BF$71:$BF$75*CO328 + (1-$BF$71:$BF$75)*CK328), N($AU$71:$AU$75&gt;$AM328)),
SUMPRODUCT(INDEX($AV$66:$AX$75,,$AI328), INDEX($AY$66:$BE$75,,$AH328), 1 / ($BG$66:$BG$75*CO328 + (1-$BG$66:$BG$75)*CK328), N($AU$66:$AU$75&gt;$AM328))
) / 1000</f>
        <v>0</v>
      </c>
      <c r="CQ328" s="231">
        <f t="shared" si="326"/>
        <v>25</v>
      </c>
      <c r="CR328" s="229">
        <f t="shared" si="576"/>
        <v>38</v>
      </c>
      <c r="CS328" s="234">
        <f t="shared" si="577"/>
        <v>4.0666935483870965</v>
      </c>
      <c r="CT328" s="234" cm="1">
        <f t="array" ref="CT328">$BM328 * IF($AH328&lt;=2,
SUMPRODUCT(INDEX($AV$66:$AX$70,,$AI328), INDEX($AY$66:$BE$70,,$AH328), 1 / ($BF$66:$BF$70*CS328 + (1-$BF$66:$BF$70)*CO328), N($AU$66:$AU$70&gt;$AM328)),
SUMPRODUCT(INDEX($AV$56:$AX$65,,$AI328), INDEX($AY$56:$BE$65,,$AH328), 1 / ($BG$56:$BG$65*CS328 + (1-$BG$56:$BG$65)*CO328), N($AU$56:$AU$65&gt;$AM328))
) / 1000</f>
        <v>0</v>
      </c>
      <c r="CU328" s="231">
        <f t="shared" si="329"/>
        <v>20</v>
      </c>
      <c r="CV328" s="229">
        <f t="shared" si="578"/>
        <v>33</v>
      </c>
      <c r="CW328" s="234">
        <f t="shared" si="579"/>
        <v>4.8487499999999999</v>
      </c>
      <c r="CX328" s="234" cm="1">
        <f t="array" ref="CX328">$BM328 * IF($AH328&lt;=2,
SUMPRODUCT(INDEX($AV$61:$AX$65,,$AI328), INDEX($AY$61:$BE$65,,$AH328), 1 / ($BF$61:$BF$65*CW328 + (1-$BF$61:$BF$65)*CS328), N($AU$61:$AU$65&gt;$AM328)),
SUMPRODUCT(INDEX($AV$46:$AX$55,,$AI328), INDEX($AY$46:$BE$55,,$AH328), 1 / ($BG$46:$BG$55*CW328 + (1-$BG$46:$BG$55)*CS328), N($AU$46:$AU$55&gt;$AM328))
) / 1000</f>
        <v>0</v>
      </c>
      <c r="CY328" s="234" cm="1">
        <f t="array" ref="CY328">$BM328 * IF($AH328&lt;=2,
SUMPRODUCT(INDEX($AV$22:$AX$60,,$AI328), INDEX($AY$22:$BE$60,,$AH328), 1 / ($BF$22:$BF$60*CW328), N($AU$22:$AU$60&gt;$AM328)),
SUMPRODUCT(INDEX($AV$22:$AX$45,,$AI328), INDEX($AY$22:$BE$45,,$AH328), 1 / ($BG$22:$BG$45*CW328), N($AU$22:$AU$45&gt;$AM328))
) / 1000</f>
        <v>0</v>
      </c>
      <c r="CZ328" s="229">
        <f t="shared" si="580"/>
        <v>0</v>
      </c>
      <c r="DA328" s="246"/>
    </row>
    <row r="329" spans="1:105" s="75" customFormat="1" ht="14.25" customHeight="1" x14ac:dyDescent="0.2">
      <c r="A329" s="230" t="b">
        <f t="shared" si="291"/>
        <v>0</v>
      </c>
      <c r="B329" s="253">
        <v>308</v>
      </c>
      <c r="C329" s="266"/>
      <c r="D329" s="266"/>
      <c r="E329" s="254"/>
      <c r="F329" s="255" t="str">
        <f>IF(ISBLANK(E329), "", VLOOKUP(E329, Z!$A$2:$C$4127, 3, FALSE))</f>
        <v/>
      </c>
      <c r="G329" s="256"/>
      <c r="H329" s="256"/>
      <c r="I329" s="256"/>
      <c r="J329" s="257"/>
      <c r="K329" s="258"/>
      <c r="L329" s="267"/>
      <c r="M329" s="268"/>
      <c r="N329" s="259" t="str" cm="1">
        <f t="array" ref="N329">IF($L329&gt;0, INDEX(Clean,1+AK329,$D$1), "")</f>
        <v/>
      </c>
      <c r="O329" s="260"/>
      <c r="P329" s="260"/>
      <c r="Q329" s="261"/>
      <c r="R329" s="264">
        <f t="shared" si="556"/>
        <v>0</v>
      </c>
      <c r="S329" s="259" t="str" cm="1">
        <f t="array" ref="S329">IF($L329&gt;0, INDEX(Clean,1+AL329,$D$1), "")</f>
        <v/>
      </c>
      <c r="T329" s="260"/>
      <c r="U329" s="260"/>
      <c r="V329" s="261"/>
      <c r="W329" s="267"/>
      <c r="X329" s="267"/>
      <c r="Y329" s="257"/>
      <c r="Z329" s="264">
        <f t="shared" si="557"/>
        <v>0</v>
      </c>
      <c r="AA329" s="269"/>
      <c r="AB329" s="266"/>
      <c r="AC329" s="254"/>
      <c r="AD329" s="255" t="str">
        <f>IF(ISBLANK(AC329), "", VLOOKUP(AC329, Z!$A$2:$C$4127, 3, FALSE))</f>
        <v/>
      </c>
      <c r="AE329" s="270"/>
      <c r="AF329" s="265">
        <f t="shared" si="558"/>
        <v>0</v>
      </c>
      <c r="AG329" s="246"/>
      <c r="AH329" s="228">
        <f t="shared" si="581"/>
        <v>1</v>
      </c>
      <c r="AI329" s="228">
        <f t="shared" si="582"/>
        <v>1</v>
      </c>
      <c r="AJ329" s="228">
        <f t="shared" si="583"/>
        <v>0</v>
      </c>
      <c r="AK329" s="228">
        <v>0</v>
      </c>
      <c r="AL329" s="228">
        <v>0</v>
      </c>
      <c r="AM329" s="228">
        <f t="shared" si="559"/>
        <v>-100</v>
      </c>
      <c r="AN329" s="228" cm="1">
        <f t="array" ref="AN329">IF(ISBLANK(G329), 1, IFERROR(MATCH(G329, INDEX(Kat,,1), 0), IFERROR(MATCH(Kat, INDEX(Use,,2), 0), MATCH(Kat, INDEX(Use,,3), 0))))</f>
        <v>1</v>
      </c>
      <c r="AO329" s="246"/>
      <c r="AP329" s="228" cm="1">
        <f t="array" ref="AP329">IF(W329&gt;0, INDEX(Kat, AN329,4), 0)</f>
        <v>0</v>
      </c>
      <c r="AQ329" s="228">
        <f t="shared" si="584"/>
        <v>0</v>
      </c>
      <c r="AR329" s="228" cm="1">
        <f t="array" ref="AR329">IF(X329&gt;0, INDEX(Kat, $AN329, 4+AQ329), 0)</f>
        <v>0</v>
      </c>
      <c r="AS329" s="228" cm="1">
        <f t="array" ref="AS329">IF(X329&gt;0, INDEX(Kat, $AN329, 9+AQ329), 0)</f>
        <v>0</v>
      </c>
      <c r="AT329" s="246"/>
      <c r="AU329" s="262"/>
      <c r="AV329" s="262"/>
      <c r="AW329" s="263"/>
      <c r="AX329" s="263"/>
      <c r="AY329" s="263"/>
      <c r="AZ329" s="263"/>
      <c r="BA329" s="263"/>
      <c r="BB329" s="263"/>
      <c r="BC329" s="263"/>
      <c r="BD329" s="263"/>
      <c r="BE329" s="263"/>
      <c r="BF329" s="263"/>
      <c r="BG329" s="263"/>
      <c r="BH329" s="246"/>
      <c r="BI329" s="228" cm="1">
        <f t="array" ref="BI329">INDEX(Use, $AH329, 4)</f>
        <v>7</v>
      </c>
      <c r="BJ329" s="228">
        <f t="shared" si="560"/>
        <v>32</v>
      </c>
      <c r="BK329" s="228">
        <f t="shared" si="305"/>
        <v>13</v>
      </c>
      <c r="BL329" s="228">
        <f t="shared" si="306"/>
        <v>0</v>
      </c>
      <c r="BM329" s="233" cm="1">
        <f t="array" ref="BM329">L329/IF($M329&gt;0, INDEX($AY$22:$BE$76, $M329+20, $AH329), 1)</f>
        <v>0</v>
      </c>
      <c r="BN329" s="229">
        <f t="shared" si="561"/>
        <v>0</v>
      </c>
      <c r="BO329" s="228">
        <v>35</v>
      </c>
      <c r="BP329" s="229">
        <f t="shared" si="562"/>
        <v>48</v>
      </c>
      <c r="BQ329" s="234">
        <f t="shared" si="563"/>
        <v>3.0748170731707316</v>
      </c>
      <c r="BR329" s="234" cm="1">
        <f t="array" ref="BR329">$BM329 * SUMPRODUCT(INDEX($AV$76:$AX$81,,$AI329),INDEX($AY$76:$BE$81,,$AH329), N($AU$76:$AU$81&gt;$AM329)) / BQ329 / 1000</f>
        <v>0</v>
      </c>
      <c r="BS329" s="231">
        <f t="shared" si="310"/>
        <v>30</v>
      </c>
      <c r="BT329" s="229">
        <f t="shared" si="564"/>
        <v>43</v>
      </c>
      <c r="BU329" s="234">
        <f t="shared" si="565"/>
        <v>3.5018750000000001</v>
      </c>
      <c r="BV329" s="234" cm="1">
        <f t="array" ref="BV329">$BM329 * IF($AH329&lt;=2,
SUMPRODUCT(INDEX($AV$71:$AX$75,,$AI329), INDEX($AY$71:$BE$75,,$AH329), 1 / ($BF$71:$BF$75*BU329 + (1-$BF$71:$BF$75)*BQ329), N($AU$71:$AU$75&gt;$AM329)),
SUMPRODUCT(INDEX($AV$66:$AX$75,,$AI329), INDEX($AY$66:$BE$75,,$AH329), 1 / ($BG$66:$BG$75*BU329 + (1-$BG$66:$BG$75)*BQ329), N($AU$66:$AU$75&gt;$AM329))
) / 1000</f>
        <v>0</v>
      </c>
      <c r="BW329" s="231">
        <f t="shared" si="313"/>
        <v>25</v>
      </c>
      <c r="BX329" s="229">
        <f t="shared" si="566"/>
        <v>38</v>
      </c>
      <c r="BY329" s="234">
        <f t="shared" si="567"/>
        <v>4.0666935483870965</v>
      </c>
      <c r="BZ329" s="234" cm="1">
        <f t="array" ref="BZ329">$BM329 * IF($AH329&lt;=2,
SUMPRODUCT(INDEX($AV$66:$AX$70,,$AI329), INDEX($AY$66:$BE$70,,$AH329), 1 / ($BF$66:$BF$70*BY329 + (1-$BF$66:$BF$70)*BU329), N($AU$66:$AU$70&gt;$AM329)),
SUMPRODUCT(INDEX($AV$56:$AX$65,,$AI329), INDEX($AY$56:$BE$65,,$AH329), 1 / ($BG$56:$BG$65*BY329 + (1-$BG$56:$BG$65)*BU329), N($AU$56:$AU$65&gt;$AM329))
) / 1000</f>
        <v>0</v>
      </c>
      <c r="CA329" s="231">
        <f t="shared" si="316"/>
        <v>20</v>
      </c>
      <c r="CB329" s="229">
        <f t="shared" si="568"/>
        <v>33</v>
      </c>
      <c r="CC329" s="234">
        <f t="shared" si="569"/>
        <v>4.8487499999999999</v>
      </c>
      <c r="CD329" s="234" cm="1">
        <f t="array" ref="CD329">$BM329 * IF($AH329&lt;=2,
SUMPRODUCT(INDEX($AV$61:$AX$65,,$AI329), INDEX($AY$61:$BE$65,,$AH329), 1 / ($BF$61:$BF$65*CC329 + (1-$BF$61:$BF$65)*BY329), N($AU$61:$AU$65&gt;$AM329)),
SUMPRODUCT(INDEX($AV$46:$AX$55,,$AI329), INDEX($AY$46:$BE$55,,$AH329), 1 / ($BG$46:$BG$55*CC329 + (1-$BG$46:$BG$55)*BY329), N($AU$46:$AU$55&gt;$AM329))
) / 1000</f>
        <v>0</v>
      </c>
      <c r="CE329" s="234" cm="1">
        <f t="array" ref="CE329">$BM329 * IF($AH329&lt;=2,
SUMPRODUCT(INDEX($AV$22:$AX$60,,$AI329), INDEX($AY$22:$BE$60,,$AH329), 1 / ($BF$22:$BF$60*CC329), N($AU$22:$AU$60&gt;$AM329)),
SUMPRODUCT(INDEX($AV$22:$AX$45,,$AI329), INDEX($AY$22:$BE$45,,$AH329), 1 / ($BG$22:$BG$45*CC329), N($AU$22:$AU$45&gt;$AM329))
) / 1000</f>
        <v>0</v>
      </c>
      <c r="CF329" s="229">
        <f t="shared" si="570"/>
        <v>0</v>
      </c>
      <c r="CG329" s="246"/>
      <c r="CH329" s="229">
        <f t="shared" si="571"/>
        <v>0</v>
      </c>
      <c r="CI329" s="228">
        <v>35</v>
      </c>
      <c r="CJ329" s="229">
        <f t="shared" si="572"/>
        <v>48</v>
      </c>
      <c r="CK329" s="234">
        <f t="shared" si="573"/>
        <v>3.0748170731707316</v>
      </c>
      <c r="CL329" s="234" cm="1">
        <f t="array" ref="CL329">$BM329 * SUMPRODUCT(INDEX($AV$76:$AX$81,,$AI329),INDEX($AY$76:$BE$81,,$AH329), N($AU$76:$AU$81&gt;$AM329)) / CK329 / 1000</f>
        <v>0</v>
      </c>
      <c r="CM329" s="231">
        <f t="shared" si="323"/>
        <v>30</v>
      </c>
      <c r="CN329" s="229">
        <f t="shared" si="574"/>
        <v>43</v>
      </c>
      <c r="CO329" s="234">
        <f t="shared" si="575"/>
        <v>3.5018750000000001</v>
      </c>
      <c r="CP329" s="234" cm="1">
        <f t="array" ref="CP329">$BM329 * IF($AH329&lt;=2,
SUMPRODUCT(INDEX($AV$71:$AX$75,,$AI329), INDEX($AY$71:$BE$75,,$AH329), 1 / ($BF$71:$BF$75*CO329 + (1-$BF$71:$BF$75)*CK329), N($AU$71:$AU$75&gt;$AM329)),
SUMPRODUCT(INDEX($AV$66:$AX$75,,$AI329), INDEX($AY$66:$BE$75,,$AH329), 1 / ($BG$66:$BG$75*CO329 + (1-$BG$66:$BG$75)*CK329), N($AU$66:$AU$75&gt;$AM329))
) / 1000</f>
        <v>0</v>
      </c>
      <c r="CQ329" s="231">
        <f t="shared" si="326"/>
        <v>25</v>
      </c>
      <c r="CR329" s="229">
        <f t="shared" si="576"/>
        <v>38</v>
      </c>
      <c r="CS329" s="234">
        <f t="shared" si="577"/>
        <v>4.0666935483870965</v>
      </c>
      <c r="CT329" s="234" cm="1">
        <f t="array" ref="CT329">$BM329 * IF($AH329&lt;=2,
SUMPRODUCT(INDEX($AV$66:$AX$70,,$AI329), INDEX($AY$66:$BE$70,,$AH329), 1 / ($BF$66:$BF$70*CS329 + (1-$BF$66:$BF$70)*CO329), N($AU$66:$AU$70&gt;$AM329)),
SUMPRODUCT(INDEX($AV$56:$AX$65,,$AI329), INDEX($AY$56:$BE$65,,$AH329), 1 / ($BG$56:$BG$65*CS329 + (1-$BG$56:$BG$65)*CO329), N($AU$56:$AU$65&gt;$AM329))
) / 1000</f>
        <v>0</v>
      </c>
      <c r="CU329" s="231">
        <f t="shared" si="329"/>
        <v>20</v>
      </c>
      <c r="CV329" s="229">
        <f t="shared" si="578"/>
        <v>33</v>
      </c>
      <c r="CW329" s="234">
        <f t="shared" si="579"/>
        <v>4.8487499999999999</v>
      </c>
      <c r="CX329" s="234" cm="1">
        <f t="array" ref="CX329">$BM329 * IF($AH329&lt;=2,
SUMPRODUCT(INDEX($AV$61:$AX$65,,$AI329), INDEX($AY$61:$BE$65,,$AH329), 1 / ($BF$61:$BF$65*CW329 + (1-$BF$61:$BF$65)*CS329), N($AU$61:$AU$65&gt;$AM329)),
SUMPRODUCT(INDEX($AV$46:$AX$55,,$AI329), INDEX($AY$46:$BE$55,,$AH329), 1 / ($BG$46:$BG$55*CW329 + (1-$BG$46:$BG$55)*CS329), N($AU$46:$AU$55&gt;$AM329))
) / 1000</f>
        <v>0</v>
      </c>
      <c r="CY329" s="234" cm="1">
        <f t="array" ref="CY329">$BM329 * IF($AH329&lt;=2,
SUMPRODUCT(INDEX($AV$22:$AX$60,,$AI329), INDEX($AY$22:$BE$60,,$AH329), 1 / ($BF$22:$BF$60*CW329), N($AU$22:$AU$60&gt;$AM329)),
SUMPRODUCT(INDEX($AV$22:$AX$45,,$AI329), INDEX($AY$22:$BE$45,,$AH329), 1 / ($BG$22:$BG$45*CW329), N($AU$22:$AU$45&gt;$AM329))
) / 1000</f>
        <v>0</v>
      </c>
      <c r="CZ329" s="229">
        <f t="shared" si="580"/>
        <v>0</v>
      </c>
      <c r="DA329" s="246"/>
    </row>
    <row r="330" spans="1:105" s="75" customFormat="1" ht="14.25" customHeight="1" x14ac:dyDescent="0.2">
      <c r="A330" s="230" t="b">
        <f t="shared" si="291"/>
        <v>0</v>
      </c>
      <c r="B330" s="253">
        <v>309</v>
      </c>
      <c r="C330" s="266"/>
      <c r="D330" s="266"/>
      <c r="E330" s="254"/>
      <c r="F330" s="255" t="str">
        <f>IF(ISBLANK(E330), "", VLOOKUP(E330, Z!$A$2:$C$4127, 3, FALSE))</f>
        <v/>
      </c>
      <c r="G330" s="256"/>
      <c r="H330" s="256"/>
      <c r="I330" s="256"/>
      <c r="J330" s="257"/>
      <c r="K330" s="258"/>
      <c r="L330" s="267"/>
      <c r="M330" s="268"/>
      <c r="N330" s="259" t="str" cm="1">
        <f t="array" ref="N330">IF($L330&gt;0, INDEX(Clean,1+AK330,$D$1), "")</f>
        <v/>
      </c>
      <c r="O330" s="260"/>
      <c r="P330" s="260"/>
      <c r="Q330" s="261"/>
      <c r="R330" s="264">
        <f t="shared" si="556"/>
        <v>0</v>
      </c>
      <c r="S330" s="259" t="str" cm="1">
        <f t="array" ref="S330">IF($L330&gt;0, INDEX(Clean,1+AL330,$D$1), "")</f>
        <v/>
      </c>
      <c r="T330" s="260"/>
      <c r="U330" s="260"/>
      <c r="V330" s="261"/>
      <c r="W330" s="267"/>
      <c r="X330" s="267"/>
      <c r="Y330" s="257"/>
      <c r="Z330" s="264">
        <f t="shared" si="557"/>
        <v>0</v>
      </c>
      <c r="AA330" s="269"/>
      <c r="AB330" s="266"/>
      <c r="AC330" s="254"/>
      <c r="AD330" s="255" t="str">
        <f>IF(ISBLANK(AC330), "", VLOOKUP(AC330, Z!$A$2:$C$4127, 3, FALSE))</f>
        <v/>
      </c>
      <c r="AE330" s="270"/>
      <c r="AF330" s="265">
        <f t="shared" si="558"/>
        <v>0</v>
      </c>
      <c r="AG330" s="246"/>
      <c r="AH330" s="228">
        <f t="shared" si="581"/>
        <v>1</v>
      </c>
      <c r="AI330" s="228">
        <f t="shared" si="582"/>
        <v>1</v>
      </c>
      <c r="AJ330" s="228">
        <f t="shared" si="583"/>
        <v>0</v>
      </c>
      <c r="AK330" s="228">
        <v>0</v>
      </c>
      <c r="AL330" s="228">
        <v>0</v>
      </c>
      <c r="AM330" s="228">
        <f t="shared" si="559"/>
        <v>-100</v>
      </c>
      <c r="AN330" s="228" cm="1">
        <f t="array" ref="AN330">IF(ISBLANK(G330), 1, IFERROR(MATCH(G330, INDEX(Kat,,1), 0), IFERROR(MATCH(Kat, INDEX(Use,,2), 0), MATCH(Kat, INDEX(Use,,3), 0))))</f>
        <v>1</v>
      </c>
      <c r="AO330" s="246"/>
      <c r="AP330" s="228" cm="1">
        <f t="array" ref="AP330">IF(W330&gt;0, INDEX(Kat, AN330,4), 0)</f>
        <v>0</v>
      </c>
      <c r="AQ330" s="228">
        <f t="shared" si="584"/>
        <v>0</v>
      </c>
      <c r="AR330" s="228" cm="1">
        <f t="array" ref="AR330">IF(X330&gt;0, INDEX(Kat, $AN330, 4+AQ330), 0)</f>
        <v>0</v>
      </c>
      <c r="AS330" s="228" cm="1">
        <f t="array" ref="AS330">IF(X330&gt;0, INDEX(Kat, $AN330, 9+AQ330), 0)</f>
        <v>0</v>
      </c>
      <c r="AT330" s="246"/>
      <c r="AU330" s="262"/>
      <c r="AV330" s="262"/>
      <c r="AW330" s="263"/>
      <c r="AX330" s="263"/>
      <c r="AY330" s="263"/>
      <c r="AZ330" s="263"/>
      <c r="BA330" s="263"/>
      <c r="BB330" s="263"/>
      <c r="BC330" s="263"/>
      <c r="BD330" s="263"/>
      <c r="BE330" s="263"/>
      <c r="BF330" s="263"/>
      <c r="BG330" s="263"/>
      <c r="BH330" s="246"/>
      <c r="BI330" s="228" cm="1">
        <f t="array" ref="BI330">INDEX(Use, $AH330, 4)</f>
        <v>7</v>
      </c>
      <c r="BJ330" s="228">
        <f t="shared" si="560"/>
        <v>32</v>
      </c>
      <c r="BK330" s="228">
        <f t="shared" si="305"/>
        <v>13</v>
      </c>
      <c r="BL330" s="228">
        <f t="shared" si="306"/>
        <v>0</v>
      </c>
      <c r="BM330" s="233" cm="1">
        <f t="array" ref="BM330">L330/IF($M330&gt;0, INDEX($AY$22:$BE$76, $M330+20, $AH330), 1)</f>
        <v>0</v>
      </c>
      <c r="BN330" s="229">
        <f t="shared" si="561"/>
        <v>0</v>
      </c>
      <c r="BO330" s="228">
        <v>35</v>
      </c>
      <c r="BP330" s="229">
        <f t="shared" si="562"/>
        <v>48</v>
      </c>
      <c r="BQ330" s="234">
        <f t="shared" si="563"/>
        <v>3.0748170731707316</v>
      </c>
      <c r="BR330" s="234" cm="1">
        <f t="array" ref="BR330">$BM330 * SUMPRODUCT(INDEX($AV$76:$AX$81,,$AI330),INDEX($AY$76:$BE$81,,$AH330), N($AU$76:$AU$81&gt;$AM330)) / BQ330 / 1000</f>
        <v>0</v>
      </c>
      <c r="BS330" s="231">
        <f t="shared" si="310"/>
        <v>30</v>
      </c>
      <c r="BT330" s="229">
        <f t="shared" si="564"/>
        <v>43</v>
      </c>
      <c r="BU330" s="234">
        <f t="shared" si="565"/>
        <v>3.5018750000000001</v>
      </c>
      <c r="BV330" s="234" cm="1">
        <f t="array" ref="BV330">$BM330 * IF($AH330&lt;=2,
SUMPRODUCT(INDEX($AV$71:$AX$75,,$AI330), INDEX($AY$71:$BE$75,,$AH330), 1 / ($BF$71:$BF$75*BU330 + (1-$BF$71:$BF$75)*BQ330), N($AU$71:$AU$75&gt;$AM330)),
SUMPRODUCT(INDEX($AV$66:$AX$75,,$AI330), INDEX($AY$66:$BE$75,,$AH330), 1 / ($BG$66:$BG$75*BU330 + (1-$BG$66:$BG$75)*BQ330), N($AU$66:$AU$75&gt;$AM330))
) / 1000</f>
        <v>0</v>
      </c>
      <c r="BW330" s="231">
        <f t="shared" si="313"/>
        <v>25</v>
      </c>
      <c r="BX330" s="229">
        <f t="shared" si="566"/>
        <v>38</v>
      </c>
      <c r="BY330" s="234">
        <f t="shared" si="567"/>
        <v>4.0666935483870965</v>
      </c>
      <c r="BZ330" s="234" cm="1">
        <f t="array" ref="BZ330">$BM330 * IF($AH330&lt;=2,
SUMPRODUCT(INDEX($AV$66:$AX$70,,$AI330), INDEX($AY$66:$BE$70,,$AH330), 1 / ($BF$66:$BF$70*BY330 + (1-$BF$66:$BF$70)*BU330), N($AU$66:$AU$70&gt;$AM330)),
SUMPRODUCT(INDEX($AV$56:$AX$65,,$AI330), INDEX($AY$56:$BE$65,,$AH330), 1 / ($BG$56:$BG$65*BY330 + (1-$BG$56:$BG$65)*BU330), N($AU$56:$AU$65&gt;$AM330))
) / 1000</f>
        <v>0</v>
      </c>
      <c r="CA330" s="231">
        <f t="shared" si="316"/>
        <v>20</v>
      </c>
      <c r="CB330" s="229">
        <f t="shared" si="568"/>
        <v>33</v>
      </c>
      <c r="CC330" s="234">
        <f t="shared" si="569"/>
        <v>4.8487499999999999</v>
      </c>
      <c r="CD330" s="234" cm="1">
        <f t="array" ref="CD330">$BM330 * IF($AH330&lt;=2,
SUMPRODUCT(INDEX($AV$61:$AX$65,,$AI330), INDEX($AY$61:$BE$65,,$AH330), 1 / ($BF$61:$BF$65*CC330 + (1-$BF$61:$BF$65)*BY330), N($AU$61:$AU$65&gt;$AM330)),
SUMPRODUCT(INDEX($AV$46:$AX$55,,$AI330), INDEX($AY$46:$BE$55,,$AH330), 1 / ($BG$46:$BG$55*CC330 + (1-$BG$46:$BG$55)*BY330), N($AU$46:$AU$55&gt;$AM330))
) / 1000</f>
        <v>0</v>
      </c>
      <c r="CE330" s="234" cm="1">
        <f t="array" ref="CE330">$BM330 * IF($AH330&lt;=2,
SUMPRODUCT(INDEX($AV$22:$AX$60,,$AI330), INDEX($AY$22:$BE$60,,$AH330), 1 / ($BF$22:$BF$60*CC330), N($AU$22:$AU$60&gt;$AM330)),
SUMPRODUCT(INDEX($AV$22:$AX$45,,$AI330), INDEX($AY$22:$BE$45,,$AH330), 1 / ($BG$22:$BG$45*CC330), N($AU$22:$AU$45&gt;$AM330))
) / 1000</f>
        <v>0</v>
      </c>
      <c r="CF330" s="229">
        <f t="shared" si="570"/>
        <v>0</v>
      </c>
      <c r="CG330" s="246"/>
      <c r="CH330" s="229">
        <f t="shared" si="571"/>
        <v>0</v>
      </c>
      <c r="CI330" s="228">
        <v>35</v>
      </c>
      <c r="CJ330" s="229">
        <f t="shared" si="572"/>
        <v>48</v>
      </c>
      <c r="CK330" s="234">
        <f t="shared" si="573"/>
        <v>3.0748170731707316</v>
      </c>
      <c r="CL330" s="234" cm="1">
        <f t="array" ref="CL330">$BM330 * SUMPRODUCT(INDEX($AV$76:$AX$81,,$AI330),INDEX($AY$76:$BE$81,,$AH330), N($AU$76:$AU$81&gt;$AM330)) / CK330 / 1000</f>
        <v>0</v>
      </c>
      <c r="CM330" s="231">
        <f t="shared" si="323"/>
        <v>30</v>
      </c>
      <c r="CN330" s="229">
        <f t="shared" si="574"/>
        <v>43</v>
      </c>
      <c r="CO330" s="234">
        <f t="shared" si="575"/>
        <v>3.5018750000000001</v>
      </c>
      <c r="CP330" s="234" cm="1">
        <f t="array" ref="CP330">$BM330 * IF($AH330&lt;=2,
SUMPRODUCT(INDEX($AV$71:$AX$75,,$AI330), INDEX($AY$71:$BE$75,,$AH330), 1 / ($BF$71:$BF$75*CO330 + (1-$BF$71:$BF$75)*CK330), N($AU$71:$AU$75&gt;$AM330)),
SUMPRODUCT(INDEX($AV$66:$AX$75,,$AI330), INDEX($AY$66:$BE$75,,$AH330), 1 / ($BG$66:$BG$75*CO330 + (1-$BG$66:$BG$75)*CK330), N($AU$66:$AU$75&gt;$AM330))
) / 1000</f>
        <v>0</v>
      </c>
      <c r="CQ330" s="231">
        <f t="shared" si="326"/>
        <v>25</v>
      </c>
      <c r="CR330" s="229">
        <f t="shared" si="576"/>
        <v>38</v>
      </c>
      <c r="CS330" s="234">
        <f t="shared" si="577"/>
        <v>4.0666935483870965</v>
      </c>
      <c r="CT330" s="234" cm="1">
        <f t="array" ref="CT330">$BM330 * IF($AH330&lt;=2,
SUMPRODUCT(INDEX($AV$66:$AX$70,,$AI330), INDEX($AY$66:$BE$70,,$AH330), 1 / ($BF$66:$BF$70*CS330 + (1-$BF$66:$BF$70)*CO330), N($AU$66:$AU$70&gt;$AM330)),
SUMPRODUCT(INDEX($AV$56:$AX$65,,$AI330), INDEX($AY$56:$BE$65,,$AH330), 1 / ($BG$56:$BG$65*CS330 + (1-$BG$56:$BG$65)*CO330), N($AU$56:$AU$65&gt;$AM330))
) / 1000</f>
        <v>0</v>
      </c>
      <c r="CU330" s="231">
        <f t="shared" si="329"/>
        <v>20</v>
      </c>
      <c r="CV330" s="229">
        <f t="shared" si="578"/>
        <v>33</v>
      </c>
      <c r="CW330" s="234">
        <f t="shared" si="579"/>
        <v>4.8487499999999999</v>
      </c>
      <c r="CX330" s="234" cm="1">
        <f t="array" ref="CX330">$BM330 * IF($AH330&lt;=2,
SUMPRODUCT(INDEX($AV$61:$AX$65,,$AI330), INDEX($AY$61:$BE$65,,$AH330), 1 / ($BF$61:$BF$65*CW330 + (1-$BF$61:$BF$65)*CS330), N($AU$61:$AU$65&gt;$AM330)),
SUMPRODUCT(INDEX($AV$46:$AX$55,,$AI330), INDEX($AY$46:$BE$55,,$AH330), 1 / ($BG$46:$BG$55*CW330 + (1-$BG$46:$BG$55)*CS330), N($AU$46:$AU$55&gt;$AM330))
) / 1000</f>
        <v>0</v>
      </c>
      <c r="CY330" s="234" cm="1">
        <f t="array" ref="CY330">$BM330 * IF($AH330&lt;=2,
SUMPRODUCT(INDEX($AV$22:$AX$60,,$AI330), INDEX($AY$22:$BE$60,,$AH330), 1 / ($BF$22:$BF$60*CW330), N($AU$22:$AU$60&gt;$AM330)),
SUMPRODUCT(INDEX($AV$22:$AX$45,,$AI330), INDEX($AY$22:$BE$45,,$AH330), 1 / ($BG$22:$BG$45*CW330), N($AU$22:$AU$45&gt;$AM330))
) / 1000</f>
        <v>0</v>
      </c>
      <c r="CZ330" s="229">
        <f t="shared" si="580"/>
        <v>0</v>
      </c>
      <c r="DA330" s="246"/>
    </row>
    <row r="331" spans="1:105" s="75" customFormat="1" ht="14.25" customHeight="1" x14ac:dyDescent="0.2">
      <c r="A331" s="230" t="b">
        <f t="shared" si="291"/>
        <v>0</v>
      </c>
      <c r="B331" s="253">
        <v>310</v>
      </c>
      <c r="C331" s="266"/>
      <c r="D331" s="266"/>
      <c r="E331" s="254"/>
      <c r="F331" s="255" t="str">
        <f>IF(ISBLANK(E331), "", VLOOKUP(E331, Z!$A$2:$C$4127, 3, FALSE))</f>
        <v/>
      </c>
      <c r="G331" s="256"/>
      <c r="H331" s="256"/>
      <c r="I331" s="256"/>
      <c r="J331" s="257"/>
      <c r="K331" s="258"/>
      <c r="L331" s="267"/>
      <c r="M331" s="268"/>
      <c r="N331" s="259" t="str" cm="1">
        <f t="array" ref="N331">IF($L331&gt;0, INDEX(Clean,1+AK331,$D$1), "")</f>
        <v/>
      </c>
      <c r="O331" s="260"/>
      <c r="P331" s="260"/>
      <c r="Q331" s="261"/>
      <c r="R331" s="264">
        <f t="shared" si="556"/>
        <v>0</v>
      </c>
      <c r="S331" s="259" t="str" cm="1">
        <f t="array" ref="S331">IF($L331&gt;0, INDEX(Clean,1+AL331,$D$1), "")</f>
        <v/>
      </c>
      <c r="T331" s="260"/>
      <c r="U331" s="260"/>
      <c r="V331" s="261"/>
      <c r="W331" s="267"/>
      <c r="X331" s="267"/>
      <c r="Y331" s="257"/>
      <c r="Z331" s="264">
        <f t="shared" si="557"/>
        <v>0</v>
      </c>
      <c r="AA331" s="269"/>
      <c r="AB331" s="266"/>
      <c r="AC331" s="254"/>
      <c r="AD331" s="255" t="str">
        <f>IF(ISBLANK(AC331), "", VLOOKUP(AC331, Z!$A$2:$C$4127, 3, FALSE))</f>
        <v/>
      </c>
      <c r="AE331" s="270"/>
      <c r="AF331" s="265">
        <f t="shared" si="558"/>
        <v>0</v>
      </c>
      <c r="AG331" s="246"/>
      <c r="AH331" s="228">
        <f t="shared" si="581"/>
        <v>1</v>
      </c>
      <c r="AI331" s="228">
        <f t="shared" si="582"/>
        <v>1</v>
      </c>
      <c r="AJ331" s="228">
        <f t="shared" si="583"/>
        <v>0</v>
      </c>
      <c r="AK331" s="228">
        <v>0</v>
      </c>
      <c r="AL331" s="228">
        <v>0</v>
      </c>
      <c r="AM331" s="228">
        <f t="shared" si="559"/>
        <v>-100</v>
      </c>
      <c r="AN331" s="228" cm="1">
        <f t="array" ref="AN331">IF(ISBLANK(G331), 1, IFERROR(MATCH(G331, INDEX(Kat,,1), 0), IFERROR(MATCH(Kat, INDEX(Use,,2), 0), MATCH(Kat, INDEX(Use,,3), 0))))</f>
        <v>1</v>
      </c>
      <c r="AO331" s="246"/>
      <c r="AP331" s="228" cm="1">
        <f t="array" ref="AP331">IF(W331&gt;0, INDEX(Kat, AN331,4), 0)</f>
        <v>0</v>
      </c>
      <c r="AQ331" s="228">
        <f t="shared" si="584"/>
        <v>0</v>
      </c>
      <c r="AR331" s="228" cm="1">
        <f t="array" ref="AR331">IF(X331&gt;0, INDEX(Kat, $AN331, 4+AQ331), 0)</f>
        <v>0</v>
      </c>
      <c r="AS331" s="228" cm="1">
        <f t="array" ref="AS331">IF(X331&gt;0, INDEX(Kat, $AN331, 9+AQ331), 0)</f>
        <v>0</v>
      </c>
      <c r="AT331" s="246"/>
      <c r="AU331" s="262"/>
      <c r="AV331" s="262"/>
      <c r="AW331" s="263"/>
      <c r="AX331" s="263"/>
      <c r="AY331" s="263"/>
      <c r="AZ331" s="263"/>
      <c r="BA331" s="263"/>
      <c r="BB331" s="263"/>
      <c r="BC331" s="263"/>
      <c r="BD331" s="263"/>
      <c r="BE331" s="263"/>
      <c r="BF331" s="263"/>
      <c r="BG331" s="263"/>
      <c r="BH331" s="246"/>
      <c r="BI331" s="228" cm="1">
        <f t="array" ref="BI331">INDEX(Use, $AH331, 4)</f>
        <v>7</v>
      </c>
      <c r="BJ331" s="228">
        <f t="shared" si="560"/>
        <v>32</v>
      </c>
      <c r="BK331" s="228">
        <f t="shared" si="305"/>
        <v>13</v>
      </c>
      <c r="BL331" s="228">
        <f t="shared" si="306"/>
        <v>0</v>
      </c>
      <c r="BM331" s="233" cm="1">
        <f t="array" ref="BM331">L331/IF($M331&gt;0, INDEX($AY$22:$BE$76, $M331+20, $AH331), 1)</f>
        <v>0</v>
      </c>
      <c r="BN331" s="229">
        <f t="shared" si="561"/>
        <v>0</v>
      </c>
      <c r="BO331" s="228">
        <v>35</v>
      </c>
      <c r="BP331" s="229">
        <f t="shared" si="562"/>
        <v>48</v>
      </c>
      <c r="BQ331" s="234">
        <f t="shared" si="563"/>
        <v>3.0748170731707316</v>
      </c>
      <c r="BR331" s="234" cm="1">
        <f t="array" ref="BR331">$BM331 * SUMPRODUCT(INDEX($AV$76:$AX$81,,$AI331),INDEX($AY$76:$BE$81,,$AH331), N($AU$76:$AU$81&gt;$AM331)) / BQ331 / 1000</f>
        <v>0</v>
      </c>
      <c r="BS331" s="231">
        <f t="shared" si="310"/>
        <v>30</v>
      </c>
      <c r="BT331" s="229">
        <f t="shared" si="564"/>
        <v>43</v>
      </c>
      <c r="BU331" s="234">
        <f t="shared" si="565"/>
        <v>3.5018750000000001</v>
      </c>
      <c r="BV331" s="234" cm="1">
        <f t="array" ref="BV331">$BM331 * IF($AH331&lt;=2,
SUMPRODUCT(INDEX($AV$71:$AX$75,,$AI331), INDEX($AY$71:$BE$75,,$AH331), 1 / ($BF$71:$BF$75*BU331 + (1-$BF$71:$BF$75)*BQ331), N($AU$71:$AU$75&gt;$AM331)),
SUMPRODUCT(INDEX($AV$66:$AX$75,,$AI331), INDEX($AY$66:$BE$75,,$AH331), 1 / ($BG$66:$BG$75*BU331 + (1-$BG$66:$BG$75)*BQ331), N($AU$66:$AU$75&gt;$AM331))
) / 1000</f>
        <v>0</v>
      </c>
      <c r="BW331" s="231">
        <f t="shared" si="313"/>
        <v>25</v>
      </c>
      <c r="BX331" s="229">
        <f t="shared" si="566"/>
        <v>38</v>
      </c>
      <c r="BY331" s="234">
        <f t="shared" si="567"/>
        <v>4.0666935483870965</v>
      </c>
      <c r="BZ331" s="234" cm="1">
        <f t="array" ref="BZ331">$BM331 * IF($AH331&lt;=2,
SUMPRODUCT(INDEX($AV$66:$AX$70,,$AI331), INDEX($AY$66:$BE$70,,$AH331), 1 / ($BF$66:$BF$70*BY331 + (1-$BF$66:$BF$70)*BU331), N($AU$66:$AU$70&gt;$AM331)),
SUMPRODUCT(INDEX($AV$56:$AX$65,,$AI331), INDEX($AY$56:$BE$65,,$AH331), 1 / ($BG$56:$BG$65*BY331 + (1-$BG$56:$BG$65)*BU331), N($AU$56:$AU$65&gt;$AM331))
) / 1000</f>
        <v>0</v>
      </c>
      <c r="CA331" s="231">
        <f t="shared" si="316"/>
        <v>20</v>
      </c>
      <c r="CB331" s="229">
        <f t="shared" si="568"/>
        <v>33</v>
      </c>
      <c r="CC331" s="234">
        <f t="shared" si="569"/>
        <v>4.8487499999999999</v>
      </c>
      <c r="CD331" s="234" cm="1">
        <f t="array" ref="CD331">$BM331 * IF($AH331&lt;=2,
SUMPRODUCT(INDEX($AV$61:$AX$65,,$AI331), INDEX($AY$61:$BE$65,,$AH331), 1 / ($BF$61:$BF$65*CC331 + (1-$BF$61:$BF$65)*BY331), N($AU$61:$AU$65&gt;$AM331)),
SUMPRODUCT(INDEX($AV$46:$AX$55,,$AI331), INDEX($AY$46:$BE$55,,$AH331), 1 / ($BG$46:$BG$55*CC331 + (1-$BG$46:$BG$55)*BY331), N($AU$46:$AU$55&gt;$AM331))
) / 1000</f>
        <v>0</v>
      </c>
      <c r="CE331" s="234" cm="1">
        <f t="array" ref="CE331">$BM331 * IF($AH331&lt;=2,
SUMPRODUCT(INDEX($AV$22:$AX$60,,$AI331), INDEX($AY$22:$BE$60,,$AH331), 1 / ($BF$22:$BF$60*CC331), N($AU$22:$AU$60&gt;$AM331)),
SUMPRODUCT(INDEX($AV$22:$AX$45,,$AI331), INDEX($AY$22:$BE$45,,$AH331), 1 / ($BG$22:$BG$45*CC331), N($AU$22:$AU$45&gt;$AM331))
) / 1000</f>
        <v>0</v>
      </c>
      <c r="CF331" s="229">
        <f t="shared" si="570"/>
        <v>0</v>
      </c>
      <c r="CG331" s="246"/>
      <c r="CH331" s="229">
        <f t="shared" si="571"/>
        <v>0</v>
      </c>
      <c r="CI331" s="228">
        <v>35</v>
      </c>
      <c r="CJ331" s="229">
        <f t="shared" si="572"/>
        <v>48</v>
      </c>
      <c r="CK331" s="234">
        <f t="shared" si="573"/>
        <v>3.0748170731707316</v>
      </c>
      <c r="CL331" s="234" cm="1">
        <f t="array" ref="CL331">$BM331 * SUMPRODUCT(INDEX($AV$76:$AX$81,,$AI331),INDEX($AY$76:$BE$81,,$AH331), N($AU$76:$AU$81&gt;$AM331)) / CK331 / 1000</f>
        <v>0</v>
      </c>
      <c r="CM331" s="231">
        <f t="shared" si="323"/>
        <v>30</v>
      </c>
      <c r="CN331" s="229">
        <f t="shared" si="574"/>
        <v>43</v>
      </c>
      <c r="CO331" s="234">
        <f t="shared" si="575"/>
        <v>3.5018750000000001</v>
      </c>
      <c r="CP331" s="234" cm="1">
        <f t="array" ref="CP331">$BM331 * IF($AH331&lt;=2,
SUMPRODUCT(INDEX($AV$71:$AX$75,,$AI331), INDEX($AY$71:$BE$75,,$AH331), 1 / ($BF$71:$BF$75*CO331 + (1-$BF$71:$BF$75)*CK331), N($AU$71:$AU$75&gt;$AM331)),
SUMPRODUCT(INDEX($AV$66:$AX$75,,$AI331), INDEX($AY$66:$BE$75,,$AH331), 1 / ($BG$66:$BG$75*CO331 + (1-$BG$66:$BG$75)*CK331), N($AU$66:$AU$75&gt;$AM331))
) / 1000</f>
        <v>0</v>
      </c>
      <c r="CQ331" s="231">
        <f t="shared" si="326"/>
        <v>25</v>
      </c>
      <c r="CR331" s="229">
        <f t="shared" si="576"/>
        <v>38</v>
      </c>
      <c r="CS331" s="234">
        <f t="shared" si="577"/>
        <v>4.0666935483870965</v>
      </c>
      <c r="CT331" s="234" cm="1">
        <f t="array" ref="CT331">$BM331 * IF($AH331&lt;=2,
SUMPRODUCT(INDEX($AV$66:$AX$70,,$AI331), INDEX($AY$66:$BE$70,,$AH331), 1 / ($BF$66:$BF$70*CS331 + (1-$BF$66:$BF$70)*CO331), N($AU$66:$AU$70&gt;$AM331)),
SUMPRODUCT(INDEX($AV$56:$AX$65,,$AI331), INDEX($AY$56:$BE$65,,$AH331), 1 / ($BG$56:$BG$65*CS331 + (1-$BG$56:$BG$65)*CO331), N($AU$56:$AU$65&gt;$AM331))
) / 1000</f>
        <v>0</v>
      </c>
      <c r="CU331" s="231">
        <f t="shared" si="329"/>
        <v>20</v>
      </c>
      <c r="CV331" s="229">
        <f t="shared" si="578"/>
        <v>33</v>
      </c>
      <c r="CW331" s="234">
        <f t="shared" si="579"/>
        <v>4.8487499999999999</v>
      </c>
      <c r="CX331" s="234" cm="1">
        <f t="array" ref="CX331">$BM331 * IF($AH331&lt;=2,
SUMPRODUCT(INDEX($AV$61:$AX$65,,$AI331), INDEX($AY$61:$BE$65,,$AH331), 1 / ($BF$61:$BF$65*CW331 + (1-$BF$61:$BF$65)*CS331), N($AU$61:$AU$65&gt;$AM331)),
SUMPRODUCT(INDEX($AV$46:$AX$55,,$AI331), INDEX($AY$46:$BE$55,,$AH331), 1 / ($BG$46:$BG$55*CW331 + (1-$BG$46:$BG$55)*CS331), N($AU$46:$AU$55&gt;$AM331))
) / 1000</f>
        <v>0</v>
      </c>
      <c r="CY331" s="234" cm="1">
        <f t="array" ref="CY331">$BM331 * IF($AH331&lt;=2,
SUMPRODUCT(INDEX($AV$22:$AX$60,,$AI331), INDEX($AY$22:$BE$60,,$AH331), 1 / ($BF$22:$BF$60*CW331), N($AU$22:$AU$60&gt;$AM331)),
SUMPRODUCT(INDEX($AV$22:$AX$45,,$AI331), INDEX($AY$22:$BE$45,,$AH331), 1 / ($BG$22:$BG$45*CW331), N($AU$22:$AU$45&gt;$AM331))
) / 1000</f>
        <v>0</v>
      </c>
      <c r="CZ331" s="229">
        <f t="shared" si="580"/>
        <v>0</v>
      </c>
      <c r="DA331" s="246"/>
    </row>
    <row r="332" spans="1:105" s="75" customFormat="1" ht="14.25" customHeight="1" x14ac:dyDescent="0.2">
      <c r="A332" s="230" t="b">
        <f t="shared" si="291"/>
        <v>0</v>
      </c>
      <c r="B332" s="253">
        <v>311</v>
      </c>
      <c r="C332" s="266"/>
      <c r="D332" s="266"/>
      <c r="E332" s="254"/>
      <c r="F332" s="255" t="str">
        <f>IF(ISBLANK(E332), "", VLOOKUP(E332, Z!$A$2:$C$4127, 3, FALSE))</f>
        <v/>
      </c>
      <c r="G332" s="256"/>
      <c r="H332" s="256"/>
      <c r="I332" s="256"/>
      <c r="J332" s="257"/>
      <c r="K332" s="258"/>
      <c r="L332" s="267"/>
      <c r="M332" s="268"/>
      <c r="N332" s="259" t="str" cm="1">
        <f t="array" ref="N332">IF($L332&gt;0, INDEX(Clean,1+AK332,$D$1), "")</f>
        <v/>
      </c>
      <c r="O332" s="260"/>
      <c r="P332" s="260"/>
      <c r="Q332" s="261"/>
      <c r="R332" s="264">
        <f t="shared" si="556"/>
        <v>0</v>
      </c>
      <c r="S332" s="259" t="str" cm="1">
        <f t="array" ref="S332">IF($L332&gt;0, INDEX(Clean,1+AL332,$D$1), "")</f>
        <v/>
      </c>
      <c r="T332" s="260"/>
      <c r="U332" s="260"/>
      <c r="V332" s="261"/>
      <c r="W332" s="267"/>
      <c r="X332" s="267"/>
      <c r="Y332" s="257"/>
      <c r="Z332" s="264">
        <f t="shared" si="557"/>
        <v>0</v>
      </c>
      <c r="AA332" s="269"/>
      <c r="AB332" s="266"/>
      <c r="AC332" s="254"/>
      <c r="AD332" s="255" t="str">
        <f>IF(ISBLANK(AC332), "", VLOOKUP(AC332, Z!$A$2:$C$4127, 3, FALSE))</f>
        <v/>
      </c>
      <c r="AE332" s="270"/>
      <c r="AF332" s="265">
        <f t="shared" si="558"/>
        <v>0</v>
      </c>
      <c r="AG332" s="246"/>
      <c r="AH332" s="228">
        <f t="shared" si="581"/>
        <v>1</v>
      </c>
      <c r="AI332" s="228">
        <f t="shared" si="582"/>
        <v>1</v>
      </c>
      <c r="AJ332" s="228">
        <f t="shared" si="583"/>
        <v>0</v>
      </c>
      <c r="AK332" s="228">
        <v>0</v>
      </c>
      <c r="AL332" s="228">
        <v>0</v>
      </c>
      <c r="AM332" s="228">
        <f t="shared" si="559"/>
        <v>-100</v>
      </c>
      <c r="AN332" s="228" cm="1">
        <f t="array" ref="AN332">IF(ISBLANK(G332), 1, IFERROR(MATCH(G332, INDEX(Kat,,1), 0), IFERROR(MATCH(Kat, INDEX(Use,,2), 0), MATCH(Kat, INDEX(Use,,3), 0))))</f>
        <v>1</v>
      </c>
      <c r="AO332" s="246"/>
      <c r="AP332" s="228" cm="1">
        <f t="array" ref="AP332">IF(W332&gt;0, INDEX(Kat, AN332,4), 0)</f>
        <v>0</v>
      </c>
      <c r="AQ332" s="228">
        <f t="shared" si="584"/>
        <v>0</v>
      </c>
      <c r="AR332" s="228" cm="1">
        <f t="array" ref="AR332">IF(X332&gt;0, INDEX(Kat, $AN332, 4+AQ332), 0)</f>
        <v>0</v>
      </c>
      <c r="AS332" s="228" cm="1">
        <f t="array" ref="AS332">IF(X332&gt;0, INDEX(Kat, $AN332, 9+AQ332), 0)</f>
        <v>0</v>
      </c>
      <c r="AT332" s="246"/>
      <c r="AU332" s="262"/>
      <c r="AV332" s="262"/>
      <c r="AW332" s="263"/>
      <c r="AX332" s="263"/>
      <c r="AY332" s="263"/>
      <c r="AZ332" s="263"/>
      <c r="BA332" s="263"/>
      <c r="BB332" s="263"/>
      <c r="BC332" s="263"/>
      <c r="BD332" s="263"/>
      <c r="BE332" s="263"/>
      <c r="BF332" s="263"/>
      <c r="BG332" s="263"/>
      <c r="BH332" s="246"/>
      <c r="BI332" s="228" cm="1">
        <f t="array" ref="BI332">INDEX(Use, $AH332, 4)</f>
        <v>7</v>
      </c>
      <c r="BJ332" s="228">
        <f t="shared" si="560"/>
        <v>32</v>
      </c>
      <c r="BK332" s="228">
        <f t="shared" si="305"/>
        <v>13</v>
      </c>
      <c r="BL332" s="228">
        <f t="shared" si="306"/>
        <v>0</v>
      </c>
      <c r="BM332" s="233" cm="1">
        <f t="array" ref="BM332">L332/IF($M332&gt;0, INDEX($AY$22:$BE$76, $M332+20, $AH332), 1)</f>
        <v>0</v>
      </c>
      <c r="BN332" s="229">
        <f t="shared" si="561"/>
        <v>0</v>
      </c>
      <c r="BO332" s="228">
        <v>35</v>
      </c>
      <c r="BP332" s="229">
        <f t="shared" si="562"/>
        <v>48</v>
      </c>
      <c r="BQ332" s="234">
        <f t="shared" si="563"/>
        <v>3.0748170731707316</v>
      </c>
      <c r="BR332" s="234" cm="1">
        <f t="array" ref="BR332">$BM332 * SUMPRODUCT(INDEX($AV$76:$AX$81,,$AI332),INDEX($AY$76:$BE$81,,$AH332), N($AU$76:$AU$81&gt;$AM332)) / BQ332 / 1000</f>
        <v>0</v>
      </c>
      <c r="BS332" s="231">
        <f t="shared" si="310"/>
        <v>30</v>
      </c>
      <c r="BT332" s="229">
        <f t="shared" si="564"/>
        <v>43</v>
      </c>
      <c r="BU332" s="234">
        <f t="shared" si="565"/>
        <v>3.5018750000000001</v>
      </c>
      <c r="BV332" s="234" cm="1">
        <f t="array" ref="BV332">$BM332 * IF($AH332&lt;=2,
SUMPRODUCT(INDEX($AV$71:$AX$75,,$AI332), INDEX($AY$71:$BE$75,,$AH332), 1 / ($BF$71:$BF$75*BU332 + (1-$BF$71:$BF$75)*BQ332), N($AU$71:$AU$75&gt;$AM332)),
SUMPRODUCT(INDEX($AV$66:$AX$75,,$AI332), INDEX($AY$66:$BE$75,,$AH332), 1 / ($BG$66:$BG$75*BU332 + (1-$BG$66:$BG$75)*BQ332), N($AU$66:$AU$75&gt;$AM332))
) / 1000</f>
        <v>0</v>
      </c>
      <c r="BW332" s="231">
        <f t="shared" si="313"/>
        <v>25</v>
      </c>
      <c r="BX332" s="229">
        <f t="shared" si="566"/>
        <v>38</v>
      </c>
      <c r="BY332" s="234">
        <f t="shared" si="567"/>
        <v>4.0666935483870965</v>
      </c>
      <c r="BZ332" s="234" cm="1">
        <f t="array" ref="BZ332">$BM332 * IF($AH332&lt;=2,
SUMPRODUCT(INDEX($AV$66:$AX$70,,$AI332), INDEX($AY$66:$BE$70,,$AH332), 1 / ($BF$66:$BF$70*BY332 + (1-$BF$66:$BF$70)*BU332), N($AU$66:$AU$70&gt;$AM332)),
SUMPRODUCT(INDEX($AV$56:$AX$65,,$AI332), INDEX($AY$56:$BE$65,,$AH332), 1 / ($BG$56:$BG$65*BY332 + (1-$BG$56:$BG$65)*BU332), N($AU$56:$AU$65&gt;$AM332))
) / 1000</f>
        <v>0</v>
      </c>
      <c r="CA332" s="231">
        <f t="shared" si="316"/>
        <v>20</v>
      </c>
      <c r="CB332" s="229">
        <f t="shared" si="568"/>
        <v>33</v>
      </c>
      <c r="CC332" s="234">
        <f t="shared" si="569"/>
        <v>4.8487499999999999</v>
      </c>
      <c r="CD332" s="234" cm="1">
        <f t="array" ref="CD332">$BM332 * IF($AH332&lt;=2,
SUMPRODUCT(INDEX($AV$61:$AX$65,,$AI332), INDEX($AY$61:$BE$65,,$AH332), 1 / ($BF$61:$BF$65*CC332 + (1-$BF$61:$BF$65)*BY332), N($AU$61:$AU$65&gt;$AM332)),
SUMPRODUCT(INDEX($AV$46:$AX$55,,$AI332), INDEX($AY$46:$BE$55,,$AH332), 1 / ($BG$46:$BG$55*CC332 + (1-$BG$46:$BG$55)*BY332), N($AU$46:$AU$55&gt;$AM332))
) / 1000</f>
        <v>0</v>
      </c>
      <c r="CE332" s="234" cm="1">
        <f t="array" ref="CE332">$BM332 * IF($AH332&lt;=2,
SUMPRODUCT(INDEX($AV$22:$AX$60,,$AI332), INDEX($AY$22:$BE$60,,$AH332), 1 / ($BF$22:$BF$60*CC332), N($AU$22:$AU$60&gt;$AM332)),
SUMPRODUCT(INDEX($AV$22:$AX$45,,$AI332), INDEX($AY$22:$BE$45,,$AH332), 1 / ($BG$22:$BG$45*CC332), N($AU$22:$AU$45&gt;$AM332))
) / 1000</f>
        <v>0</v>
      </c>
      <c r="CF332" s="229">
        <f t="shared" si="570"/>
        <v>0</v>
      </c>
      <c r="CG332" s="246"/>
      <c r="CH332" s="229">
        <f t="shared" si="571"/>
        <v>0</v>
      </c>
      <c r="CI332" s="228">
        <v>35</v>
      </c>
      <c r="CJ332" s="229">
        <f t="shared" si="572"/>
        <v>48</v>
      </c>
      <c r="CK332" s="234">
        <f t="shared" si="573"/>
        <v>3.0748170731707316</v>
      </c>
      <c r="CL332" s="234" cm="1">
        <f t="array" ref="CL332">$BM332 * SUMPRODUCT(INDEX($AV$76:$AX$81,,$AI332),INDEX($AY$76:$BE$81,,$AH332), N($AU$76:$AU$81&gt;$AM332)) / CK332 / 1000</f>
        <v>0</v>
      </c>
      <c r="CM332" s="231">
        <f t="shared" si="323"/>
        <v>30</v>
      </c>
      <c r="CN332" s="229">
        <f t="shared" si="574"/>
        <v>43</v>
      </c>
      <c r="CO332" s="234">
        <f t="shared" si="575"/>
        <v>3.5018750000000001</v>
      </c>
      <c r="CP332" s="234" cm="1">
        <f t="array" ref="CP332">$BM332 * IF($AH332&lt;=2,
SUMPRODUCT(INDEX($AV$71:$AX$75,,$AI332), INDEX($AY$71:$BE$75,,$AH332), 1 / ($BF$71:$BF$75*CO332 + (1-$BF$71:$BF$75)*CK332), N($AU$71:$AU$75&gt;$AM332)),
SUMPRODUCT(INDEX($AV$66:$AX$75,,$AI332), INDEX($AY$66:$BE$75,,$AH332), 1 / ($BG$66:$BG$75*CO332 + (1-$BG$66:$BG$75)*CK332), N($AU$66:$AU$75&gt;$AM332))
) / 1000</f>
        <v>0</v>
      </c>
      <c r="CQ332" s="231">
        <f t="shared" si="326"/>
        <v>25</v>
      </c>
      <c r="CR332" s="229">
        <f t="shared" si="576"/>
        <v>38</v>
      </c>
      <c r="CS332" s="234">
        <f t="shared" si="577"/>
        <v>4.0666935483870965</v>
      </c>
      <c r="CT332" s="234" cm="1">
        <f t="array" ref="CT332">$BM332 * IF($AH332&lt;=2,
SUMPRODUCT(INDEX($AV$66:$AX$70,,$AI332), INDEX($AY$66:$BE$70,,$AH332), 1 / ($BF$66:$BF$70*CS332 + (1-$BF$66:$BF$70)*CO332), N($AU$66:$AU$70&gt;$AM332)),
SUMPRODUCT(INDEX($AV$56:$AX$65,,$AI332), INDEX($AY$56:$BE$65,,$AH332), 1 / ($BG$56:$BG$65*CS332 + (1-$BG$56:$BG$65)*CO332), N($AU$56:$AU$65&gt;$AM332))
) / 1000</f>
        <v>0</v>
      </c>
      <c r="CU332" s="231">
        <f t="shared" si="329"/>
        <v>20</v>
      </c>
      <c r="CV332" s="229">
        <f t="shared" si="578"/>
        <v>33</v>
      </c>
      <c r="CW332" s="234">
        <f t="shared" si="579"/>
        <v>4.8487499999999999</v>
      </c>
      <c r="CX332" s="234" cm="1">
        <f t="array" ref="CX332">$BM332 * IF($AH332&lt;=2,
SUMPRODUCT(INDEX($AV$61:$AX$65,,$AI332), INDEX($AY$61:$BE$65,,$AH332), 1 / ($BF$61:$BF$65*CW332 + (1-$BF$61:$BF$65)*CS332), N($AU$61:$AU$65&gt;$AM332)),
SUMPRODUCT(INDEX($AV$46:$AX$55,,$AI332), INDEX($AY$46:$BE$55,,$AH332), 1 / ($BG$46:$BG$55*CW332 + (1-$BG$46:$BG$55)*CS332), N($AU$46:$AU$55&gt;$AM332))
) / 1000</f>
        <v>0</v>
      </c>
      <c r="CY332" s="234" cm="1">
        <f t="array" ref="CY332">$BM332 * IF($AH332&lt;=2,
SUMPRODUCT(INDEX($AV$22:$AX$60,,$AI332), INDEX($AY$22:$BE$60,,$AH332), 1 / ($BF$22:$BF$60*CW332), N($AU$22:$AU$60&gt;$AM332)),
SUMPRODUCT(INDEX($AV$22:$AX$45,,$AI332), INDEX($AY$22:$BE$45,,$AH332), 1 / ($BG$22:$BG$45*CW332), N($AU$22:$AU$45&gt;$AM332))
) / 1000</f>
        <v>0</v>
      </c>
      <c r="CZ332" s="229">
        <f t="shared" si="580"/>
        <v>0</v>
      </c>
      <c r="DA332" s="246"/>
    </row>
    <row r="333" spans="1:105" s="75" customFormat="1" ht="14.25" customHeight="1" x14ac:dyDescent="0.2">
      <c r="A333" s="230" t="b">
        <f t="shared" si="291"/>
        <v>0</v>
      </c>
      <c r="B333" s="253">
        <v>312</v>
      </c>
      <c r="C333" s="266"/>
      <c r="D333" s="266"/>
      <c r="E333" s="254"/>
      <c r="F333" s="255" t="str">
        <f>IF(ISBLANK(E333), "", VLOOKUP(E333, Z!$A$2:$C$4127, 3, FALSE))</f>
        <v/>
      </c>
      <c r="G333" s="256"/>
      <c r="H333" s="256"/>
      <c r="I333" s="256"/>
      <c r="J333" s="257"/>
      <c r="K333" s="258"/>
      <c r="L333" s="267"/>
      <c r="M333" s="268"/>
      <c r="N333" s="259" t="str" cm="1">
        <f t="array" ref="N333">IF($L333&gt;0, INDEX(Clean,1+AK333,$D$1), "")</f>
        <v/>
      </c>
      <c r="O333" s="260"/>
      <c r="P333" s="260"/>
      <c r="Q333" s="261"/>
      <c r="R333" s="264">
        <f t="shared" si="556"/>
        <v>0</v>
      </c>
      <c r="S333" s="259" t="str" cm="1">
        <f t="array" ref="S333">IF($L333&gt;0, INDEX(Clean,1+AL333,$D$1), "")</f>
        <v/>
      </c>
      <c r="T333" s="260"/>
      <c r="U333" s="260"/>
      <c r="V333" s="261"/>
      <c r="W333" s="267"/>
      <c r="X333" s="267"/>
      <c r="Y333" s="257"/>
      <c r="Z333" s="264">
        <f t="shared" si="557"/>
        <v>0</v>
      </c>
      <c r="AA333" s="269"/>
      <c r="AB333" s="266"/>
      <c r="AC333" s="254"/>
      <c r="AD333" s="255" t="str">
        <f>IF(ISBLANK(AC333), "", VLOOKUP(AC333, Z!$A$2:$C$4127, 3, FALSE))</f>
        <v/>
      </c>
      <c r="AE333" s="270"/>
      <c r="AF333" s="265">
        <f t="shared" si="558"/>
        <v>0</v>
      </c>
      <c r="AG333" s="246"/>
      <c r="AH333" s="228">
        <f t="shared" si="581"/>
        <v>1</v>
      </c>
      <c r="AI333" s="228">
        <f t="shared" si="582"/>
        <v>1</v>
      </c>
      <c r="AJ333" s="228">
        <f t="shared" si="583"/>
        <v>0</v>
      </c>
      <c r="AK333" s="228">
        <v>0</v>
      </c>
      <c r="AL333" s="228">
        <v>0</v>
      </c>
      <c r="AM333" s="228">
        <f t="shared" si="559"/>
        <v>-100</v>
      </c>
      <c r="AN333" s="228" cm="1">
        <f t="array" ref="AN333">IF(ISBLANK(G333), 1, IFERROR(MATCH(G333, INDEX(Kat,,1), 0), IFERROR(MATCH(Kat, INDEX(Use,,2), 0), MATCH(Kat, INDEX(Use,,3), 0))))</f>
        <v>1</v>
      </c>
      <c r="AO333" s="246"/>
      <c r="AP333" s="228" cm="1">
        <f t="array" ref="AP333">IF(W333&gt;0, INDEX(Kat, AN333,4), 0)</f>
        <v>0</v>
      </c>
      <c r="AQ333" s="228">
        <f t="shared" si="584"/>
        <v>0</v>
      </c>
      <c r="AR333" s="228" cm="1">
        <f t="array" ref="AR333">IF(X333&gt;0, INDEX(Kat, $AN333, 4+AQ333), 0)</f>
        <v>0</v>
      </c>
      <c r="AS333" s="228" cm="1">
        <f t="array" ref="AS333">IF(X333&gt;0, INDEX(Kat, $AN333, 9+AQ333), 0)</f>
        <v>0</v>
      </c>
      <c r="AT333" s="246"/>
      <c r="AU333" s="262"/>
      <c r="AV333" s="262"/>
      <c r="AW333" s="263"/>
      <c r="AX333" s="263"/>
      <c r="AY333" s="263"/>
      <c r="AZ333" s="263"/>
      <c r="BA333" s="263"/>
      <c r="BB333" s="263"/>
      <c r="BC333" s="263"/>
      <c r="BD333" s="263"/>
      <c r="BE333" s="263"/>
      <c r="BF333" s="263"/>
      <c r="BG333" s="263"/>
      <c r="BH333" s="246"/>
      <c r="BI333" s="228" cm="1">
        <f t="array" ref="BI333">INDEX(Use, $AH333, 4)</f>
        <v>7</v>
      </c>
      <c r="BJ333" s="228">
        <f t="shared" si="560"/>
        <v>32</v>
      </c>
      <c r="BK333" s="228">
        <f t="shared" si="305"/>
        <v>13</v>
      </c>
      <c r="BL333" s="228">
        <f t="shared" si="306"/>
        <v>0</v>
      </c>
      <c r="BM333" s="233" cm="1">
        <f t="array" ref="BM333">L333/IF($M333&gt;0, INDEX($AY$22:$BE$76, $M333+20, $AH333), 1)</f>
        <v>0</v>
      </c>
      <c r="BN333" s="229">
        <f t="shared" si="561"/>
        <v>0</v>
      </c>
      <c r="BO333" s="228">
        <v>35</v>
      </c>
      <c r="BP333" s="229">
        <f t="shared" si="562"/>
        <v>48</v>
      </c>
      <c r="BQ333" s="234">
        <f t="shared" si="563"/>
        <v>3.0748170731707316</v>
      </c>
      <c r="BR333" s="234" cm="1">
        <f t="array" ref="BR333">$BM333 * SUMPRODUCT(INDEX($AV$76:$AX$81,,$AI333),INDEX($AY$76:$BE$81,,$AH333), N($AU$76:$AU$81&gt;$AM333)) / BQ333 / 1000</f>
        <v>0</v>
      </c>
      <c r="BS333" s="231">
        <f t="shared" si="310"/>
        <v>30</v>
      </c>
      <c r="BT333" s="229">
        <f t="shared" si="564"/>
        <v>43</v>
      </c>
      <c r="BU333" s="234">
        <f t="shared" si="565"/>
        <v>3.5018750000000001</v>
      </c>
      <c r="BV333" s="234" cm="1">
        <f t="array" ref="BV333">$BM333 * IF($AH333&lt;=2,
SUMPRODUCT(INDEX($AV$71:$AX$75,,$AI333), INDEX($AY$71:$BE$75,,$AH333), 1 / ($BF$71:$BF$75*BU333 + (1-$BF$71:$BF$75)*BQ333), N($AU$71:$AU$75&gt;$AM333)),
SUMPRODUCT(INDEX($AV$66:$AX$75,,$AI333), INDEX($AY$66:$BE$75,,$AH333), 1 / ($BG$66:$BG$75*BU333 + (1-$BG$66:$BG$75)*BQ333), N($AU$66:$AU$75&gt;$AM333))
) / 1000</f>
        <v>0</v>
      </c>
      <c r="BW333" s="231">
        <f t="shared" si="313"/>
        <v>25</v>
      </c>
      <c r="BX333" s="229">
        <f t="shared" si="566"/>
        <v>38</v>
      </c>
      <c r="BY333" s="234">
        <f t="shared" si="567"/>
        <v>4.0666935483870965</v>
      </c>
      <c r="BZ333" s="234" cm="1">
        <f t="array" ref="BZ333">$BM333 * IF($AH333&lt;=2,
SUMPRODUCT(INDEX($AV$66:$AX$70,,$AI333), INDEX($AY$66:$BE$70,,$AH333), 1 / ($BF$66:$BF$70*BY333 + (1-$BF$66:$BF$70)*BU333), N($AU$66:$AU$70&gt;$AM333)),
SUMPRODUCT(INDEX($AV$56:$AX$65,,$AI333), INDEX($AY$56:$BE$65,,$AH333), 1 / ($BG$56:$BG$65*BY333 + (1-$BG$56:$BG$65)*BU333), N($AU$56:$AU$65&gt;$AM333))
) / 1000</f>
        <v>0</v>
      </c>
      <c r="CA333" s="231">
        <f t="shared" si="316"/>
        <v>20</v>
      </c>
      <c r="CB333" s="229">
        <f t="shared" si="568"/>
        <v>33</v>
      </c>
      <c r="CC333" s="234">
        <f t="shared" si="569"/>
        <v>4.8487499999999999</v>
      </c>
      <c r="CD333" s="234" cm="1">
        <f t="array" ref="CD333">$BM333 * IF($AH333&lt;=2,
SUMPRODUCT(INDEX($AV$61:$AX$65,,$AI333), INDEX($AY$61:$BE$65,,$AH333), 1 / ($BF$61:$BF$65*CC333 + (1-$BF$61:$BF$65)*BY333), N($AU$61:$AU$65&gt;$AM333)),
SUMPRODUCT(INDEX($AV$46:$AX$55,,$AI333), INDEX($AY$46:$BE$55,,$AH333), 1 / ($BG$46:$BG$55*CC333 + (1-$BG$46:$BG$55)*BY333), N($AU$46:$AU$55&gt;$AM333))
) / 1000</f>
        <v>0</v>
      </c>
      <c r="CE333" s="234" cm="1">
        <f t="array" ref="CE333">$BM333 * IF($AH333&lt;=2,
SUMPRODUCT(INDEX($AV$22:$AX$60,,$AI333), INDEX($AY$22:$BE$60,,$AH333), 1 / ($BF$22:$BF$60*CC333), N($AU$22:$AU$60&gt;$AM333)),
SUMPRODUCT(INDEX($AV$22:$AX$45,,$AI333), INDEX($AY$22:$BE$45,,$AH333), 1 / ($BG$22:$BG$45*CC333), N($AU$22:$AU$45&gt;$AM333))
) / 1000</f>
        <v>0</v>
      </c>
      <c r="CF333" s="229">
        <f t="shared" si="570"/>
        <v>0</v>
      </c>
      <c r="CG333" s="246"/>
      <c r="CH333" s="229">
        <f t="shared" si="571"/>
        <v>0</v>
      </c>
      <c r="CI333" s="228">
        <v>35</v>
      </c>
      <c r="CJ333" s="229">
        <f t="shared" si="572"/>
        <v>48</v>
      </c>
      <c r="CK333" s="234">
        <f t="shared" si="573"/>
        <v>3.0748170731707316</v>
      </c>
      <c r="CL333" s="234" cm="1">
        <f t="array" ref="CL333">$BM333 * SUMPRODUCT(INDEX($AV$76:$AX$81,,$AI333),INDEX($AY$76:$BE$81,,$AH333), N($AU$76:$AU$81&gt;$AM333)) / CK333 / 1000</f>
        <v>0</v>
      </c>
      <c r="CM333" s="231">
        <f t="shared" si="323"/>
        <v>30</v>
      </c>
      <c r="CN333" s="229">
        <f t="shared" si="574"/>
        <v>43</v>
      </c>
      <c r="CO333" s="234">
        <f t="shared" si="575"/>
        <v>3.5018750000000001</v>
      </c>
      <c r="CP333" s="234" cm="1">
        <f t="array" ref="CP333">$BM333 * IF($AH333&lt;=2,
SUMPRODUCT(INDEX($AV$71:$AX$75,,$AI333), INDEX($AY$71:$BE$75,,$AH333), 1 / ($BF$71:$BF$75*CO333 + (1-$BF$71:$BF$75)*CK333), N($AU$71:$AU$75&gt;$AM333)),
SUMPRODUCT(INDEX($AV$66:$AX$75,,$AI333), INDEX($AY$66:$BE$75,,$AH333), 1 / ($BG$66:$BG$75*CO333 + (1-$BG$66:$BG$75)*CK333), N($AU$66:$AU$75&gt;$AM333))
) / 1000</f>
        <v>0</v>
      </c>
      <c r="CQ333" s="231">
        <f t="shared" si="326"/>
        <v>25</v>
      </c>
      <c r="CR333" s="229">
        <f t="shared" si="576"/>
        <v>38</v>
      </c>
      <c r="CS333" s="234">
        <f t="shared" si="577"/>
        <v>4.0666935483870965</v>
      </c>
      <c r="CT333" s="234" cm="1">
        <f t="array" ref="CT333">$BM333 * IF($AH333&lt;=2,
SUMPRODUCT(INDEX($AV$66:$AX$70,,$AI333), INDEX($AY$66:$BE$70,,$AH333), 1 / ($BF$66:$BF$70*CS333 + (1-$BF$66:$BF$70)*CO333), N($AU$66:$AU$70&gt;$AM333)),
SUMPRODUCT(INDEX($AV$56:$AX$65,,$AI333), INDEX($AY$56:$BE$65,,$AH333), 1 / ($BG$56:$BG$65*CS333 + (1-$BG$56:$BG$65)*CO333), N($AU$56:$AU$65&gt;$AM333))
) / 1000</f>
        <v>0</v>
      </c>
      <c r="CU333" s="231">
        <f t="shared" si="329"/>
        <v>20</v>
      </c>
      <c r="CV333" s="229">
        <f t="shared" si="578"/>
        <v>33</v>
      </c>
      <c r="CW333" s="234">
        <f t="shared" si="579"/>
        <v>4.8487499999999999</v>
      </c>
      <c r="CX333" s="234" cm="1">
        <f t="array" ref="CX333">$BM333 * IF($AH333&lt;=2,
SUMPRODUCT(INDEX($AV$61:$AX$65,,$AI333), INDEX($AY$61:$BE$65,,$AH333), 1 / ($BF$61:$BF$65*CW333 + (1-$BF$61:$BF$65)*CS333), N($AU$61:$AU$65&gt;$AM333)),
SUMPRODUCT(INDEX($AV$46:$AX$55,,$AI333), INDEX($AY$46:$BE$55,,$AH333), 1 / ($BG$46:$BG$55*CW333 + (1-$BG$46:$BG$55)*CS333), N($AU$46:$AU$55&gt;$AM333))
) / 1000</f>
        <v>0</v>
      </c>
      <c r="CY333" s="234" cm="1">
        <f t="array" ref="CY333">$BM333 * IF($AH333&lt;=2,
SUMPRODUCT(INDEX($AV$22:$AX$60,,$AI333), INDEX($AY$22:$BE$60,,$AH333), 1 / ($BF$22:$BF$60*CW333), N($AU$22:$AU$60&gt;$AM333)),
SUMPRODUCT(INDEX($AV$22:$AX$45,,$AI333), INDEX($AY$22:$BE$45,,$AH333), 1 / ($BG$22:$BG$45*CW333), N($AU$22:$AU$45&gt;$AM333))
) / 1000</f>
        <v>0</v>
      </c>
      <c r="CZ333" s="229">
        <f t="shared" si="580"/>
        <v>0</v>
      </c>
      <c r="DA333" s="246"/>
    </row>
    <row r="334" spans="1:105" s="75" customFormat="1" ht="14.25" customHeight="1" x14ac:dyDescent="0.2">
      <c r="A334" s="230" t="b">
        <f t="shared" si="291"/>
        <v>0</v>
      </c>
      <c r="B334" s="253">
        <v>313</v>
      </c>
      <c r="C334" s="266"/>
      <c r="D334" s="266"/>
      <c r="E334" s="254"/>
      <c r="F334" s="255" t="str">
        <f>IF(ISBLANK(E334), "", VLOOKUP(E334, Z!$A$2:$C$4127, 3, FALSE))</f>
        <v/>
      </c>
      <c r="G334" s="256"/>
      <c r="H334" s="256"/>
      <c r="I334" s="256"/>
      <c r="J334" s="257"/>
      <c r="K334" s="258"/>
      <c r="L334" s="267"/>
      <c r="M334" s="268"/>
      <c r="N334" s="259" t="str" cm="1">
        <f t="array" ref="N334">IF($L334&gt;0, INDEX(Clean,1+AK334,$D$1), "")</f>
        <v/>
      </c>
      <c r="O334" s="260"/>
      <c r="P334" s="260"/>
      <c r="Q334" s="261"/>
      <c r="R334" s="264">
        <f t="shared" si="556"/>
        <v>0</v>
      </c>
      <c r="S334" s="259" t="str" cm="1">
        <f t="array" ref="S334">IF($L334&gt;0, INDEX(Clean,1+AL334,$D$1), "")</f>
        <v/>
      </c>
      <c r="T334" s="260"/>
      <c r="U334" s="260"/>
      <c r="V334" s="261"/>
      <c r="W334" s="267"/>
      <c r="X334" s="267"/>
      <c r="Y334" s="257"/>
      <c r="Z334" s="264">
        <f t="shared" si="557"/>
        <v>0</v>
      </c>
      <c r="AA334" s="269"/>
      <c r="AB334" s="266"/>
      <c r="AC334" s="254"/>
      <c r="AD334" s="255" t="str">
        <f>IF(ISBLANK(AC334), "", VLOOKUP(AC334, Z!$A$2:$C$4127, 3, FALSE))</f>
        <v/>
      </c>
      <c r="AE334" s="270"/>
      <c r="AF334" s="265">
        <f t="shared" si="558"/>
        <v>0</v>
      </c>
      <c r="AG334" s="246"/>
      <c r="AH334" s="228">
        <f t="shared" si="581"/>
        <v>1</v>
      </c>
      <c r="AI334" s="228">
        <f t="shared" si="582"/>
        <v>1</v>
      </c>
      <c r="AJ334" s="228">
        <f t="shared" si="583"/>
        <v>0</v>
      </c>
      <c r="AK334" s="228">
        <v>0</v>
      </c>
      <c r="AL334" s="228">
        <v>0</v>
      </c>
      <c r="AM334" s="228">
        <f t="shared" si="559"/>
        <v>-100</v>
      </c>
      <c r="AN334" s="228" cm="1">
        <f t="array" ref="AN334">IF(ISBLANK(G334), 1, IFERROR(MATCH(G334, INDEX(Kat,,1), 0), IFERROR(MATCH(Kat, INDEX(Use,,2), 0), MATCH(Kat, INDEX(Use,,3), 0))))</f>
        <v>1</v>
      </c>
      <c r="AO334" s="246"/>
      <c r="AP334" s="228" cm="1">
        <f t="array" ref="AP334">IF(W334&gt;0, INDEX(Kat, AN334,4), 0)</f>
        <v>0</v>
      </c>
      <c r="AQ334" s="228">
        <f t="shared" si="584"/>
        <v>0</v>
      </c>
      <c r="AR334" s="228" cm="1">
        <f t="array" ref="AR334">IF(X334&gt;0, INDEX(Kat, $AN334, 4+AQ334), 0)</f>
        <v>0</v>
      </c>
      <c r="AS334" s="228" cm="1">
        <f t="array" ref="AS334">IF(X334&gt;0, INDEX(Kat, $AN334, 9+AQ334), 0)</f>
        <v>0</v>
      </c>
      <c r="AT334" s="246"/>
      <c r="AU334" s="262"/>
      <c r="AV334" s="262"/>
      <c r="AW334" s="263"/>
      <c r="AX334" s="263"/>
      <c r="AY334" s="263"/>
      <c r="AZ334" s="263"/>
      <c r="BA334" s="263"/>
      <c r="BB334" s="263"/>
      <c r="BC334" s="263"/>
      <c r="BD334" s="263"/>
      <c r="BE334" s="263"/>
      <c r="BF334" s="263"/>
      <c r="BG334" s="263"/>
      <c r="BH334" s="246"/>
      <c r="BI334" s="228" cm="1">
        <f t="array" ref="BI334">INDEX(Use, $AH334, 4)</f>
        <v>7</v>
      </c>
      <c r="BJ334" s="228">
        <f t="shared" si="560"/>
        <v>32</v>
      </c>
      <c r="BK334" s="228">
        <f t="shared" si="305"/>
        <v>13</v>
      </c>
      <c r="BL334" s="228">
        <f t="shared" si="306"/>
        <v>0</v>
      </c>
      <c r="BM334" s="233" cm="1">
        <f t="array" ref="BM334">L334/IF($M334&gt;0, INDEX($AY$22:$BE$76, $M334+20, $AH334), 1)</f>
        <v>0</v>
      </c>
      <c r="BN334" s="229">
        <f t="shared" si="561"/>
        <v>0</v>
      </c>
      <c r="BO334" s="228">
        <v>35</v>
      </c>
      <c r="BP334" s="229">
        <f t="shared" si="562"/>
        <v>48</v>
      </c>
      <c r="BQ334" s="234">
        <f t="shared" si="563"/>
        <v>3.0748170731707316</v>
      </c>
      <c r="BR334" s="234" cm="1">
        <f t="array" ref="BR334">$BM334 * SUMPRODUCT(INDEX($AV$76:$AX$81,,$AI334),INDEX($AY$76:$BE$81,,$AH334), N($AU$76:$AU$81&gt;$AM334)) / BQ334 / 1000</f>
        <v>0</v>
      </c>
      <c r="BS334" s="231">
        <f t="shared" si="310"/>
        <v>30</v>
      </c>
      <c r="BT334" s="229">
        <f t="shared" si="564"/>
        <v>43</v>
      </c>
      <c r="BU334" s="234">
        <f t="shared" si="565"/>
        <v>3.5018750000000001</v>
      </c>
      <c r="BV334" s="234" cm="1">
        <f t="array" ref="BV334">$BM334 * IF($AH334&lt;=2,
SUMPRODUCT(INDEX($AV$71:$AX$75,,$AI334), INDEX($AY$71:$BE$75,,$AH334), 1 / ($BF$71:$BF$75*BU334 + (1-$BF$71:$BF$75)*BQ334), N($AU$71:$AU$75&gt;$AM334)),
SUMPRODUCT(INDEX($AV$66:$AX$75,,$AI334), INDEX($AY$66:$BE$75,,$AH334), 1 / ($BG$66:$BG$75*BU334 + (1-$BG$66:$BG$75)*BQ334), N($AU$66:$AU$75&gt;$AM334))
) / 1000</f>
        <v>0</v>
      </c>
      <c r="BW334" s="231">
        <f t="shared" si="313"/>
        <v>25</v>
      </c>
      <c r="BX334" s="229">
        <f t="shared" si="566"/>
        <v>38</v>
      </c>
      <c r="BY334" s="234">
        <f t="shared" si="567"/>
        <v>4.0666935483870965</v>
      </c>
      <c r="BZ334" s="234" cm="1">
        <f t="array" ref="BZ334">$BM334 * IF($AH334&lt;=2,
SUMPRODUCT(INDEX($AV$66:$AX$70,,$AI334), INDEX($AY$66:$BE$70,,$AH334), 1 / ($BF$66:$BF$70*BY334 + (1-$BF$66:$BF$70)*BU334), N($AU$66:$AU$70&gt;$AM334)),
SUMPRODUCT(INDEX($AV$56:$AX$65,,$AI334), INDEX($AY$56:$BE$65,,$AH334), 1 / ($BG$56:$BG$65*BY334 + (1-$BG$56:$BG$65)*BU334), N($AU$56:$AU$65&gt;$AM334))
) / 1000</f>
        <v>0</v>
      </c>
      <c r="CA334" s="231">
        <f t="shared" si="316"/>
        <v>20</v>
      </c>
      <c r="CB334" s="229">
        <f t="shared" si="568"/>
        <v>33</v>
      </c>
      <c r="CC334" s="234">
        <f t="shared" si="569"/>
        <v>4.8487499999999999</v>
      </c>
      <c r="CD334" s="234" cm="1">
        <f t="array" ref="CD334">$BM334 * IF($AH334&lt;=2,
SUMPRODUCT(INDEX($AV$61:$AX$65,,$AI334), INDEX($AY$61:$BE$65,,$AH334), 1 / ($BF$61:$BF$65*CC334 + (1-$BF$61:$BF$65)*BY334), N($AU$61:$AU$65&gt;$AM334)),
SUMPRODUCT(INDEX($AV$46:$AX$55,,$AI334), INDEX($AY$46:$BE$55,,$AH334), 1 / ($BG$46:$BG$55*CC334 + (1-$BG$46:$BG$55)*BY334), N($AU$46:$AU$55&gt;$AM334))
) / 1000</f>
        <v>0</v>
      </c>
      <c r="CE334" s="234" cm="1">
        <f t="array" ref="CE334">$BM334 * IF($AH334&lt;=2,
SUMPRODUCT(INDEX($AV$22:$AX$60,,$AI334), INDEX($AY$22:$BE$60,,$AH334), 1 / ($BF$22:$BF$60*CC334), N($AU$22:$AU$60&gt;$AM334)),
SUMPRODUCT(INDEX($AV$22:$AX$45,,$AI334), INDEX($AY$22:$BE$45,,$AH334), 1 / ($BG$22:$BG$45*CC334), N($AU$22:$AU$45&gt;$AM334))
) / 1000</f>
        <v>0</v>
      </c>
      <c r="CF334" s="229">
        <f t="shared" si="570"/>
        <v>0</v>
      </c>
      <c r="CG334" s="246"/>
      <c r="CH334" s="229">
        <f t="shared" si="571"/>
        <v>0</v>
      </c>
      <c r="CI334" s="228">
        <v>35</v>
      </c>
      <c r="CJ334" s="229">
        <f t="shared" si="572"/>
        <v>48</v>
      </c>
      <c r="CK334" s="234">
        <f t="shared" si="573"/>
        <v>3.0748170731707316</v>
      </c>
      <c r="CL334" s="234" cm="1">
        <f t="array" ref="CL334">$BM334 * SUMPRODUCT(INDEX($AV$76:$AX$81,,$AI334),INDEX($AY$76:$BE$81,,$AH334), N($AU$76:$AU$81&gt;$AM334)) / CK334 / 1000</f>
        <v>0</v>
      </c>
      <c r="CM334" s="231">
        <f t="shared" si="323"/>
        <v>30</v>
      </c>
      <c r="CN334" s="229">
        <f t="shared" si="574"/>
        <v>43</v>
      </c>
      <c r="CO334" s="234">
        <f t="shared" si="575"/>
        <v>3.5018750000000001</v>
      </c>
      <c r="CP334" s="234" cm="1">
        <f t="array" ref="CP334">$BM334 * IF($AH334&lt;=2,
SUMPRODUCT(INDEX($AV$71:$AX$75,,$AI334), INDEX($AY$71:$BE$75,,$AH334), 1 / ($BF$71:$BF$75*CO334 + (1-$BF$71:$BF$75)*CK334), N($AU$71:$AU$75&gt;$AM334)),
SUMPRODUCT(INDEX($AV$66:$AX$75,,$AI334), INDEX($AY$66:$BE$75,,$AH334), 1 / ($BG$66:$BG$75*CO334 + (1-$BG$66:$BG$75)*CK334), N($AU$66:$AU$75&gt;$AM334))
) / 1000</f>
        <v>0</v>
      </c>
      <c r="CQ334" s="231">
        <f t="shared" si="326"/>
        <v>25</v>
      </c>
      <c r="CR334" s="229">
        <f t="shared" si="576"/>
        <v>38</v>
      </c>
      <c r="CS334" s="234">
        <f t="shared" si="577"/>
        <v>4.0666935483870965</v>
      </c>
      <c r="CT334" s="234" cm="1">
        <f t="array" ref="CT334">$BM334 * IF($AH334&lt;=2,
SUMPRODUCT(INDEX($AV$66:$AX$70,,$AI334), INDEX($AY$66:$BE$70,,$AH334), 1 / ($BF$66:$BF$70*CS334 + (1-$BF$66:$BF$70)*CO334), N($AU$66:$AU$70&gt;$AM334)),
SUMPRODUCT(INDEX($AV$56:$AX$65,,$AI334), INDEX($AY$56:$BE$65,,$AH334), 1 / ($BG$56:$BG$65*CS334 + (1-$BG$56:$BG$65)*CO334), N($AU$56:$AU$65&gt;$AM334))
) / 1000</f>
        <v>0</v>
      </c>
      <c r="CU334" s="231">
        <f t="shared" si="329"/>
        <v>20</v>
      </c>
      <c r="CV334" s="229">
        <f t="shared" si="578"/>
        <v>33</v>
      </c>
      <c r="CW334" s="234">
        <f t="shared" si="579"/>
        <v>4.8487499999999999</v>
      </c>
      <c r="CX334" s="234" cm="1">
        <f t="array" ref="CX334">$BM334 * IF($AH334&lt;=2,
SUMPRODUCT(INDEX($AV$61:$AX$65,,$AI334), INDEX($AY$61:$BE$65,,$AH334), 1 / ($BF$61:$BF$65*CW334 + (1-$BF$61:$BF$65)*CS334), N($AU$61:$AU$65&gt;$AM334)),
SUMPRODUCT(INDEX($AV$46:$AX$55,,$AI334), INDEX($AY$46:$BE$55,,$AH334), 1 / ($BG$46:$BG$55*CW334 + (1-$BG$46:$BG$55)*CS334), N($AU$46:$AU$55&gt;$AM334))
) / 1000</f>
        <v>0</v>
      </c>
      <c r="CY334" s="234" cm="1">
        <f t="array" ref="CY334">$BM334 * IF($AH334&lt;=2,
SUMPRODUCT(INDEX($AV$22:$AX$60,,$AI334), INDEX($AY$22:$BE$60,,$AH334), 1 / ($BF$22:$BF$60*CW334), N($AU$22:$AU$60&gt;$AM334)),
SUMPRODUCT(INDEX($AV$22:$AX$45,,$AI334), INDEX($AY$22:$BE$45,,$AH334), 1 / ($BG$22:$BG$45*CW334), N($AU$22:$AU$45&gt;$AM334))
) / 1000</f>
        <v>0</v>
      </c>
      <c r="CZ334" s="229">
        <f t="shared" si="580"/>
        <v>0</v>
      </c>
      <c r="DA334" s="246"/>
    </row>
    <row r="335" spans="1:105" s="75" customFormat="1" ht="14.25" customHeight="1" x14ac:dyDescent="0.2">
      <c r="A335" s="230" t="b">
        <f t="shared" si="291"/>
        <v>0</v>
      </c>
      <c r="B335" s="253">
        <v>314</v>
      </c>
      <c r="C335" s="266"/>
      <c r="D335" s="266"/>
      <c r="E335" s="254"/>
      <c r="F335" s="255" t="str">
        <f>IF(ISBLANK(E335), "", VLOOKUP(E335, Z!$A$2:$C$4127, 3, FALSE))</f>
        <v/>
      </c>
      <c r="G335" s="256"/>
      <c r="H335" s="256"/>
      <c r="I335" s="256"/>
      <c r="J335" s="257"/>
      <c r="K335" s="258"/>
      <c r="L335" s="267"/>
      <c r="M335" s="268"/>
      <c r="N335" s="259" t="str" cm="1">
        <f t="array" ref="N335">IF($L335&gt;0, INDEX(Clean,1+AK335,$D$1), "")</f>
        <v/>
      </c>
      <c r="O335" s="260"/>
      <c r="P335" s="260"/>
      <c r="Q335" s="261"/>
      <c r="R335" s="264">
        <f t="shared" si="556"/>
        <v>0</v>
      </c>
      <c r="S335" s="259" t="str" cm="1">
        <f t="array" ref="S335">IF($L335&gt;0, INDEX(Clean,1+AL335,$D$1), "")</f>
        <v/>
      </c>
      <c r="T335" s="260"/>
      <c r="U335" s="260"/>
      <c r="V335" s="261"/>
      <c r="W335" s="267"/>
      <c r="X335" s="267"/>
      <c r="Y335" s="257"/>
      <c r="Z335" s="264">
        <f t="shared" si="557"/>
        <v>0</v>
      </c>
      <c r="AA335" s="269"/>
      <c r="AB335" s="266"/>
      <c r="AC335" s="254"/>
      <c r="AD335" s="255" t="str">
        <f>IF(ISBLANK(AC335), "", VLOOKUP(AC335, Z!$A$2:$C$4127, 3, FALSE))</f>
        <v/>
      </c>
      <c r="AE335" s="270"/>
      <c r="AF335" s="265">
        <f t="shared" si="558"/>
        <v>0</v>
      </c>
      <c r="AG335" s="246"/>
      <c r="AH335" s="228">
        <f t="shared" si="581"/>
        <v>1</v>
      </c>
      <c r="AI335" s="228">
        <f t="shared" si="582"/>
        <v>1</v>
      </c>
      <c r="AJ335" s="228">
        <f t="shared" si="583"/>
        <v>0</v>
      </c>
      <c r="AK335" s="228">
        <v>0</v>
      </c>
      <c r="AL335" s="228">
        <v>0</v>
      </c>
      <c r="AM335" s="228">
        <f t="shared" si="559"/>
        <v>-100</v>
      </c>
      <c r="AN335" s="228" cm="1">
        <f t="array" ref="AN335">IF(ISBLANK(G335), 1, IFERROR(MATCH(G335, INDEX(Kat,,1), 0), IFERROR(MATCH(Kat, INDEX(Use,,2), 0), MATCH(Kat, INDEX(Use,,3), 0))))</f>
        <v>1</v>
      </c>
      <c r="AO335" s="246"/>
      <c r="AP335" s="228" cm="1">
        <f t="array" ref="AP335">IF(W335&gt;0, INDEX(Kat, AN335,4), 0)</f>
        <v>0</v>
      </c>
      <c r="AQ335" s="228">
        <f t="shared" si="584"/>
        <v>0</v>
      </c>
      <c r="AR335" s="228" cm="1">
        <f t="array" ref="AR335">IF(X335&gt;0, INDEX(Kat, $AN335, 4+AQ335), 0)</f>
        <v>0</v>
      </c>
      <c r="AS335" s="228" cm="1">
        <f t="array" ref="AS335">IF(X335&gt;0, INDEX(Kat, $AN335, 9+AQ335), 0)</f>
        <v>0</v>
      </c>
      <c r="AT335" s="246"/>
      <c r="AU335" s="262"/>
      <c r="AV335" s="262"/>
      <c r="AW335" s="263"/>
      <c r="AX335" s="263"/>
      <c r="AY335" s="263"/>
      <c r="AZ335" s="263"/>
      <c r="BA335" s="263"/>
      <c r="BB335" s="263"/>
      <c r="BC335" s="263"/>
      <c r="BD335" s="263"/>
      <c r="BE335" s="263"/>
      <c r="BF335" s="263"/>
      <c r="BG335" s="263"/>
      <c r="BH335" s="246"/>
      <c r="BI335" s="228" cm="1">
        <f t="array" ref="BI335">INDEX(Use, $AH335, 4)</f>
        <v>7</v>
      </c>
      <c r="BJ335" s="228">
        <f t="shared" si="560"/>
        <v>32</v>
      </c>
      <c r="BK335" s="228">
        <f t="shared" si="305"/>
        <v>13</v>
      </c>
      <c r="BL335" s="228">
        <f t="shared" si="306"/>
        <v>0</v>
      </c>
      <c r="BM335" s="233" cm="1">
        <f t="array" ref="BM335">L335/IF($M335&gt;0, INDEX($AY$22:$BE$76, $M335+20, $AH335), 1)</f>
        <v>0</v>
      </c>
      <c r="BN335" s="229">
        <f t="shared" si="561"/>
        <v>0</v>
      </c>
      <c r="BO335" s="228">
        <v>35</v>
      </c>
      <c r="BP335" s="229">
        <f t="shared" si="562"/>
        <v>48</v>
      </c>
      <c r="BQ335" s="234">
        <f t="shared" si="563"/>
        <v>3.0748170731707316</v>
      </c>
      <c r="BR335" s="234" cm="1">
        <f t="array" ref="BR335">$BM335 * SUMPRODUCT(INDEX($AV$76:$AX$81,,$AI335),INDEX($AY$76:$BE$81,,$AH335), N($AU$76:$AU$81&gt;$AM335)) / BQ335 / 1000</f>
        <v>0</v>
      </c>
      <c r="BS335" s="231">
        <f t="shared" si="310"/>
        <v>30</v>
      </c>
      <c r="BT335" s="229">
        <f t="shared" si="564"/>
        <v>43</v>
      </c>
      <c r="BU335" s="234">
        <f t="shared" si="565"/>
        <v>3.5018750000000001</v>
      </c>
      <c r="BV335" s="234" cm="1">
        <f t="array" ref="BV335">$BM335 * IF($AH335&lt;=2,
SUMPRODUCT(INDEX($AV$71:$AX$75,,$AI335), INDEX($AY$71:$BE$75,,$AH335), 1 / ($BF$71:$BF$75*BU335 + (1-$BF$71:$BF$75)*BQ335), N($AU$71:$AU$75&gt;$AM335)),
SUMPRODUCT(INDEX($AV$66:$AX$75,,$AI335), INDEX($AY$66:$BE$75,,$AH335), 1 / ($BG$66:$BG$75*BU335 + (1-$BG$66:$BG$75)*BQ335), N($AU$66:$AU$75&gt;$AM335))
) / 1000</f>
        <v>0</v>
      </c>
      <c r="BW335" s="231">
        <f t="shared" si="313"/>
        <v>25</v>
      </c>
      <c r="BX335" s="229">
        <f t="shared" si="566"/>
        <v>38</v>
      </c>
      <c r="BY335" s="234">
        <f t="shared" si="567"/>
        <v>4.0666935483870965</v>
      </c>
      <c r="BZ335" s="234" cm="1">
        <f t="array" ref="BZ335">$BM335 * IF($AH335&lt;=2,
SUMPRODUCT(INDEX($AV$66:$AX$70,,$AI335), INDEX($AY$66:$BE$70,,$AH335), 1 / ($BF$66:$BF$70*BY335 + (1-$BF$66:$BF$70)*BU335), N($AU$66:$AU$70&gt;$AM335)),
SUMPRODUCT(INDEX($AV$56:$AX$65,,$AI335), INDEX($AY$56:$BE$65,,$AH335), 1 / ($BG$56:$BG$65*BY335 + (1-$BG$56:$BG$65)*BU335), N($AU$56:$AU$65&gt;$AM335))
) / 1000</f>
        <v>0</v>
      </c>
      <c r="CA335" s="231">
        <f t="shared" si="316"/>
        <v>20</v>
      </c>
      <c r="CB335" s="229">
        <f t="shared" si="568"/>
        <v>33</v>
      </c>
      <c r="CC335" s="234">
        <f t="shared" si="569"/>
        <v>4.8487499999999999</v>
      </c>
      <c r="CD335" s="234" cm="1">
        <f t="array" ref="CD335">$BM335 * IF($AH335&lt;=2,
SUMPRODUCT(INDEX($AV$61:$AX$65,,$AI335), INDEX($AY$61:$BE$65,,$AH335), 1 / ($BF$61:$BF$65*CC335 + (1-$BF$61:$BF$65)*BY335), N($AU$61:$AU$65&gt;$AM335)),
SUMPRODUCT(INDEX($AV$46:$AX$55,,$AI335), INDEX($AY$46:$BE$55,,$AH335), 1 / ($BG$46:$BG$55*CC335 + (1-$BG$46:$BG$55)*BY335), N($AU$46:$AU$55&gt;$AM335))
) / 1000</f>
        <v>0</v>
      </c>
      <c r="CE335" s="234" cm="1">
        <f t="array" ref="CE335">$BM335 * IF($AH335&lt;=2,
SUMPRODUCT(INDEX($AV$22:$AX$60,,$AI335), INDEX($AY$22:$BE$60,,$AH335), 1 / ($BF$22:$BF$60*CC335), N($AU$22:$AU$60&gt;$AM335)),
SUMPRODUCT(INDEX($AV$22:$AX$45,,$AI335), INDEX($AY$22:$BE$45,,$AH335), 1 / ($BG$22:$BG$45*CC335), N($AU$22:$AU$45&gt;$AM335))
) / 1000</f>
        <v>0</v>
      </c>
      <c r="CF335" s="229">
        <f t="shared" si="570"/>
        <v>0</v>
      </c>
      <c r="CG335" s="246"/>
      <c r="CH335" s="229">
        <f t="shared" si="571"/>
        <v>0</v>
      </c>
      <c r="CI335" s="228">
        <v>35</v>
      </c>
      <c r="CJ335" s="229">
        <f t="shared" si="572"/>
        <v>48</v>
      </c>
      <c r="CK335" s="234">
        <f t="shared" si="573"/>
        <v>3.0748170731707316</v>
      </c>
      <c r="CL335" s="234" cm="1">
        <f t="array" ref="CL335">$BM335 * SUMPRODUCT(INDEX($AV$76:$AX$81,,$AI335),INDEX($AY$76:$BE$81,,$AH335), N($AU$76:$AU$81&gt;$AM335)) / CK335 / 1000</f>
        <v>0</v>
      </c>
      <c r="CM335" s="231">
        <f t="shared" si="323"/>
        <v>30</v>
      </c>
      <c r="CN335" s="229">
        <f t="shared" si="574"/>
        <v>43</v>
      </c>
      <c r="CO335" s="234">
        <f t="shared" si="575"/>
        <v>3.5018750000000001</v>
      </c>
      <c r="CP335" s="234" cm="1">
        <f t="array" ref="CP335">$BM335 * IF($AH335&lt;=2,
SUMPRODUCT(INDEX($AV$71:$AX$75,,$AI335), INDEX($AY$71:$BE$75,,$AH335), 1 / ($BF$71:$BF$75*CO335 + (1-$BF$71:$BF$75)*CK335), N($AU$71:$AU$75&gt;$AM335)),
SUMPRODUCT(INDEX($AV$66:$AX$75,,$AI335), INDEX($AY$66:$BE$75,,$AH335), 1 / ($BG$66:$BG$75*CO335 + (1-$BG$66:$BG$75)*CK335), N($AU$66:$AU$75&gt;$AM335))
) / 1000</f>
        <v>0</v>
      </c>
      <c r="CQ335" s="231">
        <f t="shared" si="326"/>
        <v>25</v>
      </c>
      <c r="CR335" s="229">
        <f t="shared" si="576"/>
        <v>38</v>
      </c>
      <c r="CS335" s="234">
        <f t="shared" si="577"/>
        <v>4.0666935483870965</v>
      </c>
      <c r="CT335" s="234" cm="1">
        <f t="array" ref="CT335">$BM335 * IF($AH335&lt;=2,
SUMPRODUCT(INDEX($AV$66:$AX$70,,$AI335), INDEX($AY$66:$BE$70,,$AH335), 1 / ($BF$66:$BF$70*CS335 + (1-$BF$66:$BF$70)*CO335), N($AU$66:$AU$70&gt;$AM335)),
SUMPRODUCT(INDEX($AV$56:$AX$65,,$AI335), INDEX($AY$56:$BE$65,,$AH335), 1 / ($BG$56:$BG$65*CS335 + (1-$BG$56:$BG$65)*CO335), N($AU$56:$AU$65&gt;$AM335))
) / 1000</f>
        <v>0</v>
      </c>
      <c r="CU335" s="231">
        <f t="shared" si="329"/>
        <v>20</v>
      </c>
      <c r="CV335" s="229">
        <f t="shared" si="578"/>
        <v>33</v>
      </c>
      <c r="CW335" s="234">
        <f t="shared" si="579"/>
        <v>4.8487499999999999</v>
      </c>
      <c r="CX335" s="234" cm="1">
        <f t="array" ref="CX335">$BM335 * IF($AH335&lt;=2,
SUMPRODUCT(INDEX($AV$61:$AX$65,,$AI335), INDEX($AY$61:$BE$65,,$AH335), 1 / ($BF$61:$BF$65*CW335 + (1-$BF$61:$BF$65)*CS335), N($AU$61:$AU$65&gt;$AM335)),
SUMPRODUCT(INDEX($AV$46:$AX$55,,$AI335), INDEX($AY$46:$BE$55,,$AH335), 1 / ($BG$46:$BG$55*CW335 + (1-$BG$46:$BG$55)*CS335), N($AU$46:$AU$55&gt;$AM335))
) / 1000</f>
        <v>0</v>
      </c>
      <c r="CY335" s="234" cm="1">
        <f t="array" ref="CY335">$BM335 * IF($AH335&lt;=2,
SUMPRODUCT(INDEX($AV$22:$AX$60,,$AI335), INDEX($AY$22:$BE$60,,$AH335), 1 / ($BF$22:$BF$60*CW335), N($AU$22:$AU$60&gt;$AM335)),
SUMPRODUCT(INDEX($AV$22:$AX$45,,$AI335), INDEX($AY$22:$BE$45,,$AH335), 1 / ($BG$22:$BG$45*CW335), N($AU$22:$AU$45&gt;$AM335))
) / 1000</f>
        <v>0</v>
      </c>
      <c r="CZ335" s="229">
        <f t="shared" si="580"/>
        <v>0</v>
      </c>
      <c r="DA335" s="246"/>
    </row>
    <row r="336" spans="1:105" s="75" customFormat="1" ht="14.25" customHeight="1" x14ac:dyDescent="0.2">
      <c r="A336" s="230" t="b">
        <f t="shared" si="291"/>
        <v>0</v>
      </c>
      <c r="B336" s="253">
        <v>315</v>
      </c>
      <c r="C336" s="266"/>
      <c r="D336" s="266"/>
      <c r="E336" s="254"/>
      <c r="F336" s="255" t="str">
        <f>IF(ISBLANK(E336), "", VLOOKUP(E336, Z!$A$2:$C$4127, 3, FALSE))</f>
        <v/>
      </c>
      <c r="G336" s="256"/>
      <c r="H336" s="256"/>
      <c r="I336" s="256"/>
      <c r="J336" s="257"/>
      <c r="K336" s="258"/>
      <c r="L336" s="267"/>
      <c r="M336" s="268"/>
      <c r="N336" s="259" t="str" cm="1">
        <f t="array" ref="N336">IF($L336&gt;0, INDEX(Clean,1+AK336,$D$1), "")</f>
        <v/>
      </c>
      <c r="O336" s="260"/>
      <c r="P336" s="260"/>
      <c r="Q336" s="261"/>
      <c r="R336" s="264">
        <f t="shared" si="556"/>
        <v>0</v>
      </c>
      <c r="S336" s="259" t="str" cm="1">
        <f t="array" ref="S336">IF($L336&gt;0, INDEX(Clean,1+AL336,$D$1), "")</f>
        <v/>
      </c>
      <c r="T336" s="260"/>
      <c r="U336" s="260"/>
      <c r="V336" s="261"/>
      <c r="W336" s="267"/>
      <c r="X336" s="267"/>
      <c r="Y336" s="257"/>
      <c r="Z336" s="264">
        <f t="shared" si="557"/>
        <v>0</v>
      </c>
      <c r="AA336" s="269"/>
      <c r="AB336" s="266"/>
      <c r="AC336" s="254"/>
      <c r="AD336" s="255" t="str">
        <f>IF(ISBLANK(AC336), "", VLOOKUP(AC336, Z!$A$2:$C$4127, 3, FALSE))</f>
        <v/>
      </c>
      <c r="AE336" s="270"/>
      <c r="AF336" s="265">
        <f t="shared" si="558"/>
        <v>0</v>
      </c>
      <c r="AG336" s="246"/>
      <c r="AH336" s="228">
        <f t="shared" si="581"/>
        <v>1</v>
      </c>
      <c r="AI336" s="228">
        <f t="shared" si="582"/>
        <v>1</v>
      </c>
      <c r="AJ336" s="228">
        <f t="shared" si="583"/>
        <v>0</v>
      </c>
      <c r="AK336" s="228">
        <v>0</v>
      </c>
      <c r="AL336" s="228">
        <v>0</v>
      </c>
      <c r="AM336" s="228">
        <f t="shared" si="559"/>
        <v>-100</v>
      </c>
      <c r="AN336" s="228" cm="1">
        <f t="array" ref="AN336">IF(ISBLANK(G336), 1, IFERROR(MATCH(G336, INDEX(Kat,,1), 0), IFERROR(MATCH(Kat, INDEX(Use,,2), 0), MATCH(Kat, INDEX(Use,,3), 0))))</f>
        <v>1</v>
      </c>
      <c r="AO336" s="246"/>
      <c r="AP336" s="228" cm="1">
        <f t="array" ref="AP336">IF(W336&gt;0, INDEX(Kat, AN336,4), 0)</f>
        <v>0</v>
      </c>
      <c r="AQ336" s="228">
        <f t="shared" si="584"/>
        <v>0</v>
      </c>
      <c r="AR336" s="228" cm="1">
        <f t="array" ref="AR336">IF(X336&gt;0, INDEX(Kat, $AN336, 4+AQ336), 0)</f>
        <v>0</v>
      </c>
      <c r="AS336" s="228" cm="1">
        <f t="array" ref="AS336">IF(X336&gt;0, INDEX(Kat, $AN336, 9+AQ336), 0)</f>
        <v>0</v>
      </c>
      <c r="AT336" s="246"/>
      <c r="AU336" s="262"/>
      <c r="AV336" s="262"/>
      <c r="AW336" s="263"/>
      <c r="AX336" s="263"/>
      <c r="AY336" s="263"/>
      <c r="AZ336" s="263"/>
      <c r="BA336" s="263"/>
      <c r="BB336" s="263"/>
      <c r="BC336" s="263"/>
      <c r="BD336" s="263"/>
      <c r="BE336" s="263"/>
      <c r="BF336" s="263"/>
      <c r="BG336" s="263"/>
      <c r="BH336" s="246"/>
      <c r="BI336" s="228" cm="1">
        <f t="array" ref="BI336">INDEX(Use, $AH336, 4)</f>
        <v>7</v>
      </c>
      <c r="BJ336" s="228">
        <f t="shared" si="560"/>
        <v>32</v>
      </c>
      <c r="BK336" s="228">
        <f t="shared" si="305"/>
        <v>13</v>
      </c>
      <c r="BL336" s="228">
        <f t="shared" si="306"/>
        <v>0</v>
      </c>
      <c r="BM336" s="233" cm="1">
        <f t="array" ref="BM336">L336/IF($M336&gt;0, INDEX($AY$22:$BE$76, $M336+20, $AH336), 1)</f>
        <v>0</v>
      </c>
      <c r="BN336" s="229">
        <f t="shared" si="561"/>
        <v>0</v>
      </c>
      <c r="BO336" s="228">
        <v>35</v>
      </c>
      <c r="BP336" s="229">
        <f t="shared" si="562"/>
        <v>48</v>
      </c>
      <c r="BQ336" s="234">
        <f t="shared" si="563"/>
        <v>3.0748170731707316</v>
      </c>
      <c r="BR336" s="234" cm="1">
        <f t="array" ref="BR336">$BM336 * SUMPRODUCT(INDEX($AV$76:$AX$81,,$AI336),INDEX($AY$76:$BE$81,,$AH336), N($AU$76:$AU$81&gt;$AM336)) / BQ336 / 1000</f>
        <v>0</v>
      </c>
      <c r="BS336" s="231">
        <f t="shared" si="310"/>
        <v>30</v>
      </c>
      <c r="BT336" s="229">
        <f t="shared" si="564"/>
        <v>43</v>
      </c>
      <c r="BU336" s="234">
        <f t="shared" si="565"/>
        <v>3.5018750000000001</v>
      </c>
      <c r="BV336" s="234" cm="1">
        <f t="array" ref="BV336">$BM336 * IF($AH336&lt;=2,
SUMPRODUCT(INDEX($AV$71:$AX$75,,$AI336), INDEX($AY$71:$BE$75,,$AH336), 1 / ($BF$71:$BF$75*BU336 + (1-$BF$71:$BF$75)*BQ336), N($AU$71:$AU$75&gt;$AM336)),
SUMPRODUCT(INDEX($AV$66:$AX$75,,$AI336), INDEX($AY$66:$BE$75,,$AH336), 1 / ($BG$66:$BG$75*BU336 + (1-$BG$66:$BG$75)*BQ336), N($AU$66:$AU$75&gt;$AM336))
) / 1000</f>
        <v>0</v>
      </c>
      <c r="BW336" s="231">
        <f t="shared" si="313"/>
        <v>25</v>
      </c>
      <c r="BX336" s="229">
        <f t="shared" si="566"/>
        <v>38</v>
      </c>
      <c r="BY336" s="234">
        <f t="shared" si="567"/>
        <v>4.0666935483870965</v>
      </c>
      <c r="BZ336" s="234" cm="1">
        <f t="array" ref="BZ336">$BM336 * IF($AH336&lt;=2,
SUMPRODUCT(INDEX($AV$66:$AX$70,,$AI336), INDEX($AY$66:$BE$70,,$AH336), 1 / ($BF$66:$BF$70*BY336 + (1-$BF$66:$BF$70)*BU336), N($AU$66:$AU$70&gt;$AM336)),
SUMPRODUCT(INDEX($AV$56:$AX$65,,$AI336), INDEX($AY$56:$BE$65,,$AH336), 1 / ($BG$56:$BG$65*BY336 + (1-$BG$56:$BG$65)*BU336), N($AU$56:$AU$65&gt;$AM336))
) / 1000</f>
        <v>0</v>
      </c>
      <c r="CA336" s="231">
        <f t="shared" si="316"/>
        <v>20</v>
      </c>
      <c r="CB336" s="229">
        <f t="shared" si="568"/>
        <v>33</v>
      </c>
      <c r="CC336" s="234">
        <f t="shared" si="569"/>
        <v>4.8487499999999999</v>
      </c>
      <c r="CD336" s="234" cm="1">
        <f t="array" ref="CD336">$BM336 * IF($AH336&lt;=2,
SUMPRODUCT(INDEX($AV$61:$AX$65,,$AI336), INDEX($AY$61:$BE$65,,$AH336), 1 / ($BF$61:$BF$65*CC336 + (1-$BF$61:$BF$65)*BY336), N($AU$61:$AU$65&gt;$AM336)),
SUMPRODUCT(INDEX($AV$46:$AX$55,,$AI336), INDEX($AY$46:$BE$55,,$AH336), 1 / ($BG$46:$BG$55*CC336 + (1-$BG$46:$BG$55)*BY336), N($AU$46:$AU$55&gt;$AM336))
) / 1000</f>
        <v>0</v>
      </c>
      <c r="CE336" s="234" cm="1">
        <f t="array" ref="CE336">$BM336 * IF($AH336&lt;=2,
SUMPRODUCT(INDEX($AV$22:$AX$60,,$AI336), INDEX($AY$22:$BE$60,,$AH336), 1 / ($BF$22:$BF$60*CC336), N($AU$22:$AU$60&gt;$AM336)),
SUMPRODUCT(INDEX($AV$22:$AX$45,,$AI336), INDEX($AY$22:$BE$45,,$AH336), 1 / ($BG$22:$BG$45*CC336), N($AU$22:$AU$45&gt;$AM336))
) / 1000</f>
        <v>0</v>
      </c>
      <c r="CF336" s="229">
        <f t="shared" si="570"/>
        <v>0</v>
      </c>
      <c r="CG336" s="246"/>
      <c r="CH336" s="229">
        <f t="shared" si="571"/>
        <v>0</v>
      </c>
      <c r="CI336" s="228">
        <v>35</v>
      </c>
      <c r="CJ336" s="229">
        <f t="shared" si="572"/>
        <v>48</v>
      </c>
      <c r="CK336" s="234">
        <f t="shared" si="573"/>
        <v>3.0748170731707316</v>
      </c>
      <c r="CL336" s="234" cm="1">
        <f t="array" ref="CL336">$BM336 * SUMPRODUCT(INDEX($AV$76:$AX$81,,$AI336),INDEX($AY$76:$BE$81,,$AH336), N($AU$76:$AU$81&gt;$AM336)) / CK336 / 1000</f>
        <v>0</v>
      </c>
      <c r="CM336" s="231">
        <f t="shared" si="323"/>
        <v>30</v>
      </c>
      <c r="CN336" s="229">
        <f t="shared" si="574"/>
        <v>43</v>
      </c>
      <c r="CO336" s="234">
        <f t="shared" si="575"/>
        <v>3.5018750000000001</v>
      </c>
      <c r="CP336" s="234" cm="1">
        <f t="array" ref="CP336">$BM336 * IF($AH336&lt;=2,
SUMPRODUCT(INDEX($AV$71:$AX$75,,$AI336), INDEX($AY$71:$BE$75,,$AH336), 1 / ($BF$71:$BF$75*CO336 + (1-$BF$71:$BF$75)*CK336), N($AU$71:$AU$75&gt;$AM336)),
SUMPRODUCT(INDEX($AV$66:$AX$75,,$AI336), INDEX($AY$66:$BE$75,,$AH336), 1 / ($BG$66:$BG$75*CO336 + (1-$BG$66:$BG$75)*CK336), N($AU$66:$AU$75&gt;$AM336))
) / 1000</f>
        <v>0</v>
      </c>
      <c r="CQ336" s="231">
        <f t="shared" si="326"/>
        <v>25</v>
      </c>
      <c r="CR336" s="229">
        <f t="shared" si="576"/>
        <v>38</v>
      </c>
      <c r="CS336" s="234">
        <f t="shared" si="577"/>
        <v>4.0666935483870965</v>
      </c>
      <c r="CT336" s="234" cm="1">
        <f t="array" ref="CT336">$BM336 * IF($AH336&lt;=2,
SUMPRODUCT(INDEX($AV$66:$AX$70,,$AI336), INDEX($AY$66:$BE$70,,$AH336), 1 / ($BF$66:$BF$70*CS336 + (1-$BF$66:$BF$70)*CO336), N($AU$66:$AU$70&gt;$AM336)),
SUMPRODUCT(INDEX($AV$56:$AX$65,,$AI336), INDEX($AY$56:$BE$65,,$AH336), 1 / ($BG$56:$BG$65*CS336 + (1-$BG$56:$BG$65)*CO336), N($AU$56:$AU$65&gt;$AM336))
) / 1000</f>
        <v>0</v>
      </c>
      <c r="CU336" s="231">
        <f t="shared" si="329"/>
        <v>20</v>
      </c>
      <c r="CV336" s="229">
        <f t="shared" si="578"/>
        <v>33</v>
      </c>
      <c r="CW336" s="234">
        <f t="shared" si="579"/>
        <v>4.8487499999999999</v>
      </c>
      <c r="CX336" s="234" cm="1">
        <f t="array" ref="CX336">$BM336 * IF($AH336&lt;=2,
SUMPRODUCT(INDEX($AV$61:$AX$65,,$AI336), INDEX($AY$61:$BE$65,,$AH336), 1 / ($BF$61:$BF$65*CW336 + (1-$BF$61:$BF$65)*CS336), N($AU$61:$AU$65&gt;$AM336)),
SUMPRODUCT(INDEX($AV$46:$AX$55,,$AI336), INDEX($AY$46:$BE$55,,$AH336), 1 / ($BG$46:$BG$55*CW336 + (1-$BG$46:$BG$55)*CS336), N($AU$46:$AU$55&gt;$AM336))
) / 1000</f>
        <v>0</v>
      </c>
      <c r="CY336" s="234" cm="1">
        <f t="array" ref="CY336">$BM336 * IF($AH336&lt;=2,
SUMPRODUCT(INDEX($AV$22:$AX$60,,$AI336), INDEX($AY$22:$BE$60,,$AH336), 1 / ($BF$22:$BF$60*CW336), N($AU$22:$AU$60&gt;$AM336)),
SUMPRODUCT(INDEX($AV$22:$AX$45,,$AI336), INDEX($AY$22:$BE$45,,$AH336), 1 / ($BG$22:$BG$45*CW336), N($AU$22:$AU$45&gt;$AM336))
) / 1000</f>
        <v>0</v>
      </c>
      <c r="CZ336" s="229">
        <f t="shared" si="580"/>
        <v>0</v>
      </c>
      <c r="DA336" s="246"/>
    </row>
    <row r="337" spans="1:105" s="75" customFormat="1" ht="14.25" customHeight="1" x14ac:dyDescent="0.2">
      <c r="A337" s="230" t="b">
        <f t="shared" si="291"/>
        <v>0</v>
      </c>
      <c r="B337" s="253">
        <v>316</v>
      </c>
      <c r="C337" s="266"/>
      <c r="D337" s="266"/>
      <c r="E337" s="254"/>
      <c r="F337" s="255" t="str">
        <f>IF(ISBLANK(E337), "", VLOOKUP(E337, Z!$A$2:$C$4127, 3, FALSE))</f>
        <v/>
      </c>
      <c r="G337" s="256"/>
      <c r="H337" s="256"/>
      <c r="I337" s="256"/>
      <c r="J337" s="257"/>
      <c r="K337" s="258"/>
      <c r="L337" s="267"/>
      <c r="M337" s="268"/>
      <c r="N337" s="259" t="str" cm="1">
        <f t="array" ref="N337">IF($L337&gt;0, INDEX(Clean,1+AK337,$D$1), "")</f>
        <v/>
      </c>
      <c r="O337" s="260"/>
      <c r="P337" s="260"/>
      <c r="Q337" s="261"/>
      <c r="R337" s="264">
        <f t="shared" si="556"/>
        <v>0</v>
      </c>
      <c r="S337" s="259" t="str" cm="1">
        <f t="array" ref="S337">IF($L337&gt;0, INDEX(Clean,1+AL337,$D$1), "")</f>
        <v/>
      </c>
      <c r="T337" s="260"/>
      <c r="U337" s="260"/>
      <c r="V337" s="261"/>
      <c r="W337" s="267"/>
      <c r="X337" s="267"/>
      <c r="Y337" s="257"/>
      <c r="Z337" s="264">
        <f t="shared" si="557"/>
        <v>0</v>
      </c>
      <c r="AA337" s="269"/>
      <c r="AB337" s="266"/>
      <c r="AC337" s="254"/>
      <c r="AD337" s="255" t="str">
        <f>IF(ISBLANK(AC337), "", VLOOKUP(AC337, Z!$A$2:$C$4127, 3, FALSE))</f>
        <v/>
      </c>
      <c r="AE337" s="270"/>
      <c r="AF337" s="265">
        <f t="shared" si="558"/>
        <v>0</v>
      </c>
      <c r="AG337" s="246"/>
      <c r="AH337" s="228">
        <f t="shared" si="581"/>
        <v>1</v>
      </c>
      <c r="AI337" s="228">
        <f t="shared" si="582"/>
        <v>1</v>
      </c>
      <c r="AJ337" s="228">
        <f t="shared" si="583"/>
        <v>0</v>
      </c>
      <c r="AK337" s="228">
        <v>0</v>
      </c>
      <c r="AL337" s="228">
        <v>0</v>
      </c>
      <c r="AM337" s="228">
        <f t="shared" si="559"/>
        <v>-100</v>
      </c>
      <c r="AN337" s="228" cm="1">
        <f t="array" ref="AN337">IF(ISBLANK(G337), 1, IFERROR(MATCH(G337, INDEX(Kat,,1), 0), IFERROR(MATCH(Kat, INDEX(Use,,2), 0), MATCH(Kat, INDEX(Use,,3), 0))))</f>
        <v>1</v>
      </c>
      <c r="AO337" s="246"/>
      <c r="AP337" s="228" cm="1">
        <f t="array" ref="AP337">IF(W337&gt;0, INDEX(Kat, AN337,4), 0)</f>
        <v>0</v>
      </c>
      <c r="AQ337" s="228">
        <f t="shared" si="584"/>
        <v>0</v>
      </c>
      <c r="AR337" s="228" cm="1">
        <f t="array" ref="AR337">IF(X337&gt;0, INDEX(Kat, $AN337, 4+AQ337), 0)</f>
        <v>0</v>
      </c>
      <c r="AS337" s="228" cm="1">
        <f t="array" ref="AS337">IF(X337&gt;0, INDEX(Kat, $AN337, 9+AQ337), 0)</f>
        <v>0</v>
      </c>
      <c r="AT337" s="246"/>
      <c r="AU337" s="262"/>
      <c r="AV337" s="262"/>
      <c r="AW337" s="263"/>
      <c r="AX337" s="263"/>
      <c r="AY337" s="263"/>
      <c r="AZ337" s="263"/>
      <c r="BA337" s="263"/>
      <c r="BB337" s="263"/>
      <c r="BC337" s="263"/>
      <c r="BD337" s="263"/>
      <c r="BE337" s="263"/>
      <c r="BF337" s="263"/>
      <c r="BG337" s="263"/>
      <c r="BH337" s="246"/>
      <c r="BI337" s="228" cm="1">
        <f t="array" ref="BI337">INDEX(Use, $AH337, 4)</f>
        <v>7</v>
      </c>
      <c r="BJ337" s="228">
        <f t="shared" si="560"/>
        <v>32</v>
      </c>
      <c r="BK337" s="228">
        <f t="shared" si="305"/>
        <v>13</v>
      </c>
      <c r="BL337" s="228">
        <f t="shared" si="306"/>
        <v>0</v>
      </c>
      <c r="BM337" s="233" cm="1">
        <f t="array" ref="BM337">L337/IF($M337&gt;0, INDEX($AY$22:$BE$76, $M337+20, $AH337), 1)</f>
        <v>0</v>
      </c>
      <c r="BN337" s="229">
        <f t="shared" si="561"/>
        <v>0</v>
      </c>
      <c r="BO337" s="228">
        <v>35</v>
      </c>
      <c r="BP337" s="229">
        <f t="shared" si="562"/>
        <v>48</v>
      </c>
      <c r="BQ337" s="234">
        <f t="shared" si="563"/>
        <v>3.0748170731707316</v>
      </c>
      <c r="BR337" s="234" cm="1">
        <f t="array" ref="BR337">$BM337 * SUMPRODUCT(INDEX($AV$76:$AX$81,,$AI337),INDEX($AY$76:$BE$81,,$AH337), N($AU$76:$AU$81&gt;$AM337)) / BQ337 / 1000</f>
        <v>0</v>
      </c>
      <c r="BS337" s="231">
        <f t="shared" si="310"/>
        <v>30</v>
      </c>
      <c r="BT337" s="229">
        <f t="shared" si="564"/>
        <v>43</v>
      </c>
      <c r="BU337" s="234">
        <f t="shared" si="565"/>
        <v>3.5018750000000001</v>
      </c>
      <c r="BV337" s="234" cm="1">
        <f t="array" ref="BV337">$BM337 * IF($AH337&lt;=2,
SUMPRODUCT(INDEX($AV$71:$AX$75,,$AI337), INDEX($AY$71:$BE$75,,$AH337), 1 / ($BF$71:$BF$75*BU337 + (1-$BF$71:$BF$75)*BQ337), N($AU$71:$AU$75&gt;$AM337)),
SUMPRODUCT(INDEX($AV$66:$AX$75,,$AI337), INDEX($AY$66:$BE$75,,$AH337), 1 / ($BG$66:$BG$75*BU337 + (1-$BG$66:$BG$75)*BQ337), N($AU$66:$AU$75&gt;$AM337))
) / 1000</f>
        <v>0</v>
      </c>
      <c r="BW337" s="231">
        <f t="shared" si="313"/>
        <v>25</v>
      </c>
      <c r="BX337" s="229">
        <f t="shared" si="566"/>
        <v>38</v>
      </c>
      <c r="BY337" s="234">
        <f t="shared" si="567"/>
        <v>4.0666935483870965</v>
      </c>
      <c r="BZ337" s="234" cm="1">
        <f t="array" ref="BZ337">$BM337 * IF($AH337&lt;=2,
SUMPRODUCT(INDEX($AV$66:$AX$70,,$AI337), INDEX($AY$66:$BE$70,,$AH337), 1 / ($BF$66:$BF$70*BY337 + (1-$BF$66:$BF$70)*BU337), N($AU$66:$AU$70&gt;$AM337)),
SUMPRODUCT(INDEX($AV$56:$AX$65,,$AI337), INDEX($AY$56:$BE$65,,$AH337), 1 / ($BG$56:$BG$65*BY337 + (1-$BG$56:$BG$65)*BU337), N($AU$56:$AU$65&gt;$AM337))
) / 1000</f>
        <v>0</v>
      </c>
      <c r="CA337" s="231">
        <f t="shared" si="316"/>
        <v>20</v>
      </c>
      <c r="CB337" s="229">
        <f t="shared" si="568"/>
        <v>33</v>
      </c>
      <c r="CC337" s="234">
        <f t="shared" si="569"/>
        <v>4.8487499999999999</v>
      </c>
      <c r="CD337" s="234" cm="1">
        <f t="array" ref="CD337">$BM337 * IF($AH337&lt;=2,
SUMPRODUCT(INDEX($AV$61:$AX$65,,$AI337), INDEX($AY$61:$BE$65,,$AH337), 1 / ($BF$61:$BF$65*CC337 + (1-$BF$61:$BF$65)*BY337), N($AU$61:$AU$65&gt;$AM337)),
SUMPRODUCT(INDEX($AV$46:$AX$55,,$AI337), INDEX($AY$46:$BE$55,,$AH337), 1 / ($BG$46:$BG$55*CC337 + (1-$BG$46:$BG$55)*BY337), N($AU$46:$AU$55&gt;$AM337))
) / 1000</f>
        <v>0</v>
      </c>
      <c r="CE337" s="234" cm="1">
        <f t="array" ref="CE337">$BM337 * IF($AH337&lt;=2,
SUMPRODUCT(INDEX($AV$22:$AX$60,,$AI337), INDEX($AY$22:$BE$60,,$AH337), 1 / ($BF$22:$BF$60*CC337), N($AU$22:$AU$60&gt;$AM337)),
SUMPRODUCT(INDEX($AV$22:$AX$45,,$AI337), INDEX($AY$22:$BE$45,,$AH337), 1 / ($BG$22:$BG$45*CC337), N($AU$22:$AU$45&gt;$AM337))
) / 1000</f>
        <v>0</v>
      </c>
      <c r="CF337" s="229">
        <f t="shared" si="570"/>
        <v>0</v>
      </c>
      <c r="CG337" s="246"/>
      <c r="CH337" s="229">
        <f t="shared" si="571"/>
        <v>0</v>
      </c>
      <c r="CI337" s="228">
        <v>35</v>
      </c>
      <c r="CJ337" s="229">
        <f t="shared" si="572"/>
        <v>48</v>
      </c>
      <c r="CK337" s="234">
        <f t="shared" si="573"/>
        <v>3.0748170731707316</v>
      </c>
      <c r="CL337" s="234" cm="1">
        <f t="array" ref="CL337">$BM337 * SUMPRODUCT(INDEX($AV$76:$AX$81,,$AI337),INDEX($AY$76:$BE$81,,$AH337), N($AU$76:$AU$81&gt;$AM337)) / CK337 / 1000</f>
        <v>0</v>
      </c>
      <c r="CM337" s="231">
        <f t="shared" si="323"/>
        <v>30</v>
      </c>
      <c r="CN337" s="229">
        <f t="shared" si="574"/>
        <v>43</v>
      </c>
      <c r="CO337" s="234">
        <f t="shared" si="575"/>
        <v>3.5018750000000001</v>
      </c>
      <c r="CP337" s="234" cm="1">
        <f t="array" ref="CP337">$BM337 * IF($AH337&lt;=2,
SUMPRODUCT(INDEX($AV$71:$AX$75,,$AI337), INDEX($AY$71:$BE$75,,$AH337), 1 / ($BF$71:$BF$75*CO337 + (1-$BF$71:$BF$75)*CK337), N($AU$71:$AU$75&gt;$AM337)),
SUMPRODUCT(INDEX($AV$66:$AX$75,,$AI337), INDEX($AY$66:$BE$75,,$AH337), 1 / ($BG$66:$BG$75*CO337 + (1-$BG$66:$BG$75)*CK337), N($AU$66:$AU$75&gt;$AM337))
) / 1000</f>
        <v>0</v>
      </c>
      <c r="CQ337" s="231">
        <f t="shared" si="326"/>
        <v>25</v>
      </c>
      <c r="CR337" s="229">
        <f t="shared" si="576"/>
        <v>38</v>
      </c>
      <c r="CS337" s="234">
        <f t="shared" si="577"/>
        <v>4.0666935483870965</v>
      </c>
      <c r="CT337" s="234" cm="1">
        <f t="array" ref="CT337">$BM337 * IF($AH337&lt;=2,
SUMPRODUCT(INDEX($AV$66:$AX$70,,$AI337), INDEX($AY$66:$BE$70,,$AH337), 1 / ($BF$66:$BF$70*CS337 + (1-$BF$66:$BF$70)*CO337), N($AU$66:$AU$70&gt;$AM337)),
SUMPRODUCT(INDEX($AV$56:$AX$65,,$AI337), INDEX($AY$56:$BE$65,,$AH337), 1 / ($BG$56:$BG$65*CS337 + (1-$BG$56:$BG$65)*CO337), N($AU$56:$AU$65&gt;$AM337))
) / 1000</f>
        <v>0</v>
      </c>
      <c r="CU337" s="231">
        <f t="shared" si="329"/>
        <v>20</v>
      </c>
      <c r="CV337" s="229">
        <f t="shared" si="578"/>
        <v>33</v>
      </c>
      <c r="CW337" s="234">
        <f t="shared" si="579"/>
        <v>4.8487499999999999</v>
      </c>
      <c r="CX337" s="234" cm="1">
        <f t="array" ref="CX337">$BM337 * IF($AH337&lt;=2,
SUMPRODUCT(INDEX($AV$61:$AX$65,,$AI337), INDEX($AY$61:$BE$65,,$AH337), 1 / ($BF$61:$BF$65*CW337 + (1-$BF$61:$BF$65)*CS337), N($AU$61:$AU$65&gt;$AM337)),
SUMPRODUCT(INDEX($AV$46:$AX$55,,$AI337), INDEX($AY$46:$BE$55,,$AH337), 1 / ($BG$46:$BG$55*CW337 + (1-$BG$46:$BG$55)*CS337), N($AU$46:$AU$55&gt;$AM337))
) / 1000</f>
        <v>0</v>
      </c>
      <c r="CY337" s="234" cm="1">
        <f t="array" ref="CY337">$BM337 * IF($AH337&lt;=2,
SUMPRODUCT(INDEX($AV$22:$AX$60,,$AI337), INDEX($AY$22:$BE$60,,$AH337), 1 / ($BF$22:$BF$60*CW337), N($AU$22:$AU$60&gt;$AM337)),
SUMPRODUCT(INDEX($AV$22:$AX$45,,$AI337), INDEX($AY$22:$BE$45,,$AH337), 1 / ($BG$22:$BG$45*CW337), N($AU$22:$AU$45&gt;$AM337))
) / 1000</f>
        <v>0</v>
      </c>
      <c r="CZ337" s="229">
        <f t="shared" si="580"/>
        <v>0</v>
      </c>
      <c r="DA337" s="246"/>
    </row>
    <row r="338" spans="1:105" s="75" customFormat="1" ht="14.25" customHeight="1" x14ac:dyDescent="0.2">
      <c r="A338" s="230" t="b">
        <f t="shared" si="291"/>
        <v>0</v>
      </c>
      <c r="B338" s="253">
        <v>317</v>
      </c>
      <c r="C338" s="266"/>
      <c r="D338" s="266"/>
      <c r="E338" s="254"/>
      <c r="F338" s="255" t="str">
        <f>IF(ISBLANK(E338), "", VLOOKUP(E338, Z!$A$2:$C$4127, 3, FALSE))</f>
        <v/>
      </c>
      <c r="G338" s="256"/>
      <c r="H338" s="256"/>
      <c r="I338" s="256"/>
      <c r="J338" s="257"/>
      <c r="K338" s="258"/>
      <c r="L338" s="267"/>
      <c r="M338" s="268"/>
      <c r="N338" s="259" t="str" cm="1">
        <f t="array" ref="N338">IF($L338&gt;0, INDEX(Clean,1+AK338,$D$1), "")</f>
        <v/>
      </c>
      <c r="O338" s="260"/>
      <c r="P338" s="260"/>
      <c r="Q338" s="261"/>
      <c r="R338" s="264">
        <f t="shared" si="556"/>
        <v>0</v>
      </c>
      <c r="S338" s="259" t="str" cm="1">
        <f t="array" ref="S338">IF($L338&gt;0, INDEX(Clean,1+AL338,$D$1), "")</f>
        <v/>
      </c>
      <c r="T338" s="260"/>
      <c r="U338" s="260"/>
      <c r="V338" s="261"/>
      <c r="W338" s="267"/>
      <c r="X338" s="267"/>
      <c r="Y338" s="257"/>
      <c r="Z338" s="264">
        <f t="shared" si="557"/>
        <v>0</v>
      </c>
      <c r="AA338" s="269"/>
      <c r="AB338" s="266"/>
      <c r="AC338" s="254"/>
      <c r="AD338" s="255" t="str">
        <f>IF(ISBLANK(AC338), "", VLOOKUP(AC338, Z!$A$2:$C$4127, 3, FALSE))</f>
        <v/>
      </c>
      <c r="AE338" s="270"/>
      <c r="AF338" s="265">
        <f t="shared" si="558"/>
        <v>0</v>
      </c>
      <c r="AG338" s="246"/>
      <c r="AH338" s="228">
        <f t="shared" si="581"/>
        <v>1</v>
      </c>
      <c r="AI338" s="228">
        <f t="shared" si="582"/>
        <v>1</v>
      </c>
      <c r="AJ338" s="228">
        <f t="shared" si="583"/>
        <v>0</v>
      </c>
      <c r="AK338" s="228">
        <v>0</v>
      </c>
      <c r="AL338" s="228">
        <v>0</v>
      </c>
      <c r="AM338" s="228">
        <f t="shared" si="559"/>
        <v>-100</v>
      </c>
      <c r="AN338" s="228" cm="1">
        <f t="array" ref="AN338">IF(ISBLANK(G338), 1, IFERROR(MATCH(G338, INDEX(Kat,,1), 0), IFERROR(MATCH(Kat, INDEX(Use,,2), 0), MATCH(Kat, INDEX(Use,,3), 0))))</f>
        <v>1</v>
      </c>
      <c r="AO338" s="246"/>
      <c r="AP338" s="228" cm="1">
        <f t="array" ref="AP338">IF(W338&gt;0, INDEX(Kat, AN338,4), 0)</f>
        <v>0</v>
      </c>
      <c r="AQ338" s="228">
        <f t="shared" si="584"/>
        <v>0</v>
      </c>
      <c r="AR338" s="228" cm="1">
        <f t="array" ref="AR338">IF(X338&gt;0, INDEX(Kat, $AN338, 4+AQ338), 0)</f>
        <v>0</v>
      </c>
      <c r="AS338" s="228" cm="1">
        <f t="array" ref="AS338">IF(X338&gt;0, INDEX(Kat, $AN338, 9+AQ338), 0)</f>
        <v>0</v>
      </c>
      <c r="AT338" s="246"/>
      <c r="AU338" s="262"/>
      <c r="AV338" s="262"/>
      <c r="AW338" s="263"/>
      <c r="AX338" s="263"/>
      <c r="AY338" s="263"/>
      <c r="AZ338" s="263"/>
      <c r="BA338" s="263"/>
      <c r="BB338" s="263"/>
      <c r="BC338" s="263"/>
      <c r="BD338" s="263"/>
      <c r="BE338" s="263"/>
      <c r="BF338" s="263"/>
      <c r="BG338" s="263"/>
      <c r="BH338" s="246"/>
      <c r="BI338" s="228" cm="1">
        <f t="array" ref="BI338">INDEX(Use, $AH338, 4)</f>
        <v>7</v>
      </c>
      <c r="BJ338" s="228">
        <f t="shared" si="560"/>
        <v>32</v>
      </c>
      <c r="BK338" s="228">
        <f t="shared" si="305"/>
        <v>13</v>
      </c>
      <c r="BL338" s="228">
        <f t="shared" si="306"/>
        <v>0</v>
      </c>
      <c r="BM338" s="233" cm="1">
        <f t="array" ref="BM338">L338/IF($M338&gt;0, INDEX($AY$22:$BE$76, $M338+20, $AH338), 1)</f>
        <v>0</v>
      </c>
      <c r="BN338" s="229">
        <f t="shared" si="561"/>
        <v>0</v>
      </c>
      <c r="BO338" s="228">
        <v>35</v>
      </c>
      <c r="BP338" s="229">
        <f t="shared" si="562"/>
        <v>48</v>
      </c>
      <c r="BQ338" s="234">
        <f t="shared" si="563"/>
        <v>3.0748170731707316</v>
      </c>
      <c r="BR338" s="234" cm="1">
        <f t="array" ref="BR338">$BM338 * SUMPRODUCT(INDEX($AV$76:$AX$81,,$AI338),INDEX($AY$76:$BE$81,,$AH338), N($AU$76:$AU$81&gt;$AM338)) / BQ338 / 1000</f>
        <v>0</v>
      </c>
      <c r="BS338" s="231">
        <f t="shared" si="310"/>
        <v>30</v>
      </c>
      <c r="BT338" s="229">
        <f t="shared" si="564"/>
        <v>43</v>
      </c>
      <c r="BU338" s="234">
        <f t="shared" si="565"/>
        <v>3.5018750000000001</v>
      </c>
      <c r="BV338" s="234" cm="1">
        <f t="array" ref="BV338">$BM338 * IF($AH338&lt;=2,
SUMPRODUCT(INDEX($AV$71:$AX$75,,$AI338), INDEX($AY$71:$BE$75,,$AH338), 1 / ($BF$71:$BF$75*BU338 + (1-$BF$71:$BF$75)*BQ338), N($AU$71:$AU$75&gt;$AM338)),
SUMPRODUCT(INDEX($AV$66:$AX$75,,$AI338), INDEX($AY$66:$BE$75,,$AH338), 1 / ($BG$66:$BG$75*BU338 + (1-$BG$66:$BG$75)*BQ338), N($AU$66:$AU$75&gt;$AM338))
) / 1000</f>
        <v>0</v>
      </c>
      <c r="BW338" s="231">
        <f t="shared" si="313"/>
        <v>25</v>
      </c>
      <c r="BX338" s="229">
        <f t="shared" si="566"/>
        <v>38</v>
      </c>
      <c r="BY338" s="234">
        <f t="shared" si="567"/>
        <v>4.0666935483870965</v>
      </c>
      <c r="BZ338" s="234" cm="1">
        <f t="array" ref="BZ338">$BM338 * IF($AH338&lt;=2,
SUMPRODUCT(INDEX($AV$66:$AX$70,,$AI338), INDEX($AY$66:$BE$70,,$AH338), 1 / ($BF$66:$BF$70*BY338 + (1-$BF$66:$BF$70)*BU338), N($AU$66:$AU$70&gt;$AM338)),
SUMPRODUCT(INDEX($AV$56:$AX$65,,$AI338), INDEX($AY$56:$BE$65,,$AH338), 1 / ($BG$56:$BG$65*BY338 + (1-$BG$56:$BG$65)*BU338), N($AU$56:$AU$65&gt;$AM338))
) / 1000</f>
        <v>0</v>
      </c>
      <c r="CA338" s="231">
        <f t="shared" si="316"/>
        <v>20</v>
      </c>
      <c r="CB338" s="229">
        <f t="shared" si="568"/>
        <v>33</v>
      </c>
      <c r="CC338" s="234">
        <f t="shared" si="569"/>
        <v>4.8487499999999999</v>
      </c>
      <c r="CD338" s="234" cm="1">
        <f t="array" ref="CD338">$BM338 * IF($AH338&lt;=2,
SUMPRODUCT(INDEX($AV$61:$AX$65,,$AI338), INDEX($AY$61:$BE$65,,$AH338), 1 / ($BF$61:$BF$65*CC338 + (1-$BF$61:$BF$65)*BY338), N($AU$61:$AU$65&gt;$AM338)),
SUMPRODUCT(INDEX($AV$46:$AX$55,,$AI338), INDEX($AY$46:$BE$55,,$AH338), 1 / ($BG$46:$BG$55*CC338 + (1-$BG$46:$BG$55)*BY338), N($AU$46:$AU$55&gt;$AM338))
) / 1000</f>
        <v>0</v>
      </c>
      <c r="CE338" s="234" cm="1">
        <f t="array" ref="CE338">$BM338 * IF($AH338&lt;=2,
SUMPRODUCT(INDEX($AV$22:$AX$60,,$AI338), INDEX($AY$22:$BE$60,,$AH338), 1 / ($BF$22:$BF$60*CC338), N($AU$22:$AU$60&gt;$AM338)),
SUMPRODUCT(INDEX($AV$22:$AX$45,,$AI338), INDEX($AY$22:$BE$45,,$AH338), 1 / ($BG$22:$BG$45*CC338), N($AU$22:$AU$45&gt;$AM338))
) / 1000</f>
        <v>0</v>
      </c>
      <c r="CF338" s="229">
        <f t="shared" si="570"/>
        <v>0</v>
      </c>
      <c r="CG338" s="246"/>
      <c r="CH338" s="229">
        <f t="shared" si="571"/>
        <v>0</v>
      </c>
      <c r="CI338" s="228">
        <v>35</v>
      </c>
      <c r="CJ338" s="229">
        <f t="shared" si="572"/>
        <v>48</v>
      </c>
      <c r="CK338" s="234">
        <f t="shared" si="573"/>
        <v>3.0748170731707316</v>
      </c>
      <c r="CL338" s="234" cm="1">
        <f t="array" ref="CL338">$BM338 * SUMPRODUCT(INDEX($AV$76:$AX$81,,$AI338),INDEX($AY$76:$BE$81,,$AH338), N($AU$76:$AU$81&gt;$AM338)) / CK338 / 1000</f>
        <v>0</v>
      </c>
      <c r="CM338" s="231">
        <f t="shared" si="323"/>
        <v>30</v>
      </c>
      <c r="CN338" s="229">
        <f t="shared" si="574"/>
        <v>43</v>
      </c>
      <c r="CO338" s="234">
        <f t="shared" si="575"/>
        <v>3.5018750000000001</v>
      </c>
      <c r="CP338" s="234" cm="1">
        <f t="array" ref="CP338">$BM338 * IF($AH338&lt;=2,
SUMPRODUCT(INDEX($AV$71:$AX$75,,$AI338), INDEX($AY$71:$BE$75,,$AH338), 1 / ($BF$71:$BF$75*CO338 + (1-$BF$71:$BF$75)*CK338), N($AU$71:$AU$75&gt;$AM338)),
SUMPRODUCT(INDEX($AV$66:$AX$75,,$AI338), INDEX($AY$66:$BE$75,,$AH338), 1 / ($BG$66:$BG$75*CO338 + (1-$BG$66:$BG$75)*CK338), N($AU$66:$AU$75&gt;$AM338))
) / 1000</f>
        <v>0</v>
      </c>
      <c r="CQ338" s="231">
        <f t="shared" si="326"/>
        <v>25</v>
      </c>
      <c r="CR338" s="229">
        <f t="shared" si="576"/>
        <v>38</v>
      </c>
      <c r="CS338" s="234">
        <f t="shared" si="577"/>
        <v>4.0666935483870965</v>
      </c>
      <c r="CT338" s="234" cm="1">
        <f t="array" ref="CT338">$BM338 * IF($AH338&lt;=2,
SUMPRODUCT(INDEX($AV$66:$AX$70,,$AI338), INDEX($AY$66:$BE$70,,$AH338), 1 / ($BF$66:$BF$70*CS338 + (1-$BF$66:$BF$70)*CO338), N($AU$66:$AU$70&gt;$AM338)),
SUMPRODUCT(INDEX($AV$56:$AX$65,,$AI338), INDEX($AY$56:$BE$65,,$AH338), 1 / ($BG$56:$BG$65*CS338 + (1-$BG$56:$BG$65)*CO338), N($AU$56:$AU$65&gt;$AM338))
) / 1000</f>
        <v>0</v>
      </c>
      <c r="CU338" s="231">
        <f t="shared" si="329"/>
        <v>20</v>
      </c>
      <c r="CV338" s="229">
        <f t="shared" si="578"/>
        <v>33</v>
      </c>
      <c r="CW338" s="234">
        <f t="shared" si="579"/>
        <v>4.8487499999999999</v>
      </c>
      <c r="CX338" s="234" cm="1">
        <f t="array" ref="CX338">$BM338 * IF($AH338&lt;=2,
SUMPRODUCT(INDEX($AV$61:$AX$65,,$AI338), INDEX($AY$61:$BE$65,,$AH338), 1 / ($BF$61:$BF$65*CW338 + (1-$BF$61:$BF$65)*CS338), N($AU$61:$AU$65&gt;$AM338)),
SUMPRODUCT(INDEX($AV$46:$AX$55,,$AI338), INDEX($AY$46:$BE$55,,$AH338), 1 / ($BG$46:$BG$55*CW338 + (1-$BG$46:$BG$55)*CS338), N($AU$46:$AU$55&gt;$AM338))
) / 1000</f>
        <v>0</v>
      </c>
      <c r="CY338" s="234" cm="1">
        <f t="array" ref="CY338">$BM338 * IF($AH338&lt;=2,
SUMPRODUCT(INDEX($AV$22:$AX$60,,$AI338), INDEX($AY$22:$BE$60,,$AH338), 1 / ($BF$22:$BF$60*CW338), N($AU$22:$AU$60&gt;$AM338)),
SUMPRODUCT(INDEX($AV$22:$AX$45,,$AI338), INDEX($AY$22:$BE$45,,$AH338), 1 / ($BG$22:$BG$45*CW338), N($AU$22:$AU$45&gt;$AM338))
) / 1000</f>
        <v>0</v>
      </c>
      <c r="CZ338" s="229">
        <f t="shared" si="580"/>
        <v>0</v>
      </c>
      <c r="DA338" s="246"/>
    </row>
    <row r="339" spans="1:105" s="75" customFormat="1" ht="14.25" customHeight="1" x14ac:dyDescent="0.2">
      <c r="A339" s="230" t="b">
        <f t="shared" si="291"/>
        <v>0</v>
      </c>
      <c r="B339" s="253">
        <v>318</v>
      </c>
      <c r="C339" s="266"/>
      <c r="D339" s="266"/>
      <c r="E339" s="254"/>
      <c r="F339" s="255" t="str">
        <f>IF(ISBLANK(E339), "", VLOOKUP(E339, Z!$A$2:$C$4127, 3, FALSE))</f>
        <v/>
      </c>
      <c r="G339" s="256"/>
      <c r="H339" s="256"/>
      <c r="I339" s="256"/>
      <c r="J339" s="257"/>
      <c r="K339" s="258"/>
      <c r="L339" s="267"/>
      <c r="M339" s="268"/>
      <c r="N339" s="259" t="str" cm="1">
        <f t="array" ref="N339">IF($L339&gt;0, INDEX(Clean,1+AK339,$D$1), "")</f>
        <v/>
      </c>
      <c r="O339" s="260"/>
      <c r="P339" s="260"/>
      <c r="Q339" s="261"/>
      <c r="R339" s="264">
        <f t="shared" si="556"/>
        <v>0</v>
      </c>
      <c r="S339" s="259" t="str" cm="1">
        <f t="array" ref="S339">IF($L339&gt;0, INDEX(Clean,1+AL339,$D$1), "")</f>
        <v/>
      </c>
      <c r="T339" s="260"/>
      <c r="U339" s="260"/>
      <c r="V339" s="261"/>
      <c r="W339" s="267"/>
      <c r="X339" s="267"/>
      <c r="Y339" s="257"/>
      <c r="Z339" s="264">
        <f t="shared" si="557"/>
        <v>0</v>
      </c>
      <c r="AA339" s="269"/>
      <c r="AB339" s="266"/>
      <c r="AC339" s="254"/>
      <c r="AD339" s="255" t="str">
        <f>IF(ISBLANK(AC339), "", VLOOKUP(AC339, Z!$A$2:$C$4127, 3, FALSE))</f>
        <v/>
      </c>
      <c r="AE339" s="270"/>
      <c r="AF339" s="265">
        <f t="shared" si="558"/>
        <v>0</v>
      </c>
      <c r="AG339" s="246"/>
      <c r="AH339" s="228">
        <f t="shared" si="581"/>
        <v>1</v>
      </c>
      <c r="AI339" s="228">
        <f t="shared" si="582"/>
        <v>1</v>
      </c>
      <c r="AJ339" s="228">
        <f t="shared" si="583"/>
        <v>0</v>
      </c>
      <c r="AK339" s="228">
        <v>0</v>
      </c>
      <c r="AL339" s="228">
        <v>0</v>
      </c>
      <c r="AM339" s="228">
        <f t="shared" si="559"/>
        <v>-100</v>
      </c>
      <c r="AN339" s="228" cm="1">
        <f t="array" ref="AN339">IF(ISBLANK(G339), 1, IFERROR(MATCH(G339, INDEX(Kat,,1), 0), IFERROR(MATCH(Kat, INDEX(Use,,2), 0), MATCH(Kat, INDEX(Use,,3), 0))))</f>
        <v>1</v>
      </c>
      <c r="AO339" s="246"/>
      <c r="AP339" s="228" cm="1">
        <f t="array" ref="AP339">IF(W339&gt;0, INDEX(Kat, AN339,4), 0)</f>
        <v>0</v>
      </c>
      <c r="AQ339" s="228">
        <f t="shared" si="584"/>
        <v>0</v>
      </c>
      <c r="AR339" s="228" cm="1">
        <f t="array" ref="AR339">IF(X339&gt;0, INDEX(Kat, $AN339, 4+AQ339), 0)</f>
        <v>0</v>
      </c>
      <c r="AS339" s="228" cm="1">
        <f t="array" ref="AS339">IF(X339&gt;0, INDEX(Kat, $AN339, 9+AQ339), 0)</f>
        <v>0</v>
      </c>
      <c r="AT339" s="246"/>
      <c r="AU339" s="262"/>
      <c r="AV339" s="262"/>
      <c r="AW339" s="263"/>
      <c r="AX339" s="263"/>
      <c r="AY339" s="263"/>
      <c r="AZ339" s="263"/>
      <c r="BA339" s="263"/>
      <c r="BB339" s="263"/>
      <c r="BC339" s="263"/>
      <c r="BD339" s="263"/>
      <c r="BE339" s="263"/>
      <c r="BF339" s="263"/>
      <c r="BG339" s="263"/>
      <c r="BH339" s="246"/>
      <c r="BI339" s="228" cm="1">
        <f t="array" ref="BI339">INDEX(Use, $AH339, 4)</f>
        <v>7</v>
      </c>
      <c r="BJ339" s="228">
        <f t="shared" si="560"/>
        <v>32</v>
      </c>
      <c r="BK339" s="228">
        <f t="shared" si="305"/>
        <v>13</v>
      </c>
      <c r="BL339" s="228">
        <f t="shared" si="306"/>
        <v>0</v>
      </c>
      <c r="BM339" s="233" cm="1">
        <f t="array" ref="BM339">L339/IF($M339&gt;0, INDEX($AY$22:$BE$76, $M339+20, $AH339), 1)</f>
        <v>0</v>
      </c>
      <c r="BN339" s="229">
        <f t="shared" si="561"/>
        <v>0</v>
      </c>
      <c r="BO339" s="228">
        <v>35</v>
      </c>
      <c r="BP339" s="229">
        <f t="shared" si="562"/>
        <v>48</v>
      </c>
      <c r="BQ339" s="234">
        <f t="shared" si="563"/>
        <v>3.0748170731707316</v>
      </c>
      <c r="BR339" s="234" cm="1">
        <f t="array" ref="BR339">$BM339 * SUMPRODUCT(INDEX($AV$76:$AX$81,,$AI339),INDEX($AY$76:$BE$81,,$AH339), N($AU$76:$AU$81&gt;$AM339)) / BQ339 / 1000</f>
        <v>0</v>
      </c>
      <c r="BS339" s="231">
        <f t="shared" si="310"/>
        <v>30</v>
      </c>
      <c r="BT339" s="229">
        <f t="shared" si="564"/>
        <v>43</v>
      </c>
      <c r="BU339" s="234">
        <f t="shared" si="565"/>
        <v>3.5018750000000001</v>
      </c>
      <c r="BV339" s="234" cm="1">
        <f t="array" ref="BV339">$BM339 * IF($AH339&lt;=2,
SUMPRODUCT(INDEX($AV$71:$AX$75,,$AI339), INDEX($AY$71:$BE$75,,$AH339), 1 / ($BF$71:$BF$75*BU339 + (1-$BF$71:$BF$75)*BQ339), N($AU$71:$AU$75&gt;$AM339)),
SUMPRODUCT(INDEX($AV$66:$AX$75,,$AI339), INDEX($AY$66:$BE$75,,$AH339), 1 / ($BG$66:$BG$75*BU339 + (1-$BG$66:$BG$75)*BQ339), N($AU$66:$AU$75&gt;$AM339))
) / 1000</f>
        <v>0</v>
      </c>
      <c r="BW339" s="231">
        <f t="shared" si="313"/>
        <v>25</v>
      </c>
      <c r="BX339" s="229">
        <f t="shared" si="566"/>
        <v>38</v>
      </c>
      <c r="BY339" s="234">
        <f t="shared" si="567"/>
        <v>4.0666935483870965</v>
      </c>
      <c r="BZ339" s="234" cm="1">
        <f t="array" ref="BZ339">$BM339 * IF($AH339&lt;=2,
SUMPRODUCT(INDEX($AV$66:$AX$70,,$AI339), INDEX($AY$66:$BE$70,,$AH339), 1 / ($BF$66:$BF$70*BY339 + (1-$BF$66:$BF$70)*BU339), N($AU$66:$AU$70&gt;$AM339)),
SUMPRODUCT(INDEX($AV$56:$AX$65,,$AI339), INDEX($AY$56:$BE$65,,$AH339), 1 / ($BG$56:$BG$65*BY339 + (1-$BG$56:$BG$65)*BU339), N($AU$56:$AU$65&gt;$AM339))
) / 1000</f>
        <v>0</v>
      </c>
      <c r="CA339" s="231">
        <f t="shared" si="316"/>
        <v>20</v>
      </c>
      <c r="CB339" s="229">
        <f t="shared" si="568"/>
        <v>33</v>
      </c>
      <c r="CC339" s="234">
        <f t="shared" si="569"/>
        <v>4.8487499999999999</v>
      </c>
      <c r="CD339" s="234" cm="1">
        <f t="array" ref="CD339">$BM339 * IF($AH339&lt;=2,
SUMPRODUCT(INDEX($AV$61:$AX$65,,$AI339), INDEX($AY$61:$BE$65,,$AH339), 1 / ($BF$61:$BF$65*CC339 + (1-$BF$61:$BF$65)*BY339), N($AU$61:$AU$65&gt;$AM339)),
SUMPRODUCT(INDEX($AV$46:$AX$55,,$AI339), INDEX($AY$46:$BE$55,,$AH339), 1 / ($BG$46:$BG$55*CC339 + (1-$BG$46:$BG$55)*BY339), N($AU$46:$AU$55&gt;$AM339))
) / 1000</f>
        <v>0</v>
      </c>
      <c r="CE339" s="234" cm="1">
        <f t="array" ref="CE339">$BM339 * IF($AH339&lt;=2,
SUMPRODUCT(INDEX($AV$22:$AX$60,,$AI339), INDEX($AY$22:$BE$60,,$AH339), 1 / ($BF$22:$BF$60*CC339), N($AU$22:$AU$60&gt;$AM339)),
SUMPRODUCT(INDEX($AV$22:$AX$45,,$AI339), INDEX($AY$22:$BE$45,,$AH339), 1 / ($BG$22:$BG$45*CC339), N($AU$22:$AU$45&gt;$AM339))
) / 1000</f>
        <v>0</v>
      </c>
      <c r="CF339" s="229">
        <f t="shared" si="570"/>
        <v>0</v>
      </c>
      <c r="CG339" s="246"/>
      <c r="CH339" s="229">
        <f t="shared" si="571"/>
        <v>0</v>
      </c>
      <c r="CI339" s="228">
        <v>35</v>
      </c>
      <c r="CJ339" s="229">
        <f t="shared" si="572"/>
        <v>48</v>
      </c>
      <c r="CK339" s="234">
        <f t="shared" si="573"/>
        <v>3.0748170731707316</v>
      </c>
      <c r="CL339" s="234" cm="1">
        <f t="array" ref="CL339">$BM339 * SUMPRODUCT(INDEX($AV$76:$AX$81,,$AI339),INDEX($AY$76:$BE$81,,$AH339), N($AU$76:$AU$81&gt;$AM339)) / CK339 / 1000</f>
        <v>0</v>
      </c>
      <c r="CM339" s="231">
        <f t="shared" si="323"/>
        <v>30</v>
      </c>
      <c r="CN339" s="229">
        <f t="shared" si="574"/>
        <v>43</v>
      </c>
      <c r="CO339" s="234">
        <f t="shared" si="575"/>
        <v>3.5018750000000001</v>
      </c>
      <c r="CP339" s="234" cm="1">
        <f t="array" ref="CP339">$BM339 * IF($AH339&lt;=2,
SUMPRODUCT(INDEX($AV$71:$AX$75,,$AI339), INDEX($AY$71:$BE$75,,$AH339), 1 / ($BF$71:$BF$75*CO339 + (1-$BF$71:$BF$75)*CK339), N($AU$71:$AU$75&gt;$AM339)),
SUMPRODUCT(INDEX($AV$66:$AX$75,,$AI339), INDEX($AY$66:$BE$75,,$AH339), 1 / ($BG$66:$BG$75*CO339 + (1-$BG$66:$BG$75)*CK339), N($AU$66:$AU$75&gt;$AM339))
) / 1000</f>
        <v>0</v>
      </c>
      <c r="CQ339" s="231">
        <f t="shared" si="326"/>
        <v>25</v>
      </c>
      <c r="CR339" s="229">
        <f t="shared" si="576"/>
        <v>38</v>
      </c>
      <c r="CS339" s="234">
        <f t="shared" si="577"/>
        <v>4.0666935483870965</v>
      </c>
      <c r="CT339" s="234" cm="1">
        <f t="array" ref="CT339">$BM339 * IF($AH339&lt;=2,
SUMPRODUCT(INDEX($AV$66:$AX$70,,$AI339), INDEX($AY$66:$BE$70,,$AH339), 1 / ($BF$66:$BF$70*CS339 + (1-$BF$66:$BF$70)*CO339), N($AU$66:$AU$70&gt;$AM339)),
SUMPRODUCT(INDEX($AV$56:$AX$65,,$AI339), INDEX($AY$56:$BE$65,,$AH339), 1 / ($BG$56:$BG$65*CS339 + (1-$BG$56:$BG$65)*CO339), N($AU$56:$AU$65&gt;$AM339))
) / 1000</f>
        <v>0</v>
      </c>
      <c r="CU339" s="231">
        <f t="shared" si="329"/>
        <v>20</v>
      </c>
      <c r="CV339" s="229">
        <f t="shared" si="578"/>
        <v>33</v>
      </c>
      <c r="CW339" s="234">
        <f t="shared" si="579"/>
        <v>4.8487499999999999</v>
      </c>
      <c r="CX339" s="234" cm="1">
        <f t="array" ref="CX339">$BM339 * IF($AH339&lt;=2,
SUMPRODUCT(INDEX($AV$61:$AX$65,,$AI339), INDEX($AY$61:$BE$65,,$AH339), 1 / ($BF$61:$BF$65*CW339 + (1-$BF$61:$BF$65)*CS339), N($AU$61:$AU$65&gt;$AM339)),
SUMPRODUCT(INDEX($AV$46:$AX$55,,$AI339), INDEX($AY$46:$BE$55,,$AH339), 1 / ($BG$46:$BG$55*CW339 + (1-$BG$46:$BG$55)*CS339), N($AU$46:$AU$55&gt;$AM339))
) / 1000</f>
        <v>0</v>
      </c>
      <c r="CY339" s="234" cm="1">
        <f t="array" ref="CY339">$BM339 * IF($AH339&lt;=2,
SUMPRODUCT(INDEX($AV$22:$AX$60,,$AI339), INDEX($AY$22:$BE$60,,$AH339), 1 / ($BF$22:$BF$60*CW339), N($AU$22:$AU$60&gt;$AM339)),
SUMPRODUCT(INDEX($AV$22:$AX$45,,$AI339), INDEX($AY$22:$BE$45,,$AH339), 1 / ($BG$22:$BG$45*CW339), N($AU$22:$AU$45&gt;$AM339))
) / 1000</f>
        <v>0</v>
      </c>
      <c r="CZ339" s="229">
        <f t="shared" si="580"/>
        <v>0</v>
      </c>
      <c r="DA339" s="246"/>
    </row>
    <row r="340" spans="1:105" s="75" customFormat="1" ht="14.25" customHeight="1" x14ac:dyDescent="0.2">
      <c r="A340" s="230" t="b">
        <f t="shared" si="291"/>
        <v>0</v>
      </c>
      <c r="B340" s="253">
        <v>319</v>
      </c>
      <c r="C340" s="266"/>
      <c r="D340" s="266"/>
      <c r="E340" s="254"/>
      <c r="F340" s="255" t="str">
        <f>IF(ISBLANK(E340), "", VLOOKUP(E340, Z!$A$2:$C$4127, 3, FALSE))</f>
        <v/>
      </c>
      <c r="G340" s="256"/>
      <c r="H340" s="256"/>
      <c r="I340" s="256"/>
      <c r="J340" s="257"/>
      <c r="K340" s="258"/>
      <c r="L340" s="267"/>
      <c r="M340" s="268"/>
      <c r="N340" s="259" t="str" cm="1">
        <f t="array" ref="N340">IF($L340&gt;0, INDEX(Clean,1+AK340,$D$1), "")</f>
        <v/>
      </c>
      <c r="O340" s="260"/>
      <c r="P340" s="260"/>
      <c r="Q340" s="261"/>
      <c r="R340" s="264">
        <f t="shared" si="556"/>
        <v>0</v>
      </c>
      <c r="S340" s="259" t="str" cm="1">
        <f t="array" ref="S340">IF($L340&gt;0, INDEX(Clean,1+AL340,$D$1), "")</f>
        <v/>
      </c>
      <c r="T340" s="260"/>
      <c r="U340" s="260"/>
      <c r="V340" s="261"/>
      <c r="W340" s="267"/>
      <c r="X340" s="267"/>
      <c r="Y340" s="257"/>
      <c r="Z340" s="264">
        <f t="shared" si="557"/>
        <v>0</v>
      </c>
      <c r="AA340" s="269"/>
      <c r="AB340" s="266"/>
      <c r="AC340" s="254"/>
      <c r="AD340" s="255" t="str">
        <f>IF(ISBLANK(AC340), "", VLOOKUP(AC340, Z!$A$2:$C$4127, 3, FALSE))</f>
        <v/>
      </c>
      <c r="AE340" s="270"/>
      <c r="AF340" s="265">
        <f t="shared" si="558"/>
        <v>0</v>
      </c>
      <c r="AG340" s="246"/>
      <c r="AH340" s="228">
        <f t="shared" si="581"/>
        <v>1</v>
      </c>
      <c r="AI340" s="228">
        <f t="shared" si="582"/>
        <v>1</v>
      </c>
      <c r="AJ340" s="228">
        <f t="shared" si="583"/>
        <v>0</v>
      </c>
      <c r="AK340" s="228">
        <v>0</v>
      </c>
      <c r="AL340" s="228">
        <v>0</v>
      </c>
      <c r="AM340" s="228">
        <f t="shared" si="559"/>
        <v>-100</v>
      </c>
      <c r="AN340" s="228" cm="1">
        <f t="array" ref="AN340">IF(ISBLANK(G340), 1, IFERROR(MATCH(G340, INDEX(Kat,,1), 0), IFERROR(MATCH(Kat, INDEX(Use,,2), 0), MATCH(Kat, INDEX(Use,,3), 0))))</f>
        <v>1</v>
      </c>
      <c r="AO340" s="246"/>
      <c r="AP340" s="228" cm="1">
        <f t="array" ref="AP340">IF(W340&gt;0, INDEX(Kat, AN340,4), 0)</f>
        <v>0</v>
      </c>
      <c r="AQ340" s="228">
        <f t="shared" si="584"/>
        <v>0</v>
      </c>
      <c r="AR340" s="228" cm="1">
        <f t="array" ref="AR340">IF(X340&gt;0, INDEX(Kat, $AN340, 4+AQ340), 0)</f>
        <v>0</v>
      </c>
      <c r="AS340" s="228" cm="1">
        <f t="array" ref="AS340">IF(X340&gt;0, INDEX(Kat, $AN340, 9+AQ340), 0)</f>
        <v>0</v>
      </c>
      <c r="AT340" s="246"/>
      <c r="AU340" s="262"/>
      <c r="AV340" s="262"/>
      <c r="AW340" s="263"/>
      <c r="AX340" s="263"/>
      <c r="AY340" s="263"/>
      <c r="AZ340" s="263"/>
      <c r="BA340" s="263"/>
      <c r="BB340" s="263"/>
      <c r="BC340" s="263"/>
      <c r="BD340" s="263"/>
      <c r="BE340" s="263"/>
      <c r="BF340" s="263"/>
      <c r="BG340" s="263"/>
      <c r="BH340" s="246"/>
      <c r="BI340" s="228" cm="1">
        <f t="array" ref="BI340">INDEX(Use, $AH340, 4)</f>
        <v>7</v>
      </c>
      <c r="BJ340" s="228">
        <f t="shared" si="560"/>
        <v>32</v>
      </c>
      <c r="BK340" s="228">
        <f t="shared" si="305"/>
        <v>13</v>
      </c>
      <c r="BL340" s="228">
        <f t="shared" si="306"/>
        <v>0</v>
      </c>
      <c r="BM340" s="233" cm="1">
        <f t="array" ref="BM340">L340/IF($M340&gt;0, INDEX($AY$22:$BE$76, $M340+20, $AH340), 1)</f>
        <v>0</v>
      </c>
      <c r="BN340" s="229">
        <f t="shared" si="561"/>
        <v>0</v>
      </c>
      <c r="BO340" s="228">
        <v>35</v>
      </c>
      <c r="BP340" s="229">
        <f t="shared" si="562"/>
        <v>48</v>
      </c>
      <c r="BQ340" s="234">
        <f t="shared" si="563"/>
        <v>3.0748170731707316</v>
      </c>
      <c r="BR340" s="234" cm="1">
        <f t="array" ref="BR340">$BM340 * SUMPRODUCT(INDEX($AV$76:$AX$81,,$AI340),INDEX($AY$76:$BE$81,,$AH340), N($AU$76:$AU$81&gt;$AM340)) / BQ340 / 1000</f>
        <v>0</v>
      </c>
      <c r="BS340" s="231">
        <f t="shared" si="310"/>
        <v>30</v>
      </c>
      <c r="BT340" s="229">
        <f t="shared" si="564"/>
        <v>43</v>
      </c>
      <c r="BU340" s="234">
        <f t="shared" si="565"/>
        <v>3.5018750000000001</v>
      </c>
      <c r="BV340" s="234" cm="1">
        <f t="array" ref="BV340">$BM340 * IF($AH340&lt;=2,
SUMPRODUCT(INDEX($AV$71:$AX$75,,$AI340), INDEX($AY$71:$BE$75,,$AH340), 1 / ($BF$71:$BF$75*BU340 + (1-$BF$71:$BF$75)*BQ340), N($AU$71:$AU$75&gt;$AM340)),
SUMPRODUCT(INDEX($AV$66:$AX$75,,$AI340), INDEX($AY$66:$BE$75,,$AH340), 1 / ($BG$66:$BG$75*BU340 + (1-$BG$66:$BG$75)*BQ340), N($AU$66:$AU$75&gt;$AM340))
) / 1000</f>
        <v>0</v>
      </c>
      <c r="BW340" s="231">
        <f t="shared" si="313"/>
        <v>25</v>
      </c>
      <c r="BX340" s="229">
        <f t="shared" si="566"/>
        <v>38</v>
      </c>
      <c r="BY340" s="234">
        <f t="shared" si="567"/>
        <v>4.0666935483870965</v>
      </c>
      <c r="BZ340" s="234" cm="1">
        <f t="array" ref="BZ340">$BM340 * IF($AH340&lt;=2,
SUMPRODUCT(INDEX($AV$66:$AX$70,,$AI340), INDEX($AY$66:$BE$70,,$AH340), 1 / ($BF$66:$BF$70*BY340 + (1-$BF$66:$BF$70)*BU340), N($AU$66:$AU$70&gt;$AM340)),
SUMPRODUCT(INDEX($AV$56:$AX$65,,$AI340), INDEX($AY$56:$BE$65,,$AH340), 1 / ($BG$56:$BG$65*BY340 + (1-$BG$56:$BG$65)*BU340), N($AU$56:$AU$65&gt;$AM340))
) / 1000</f>
        <v>0</v>
      </c>
      <c r="CA340" s="231">
        <f t="shared" si="316"/>
        <v>20</v>
      </c>
      <c r="CB340" s="229">
        <f t="shared" si="568"/>
        <v>33</v>
      </c>
      <c r="CC340" s="234">
        <f t="shared" si="569"/>
        <v>4.8487499999999999</v>
      </c>
      <c r="CD340" s="234" cm="1">
        <f t="array" ref="CD340">$BM340 * IF($AH340&lt;=2,
SUMPRODUCT(INDEX($AV$61:$AX$65,,$AI340), INDEX($AY$61:$BE$65,,$AH340), 1 / ($BF$61:$BF$65*CC340 + (1-$BF$61:$BF$65)*BY340), N($AU$61:$AU$65&gt;$AM340)),
SUMPRODUCT(INDEX($AV$46:$AX$55,,$AI340), INDEX($AY$46:$BE$55,,$AH340), 1 / ($BG$46:$BG$55*CC340 + (1-$BG$46:$BG$55)*BY340), N($AU$46:$AU$55&gt;$AM340))
) / 1000</f>
        <v>0</v>
      </c>
      <c r="CE340" s="234" cm="1">
        <f t="array" ref="CE340">$BM340 * IF($AH340&lt;=2,
SUMPRODUCT(INDEX($AV$22:$AX$60,,$AI340), INDEX($AY$22:$BE$60,,$AH340), 1 / ($BF$22:$BF$60*CC340), N($AU$22:$AU$60&gt;$AM340)),
SUMPRODUCT(INDEX($AV$22:$AX$45,,$AI340), INDEX($AY$22:$BE$45,,$AH340), 1 / ($BG$22:$BG$45*CC340), N($AU$22:$AU$45&gt;$AM340))
) / 1000</f>
        <v>0</v>
      </c>
      <c r="CF340" s="229">
        <f t="shared" si="570"/>
        <v>0</v>
      </c>
      <c r="CG340" s="246"/>
      <c r="CH340" s="229">
        <f t="shared" si="571"/>
        <v>0</v>
      </c>
      <c r="CI340" s="228">
        <v>35</v>
      </c>
      <c r="CJ340" s="229">
        <f t="shared" si="572"/>
        <v>48</v>
      </c>
      <c r="CK340" s="234">
        <f t="shared" si="573"/>
        <v>3.0748170731707316</v>
      </c>
      <c r="CL340" s="234" cm="1">
        <f t="array" ref="CL340">$BM340 * SUMPRODUCT(INDEX($AV$76:$AX$81,,$AI340),INDEX($AY$76:$BE$81,,$AH340), N($AU$76:$AU$81&gt;$AM340)) / CK340 / 1000</f>
        <v>0</v>
      </c>
      <c r="CM340" s="231">
        <f t="shared" si="323"/>
        <v>30</v>
      </c>
      <c r="CN340" s="229">
        <f t="shared" si="574"/>
        <v>43</v>
      </c>
      <c r="CO340" s="234">
        <f t="shared" si="575"/>
        <v>3.5018750000000001</v>
      </c>
      <c r="CP340" s="234" cm="1">
        <f t="array" ref="CP340">$BM340 * IF($AH340&lt;=2,
SUMPRODUCT(INDEX($AV$71:$AX$75,,$AI340), INDEX($AY$71:$BE$75,,$AH340), 1 / ($BF$71:$BF$75*CO340 + (1-$BF$71:$BF$75)*CK340), N($AU$71:$AU$75&gt;$AM340)),
SUMPRODUCT(INDEX($AV$66:$AX$75,,$AI340), INDEX($AY$66:$BE$75,,$AH340), 1 / ($BG$66:$BG$75*CO340 + (1-$BG$66:$BG$75)*CK340), N($AU$66:$AU$75&gt;$AM340))
) / 1000</f>
        <v>0</v>
      </c>
      <c r="CQ340" s="231">
        <f t="shared" si="326"/>
        <v>25</v>
      </c>
      <c r="CR340" s="229">
        <f t="shared" si="576"/>
        <v>38</v>
      </c>
      <c r="CS340" s="234">
        <f t="shared" si="577"/>
        <v>4.0666935483870965</v>
      </c>
      <c r="CT340" s="234" cm="1">
        <f t="array" ref="CT340">$BM340 * IF($AH340&lt;=2,
SUMPRODUCT(INDEX($AV$66:$AX$70,,$AI340), INDEX($AY$66:$BE$70,,$AH340), 1 / ($BF$66:$BF$70*CS340 + (1-$BF$66:$BF$70)*CO340), N($AU$66:$AU$70&gt;$AM340)),
SUMPRODUCT(INDEX($AV$56:$AX$65,,$AI340), INDEX($AY$56:$BE$65,,$AH340), 1 / ($BG$56:$BG$65*CS340 + (1-$BG$56:$BG$65)*CO340), N($AU$56:$AU$65&gt;$AM340))
) / 1000</f>
        <v>0</v>
      </c>
      <c r="CU340" s="231">
        <f t="shared" si="329"/>
        <v>20</v>
      </c>
      <c r="CV340" s="229">
        <f t="shared" si="578"/>
        <v>33</v>
      </c>
      <c r="CW340" s="234">
        <f t="shared" si="579"/>
        <v>4.8487499999999999</v>
      </c>
      <c r="CX340" s="234" cm="1">
        <f t="array" ref="CX340">$BM340 * IF($AH340&lt;=2,
SUMPRODUCT(INDEX($AV$61:$AX$65,,$AI340), INDEX($AY$61:$BE$65,,$AH340), 1 / ($BF$61:$BF$65*CW340 + (1-$BF$61:$BF$65)*CS340), N($AU$61:$AU$65&gt;$AM340)),
SUMPRODUCT(INDEX($AV$46:$AX$55,,$AI340), INDEX($AY$46:$BE$55,,$AH340), 1 / ($BG$46:$BG$55*CW340 + (1-$BG$46:$BG$55)*CS340), N($AU$46:$AU$55&gt;$AM340))
) / 1000</f>
        <v>0</v>
      </c>
      <c r="CY340" s="234" cm="1">
        <f t="array" ref="CY340">$BM340 * IF($AH340&lt;=2,
SUMPRODUCT(INDEX($AV$22:$AX$60,,$AI340), INDEX($AY$22:$BE$60,,$AH340), 1 / ($BF$22:$BF$60*CW340), N($AU$22:$AU$60&gt;$AM340)),
SUMPRODUCT(INDEX($AV$22:$AX$45,,$AI340), INDEX($AY$22:$BE$45,,$AH340), 1 / ($BG$22:$BG$45*CW340), N($AU$22:$AU$45&gt;$AM340))
) / 1000</f>
        <v>0</v>
      </c>
      <c r="CZ340" s="229">
        <f t="shared" si="580"/>
        <v>0</v>
      </c>
      <c r="DA340" s="246"/>
    </row>
    <row r="341" spans="1:105" s="75" customFormat="1" ht="14.25" customHeight="1" x14ac:dyDescent="0.2">
      <c r="A341" s="230" t="b">
        <f t="shared" ref="A341:A404" si="585">IF(OR(AND($L341&gt;80, $AH341=1), AND($L341&gt;40, $AH341=3), AND($L341&gt;30, $AH341=4),), TRUE, FALSE)</f>
        <v>0</v>
      </c>
      <c r="B341" s="253">
        <v>320</v>
      </c>
      <c r="C341" s="266"/>
      <c r="D341" s="266"/>
      <c r="E341" s="254"/>
      <c r="F341" s="255" t="str">
        <f>IF(ISBLANK(E341), "", VLOOKUP(E341, Z!$A$2:$C$4127, 3, FALSE))</f>
        <v/>
      </c>
      <c r="G341" s="256"/>
      <c r="H341" s="256"/>
      <c r="I341" s="256"/>
      <c r="J341" s="257"/>
      <c r="K341" s="258"/>
      <c r="L341" s="267"/>
      <c r="M341" s="268"/>
      <c r="N341" s="259" t="str" cm="1">
        <f t="array" ref="N341">IF($L341&gt;0, INDEX(Clean,1+AK341,$D$1), "")</f>
        <v/>
      </c>
      <c r="O341" s="260"/>
      <c r="P341" s="260"/>
      <c r="Q341" s="261"/>
      <c r="R341" s="264">
        <f t="shared" si="556"/>
        <v>0</v>
      </c>
      <c r="S341" s="259" t="str" cm="1">
        <f t="array" ref="S341">IF($L341&gt;0, INDEX(Clean,1+AL341,$D$1), "")</f>
        <v/>
      </c>
      <c r="T341" s="260"/>
      <c r="U341" s="260"/>
      <c r="V341" s="261"/>
      <c r="W341" s="267"/>
      <c r="X341" s="267"/>
      <c r="Y341" s="257"/>
      <c r="Z341" s="264">
        <f t="shared" si="557"/>
        <v>0</v>
      </c>
      <c r="AA341" s="269"/>
      <c r="AB341" s="266"/>
      <c r="AC341" s="254"/>
      <c r="AD341" s="255" t="str">
        <f>IF(ISBLANK(AC341), "", VLOOKUP(AC341, Z!$A$2:$C$4127, 3, FALSE))</f>
        <v/>
      </c>
      <c r="AE341" s="270"/>
      <c r="AF341" s="265">
        <f t="shared" si="558"/>
        <v>0</v>
      </c>
      <c r="AG341" s="246"/>
      <c r="AH341" s="228">
        <f t="shared" si="581"/>
        <v>1</v>
      </c>
      <c r="AI341" s="228">
        <f t="shared" si="582"/>
        <v>1</v>
      </c>
      <c r="AJ341" s="228">
        <f t="shared" si="583"/>
        <v>0</v>
      </c>
      <c r="AK341" s="228">
        <v>0</v>
      </c>
      <c r="AL341" s="228">
        <v>0</v>
      </c>
      <c r="AM341" s="228">
        <f t="shared" si="559"/>
        <v>-100</v>
      </c>
      <c r="AN341" s="228" cm="1">
        <f t="array" ref="AN341">IF(ISBLANK(G341), 1, IFERROR(MATCH(G341, INDEX(Kat,,1), 0), IFERROR(MATCH(Kat, INDEX(Use,,2), 0), MATCH(Kat, INDEX(Use,,3), 0))))</f>
        <v>1</v>
      </c>
      <c r="AO341" s="246"/>
      <c r="AP341" s="228" cm="1">
        <f t="array" ref="AP341">IF(W341&gt;0, INDEX(Kat, AN341,4), 0)</f>
        <v>0</v>
      </c>
      <c r="AQ341" s="228">
        <f t="shared" si="584"/>
        <v>0</v>
      </c>
      <c r="AR341" s="228" cm="1">
        <f t="array" ref="AR341">IF(X341&gt;0, INDEX(Kat, $AN341, 4+AQ341), 0)</f>
        <v>0</v>
      </c>
      <c r="AS341" s="228" cm="1">
        <f t="array" ref="AS341">IF(X341&gt;0, INDEX(Kat, $AN341, 9+AQ341), 0)</f>
        <v>0</v>
      </c>
      <c r="AT341" s="246"/>
      <c r="AU341" s="262"/>
      <c r="AV341" s="262"/>
      <c r="AW341" s="263"/>
      <c r="AX341" s="263"/>
      <c r="AY341" s="263"/>
      <c r="AZ341" s="263"/>
      <c r="BA341" s="263"/>
      <c r="BB341" s="263"/>
      <c r="BC341" s="263"/>
      <c r="BD341" s="263"/>
      <c r="BE341" s="263"/>
      <c r="BF341" s="263"/>
      <c r="BG341" s="263"/>
      <c r="BH341" s="246"/>
      <c r="BI341" s="228" cm="1">
        <f t="array" ref="BI341">INDEX(Use, $AH341, 4)</f>
        <v>7</v>
      </c>
      <c r="BJ341" s="228">
        <f t="shared" si="560"/>
        <v>32</v>
      </c>
      <c r="BK341" s="228">
        <f t="shared" si="305"/>
        <v>13</v>
      </c>
      <c r="BL341" s="228">
        <f t="shared" si="306"/>
        <v>0</v>
      </c>
      <c r="BM341" s="233" cm="1">
        <f t="array" ref="BM341">L341/IF($M341&gt;0, INDEX($AY$22:$BE$76, $M341+20, $AH341), 1)</f>
        <v>0</v>
      </c>
      <c r="BN341" s="229">
        <f t="shared" si="561"/>
        <v>0</v>
      </c>
      <c r="BO341" s="228">
        <v>35</v>
      </c>
      <c r="BP341" s="229">
        <f t="shared" si="562"/>
        <v>48</v>
      </c>
      <c r="BQ341" s="234">
        <f t="shared" si="563"/>
        <v>3.0748170731707316</v>
      </c>
      <c r="BR341" s="234" cm="1">
        <f t="array" ref="BR341">$BM341 * SUMPRODUCT(INDEX($AV$76:$AX$81,,$AI341),INDEX($AY$76:$BE$81,,$AH341), N($AU$76:$AU$81&gt;$AM341)) / BQ341 / 1000</f>
        <v>0</v>
      </c>
      <c r="BS341" s="231">
        <f t="shared" si="310"/>
        <v>30</v>
      </c>
      <c r="BT341" s="229">
        <f t="shared" si="564"/>
        <v>43</v>
      </c>
      <c r="BU341" s="234">
        <f t="shared" si="565"/>
        <v>3.5018750000000001</v>
      </c>
      <c r="BV341" s="234" cm="1">
        <f t="array" ref="BV341">$BM341 * IF($AH341&lt;=2,
SUMPRODUCT(INDEX($AV$71:$AX$75,,$AI341), INDEX($AY$71:$BE$75,,$AH341), 1 / ($BF$71:$BF$75*BU341 + (1-$BF$71:$BF$75)*BQ341), N($AU$71:$AU$75&gt;$AM341)),
SUMPRODUCT(INDEX($AV$66:$AX$75,,$AI341), INDEX($AY$66:$BE$75,,$AH341), 1 / ($BG$66:$BG$75*BU341 + (1-$BG$66:$BG$75)*BQ341), N($AU$66:$AU$75&gt;$AM341))
) / 1000</f>
        <v>0</v>
      </c>
      <c r="BW341" s="231">
        <f t="shared" si="313"/>
        <v>25</v>
      </c>
      <c r="BX341" s="229">
        <f t="shared" si="566"/>
        <v>38</v>
      </c>
      <c r="BY341" s="234">
        <f t="shared" si="567"/>
        <v>4.0666935483870965</v>
      </c>
      <c r="BZ341" s="234" cm="1">
        <f t="array" ref="BZ341">$BM341 * IF($AH341&lt;=2,
SUMPRODUCT(INDEX($AV$66:$AX$70,,$AI341), INDEX($AY$66:$BE$70,,$AH341), 1 / ($BF$66:$BF$70*BY341 + (1-$BF$66:$BF$70)*BU341), N($AU$66:$AU$70&gt;$AM341)),
SUMPRODUCT(INDEX($AV$56:$AX$65,,$AI341), INDEX($AY$56:$BE$65,,$AH341), 1 / ($BG$56:$BG$65*BY341 + (1-$BG$56:$BG$65)*BU341), N($AU$56:$AU$65&gt;$AM341))
) / 1000</f>
        <v>0</v>
      </c>
      <c r="CA341" s="231">
        <f t="shared" si="316"/>
        <v>20</v>
      </c>
      <c r="CB341" s="229">
        <f t="shared" si="568"/>
        <v>33</v>
      </c>
      <c r="CC341" s="234">
        <f t="shared" si="569"/>
        <v>4.8487499999999999</v>
      </c>
      <c r="CD341" s="234" cm="1">
        <f t="array" ref="CD341">$BM341 * IF($AH341&lt;=2,
SUMPRODUCT(INDEX($AV$61:$AX$65,,$AI341), INDEX($AY$61:$BE$65,,$AH341), 1 / ($BF$61:$BF$65*CC341 + (1-$BF$61:$BF$65)*BY341), N($AU$61:$AU$65&gt;$AM341)),
SUMPRODUCT(INDEX($AV$46:$AX$55,,$AI341), INDEX($AY$46:$BE$55,,$AH341), 1 / ($BG$46:$BG$55*CC341 + (1-$BG$46:$BG$55)*BY341), N($AU$46:$AU$55&gt;$AM341))
) / 1000</f>
        <v>0</v>
      </c>
      <c r="CE341" s="234" cm="1">
        <f t="array" ref="CE341">$BM341 * IF($AH341&lt;=2,
SUMPRODUCT(INDEX($AV$22:$AX$60,,$AI341), INDEX($AY$22:$BE$60,,$AH341), 1 / ($BF$22:$BF$60*CC341), N($AU$22:$AU$60&gt;$AM341)),
SUMPRODUCT(INDEX($AV$22:$AX$45,,$AI341), INDEX($AY$22:$BE$45,,$AH341), 1 / ($BG$22:$BG$45*CC341), N($AU$22:$AU$45&gt;$AM341))
) / 1000</f>
        <v>0</v>
      </c>
      <c r="CF341" s="229">
        <f t="shared" si="570"/>
        <v>0</v>
      </c>
      <c r="CG341" s="246"/>
      <c r="CH341" s="229">
        <f t="shared" si="571"/>
        <v>0</v>
      </c>
      <c r="CI341" s="228">
        <v>35</v>
      </c>
      <c r="CJ341" s="229">
        <f t="shared" si="572"/>
        <v>48</v>
      </c>
      <c r="CK341" s="234">
        <f t="shared" si="573"/>
        <v>3.0748170731707316</v>
      </c>
      <c r="CL341" s="234" cm="1">
        <f t="array" ref="CL341">$BM341 * SUMPRODUCT(INDEX($AV$76:$AX$81,,$AI341),INDEX($AY$76:$BE$81,,$AH341), N($AU$76:$AU$81&gt;$AM341)) / CK341 / 1000</f>
        <v>0</v>
      </c>
      <c r="CM341" s="231">
        <f t="shared" si="323"/>
        <v>30</v>
      </c>
      <c r="CN341" s="229">
        <f t="shared" si="574"/>
        <v>43</v>
      </c>
      <c r="CO341" s="234">
        <f t="shared" si="575"/>
        <v>3.5018750000000001</v>
      </c>
      <c r="CP341" s="234" cm="1">
        <f t="array" ref="CP341">$BM341 * IF($AH341&lt;=2,
SUMPRODUCT(INDEX($AV$71:$AX$75,,$AI341), INDEX($AY$71:$BE$75,,$AH341), 1 / ($BF$71:$BF$75*CO341 + (1-$BF$71:$BF$75)*CK341), N($AU$71:$AU$75&gt;$AM341)),
SUMPRODUCT(INDEX($AV$66:$AX$75,,$AI341), INDEX($AY$66:$BE$75,,$AH341), 1 / ($BG$66:$BG$75*CO341 + (1-$BG$66:$BG$75)*CK341), N($AU$66:$AU$75&gt;$AM341))
) / 1000</f>
        <v>0</v>
      </c>
      <c r="CQ341" s="231">
        <f t="shared" si="326"/>
        <v>25</v>
      </c>
      <c r="CR341" s="229">
        <f t="shared" si="576"/>
        <v>38</v>
      </c>
      <c r="CS341" s="234">
        <f t="shared" si="577"/>
        <v>4.0666935483870965</v>
      </c>
      <c r="CT341" s="234" cm="1">
        <f t="array" ref="CT341">$BM341 * IF($AH341&lt;=2,
SUMPRODUCT(INDEX($AV$66:$AX$70,,$AI341), INDEX($AY$66:$BE$70,,$AH341), 1 / ($BF$66:$BF$70*CS341 + (1-$BF$66:$BF$70)*CO341), N($AU$66:$AU$70&gt;$AM341)),
SUMPRODUCT(INDEX($AV$56:$AX$65,,$AI341), INDEX($AY$56:$BE$65,,$AH341), 1 / ($BG$56:$BG$65*CS341 + (1-$BG$56:$BG$65)*CO341), N($AU$56:$AU$65&gt;$AM341))
) / 1000</f>
        <v>0</v>
      </c>
      <c r="CU341" s="231">
        <f t="shared" si="329"/>
        <v>20</v>
      </c>
      <c r="CV341" s="229">
        <f t="shared" si="578"/>
        <v>33</v>
      </c>
      <c r="CW341" s="234">
        <f t="shared" si="579"/>
        <v>4.8487499999999999</v>
      </c>
      <c r="CX341" s="234" cm="1">
        <f t="array" ref="CX341">$BM341 * IF($AH341&lt;=2,
SUMPRODUCT(INDEX($AV$61:$AX$65,,$AI341), INDEX($AY$61:$BE$65,,$AH341), 1 / ($BF$61:$BF$65*CW341 + (1-$BF$61:$BF$65)*CS341), N($AU$61:$AU$65&gt;$AM341)),
SUMPRODUCT(INDEX($AV$46:$AX$55,,$AI341), INDEX($AY$46:$BE$55,,$AH341), 1 / ($BG$46:$BG$55*CW341 + (1-$BG$46:$BG$55)*CS341), N($AU$46:$AU$55&gt;$AM341))
) / 1000</f>
        <v>0</v>
      </c>
      <c r="CY341" s="234" cm="1">
        <f t="array" ref="CY341">$BM341 * IF($AH341&lt;=2,
SUMPRODUCT(INDEX($AV$22:$AX$60,,$AI341), INDEX($AY$22:$BE$60,,$AH341), 1 / ($BF$22:$BF$60*CW341), N($AU$22:$AU$60&gt;$AM341)),
SUMPRODUCT(INDEX($AV$22:$AX$45,,$AI341), INDEX($AY$22:$BE$45,,$AH341), 1 / ($BG$22:$BG$45*CW341), N($AU$22:$AU$45&gt;$AM341))
) / 1000</f>
        <v>0</v>
      </c>
      <c r="CZ341" s="229">
        <f t="shared" si="580"/>
        <v>0</v>
      </c>
      <c r="DA341" s="246"/>
    </row>
    <row r="342" spans="1:105" s="75" customFormat="1" ht="14.25" customHeight="1" x14ac:dyDescent="0.2">
      <c r="A342" s="230" t="b">
        <f t="shared" si="585"/>
        <v>0</v>
      </c>
      <c r="B342" s="253">
        <v>321</v>
      </c>
      <c r="C342" s="266"/>
      <c r="D342" s="266"/>
      <c r="E342" s="254"/>
      <c r="F342" s="255" t="str">
        <f>IF(ISBLANK(E342), "", VLOOKUP(E342, Z!$A$2:$C$4127, 3, FALSE))</f>
        <v/>
      </c>
      <c r="G342" s="256"/>
      <c r="H342" s="256"/>
      <c r="I342" s="256"/>
      <c r="J342" s="257"/>
      <c r="K342" s="258"/>
      <c r="L342" s="267"/>
      <c r="M342" s="268"/>
      <c r="N342" s="259" t="str" cm="1">
        <f t="array" ref="N342">IF($L342&gt;0, INDEX(Clean,1+AK342,$D$1), "")</f>
        <v/>
      </c>
      <c r="O342" s="260"/>
      <c r="P342" s="260"/>
      <c r="Q342" s="261"/>
      <c r="R342" s="264">
        <f t="shared" si="556"/>
        <v>0</v>
      </c>
      <c r="S342" s="259" t="str" cm="1">
        <f t="array" ref="S342">IF($L342&gt;0, INDEX(Clean,1+AL342,$D$1), "")</f>
        <v/>
      </c>
      <c r="T342" s="260"/>
      <c r="U342" s="260"/>
      <c r="V342" s="261"/>
      <c r="W342" s="267"/>
      <c r="X342" s="267"/>
      <c r="Y342" s="257"/>
      <c r="Z342" s="264">
        <f t="shared" si="557"/>
        <v>0</v>
      </c>
      <c r="AA342" s="269"/>
      <c r="AB342" s="266"/>
      <c r="AC342" s="254"/>
      <c r="AD342" s="255" t="str">
        <f>IF(ISBLANK(AC342), "", VLOOKUP(AC342, Z!$A$2:$C$4127, 3, FALSE))</f>
        <v/>
      </c>
      <c r="AE342" s="270"/>
      <c r="AF342" s="265">
        <f t="shared" si="558"/>
        <v>0</v>
      </c>
      <c r="AG342" s="246"/>
      <c r="AH342" s="228">
        <f t="shared" si="581"/>
        <v>1</v>
      </c>
      <c r="AI342" s="228">
        <f t="shared" si="582"/>
        <v>1</v>
      </c>
      <c r="AJ342" s="228">
        <f t="shared" si="583"/>
        <v>0</v>
      </c>
      <c r="AK342" s="228">
        <v>0</v>
      </c>
      <c r="AL342" s="228">
        <v>0</v>
      </c>
      <c r="AM342" s="228">
        <f t="shared" si="559"/>
        <v>-100</v>
      </c>
      <c r="AN342" s="228" cm="1">
        <f t="array" ref="AN342">IF(ISBLANK(G342), 1, IFERROR(MATCH(G342, INDEX(Kat,,1), 0), IFERROR(MATCH(Kat, INDEX(Use,,2), 0), MATCH(Kat, INDEX(Use,,3), 0))))</f>
        <v>1</v>
      </c>
      <c r="AO342" s="246"/>
      <c r="AP342" s="228" cm="1">
        <f t="array" ref="AP342">IF(W342&gt;0, INDEX(Kat, AN342,4), 0)</f>
        <v>0</v>
      </c>
      <c r="AQ342" s="228">
        <f t="shared" si="584"/>
        <v>0</v>
      </c>
      <c r="AR342" s="228" cm="1">
        <f t="array" ref="AR342">IF(X342&gt;0, INDEX(Kat, $AN342, 4+AQ342), 0)</f>
        <v>0</v>
      </c>
      <c r="AS342" s="228" cm="1">
        <f t="array" ref="AS342">IF(X342&gt;0, INDEX(Kat, $AN342, 9+AQ342), 0)</f>
        <v>0</v>
      </c>
      <c r="AT342" s="246"/>
      <c r="AU342" s="262"/>
      <c r="AV342" s="262"/>
      <c r="AW342" s="263"/>
      <c r="AX342" s="263"/>
      <c r="AY342" s="263"/>
      <c r="AZ342" s="263"/>
      <c r="BA342" s="263"/>
      <c r="BB342" s="263"/>
      <c r="BC342" s="263"/>
      <c r="BD342" s="263"/>
      <c r="BE342" s="263"/>
      <c r="BF342" s="263"/>
      <c r="BG342" s="263"/>
      <c r="BH342" s="246"/>
      <c r="BI342" s="228" cm="1">
        <f t="array" ref="BI342">INDEX(Use, $AH342, 4)</f>
        <v>7</v>
      </c>
      <c r="BJ342" s="228">
        <f t="shared" si="560"/>
        <v>32</v>
      </c>
      <c r="BK342" s="228">
        <f t="shared" ref="BK342:BK405" si="586">IF($AJ342=1, 6, IF($AH342=4, 10, 13))</f>
        <v>13</v>
      </c>
      <c r="BL342" s="228">
        <f t="shared" ref="BL342:BL405" si="587">IF($AJ342=1, 9, 0)</f>
        <v>0</v>
      </c>
      <c r="BM342" s="233" cm="1">
        <f t="array" ref="BM342">L342/IF($M342&gt;0, INDEX($AY$22:$BE$76, $M342+20, $AH342), 1)</f>
        <v>0</v>
      </c>
      <c r="BN342" s="229">
        <f t="shared" si="561"/>
        <v>0</v>
      </c>
      <c r="BO342" s="228">
        <v>35</v>
      </c>
      <c r="BP342" s="229">
        <f t="shared" si="562"/>
        <v>48</v>
      </c>
      <c r="BQ342" s="234">
        <f t="shared" si="563"/>
        <v>3.0748170731707316</v>
      </c>
      <c r="BR342" s="234" cm="1">
        <f t="array" ref="BR342">$BM342 * SUMPRODUCT(INDEX($AV$76:$AX$81,,$AI342),INDEX($AY$76:$BE$81,,$AH342), N($AU$76:$AU$81&gt;$AM342)) / BQ342 / 1000</f>
        <v>0</v>
      </c>
      <c r="BS342" s="231">
        <f t="shared" ref="BS342:BS405" si="588">IF($AH342&lt;=2, 30, 25)</f>
        <v>30</v>
      </c>
      <c r="BT342" s="229">
        <f t="shared" si="564"/>
        <v>43</v>
      </c>
      <c r="BU342" s="234">
        <f t="shared" si="565"/>
        <v>3.5018750000000001</v>
      </c>
      <c r="BV342" s="234" cm="1">
        <f t="array" ref="BV342">$BM342 * IF($AH342&lt;=2,
SUMPRODUCT(INDEX($AV$71:$AX$75,,$AI342), INDEX($AY$71:$BE$75,,$AH342), 1 / ($BF$71:$BF$75*BU342 + (1-$BF$71:$BF$75)*BQ342), N($AU$71:$AU$75&gt;$AM342)),
SUMPRODUCT(INDEX($AV$66:$AX$75,,$AI342), INDEX($AY$66:$BE$75,,$AH342), 1 / ($BG$66:$BG$75*BU342 + (1-$BG$66:$BG$75)*BQ342), N($AU$66:$AU$75&gt;$AM342))
) / 1000</f>
        <v>0</v>
      </c>
      <c r="BW342" s="231">
        <f t="shared" ref="BW342:BW405" si="589">IF($AH342&lt;=2, 25, 15)</f>
        <v>25</v>
      </c>
      <c r="BX342" s="229">
        <f t="shared" si="566"/>
        <v>38</v>
      </c>
      <c r="BY342" s="234">
        <f t="shared" si="567"/>
        <v>4.0666935483870965</v>
      </c>
      <c r="BZ342" s="234" cm="1">
        <f t="array" ref="BZ342">$BM342 * IF($AH342&lt;=2,
SUMPRODUCT(INDEX($AV$66:$AX$70,,$AI342), INDEX($AY$66:$BE$70,,$AH342), 1 / ($BF$66:$BF$70*BY342 + (1-$BF$66:$BF$70)*BU342), N($AU$66:$AU$70&gt;$AM342)),
SUMPRODUCT(INDEX($AV$56:$AX$65,,$AI342), INDEX($AY$56:$BE$65,,$AH342), 1 / ($BG$56:$BG$65*BY342 + (1-$BG$56:$BG$65)*BU342), N($AU$56:$AU$65&gt;$AM342))
) / 1000</f>
        <v>0</v>
      </c>
      <c r="CA342" s="231">
        <f t="shared" ref="CA342:CA405" si="590">IF($AH342&lt;=2, 20, 5)</f>
        <v>20</v>
      </c>
      <c r="CB342" s="229">
        <f t="shared" si="568"/>
        <v>33</v>
      </c>
      <c r="CC342" s="234">
        <f t="shared" si="569"/>
        <v>4.8487499999999999</v>
      </c>
      <c r="CD342" s="234" cm="1">
        <f t="array" ref="CD342">$BM342 * IF($AH342&lt;=2,
SUMPRODUCT(INDEX($AV$61:$AX$65,,$AI342), INDEX($AY$61:$BE$65,,$AH342), 1 / ($BF$61:$BF$65*CC342 + (1-$BF$61:$BF$65)*BY342), N($AU$61:$AU$65&gt;$AM342)),
SUMPRODUCT(INDEX($AV$46:$AX$55,,$AI342), INDEX($AY$46:$BE$55,,$AH342), 1 / ($BG$46:$BG$55*CC342 + (1-$BG$46:$BG$55)*BY342), N($AU$46:$AU$55&gt;$AM342))
) / 1000</f>
        <v>0</v>
      </c>
      <c r="CE342" s="234" cm="1">
        <f t="array" ref="CE342">$BM342 * IF($AH342&lt;=2,
SUMPRODUCT(INDEX($AV$22:$AX$60,,$AI342), INDEX($AY$22:$BE$60,,$AH342), 1 / ($BF$22:$BF$60*CC342), N($AU$22:$AU$60&gt;$AM342)),
SUMPRODUCT(INDEX($AV$22:$AX$45,,$AI342), INDEX($AY$22:$BE$45,,$AH342), 1 / ($BG$22:$BG$45*CC342), N($AU$22:$AU$45&gt;$AM342))
) / 1000</f>
        <v>0</v>
      </c>
      <c r="CF342" s="229">
        <f t="shared" si="570"/>
        <v>0</v>
      </c>
      <c r="CG342" s="246"/>
      <c r="CH342" s="229">
        <f t="shared" si="571"/>
        <v>0</v>
      </c>
      <c r="CI342" s="228">
        <v>35</v>
      </c>
      <c r="CJ342" s="229">
        <f t="shared" si="572"/>
        <v>48</v>
      </c>
      <c r="CK342" s="234">
        <f t="shared" si="573"/>
        <v>3.0748170731707316</v>
      </c>
      <c r="CL342" s="234" cm="1">
        <f t="array" ref="CL342">$BM342 * SUMPRODUCT(INDEX($AV$76:$AX$81,,$AI342),INDEX($AY$76:$BE$81,,$AH342), N($AU$76:$AU$81&gt;$AM342)) / CK342 / 1000</f>
        <v>0</v>
      </c>
      <c r="CM342" s="231">
        <f t="shared" ref="CM342:CM405" si="591">IF($AH342&lt;=2, 30, 25)</f>
        <v>30</v>
      </c>
      <c r="CN342" s="229">
        <f t="shared" si="574"/>
        <v>43</v>
      </c>
      <c r="CO342" s="234">
        <f t="shared" si="575"/>
        <v>3.5018750000000001</v>
      </c>
      <c r="CP342" s="234" cm="1">
        <f t="array" ref="CP342">$BM342 * IF($AH342&lt;=2,
SUMPRODUCT(INDEX($AV$71:$AX$75,,$AI342), INDEX($AY$71:$BE$75,,$AH342), 1 / ($BF$71:$BF$75*CO342 + (1-$BF$71:$BF$75)*CK342), N($AU$71:$AU$75&gt;$AM342)),
SUMPRODUCT(INDEX($AV$66:$AX$75,,$AI342), INDEX($AY$66:$BE$75,,$AH342), 1 / ($BG$66:$BG$75*CO342 + (1-$BG$66:$BG$75)*CK342), N($AU$66:$AU$75&gt;$AM342))
) / 1000</f>
        <v>0</v>
      </c>
      <c r="CQ342" s="231">
        <f t="shared" ref="CQ342:CQ405" si="592">IF($AH342&lt;=2, 25, 15)</f>
        <v>25</v>
      </c>
      <c r="CR342" s="229">
        <f t="shared" si="576"/>
        <v>38</v>
      </c>
      <c r="CS342" s="234">
        <f t="shared" si="577"/>
        <v>4.0666935483870965</v>
      </c>
      <c r="CT342" s="234" cm="1">
        <f t="array" ref="CT342">$BM342 * IF($AH342&lt;=2,
SUMPRODUCT(INDEX($AV$66:$AX$70,,$AI342), INDEX($AY$66:$BE$70,,$AH342), 1 / ($BF$66:$BF$70*CS342 + (1-$BF$66:$BF$70)*CO342), N($AU$66:$AU$70&gt;$AM342)),
SUMPRODUCT(INDEX($AV$56:$AX$65,,$AI342), INDEX($AY$56:$BE$65,,$AH342), 1 / ($BG$56:$BG$65*CS342 + (1-$BG$56:$BG$65)*CO342), N($AU$56:$AU$65&gt;$AM342))
) / 1000</f>
        <v>0</v>
      </c>
      <c r="CU342" s="231">
        <f t="shared" ref="CU342:CU405" si="593">IF($AH342&lt;=2, 20, 5)</f>
        <v>20</v>
      </c>
      <c r="CV342" s="229">
        <f t="shared" si="578"/>
        <v>33</v>
      </c>
      <c r="CW342" s="234">
        <f t="shared" si="579"/>
        <v>4.8487499999999999</v>
      </c>
      <c r="CX342" s="234" cm="1">
        <f t="array" ref="CX342">$BM342 * IF($AH342&lt;=2,
SUMPRODUCT(INDEX($AV$61:$AX$65,,$AI342), INDEX($AY$61:$BE$65,,$AH342), 1 / ($BF$61:$BF$65*CW342 + (1-$BF$61:$BF$65)*CS342), N($AU$61:$AU$65&gt;$AM342)),
SUMPRODUCT(INDEX($AV$46:$AX$55,,$AI342), INDEX($AY$46:$BE$55,,$AH342), 1 / ($BG$46:$BG$55*CW342 + (1-$BG$46:$BG$55)*CS342), N($AU$46:$AU$55&gt;$AM342))
) / 1000</f>
        <v>0</v>
      </c>
      <c r="CY342" s="234" cm="1">
        <f t="array" ref="CY342">$BM342 * IF($AH342&lt;=2,
SUMPRODUCT(INDEX($AV$22:$AX$60,,$AI342), INDEX($AY$22:$BE$60,,$AH342), 1 / ($BF$22:$BF$60*CW342), N($AU$22:$AU$60&gt;$AM342)),
SUMPRODUCT(INDEX($AV$22:$AX$45,,$AI342), INDEX($AY$22:$BE$45,,$AH342), 1 / ($BG$22:$BG$45*CW342), N($AU$22:$AU$45&gt;$AM342))
) / 1000</f>
        <v>0</v>
      </c>
      <c r="CZ342" s="229">
        <f t="shared" si="580"/>
        <v>0</v>
      </c>
      <c r="DA342" s="246"/>
    </row>
    <row r="343" spans="1:105" s="75" customFormat="1" ht="14.25" customHeight="1" x14ac:dyDescent="0.2">
      <c r="A343" s="230" t="b">
        <f t="shared" si="585"/>
        <v>0</v>
      </c>
      <c r="B343" s="253">
        <v>322</v>
      </c>
      <c r="C343" s="266"/>
      <c r="D343" s="266"/>
      <c r="E343" s="254"/>
      <c r="F343" s="255" t="str">
        <f>IF(ISBLANK(E343), "", VLOOKUP(E343, Z!$A$2:$C$4127, 3, FALSE))</f>
        <v/>
      </c>
      <c r="G343" s="256"/>
      <c r="H343" s="256"/>
      <c r="I343" s="256"/>
      <c r="J343" s="257"/>
      <c r="K343" s="258"/>
      <c r="L343" s="267"/>
      <c r="M343" s="268"/>
      <c r="N343" s="259" t="str" cm="1">
        <f t="array" ref="N343">IF($L343&gt;0, INDEX(Clean,1+AK343,$D$1), "")</f>
        <v/>
      </c>
      <c r="O343" s="260"/>
      <c r="P343" s="260"/>
      <c r="Q343" s="261"/>
      <c r="R343" s="264">
        <f t="shared" si="556"/>
        <v>0</v>
      </c>
      <c r="S343" s="259" t="str" cm="1">
        <f t="array" ref="S343">IF($L343&gt;0, INDEX(Clean,1+AL343,$D$1), "")</f>
        <v/>
      </c>
      <c r="T343" s="260"/>
      <c r="U343" s="260"/>
      <c r="V343" s="261"/>
      <c r="W343" s="267"/>
      <c r="X343" s="267"/>
      <c r="Y343" s="257"/>
      <c r="Z343" s="264">
        <f t="shared" si="557"/>
        <v>0</v>
      </c>
      <c r="AA343" s="269"/>
      <c r="AB343" s="266"/>
      <c r="AC343" s="254"/>
      <c r="AD343" s="255" t="str">
        <f>IF(ISBLANK(AC343), "", VLOOKUP(AC343, Z!$A$2:$C$4127, 3, FALSE))</f>
        <v/>
      </c>
      <c r="AE343" s="270"/>
      <c r="AF343" s="265">
        <f t="shared" si="558"/>
        <v>0</v>
      </c>
      <c r="AG343" s="246"/>
      <c r="AH343" s="228">
        <f t="shared" si="581"/>
        <v>1</v>
      </c>
      <c r="AI343" s="228">
        <f t="shared" si="582"/>
        <v>1</v>
      </c>
      <c r="AJ343" s="228">
        <f t="shared" si="583"/>
        <v>0</v>
      </c>
      <c r="AK343" s="228">
        <v>0</v>
      </c>
      <c r="AL343" s="228">
        <v>0</v>
      </c>
      <c r="AM343" s="228">
        <f t="shared" si="559"/>
        <v>-100</v>
      </c>
      <c r="AN343" s="228" cm="1">
        <f t="array" ref="AN343">IF(ISBLANK(G343), 1, IFERROR(MATCH(G343, INDEX(Kat,,1), 0), IFERROR(MATCH(Kat, INDEX(Use,,2), 0), MATCH(Kat, INDEX(Use,,3), 0))))</f>
        <v>1</v>
      </c>
      <c r="AO343" s="246"/>
      <c r="AP343" s="228" cm="1">
        <f t="array" ref="AP343">IF(W343&gt;0, INDEX(Kat, AN343,4), 0)</f>
        <v>0</v>
      </c>
      <c r="AQ343" s="228">
        <f t="shared" si="584"/>
        <v>0</v>
      </c>
      <c r="AR343" s="228" cm="1">
        <f t="array" ref="AR343">IF(X343&gt;0, INDEX(Kat, $AN343, 4+AQ343), 0)</f>
        <v>0</v>
      </c>
      <c r="AS343" s="228" cm="1">
        <f t="array" ref="AS343">IF(X343&gt;0, INDEX(Kat, $AN343, 9+AQ343), 0)</f>
        <v>0</v>
      </c>
      <c r="AT343" s="246"/>
      <c r="AU343" s="262"/>
      <c r="AV343" s="262"/>
      <c r="AW343" s="263"/>
      <c r="AX343" s="263"/>
      <c r="AY343" s="263"/>
      <c r="AZ343" s="263"/>
      <c r="BA343" s="263"/>
      <c r="BB343" s="263"/>
      <c r="BC343" s="263"/>
      <c r="BD343" s="263"/>
      <c r="BE343" s="263"/>
      <c r="BF343" s="263"/>
      <c r="BG343" s="263"/>
      <c r="BH343" s="246"/>
      <c r="BI343" s="228" cm="1">
        <f t="array" ref="BI343">INDEX(Use, $AH343, 4)</f>
        <v>7</v>
      </c>
      <c r="BJ343" s="228">
        <f t="shared" si="560"/>
        <v>32</v>
      </c>
      <c r="BK343" s="228">
        <f t="shared" si="586"/>
        <v>13</v>
      </c>
      <c r="BL343" s="228">
        <f t="shared" si="587"/>
        <v>0</v>
      </c>
      <c r="BM343" s="233" cm="1">
        <f t="array" ref="BM343">L343/IF($M343&gt;0, INDEX($AY$22:$BE$76, $M343+20, $AH343), 1)</f>
        <v>0</v>
      </c>
      <c r="BN343" s="229">
        <f t="shared" si="561"/>
        <v>0</v>
      </c>
      <c r="BO343" s="228">
        <v>35</v>
      </c>
      <c r="BP343" s="229">
        <f t="shared" si="562"/>
        <v>48</v>
      </c>
      <c r="BQ343" s="234">
        <f t="shared" si="563"/>
        <v>3.0748170731707316</v>
      </c>
      <c r="BR343" s="234" cm="1">
        <f t="array" ref="BR343">$BM343 * SUMPRODUCT(INDEX($AV$76:$AX$81,,$AI343),INDEX($AY$76:$BE$81,,$AH343), N($AU$76:$AU$81&gt;$AM343)) / BQ343 / 1000</f>
        <v>0</v>
      </c>
      <c r="BS343" s="231">
        <f t="shared" si="588"/>
        <v>30</v>
      </c>
      <c r="BT343" s="229">
        <f t="shared" si="564"/>
        <v>43</v>
      </c>
      <c r="BU343" s="234">
        <f t="shared" si="565"/>
        <v>3.5018750000000001</v>
      </c>
      <c r="BV343" s="234" cm="1">
        <f t="array" ref="BV343">$BM343 * IF($AH343&lt;=2,
SUMPRODUCT(INDEX($AV$71:$AX$75,,$AI343), INDEX($AY$71:$BE$75,,$AH343), 1 / ($BF$71:$BF$75*BU343 + (1-$BF$71:$BF$75)*BQ343), N($AU$71:$AU$75&gt;$AM343)),
SUMPRODUCT(INDEX($AV$66:$AX$75,,$AI343), INDEX($AY$66:$BE$75,,$AH343), 1 / ($BG$66:$BG$75*BU343 + (1-$BG$66:$BG$75)*BQ343), N($AU$66:$AU$75&gt;$AM343))
) / 1000</f>
        <v>0</v>
      </c>
      <c r="BW343" s="231">
        <f t="shared" si="589"/>
        <v>25</v>
      </c>
      <c r="BX343" s="229">
        <f t="shared" si="566"/>
        <v>38</v>
      </c>
      <c r="BY343" s="234">
        <f t="shared" si="567"/>
        <v>4.0666935483870965</v>
      </c>
      <c r="BZ343" s="234" cm="1">
        <f t="array" ref="BZ343">$BM343 * IF($AH343&lt;=2,
SUMPRODUCT(INDEX($AV$66:$AX$70,,$AI343), INDEX($AY$66:$BE$70,,$AH343), 1 / ($BF$66:$BF$70*BY343 + (1-$BF$66:$BF$70)*BU343), N($AU$66:$AU$70&gt;$AM343)),
SUMPRODUCT(INDEX($AV$56:$AX$65,,$AI343), INDEX($AY$56:$BE$65,,$AH343), 1 / ($BG$56:$BG$65*BY343 + (1-$BG$56:$BG$65)*BU343), N($AU$56:$AU$65&gt;$AM343))
) / 1000</f>
        <v>0</v>
      </c>
      <c r="CA343" s="231">
        <f t="shared" si="590"/>
        <v>20</v>
      </c>
      <c r="CB343" s="229">
        <f t="shared" si="568"/>
        <v>33</v>
      </c>
      <c r="CC343" s="234">
        <f t="shared" si="569"/>
        <v>4.8487499999999999</v>
      </c>
      <c r="CD343" s="234" cm="1">
        <f t="array" ref="CD343">$BM343 * IF($AH343&lt;=2,
SUMPRODUCT(INDEX($AV$61:$AX$65,,$AI343), INDEX($AY$61:$BE$65,,$AH343), 1 / ($BF$61:$BF$65*CC343 + (1-$BF$61:$BF$65)*BY343), N($AU$61:$AU$65&gt;$AM343)),
SUMPRODUCT(INDEX($AV$46:$AX$55,,$AI343), INDEX($AY$46:$BE$55,,$AH343), 1 / ($BG$46:$BG$55*CC343 + (1-$BG$46:$BG$55)*BY343), N($AU$46:$AU$55&gt;$AM343))
) / 1000</f>
        <v>0</v>
      </c>
      <c r="CE343" s="234" cm="1">
        <f t="array" ref="CE343">$BM343 * IF($AH343&lt;=2,
SUMPRODUCT(INDEX($AV$22:$AX$60,,$AI343), INDEX($AY$22:$BE$60,,$AH343), 1 / ($BF$22:$BF$60*CC343), N($AU$22:$AU$60&gt;$AM343)),
SUMPRODUCT(INDEX($AV$22:$AX$45,,$AI343), INDEX($AY$22:$BE$45,,$AH343), 1 / ($BG$22:$BG$45*CC343), N($AU$22:$AU$45&gt;$AM343))
) / 1000</f>
        <v>0</v>
      </c>
      <c r="CF343" s="229">
        <f t="shared" si="570"/>
        <v>0</v>
      </c>
      <c r="CG343" s="246"/>
      <c r="CH343" s="229">
        <f t="shared" si="571"/>
        <v>0</v>
      </c>
      <c r="CI343" s="228">
        <v>35</v>
      </c>
      <c r="CJ343" s="229">
        <f t="shared" si="572"/>
        <v>48</v>
      </c>
      <c r="CK343" s="234">
        <f t="shared" si="573"/>
        <v>3.0748170731707316</v>
      </c>
      <c r="CL343" s="234" cm="1">
        <f t="array" ref="CL343">$BM343 * SUMPRODUCT(INDEX($AV$76:$AX$81,,$AI343),INDEX($AY$76:$BE$81,,$AH343), N($AU$76:$AU$81&gt;$AM343)) / CK343 / 1000</f>
        <v>0</v>
      </c>
      <c r="CM343" s="231">
        <f t="shared" si="591"/>
        <v>30</v>
      </c>
      <c r="CN343" s="229">
        <f t="shared" si="574"/>
        <v>43</v>
      </c>
      <c r="CO343" s="234">
        <f t="shared" si="575"/>
        <v>3.5018750000000001</v>
      </c>
      <c r="CP343" s="234" cm="1">
        <f t="array" ref="CP343">$BM343 * IF($AH343&lt;=2,
SUMPRODUCT(INDEX($AV$71:$AX$75,,$AI343), INDEX($AY$71:$BE$75,,$AH343), 1 / ($BF$71:$BF$75*CO343 + (1-$BF$71:$BF$75)*CK343), N($AU$71:$AU$75&gt;$AM343)),
SUMPRODUCT(INDEX($AV$66:$AX$75,,$AI343), INDEX($AY$66:$BE$75,,$AH343), 1 / ($BG$66:$BG$75*CO343 + (1-$BG$66:$BG$75)*CK343), N($AU$66:$AU$75&gt;$AM343))
) / 1000</f>
        <v>0</v>
      </c>
      <c r="CQ343" s="231">
        <f t="shared" si="592"/>
        <v>25</v>
      </c>
      <c r="CR343" s="229">
        <f t="shared" si="576"/>
        <v>38</v>
      </c>
      <c r="CS343" s="234">
        <f t="shared" si="577"/>
        <v>4.0666935483870965</v>
      </c>
      <c r="CT343" s="234" cm="1">
        <f t="array" ref="CT343">$BM343 * IF($AH343&lt;=2,
SUMPRODUCT(INDEX($AV$66:$AX$70,,$AI343), INDEX($AY$66:$BE$70,,$AH343), 1 / ($BF$66:$BF$70*CS343 + (1-$BF$66:$BF$70)*CO343), N($AU$66:$AU$70&gt;$AM343)),
SUMPRODUCT(INDEX($AV$56:$AX$65,,$AI343), INDEX($AY$56:$BE$65,,$AH343), 1 / ($BG$56:$BG$65*CS343 + (1-$BG$56:$BG$65)*CO343), N($AU$56:$AU$65&gt;$AM343))
) / 1000</f>
        <v>0</v>
      </c>
      <c r="CU343" s="231">
        <f t="shared" si="593"/>
        <v>20</v>
      </c>
      <c r="CV343" s="229">
        <f t="shared" si="578"/>
        <v>33</v>
      </c>
      <c r="CW343" s="234">
        <f t="shared" si="579"/>
        <v>4.8487499999999999</v>
      </c>
      <c r="CX343" s="234" cm="1">
        <f t="array" ref="CX343">$BM343 * IF($AH343&lt;=2,
SUMPRODUCT(INDEX($AV$61:$AX$65,,$AI343), INDEX($AY$61:$BE$65,,$AH343), 1 / ($BF$61:$BF$65*CW343 + (1-$BF$61:$BF$65)*CS343), N($AU$61:$AU$65&gt;$AM343)),
SUMPRODUCT(INDEX($AV$46:$AX$55,,$AI343), INDEX($AY$46:$BE$55,,$AH343), 1 / ($BG$46:$BG$55*CW343 + (1-$BG$46:$BG$55)*CS343), N($AU$46:$AU$55&gt;$AM343))
) / 1000</f>
        <v>0</v>
      </c>
      <c r="CY343" s="234" cm="1">
        <f t="array" ref="CY343">$BM343 * IF($AH343&lt;=2,
SUMPRODUCT(INDEX($AV$22:$AX$60,,$AI343), INDEX($AY$22:$BE$60,,$AH343), 1 / ($BF$22:$BF$60*CW343), N($AU$22:$AU$60&gt;$AM343)),
SUMPRODUCT(INDEX($AV$22:$AX$45,,$AI343), INDEX($AY$22:$BE$45,,$AH343), 1 / ($BG$22:$BG$45*CW343), N($AU$22:$AU$45&gt;$AM343))
) / 1000</f>
        <v>0</v>
      </c>
      <c r="CZ343" s="229">
        <f t="shared" si="580"/>
        <v>0</v>
      </c>
      <c r="DA343" s="246"/>
    </row>
    <row r="344" spans="1:105" s="75" customFormat="1" ht="14.25" customHeight="1" x14ac:dyDescent="0.2">
      <c r="A344" s="230" t="b">
        <f t="shared" si="585"/>
        <v>0</v>
      </c>
      <c r="B344" s="253">
        <v>323</v>
      </c>
      <c r="C344" s="266"/>
      <c r="D344" s="266"/>
      <c r="E344" s="254"/>
      <c r="F344" s="255" t="str">
        <f>IF(ISBLANK(E344), "", VLOOKUP(E344, Z!$A$2:$C$4127, 3, FALSE))</f>
        <v/>
      </c>
      <c r="G344" s="256"/>
      <c r="H344" s="256"/>
      <c r="I344" s="256"/>
      <c r="J344" s="257"/>
      <c r="K344" s="258"/>
      <c r="L344" s="267"/>
      <c r="M344" s="268"/>
      <c r="N344" s="259" t="str" cm="1">
        <f t="array" ref="N344">IF($L344&gt;0, INDEX(Clean,1+AK344,$D$1), "")</f>
        <v/>
      </c>
      <c r="O344" s="260"/>
      <c r="P344" s="260"/>
      <c r="Q344" s="261"/>
      <c r="R344" s="264">
        <f t="shared" si="556"/>
        <v>0</v>
      </c>
      <c r="S344" s="259" t="str" cm="1">
        <f t="array" ref="S344">IF($L344&gt;0, INDEX(Clean,1+AL344,$D$1), "")</f>
        <v/>
      </c>
      <c r="T344" s="260"/>
      <c r="U344" s="260"/>
      <c r="V344" s="261"/>
      <c r="W344" s="267"/>
      <c r="X344" s="267"/>
      <c r="Y344" s="257"/>
      <c r="Z344" s="264">
        <f t="shared" si="557"/>
        <v>0</v>
      </c>
      <c r="AA344" s="269"/>
      <c r="AB344" s="266"/>
      <c r="AC344" s="254"/>
      <c r="AD344" s="255" t="str">
        <f>IF(ISBLANK(AC344), "", VLOOKUP(AC344, Z!$A$2:$C$4127, 3, FALSE))</f>
        <v/>
      </c>
      <c r="AE344" s="270"/>
      <c r="AF344" s="265">
        <f t="shared" si="558"/>
        <v>0</v>
      </c>
      <c r="AG344" s="246"/>
      <c r="AH344" s="228">
        <f t="shared" si="581"/>
        <v>1</v>
      </c>
      <c r="AI344" s="228">
        <f t="shared" si="582"/>
        <v>1</v>
      </c>
      <c r="AJ344" s="228">
        <f t="shared" si="583"/>
        <v>0</v>
      </c>
      <c r="AK344" s="228">
        <v>0</v>
      </c>
      <c r="AL344" s="228">
        <v>0</v>
      </c>
      <c r="AM344" s="228">
        <f t="shared" si="559"/>
        <v>-100</v>
      </c>
      <c r="AN344" s="228" cm="1">
        <f t="array" ref="AN344">IF(ISBLANK(G344), 1, IFERROR(MATCH(G344, INDEX(Kat,,1), 0), IFERROR(MATCH(Kat, INDEX(Use,,2), 0), MATCH(Kat, INDEX(Use,,3), 0))))</f>
        <v>1</v>
      </c>
      <c r="AO344" s="246"/>
      <c r="AP344" s="228" cm="1">
        <f t="array" ref="AP344">IF(W344&gt;0, INDEX(Kat, AN344,4), 0)</f>
        <v>0</v>
      </c>
      <c r="AQ344" s="228">
        <f t="shared" si="584"/>
        <v>0</v>
      </c>
      <c r="AR344" s="228" cm="1">
        <f t="array" ref="AR344">IF(X344&gt;0, INDEX(Kat, $AN344, 4+AQ344), 0)</f>
        <v>0</v>
      </c>
      <c r="AS344" s="228" cm="1">
        <f t="array" ref="AS344">IF(X344&gt;0, INDEX(Kat, $AN344, 9+AQ344), 0)</f>
        <v>0</v>
      </c>
      <c r="AT344" s="246"/>
      <c r="AU344" s="262"/>
      <c r="AV344" s="262"/>
      <c r="AW344" s="263"/>
      <c r="AX344" s="263"/>
      <c r="AY344" s="263"/>
      <c r="AZ344" s="263"/>
      <c r="BA344" s="263"/>
      <c r="BB344" s="263"/>
      <c r="BC344" s="263"/>
      <c r="BD344" s="263"/>
      <c r="BE344" s="263"/>
      <c r="BF344" s="263"/>
      <c r="BG344" s="263"/>
      <c r="BH344" s="246"/>
      <c r="BI344" s="228" cm="1">
        <f t="array" ref="BI344">INDEX(Use, $AH344, 4)</f>
        <v>7</v>
      </c>
      <c r="BJ344" s="228">
        <f t="shared" si="560"/>
        <v>32</v>
      </c>
      <c r="BK344" s="228">
        <f t="shared" si="586"/>
        <v>13</v>
      </c>
      <c r="BL344" s="228">
        <f t="shared" si="587"/>
        <v>0</v>
      </c>
      <c r="BM344" s="233" cm="1">
        <f t="array" ref="BM344">L344/IF($M344&gt;0, INDEX($AY$22:$BE$76, $M344+20, $AH344), 1)</f>
        <v>0</v>
      </c>
      <c r="BN344" s="229">
        <f t="shared" si="561"/>
        <v>0</v>
      </c>
      <c r="BO344" s="228">
        <v>35</v>
      </c>
      <c r="BP344" s="229">
        <f t="shared" si="562"/>
        <v>48</v>
      </c>
      <c r="BQ344" s="234">
        <f t="shared" si="563"/>
        <v>3.0748170731707316</v>
      </c>
      <c r="BR344" s="234" cm="1">
        <f t="array" ref="BR344">$BM344 * SUMPRODUCT(INDEX($AV$76:$AX$81,,$AI344),INDEX($AY$76:$BE$81,,$AH344), N($AU$76:$AU$81&gt;$AM344)) / BQ344 / 1000</f>
        <v>0</v>
      </c>
      <c r="BS344" s="231">
        <f t="shared" si="588"/>
        <v>30</v>
      </c>
      <c r="BT344" s="229">
        <f t="shared" si="564"/>
        <v>43</v>
      </c>
      <c r="BU344" s="234">
        <f t="shared" si="565"/>
        <v>3.5018750000000001</v>
      </c>
      <c r="BV344" s="234" cm="1">
        <f t="array" ref="BV344">$BM344 * IF($AH344&lt;=2,
SUMPRODUCT(INDEX($AV$71:$AX$75,,$AI344), INDEX($AY$71:$BE$75,,$AH344), 1 / ($BF$71:$BF$75*BU344 + (1-$BF$71:$BF$75)*BQ344), N($AU$71:$AU$75&gt;$AM344)),
SUMPRODUCT(INDEX($AV$66:$AX$75,,$AI344), INDEX($AY$66:$BE$75,,$AH344), 1 / ($BG$66:$BG$75*BU344 + (1-$BG$66:$BG$75)*BQ344), N($AU$66:$AU$75&gt;$AM344))
) / 1000</f>
        <v>0</v>
      </c>
      <c r="BW344" s="231">
        <f t="shared" si="589"/>
        <v>25</v>
      </c>
      <c r="BX344" s="229">
        <f t="shared" si="566"/>
        <v>38</v>
      </c>
      <c r="BY344" s="234">
        <f t="shared" si="567"/>
        <v>4.0666935483870965</v>
      </c>
      <c r="BZ344" s="234" cm="1">
        <f t="array" ref="BZ344">$BM344 * IF($AH344&lt;=2,
SUMPRODUCT(INDEX($AV$66:$AX$70,,$AI344), INDEX($AY$66:$BE$70,,$AH344), 1 / ($BF$66:$BF$70*BY344 + (1-$BF$66:$BF$70)*BU344), N($AU$66:$AU$70&gt;$AM344)),
SUMPRODUCT(INDEX($AV$56:$AX$65,,$AI344), INDEX($AY$56:$BE$65,,$AH344), 1 / ($BG$56:$BG$65*BY344 + (1-$BG$56:$BG$65)*BU344), N($AU$56:$AU$65&gt;$AM344))
) / 1000</f>
        <v>0</v>
      </c>
      <c r="CA344" s="231">
        <f t="shared" si="590"/>
        <v>20</v>
      </c>
      <c r="CB344" s="229">
        <f t="shared" si="568"/>
        <v>33</v>
      </c>
      <c r="CC344" s="234">
        <f t="shared" si="569"/>
        <v>4.8487499999999999</v>
      </c>
      <c r="CD344" s="234" cm="1">
        <f t="array" ref="CD344">$BM344 * IF($AH344&lt;=2,
SUMPRODUCT(INDEX($AV$61:$AX$65,,$AI344), INDEX($AY$61:$BE$65,,$AH344), 1 / ($BF$61:$BF$65*CC344 + (1-$BF$61:$BF$65)*BY344), N($AU$61:$AU$65&gt;$AM344)),
SUMPRODUCT(INDEX($AV$46:$AX$55,,$AI344), INDEX($AY$46:$BE$55,,$AH344), 1 / ($BG$46:$BG$55*CC344 + (1-$BG$46:$BG$55)*BY344), N($AU$46:$AU$55&gt;$AM344))
) / 1000</f>
        <v>0</v>
      </c>
      <c r="CE344" s="234" cm="1">
        <f t="array" ref="CE344">$BM344 * IF($AH344&lt;=2,
SUMPRODUCT(INDEX($AV$22:$AX$60,,$AI344), INDEX($AY$22:$BE$60,,$AH344), 1 / ($BF$22:$BF$60*CC344), N($AU$22:$AU$60&gt;$AM344)),
SUMPRODUCT(INDEX($AV$22:$AX$45,,$AI344), INDEX($AY$22:$BE$45,,$AH344), 1 / ($BG$22:$BG$45*CC344), N($AU$22:$AU$45&gt;$AM344))
) / 1000</f>
        <v>0</v>
      </c>
      <c r="CF344" s="229">
        <f t="shared" si="570"/>
        <v>0</v>
      </c>
      <c r="CG344" s="246"/>
      <c r="CH344" s="229">
        <f t="shared" si="571"/>
        <v>0</v>
      </c>
      <c r="CI344" s="228">
        <v>35</v>
      </c>
      <c r="CJ344" s="229">
        <f t="shared" si="572"/>
        <v>48</v>
      </c>
      <c r="CK344" s="234">
        <f t="shared" si="573"/>
        <v>3.0748170731707316</v>
      </c>
      <c r="CL344" s="234" cm="1">
        <f t="array" ref="CL344">$BM344 * SUMPRODUCT(INDEX($AV$76:$AX$81,,$AI344),INDEX($AY$76:$BE$81,,$AH344), N($AU$76:$AU$81&gt;$AM344)) / CK344 / 1000</f>
        <v>0</v>
      </c>
      <c r="CM344" s="231">
        <f t="shared" si="591"/>
        <v>30</v>
      </c>
      <c r="CN344" s="229">
        <f t="shared" si="574"/>
        <v>43</v>
      </c>
      <c r="CO344" s="234">
        <f t="shared" si="575"/>
        <v>3.5018750000000001</v>
      </c>
      <c r="CP344" s="234" cm="1">
        <f t="array" ref="CP344">$BM344 * IF($AH344&lt;=2,
SUMPRODUCT(INDEX($AV$71:$AX$75,,$AI344), INDEX($AY$71:$BE$75,,$AH344), 1 / ($BF$71:$BF$75*CO344 + (1-$BF$71:$BF$75)*CK344), N($AU$71:$AU$75&gt;$AM344)),
SUMPRODUCT(INDEX($AV$66:$AX$75,,$AI344), INDEX($AY$66:$BE$75,,$AH344), 1 / ($BG$66:$BG$75*CO344 + (1-$BG$66:$BG$75)*CK344), N($AU$66:$AU$75&gt;$AM344))
) / 1000</f>
        <v>0</v>
      </c>
      <c r="CQ344" s="231">
        <f t="shared" si="592"/>
        <v>25</v>
      </c>
      <c r="CR344" s="229">
        <f t="shared" si="576"/>
        <v>38</v>
      </c>
      <c r="CS344" s="234">
        <f t="shared" si="577"/>
        <v>4.0666935483870965</v>
      </c>
      <c r="CT344" s="234" cm="1">
        <f t="array" ref="CT344">$BM344 * IF($AH344&lt;=2,
SUMPRODUCT(INDEX($AV$66:$AX$70,,$AI344), INDEX($AY$66:$BE$70,,$AH344), 1 / ($BF$66:$BF$70*CS344 + (1-$BF$66:$BF$70)*CO344), N($AU$66:$AU$70&gt;$AM344)),
SUMPRODUCT(INDEX($AV$56:$AX$65,,$AI344), INDEX($AY$56:$BE$65,,$AH344), 1 / ($BG$56:$BG$65*CS344 + (1-$BG$56:$BG$65)*CO344), N($AU$56:$AU$65&gt;$AM344))
) / 1000</f>
        <v>0</v>
      </c>
      <c r="CU344" s="231">
        <f t="shared" si="593"/>
        <v>20</v>
      </c>
      <c r="CV344" s="229">
        <f t="shared" si="578"/>
        <v>33</v>
      </c>
      <c r="CW344" s="234">
        <f t="shared" si="579"/>
        <v>4.8487499999999999</v>
      </c>
      <c r="CX344" s="234" cm="1">
        <f t="array" ref="CX344">$BM344 * IF($AH344&lt;=2,
SUMPRODUCT(INDEX($AV$61:$AX$65,,$AI344), INDEX($AY$61:$BE$65,,$AH344), 1 / ($BF$61:$BF$65*CW344 + (1-$BF$61:$BF$65)*CS344), N($AU$61:$AU$65&gt;$AM344)),
SUMPRODUCT(INDEX($AV$46:$AX$55,,$AI344), INDEX($AY$46:$BE$55,,$AH344), 1 / ($BG$46:$BG$55*CW344 + (1-$BG$46:$BG$55)*CS344), N($AU$46:$AU$55&gt;$AM344))
) / 1000</f>
        <v>0</v>
      </c>
      <c r="CY344" s="234" cm="1">
        <f t="array" ref="CY344">$BM344 * IF($AH344&lt;=2,
SUMPRODUCT(INDEX($AV$22:$AX$60,,$AI344), INDEX($AY$22:$BE$60,,$AH344), 1 / ($BF$22:$BF$60*CW344), N($AU$22:$AU$60&gt;$AM344)),
SUMPRODUCT(INDEX($AV$22:$AX$45,,$AI344), INDEX($AY$22:$BE$45,,$AH344), 1 / ($BG$22:$BG$45*CW344), N($AU$22:$AU$45&gt;$AM344))
) / 1000</f>
        <v>0</v>
      </c>
      <c r="CZ344" s="229">
        <f t="shared" si="580"/>
        <v>0</v>
      </c>
      <c r="DA344" s="246"/>
    </row>
    <row r="345" spans="1:105" s="75" customFormat="1" ht="14.25" customHeight="1" x14ac:dyDescent="0.2">
      <c r="A345" s="230" t="b">
        <f t="shared" si="585"/>
        <v>0</v>
      </c>
      <c r="B345" s="253">
        <v>324</v>
      </c>
      <c r="C345" s="266"/>
      <c r="D345" s="266"/>
      <c r="E345" s="254"/>
      <c r="F345" s="255" t="str">
        <f>IF(ISBLANK(E345), "", VLOOKUP(E345, Z!$A$2:$C$4127, 3, FALSE))</f>
        <v/>
      </c>
      <c r="G345" s="256"/>
      <c r="H345" s="256"/>
      <c r="I345" s="256"/>
      <c r="J345" s="257"/>
      <c r="K345" s="258"/>
      <c r="L345" s="267"/>
      <c r="M345" s="268"/>
      <c r="N345" s="259" t="str" cm="1">
        <f t="array" ref="N345">IF($L345&gt;0, INDEX(Clean,1+AK345,$D$1), "")</f>
        <v/>
      </c>
      <c r="O345" s="260"/>
      <c r="P345" s="260"/>
      <c r="Q345" s="261"/>
      <c r="R345" s="264">
        <f t="shared" si="556"/>
        <v>0</v>
      </c>
      <c r="S345" s="259" t="str" cm="1">
        <f t="array" ref="S345">IF($L345&gt;0, INDEX(Clean,1+AL345,$D$1), "")</f>
        <v/>
      </c>
      <c r="T345" s="260"/>
      <c r="U345" s="260"/>
      <c r="V345" s="261"/>
      <c r="W345" s="267"/>
      <c r="X345" s="267"/>
      <c r="Y345" s="257"/>
      <c r="Z345" s="264">
        <f t="shared" si="557"/>
        <v>0</v>
      </c>
      <c r="AA345" s="269"/>
      <c r="AB345" s="266"/>
      <c r="AC345" s="254"/>
      <c r="AD345" s="255" t="str">
        <f>IF(ISBLANK(AC345), "", VLOOKUP(AC345, Z!$A$2:$C$4127, 3, FALSE))</f>
        <v/>
      </c>
      <c r="AE345" s="270"/>
      <c r="AF345" s="265">
        <f t="shared" si="558"/>
        <v>0</v>
      </c>
      <c r="AG345" s="246"/>
      <c r="AH345" s="228">
        <f t="shared" si="581"/>
        <v>1</v>
      </c>
      <c r="AI345" s="228">
        <f t="shared" si="582"/>
        <v>1</v>
      </c>
      <c r="AJ345" s="228">
        <f t="shared" si="583"/>
        <v>0</v>
      </c>
      <c r="AK345" s="228">
        <v>0</v>
      </c>
      <c r="AL345" s="228">
        <v>0</v>
      </c>
      <c r="AM345" s="228">
        <f t="shared" si="559"/>
        <v>-100</v>
      </c>
      <c r="AN345" s="228" cm="1">
        <f t="array" ref="AN345">IF(ISBLANK(G345), 1, IFERROR(MATCH(G345, INDEX(Kat,,1), 0), IFERROR(MATCH(Kat, INDEX(Use,,2), 0), MATCH(Kat, INDEX(Use,,3), 0))))</f>
        <v>1</v>
      </c>
      <c r="AO345" s="246"/>
      <c r="AP345" s="228" cm="1">
        <f t="array" ref="AP345">IF(W345&gt;0, INDEX(Kat, AN345,4), 0)</f>
        <v>0</v>
      </c>
      <c r="AQ345" s="228">
        <f t="shared" si="584"/>
        <v>0</v>
      </c>
      <c r="AR345" s="228" cm="1">
        <f t="array" ref="AR345">IF(X345&gt;0, INDEX(Kat, $AN345, 4+AQ345), 0)</f>
        <v>0</v>
      </c>
      <c r="AS345" s="228" cm="1">
        <f t="array" ref="AS345">IF(X345&gt;0, INDEX(Kat, $AN345, 9+AQ345), 0)</f>
        <v>0</v>
      </c>
      <c r="AT345" s="246"/>
      <c r="AU345" s="262"/>
      <c r="AV345" s="262"/>
      <c r="AW345" s="263"/>
      <c r="AX345" s="263"/>
      <c r="AY345" s="263"/>
      <c r="AZ345" s="263"/>
      <c r="BA345" s="263"/>
      <c r="BB345" s="263"/>
      <c r="BC345" s="263"/>
      <c r="BD345" s="263"/>
      <c r="BE345" s="263"/>
      <c r="BF345" s="263"/>
      <c r="BG345" s="263"/>
      <c r="BH345" s="246"/>
      <c r="BI345" s="228" cm="1">
        <f t="array" ref="BI345">INDEX(Use, $AH345, 4)</f>
        <v>7</v>
      </c>
      <c r="BJ345" s="228">
        <f t="shared" si="560"/>
        <v>32</v>
      </c>
      <c r="BK345" s="228">
        <f t="shared" si="586"/>
        <v>13</v>
      </c>
      <c r="BL345" s="228">
        <f t="shared" si="587"/>
        <v>0</v>
      </c>
      <c r="BM345" s="233" cm="1">
        <f t="array" ref="BM345">L345/IF($M345&gt;0, INDEX($AY$22:$BE$76, $M345+20, $AH345), 1)</f>
        <v>0</v>
      </c>
      <c r="BN345" s="229">
        <f t="shared" si="561"/>
        <v>0</v>
      </c>
      <c r="BO345" s="228">
        <v>35</v>
      </c>
      <c r="BP345" s="229">
        <f t="shared" si="562"/>
        <v>48</v>
      </c>
      <c r="BQ345" s="234">
        <f t="shared" si="563"/>
        <v>3.0748170731707316</v>
      </c>
      <c r="BR345" s="234" cm="1">
        <f t="array" ref="BR345">$BM345 * SUMPRODUCT(INDEX($AV$76:$AX$81,,$AI345),INDEX($AY$76:$BE$81,,$AH345), N($AU$76:$AU$81&gt;$AM345)) / BQ345 / 1000</f>
        <v>0</v>
      </c>
      <c r="BS345" s="231">
        <f t="shared" si="588"/>
        <v>30</v>
      </c>
      <c r="BT345" s="229">
        <f t="shared" si="564"/>
        <v>43</v>
      </c>
      <c r="BU345" s="234">
        <f t="shared" si="565"/>
        <v>3.5018750000000001</v>
      </c>
      <c r="BV345" s="234" cm="1">
        <f t="array" ref="BV345">$BM345 * IF($AH345&lt;=2,
SUMPRODUCT(INDEX($AV$71:$AX$75,,$AI345), INDEX($AY$71:$BE$75,,$AH345), 1 / ($BF$71:$BF$75*BU345 + (1-$BF$71:$BF$75)*BQ345), N($AU$71:$AU$75&gt;$AM345)),
SUMPRODUCT(INDEX($AV$66:$AX$75,,$AI345), INDEX($AY$66:$BE$75,,$AH345), 1 / ($BG$66:$BG$75*BU345 + (1-$BG$66:$BG$75)*BQ345), N($AU$66:$AU$75&gt;$AM345))
) / 1000</f>
        <v>0</v>
      </c>
      <c r="BW345" s="231">
        <f t="shared" si="589"/>
        <v>25</v>
      </c>
      <c r="BX345" s="229">
        <f t="shared" si="566"/>
        <v>38</v>
      </c>
      <c r="BY345" s="234">
        <f t="shared" si="567"/>
        <v>4.0666935483870965</v>
      </c>
      <c r="BZ345" s="234" cm="1">
        <f t="array" ref="BZ345">$BM345 * IF($AH345&lt;=2,
SUMPRODUCT(INDEX($AV$66:$AX$70,,$AI345), INDEX($AY$66:$BE$70,,$AH345), 1 / ($BF$66:$BF$70*BY345 + (1-$BF$66:$BF$70)*BU345), N($AU$66:$AU$70&gt;$AM345)),
SUMPRODUCT(INDEX($AV$56:$AX$65,,$AI345), INDEX($AY$56:$BE$65,,$AH345), 1 / ($BG$56:$BG$65*BY345 + (1-$BG$56:$BG$65)*BU345), N($AU$56:$AU$65&gt;$AM345))
) / 1000</f>
        <v>0</v>
      </c>
      <c r="CA345" s="231">
        <f t="shared" si="590"/>
        <v>20</v>
      </c>
      <c r="CB345" s="229">
        <f t="shared" si="568"/>
        <v>33</v>
      </c>
      <c r="CC345" s="234">
        <f t="shared" si="569"/>
        <v>4.8487499999999999</v>
      </c>
      <c r="CD345" s="234" cm="1">
        <f t="array" ref="CD345">$BM345 * IF($AH345&lt;=2,
SUMPRODUCT(INDEX($AV$61:$AX$65,,$AI345), INDEX($AY$61:$BE$65,,$AH345), 1 / ($BF$61:$BF$65*CC345 + (1-$BF$61:$BF$65)*BY345), N($AU$61:$AU$65&gt;$AM345)),
SUMPRODUCT(INDEX($AV$46:$AX$55,,$AI345), INDEX($AY$46:$BE$55,,$AH345), 1 / ($BG$46:$BG$55*CC345 + (1-$BG$46:$BG$55)*BY345), N($AU$46:$AU$55&gt;$AM345))
) / 1000</f>
        <v>0</v>
      </c>
      <c r="CE345" s="234" cm="1">
        <f t="array" ref="CE345">$BM345 * IF($AH345&lt;=2,
SUMPRODUCT(INDEX($AV$22:$AX$60,,$AI345), INDEX($AY$22:$BE$60,,$AH345), 1 / ($BF$22:$BF$60*CC345), N($AU$22:$AU$60&gt;$AM345)),
SUMPRODUCT(INDEX($AV$22:$AX$45,,$AI345), INDEX($AY$22:$BE$45,,$AH345), 1 / ($BG$22:$BG$45*CC345), N($AU$22:$AU$45&gt;$AM345))
) / 1000</f>
        <v>0</v>
      </c>
      <c r="CF345" s="229">
        <f t="shared" si="570"/>
        <v>0</v>
      </c>
      <c r="CG345" s="246"/>
      <c r="CH345" s="229">
        <f t="shared" si="571"/>
        <v>0</v>
      </c>
      <c r="CI345" s="228">
        <v>35</v>
      </c>
      <c r="CJ345" s="229">
        <f t="shared" si="572"/>
        <v>48</v>
      </c>
      <c r="CK345" s="234">
        <f t="shared" si="573"/>
        <v>3.0748170731707316</v>
      </c>
      <c r="CL345" s="234" cm="1">
        <f t="array" ref="CL345">$BM345 * SUMPRODUCT(INDEX($AV$76:$AX$81,,$AI345),INDEX($AY$76:$BE$81,,$AH345), N($AU$76:$AU$81&gt;$AM345)) / CK345 / 1000</f>
        <v>0</v>
      </c>
      <c r="CM345" s="231">
        <f t="shared" si="591"/>
        <v>30</v>
      </c>
      <c r="CN345" s="229">
        <f t="shared" si="574"/>
        <v>43</v>
      </c>
      <c r="CO345" s="234">
        <f t="shared" si="575"/>
        <v>3.5018750000000001</v>
      </c>
      <c r="CP345" s="234" cm="1">
        <f t="array" ref="CP345">$BM345 * IF($AH345&lt;=2,
SUMPRODUCT(INDEX($AV$71:$AX$75,,$AI345), INDEX($AY$71:$BE$75,,$AH345), 1 / ($BF$71:$BF$75*CO345 + (1-$BF$71:$BF$75)*CK345), N($AU$71:$AU$75&gt;$AM345)),
SUMPRODUCT(INDEX($AV$66:$AX$75,,$AI345), INDEX($AY$66:$BE$75,,$AH345), 1 / ($BG$66:$BG$75*CO345 + (1-$BG$66:$BG$75)*CK345), N($AU$66:$AU$75&gt;$AM345))
) / 1000</f>
        <v>0</v>
      </c>
      <c r="CQ345" s="231">
        <f t="shared" si="592"/>
        <v>25</v>
      </c>
      <c r="CR345" s="229">
        <f t="shared" si="576"/>
        <v>38</v>
      </c>
      <c r="CS345" s="234">
        <f t="shared" si="577"/>
        <v>4.0666935483870965</v>
      </c>
      <c r="CT345" s="234" cm="1">
        <f t="array" ref="CT345">$BM345 * IF($AH345&lt;=2,
SUMPRODUCT(INDEX($AV$66:$AX$70,,$AI345), INDEX($AY$66:$BE$70,,$AH345), 1 / ($BF$66:$BF$70*CS345 + (1-$BF$66:$BF$70)*CO345), N($AU$66:$AU$70&gt;$AM345)),
SUMPRODUCT(INDEX($AV$56:$AX$65,,$AI345), INDEX($AY$56:$BE$65,,$AH345), 1 / ($BG$56:$BG$65*CS345 + (1-$BG$56:$BG$65)*CO345), N($AU$56:$AU$65&gt;$AM345))
) / 1000</f>
        <v>0</v>
      </c>
      <c r="CU345" s="231">
        <f t="shared" si="593"/>
        <v>20</v>
      </c>
      <c r="CV345" s="229">
        <f t="shared" si="578"/>
        <v>33</v>
      </c>
      <c r="CW345" s="234">
        <f t="shared" si="579"/>
        <v>4.8487499999999999</v>
      </c>
      <c r="CX345" s="234" cm="1">
        <f t="array" ref="CX345">$BM345 * IF($AH345&lt;=2,
SUMPRODUCT(INDEX($AV$61:$AX$65,,$AI345), INDEX($AY$61:$BE$65,,$AH345), 1 / ($BF$61:$BF$65*CW345 + (1-$BF$61:$BF$65)*CS345), N($AU$61:$AU$65&gt;$AM345)),
SUMPRODUCT(INDEX($AV$46:$AX$55,,$AI345), INDEX($AY$46:$BE$55,,$AH345), 1 / ($BG$46:$BG$55*CW345 + (1-$BG$46:$BG$55)*CS345), N($AU$46:$AU$55&gt;$AM345))
) / 1000</f>
        <v>0</v>
      </c>
      <c r="CY345" s="234" cm="1">
        <f t="array" ref="CY345">$BM345 * IF($AH345&lt;=2,
SUMPRODUCT(INDEX($AV$22:$AX$60,,$AI345), INDEX($AY$22:$BE$60,,$AH345), 1 / ($BF$22:$BF$60*CW345), N($AU$22:$AU$60&gt;$AM345)),
SUMPRODUCT(INDEX($AV$22:$AX$45,,$AI345), INDEX($AY$22:$BE$45,,$AH345), 1 / ($BG$22:$BG$45*CW345), N($AU$22:$AU$45&gt;$AM345))
) / 1000</f>
        <v>0</v>
      </c>
      <c r="CZ345" s="229">
        <f t="shared" si="580"/>
        <v>0</v>
      </c>
      <c r="DA345" s="246"/>
    </row>
    <row r="346" spans="1:105" s="75" customFormat="1" ht="14.25" customHeight="1" x14ac:dyDescent="0.2">
      <c r="A346" s="230" t="b">
        <f t="shared" si="585"/>
        <v>0</v>
      </c>
      <c r="B346" s="253">
        <v>325</v>
      </c>
      <c r="C346" s="266"/>
      <c r="D346" s="266"/>
      <c r="E346" s="254"/>
      <c r="F346" s="255" t="str">
        <f>IF(ISBLANK(E346), "", VLOOKUP(E346, Z!$A$2:$C$4127, 3, FALSE))</f>
        <v/>
      </c>
      <c r="G346" s="256"/>
      <c r="H346" s="256"/>
      <c r="I346" s="256"/>
      <c r="J346" s="257"/>
      <c r="K346" s="258"/>
      <c r="L346" s="267"/>
      <c r="M346" s="268"/>
      <c r="N346" s="259" t="str" cm="1">
        <f t="array" ref="N346">IF($L346&gt;0, INDEX(Clean,1+AK346,$D$1), "")</f>
        <v/>
      </c>
      <c r="O346" s="260"/>
      <c r="P346" s="260"/>
      <c r="Q346" s="261"/>
      <c r="R346" s="264">
        <f t="shared" si="556"/>
        <v>0</v>
      </c>
      <c r="S346" s="259" t="str" cm="1">
        <f t="array" ref="S346">IF($L346&gt;0, INDEX(Clean,1+AL346,$D$1), "")</f>
        <v/>
      </c>
      <c r="T346" s="260"/>
      <c r="U346" s="260"/>
      <c r="V346" s="261"/>
      <c r="W346" s="267"/>
      <c r="X346" s="267"/>
      <c r="Y346" s="257"/>
      <c r="Z346" s="264">
        <f t="shared" si="557"/>
        <v>0</v>
      </c>
      <c r="AA346" s="269"/>
      <c r="AB346" s="266"/>
      <c r="AC346" s="254"/>
      <c r="AD346" s="255" t="str">
        <f>IF(ISBLANK(AC346), "", VLOOKUP(AC346, Z!$A$2:$C$4127, 3, FALSE))</f>
        <v/>
      </c>
      <c r="AE346" s="270"/>
      <c r="AF346" s="265">
        <f t="shared" si="558"/>
        <v>0</v>
      </c>
      <c r="AG346" s="246"/>
      <c r="AH346" s="228">
        <f t="shared" si="581"/>
        <v>1</v>
      </c>
      <c r="AI346" s="228">
        <f t="shared" si="582"/>
        <v>1</v>
      </c>
      <c r="AJ346" s="228">
        <f t="shared" si="583"/>
        <v>0</v>
      </c>
      <c r="AK346" s="228">
        <v>0</v>
      </c>
      <c r="AL346" s="228">
        <v>0</v>
      </c>
      <c r="AM346" s="228">
        <f t="shared" si="559"/>
        <v>-100</v>
      </c>
      <c r="AN346" s="228" cm="1">
        <f t="array" ref="AN346">IF(ISBLANK(G346), 1, IFERROR(MATCH(G346, INDEX(Kat,,1), 0), IFERROR(MATCH(Kat, INDEX(Use,,2), 0), MATCH(Kat, INDEX(Use,,3), 0))))</f>
        <v>1</v>
      </c>
      <c r="AO346" s="246"/>
      <c r="AP346" s="228" cm="1">
        <f t="array" ref="AP346">IF(W346&gt;0, INDEX(Kat, AN346,4), 0)</f>
        <v>0</v>
      </c>
      <c r="AQ346" s="228">
        <f t="shared" si="584"/>
        <v>0</v>
      </c>
      <c r="AR346" s="228" cm="1">
        <f t="array" ref="AR346">IF(X346&gt;0, INDEX(Kat, $AN346, 4+AQ346), 0)</f>
        <v>0</v>
      </c>
      <c r="AS346" s="228" cm="1">
        <f t="array" ref="AS346">IF(X346&gt;0, INDEX(Kat, $AN346, 9+AQ346), 0)</f>
        <v>0</v>
      </c>
      <c r="AT346" s="246"/>
      <c r="AU346" s="262"/>
      <c r="AV346" s="262"/>
      <c r="AW346" s="263"/>
      <c r="AX346" s="263"/>
      <c r="AY346" s="263"/>
      <c r="AZ346" s="263"/>
      <c r="BA346" s="263"/>
      <c r="BB346" s="263"/>
      <c r="BC346" s="263"/>
      <c r="BD346" s="263"/>
      <c r="BE346" s="263"/>
      <c r="BF346" s="263"/>
      <c r="BG346" s="263"/>
      <c r="BH346" s="246"/>
      <c r="BI346" s="228" cm="1">
        <f t="array" ref="BI346">INDEX(Use, $AH346, 4)</f>
        <v>7</v>
      </c>
      <c r="BJ346" s="228">
        <f t="shared" si="560"/>
        <v>32</v>
      </c>
      <c r="BK346" s="228">
        <f t="shared" si="586"/>
        <v>13</v>
      </c>
      <c r="BL346" s="228">
        <f t="shared" si="587"/>
        <v>0</v>
      </c>
      <c r="BM346" s="233" cm="1">
        <f t="array" ref="BM346">L346/IF($M346&gt;0, INDEX($AY$22:$BE$76, $M346+20, $AH346), 1)</f>
        <v>0</v>
      </c>
      <c r="BN346" s="229">
        <f t="shared" si="561"/>
        <v>0</v>
      </c>
      <c r="BO346" s="228">
        <v>35</v>
      </c>
      <c r="BP346" s="229">
        <f t="shared" si="562"/>
        <v>48</v>
      </c>
      <c r="BQ346" s="234">
        <f t="shared" si="563"/>
        <v>3.0748170731707316</v>
      </c>
      <c r="BR346" s="234" cm="1">
        <f t="array" ref="BR346">$BM346 * SUMPRODUCT(INDEX($AV$76:$AX$81,,$AI346),INDEX($AY$76:$BE$81,,$AH346), N($AU$76:$AU$81&gt;$AM346)) / BQ346 / 1000</f>
        <v>0</v>
      </c>
      <c r="BS346" s="231">
        <f t="shared" si="588"/>
        <v>30</v>
      </c>
      <c r="BT346" s="229">
        <f t="shared" si="564"/>
        <v>43</v>
      </c>
      <c r="BU346" s="234">
        <f t="shared" si="565"/>
        <v>3.5018750000000001</v>
      </c>
      <c r="BV346" s="234" cm="1">
        <f t="array" ref="BV346">$BM346 * IF($AH346&lt;=2,
SUMPRODUCT(INDEX($AV$71:$AX$75,,$AI346), INDEX($AY$71:$BE$75,,$AH346), 1 / ($BF$71:$BF$75*BU346 + (1-$BF$71:$BF$75)*BQ346), N($AU$71:$AU$75&gt;$AM346)),
SUMPRODUCT(INDEX($AV$66:$AX$75,,$AI346), INDEX($AY$66:$BE$75,,$AH346), 1 / ($BG$66:$BG$75*BU346 + (1-$BG$66:$BG$75)*BQ346), N($AU$66:$AU$75&gt;$AM346))
) / 1000</f>
        <v>0</v>
      </c>
      <c r="BW346" s="231">
        <f t="shared" si="589"/>
        <v>25</v>
      </c>
      <c r="BX346" s="229">
        <f t="shared" si="566"/>
        <v>38</v>
      </c>
      <c r="BY346" s="234">
        <f t="shared" si="567"/>
        <v>4.0666935483870965</v>
      </c>
      <c r="BZ346" s="234" cm="1">
        <f t="array" ref="BZ346">$BM346 * IF($AH346&lt;=2,
SUMPRODUCT(INDEX($AV$66:$AX$70,,$AI346), INDEX($AY$66:$BE$70,,$AH346), 1 / ($BF$66:$BF$70*BY346 + (1-$BF$66:$BF$70)*BU346), N($AU$66:$AU$70&gt;$AM346)),
SUMPRODUCT(INDEX($AV$56:$AX$65,,$AI346), INDEX($AY$56:$BE$65,,$AH346), 1 / ($BG$56:$BG$65*BY346 + (1-$BG$56:$BG$65)*BU346), N($AU$56:$AU$65&gt;$AM346))
) / 1000</f>
        <v>0</v>
      </c>
      <c r="CA346" s="231">
        <f t="shared" si="590"/>
        <v>20</v>
      </c>
      <c r="CB346" s="229">
        <f t="shared" si="568"/>
        <v>33</v>
      </c>
      <c r="CC346" s="234">
        <f t="shared" si="569"/>
        <v>4.8487499999999999</v>
      </c>
      <c r="CD346" s="234" cm="1">
        <f t="array" ref="CD346">$BM346 * IF($AH346&lt;=2,
SUMPRODUCT(INDEX($AV$61:$AX$65,,$AI346), INDEX($AY$61:$BE$65,,$AH346), 1 / ($BF$61:$BF$65*CC346 + (1-$BF$61:$BF$65)*BY346), N($AU$61:$AU$65&gt;$AM346)),
SUMPRODUCT(INDEX($AV$46:$AX$55,,$AI346), INDEX($AY$46:$BE$55,,$AH346), 1 / ($BG$46:$BG$55*CC346 + (1-$BG$46:$BG$55)*BY346), N($AU$46:$AU$55&gt;$AM346))
) / 1000</f>
        <v>0</v>
      </c>
      <c r="CE346" s="234" cm="1">
        <f t="array" ref="CE346">$BM346 * IF($AH346&lt;=2,
SUMPRODUCT(INDEX($AV$22:$AX$60,,$AI346), INDEX($AY$22:$BE$60,,$AH346), 1 / ($BF$22:$BF$60*CC346), N($AU$22:$AU$60&gt;$AM346)),
SUMPRODUCT(INDEX($AV$22:$AX$45,,$AI346), INDEX($AY$22:$BE$45,,$AH346), 1 / ($BG$22:$BG$45*CC346), N($AU$22:$AU$45&gt;$AM346))
) / 1000</f>
        <v>0</v>
      </c>
      <c r="CF346" s="229">
        <f t="shared" si="570"/>
        <v>0</v>
      </c>
      <c r="CG346" s="246"/>
      <c r="CH346" s="229">
        <f t="shared" si="571"/>
        <v>0</v>
      </c>
      <c r="CI346" s="228">
        <v>35</v>
      </c>
      <c r="CJ346" s="229">
        <f t="shared" si="572"/>
        <v>48</v>
      </c>
      <c r="CK346" s="234">
        <f t="shared" si="573"/>
        <v>3.0748170731707316</v>
      </c>
      <c r="CL346" s="234" cm="1">
        <f t="array" ref="CL346">$BM346 * SUMPRODUCT(INDEX($AV$76:$AX$81,,$AI346),INDEX($AY$76:$BE$81,,$AH346), N($AU$76:$AU$81&gt;$AM346)) / CK346 / 1000</f>
        <v>0</v>
      </c>
      <c r="CM346" s="231">
        <f t="shared" si="591"/>
        <v>30</v>
      </c>
      <c r="CN346" s="229">
        <f t="shared" si="574"/>
        <v>43</v>
      </c>
      <c r="CO346" s="234">
        <f t="shared" si="575"/>
        <v>3.5018750000000001</v>
      </c>
      <c r="CP346" s="234" cm="1">
        <f t="array" ref="CP346">$BM346 * IF($AH346&lt;=2,
SUMPRODUCT(INDEX($AV$71:$AX$75,,$AI346), INDEX($AY$71:$BE$75,,$AH346), 1 / ($BF$71:$BF$75*CO346 + (1-$BF$71:$BF$75)*CK346), N($AU$71:$AU$75&gt;$AM346)),
SUMPRODUCT(INDEX($AV$66:$AX$75,,$AI346), INDEX($AY$66:$BE$75,,$AH346), 1 / ($BG$66:$BG$75*CO346 + (1-$BG$66:$BG$75)*CK346), N($AU$66:$AU$75&gt;$AM346))
) / 1000</f>
        <v>0</v>
      </c>
      <c r="CQ346" s="231">
        <f t="shared" si="592"/>
        <v>25</v>
      </c>
      <c r="CR346" s="229">
        <f t="shared" si="576"/>
        <v>38</v>
      </c>
      <c r="CS346" s="234">
        <f t="shared" si="577"/>
        <v>4.0666935483870965</v>
      </c>
      <c r="CT346" s="234" cm="1">
        <f t="array" ref="CT346">$BM346 * IF($AH346&lt;=2,
SUMPRODUCT(INDEX($AV$66:$AX$70,,$AI346), INDEX($AY$66:$BE$70,,$AH346), 1 / ($BF$66:$BF$70*CS346 + (1-$BF$66:$BF$70)*CO346), N($AU$66:$AU$70&gt;$AM346)),
SUMPRODUCT(INDEX($AV$56:$AX$65,,$AI346), INDEX($AY$56:$BE$65,,$AH346), 1 / ($BG$56:$BG$65*CS346 + (1-$BG$56:$BG$65)*CO346), N($AU$56:$AU$65&gt;$AM346))
) / 1000</f>
        <v>0</v>
      </c>
      <c r="CU346" s="231">
        <f t="shared" si="593"/>
        <v>20</v>
      </c>
      <c r="CV346" s="229">
        <f t="shared" si="578"/>
        <v>33</v>
      </c>
      <c r="CW346" s="234">
        <f t="shared" si="579"/>
        <v>4.8487499999999999</v>
      </c>
      <c r="CX346" s="234" cm="1">
        <f t="array" ref="CX346">$BM346 * IF($AH346&lt;=2,
SUMPRODUCT(INDEX($AV$61:$AX$65,,$AI346), INDEX($AY$61:$BE$65,,$AH346), 1 / ($BF$61:$BF$65*CW346 + (1-$BF$61:$BF$65)*CS346), N($AU$61:$AU$65&gt;$AM346)),
SUMPRODUCT(INDEX($AV$46:$AX$55,,$AI346), INDEX($AY$46:$BE$55,,$AH346), 1 / ($BG$46:$BG$55*CW346 + (1-$BG$46:$BG$55)*CS346), N($AU$46:$AU$55&gt;$AM346))
) / 1000</f>
        <v>0</v>
      </c>
      <c r="CY346" s="234" cm="1">
        <f t="array" ref="CY346">$BM346 * IF($AH346&lt;=2,
SUMPRODUCT(INDEX($AV$22:$AX$60,,$AI346), INDEX($AY$22:$BE$60,,$AH346), 1 / ($BF$22:$BF$60*CW346), N($AU$22:$AU$60&gt;$AM346)),
SUMPRODUCT(INDEX($AV$22:$AX$45,,$AI346), INDEX($AY$22:$BE$45,,$AH346), 1 / ($BG$22:$BG$45*CW346), N($AU$22:$AU$45&gt;$AM346))
) / 1000</f>
        <v>0</v>
      </c>
      <c r="CZ346" s="229">
        <f t="shared" si="580"/>
        <v>0</v>
      </c>
      <c r="DA346" s="246"/>
    </row>
    <row r="347" spans="1:105" s="75" customFormat="1" ht="14.25" customHeight="1" x14ac:dyDescent="0.2">
      <c r="A347" s="230" t="b">
        <f t="shared" si="585"/>
        <v>0</v>
      </c>
      <c r="B347" s="253">
        <v>326</v>
      </c>
      <c r="C347" s="266"/>
      <c r="D347" s="266"/>
      <c r="E347" s="254"/>
      <c r="F347" s="255" t="str">
        <f>IF(ISBLANK(E347), "", VLOOKUP(E347, Z!$A$2:$C$4127, 3, FALSE))</f>
        <v/>
      </c>
      <c r="G347" s="256"/>
      <c r="H347" s="256"/>
      <c r="I347" s="256"/>
      <c r="J347" s="257"/>
      <c r="K347" s="258"/>
      <c r="L347" s="267"/>
      <c r="M347" s="268"/>
      <c r="N347" s="259" t="str" cm="1">
        <f t="array" ref="N347">IF($L347&gt;0, INDEX(Clean,1+AK347,$D$1), "")</f>
        <v/>
      </c>
      <c r="O347" s="260"/>
      <c r="P347" s="260"/>
      <c r="Q347" s="261"/>
      <c r="R347" s="264">
        <f t="shared" si="556"/>
        <v>0</v>
      </c>
      <c r="S347" s="259" t="str" cm="1">
        <f t="array" ref="S347">IF($L347&gt;0, INDEX(Clean,1+AL347,$D$1), "")</f>
        <v/>
      </c>
      <c r="T347" s="260"/>
      <c r="U347" s="260"/>
      <c r="V347" s="261"/>
      <c r="W347" s="267"/>
      <c r="X347" s="267"/>
      <c r="Y347" s="257"/>
      <c r="Z347" s="264">
        <f t="shared" si="557"/>
        <v>0</v>
      </c>
      <c r="AA347" s="269"/>
      <c r="AB347" s="266"/>
      <c r="AC347" s="254"/>
      <c r="AD347" s="255" t="str">
        <f>IF(ISBLANK(AC347), "", VLOOKUP(AC347, Z!$A$2:$C$4127, 3, FALSE))</f>
        <v/>
      </c>
      <c r="AE347" s="270"/>
      <c r="AF347" s="265">
        <f t="shared" si="558"/>
        <v>0</v>
      </c>
      <c r="AG347" s="246"/>
      <c r="AH347" s="228">
        <f t="shared" si="581"/>
        <v>1</v>
      </c>
      <c r="AI347" s="228">
        <f t="shared" si="582"/>
        <v>1</v>
      </c>
      <c r="AJ347" s="228">
        <f t="shared" si="583"/>
        <v>0</v>
      </c>
      <c r="AK347" s="228">
        <v>0</v>
      </c>
      <c r="AL347" s="228">
        <v>0</v>
      </c>
      <c r="AM347" s="228">
        <f t="shared" si="559"/>
        <v>-100</v>
      </c>
      <c r="AN347" s="228" cm="1">
        <f t="array" ref="AN347">IF(ISBLANK(G347), 1, IFERROR(MATCH(G347, INDEX(Kat,,1), 0), IFERROR(MATCH(Kat, INDEX(Use,,2), 0), MATCH(Kat, INDEX(Use,,3), 0))))</f>
        <v>1</v>
      </c>
      <c r="AO347" s="246"/>
      <c r="AP347" s="228" cm="1">
        <f t="array" ref="AP347">IF(W347&gt;0, INDEX(Kat, AN347,4), 0)</f>
        <v>0</v>
      </c>
      <c r="AQ347" s="228">
        <f t="shared" si="584"/>
        <v>0</v>
      </c>
      <c r="AR347" s="228" cm="1">
        <f t="array" ref="AR347">IF(X347&gt;0, INDEX(Kat, $AN347, 4+AQ347), 0)</f>
        <v>0</v>
      </c>
      <c r="AS347" s="228" cm="1">
        <f t="array" ref="AS347">IF(X347&gt;0, INDEX(Kat, $AN347, 9+AQ347), 0)</f>
        <v>0</v>
      </c>
      <c r="AT347" s="246"/>
      <c r="AU347" s="262"/>
      <c r="AV347" s="262"/>
      <c r="AW347" s="263"/>
      <c r="AX347" s="263"/>
      <c r="AY347" s="263"/>
      <c r="AZ347" s="263"/>
      <c r="BA347" s="263"/>
      <c r="BB347" s="263"/>
      <c r="BC347" s="263"/>
      <c r="BD347" s="263"/>
      <c r="BE347" s="263"/>
      <c r="BF347" s="263"/>
      <c r="BG347" s="263"/>
      <c r="BH347" s="246"/>
      <c r="BI347" s="228" cm="1">
        <f t="array" ref="BI347">INDEX(Use, $AH347, 4)</f>
        <v>7</v>
      </c>
      <c r="BJ347" s="228">
        <f t="shared" si="560"/>
        <v>32</v>
      </c>
      <c r="BK347" s="228">
        <f t="shared" si="586"/>
        <v>13</v>
      </c>
      <c r="BL347" s="228">
        <f t="shared" si="587"/>
        <v>0</v>
      </c>
      <c r="BM347" s="233" cm="1">
        <f t="array" ref="BM347">L347/IF($M347&gt;0, INDEX($AY$22:$BE$76, $M347+20, $AH347), 1)</f>
        <v>0</v>
      </c>
      <c r="BN347" s="229">
        <f t="shared" si="561"/>
        <v>0</v>
      </c>
      <c r="BO347" s="228">
        <v>35</v>
      </c>
      <c r="BP347" s="229">
        <f t="shared" si="562"/>
        <v>48</v>
      </c>
      <c r="BQ347" s="234">
        <f t="shared" si="563"/>
        <v>3.0748170731707316</v>
      </c>
      <c r="BR347" s="234" cm="1">
        <f t="array" ref="BR347">$BM347 * SUMPRODUCT(INDEX($AV$76:$AX$81,,$AI347),INDEX($AY$76:$BE$81,,$AH347), N($AU$76:$AU$81&gt;$AM347)) / BQ347 / 1000</f>
        <v>0</v>
      </c>
      <c r="BS347" s="231">
        <f t="shared" si="588"/>
        <v>30</v>
      </c>
      <c r="BT347" s="229">
        <f t="shared" si="564"/>
        <v>43</v>
      </c>
      <c r="BU347" s="234">
        <f t="shared" si="565"/>
        <v>3.5018750000000001</v>
      </c>
      <c r="BV347" s="234" cm="1">
        <f t="array" ref="BV347">$BM347 * IF($AH347&lt;=2,
SUMPRODUCT(INDEX($AV$71:$AX$75,,$AI347), INDEX($AY$71:$BE$75,,$AH347), 1 / ($BF$71:$BF$75*BU347 + (1-$BF$71:$BF$75)*BQ347), N($AU$71:$AU$75&gt;$AM347)),
SUMPRODUCT(INDEX($AV$66:$AX$75,,$AI347), INDEX($AY$66:$BE$75,,$AH347), 1 / ($BG$66:$BG$75*BU347 + (1-$BG$66:$BG$75)*BQ347), N($AU$66:$AU$75&gt;$AM347))
) / 1000</f>
        <v>0</v>
      </c>
      <c r="BW347" s="231">
        <f t="shared" si="589"/>
        <v>25</v>
      </c>
      <c r="BX347" s="229">
        <f t="shared" si="566"/>
        <v>38</v>
      </c>
      <c r="BY347" s="234">
        <f t="shared" si="567"/>
        <v>4.0666935483870965</v>
      </c>
      <c r="BZ347" s="234" cm="1">
        <f t="array" ref="BZ347">$BM347 * IF($AH347&lt;=2,
SUMPRODUCT(INDEX($AV$66:$AX$70,,$AI347), INDEX($AY$66:$BE$70,,$AH347), 1 / ($BF$66:$BF$70*BY347 + (1-$BF$66:$BF$70)*BU347), N($AU$66:$AU$70&gt;$AM347)),
SUMPRODUCT(INDEX($AV$56:$AX$65,,$AI347), INDEX($AY$56:$BE$65,,$AH347), 1 / ($BG$56:$BG$65*BY347 + (1-$BG$56:$BG$65)*BU347), N($AU$56:$AU$65&gt;$AM347))
) / 1000</f>
        <v>0</v>
      </c>
      <c r="CA347" s="231">
        <f t="shared" si="590"/>
        <v>20</v>
      </c>
      <c r="CB347" s="229">
        <f t="shared" si="568"/>
        <v>33</v>
      </c>
      <c r="CC347" s="234">
        <f t="shared" si="569"/>
        <v>4.8487499999999999</v>
      </c>
      <c r="CD347" s="234" cm="1">
        <f t="array" ref="CD347">$BM347 * IF($AH347&lt;=2,
SUMPRODUCT(INDEX($AV$61:$AX$65,,$AI347), INDEX($AY$61:$BE$65,,$AH347), 1 / ($BF$61:$BF$65*CC347 + (1-$BF$61:$BF$65)*BY347), N($AU$61:$AU$65&gt;$AM347)),
SUMPRODUCT(INDEX($AV$46:$AX$55,,$AI347), INDEX($AY$46:$BE$55,,$AH347), 1 / ($BG$46:$BG$55*CC347 + (1-$BG$46:$BG$55)*BY347), N($AU$46:$AU$55&gt;$AM347))
) / 1000</f>
        <v>0</v>
      </c>
      <c r="CE347" s="234" cm="1">
        <f t="array" ref="CE347">$BM347 * IF($AH347&lt;=2,
SUMPRODUCT(INDEX($AV$22:$AX$60,,$AI347), INDEX($AY$22:$BE$60,,$AH347), 1 / ($BF$22:$BF$60*CC347), N($AU$22:$AU$60&gt;$AM347)),
SUMPRODUCT(INDEX($AV$22:$AX$45,,$AI347), INDEX($AY$22:$BE$45,,$AH347), 1 / ($BG$22:$BG$45*CC347), N($AU$22:$AU$45&gt;$AM347))
) / 1000</f>
        <v>0</v>
      </c>
      <c r="CF347" s="229">
        <f t="shared" si="570"/>
        <v>0</v>
      </c>
      <c r="CG347" s="246"/>
      <c r="CH347" s="229">
        <f t="shared" si="571"/>
        <v>0</v>
      </c>
      <c r="CI347" s="228">
        <v>35</v>
      </c>
      <c r="CJ347" s="229">
        <f t="shared" si="572"/>
        <v>48</v>
      </c>
      <c r="CK347" s="234">
        <f t="shared" si="573"/>
        <v>3.0748170731707316</v>
      </c>
      <c r="CL347" s="234" cm="1">
        <f t="array" ref="CL347">$BM347 * SUMPRODUCT(INDEX($AV$76:$AX$81,,$AI347),INDEX($AY$76:$BE$81,,$AH347), N($AU$76:$AU$81&gt;$AM347)) / CK347 / 1000</f>
        <v>0</v>
      </c>
      <c r="CM347" s="231">
        <f t="shared" si="591"/>
        <v>30</v>
      </c>
      <c r="CN347" s="229">
        <f t="shared" si="574"/>
        <v>43</v>
      </c>
      <c r="CO347" s="234">
        <f t="shared" si="575"/>
        <v>3.5018750000000001</v>
      </c>
      <c r="CP347" s="234" cm="1">
        <f t="array" ref="CP347">$BM347 * IF($AH347&lt;=2,
SUMPRODUCT(INDEX($AV$71:$AX$75,,$AI347), INDEX($AY$71:$BE$75,,$AH347), 1 / ($BF$71:$BF$75*CO347 + (1-$BF$71:$BF$75)*CK347), N($AU$71:$AU$75&gt;$AM347)),
SUMPRODUCT(INDEX($AV$66:$AX$75,,$AI347), INDEX($AY$66:$BE$75,,$AH347), 1 / ($BG$66:$BG$75*CO347 + (1-$BG$66:$BG$75)*CK347), N($AU$66:$AU$75&gt;$AM347))
) / 1000</f>
        <v>0</v>
      </c>
      <c r="CQ347" s="231">
        <f t="shared" si="592"/>
        <v>25</v>
      </c>
      <c r="CR347" s="229">
        <f t="shared" si="576"/>
        <v>38</v>
      </c>
      <c r="CS347" s="234">
        <f t="shared" si="577"/>
        <v>4.0666935483870965</v>
      </c>
      <c r="CT347" s="234" cm="1">
        <f t="array" ref="CT347">$BM347 * IF($AH347&lt;=2,
SUMPRODUCT(INDEX($AV$66:$AX$70,,$AI347), INDEX($AY$66:$BE$70,,$AH347), 1 / ($BF$66:$BF$70*CS347 + (1-$BF$66:$BF$70)*CO347), N($AU$66:$AU$70&gt;$AM347)),
SUMPRODUCT(INDEX($AV$56:$AX$65,,$AI347), INDEX($AY$56:$BE$65,,$AH347), 1 / ($BG$56:$BG$65*CS347 + (1-$BG$56:$BG$65)*CO347), N($AU$56:$AU$65&gt;$AM347))
) / 1000</f>
        <v>0</v>
      </c>
      <c r="CU347" s="231">
        <f t="shared" si="593"/>
        <v>20</v>
      </c>
      <c r="CV347" s="229">
        <f t="shared" si="578"/>
        <v>33</v>
      </c>
      <c r="CW347" s="234">
        <f t="shared" si="579"/>
        <v>4.8487499999999999</v>
      </c>
      <c r="CX347" s="234" cm="1">
        <f t="array" ref="CX347">$BM347 * IF($AH347&lt;=2,
SUMPRODUCT(INDEX($AV$61:$AX$65,,$AI347), INDEX($AY$61:$BE$65,,$AH347), 1 / ($BF$61:$BF$65*CW347 + (1-$BF$61:$BF$65)*CS347), N($AU$61:$AU$65&gt;$AM347)),
SUMPRODUCT(INDEX($AV$46:$AX$55,,$AI347), INDEX($AY$46:$BE$55,,$AH347), 1 / ($BG$46:$BG$55*CW347 + (1-$BG$46:$BG$55)*CS347), N($AU$46:$AU$55&gt;$AM347))
) / 1000</f>
        <v>0</v>
      </c>
      <c r="CY347" s="234" cm="1">
        <f t="array" ref="CY347">$BM347 * IF($AH347&lt;=2,
SUMPRODUCT(INDEX($AV$22:$AX$60,,$AI347), INDEX($AY$22:$BE$60,,$AH347), 1 / ($BF$22:$BF$60*CW347), N($AU$22:$AU$60&gt;$AM347)),
SUMPRODUCT(INDEX($AV$22:$AX$45,,$AI347), INDEX($AY$22:$BE$45,,$AH347), 1 / ($BG$22:$BG$45*CW347), N($AU$22:$AU$45&gt;$AM347))
) / 1000</f>
        <v>0</v>
      </c>
      <c r="CZ347" s="229">
        <f t="shared" si="580"/>
        <v>0</v>
      </c>
      <c r="DA347" s="246"/>
    </row>
    <row r="348" spans="1:105" s="75" customFormat="1" ht="14.25" customHeight="1" x14ac:dyDescent="0.2">
      <c r="A348" s="230" t="b">
        <f t="shared" si="585"/>
        <v>0</v>
      </c>
      <c r="B348" s="253">
        <v>327</v>
      </c>
      <c r="C348" s="266"/>
      <c r="D348" s="266"/>
      <c r="E348" s="254"/>
      <c r="F348" s="255" t="str">
        <f>IF(ISBLANK(E348), "", VLOOKUP(E348, Z!$A$2:$C$4127, 3, FALSE))</f>
        <v/>
      </c>
      <c r="G348" s="256"/>
      <c r="H348" s="256"/>
      <c r="I348" s="256"/>
      <c r="J348" s="257"/>
      <c r="K348" s="258"/>
      <c r="L348" s="267"/>
      <c r="M348" s="268"/>
      <c r="N348" s="259" t="str" cm="1">
        <f t="array" ref="N348">IF($L348&gt;0, INDEX(Clean,1+AK348,$D$1), "")</f>
        <v/>
      </c>
      <c r="O348" s="260"/>
      <c r="P348" s="260"/>
      <c r="Q348" s="261"/>
      <c r="R348" s="264">
        <f t="shared" si="556"/>
        <v>0</v>
      </c>
      <c r="S348" s="259" t="str" cm="1">
        <f t="array" ref="S348">IF($L348&gt;0, INDEX(Clean,1+AL348,$D$1), "")</f>
        <v/>
      </c>
      <c r="T348" s="260"/>
      <c r="U348" s="260"/>
      <c r="V348" s="261"/>
      <c r="W348" s="267"/>
      <c r="X348" s="267"/>
      <c r="Y348" s="257"/>
      <c r="Z348" s="264">
        <f t="shared" si="557"/>
        <v>0</v>
      </c>
      <c r="AA348" s="269"/>
      <c r="AB348" s="266"/>
      <c r="AC348" s="254"/>
      <c r="AD348" s="255" t="str">
        <f>IF(ISBLANK(AC348), "", VLOOKUP(AC348, Z!$A$2:$C$4127, 3, FALSE))</f>
        <v/>
      </c>
      <c r="AE348" s="270"/>
      <c r="AF348" s="265">
        <f t="shared" si="558"/>
        <v>0</v>
      </c>
      <c r="AG348" s="246"/>
      <c r="AH348" s="228">
        <f t="shared" si="581"/>
        <v>1</v>
      </c>
      <c r="AI348" s="228">
        <f t="shared" si="582"/>
        <v>1</v>
      </c>
      <c r="AJ348" s="228">
        <f t="shared" si="583"/>
        <v>0</v>
      </c>
      <c r="AK348" s="228">
        <v>0</v>
      </c>
      <c r="AL348" s="228">
        <v>0</v>
      </c>
      <c r="AM348" s="228">
        <f t="shared" si="559"/>
        <v>-100</v>
      </c>
      <c r="AN348" s="228" cm="1">
        <f t="array" ref="AN348">IF(ISBLANK(G348), 1, IFERROR(MATCH(G348, INDEX(Kat,,1), 0), IFERROR(MATCH(Kat, INDEX(Use,,2), 0), MATCH(Kat, INDEX(Use,,3), 0))))</f>
        <v>1</v>
      </c>
      <c r="AO348" s="246"/>
      <c r="AP348" s="228" cm="1">
        <f t="array" ref="AP348">IF(W348&gt;0, INDEX(Kat, AN348,4), 0)</f>
        <v>0</v>
      </c>
      <c r="AQ348" s="228">
        <f t="shared" si="584"/>
        <v>0</v>
      </c>
      <c r="AR348" s="228" cm="1">
        <f t="array" ref="AR348">IF(X348&gt;0, INDEX(Kat, $AN348, 4+AQ348), 0)</f>
        <v>0</v>
      </c>
      <c r="AS348" s="228" cm="1">
        <f t="array" ref="AS348">IF(X348&gt;0, INDEX(Kat, $AN348, 9+AQ348), 0)</f>
        <v>0</v>
      </c>
      <c r="AT348" s="246"/>
      <c r="AU348" s="262"/>
      <c r="AV348" s="262"/>
      <c r="AW348" s="263"/>
      <c r="AX348" s="263"/>
      <c r="AY348" s="263"/>
      <c r="AZ348" s="263"/>
      <c r="BA348" s="263"/>
      <c r="BB348" s="263"/>
      <c r="BC348" s="263"/>
      <c r="BD348" s="263"/>
      <c r="BE348" s="263"/>
      <c r="BF348" s="263"/>
      <c r="BG348" s="263"/>
      <c r="BH348" s="246"/>
      <c r="BI348" s="228" cm="1">
        <f t="array" ref="BI348">INDEX(Use, $AH348, 4)</f>
        <v>7</v>
      </c>
      <c r="BJ348" s="228">
        <f t="shared" si="560"/>
        <v>32</v>
      </c>
      <c r="BK348" s="228">
        <f t="shared" si="586"/>
        <v>13</v>
      </c>
      <c r="BL348" s="228">
        <f t="shared" si="587"/>
        <v>0</v>
      </c>
      <c r="BM348" s="233" cm="1">
        <f t="array" ref="BM348">L348/IF($M348&gt;0, INDEX($AY$22:$BE$76, $M348+20, $AH348), 1)</f>
        <v>0</v>
      </c>
      <c r="BN348" s="229">
        <f t="shared" si="561"/>
        <v>0</v>
      </c>
      <c r="BO348" s="228">
        <v>35</v>
      </c>
      <c r="BP348" s="229">
        <f t="shared" si="562"/>
        <v>48</v>
      </c>
      <c r="BQ348" s="234">
        <f t="shared" si="563"/>
        <v>3.0748170731707316</v>
      </c>
      <c r="BR348" s="234" cm="1">
        <f t="array" ref="BR348">$BM348 * SUMPRODUCT(INDEX($AV$76:$AX$81,,$AI348),INDEX($AY$76:$BE$81,,$AH348), N($AU$76:$AU$81&gt;$AM348)) / BQ348 / 1000</f>
        <v>0</v>
      </c>
      <c r="BS348" s="231">
        <f t="shared" si="588"/>
        <v>30</v>
      </c>
      <c r="BT348" s="229">
        <f t="shared" si="564"/>
        <v>43</v>
      </c>
      <c r="BU348" s="234">
        <f t="shared" si="565"/>
        <v>3.5018750000000001</v>
      </c>
      <c r="BV348" s="234" cm="1">
        <f t="array" ref="BV348">$BM348 * IF($AH348&lt;=2,
SUMPRODUCT(INDEX($AV$71:$AX$75,,$AI348), INDEX($AY$71:$BE$75,,$AH348), 1 / ($BF$71:$BF$75*BU348 + (1-$BF$71:$BF$75)*BQ348), N($AU$71:$AU$75&gt;$AM348)),
SUMPRODUCT(INDEX($AV$66:$AX$75,,$AI348), INDEX($AY$66:$BE$75,,$AH348), 1 / ($BG$66:$BG$75*BU348 + (1-$BG$66:$BG$75)*BQ348), N($AU$66:$AU$75&gt;$AM348))
) / 1000</f>
        <v>0</v>
      </c>
      <c r="BW348" s="231">
        <f t="shared" si="589"/>
        <v>25</v>
      </c>
      <c r="BX348" s="229">
        <f t="shared" si="566"/>
        <v>38</v>
      </c>
      <c r="BY348" s="234">
        <f t="shared" si="567"/>
        <v>4.0666935483870965</v>
      </c>
      <c r="BZ348" s="234" cm="1">
        <f t="array" ref="BZ348">$BM348 * IF($AH348&lt;=2,
SUMPRODUCT(INDEX($AV$66:$AX$70,,$AI348), INDEX($AY$66:$BE$70,,$AH348), 1 / ($BF$66:$BF$70*BY348 + (1-$BF$66:$BF$70)*BU348), N($AU$66:$AU$70&gt;$AM348)),
SUMPRODUCT(INDEX($AV$56:$AX$65,,$AI348), INDEX($AY$56:$BE$65,,$AH348), 1 / ($BG$56:$BG$65*BY348 + (1-$BG$56:$BG$65)*BU348), N($AU$56:$AU$65&gt;$AM348))
) / 1000</f>
        <v>0</v>
      </c>
      <c r="CA348" s="231">
        <f t="shared" si="590"/>
        <v>20</v>
      </c>
      <c r="CB348" s="229">
        <f t="shared" si="568"/>
        <v>33</v>
      </c>
      <c r="CC348" s="234">
        <f t="shared" si="569"/>
        <v>4.8487499999999999</v>
      </c>
      <c r="CD348" s="234" cm="1">
        <f t="array" ref="CD348">$BM348 * IF($AH348&lt;=2,
SUMPRODUCT(INDEX($AV$61:$AX$65,,$AI348), INDEX($AY$61:$BE$65,,$AH348), 1 / ($BF$61:$BF$65*CC348 + (1-$BF$61:$BF$65)*BY348), N($AU$61:$AU$65&gt;$AM348)),
SUMPRODUCT(INDEX($AV$46:$AX$55,,$AI348), INDEX($AY$46:$BE$55,,$AH348), 1 / ($BG$46:$BG$55*CC348 + (1-$BG$46:$BG$55)*BY348), N($AU$46:$AU$55&gt;$AM348))
) / 1000</f>
        <v>0</v>
      </c>
      <c r="CE348" s="234" cm="1">
        <f t="array" ref="CE348">$BM348 * IF($AH348&lt;=2,
SUMPRODUCT(INDEX($AV$22:$AX$60,,$AI348), INDEX($AY$22:$BE$60,,$AH348), 1 / ($BF$22:$BF$60*CC348), N($AU$22:$AU$60&gt;$AM348)),
SUMPRODUCT(INDEX($AV$22:$AX$45,,$AI348), INDEX($AY$22:$BE$45,,$AH348), 1 / ($BG$22:$BG$45*CC348), N($AU$22:$AU$45&gt;$AM348))
) / 1000</f>
        <v>0</v>
      </c>
      <c r="CF348" s="229">
        <f t="shared" si="570"/>
        <v>0</v>
      </c>
      <c r="CG348" s="246"/>
      <c r="CH348" s="229">
        <f t="shared" si="571"/>
        <v>0</v>
      </c>
      <c r="CI348" s="228">
        <v>35</v>
      </c>
      <c r="CJ348" s="229">
        <f t="shared" si="572"/>
        <v>48</v>
      </c>
      <c r="CK348" s="234">
        <f t="shared" si="573"/>
        <v>3.0748170731707316</v>
      </c>
      <c r="CL348" s="234" cm="1">
        <f t="array" ref="CL348">$BM348 * SUMPRODUCT(INDEX($AV$76:$AX$81,,$AI348),INDEX($AY$76:$BE$81,,$AH348), N($AU$76:$AU$81&gt;$AM348)) / CK348 / 1000</f>
        <v>0</v>
      </c>
      <c r="CM348" s="231">
        <f t="shared" si="591"/>
        <v>30</v>
      </c>
      <c r="CN348" s="229">
        <f t="shared" si="574"/>
        <v>43</v>
      </c>
      <c r="CO348" s="234">
        <f t="shared" si="575"/>
        <v>3.5018750000000001</v>
      </c>
      <c r="CP348" s="234" cm="1">
        <f t="array" ref="CP348">$BM348 * IF($AH348&lt;=2,
SUMPRODUCT(INDEX($AV$71:$AX$75,,$AI348), INDEX($AY$71:$BE$75,,$AH348), 1 / ($BF$71:$BF$75*CO348 + (1-$BF$71:$BF$75)*CK348), N($AU$71:$AU$75&gt;$AM348)),
SUMPRODUCT(INDEX($AV$66:$AX$75,,$AI348), INDEX($AY$66:$BE$75,,$AH348), 1 / ($BG$66:$BG$75*CO348 + (1-$BG$66:$BG$75)*CK348), N($AU$66:$AU$75&gt;$AM348))
) / 1000</f>
        <v>0</v>
      </c>
      <c r="CQ348" s="231">
        <f t="shared" si="592"/>
        <v>25</v>
      </c>
      <c r="CR348" s="229">
        <f t="shared" si="576"/>
        <v>38</v>
      </c>
      <c r="CS348" s="234">
        <f t="shared" si="577"/>
        <v>4.0666935483870965</v>
      </c>
      <c r="CT348" s="234" cm="1">
        <f t="array" ref="CT348">$BM348 * IF($AH348&lt;=2,
SUMPRODUCT(INDEX($AV$66:$AX$70,,$AI348), INDEX($AY$66:$BE$70,,$AH348), 1 / ($BF$66:$BF$70*CS348 + (1-$BF$66:$BF$70)*CO348), N($AU$66:$AU$70&gt;$AM348)),
SUMPRODUCT(INDEX($AV$56:$AX$65,,$AI348), INDEX($AY$56:$BE$65,,$AH348), 1 / ($BG$56:$BG$65*CS348 + (1-$BG$56:$BG$65)*CO348), N($AU$56:$AU$65&gt;$AM348))
) / 1000</f>
        <v>0</v>
      </c>
      <c r="CU348" s="231">
        <f t="shared" si="593"/>
        <v>20</v>
      </c>
      <c r="CV348" s="229">
        <f t="shared" si="578"/>
        <v>33</v>
      </c>
      <c r="CW348" s="234">
        <f t="shared" si="579"/>
        <v>4.8487499999999999</v>
      </c>
      <c r="CX348" s="234" cm="1">
        <f t="array" ref="CX348">$BM348 * IF($AH348&lt;=2,
SUMPRODUCT(INDEX($AV$61:$AX$65,,$AI348), INDEX($AY$61:$BE$65,,$AH348), 1 / ($BF$61:$BF$65*CW348 + (1-$BF$61:$BF$65)*CS348), N($AU$61:$AU$65&gt;$AM348)),
SUMPRODUCT(INDEX($AV$46:$AX$55,,$AI348), INDEX($AY$46:$BE$55,,$AH348), 1 / ($BG$46:$BG$55*CW348 + (1-$BG$46:$BG$55)*CS348), N($AU$46:$AU$55&gt;$AM348))
) / 1000</f>
        <v>0</v>
      </c>
      <c r="CY348" s="234" cm="1">
        <f t="array" ref="CY348">$BM348 * IF($AH348&lt;=2,
SUMPRODUCT(INDEX($AV$22:$AX$60,,$AI348), INDEX($AY$22:$BE$60,,$AH348), 1 / ($BF$22:$BF$60*CW348), N($AU$22:$AU$60&gt;$AM348)),
SUMPRODUCT(INDEX($AV$22:$AX$45,,$AI348), INDEX($AY$22:$BE$45,,$AH348), 1 / ($BG$22:$BG$45*CW348), N($AU$22:$AU$45&gt;$AM348))
) / 1000</f>
        <v>0</v>
      </c>
      <c r="CZ348" s="229">
        <f t="shared" si="580"/>
        <v>0</v>
      </c>
      <c r="DA348" s="246"/>
    </row>
    <row r="349" spans="1:105" s="75" customFormat="1" ht="14.25" customHeight="1" x14ac:dyDescent="0.2">
      <c r="A349" s="230" t="b">
        <f t="shared" si="585"/>
        <v>0</v>
      </c>
      <c r="B349" s="253">
        <v>328</v>
      </c>
      <c r="C349" s="266"/>
      <c r="D349" s="266"/>
      <c r="E349" s="254"/>
      <c r="F349" s="255" t="str">
        <f>IF(ISBLANK(E349), "", VLOOKUP(E349, Z!$A$2:$C$4127, 3, FALSE))</f>
        <v/>
      </c>
      <c r="G349" s="256"/>
      <c r="H349" s="256"/>
      <c r="I349" s="256"/>
      <c r="J349" s="257"/>
      <c r="K349" s="258"/>
      <c r="L349" s="267"/>
      <c r="M349" s="268"/>
      <c r="N349" s="259" t="str" cm="1">
        <f t="array" ref="N349">IF($L349&gt;0, INDEX(Clean,1+AK349,$D$1), "")</f>
        <v/>
      </c>
      <c r="O349" s="260"/>
      <c r="P349" s="260"/>
      <c r="Q349" s="261"/>
      <c r="R349" s="264">
        <f t="shared" si="556"/>
        <v>0</v>
      </c>
      <c r="S349" s="259" t="str" cm="1">
        <f t="array" ref="S349">IF($L349&gt;0, INDEX(Clean,1+AL349,$D$1), "")</f>
        <v/>
      </c>
      <c r="T349" s="260"/>
      <c r="U349" s="260"/>
      <c r="V349" s="261"/>
      <c r="W349" s="267"/>
      <c r="X349" s="267"/>
      <c r="Y349" s="257"/>
      <c r="Z349" s="264">
        <f t="shared" si="557"/>
        <v>0</v>
      </c>
      <c r="AA349" s="269"/>
      <c r="AB349" s="266"/>
      <c r="AC349" s="254"/>
      <c r="AD349" s="255" t="str">
        <f>IF(ISBLANK(AC349), "", VLOOKUP(AC349, Z!$A$2:$C$4127, 3, FALSE))</f>
        <v/>
      </c>
      <c r="AE349" s="270"/>
      <c r="AF349" s="265">
        <f t="shared" si="558"/>
        <v>0</v>
      </c>
      <c r="AG349" s="246"/>
      <c r="AH349" s="228">
        <f t="shared" si="581"/>
        <v>1</v>
      </c>
      <c r="AI349" s="228">
        <f t="shared" si="582"/>
        <v>1</v>
      </c>
      <c r="AJ349" s="228">
        <f t="shared" si="583"/>
        <v>0</v>
      </c>
      <c r="AK349" s="228">
        <v>0</v>
      </c>
      <c r="AL349" s="228">
        <v>0</v>
      </c>
      <c r="AM349" s="228">
        <f t="shared" si="559"/>
        <v>-100</v>
      </c>
      <c r="AN349" s="228" cm="1">
        <f t="array" ref="AN349">IF(ISBLANK(G349), 1, IFERROR(MATCH(G349, INDEX(Kat,,1), 0), IFERROR(MATCH(Kat, INDEX(Use,,2), 0), MATCH(Kat, INDEX(Use,,3), 0))))</f>
        <v>1</v>
      </c>
      <c r="AO349" s="246"/>
      <c r="AP349" s="228" cm="1">
        <f t="array" ref="AP349">IF(W349&gt;0, INDEX(Kat, AN349,4), 0)</f>
        <v>0</v>
      </c>
      <c r="AQ349" s="228">
        <f t="shared" si="584"/>
        <v>0</v>
      </c>
      <c r="AR349" s="228" cm="1">
        <f t="array" ref="AR349">IF(X349&gt;0, INDEX(Kat, $AN349, 4+AQ349), 0)</f>
        <v>0</v>
      </c>
      <c r="AS349" s="228" cm="1">
        <f t="array" ref="AS349">IF(X349&gt;0, INDEX(Kat, $AN349, 9+AQ349), 0)</f>
        <v>0</v>
      </c>
      <c r="AT349" s="246"/>
      <c r="AU349" s="262"/>
      <c r="AV349" s="262"/>
      <c r="AW349" s="263"/>
      <c r="AX349" s="263"/>
      <c r="AY349" s="263"/>
      <c r="AZ349" s="263"/>
      <c r="BA349" s="263"/>
      <c r="BB349" s="263"/>
      <c r="BC349" s="263"/>
      <c r="BD349" s="263"/>
      <c r="BE349" s="263"/>
      <c r="BF349" s="263"/>
      <c r="BG349" s="263"/>
      <c r="BH349" s="246"/>
      <c r="BI349" s="228" cm="1">
        <f t="array" ref="BI349">INDEX(Use, $AH349, 4)</f>
        <v>7</v>
      </c>
      <c r="BJ349" s="228">
        <f t="shared" si="560"/>
        <v>32</v>
      </c>
      <c r="BK349" s="228">
        <f t="shared" si="586"/>
        <v>13</v>
      </c>
      <c r="BL349" s="228">
        <f t="shared" si="587"/>
        <v>0</v>
      </c>
      <c r="BM349" s="233" cm="1">
        <f t="array" ref="BM349">L349/IF($M349&gt;0, INDEX($AY$22:$BE$76, $M349+20, $AH349), 1)</f>
        <v>0</v>
      </c>
      <c r="BN349" s="229">
        <f t="shared" si="561"/>
        <v>0</v>
      </c>
      <c r="BO349" s="228">
        <v>35</v>
      </c>
      <c r="BP349" s="229">
        <f t="shared" si="562"/>
        <v>48</v>
      </c>
      <c r="BQ349" s="234">
        <f t="shared" si="563"/>
        <v>3.0748170731707316</v>
      </c>
      <c r="BR349" s="234" cm="1">
        <f t="array" ref="BR349">$BM349 * SUMPRODUCT(INDEX($AV$76:$AX$81,,$AI349),INDEX($AY$76:$BE$81,,$AH349), N($AU$76:$AU$81&gt;$AM349)) / BQ349 / 1000</f>
        <v>0</v>
      </c>
      <c r="BS349" s="231">
        <f t="shared" si="588"/>
        <v>30</v>
      </c>
      <c r="BT349" s="229">
        <f t="shared" si="564"/>
        <v>43</v>
      </c>
      <c r="BU349" s="234">
        <f t="shared" si="565"/>
        <v>3.5018750000000001</v>
      </c>
      <c r="BV349" s="234" cm="1">
        <f t="array" ref="BV349">$BM349 * IF($AH349&lt;=2,
SUMPRODUCT(INDEX($AV$71:$AX$75,,$AI349), INDEX($AY$71:$BE$75,,$AH349), 1 / ($BF$71:$BF$75*BU349 + (1-$BF$71:$BF$75)*BQ349), N($AU$71:$AU$75&gt;$AM349)),
SUMPRODUCT(INDEX($AV$66:$AX$75,,$AI349), INDEX($AY$66:$BE$75,,$AH349), 1 / ($BG$66:$BG$75*BU349 + (1-$BG$66:$BG$75)*BQ349), N($AU$66:$AU$75&gt;$AM349))
) / 1000</f>
        <v>0</v>
      </c>
      <c r="BW349" s="231">
        <f t="shared" si="589"/>
        <v>25</v>
      </c>
      <c r="BX349" s="229">
        <f t="shared" si="566"/>
        <v>38</v>
      </c>
      <c r="BY349" s="234">
        <f t="shared" si="567"/>
        <v>4.0666935483870965</v>
      </c>
      <c r="BZ349" s="234" cm="1">
        <f t="array" ref="BZ349">$BM349 * IF($AH349&lt;=2,
SUMPRODUCT(INDEX($AV$66:$AX$70,,$AI349), INDEX($AY$66:$BE$70,,$AH349), 1 / ($BF$66:$BF$70*BY349 + (1-$BF$66:$BF$70)*BU349), N($AU$66:$AU$70&gt;$AM349)),
SUMPRODUCT(INDEX($AV$56:$AX$65,,$AI349), INDEX($AY$56:$BE$65,,$AH349), 1 / ($BG$56:$BG$65*BY349 + (1-$BG$56:$BG$65)*BU349), N($AU$56:$AU$65&gt;$AM349))
) / 1000</f>
        <v>0</v>
      </c>
      <c r="CA349" s="231">
        <f t="shared" si="590"/>
        <v>20</v>
      </c>
      <c r="CB349" s="229">
        <f t="shared" si="568"/>
        <v>33</v>
      </c>
      <c r="CC349" s="234">
        <f t="shared" si="569"/>
        <v>4.8487499999999999</v>
      </c>
      <c r="CD349" s="234" cm="1">
        <f t="array" ref="CD349">$BM349 * IF($AH349&lt;=2,
SUMPRODUCT(INDEX($AV$61:$AX$65,,$AI349), INDEX($AY$61:$BE$65,,$AH349), 1 / ($BF$61:$BF$65*CC349 + (1-$BF$61:$BF$65)*BY349), N($AU$61:$AU$65&gt;$AM349)),
SUMPRODUCT(INDEX($AV$46:$AX$55,,$AI349), INDEX($AY$46:$BE$55,,$AH349), 1 / ($BG$46:$BG$55*CC349 + (1-$BG$46:$BG$55)*BY349), N($AU$46:$AU$55&gt;$AM349))
) / 1000</f>
        <v>0</v>
      </c>
      <c r="CE349" s="234" cm="1">
        <f t="array" ref="CE349">$BM349 * IF($AH349&lt;=2,
SUMPRODUCT(INDEX($AV$22:$AX$60,,$AI349), INDEX($AY$22:$BE$60,,$AH349), 1 / ($BF$22:$BF$60*CC349), N($AU$22:$AU$60&gt;$AM349)),
SUMPRODUCT(INDEX($AV$22:$AX$45,,$AI349), INDEX($AY$22:$BE$45,,$AH349), 1 / ($BG$22:$BG$45*CC349), N($AU$22:$AU$45&gt;$AM349))
) / 1000</f>
        <v>0</v>
      </c>
      <c r="CF349" s="229">
        <f t="shared" si="570"/>
        <v>0</v>
      </c>
      <c r="CG349" s="246"/>
      <c r="CH349" s="229">
        <f t="shared" si="571"/>
        <v>0</v>
      </c>
      <c r="CI349" s="228">
        <v>35</v>
      </c>
      <c r="CJ349" s="229">
        <f t="shared" si="572"/>
        <v>48</v>
      </c>
      <c r="CK349" s="234">
        <f t="shared" si="573"/>
        <v>3.0748170731707316</v>
      </c>
      <c r="CL349" s="234" cm="1">
        <f t="array" ref="CL349">$BM349 * SUMPRODUCT(INDEX($AV$76:$AX$81,,$AI349),INDEX($AY$76:$BE$81,,$AH349), N($AU$76:$AU$81&gt;$AM349)) / CK349 / 1000</f>
        <v>0</v>
      </c>
      <c r="CM349" s="231">
        <f t="shared" si="591"/>
        <v>30</v>
      </c>
      <c r="CN349" s="229">
        <f t="shared" si="574"/>
        <v>43</v>
      </c>
      <c r="CO349" s="234">
        <f t="shared" si="575"/>
        <v>3.5018750000000001</v>
      </c>
      <c r="CP349" s="234" cm="1">
        <f t="array" ref="CP349">$BM349 * IF($AH349&lt;=2,
SUMPRODUCT(INDEX($AV$71:$AX$75,,$AI349), INDEX($AY$71:$BE$75,,$AH349), 1 / ($BF$71:$BF$75*CO349 + (1-$BF$71:$BF$75)*CK349), N($AU$71:$AU$75&gt;$AM349)),
SUMPRODUCT(INDEX($AV$66:$AX$75,,$AI349), INDEX($AY$66:$BE$75,,$AH349), 1 / ($BG$66:$BG$75*CO349 + (1-$BG$66:$BG$75)*CK349), N($AU$66:$AU$75&gt;$AM349))
) / 1000</f>
        <v>0</v>
      </c>
      <c r="CQ349" s="231">
        <f t="shared" si="592"/>
        <v>25</v>
      </c>
      <c r="CR349" s="229">
        <f t="shared" si="576"/>
        <v>38</v>
      </c>
      <c r="CS349" s="234">
        <f t="shared" si="577"/>
        <v>4.0666935483870965</v>
      </c>
      <c r="CT349" s="234" cm="1">
        <f t="array" ref="CT349">$BM349 * IF($AH349&lt;=2,
SUMPRODUCT(INDEX($AV$66:$AX$70,,$AI349), INDEX($AY$66:$BE$70,,$AH349), 1 / ($BF$66:$BF$70*CS349 + (1-$BF$66:$BF$70)*CO349), N($AU$66:$AU$70&gt;$AM349)),
SUMPRODUCT(INDEX($AV$56:$AX$65,,$AI349), INDEX($AY$56:$BE$65,,$AH349), 1 / ($BG$56:$BG$65*CS349 + (1-$BG$56:$BG$65)*CO349), N($AU$56:$AU$65&gt;$AM349))
) / 1000</f>
        <v>0</v>
      </c>
      <c r="CU349" s="231">
        <f t="shared" si="593"/>
        <v>20</v>
      </c>
      <c r="CV349" s="229">
        <f t="shared" si="578"/>
        <v>33</v>
      </c>
      <c r="CW349" s="234">
        <f t="shared" si="579"/>
        <v>4.8487499999999999</v>
      </c>
      <c r="CX349" s="234" cm="1">
        <f t="array" ref="CX349">$BM349 * IF($AH349&lt;=2,
SUMPRODUCT(INDEX($AV$61:$AX$65,,$AI349), INDEX($AY$61:$BE$65,,$AH349), 1 / ($BF$61:$BF$65*CW349 + (1-$BF$61:$BF$65)*CS349), N($AU$61:$AU$65&gt;$AM349)),
SUMPRODUCT(INDEX($AV$46:$AX$55,,$AI349), INDEX($AY$46:$BE$55,,$AH349), 1 / ($BG$46:$BG$55*CW349 + (1-$BG$46:$BG$55)*CS349), N($AU$46:$AU$55&gt;$AM349))
) / 1000</f>
        <v>0</v>
      </c>
      <c r="CY349" s="234" cm="1">
        <f t="array" ref="CY349">$BM349 * IF($AH349&lt;=2,
SUMPRODUCT(INDEX($AV$22:$AX$60,,$AI349), INDEX($AY$22:$BE$60,,$AH349), 1 / ($BF$22:$BF$60*CW349), N($AU$22:$AU$60&gt;$AM349)),
SUMPRODUCT(INDEX($AV$22:$AX$45,,$AI349), INDEX($AY$22:$BE$45,,$AH349), 1 / ($BG$22:$BG$45*CW349), N($AU$22:$AU$45&gt;$AM349))
) / 1000</f>
        <v>0</v>
      </c>
      <c r="CZ349" s="229">
        <f t="shared" si="580"/>
        <v>0</v>
      </c>
      <c r="DA349" s="246"/>
    </row>
    <row r="350" spans="1:105" s="75" customFormat="1" ht="14.25" customHeight="1" x14ac:dyDescent="0.2">
      <c r="A350" s="230" t="b">
        <f t="shared" si="585"/>
        <v>0</v>
      </c>
      <c r="B350" s="253">
        <v>329</v>
      </c>
      <c r="C350" s="266"/>
      <c r="D350" s="266"/>
      <c r="E350" s="254"/>
      <c r="F350" s="255" t="str">
        <f>IF(ISBLANK(E350), "", VLOOKUP(E350, Z!$A$2:$C$4127, 3, FALSE))</f>
        <v/>
      </c>
      <c r="G350" s="256"/>
      <c r="H350" s="256"/>
      <c r="I350" s="256"/>
      <c r="J350" s="257"/>
      <c r="K350" s="258"/>
      <c r="L350" s="267"/>
      <c r="M350" s="268"/>
      <c r="N350" s="259" t="str" cm="1">
        <f t="array" ref="N350">IF($L350&gt;0, INDEX(Clean,1+AK350,$D$1), "")</f>
        <v/>
      </c>
      <c r="O350" s="260"/>
      <c r="P350" s="260"/>
      <c r="Q350" s="261"/>
      <c r="R350" s="264">
        <f t="shared" si="556"/>
        <v>0</v>
      </c>
      <c r="S350" s="259" t="str" cm="1">
        <f t="array" ref="S350">IF($L350&gt;0, INDEX(Clean,1+AL350,$D$1), "")</f>
        <v/>
      </c>
      <c r="T350" s="260"/>
      <c r="U350" s="260"/>
      <c r="V350" s="261"/>
      <c r="W350" s="267"/>
      <c r="X350" s="267"/>
      <c r="Y350" s="257"/>
      <c r="Z350" s="264">
        <f t="shared" si="557"/>
        <v>0</v>
      </c>
      <c r="AA350" s="269"/>
      <c r="AB350" s="266"/>
      <c r="AC350" s="254"/>
      <c r="AD350" s="255" t="str">
        <f>IF(ISBLANK(AC350), "", VLOOKUP(AC350, Z!$A$2:$C$4127, 3, FALSE))</f>
        <v/>
      </c>
      <c r="AE350" s="270"/>
      <c r="AF350" s="265">
        <f t="shared" si="558"/>
        <v>0</v>
      </c>
      <c r="AG350" s="246"/>
      <c r="AH350" s="228">
        <f t="shared" si="581"/>
        <v>1</v>
      </c>
      <c r="AI350" s="228">
        <f t="shared" si="582"/>
        <v>1</v>
      </c>
      <c r="AJ350" s="228">
        <f t="shared" si="583"/>
        <v>0</v>
      </c>
      <c r="AK350" s="228">
        <v>0</v>
      </c>
      <c r="AL350" s="228">
        <v>0</v>
      </c>
      <c r="AM350" s="228">
        <f t="shared" si="559"/>
        <v>-100</v>
      </c>
      <c r="AN350" s="228" cm="1">
        <f t="array" ref="AN350">IF(ISBLANK(G350), 1, IFERROR(MATCH(G350, INDEX(Kat,,1), 0), IFERROR(MATCH(Kat, INDEX(Use,,2), 0), MATCH(Kat, INDEX(Use,,3), 0))))</f>
        <v>1</v>
      </c>
      <c r="AO350" s="246"/>
      <c r="AP350" s="228" cm="1">
        <f t="array" ref="AP350">IF(W350&gt;0, INDEX(Kat, AN350,4), 0)</f>
        <v>0</v>
      </c>
      <c r="AQ350" s="228">
        <f t="shared" si="584"/>
        <v>0</v>
      </c>
      <c r="AR350" s="228" cm="1">
        <f t="array" ref="AR350">IF(X350&gt;0, INDEX(Kat, $AN350, 4+AQ350), 0)</f>
        <v>0</v>
      </c>
      <c r="AS350" s="228" cm="1">
        <f t="array" ref="AS350">IF(X350&gt;0, INDEX(Kat, $AN350, 9+AQ350), 0)</f>
        <v>0</v>
      </c>
      <c r="AT350" s="246"/>
      <c r="AU350" s="262"/>
      <c r="AV350" s="262"/>
      <c r="AW350" s="263"/>
      <c r="AX350" s="263"/>
      <c r="AY350" s="263"/>
      <c r="AZ350" s="263"/>
      <c r="BA350" s="263"/>
      <c r="BB350" s="263"/>
      <c r="BC350" s="263"/>
      <c r="BD350" s="263"/>
      <c r="BE350" s="263"/>
      <c r="BF350" s="263"/>
      <c r="BG350" s="263"/>
      <c r="BH350" s="246"/>
      <c r="BI350" s="228" cm="1">
        <f t="array" ref="BI350">INDEX(Use, $AH350, 4)</f>
        <v>7</v>
      </c>
      <c r="BJ350" s="228">
        <f t="shared" si="560"/>
        <v>32</v>
      </c>
      <c r="BK350" s="228">
        <f t="shared" si="586"/>
        <v>13</v>
      </c>
      <c r="BL350" s="228">
        <f t="shared" si="587"/>
        <v>0</v>
      </c>
      <c r="BM350" s="233" cm="1">
        <f t="array" ref="BM350">L350/IF($M350&gt;0, INDEX($AY$22:$BE$76, $M350+20, $AH350), 1)</f>
        <v>0</v>
      </c>
      <c r="BN350" s="229">
        <f t="shared" si="561"/>
        <v>0</v>
      </c>
      <c r="BO350" s="228">
        <v>35</v>
      </c>
      <c r="BP350" s="229">
        <f t="shared" si="562"/>
        <v>48</v>
      </c>
      <c r="BQ350" s="234">
        <f t="shared" si="563"/>
        <v>3.0748170731707316</v>
      </c>
      <c r="BR350" s="234" cm="1">
        <f t="array" ref="BR350">$BM350 * SUMPRODUCT(INDEX($AV$76:$AX$81,,$AI350),INDEX($AY$76:$BE$81,,$AH350), N($AU$76:$AU$81&gt;$AM350)) / BQ350 / 1000</f>
        <v>0</v>
      </c>
      <c r="BS350" s="231">
        <f t="shared" si="588"/>
        <v>30</v>
      </c>
      <c r="BT350" s="229">
        <f t="shared" si="564"/>
        <v>43</v>
      </c>
      <c r="BU350" s="234">
        <f t="shared" si="565"/>
        <v>3.5018750000000001</v>
      </c>
      <c r="BV350" s="234" cm="1">
        <f t="array" ref="BV350">$BM350 * IF($AH350&lt;=2,
SUMPRODUCT(INDEX($AV$71:$AX$75,,$AI350), INDEX($AY$71:$BE$75,,$AH350), 1 / ($BF$71:$BF$75*BU350 + (1-$BF$71:$BF$75)*BQ350), N($AU$71:$AU$75&gt;$AM350)),
SUMPRODUCT(INDEX($AV$66:$AX$75,,$AI350), INDEX($AY$66:$BE$75,,$AH350), 1 / ($BG$66:$BG$75*BU350 + (1-$BG$66:$BG$75)*BQ350), N($AU$66:$AU$75&gt;$AM350))
) / 1000</f>
        <v>0</v>
      </c>
      <c r="BW350" s="231">
        <f t="shared" si="589"/>
        <v>25</v>
      </c>
      <c r="BX350" s="229">
        <f t="shared" si="566"/>
        <v>38</v>
      </c>
      <c r="BY350" s="234">
        <f t="shared" si="567"/>
        <v>4.0666935483870965</v>
      </c>
      <c r="BZ350" s="234" cm="1">
        <f t="array" ref="BZ350">$BM350 * IF($AH350&lt;=2,
SUMPRODUCT(INDEX($AV$66:$AX$70,,$AI350), INDEX($AY$66:$BE$70,,$AH350), 1 / ($BF$66:$BF$70*BY350 + (1-$BF$66:$BF$70)*BU350), N($AU$66:$AU$70&gt;$AM350)),
SUMPRODUCT(INDEX($AV$56:$AX$65,,$AI350), INDEX($AY$56:$BE$65,,$AH350), 1 / ($BG$56:$BG$65*BY350 + (1-$BG$56:$BG$65)*BU350), N($AU$56:$AU$65&gt;$AM350))
) / 1000</f>
        <v>0</v>
      </c>
      <c r="CA350" s="231">
        <f t="shared" si="590"/>
        <v>20</v>
      </c>
      <c r="CB350" s="229">
        <f t="shared" si="568"/>
        <v>33</v>
      </c>
      <c r="CC350" s="234">
        <f t="shared" si="569"/>
        <v>4.8487499999999999</v>
      </c>
      <c r="CD350" s="234" cm="1">
        <f t="array" ref="CD350">$BM350 * IF($AH350&lt;=2,
SUMPRODUCT(INDEX($AV$61:$AX$65,,$AI350), INDEX($AY$61:$BE$65,,$AH350), 1 / ($BF$61:$BF$65*CC350 + (1-$BF$61:$BF$65)*BY350), N($AU$61:$AU$65&gt;$AM350)),
SUMPRODUCT(INDEX($AV$46:$AX$55,,$AI350), INDEX($AY$46:$BE$55,,$AH350), 1 / ($BG$46:$BG$55*CC350 + (1-$BG$46:$BG$55)*BY350), N($AU$46:$AU$55&gt;$AM350))
) / 1000</f>
        <v>0</v>
      </c>
      <c r="CE350" s="234" cm="1">
        <f t="array" ref="CE350">$BM350 * IF($AH350&lt;=2,
SUMPRODUCT(INDEX($AV$22:$AX$60,,$AI350), INDEX($AY$22:$BE$60,,$AH350), 1 / ($BF$22:$BF$60*CC350), N($AU$22:$AU$60&gt;$AM350)),
SUMPRODUCT(INDEX($AV$22:$AX$45,,$AI350), INDEX($AY$22:$BE$45,,$AH350), 1 / ($BG$22:$BG$45*CC350), N($AU$22:$AU$45&gt;$AM350))
) / 1000</f>
        <v>0</v>
      </c>
      <c r="CF350" s="229">
        <f t="shared" si="570"/>
        <v>0</v>
      </c>
      <c r="CG350" s="246"/>
      <c r="CH350" s="229">
        <f t="shared" si="571"/>
        <v>0</v>
      </c>
      <c r="CI350" s="228">
        <v>35</v>
      </c>
      <c r="CJ350" s="229">
        <f t="shared" si="572"/>
        <v>48</v>
      </c>
      <c r="CK350" s="234">
        <f t="shared" si="573"/>
        <v>3.0748170731707316</v>
      </c>
      <c r="CL350" s="234" cm="1">
        <f t="array" ref="CL350">$BM350 * SUMPRODUCT(INDEX($AV$76:$AX$81,,$AI350),INDEX($AY$76:$BE$81,,$AH350), N($AU$76:$AU$81&gt;$AM350)) / CK350 / 1000</f>
        <v>0</v>
      </c>
      <c r="CM350" s="231">
        <f t="shared" si="591"/>
        <v>30</v>
      </c>
      <c r="CN350" s="229">
        <f t="shared" si="574"/>
        <v>43</v>
      </c>
      <c r="CO350" s="234">
        <f t="shared" si="575"/>
        <v>3.5018750000000001</v>
      </c>
      <c r="CP350" s="234" cm="1">
        <f t="array" ref="CP350">$BM350 * IF($AH350&lt;=2,
SUMPRODUCT(INDEX($AV$71:$AX$75,,$AI350), INDEX($AY$71:$BE$75,,$AH350), 1 / ($BF$71:$BF$75*CO350 + (1-$BF$71:$BF$75)*CK350), N($AU$71:$AU$75&gt;$AM350)),
SUMPRODUCT(INDEX($AV$66:$AX$75,,$AI350), INDEX($AY$66:$BE$75,,$AH350), 1 / ($BG$66:$BG$75*CO350 + (1-$BG$66:$BG$75)*CK350), N($AU$66:$AU$75&gt;$AM350))
) / 1000</f>
        <v>0</v>
      </c>
      <c r="CQ350" s="231">
        <f t="shared" si="592"/>
        <v>25</v>
      </c>
      <c r="CR350" s="229">
        <f t="shared" si="576"/>
        <v>38</v>
      </c>
      <c r="CS350" s="234">
        <f t="shared" si="577"/>
        <v>4.0666935483870965</v>
      </c>
      <c r="CT350" s="234" cm="1">
        <f t="array" ref="CT350">$BM350 * IF($AH350&lt;=2,
SUMPRODUCT(INDEX($AV$66:$AX$70,,$AI350), INDEX($AY$66:$BE$70,,$AH350), 1 / ($BF$66:$BF$70*CS350 + (1-$BF$66:$BF$70)*CO350), N($AU$66:$AU$70&gt;$AM350)),
SUMPRODUCT(INDEX($AV$56:$AX$65,,$AI350), INDEX($AY$56:$BE$65,,$AH350), 1 / ($BG$56:$BG$65*CS350 + (1-$BG$56:$BG$65)*CO350), N($AU$56:$AU$65&gt;$AM350))
) / 1000</f>
        <v>0</v>
      </c>
      <c r="CU350" s="231">
        <f t="shared" si="593"/>
        <v>20</v>
      </c>
      <c r="CV350" s="229">
        <f t="shared" si="578"/>
        <v>33</v>
      </c>
      <c r="CW350" s="234">
        <f t="shared" si="579"/>
        <v>4.8487499999999999</v>
      </c>
      <c r="CX350" s="234" cm="1">
        <f t="array" ref="CX350">$BM350 * IF($AH350&lt;=2,
SUMPRODUCT(INDEX($AV$61:$AX$65,,$AI350), INDEX($AY$61:$BE$65,,$AH350), 1 / ($BF$61:$BF$65*CW350 + (1-$BF$61:$BF$65)*CS350), N($AU$61:$AU$65&gt;$AM350)),
SUMPRODUCT(INDEX($AV$46:$AX$55,,$AI350), INDEX($AY$46:$BE$55,,$AH350), 1 / ($BG$46:$BG$55*CW350 + (1-$BG$46:$BG$55)*CS350), N($AU$46:$AU$55&gt;$AM350))
) / 1000</f>
        <v>0</v>
      </c>
      <c r="CY350" s="234" cm="1">
        <f t="array" ref="CY350">$BM350 * IF($AH350&lt;=2,
SUMPRODUCT(INDEX($AV$22:$AX$60,,$AI350), INDEX($AY$22:$BE$60,,$AH350), 1 / ($BF$22:$BF$60*CW350), N($AU$22:$AU$60&gt;$AM350)),
SUMPRODUCT(INDEX($AV$22:$AX$45,,$AI350), INDEX($AY$22:$BE$45,,$AH350), 1 / ($BG$22:$BG$45*CW350), N($AU$22:$AU$45&gt;$AM350))
) / 1000</f>
        <v>0</v>
      </c>
      <c r="CZ350" s="229">
        <f t="shared" si="580"/>
        <v>0</v>
      </c>
      <c r="DA350" s="246"/>
    </row>
    <row r="351" spans="1:105" s="75" customFormat="1" ht="14.25" customHeight="1" x14ac:dyDescent="0.2">
      <c r="A351" s="230" t="b">
        <f t="shared" si="585"/>
        <v>0</v>
      </c>
      <c r="B351" s="253">
        <v>330</v>
      </c>
      <c r="C351" s="266"/>
      <c r="D351" s="266"/>
      <c r="E351" s="254"/>
      <c r="F351" s="255" t="str">
        <f>IF(ISBLANK(E351), "", VLOOKUP(E351, Z!$A$2:$C$4127, 3, FALSE))</f>
        <v/>
      </c>
      <c r="G351" s="256"/>
      <c r="H351" s="256"/>
      <c r="I351" s="256"/>
      <c r="J351" s="257"/>
      <c r="K351" s="258"/>
      <c r="L351" s="267"/>
      <c r="M351" s="268"/>
      <c r="N351" s="259" t="str" cm="1">
        <f t="array" ref="N351">IF($L351&gt;0, INDEX(Clean,1+AK351,$D$1), "")</f>
        <v/>
      </c>
      <c r="O351" s="260"/>
      <c r="P351" s="260"/>
      <c r="Q351" s="261"/>
      <c r="R351" s="264">
        <f t="shared" si="556"/>
        <v>0</v>
      </c>
      <c r="S351" s="259" t="str" cm="1">
        <f t="array" ref="S351">IF($L351&gt;0, INDEX(Clean,1+AL351,$D$1), "")</f>
        <v/>
      </c>
      <c r="T351" s="260"/>
      <c r="U351" s="260"/>
      <c r="V351" s="261"/>
      <c r="W351" s="267"/>
      <c r="X351" s="267"/>
      <c r="Y351" s="257"/>
      <c r="Z351" s="264">
        <f t="shared" si="557"/>
        <v>0</v>
      </c>
      <c r="AA351" s="269"/>
      <c r="AB351" s="266"/>
      <c r="AC351" s="254"/>
      <c r="AD351" s="255" t="str">
        <f>IF(ISBLANK(AC351), "", VLOOKUP(AC351, Z!$A$2:$C$4127, 3, FALSE))</f>
        <v/>
      </c>
      <c r="AE351" s="270"/>
      <c r="AF351" s="265">
        <f t="shared" si="558"/>
        <v>0</v>
      </c>
      <c r="AG351" s="246"/>
      <c r="AH351" s="228">
        <f t="shared" si="581"/>
        <v>1</v>
      </c>
      <c r="AI351" s="228">
        <f t="shared" si="582"/>
        <v>1</v>
      </c>
      <c r="AJ351" s="228">
        <f t="shared" si="583"/>
        <v>0</v>
      </c>
      <c r="AK351" s="228">
        <v>0</v>
      </c>
      <c r="AL351" s="228">
        <v>0</v>
      </c>
      <c r="AM351" s="228">
        <f t="shared" si="559"/>
        <v>-100</v>
      </c>
      <c r="AN351" s="228" cm="1">
        <f t="array" ref="AN351">IF(ISBLANK(G351), 1, IFERROR(MATCH(G351, INDEX(Kat,,1), 0), IFERROR(MATCH(Kat, INDEX(Use,,2), 0), MATCH(Kat, INDEX(Use,,3), 0))))</f>
        <v>1</v>
      </c>
      <c r="AO351" s="246"/>
      <c r="AP351" s="228" cm="1">
        <f t="array" ref="AP351">IF(W351&gt;0, INDEX(Kat, AN351,4), 0)</f>
        <v>0</v>
      </c>
      <c r="AQ351" s="228">
        <f t="shared" si="584"/>
        <v>0</v>
      </c>
      <c r="AR351" s="228" cm="1">
        <f t="array" ref="AR351">IF(X351&gt;0, INDEX(Kat, $AN351, 4+AQ351), 0)</f>
        <v>0</v>
      </c>
      <c r="AS351" s="228" cm="1">
        <f t="array" ref="AS351">IF(X351&gt;0, INDEX(Kat, $AN351, 9+AQ351), 0)</f>
        <v>0</v>
      </c>
      <c r="AT351" s="246"/>
      <c r="AU351" s="262"/>
      <c r="AV351" s="262"/>
      <c r="AW351" s="263"/>
      <c r="AX351" s="263"/>
      <c r="AY351" s="263"/>
      <c r="AZ351" s="263"/>
      <c r="BA351" s="263"/>
      <c r="BB351" s="263"/>
      <c r="BC351" s="263"/>
      <c r="BD351" s="263"/>
      <c r="BE351" s="263"/>
      <c r="BF351" s="263"/>
      <c r="BG351" s="263"/>
      <c r="BH351" s="246"/>
      <c r="BI351" s="228" cm="1">
        <f t="array" ref="BI351">INDEX(Use, $AH351, 4)</f>
        <v>7</v>
      </c>
      <c r="BJ351" s="228">
        <f t="shared" si="560"/>
        <v>32</v>
      </c>
      <c r="BK351" s="228">
        <f t="shared" si="586"/>
        <v>13</v>
      </c>
      <c r="BL351" s="228">
        <f t="shared" si="587"/>
        <v>0</v>
      </c>
      <c r="BM351" s="233" cm="1">
        <f t="array" ref="BM351">L351/IF($M351&gt;0, INDEX($AY$22:$BE$76, $M351+20, $AH351), 1)</f>
        <v>0</v>
      </c>
      <c r="BN351" s="229">
        <f t="shared" si="561"/>
        <v>0</v>
      </c>
      <c r="BO351" s="228">
        <v>35</v>
      </c>
      <c r="BP351" s="229">
        <f t="shared" si="562"/>
        <v>48</v>
      </c>
      <c r="BQ351" s="234">
        <f t="shared" si="563"/>
        <v>3.0748170731707316</v>
      </c>
      <c r="BR351" s="234" cm="1">
        <f t="array" ref="BR351">$BM351 * SUMPRODUCT(INDEX($AV$76:$AX$81,,$AI351),INDEX($AY$76:$BE$81,,$AH351), N($AU$76:$AU$81&gt;$AM351)) / BQ351 / 1000</f>
        <v>0</v>
      </c>
      <c r="BS351" s="231">
        <f t="shared" si="588"/>
        <v>30</v>
      </c>
      <c r="BT351" s="229">
        <f t="shared" si="564"/>
        <v>43</v>
      </c>
      <c r="BU351" s="234">
        <f t="shared" si="565"/>
        <v>3.5018750000000001</v>
      </c>
      <c r="BV351" s="234" cm="1">
        <f t="array" ref="BV351">$BM351 * IF($AH351&lt;=2,
SUMPRODUCT(INDEX($AV$71:$AX$75,,$AI351), INDEX($AY$71:$BE$75,,$AH351), 1 / ($BF$71:$BF$75*BU351 + (1-$BF$71:$BF$75)*BQ351), N($AU$71:$AU$75&gt;$AM351)),
SUMPRODUCT(INDEX($AV$66:$AX$75,,$AI351), INDEX($AY$66:$BE$75,,$AH351), 1 / ($BG$66:$BG$75*BU351 + (1-$BG$66:$BG$75)*BQ351), N($AU$66:$AU$75&gt;$AM351))
) / 1000</f>
        <v>0</v>
      </c>
      <c r="BW351" s="231">
        <f t="shared" si="589"/>
        <v>25</v>
      </c>
      <c r="BX351" s="229">
        <f t="shared" si="566"/>
        <v>38</v>
      </c>
      <c r="BY351" s="234">
        <f t="shared" si="567"/>
        <v>4.0666935483870965</v>
      </c>
      <c r="BZ351" s="234" cm="1">
        <f t="array" ref="BZ351">$BM351 * IF($AH351&lt;=2,
SUMPRODUCT(INDEX($AV$66:$AX$70,,$AI351), INDEX($AY$66:$BE$70,,$AH351), 1 / ($BF$66:$BF$70*BY351 + (1-$BF$66:$BF$70)*BU351), N($AU$66:$AU$70&gt;$AM351)),
SUMPRODUCT(INDEX($AV$56:$AX$65,,$AI351), INDEX($AY$56:$BE$65,,$AH351), 1 / ($BG$56:$BG$65*BY351 + (1-$BG$56:$BG$65)*BU351), N($AU$56:$AU$65&gt;$AM351))
) / 1000</f>
        <v>0</v>
      </c>
      <c r="CA351" s="231">
        <f t="shared" si="590"/>
        <v>20</v>
      </c>
      <c r="CB351" s="229">
        <f t="shared" si="568"/>
        <v>33</v>
      </c>
      <c r="CC351" s="234">
        <f t="shared" si="569"/>
        <v>4.8487499999999999</v>
      </c>
      <c r="CD351" s="234" cm="1">
        <f t="array" ref="CD351">$BM351 * IF($AH351&lt;=2,
SUMPRODUCT(INDEX($AV$61:$AX$65,,$AI351), INDEX($AY$61:$BE$65,,$AH351), 1 / ($BF$61:$BF$65*CC351 + (1-$BF$61:$BF$65)*BY351), N($AU$61:$AU$65&gt;$AM351)),
SUMPRODUCT(INDEX($AV$46:$AX$55,,$AI351), INDEX($AY$46:$BE$55,,$AH351), 1 / ($BG$46:$BG$55*CC351 + (1-$BG$46:$BG$55)*BY351), N($AU$46:$AU$55&gt;$AM351))
) / 1000</f>
        <v>0</v>
      </c>
      <c r="CE351" s="234" cm="1">
        <f t="array" ref="CE351">$BM351 * IF($AH351&lt;=2,
SUMPRODUCT(INDEX($AV$22:$AX$60,,$AI351), INDEX($AY$22:$BE$60,,$AH351), 1 / ($BF$22:$BF$60*CC351), N($AU$22:$AU$60&gt;$AM351)),
SUMPRODUCT(INDEX($AV$22:$AX$45,,$AI351), INDEX($AY$22:$BE$45,,$AH351), 1 / ($BG$22:$BG$45*CC351), N($AU$22:$AU$45&gt;$AM351))
) / 1000</f>
        <v>0</v>
      </c>
      <c r="CF351" s="229">
        <f t="shared" si="570"/>
        <v>0</v>
      </c>
      <c r="CG351" s="246"/>
      <c r="CH351" s="229">
        <f t="shared" si="571"/>
        <v>0</v>
      </c>
      <c r="CI351" s="228">
        <v>35</v>
      </c>
      <c r="CJ351" s="229">
        <f t="shared" si="572"/>
        <v>48</v>
      </c>
      <c r="CK351" s="234">
        <f t="shared" si="573"/>
        <v>3.0748170731707316</v>
      </c>
      <c r="CL351" s="234" cm="1">
        <f t="array" ref="CL351">$BM351 * SUMPRODUCT(INDEX($AV$76:$AX$81,,$AI351),INDEX($AY$76:$BE$81,,$AH351), N($AU$76:$AU$81&gt;$AM351)) / CK351 / 1000</f>
        <v>0</v>
      </c>
      <c r="CM351" s="231">
        <f t="shared" si="591"/>
        <v>30</v>
      </c>
      <c r="CN351" s="229">
        <f t="shared" si="574"/>
        <v>43</v>
      </c>
      <c r="CO351" s="234">
        <f t="shared" si="575"/>
        <v>3.5018750000000001</v>
      </c>
      <c r="CP351" s="234" cm="1">
        <f t="array" ref="CP351">$BM351 * IF($AH351&lt;=2,
SUMPRODUCT(INDEX($AV$71:$AX$75,,$AI351), INDEX($AY$71:$BE$75,,$AH351), 1 / ($BF$71:$BF$75*CO351 + (1-$BF$71:$BF$75)*CK351), N($AU$71:$AU$75&gt;$AM351)),
SUMPRODUCT(INDEX($AV$66:$AX$75,,$AI351), INDEX($AY$66:$BE$75,,$AH351), 1 / ($BG$66:$BG$75*CO351 + (1-$BG$66:$BG$75)*CK351), N($AU$66:$AU$75&gt;$AM351))
) / 1000</f>
        <v>0</v>
      </c>
      <c r="CQ351" s="231">
        <f t="shared" si="592"/>
        <v>25</v>
      </c>
      <c r="CR351" s="229">
        <f t="shared" si="576"/>
        <v>38</v>
      </c>
      <c r="CS351" s="234">
        <f t="shared" si="577"/>
        <v>4.0666935483870965</v>
      </c>
      <c r="CT351" s="234" cm="1">
        <f t="array" ref="CT351">$BM351 * IF($AH351&lt;=2,
SUMPRODUCT(INDEX($AV$66:$AX$70,,$AI351), INDEX($AY$66:$BE$70,,$AH351), 1 / ($BF$66:$BF$70*CS351 + (1-$BF$66:$BF$70)*CO351), N($AU$66:$AU$70&gt;$AM351)),
SUMPRODUCT(INDEX($AV$56:$AX$65,,$AI351), INDEX($AY$56:$BE$65,,$AH351), 1 / ($BG$56:$BG$65*CS351 + (1-$BG$56:$BG$65)*CO351), N($AU$56:$AU$65&gt;$AM351))
) / 1000</f>
        <v>0</v>
      </c>
      <c r="CU351" s="231">
        <f t="shared" si="593"/>
        <v>20</v>
      </c>
      <c r="CV351" s="229">
        <f t="shared" si="578"/>
        <v>33</v>
      </c>
      <c r="CW351" s="234">
        <f t="shared" si="579"/>
        <v>4.8487499999999999</v>
      </c>
      <c r="CX351" s="234" cm="1">
        <f t="array" ref="CX351">$BM351 * IF($AH351&lt;=2,
SUMPRODUCT(INDEX($AV$61:$AX$65,,$AI351), INDEX($AY$61:$BE$65,,$AH351), 1 / ($BF$61:$BF$65*CW351 + (1-$BF$61:$BF$65)*CS351), N($AU$61:$AU$65&gt;$AM351)),
SUMPRODUCT(INDEX($AV$46:$AX$55,,$AI351), INDEX($AY$46:$BE$55,,$AH351), 1 / ($BG$46:$BG$55*CW351 + (1-$BG$46:$BG$55)*CS351), N($AU$46:$AU$55&gt;$AM351))
) / 1000</f>
        <v>0</v>
      </c>
      <c r="CY351" s="234" cm="1">
        <f t="array" ref="CY351">$BM351 * IF($AH351&lt;=2,
SUMPRODUCT(INDEX($AV$22:$AX$60,,$AI351), INDEX($AY$22:$BE$60,,$AH351), 1 / ($BF$22:$BF$60*CW351), N($AU$22:$AU$60&gt;$AM351)),
SUMPRODUCT(INDEX($AV$22:$AX$45,,$AI351), INDEX($AY$22:$BE$45,,$AH351), 1 / ($BG$22:$BG$45*CW351), N($AU$22:$AU$45&gt;$AM351))
) / 1000</f>
        <v>0</v>
      </c>
      <c r="CZ351" s="229">
        <f t="shared" si="580"/>
        <v>0</v>
      </c>
      <c r="DA351" s="246"/>
    </row>
    <row r="352" spans="1:105" s="75" customFormat="1" ht="14.25" customHeight="1" x14ac:dyDescent="0.2">
      <c r="A352" s="230" t="b">
        <f t="shared" si="585"/>
        <v>0</v>
      </c>
      <c r="B352" s="253">
        <v>331</v>
      </c>
      <c r="C352" s="266"/>
      <c r="D352" s="266"/>
      <c r="E352" s="254"/>
      <c r="F352" s="255" t="str">
        <f>IF(ISBLANK(E352), "", VLOOKUP(E352, Z!$A$2:$C$4127, 3, FALSE))</f>
        <v/>
      </c>
      <c r="G352" s="256"/>
      <c r="H352" s="256"/>
      <c r="I352" s="256"/>
      <c r="J352" s="257"/>
      <c r="K352" s="258"/>
      <c r="L352" s="267"/>
      <c r="M352" s="268"/>
      <c r="N352" s="259" t="str" cm="1">
        <f t="array" ref="N352">IF($L352&gt;0, INDEX(Clean,1+AK352,$D$1), "")</f>
        <v/>
      </c>
      <c r="O352" s="260"/>
      <c r="P352" s="260"/>
      <c r="Q352" s="261"/>
      <c r="R352" s="264">
        <f t="shared" si="556"/>
        <v>0</v>
      </c>
      <c r="S352" s="259" t="str" cm="1">
        <f t="array" ref="S352">IF($L352&gt;0, INDEX(Clean,1+AL352,$D$1), "")</f>
        <v/>
      </c>
      <c r="T352" s="260"/>
      <c r="U352" s="260"/>
      <c r="V352" s="261"/>
      <c r="W352" s="267"/>
      <c r="X352" s="267"/>
      <c r="Y352" s="257"/>
      <c r="Z352" s="264">
        <f t="shared" si="557"/>
        <v>0</v>
      </c>
      <c r="AA352" s="269"/>
      <c r="AB352" s="266"/>
      <c r="AC352" s="254"/>
      <c r="AD352" s="255" t="str">
        <f>IF(ISBLANK(AC352), "", VLOOKUP(AC352, Z!$A$2:$C$4127, 3, FALSE))</f>
        <v/>
      </c>
      <c r="AE352" s="270"/>
      <c r="AF352" s="265">
        <f t="shared" si="558"/>
        <v>0</v>
      </c>
      <c r="AG352" s="246"/>
      <c r="AH352" s="228">
        <f t="shared" si="581"/>
        <v>1</v>
      </c>
      <c r="AI352" s="228">
        <f t="shared" si="582"/>
        <v>1</v>
      </c>
      <c r="AJ352" s="228">
        <f t="shared" si="583"/>
        <v>0</v>
      </c>
      <c r="AK352" s="228">
        <v>0</v>
      </c>
      <c r="AL352" s="228">
        <v>0</v>
      </c>
      <c r="AM352" s="228">
        <f t="shared" si="559"/>
        <v>-100</v>
      </c>
      <c r="AN352" s="228" cm="1">
        <f t="array" ref="AN352">IF(ISBLANK(G352), 1, IFERROR(MATCH(G352, INDEX(Kat,,1), 0), IFERROR(MATCH(Kat, INDEX(Use,,2), 0), MATCH(Kat, INDEX(Use,,3), 0))))</f>
        <v>1</v>
      </c>
      <c r="AO352" s="246"/>
      <c r="AP352" s="228" cm="1">
        <f t="array" ref="AP352">IF(W352&gt;0, INDEX(Kat, AN352,4), 0)</f>
        <v>0</v>
      </c>
      <c r="AQ352" s="228">
        <f t="shared" si="584"/>
        <v>0</v>
      </c>
      <c r="AR352" s="228" cm="1">
        <f t="array" ref="AR352">IF(X352&gt;0, INDEX(Kat, $AN352, 4+AQ352), 0)</f>
        <v>0</v>
      </c>
      <c r="AS352" s="228" cm="1">
        <f t="array" ref="AS352">IF(X352&gt;0, INDEX(Kat, $AN352, 9+AQ352), 0)</f>
        <v>0</v>
      </c>
      <c r="AT352" s="246"/>
      <c r="AU352" s="262"/>
      <c r="AV352" s="262"/>
      <c r="AW352" s="263"/>
      <c r="AX352" s="263"/>
      <c r="AY352" s="263"/>
      <c r="AZ352" s="263"/>
      <c r="BA352" s="263"/>
      <c r="BB352" s="263"/>
      <c r="BC352" s="263"/>
      <c r="BD352" s="263"/>
      <c r="BE352" s="263"/>
      <c r="BF352" s="263"/>
      <c r="BG352" s="263"/>
      <c r="BH352" s="246"/>
      <c r="BI352" s="228" cm="1">
        <f t="array" ref="BI352">INDEX(Use, $AH352, 4)</f>
        <v>7</v>
      </c>
      <c r="BJ352" s="228">
        <f t="shared" si="560"/>
        <v>32</v>
      </c>
      <c r="BK352" s="228">
        <f t="shared" si="586"/>
        <v>13</v>
      </c>
      <c r="BL352" s="228">
        <f t="shared" si="587"/>
        <v>0</v>
      </c>
      <c r="BM352" s="233" cm="1">
        <f t="array" ref="BM352">L352/IF($M352&gt;0, INDEX($AY$22:$BE$76, $M352+20, $AH352), 1)</f>
        <v>0</v>
      </c>
      <c r="BN352" s="229">
        <f t="shared" si="561"/>
        <v>0</v>
      </c>
      <c r="BO352" s="228">
        <v>35</v>
      </c>
      <c r="BP352" s="229">
        <f t="shared" si="562"/>
        <v>48</v>
      </c>
      <c r="BQ352" s="234">
        <f t="shared" si="563"/>
        <v>3.0748170731707316</v>
      </c>
      <c r="BR352" s="234" cm="1">
        <f t="array" ref="BR352">$BM352 * SUMPRODUCT(INDEX($AV$76:$AX$81,,$AI352),INDEX($AY$76:$BE$81,,$AH352), N($AU$76:$AU$81&gt;$AM352)) / BQ352 / 1000</f>
        <v>0</v>
      </c>
      <c r="BS352" s="231">
        <f t="shared" si="588"/>
        <v>30</v>
      </c>
      <c r="BT352" s="229">
        <f t="shared" si="564"/>
        <v>43</v>
      </c>
      <c r="BU352" s="234">
        <f t="shared" si="565"/>
        <v>3.5018750000000001</v>
      </c>
      <c r="BV352" s="234" cm="1">
        <f t="array" ref="BV352">$BM352 * IF($AH352&lt;=2,
SUMPRODUCT(INDEX($AV$71:$AX$75,,$AI352), INDEX($AY$71:$BE$75,,$AH352), 1 / ($BF$71:$BF$75*BU352 + (1-$BF$71:$BF$75)*BQ352), N($AU$71:$AU$75&gt;$AM352)),
SUMPRODUCT(INDEX($AV$66:$AX$75,,$AI352), INDEX($AY$66:$BE$75,,$AH352), 1 / ($BG$66:$BG$75*BU352 + (1-$BG$66:$BG$75)*BQ352), N($AU$66:$AU$75&gt;$AM352))
) / 1000</f>
        <v>0</v>
      </c>
      <c r="BW352" s="231">
        <f t="shared" si="589"/>
        <v>25</v>
      </c>
      <c r="BX352" s="229">
        <f t="shared" si="566"/>
        <v>38</v>
      </c>
      <c r="BY352" s="234">
        <f t="shared" si="567"/>
        <v>4.0666935483870965</v>
      </c>
      <c r="BZ352" s="234" cm="1">
        <f t="array" ref="BZ352">$BM352 * IF($AH352&lt;=2,
SUMPRODUCT(INDEX($AV$66:$AX$70,,$AI352), INDEX($AY$66:$BE$70,,$AH352), 1 / ($BF$66:$BF$70*BY352 + (1-$BF$66:$BF$70)*BU352), N($AU$66:$AU$70&gt;$AM352)),
SUMPRODUCT(INDEX($AV$56:$AX$65,,$AI352), INDEX($AY$56:$BE$65,,$AH352), 1 / ($BG$56:$BG$65*BY352 + (1-$BG$56:$BG$65)*BU352), N($AU$56:$AU$65&gt;$AM352))
) / 1000</f>
        <v>0</v>
      </c>
      <c r="CA352" s="231">
        <f t="shared" si="590"/>
        <v>20</v>
      </c>
      <c r="CB352" s="229">
        <f t="shared" si="568"/>
        <v>33</v>
      </c>
      <c r="CC352" s="234">
        <f t="shared" si="569"/>
        <v>4.8487499999999999</v>
      </c>
      <c r="CD352" s="234" cm="1">
        <f t="array" ref="CD352">$BM352 * IF($AH352&lt;=2,
SUMPRODUCT(INDEX($AV$61:$AX$65,,$AI352), INDEX($AY$61:$BE$65,,$AH352), 1 / ($BF$61:$BF$65*CC352 + (1-$BF$61:$BF$65)*BY352), N($AU$61:$AU$65&gt;$AM352)),
SUMPRODUCT(INDEX($AV$46:$AX$55,,$AI352), INDEX($AY$46:$BE$55,,$AH352), 1 / ($BG$46:$BG$55*CC352 + (1-$BG$46:$BG$55)*BY352), N($AU$46:$AU$55&gt;$AM352))
) / 1000</f>
        <v>0</v>
      </c>
      <c r="CE352" s="234" cm="1">
        <f t="array" ref="CE352">$BM352 * IF($AH352&lt;=2,
SUMPRODUCT(INDEX($AV$22:$AX$60,,$AI352), INDEX($AY$22:$BE$60,,$AH352), 1 / ($BF$22:$BF$60*CC352), N($AU$22:$AU$60&gt;$AM352)),
SUMPRODUCT(INDEX($AV$22:$AX$45,,$AI352), INDEX($AY$22:$BE$45,,$AH352), 1 / ($BG$22:$BG$45*CC352), N($AU$22:$AU$45&gt;$AM352))
) / 1000</f>
        <v>0</v>
      </c>
      <c r="CF352" s="229">
        <f t="shared" si="570"/>
        <v>0</v>
      </c>
      <c r="CG352" s="246"/>
      <c r="CH352" s="229">
        <f t="shared" si="571"/>
        <v>0</v>
      </c>
      <c r="CI352" s="228">
        <v>35</v>
      </c>
      <c r="CJ352" s="229">
        <f t="shared" si="572"/>
        <v>48</v>
      </c>
      <c r="CK352" s="234">
        <f t="shared" si="573"/>
        <v>3.0748170731707316</v>
      </c>
      <c r="CL352" s="234" cm="1">
        <f t="array" ref="CL352">$BM352 * SUMPRODUCT(INDEX($AV$76:$AX$81,,$AI352),INDEX($AY$76:$BE$81,,$AH352), N($AU$76:$AU$81&gt;$AM352)) / CK352 / 1000</f>
        <v>0</v>
      </c>
      <c r="CM352" s="231">
        <f t="shared" si="591"/>
        <v>30</v>
      </c>
      <c r="CN352" s="229">
        <f t="shared" si="574"/>
        <v>43</v>
      </c>
      <c r="CO352" s="234">
        <f t="shared" si="575"/>
        <v>3.5018750000000001</v>
      </c>
      <c r="CP352" s="234" cm="1">
        <f t="array" ref="CP352">$BM352 * IF($AH352&lt;=2,
SUMPRODUCT(INDEX($AV$71:$AX$75,,$AI352), INDEX($AY$71:$BE$75,,$AH352), 1 / ($BF$71:$BF$75*CO352 + (1-$BF$71:$BF$75)*CK352), N($AU$71:$AU$75&gt;$AM352)),
SUMPRODUCT(INDEX($AV$66:$AX$75,,$AI352), INDEX($AY$66:$BE$75,,$AH352), 1 / ($BG$66:$BG$75*CO352 + (1-$BG$66:$BG$75)*CK352), N($AU$66:$AU$75&gt;$AM352))
) / 1000</f>
        <v>0</v>
      </c>
      <c r="CQ352" s="231">
        <f t="shared" si="592"/>
        <v>25</v>
      </c>
      <c r="CR352" s="229">
        <f t="shared" si="576"/>
        <v>38</v>
      </c>
      <c r="CS352" s="234">
        <f t="shared" si="577"/>
        <v>4.0666935483870965</v>
      </c>
      <c r="CT352" s="234" cm="1">
        <f t="array" ref="CT352">$BM352 * IF($AH352&lt;=2,
SUMPRODUCT(INDEX($AV$66:$AX$70,,$AI352), INDEX($AY$66:$BE$70,,$AH352), 1 / ($BF$66:$BF$70*CS352 + (1-$BF$66:$BF$70)*CO352), N($AU$66:$AU$70&gt;$AM352)),
SUMPRODUCT(INDEX($AV$56:$AX$65,,$AI352), INDEX($AY$56:$BE$65,,$AH352), 1 / ($BG$56:$BG$65*CS352 + (1-$BG$56:$BG$65)*CO352), N($AU$56:$AU$65&gt;$AM352))
) / 1000</f>
        <v>0</v>
      </c>
      <c r="CU352" s="231">
        <f t="shared" si="593"/>
        <v>20</v>
      </c>
      <c r="CV352" s="229">
        <f t="shared" si="578"/>
        <v>33</v>
      </c>
      <c r="CW352" s="234">
        <f t="shared" si="579"/>
        <v>4.8487499999999999</v>
      </c>
      <c r="CX352" s="234" cm="1">
        <f t="array" ref="CX352">$BM352 * IF($AH352&lt;=2,
SUMPRODUCT(INDEX($AV$61:$AX$65,,$AI352), INDEX($AY$61:$BE$65,,$AH352), 1 / ($BF$61:$BF$65*CW352 + (1-$BF$61:$BF$65)*CS352), N($AU$61:$AU$65&gt;$AM352)),
SUMPRODUCT(INDEX($AV$46:$AX$55,,$AI352), INDEX($AY$46:$BE$55,,$AH352), 1 / ($BG$46:$BG$55*CW352 + (1-$BG$46:$BG$55)*CS352), N($AU$46:$AU$55&gt;$AM352))
) / 1000</f>
        <v>0</v>
      </c>
      <c r="CY352" s="234" cm="1">
        <f t="array" ref="CY352">$BM352 * IF($AH352&lt;=2,
SUMPRODUCT(INDEX($AV$22:$AX$60,,$AI352), INDEX($AY$22:$BE$60,,$AH352), 1 / ($BF$22:$BF$60*CW352), N($AU$22:$AU$60&gt;$AM352)),
SUMPRODUCT(INDEX($AV$22:$AX$45,,$AI352), INDEX($AY$22:$BE$45,,$AH352), 1 / ($BG$22:$BG$45*CW352), N($AU$22:$AU$45&gt;$AM352))
) / 1000</f>
        <v>0</v>
      </c>
      <c r="CZ352" s="229">
        <f t="shared" si="580"/>
        <v>0</v>
      </c>
      <c r="DA352" s="246"/>
    </row>
    <row r="353" spans="1:105" s="75" customFormat="1" ht="14.25" customHeight="1" x14ac:dyDescent="0.2">
      <c r="A353" s="230" t="b">
        <f t="shared" si="585"/>
        <v>0</v>
      </c>
      <c r="B353" s="253">
        <v>332</v>
      </c>
      <c r="C353" s="266"/>
      <c r="D353" s="266"/>
      <c r="E353" s="254"/>
      <c r="F353" s="255" t="str">
        <f>IF(ISBLANK(E353), "", VLOOKUP(E353, Z!$A$2:$C$4127, 3, FALSE))</f>
        <v/>
      </c>
      <c r="G353" s="256"/>
      <c r="H353" s="256"/>
      <c r="I353" s="256"/>
      <c r="J353" s="257"/>
      <c r="K353" s="258"/>
      <c r="L353" s="267"/>
      <c r="M353" s="268"/>
      <c r="N353" s="259" t="str" cm="1">
        <f t="array" ref="N353">IF($L353&gt;0, INDEX(Clean,1+AK353,$D$1), "")</f>
        <v/>
      </c>
      <c r="O353" s="260"/>
      <c r="P353" s="260"/>
      <c r="Q353" s="261"/>
      <c r="R353" s="264">
        <f t="shared" si="556"/>
        <v>0</v>
      </c>
      <c r="S353" s="259" t="str" cm="1">
        <f t="array" ref="S353">IF($L353&gt;0, INDEX(Clean,1+AL353,$D$1), "")</f>
        <v/>
      </c>
      <c r="T353" s="260"/>
      <c r="U353" s="260"/>
      <c r="V353" s="261"/>
      <c r="W353" s="267"/>
      <c r="X353" s="267"/>
      <c r="Y353" s="257"/>
      <c r="Z353" s="264">
        <f t="shared" si="557"/>
        <v>0</v>
      </c>
      <c r="AA353" s="269"/>
      <c r="AB353" s="266"/>
      <c r="AC353" s="254"/>
      <c r="AD353" s="255" t="str">
        <f>IF(ISBLANK(AC353), "", VLOOKUP(AC353, Z!$A$2:$C$4127, 3, FALSE))</f>
        <v/>
      </c>
      <c r="AE353" s="270"/>
      <c r="AF353" s="265">
        <f t="shared" si="558"/>
        <v>0</v>
      </c>
      <c r="AG353" s="246"/>
      <c r="AH353" s="228">
        <f t="shared" si="581"/>
        <v>1</v>
      </c>
      <c r="AI353" s="228">
        <f t="shared" si="582"/>
        <v>1</v>
      </c>
      <c r="AJ353" s="228">
        <f t="shared" si="583"/>
        <v>0</v>
      </c>
      <c r="AK353" s="228">
        <v>0</v>
      </c>
      <c r="AL353" s="228">
        <v>0</v>
      </c>
      <c r="AM353" s="228">
        <f t="shared" si="559"/>
        <v>-100</v>
      </c>
      <c r="AN353" s="228" cm="1">
        <f t="array" ref="AN353">IF(ISBLANK(G353), 1, IFERROR(MATCH(G353, INDEX(Kat,,1), 0), IFERROR(MATCH(Kat, INDEX(Use,,2), 0), MATCH(Kat, INDEX(Use,,3), 0))))</f>
        <v>1</v>
      </c>
      <c r="AO353" s="246"/>
      <c r="AP353" s="228" cm="1">
        <f t="array" ref="AP353">IF(W353&gt;0, INDEX(Kat, AN353,4), 0)</f>
        <v>0</v>
      </c>
      <c r="AQ353" s="228">
        <f t="shared" si="584"/>
        <v>0</v>
      </c>
      <c r="AR353" s="228" cm="1">
        <f t="array" ref="AR353">IF(X353&gt;0, INDEX(Kat, $AN353, 4+AQ353), 0)</f>
        <v>0</v>
      </c>
      <c r="AS353" s="228" cm="1">
        <f t="array" ref="AS353">IF(X353&gt;0, INDEX(Kat, $AN353, 9+AQ353), 0)</f>
        <v>0</v>
      </c>
      <c r="AT353" s="246"/>
      <c r="AU353" s="262"/>
      <c r="AV353" s="262"/>
      <c r="AW353" s="263"/>
      <c r="AX353" s="263"/>
      <c r="AY353" s="263"/>
      <c r="AZ353" s="263"/>
      <c r="BA353" s="263"/>
      <c r="BB353" s="263"/>
      <c r="BC353" s="263"/>
      <c r="BD353" s="263"/>
      <c r="BE353" s="263"/>
      <c r="BF353" s="263"/>
      <c r="BG353" s="263"/>
      <c r="BH353" s="246"/>
      <c r="BI353" s="228" cm="1">
        <f t="array" ref="BI353">INDEX(Use, $AH353, 4)</f>
        <v>7</v>
      </c>
      <c r="BJ353" s="228">
        <f t="shared" si="560"/>
        <v>32</v>
      </c>
      <c r="BK353" s="228">
        <f t="shared" si="586"/>
        <v>13</v>
      </c>
      <c r="BL353" s="228">
        <f t="shared" si="587"/>
        <v>0</v>
      </c>
      <c r="BM353" s="233" cm="1">
        <f t="array" ref="BM353">L353/IF($M353&gt;0, INDEX($AY$22:$BE$76, $M353+20, $AH353), 1)</f>
        <v>0</v>
      </c>
      <c r="BN353" s="229">
        <f t="shared" si="561"/>
        <v>0</v>
      </c>
      <c r="BO353" s="228">
        <v>35</v>
      </c>
      <c r="BP353" s="229">
        <f t="shared" si="562"/>
        <v>48</v>
      </c>
      <c r="BQ353" s="234">
        <f t="shared" si="563"/>
        <v>3.0748170731707316</v>
      </c>
      <c r="BR353" s="234" cm="1">
        <f t="array" ref="BR353">$BM353 * SUMPRODUCT(INDEX($AV$76:$AX$81,,$AI353),INDEX($AY$76:$BE$81,,$AH353), N($AU$76:$AU$81&gt;$AM353)) / BQ353 / 1000</f>
        <v>0</v>
      </c>
      <c r="BS353" s="231">
        <f t="shared" si="588"/>
        <v>30</v>
      </c>
      <c r="BT353" s="229">
        <f t="shared" si="564"/>
        <v>43</v>
      </c>
      <c r="BU353" s="234">
        <f t="shared" si="565"/>
        <v>3.5018750000000001</v>
      </c>
      <c r="BV353" s="234" cm="1">
        <f t="array" ref="BV353">$BM353 * IF($AH353&lt;=2,
SUMPRODUCT(INDEX($AV$71:$AX$75,,$AI353), INDEX($AY$71:$BE$75,,$AH353), 1 / ($BF$71:$BF$75*BU353 + (1-$BF$71:$BF$75)*BQ353), N($AU$71:$AU$75&gt;$AM353)),
SUMPRODUCT(INDEX($AV$66:$AX$75,,$AI353), INDEX($AY$66:$BE$75,,$AH353), 1 / ($BG$66:$BG$75*BU353 + (1-$BG$66:$BG$75)*BQ353), N($AU$66:$AU$75&gt;$AM353))
) / 1000</f>
        <v>0</v>
      </c>
      <c r="BW353" s="231">
        <f t="shared" si="589"/>
        <v>25</v>
      </c>
      <c r="BX353" s="229">
        <f t="shared" si="566"/>
        <v>38</v>
      </c>
      <c r="BY353" s="234">
        <f t="shared" si="567"/>
        <v>4.0666935483870965</v>
      </c>
      <c r="BZ353" s="234" cm="1">
        <f t="array" ref="BZ353">$BM353 * IF($AH353&lt;=2,
SUMPRODUCT(INDEX($AV$66:$AX$70,,$AI353), INDEX($AY$66:$BE$70,,$AH353), 1 / ($BF$66:$BF$70*BY353 + (1-$BF$66:$BF$70)*BU353), N($AU$66:$AU$70&gt;$AM353)),
SUMPRODUCT(INDEX($AV$56:$AX$65,,$AI353), INDEX($AY$56:$BE$65,,$AH353), 1 / ($BG$56:$BG$65*BY353 + (1-$BG$56:$BG$65)*BU353), N($AU$56:$AU$65&gt;$AM353))
) / 1000</f>
        <v>0</v>
      </c>
      <c r="CA353" s="231">
        <f t="shared" si="590"/>
        <v>20</v>
      </c>
      <c r="CB353" s="229">
        <f t="shared" si="568"/>
        <v>33</v>
      </c>
      <c r="CC353" s="234">
        <f t="shared" si="569"/>
        <v>4.8487499999999999</v>
      </c>
      <c r="CD353" s="234" cm="1">
        <f t="array" ref="CD353">$BM353 * IF($AH353&lt;=2,
SUMPRODUCT(INDEX($AV$61:$AX$65,,$AI353), INDEX($AY$61:$BE$65,,$AH353), 1 / ($BF$61:$BF$65*CC353 + (1-$BF$61:$BF$65)*BY353), N($AU$61:$AU$65&gt;$AM353)),
SUMPRODUCT(INDEX($AV$46:$AX$55,,$AI353), INDEX($AY$46:$BE$55,,$AH353), 1 / ($BG$46:$BG$55*CC353 + (1-$BG$46:$BG$55)*BY353), N($AU$46:$AU$55&gt;$AM353))
) / 1000</f>
        <v>0</v>
      </c>
      <c r="CE353" s="234" cm="1">
        <f t="array" ref="CE353">$BM353 * IF($AH353&lt;=2,
SUMPRODUCT(INDEX($AV$22:$AX$60,,$AI353), INDEX($AY$22:$BE$60,,$AH353), 1 / ($BF$22:$BF$60*CC353), N($AU$22:$AU$60&gt;$AM353)),
SUMPRODUCT(INDEX($AV$22:$AX$45,,$AI353), INDEX($AY$22:$BE$45,,$AH353), 1 / ($BG$22:$BG$45*CC353), N($AU$22:$AU$45&gt;$AM353))
) / 1000</f>
        <v>0</v>
      </c>
      <c r="CF353" s="229">
        <f t="shared" si="570"/>
        <v>0</v>
      </c>
      <c r="CG353" s="246"/>
      <c r="CH353" s="229">
        <f t="shared" si="571"/>
        <v>0</v>
      </c>
      <c r="CI353" s="228">
        <v>35</v>
      </c>
      <c r="CJ353" s="229">
        <f t="shared" si="572"/>
        <v>48</v>
      </c>
      <c r="CK353" s="234">
        <f t="shared" si="573"/>
        <v>3.0748170731707316</v>
      </c>
      <c r="CL353" s="234" cm="1">
        <f t="array" ref="CL353">$BM353 * SUMPRODUCT(INDEX($AV$76:$AX$81,,$AI353),INDEX($AY$76:$BE$81,,$AH353), N($AU$76:$AU$81&gt;$AM353)) / CK353 / 1000</f>
        <v>0</v>
      </c>
      <c r="CM353" s="231">
        <f t="shared" si="591"/>
        <v>30</v>
      </c>
      <c r="CN353" s="229">
        <f t="shared" si="574"/>
        <v>43</v>
      </c>
      <c r="CO353" s="234">
        <f t="shared" si="575"/>
        <v>3.5018750000000001</v>
      </c>
      <c r="CP353" s="234" cm="1">
        <f t="array" ref="CP353">$BM353 * IF($AH353&lt;=2,
SUMPRODUCT(INDEX($AV$71:$AX$75,,$AI353), INDEX($AY$71:$BE$75,,$AH353), 1 / ($BF$71:$BF$75*CO353 + (1-$BF$71:$BF$75)*CK353), N($AU$71:$AU$75&gt;$AM353)),
SUMPRODUCT(INDEX($AV$66:$AX$75,,$AI353), INDEX($AY$66:$BE$75,,$AH353), 1 / ($BG$66:$BG$75*CO353 + (1-$BG$66:$BG$75)*CK353), N($AU$66:$AU$75&gt;$AM353))
) / 1000</f>
        <v>0</v>
      </c>
      <c r="CQ353" s="231">
        <f t="shared" si="592"/>
        <v>25</v>
      </c>
      <c r="CR353" s="229">
        <f t="shared" si="576"/>
        <v>38</v>
      </c>
      <c r="CS353" s="234">
        <f t="shared" si="577"/>
        <v>4.0666935483870965</v>
      </c>
      <c r="CT353" s="234" cm="1">
        <f t="array" ref="CT353">$BM353 * IF($AH353&lt;=2,
SUMPRODUCT(INDEX($AV$66:$AX$70,,$AI353), INDEX($AY$66:$BE$70,,$AH353), 1 / ($BF$66:$BF$70*CS353 + (1-$BF$66:$BF$70)*CO353), N($AU$66:$AU$70&gt;$AM353)),
SUMPRODUCT(INDEX($AV$56:$AX$65,,$AI353), INDEX($AY$56:$BE$65,,$AH353), 1 / ($BG$56:$BG$65*CS353 + (1-$BG$56:$BG$65)*CO353), N($AU$56:$AU$65&gt;$AM353))
) / 1000</f>
        <v>0</v>
      </c>
      <c r="CU353" s="231">
        <f t="shared" si="593"/>
        <v>20</v>
      </c>
      <c r="CV353" s="229">
        <f t="shared" si="578"/>
        <v>33</v>
      </c>
      <c r="CW353" s="234">
        <f t="shared" si="579"/>
        <v>4.8487499999999999</v>
      </c>
      <c r="CX353" s="234" cm="1">
        <f t="array" ref="CX353">$BM353 * IF($AH353&lt;=2,
SUMPRODUCT(INDEX($AV$61:$AX$65,,$AI353), INDEX($AY$61:$BE$65,,$AH353), 1 / ($BF$61:$BF$65*CW353 + (1-$BF$61:$BF$65)*CS353), N($AU$61:$AU$65&gt;$AM353)),
SUMPRODUCT(INDEX($AV$46:$AX$55,,$AI353), INDEX($AY$46:$BE$55,,$AH353), 1 / ($BG$46:$BG$55*CW353 + (1-$BG$46:$BG$55)*CS353), N($AU$46:$AU$55&gt;$AM353))
) / 1000</f>
        <v>0</v>
      </c>
      <c r="CY353" s="234" cm="1">
        <f t="array" ref="CY353">$BM353 * IF($AH353&lt;=2,
SUMPRODUCT(INDEX($AV$22:$AX$60,,$AI353), INDEX($AY$22:$BE$60,,$AH353), 1 / ($BF$22:$BF$60*CW353), N($AU$22:$AU$60&gt;$AM353)),
SUMPRODUCT(INDEX($AV$22:$AX$45,,$AI353), INDEX($AY$22:$BE$45,,$AH353), 1 / ($BG$22:$BG$45*CW353), N($AU$22:$AU$45&gt;$AM353))
) / 1000</f>
        <v>0</v>
      </c>
      <c r="CZ353" s="229">
        <f t="shared" si="580"/>
        <v>0</v>
      </c>
      <c r="DA353" s="246"/>
    </row>
    <row r="354" spans="1:105" s="75" customFormat="1" ht="14.25" customHeight="1" x14ac:dyDescent="0.2">
      <c r="A354" s="230" t="b">
        <f t="shared" si="585"/>
        <v>0</v>
      </c>
      <c r="B354" s="253">
        <v>333</v>
      </c>
      <c r="C354" s="266"/>
      <c r="D354" s="266"/>
      <c r="E354" s="254"/>
      <c r="F354" s="255" t="str">
        <f>IF(ISBLANK(E354), "", VLOOKUP(E354, Z!$A$2:$C$4127, 3, FALSE))</f>
        <v/>
      </c>
      <c r="G354" s="256"/>
      <c r="H354" s="256"/>
      <c r="I354" s="256"/>
      <c r="J354" s="257"/>
      <c r="K354" s="258"/>
      <c r="L354" s="267"/>
      <c r="M354" s="268"/>
      <c r="N354" s="259" t="str" cm="1">
        <f t="array" ref="N354">IF($L354&gt;0, INDEX(Clean,1+AK354,$D$1), "")</f>
        <v/>
      </c>
      <c r="O354" s="260"/>
      <c r="P354" s="260"/>
      <c r="Q354" s="261"/>
      <c r="R354" s="264">
        <f t="shared" si="556"/>
        <v>0</v>
      </c>
      <c r="S354" s="259" t="str" cm="1">
        <f t="array" ref="S354">IF($L354&gt;0, INDEX(Clean,1+AL354,$D$1), "")</f>
        <v/>
      </c>
      <c r="T354" s="260"/>
      <c r="U354" s="260"/>
      <c r="V354" s="261"/>
      <c r="W354" s="267"/>
      <c r="X354" s="267"/>
      <c r="Y354" s="257"/>
      <c r="Z354" s="264">
        <f t="shared" si="557"/>
        <v>0</v>
      </c>
      <c r="AA354" s="269"/>
      <c r="AB354" s="266"/>
      <c r="AC354" s="254"/>
      <c r="AD354" s="255" t="str">
        <f>IF(ISBLANK(AC354), "", VLOOKUP(AC354, Z!$A$2:$C$4127, 3, FALSE))</f>
        <v/>
      </c>
      <c r="AE354" s="270"/>
      <c r="AF354" s="265">
        <f t="shared" si="558"/>
        <v>0</v>
      </c>
      <c r="AG354" s="246"/>
      <c r="AH354" s="228">
        <f t="shared" si="581"/>
        <v>1</v>
      </c>
      <c r="AI354" s="228">
        <f t="shared" si="582"/>
        <v>1</v>
      </c>
      <c r="AJ354" s="228">
        <f t="shared" si="583"/>
        <v>0</v>
      </c>
      <c r="AK354" s="228">
        <v>0</v>
      </c>
      <c r="AL354" s="228">
        <v>0</v>
      </c>
      <c r="AM354" s="228">
        <f t="shared" si="559"/>
        <v>-100</v>
      </c>
      <c r="AN354" s="228" cm="1">
        <f t="array" ref="AN354">IF(ISBLANK(G354), 1, IFERROR(MATCH(G354, INDEX(Kat,,1), 0), IFERROR(MATCH(Kat, INDEX(Use,,2), 0), MATCH(Kat, INDEX(Use,,3), 0))))</f>
        <v>1</v>
      </c>
      <c r="AO354" s="246"/>
      <c r="AP354" s="228" cm="1">
        <f t="array" ref="AP354">IF(W354&gt;0, INDEX(Kat, AN354,4), 0)</f>
        <v>0</v>
      </c>
      <c r="AQ354" s="228">
        <f t="shared" si="584"/>
        <v>0</v>
      </c>
      <c r="AR354" s="228" cm="1">
        <f t="array" ref="AR354">IF(X354&gt;0, INDEX(Kat, $AN354, 4+AQ354), 0)</f>
        <v>0</v>
      </c>
      <c r="AS354" s="228" cm="1">
        <f t="array" ref="AS354">IF(X354&gt;0, INDEX(Kat, $AN354, 9+AQ354), 0)</f>
        <v>0</v>
      </c>
      <c r="AT354" s="246"/>
      <c r="AU354" s="262"/>
      <c r="AV354" s="262"/>
      <c r="AW354" s="263"/>
      <c r="AX354" s="263"/>
      <c r="AY354" s="263"/>
      <c r="AZ354" s="263"/>
      <c r="BA354" s="263"/>
      <c r="BB354" s="263"/>
      <c r="BC354" s="263"/>
      <c r="BD354" s="263"/>
      <c r="BE354" s="263"/>
      <c r="BF354" s="263"/>
      <c r="BG354" s="263"/>
      <c r="BH354" s="246"/>
      <c r="BI354" s="228" cm="1">
        <f t="array" ref="BI354">INDEX(Use, $AH354, 4)</f>
        <v>7</v>
      </c>
      <c r="BJ354" s="228">
        <f t="shared" si="560"/>
        <v>32</v>
      </c>
      <c r="BK354" s="228">
        <f t="shared" si="586"/>
        <v>13</v>
      </c>
      <c r="BL354" s="228">
        <f t="shared" si="587"/>
        <v>0</v>
      </c>
      <c r="BM354" s="233" cm="1">
        <f t="array" ref="BM354">L354/IF($M354&gt;0, INDEX($AY$22:$BE$76, $M354+20, $AH354), 1)</f>
        <v>0</v>
      </c>
      <c r="BN354" s="229">
        <f t="shared" si="561"/>
        <v>0</v>
      </c>
      <c r="BO354" s="228">
        <v>35</v>
      </c>
      <c r="BP354" s="229">
        <f t="shared" si="562"/>
        <v>48</v>
      </c>
      <c r="BQ354" s="234">
        <f t="shared" si="563"/>
        <v>3.0748170731707316</v>
      </c>
      <c r="BR354" s="234" cm="1">
        <f t="array" ref="BR354">$BM354 * SUMPRODUCT(INDEX($AV$76:$AX$81,,$AI354),INDEX($AY$76:$BE$81,,$AH354), N($AU$76:$AU$81&gt;$AM354)) / BQ354 / 1000</f>
        <v>0</v>
      </c>
      <c r="BS354" s="231">
        <f t="shared" si="588"/>
        <v>30</v>
      </c>
      <c r="BT354" s="229">
        <f t="shared" si="564"/>
        <v>43</v>
      </c>
      <c r="BU354" s="234">
        <f t="shared" si="565"/>
        <v>3.5018750000000001</v>
      </c>
      <c r="BV354" s="234" cm="1">
        <f t="array" ref="BV354">$BM354 * IF($AH354&lt;=2,
SUMPRODUCT(INDEX($AV$71:$AX$75,,$AI354), INDEX($AY$71:$BE$75,,$AH354), 1 / ($BF$71:$BF$75*BU354 + (1-$BF$71:$BF$75)*BQ354), N($AU$71:$AU$75&gt;$AM354)),
SUMPRODUCT(INDEX($AV$66:$AX$75,,$AI354), INDEX($AY$66:$BE$75,,$AH354), 1 / ($BG$66:$BG$75*BU354 + (1-$BG$66:$BG$75)*BQ354), N($AU$66:$AU$75&gt;$AM354))
) / 1000</f>
        <v>0</v>
      </c>
      <c r="BW354" s="231">
        <f t="shared" si="589"/>
        <v>25</v>
      </c>
      <c r="BX354" s="229">
        <f t="shared" si="566"/>
        <v>38</v>
      </c>
      <c r="BY354" s="234">
        <f t="shared" si="567"/>
        <v>4.0666935483870965</v>
      </c>
      <c r="BZ354" s="234" cm="1">
        <f t="array" ref="BZ354">$BM354 * IF($AH354&lt;=2,
SUMPRODUCT(INDEX($AV$66:$AX$70,,$AI354), INDEX($AY$66:$BE$70,,$AH354), 1 / ($BF$66:$BF$70*BY354 + (1-$BF$66:$BF$70)*BU354), N($AU$66:$AU$70&gt;$AM354)),
SUMPRODUCT(INDEX($AV$56:$AX$65,,$AI354), INDEX($AY$56:$BE$65,,$AH354), 1 / ($BG$56:$BG$65*BY354 + (1-$BG$56:$BG$65)*BU354), N($AU$56:$AU$65&gt;$AM354))
) / 1000</f>
        <v>0</v>
      </c>
      <c r="CA354" s="231">
        <f t="shared" si="590"/>
        <v>20</v>
      </c>
      <c r="CB354" s="229">
        <f t="shared" si="568"/>
        <v>33</v>
      </c>
      <c r="CC354" s="234">
        <f t="shared" si="569"/>
        <v>4.8487499999999999</v>
      </c>
      <c r="CD354" s="234" cm="1">
        <f t="array" ref="CD354">$BM354 * IF($AH354&lt;=2,
SUMPRODUCT(INDEX($AV$61:$AX$65,,$AI354), INDEX($AY$61:$BE$65,,$AH354), 1 / ($BF$61:$BF$65*CC354 + (1-$BF$61:$BF$65)*BY354), N($AU$61:$AU$65&gt;$AM354)),
SUMPRODUCT(INDEX($AV$46:$AX$55,,$AI354), INDEX($AY$46:$BE$55,,$AH354), 1 / ($BG$46:$BG$55*CC354 + (1-$BG$46:$BG$55)*BY354), N($AU$46:$AU$55&gt;$AM354))
) / 1000</f>
        <v>0</v>
      </c>
      <c r="CE354" s="234" cm="1">
        <f t="array" ref="CE354">$BM354 * IF($AH354&lt;=2,
SUMPRODUCT(INDEX($AV$22:$AX$60,,$AI354), INDEX($AY$22:$BE$60,,$AH354), 1 / ($BF$22:$BF$60*CC354), N($AU$22:$AU$60&gt;$AM354)),
SUMPRODUCT(INDEX($AV$22:$AX$45,,$AI354), INDEX($AY$22:$BE$45,,$AH354), 1 / ($BG$22:$BG$45*CC354), N($AU$22:$AU$45&gt;$AM354))
) / 1000</f>
        <v>0</v>
      </c>
      <c r="CF354" s="229">
        <f t="shared" si="570"/>
        <v>0</v>
      </c>
      <c r="CG354" s="246"/>
      <c r="CH354" s="229">
        <f t="shared" si="571"/>
        <v>0</v>
      </c>
      <c r="CI354" s="228">
        <v>35</v>
      </c>
      <c r="CJ354" s="229">
        <f t="shared" si="572"/>
        <v>48</v>
      </c>
      <c r="CK354" s="234">
        <f t="shared" si="573"/>
        <v>3.0748170731707316</v>
      </c>
      <c r="CL354" s="234" cm="1">
        <f t="array" ref="CL354">$BM354 * SUMPRODUCT(INDEX($AV$76:$AX$81,,$AI354),INDEX($AY$76:$BE$81,,$AH354), N($AU$76:$AU$81&gt;$AM354)) / CK354 / 1000</f>
        <v>0</v>
      </c>
      <c r="CM354" s="231">
        <f t="shared" si="591"/>
        <v>30</v>
      </c>
      <c r="CN354" s="229">
        <f t="shared" si="574"/>
        <v>43</v>
      </c>
      <c r="CO354" s="234">
        <f t="shared" si="575"/>
        <v>3.5018750000000001</v>
      </c>
      <c r="CP354" s="234" cm="1">
        <f t="array" ref="CP354">$BM354 * IF($AH354&lt;=2,
SUMPRODUCT(INDEX($AV$71:$AX$75,,$AI354), INDEX($AY$71:$BE$75,,$AH354), 1 / ($BF$71:$BF$75*CO354 + (1-$BF$71:$BF$75)*CK354), N($AU$71:$AU$75&gt;$AM354)),
SUMPRODUCT(INDEX($AV$66:$AX$75,,$AI354), INDEX($AY$66:$BE$75,,$AH354), 1 / ($BG$66:$BG$75*CO354 + (1-$BG$66:$BG$75)*CK354), N($AU$66:$AU$75&gt;$AM354))
) / 1000</f>
        <v>0</v>
      </c>
      <c r="CQ354" s="231">
        <f t="shared" si="592"/>
        <v>25</v>
      </c>
      <c r="CR354" s="229">
        <f t="shared" si="576"/>
        <v>38</v>
      </c>
      <c r="CS354" s="234">
        <f t="shared" si="577"/>
        <v>4.0666935483870965</v>
      </c>
      <c r="CT354" s="234" cm="1">
        <f t="array" ref="CT354">$BM354 * IF($AH354&lt;=2,
SUMPRODUCT(INDEX($AV$66:$AX$70,,$AI354), INDEX($AY$66:$BE$70,,$AH354), 1 / ($BF$66:$BF$70*CS354 + (1-$BF$66:$BF$70)*CO354), N($AU$66:$AU$70&gt;$AM354)),
SUMPRODUCT(INDEX($AV$56:$AX$65,,$AI354), INDEX($AY$56:$BE$65,,$AH354), 1 / ($BG$56:$BG$65*CS354 + (1-$BG$56:$BG$65)*CO354), N($AU$56:$AU$65&gt;$AM354))
) / 1000</f>
        <v>0</v>
      </c>
      <c r="CU354" s="231">
        <f t="shared" si="593"/>
        <v>20</v>
      </c>
      <c r="CV354" s="229">
        <f t="shared" si="578"/>
        <v>33</v>
      </c>
      <c r="CW354" s="234">
        <f t="shared" si="579"/>
        <v>4.8487499999999999</v>
      </c>
      <c r="CX354" s="234" cm="1">
        <f t="array" ref="CX354">$BM354 * IF($AH354&lt;=2,
SUMPRODUCT(INDEX($AV$61:$AX$65,,$AI354), INDEX($AY$61:$BE$65,,$AH354), 1 / ($BF$61:$BF$65*CW354 + (1-$BF$61:$BF$65)*CS354), N($AU$61:$AU$65&gt;$AM354)),
SUMPRODUCT(INDEX($AV$46:$AX$55,,$AI354), INDEX($AY$46:$BE$55,,$AH354), 1 / ($BG$46:$BG$55*CW354 + (1-$BG$46:$BG$55)*CS354), N($AU$46:$AU$55&gt;$AM354))
) / 1000</f>
        <v>0</v>
      </c>
      <c r="CY354" s="234" cm="1">
        <f t="array" ref="CY354">$BM354 * IF($AH354&lt;=2,
SUMPRODUCT(INDEX($AV$22:$AX$60,,$AI354), INDEX($AY$22:$BE$60,,$AH354), 1 / ($BF$22:$BF$60*CW354), N($AU$22:$AU$60&gt;$AM354)),
SUMPRODUCT(INDEX($AV$22:$AX$45,,$AI354), INDEX($AY$22:$BE$45,,$AH354), 1 / ($BG$22:$BG$45*CW354), N($AU$22:$AU$45&gt;$AM354))
) / 1000</f>
        <v>0</v>
      </c>
      <c r="CZ354" s="229">
        <f t="shared" si="580"/>
        <v>0</v>
      </c>
      <c r="DA354" s="246"/>
    </row>
    <row r="355" spans="1:105" s="75" customFormat="1" ht="14.25" customHeight="1" x14ac:dyDescent="0.2">
      <c r="A355" s="230" t="b">
        <f t="shared" si="585"/>
        <v>0</v>
      </c>
      <c r="B355" s="253">
        <v>334</v>
      </c>
      <c r="C355" s="266"/>
      <c r="D355" s="266"/>
      <c r="E355" s="254"/>
      <c r="F355" s="255" t="str">
        <f>IF(ISBLANK(E355), "", VLOOKUP(E355, Z!$A$2:$C$4127, 3, FALSE))</f>
        <v/>
      </c>
      <c r="G355" s="256"/>
      <c r="H355" s="256"/>
      <c r="I355" s="256"/>
      <c r="J355" s="257"/>
      <c r="K355" s="258"/>
      <c r="L355" s="267"/>
      <c r="M355" s="268"/>
      <c r="N355" s="259" t="str" cm="1">
        <f t="array" ref="N355">IF($L355&gt;0, INDEX(Clean,1+AK355,$D$1), "")</f>
        <v/>
      </c>
      <c r="O355" s="260"/>
      <c r="P355" s="260"/>
      <c r="Q355" s="261"/>
      <c r="R355" s="264">
        <f t="shared" si="556"/>
        <v>0</v>
      </c>
      <c r="S355" s="259" t="str" cm="1">
        <f t="array" ref="S355">IF($L355&gt;0, INDEX(Clean,1+AL355,$D$1), "")</f>
        <v/>
      </c>
      <c r="T355" s="260"/>
      <c r="U355" s="260"/>
      <c r="V355" s="261"/>
      <c r="W355" s="267"/>
      <c r="X355" s="267"/>
      <c r="Y355" s="257"/>
      <c r="Z355" s="264">
        <f t="shared" si="557"/>
        <v>0</v>
      </c>
      <c r="AA355" s="269"/>
      <c r="AB355" s="266"/>
      <c r="AC355" s="254"/>
      <c r="AD355" s="255" t="str">
        <f>IF(ISBLANK(AC355), "", VLOOKUP(AC355, Z!$A$2:$C$4127, 3, FALSE))</f>
        <v/>
      </c>
      <c r="AE355" s="270"/>
      <c r="AF355" s="265">
        <f t="shared" si="558"/>
        <v>0</v>
      </c>
      <c r="AG355" s="246"/>
      <c r="AH355" s="228">
        <f t="shared" si="581"/>
        <v>1</v>
      </c>
      <c r="AI355" s="228">
        <f t="shared" si="582"/>
        <v>1</v>
      </c>
      <c r="AJ355" s="228">
        <f t="shared" si="583"/>
        <v>0</v>
      </c>
      <c r="AK355" s="228">
        <v>0</v>
      </c>
      <c r="AL355" s="228">
        <v>0</v>
      </c>
      <c r="AM355" s="228">
        <f t="shared" si="559"/>
        <v>-100</v>
      </c>
      <c r="AN355" s="228" cm="1">
        <f t="array" ref="AN355">IF(ISBLANK(G355), 1, IFERROR(MATCH(G355, INDEX(Kat,,1), 0), IFERROR(MATCH(Kat, INDEX(Use,,2), 0), MATCH(Kat, INDEX(Use,,3), 0))))</f>
        <v>1</v>
      </c>
      <c r="AO355" s="246"/>
      <c r="AP355" s="228" cm="1">
        <f t="array" ref="AP355">IF(W355&gt;0, INDEX(Kat, AN355,4), 0)</f>
        <v>0</v>
      </c>
      <c r="AQ355" s="228">
        <f t="shared" si="584"/>
        <v>0</v>
      </c>
      <c r="AR355" s="228" cm="1">
        <f t="array" ref="AR355">IF(X355&gt;0, INDEX(Kat, $AN355, 4+AQ355), 0)</f>
        <v>0</v>
      </c>
      <c r="AS355" s="228" cm="1">
        <f t="array" ref="AS355">IF(X355&gt;0, INDEX(Kat, $AN355, 9+AQ355), 0)</f>
        <v>0</v>
      </c>
      <c r="AT355" s="246"/>
      <c r="AU355" s="262"/>
      <c r="AV355" s="262"/>
      <c r="AW355" s="263"/>
      <c r="AX355" s="263"/>
      <c r="AY355" s="263"/>
      <c r="AZ355" s="263"/>
      <c r="BA355" s="263"/>
      <c r="BB355" s="263"/>
      <c r="BC355" s="263"/>
      <c r="BD355" s="263"/>
      <c r="BE355" s="263"/>
      <c r="BF355" s="263"/>
      <c r="BG355" s="263"/>
      <c r="BH355" s="246"/>
      <c r="BI355" s="228" cm="1">
        <f t="array" ref="BI355">INDEX(Use, $AH355, 4)</f>
        <v>7</v>
      </c>
      <c r="BJ355" s="228">
        <f t="shared" si="560"/>
        <v>32</v>
      </c>
      <c r="BK355" s="228">
        <f t="shared" si="586"/>
        <v>13</v>
      </c>
      <c r="BL355" s="228">
        <f t="shared" si="587"/>
        <v>0</v>
      </c>
      <c r="BM355" s="233" cm="1">
        <f t="array" ref="BM355">L355/IF($M355&gt;0, INDEX($AY$22:$BE$76, $M355+20, $AH355), 1)</f>
        <v>0</v>
      </c>
      <c r="BN355" s="229">
        <f t="shared" si="561"/>
        <v>0</v>
      </c>
      <c r="BO355" s="228">
        <v>35</v>
      </c>
      <c r="BP355" s="229">
        <f t="shared" si="562"/>
        <v>48</v>
      </c>
      <c r="BQ355" s="234">
        <f t="shared" si="563"/>
        <v>3.0748170731707316</v>
      </c>
      <c r="BR355" s="234" cm="1">
        <f t="array" ref="BR355">$BM355 * SUMPRODUCT(INDEX($AV$76:$AX$81,,$AI355),INDEX($AY$76:$BE$81,,$AH355), N($AU$76:$AU$81&gt;$AM355)) / BQ355 / 1000</f>
        <v>0</v>
      </c>
      <c r="BS355" s="231">
        <f t="shared" si="588"/>
        <v>30</v>
      </c>
      <c r="BT355" s="229">
        <f t="shared" si="564"/>
        <v>43</v>
      </c>
      <c r="BU355" s="234">
        <f t="shared" si="565"/>
        <v>3.5018750000000001</v>
      </c>
      <c r="BV355" s="234" cm="1">
        <f t="array" ref="BV355">$BM355 * IF($AH355&lt;=2,
SUMPRODUCT(INDEX($AV$71:$AX$75,,$AI355), INDEX($AY$71:$BE$75,,$AH355), 1 / ($BF$71:$BF$75*BU355 + (1-$BF$71:$BF$75)*BQ355), N($AU$71:$AU$75&gt;$AM355)),
SUMPRODUCT(INDEX($AV$66:$AX$75,,$AI355), INDEX($AY$66:$BE$75,,$AH355), 1 / ($BG$66:$BG$75*BU355 + (1-$BG$66:$BG$75)*BQ355), N($AU$66:$AU$75&gt;$AM355))
) / 1000</f>
        <v>0</v>
      </c>
      <c r="BW355" s="231">
        <f t="shared" si="589"/>
        <v>25</v>
      </c>
      <c r="BX355" s="229">
        <f t="shared" si="566"/>
        <v>38</v>
      </c>
      <c r="BY355" s="234">
        <f t="shared" si="567"/>
        <v>4.0666935483870965</v>
      </c>
      <c r="BZ355" s="234" cm="1">
        <f t="array" ref="BZ355">$BM355 * IF($AH355&lt;=2,
SUMPRODUCT(INDEX($AV$66:$AX$70,,$AI355), INDEX($AY$66:$BE$70,,$AH355), 1 / ($BF$66:$BF$70*BY355 + (1-$BF$66:$BF$70)*BU355), N($AU$66:$AU$70&gt;$AM355)),
SUMPRODUCT(INDEX($AV$56:$AX$65,,$AI355), INDEX($AY$56:$BE$65,,$AH355), 1 / ($BG$56:$BG$65*BY355 + (1-$BG$56:$BG$65)*BU355), N($AU$56:$AU$65&gt;$AM355))
) / 1000</f>
        <v>0</v>
      </c>
      <c r="CA355" s="231">
        <f t="shared" si="590"/>
        <v>20</v>
      </c>
      <c r="CB355" s="229">
        <f t="shared" si="568"/>
        <v>33</v>
      </c>
      <c r="CC355" s="234">
        <f t="shared" si="569"/>
        <v>4.8487499999999999</v>
      </c>
      <c r="CD355" s="234" cm="1">
        <f t="array" ref="CD355">$BM355 * IF($AH355&lt;=2,
SUMPRODUCT(INDEX($AV$61:$AX$65,,$AI355), INDEX($AY$61:$BE$65,,$AH355), 1 / ($BF$61:$BF$65*CC355 + (1-$BF$61:$BF$65)*BY355), N($AU$61:$AU$65&gt;$AM355)),
SUMPRODUCT(INDEX($AV$46:$AX$55,,$AI355), INDEX($AY$46:$BE$55,,$AH355), 1 / ($BG$46:$BG$55*CC355 + (1-$BG$46:$BG$55)*BY355), N($AU$46:$AU$55&gt;$AM355))
) / 1000</f>
        <v>0</v>
      </c>
      <c r="CE355" s="234" cm="1">
        <f t="array" ref="CE355">$BM355 * IF($AH355&lt;=2,
SUMPRODUCT(INDEX($AV$22:$AX$60,,$AI355), INDEX($AY$22:$BE$60,,$AH355), 1 / ($BF$22:$BF$60*CC355), N($AU$22:$AU$60&gt;$AM355)),
SUMPRODUCT(INDEX($AV$22:$AX$45,,$AI355), INDEX($AY$22:$BE$45,,$AH355), 1 / ($BG$22:$BG$45*CC355), N($AU$22:$AU$45&gt;$AM355))
) / 1000</f>
        <v>0</v>
      </c>
      <c r="CF355" s="229">
        <f t="shared" si="570"/>
        <v>0</v>
      </c>
      <c r="CG355" s="246"/>
      <c r="CH355" s="229">
        <f t="shared" si="571"/>
        <v>0</v>
      </c>
      <c r="CI355" s="228">
        <v>35</v>
      </c>
      <c r="CJ355" s="229">
        <f t="shared" si="572"/>
        <v>48</v>
      </c>
      <c r="CK355" s="234">
        <f t="shared" si="573"/>
        <v>3.0748170731707316</v>
      </c>
      <c r="CL355" s="234" cm="1">
        <f t="array" ref="CL355">$BM355 * SUMPRODUCT(INDEX($AV$76:$AX$81,,$AI355),INDEX($AY$76:$BE$81,,$AH355), N($AU$76:$AU$81&gt;$AM355)) / CK355 / 1000</f>
        <v>0</v>
      </c>
      <c r="CM355" s="231">
        <f t="shared" si="591"/>
        <v>30</v>
      </c>
      <c r="CN355" s="229">
        <f t="shared" si="574"/>
        <v>43</v>
      </c>
      <c r="CO355" s="234">
        <f t="shared" si="575"/>
        <v>3.5018750000000001</v>
      </c>
      <c r="CP355" s="234" cm="1">
        <f t="array" ref="CP355">$BM355 * IF($AH355&lt;=2,
SUMPRODUCT(INDEX($AV$71:$AX$75,,$AI355), INDEX($AY$71:$BE$75,,$AH355), 1 / ($BF$71:$BF$75*CO355 + (1-$BF$71:$BF$75)*CK355), N($AU$71:$AU$75&gt;$AM355)),
SUMPRODUCT(INDEX($AV$66:$AX$75,,$AI355), INDEX($AY$66:$BE$75,,$AH355), 1 / ($BG$66:$BG$75*CO355 + (1-$BG$66:$BG$75)*CK355), N($AU$66:$AU$75&gt;$AM355))
) / 1000</f>
        <v>0</v>
      </c>
      <c r="CQ355" s="231">
        <f t="shared" si="592"/>
        <v>25</v>
      </c>
      <c r="CR355" s="229">
        <f t="shared" si="576"/>
        <v>38</v>
      </c>
      <c r="CS355" s="234">
        <f t="shared" si="577"/>
        <v>4.0666935483870965</v>
      </c>
      <c r="CT355" s="234" cm="1">
        <f t="array" ref="CT355">$BM355 * IF($AH355&lt;=2,
SUMPRODUCT(INDEX($AV$66:$AX$70,,$AI355), INDEX($AY$66:$BE$70,,$AH355), 1 / ($BF$66:$BF$70*CS355 + (1-$BF$66:$BF$70)*CO355), N($AU$66:$AU$70&gt;$AM355)),
SUMPRODUCT(INDEX($AV$56:$AX$65,,$AI355), INDEX($AY$56:$BE$65,,$AH355), 1 / ($BG$56:$BG$65*CS355 + (1-$BG$56:$BG$65)*CO355), N($AU$56:$AU$65&gt;$AM355))
) / 1000</f>
        <v>0</v>
      </c>
      <c r="CU355" s="231">
        <f t="shared" si="593"/>
        <v>20</v>
      </c>
      <c r="CV355" s="229">
        <f t="shared" si="578"/>
        <v>33</v>
      </c>
      <c r="CW355" s="234">
        <f t="shared" si="579"/>
        <v>4.8487499999999999</v>
      </c>
      <c r="CX355" s="234" cm="1">
        <f t="array" ref="CX355">$BM355 * IF($AH355&lt;=2,
SUMPRODUCT(INDEX($AV$61:$AX$65,,$AI355), INDEX($AY$61:$BE$65,,$AH355), 1 / ($BF$61:$BF$65*CW355 + (1-$BF$61:$BF$65)*CS355), N($AU$61:$AU$65&gt;$AM355)),
SUMPRODUCT(INDEX($AV$46:$AX$55,,$AI355), INDEX($AY$46:$BE$55,,$AH355), 1 / ($BG$46:$BG$55*CW355 + (1-$BG$46:$BG$55)*CS355), N($AU$46:$AU$55&gt;$AM355))
) / 1000</f>
        <v>0</v>
      </c>
      <c r="CY355" s="234" cm="1">
        <f t="array" ref="CY355">$BM355 * IF($AH355&lt;=2,
SUMPRODUCT(INDEX($AV$22:$AX$60,,$AI355), INDEX($AY$22:$BE$60,,$AH355), 1 / ($BF$22:$BF$60*CW355), N($AU$22:$AU$60&gt;$AM355)),
SUMPRODUCT(INDEX($AV$22:$AX$45,,$AI355), INDEX($AY$22:$BE$45,,$AH355), 1 / ($BG$22:$BG$45*CW355), N($AU$22:$AU$45&gt;$AM355))
) / 1000</f>
        <v>0</v>
      </c>
      <c r="CZ355" s="229">
        <f t="shared" si="580"/>
        <v>0</v>
      </c>
      <c r="DA355" s="246"/>
    </row>
    <row r="356" spans="1:105" s="75" customFormat="1" ht="14.25" customHeight="1" x14ac:dyDescent="0.2">
      <c r="A356" s="230" t="b">
        <f t="shared" si="585"/>
        <v>0</v>
      </c>
      <c r="B356" s="253">
        <v>335</v>
      </c>
      <c r="C356" s="266"/>
      <c r="D356" s="266"/>
      <c r="E356" s="254"/>
      <c r="F356" s="255" t="str">
        <f>IF(ISBLANK(E356), "", VLOOKUP(E356, Z!$A$2:$C$4127, 3, FALSE))</f>
        <v/>
      </c>
      <c r="G356" s="256"/>
      <c r="H356" s="256"/>
      <c r="I356" s="256"/>
      <c r="J356" s="257"/>
      <c r="K356" s="258"/>
      <c r="L356" s="267"/>
      <c r="M356" s="268"/>
      <c r="N356" s="259" t="str" cm="1">
        <f t="array" ref="N356">IF($L356&gt;0, INDEX(Clean,1+AK356,$D$1), "")</f>
        <v/>
      </c>
      <c r="O356" s="260"/>
      <c r="P356" s="260"/>
      <c r="Q356" s="261"/>
      <c r="R356" s="264">
        <f t="shared" si="556"/>
        <v>0</v>
      </c>
      <c r="S356" s="259" t="str" cm="1">
        <f t="array" ref="S356">IF($L356&gt;0, INDEX(Clean,1+AL356,$D$1), "")</f>
        <v/>
      </c>
      <c r="T356" s="260"/>
      <c r="U356" s="260"/>
      <c r="V356" s="261"/>
      <c r="W356" s="267"/>
      <c r="X356" s="267"/>
      <c r="Y356" s="257"/>
      <c r="Z356" s="264">
        <f t="shared" si="557"/>
        <v>0</v>
      </c>
      <c r="AA356" s="269"/>
      <c r="AB356" s="266"/>
      <c r="AC356" s="254"/>
      <c r="AD356" s="255" t="str">
        <f>IF(ISBLANK(AC356), "", VLOOKUP(AC356, Z!$A$2:$C$4127, 3, FALSE))</f>
        <v/>
      </c>
      <c r="AE356" s="270"/>
      <c r="AF356" s="265">
        <f t="shared" si="558"/>
        <v>0</v>
      </c>
      <c r="AG356" s="246"/>
      <c r="AH356" s="228">
        <f t="shared" si="581"/>
        <v>1</v>
      </c>
      <c r="AI356" s="228">
        <f t="shared" si="582"/>
        <v>1</v>
      </c>
      <c r="AJ356" s="228">
        <f t="shared" si="583"/>
        <v>0</v>
      </c>
      <c r="AK356" s="228">
        <v>0</v>
      </c>
      <c r="AL356" s="228">
        <v>0</v>
      </c>
      <c r="AM356" s="228">
        <f t="shared" si="559"/>
        <v>-100</v>
      </c>
      <c r="AN356" s="228" cm="1">
        <f t="array" ref="AN356">IF(ISBLANK(G356), 1, IFERROR(MATCH(G356, INDEX(Kat,,1), 0), IFERROR(MATCH(Kat, INDEX(Use,,2), 0), MATCH(Kat, INDEX(Use,,3), 0))))</f>
        <v>1</v>
      </c>
      <c r="AO356" s="246"/>
      <c r="AP356" s="228" cm="1">
        <f t="array" ref="AP356">IF(W356&gt;0, INDEX(Kat, AN356,4), 0)</f>
        <v>0</v>
      </c>
      <c r="AQ356" s="228">
        <f t="shared" si="584"/>
        <v>0</v>
      </c>
      <c r="AR356" s="228" cm="1">
        <f t="array" ref="AR356">IF(X356&gt;0, INDEX(Kat, $AN356, 4+AQ356), 0)</f>
        <v>0</v>
      </c>
      <c r="AS356" s="228" cm="1">
        <f t="array" ref="AS356">IF(X356&gt;0, INDEX(Kat, $AN356, 9+AQ356), 0)</f>
        <v>0</v>
      </c>
      <c r="AT356" s="246"/>
      <c r="AU356" s="262"/>
      <c r="AV356" s="262"/>
      <c r="AW356" s="263"/>
      <c r="AX356" s="263"/>
      <c r="AY356" s="263"/>
      <c r="AZ356" s="263"/>
      <c r="BA356" s="263"/>
      <c r="BB356" s="263"/>
      <c r="BC356" s="263"/>
      <c r="BD356" s="263"/>
      <c r="BE356" s="263"/>
      <c r="BF356" s="263"/>
      <c r="BG356" s="263"/>
      <c r="BH356" s="246"/>
      <c r="BI356" s="228" cm="1">
        <f t="array" ref="BI356">INDEX(Use, $AH356, 4)</f>
        <v>7</v>
      </c>
      <c r="BJ356" s="228">
        <f t="shared" si="560"/>
        <v>32</v>
      </c>
      <c r="BK356" s="228">
        <f t="shared" si="586"/>
        <v>13</v>
      </c>
      <c r="BL356" s="228">
        <f t="shared" si="587"/>
        <v>0</v>
      </c>
      <c r="BM356" s="233" cm="1">
        <f t="array" ref="BM356">L356/IF($M356&gt;0, INDEX($AY$22:$BE$76, $M356+20, $AH356), 1)</f>
        <v>0</v>
      </c>
      <c r="BN356" s="229">
        <f t="shared" si="561"/>
        <v>0</v>
      </c>
      <c r="BO356" s="228">
        <v>35</v>
      </c>
      <c r="BP356" s="229">
        <f t="shared" si="562"/>
        <v>48</v>
      </c>
      <c r="BQ356" s="234">
        <f t="shared" si="563"/>
        <v>3.0748170731707316</v>
      </c>
      <c r="BR356" s="234" cm="1">
        <f t="array" ref="BR356">$BM356 * SUMPRODUCT(INDEX($AV$76:$AX$81,,$AI356),INDEX($AY$76:$BE$81,,$AH356), N($AU$76:$AU$81&gt;$AM356)) / BQ356 / 1000</f>
        <v>0</v>
      </c>
      <c r="BS356" s="231">
        <f t="shared" si="588"/>
        <v>30</v>
      </c>
      <c r="BT356" s="229">
        <f t="shared" si="564"/>
        <v>43</v>
      </c>
      <c r="BU356" s="234">
        <f t="shared" si="565"/>
        <v>3.5018750000000001</v>
      </c>
      <c r="BV356" s="234" cm="1">
        <f t="array" ref="BV356">$BM356 * IF($AH356&lt;=2,
SUMPRODUCT(INDEX($AV$71:$AX$75,,$AI356), INDEX($AY$71:$BE$75,,$AH356), 1 / ($BF$71:$BF$75*BU356 + (1-$BF$71:$BF$75)*BQ356), N($AU$71:$AU$75&gt;$AM356)),
SUMPRODUCT(INDEX($AV$66:$AX$75,,$AI356), INDEX($AY$66:$BE$75,,$AH356), 1 / ($BG$66:$BG$75*BU356 + (1-$BG$66:$BG$75)*BQ356), N($AU$66:$AU$75&gt;$AM356))
) / 1000</f>
        <v>0</v>
      </c>
      <c r="BW356" s="231">
        <f t="shared" si="589"/>
        <v>25</v>
      </c>
      <c r="BX356" s="229">
        <f t="shared" si="566"/>
        <v>38</v>
      </c>
      <c r="BY356" s="234">
        <f t="shared" si="567"/>
        <v>4.0666935483870965</v>
      </c>
      <c r="BZ356" s="234" cm="1">
        <f t="array" ref="BZ356">$BM356 * IF($AH356&lt;=2,
SUMPRODUCT(INDEX($AV$66:$AX$70,,$AI356), INDEX($AY$66:$BE$70,,$AH356), 1 / ($BF$66:$BF$70*BY356 + (1-$BF$66:$BF$70)*BU356), N($AU$66:$AU$70&gt;$AM356)),
SUMPRODUCT(INDEX($AV$56:$AX$65,,$AI356), INDEX($AY$56:$BE$65,,$AH356), 1 / ($BG$56:$BG$65*BY356 + (1-$BG$56:$BG$65)*BU356), N($AU$56:$AU$65&gt;$AM356))
) / 1000</f>
        <v>0</v>
      </c>
      <c r="CA356" s="231">
        <f t="shared" si="590"/>
        <v>20</v>
      </c>
      <c r="CB356" s="229">
        <f t="shared" si="568"/>
        <v>33</v>
      </c>
      <c r="CC356" s="234">
        <f t="shared" si="569"/>
        <v>4.8487499999999999</v>
      </c>
      <c r="CD356" s="234" cm="1">
        <f t="array" ref="CD356">$BM356 * IF($AH356&lt;=2,
SUMPRODUCT(INDEX($AV$61:$AX$65,,$AI356), INDEX($AY$61:$BE$65,,$AH356), 1 / ($BF$61:$BF$65*CC356 + (1-$BF$61:$BF$65)*BY356), N($AU$61:$AU$65&gt;$AM356)),
SUMPRODUCT(INDEX($AV$46:$AX$55,,$AI356), INDEX($AY$46:$BE$55,,$AH356), 1 / ($BG$46:$BG$55*CC356 + (1-$BG$46:$BG$55)*BY356), N($AU$46:$AU$55&gt;$AM356))
) / 1000</f>
        <v>0</v>
      </c>
      <c r="CE356" s="234" cm="1">
        <f t="array" ref="CE356">$BM356 * IF($AH356&lt;=2,
SUMPRODUCT(INDEX($AV$22:$AX$60,,$AI356), INDEX($AY$22:$BE$60,,$AH356), 1 / ($BF$22:$BF$60*CC356), N($AU$22:$AU$60&gt;$AM356)),
SUMPRODUCT(INDEX($AV$22:$AX$45,,$AI356), INDEX($AY$22:$BE$45,,$AH356), 1 / ($BG$22:$BG$45*CC356), N($AU$22:$AU$45&gt;$AM356))
) / 1000</f>
        <v>0</v>
      </c>
      <c r="CF356" s="229">
        <f t="shared" si="570"/>
        <v>0</v>
      </c>
      <c r="CG356" s="246"/>
      <c r="CH356" s="229">
        <f t="shared" si="571"/>
        <v>0</v>
      </c>
      <c r="CI356" s="228">
        <v>35</v>
      </c>
      <c r="CJ356" s="229">
        <f t="shared" si="572"/>
        <v>48</v>
      </c>
      <c r="CK356" s="234">
        <f t="shared" si="573"/>
        <v>3.0748170731707316</v>
      </c>
      <c r="CL356" s="234" cm="1">
        <f t="array" ref="CL356">$BM356 * SUMPRODUCT(INDEX($AV$76:$AX$81,,$AI356),INDEX($AY$76:$BE$81,,$AH356), N($AU$76:$AU$81&gt;$AM356)) / CK356 / 1000</f>
        <v>0</v>
      </c>
      <c r="CM356" s="231">
        <f t="shared" si="591"/>
        <v>30</v>
      </c>
      <c r="CN356" s="229">
        <f t="shared" si="574"/>
        <v>43</v>
      </c>
      <c r="CO356" s="234">
        <f t="shared" si="575"/>
        <v>3.5018750000000001</v>
      </c>
      <c r="CP356" s="234" cm="1">
        <f t="array" ref="CP356">$BM356 * IF($AH356&lt;=2,
SUMPRODUCT(INDEX($AV$71:$AX$75,,$AI356), INDEX($AY$71:$BE$75,,$AH356), 1 / ($BF$71:$BF$75*CO356 + (1-$BF$71:$BF$75)*CK356), N($AU$71:$AU$75&gt;$AM356)),
SUMPRODUCT(INDEX($AV$66:$AX$75,,$AI356), INDEX($AY$66:$BE$75,,$AH356), 1 / ($BG$66:$BG$75*CO356 + (1-$BG$66:$BG$75)*CK356), N($AU$66:$AU$75&gt;$AM356))
) / 1000</f>
        <v>0</v>
      </c>
      <c r="CQ356" s="231">
        <f t="shared" si="592"/>
        <v>25</v>
      </c>
      <c r="CR356" s="229">
        <f t="shared" si="576"/>
        <v>38</v>
      </c>
      <c r="CS356" s="234">
        <f t="shared" si="577"/>
        <v>4.0666935483870965</v>
      </c>
      <c r="CT356" s="234" cm="1">
        <f t="array" ref="CT356">$BM356 * IF($AH356&lt;=2,
SUMPRODUCT(INDEX($AV$66:$AX$70,,$AI356), INDEX($AY$66:$BE$70,,$AH356), 1 / ($BF$66:$BF$70*CS356 + (1-$BF$66:$BF$70)*CO356), N($AU$66:$AU$70&gt;$AM356)),
SUMPRODUCT(INDEX($AV$56:$AX$65,,$AI356), INDEX($AY$56:$BE$65,,$AH356), 1 / ($BG$56:$BG$65*CS356 + (1-$BG$56:$BG$65)*CO356), N($AU$56:$AU$65&gt;$AM356))
) / 1000</f>
        <v>0</v>
      </c>
      <c r="CU356" s="231">
        <f t="shared" si="593"/>
        <v>20</v>
      </c>
      <c r="CV356" s="229">
        <f t="shared" si="578"/>
        <v>33</v>
      </c>
      <c r="CW356" s="234">
        <f t="shared" si="579"/>
        <v>4.8487499999999999</v>
      </c>
      <c r="CX356" s="234" cm="1">
        <f t="array" ref="CX356">$BM356 * IF($AH356&lt;=2,
SUMPRODUCT(INDEX($AV$61:$AX$65,,$AI356), INDEX($AY$61:$BE$65,,$AH356), 1 / ($BF$61:$BF$65*CW356 + (1-$BF$61:$BF$65)*CS356), N($AU$61:$AU$65&gt;$AM356)),
SUMPRODUCT(INDEX($AV$46:$AX$55,,$AI356), INDEX($AY$46:$BE$55,,$AH356), 1 / ($BG$46:$BG$55*CW356 + (1-$BG$46:$BG$55)*CS356), N($AU$46:$AU$55&gt;$AM356))
) / 1000</f>
        <v>0</v>
      </c>
      <c r="CY356" s="234" cm="1">
        <f t="array" ref="CY356">$BM356 * IF($AH356&lt;=2,
SUMPRODUCT(INDEX($AV$22:$AX$60,,$AI356), INDEX($AY$22:$BE$60,,$AH356), 1 / ($BF$22:$BF$60*CW356), N($AU$22:$AU$60&gt;$AM356)),
SUMPRODUCT(INDEX($AV$22:$AX$45,,$AI356), INDEX($AY$22:$BE$45,,$AH356), 1 / ($BG$22:$BG$45*CW356), N($AU$22:$AU$45&gt;$AM356))
) / 1000</f>
        <v>0</v>
      </c>
      <c r="CZ356" s="229">
        <f t="shared" si="580"/>
        <v>0</v>
      </c>
      <c r="DA356" s="246"/>
    </row>
    <row r="357" spans="1:105" s="75" customFormat="1" ht="14.25" customHeight="1" x14ac:dyDescent="0.2">
      <c r="A357" s="230" t="b">
        <f t="shared" si="585"/>
        <v>0</v>
      </c>
      <c r="B357" s="253">
        <v>336</v>
      </c>
      <c r="C357" s="266"/>
      <c r="D357" s="266"/>
      <c r="E357" s="254"/>
      <c r="F357" s="255" t="str">
        <f>IF(ISBLANK(E357), "", VLOOKUP(E357, Z!$A$2:$C$4127, 3, FALSE))</f>
        <v/>
      </c>
      <c r="G357" s="256"/>
      <c r="H357" s="256"/>
      <c r="I357" s="256"/>
      <c r="J357" s="257"/>
      <c r="K357" s="258"/>
      <c r="L357" s="267"/>
      <c r="M357" s="268"/>
      <c r="N357" s="259" t="str" cm="1">
        <f t="array" ref="N357">IF($L357&gt;0, INDEX(Clean,1+AK357,$D$1), "")</f>
        <v/>
      </c>
      <c r="O357" s="260"/>
      <c r="P357" s="260"/>
      <c r="Q357" s="261"/>
      <c r="R357" s="264">
        <f t="shared" si="556"/>
        <v>0</v>
      </c>
      <c r="S357" s="259" t="str" cm="1">
        <f t="array" ref="S357">IF($L357&gt;0, INDEX(Clean,1+AL357,$D$1), "")</f>
        <v/>
      </c>
      <c r="T357" s="260"/>
      <c r="U357" s="260"/>
      <c r="V357" s="261"/>
      <c r="W357" s="267"/>
      <c r="X357" s="267"/>
      <c r="Y357" s="257"/>
      <c r="Z357" s="264">
        <f t="shared" si="557"/>
        <v>0</v>
      </c>
      <c r="AA357" s="269"/>
      <c r="AB357" s="266"/>
      <c r="AC357" s="254"/>
      <c r="AD357" s="255" t="str">
        <f>IF(ISBLANK(AC357), "", VLOOKUP(AC357, Z!$A$2:$C$4127, 3, FALSE))</f>
        <v/>
      </c>
      <c r="AE357" s="270"/>
      <c r="AF357" s="265">
        <f t="shared" si="558"/>
        <v>0</v>
      </c>
      <c r="AG357" s="246"/>
      <c r="AH357" s="228">
        <f t="shared" si="581"/>
        <v>1</v>
      </c>
      <c r="AI357" s="228">
        <f t="shared" si="582"/>
        <v>1</v>
      </c>
      <c r="AJ357" s="228">
        <f t="shared" si="583"/>
        <v>0</v>
      </c>
      <c r="AK357" s="228">
        <v>0</v>
      </c>
      <c r="AL357" s="228">
        <v>0</v>
      </c>
      <c r="AM357" s="228">
        <f t="shared" si="559"/>
        <v>-100</v>
      </c>
      <c r="AN357" s="228" cm="1">
        <f t="array" ref="AN357">IF(ISBLANK(G357), 1, IFERROR(MATCH(G357, INDEX(Kat,,1), 0), IFERROR(MATCH(Kat, INDEX(Use,,2), 0), MATCH(Kat, INDEX(Use,,3), 0))))</f>
        <v>1</v>
      </c>
      <c r="AO357" s="246"/>
      <c r="AP357" s="228" cm="1">
        <f t="array" ref="AP357">IF(W357&gt;0, INDEX(Kat, AN357,4), 0)</f>
        <v>0</v>
      </c>
      <c r="AQ357" s="228">
        <f t="shared" si="584"/>
        <v>0</v>
      </c>
      <c r="AR357" s="228" cm="1">
        <f t="array" ref="AR357">IF(X357&gt;0, INDEX(Kat, $AN357, 4+AQ357), 0)</f>
        <v>0</v>
      </c>
      <c r="AS357" s="228" cm="1">
        <f t="array" ref="AS357">IF(X357&gt;0, INDEX(Kat, $AN357, 9+AQ357), 0)</f>
        <v>0</v>
      </c>
      <c r="AT357" s="246"/>
      <c r="AU357" s="262"/>
      <c r="AV357" s="262"/>
      <c r="AW357" s="263"/>
      <c r="AX357" s="263"/>
      <c r="AY357" s="263"/>
      <c r="AZ357" s="263"/>
      <c r="BA357" s="263"/>
      <c r="BB357" s="263"/>
      <c r="BC357" s="263"/>
      <c r="BD357" s="263"/>
      <c r="BE357" s="263"/>
      <c r="BF357" s="263"/>
      <c r="BG357" s="263"/>
      <c r="BH357" s="246"/>
      <c r="BI357" s="228" cm="1">
        <f t="array" ref="BI357">INDEX(Use, $AH357, 4)</f>
        <v>7</v>
      </c>
      <c r="BJ357" s="228">
        <f t="shared" si="560"/>
        <v>32</v>
      </c>
      <c r="BK357" s="228">
        <f t="shared" si="586"/>
        <v>13</v>
      </c>
      <c r="BL357" s="228">
        <f t="shared" si="587"/>
        <v>0</v>
      </c>
      <c r="BM357" s="233" cm="1">
        <f t="array" ref="BM357">L357/IF($M357&gt;0, INDEX($AY$22:$BE$76, $M357+20, $AH357), 1)</f>
        <v>0</v>
      </c>
      <c r="BN357" s="229">
        <f t="shared" si="561"/>
        <v>0</v>
      </c>
      <c r="BO357" s="228">
        <v>35</v>
      </c>
      <c r="BP357" s="229">
        <f t="shared" si="562"/>
        <v>48</v>
      </c>
      <c r="BQ357" s="234">
        <f t="shared" si="563"/>
        <v>3.0748170731707316</v>
      </c>
      <c r="BR357" s="234" cm="1">
        <f t="array" ref="BR357">$BM357 * SUMPRODUCT(INDEX($AV$76:$AX$81,,$AI357),INDEX($AY$76:$BE$81,,$AH357), N($AU$76:$AU$81&gt;$AM357)) / BQ357 / 1000</f>
        <v>0</v>
      </c>
      <c r="BS357" s="231">
        <f t="shared" si="588"/>
        <v>30</v>
      </c>
      <c r="BT357" s="229">
        <f t="shared" si="564"/>
        <v>43</v>
      </c>
      <c r="BU357" s="234">
        <f t="shared" si="565"/>
        <v>3.5018750000000001</v>
      </c>
      <c r="BV357" s="234" cm="1">
        <f t="array" ref="BV357">$BM357 * IF($AH357&lt;=2,
SUMPRODUCT(INDEX($AV$71:$AX$75,,$AI357), INDEX($AY$71:$BE$75,,$AH357), 1 / ($BF$71:$BF$75*BU357 + (1-$BF$71:$BF$75)*BQ357), N($AU$71:$AU$75&gt;$AM357)),
SUMPRODUCT(INDEX($AV$66:$AX$75,,$AI357), INDEX($AY$66:$BE$75,,$AH357), 1 / ($BG$66:$BG$75*BU357 + (1-$BG$66:$BG$75)*BQ357), N($AU$66:$AU$75&gt;$AM357))
) / 1000</f>
        <v>0</v>
      </c>
      <c r="BW357" s="231">
        <f t="shared" si="589"/>
        <v>25</v>
      </c>
      <c r="BX357" s="229">
        <f t="shared" si="566"/>
        <v>38</v>
      </c>
      <c r="BY357" s="234">
        <f t="shared" si="567"/>
        <v>4.0666935483870965</v>
      </c>
      <c r="BZ357" s="234" cm="1">
        <f t="array" ref="BZ357">$BM357 * IF($AH357&lt;=2,
SUMPRODUCT(INDEX($AV$66:$AX$70,,$AI357), INDEX($AY$66:$BE$70,,$AH357), 1 / ($BF$66:$BF$70*BY357 + (1-$BF$66:$BF$70)*BU357), N($AU$66:$AU$70&gt;$AM357)),
SUMPRODUCT(INDEX($AV$56:$AX$65,,$AI357), INDEX($AY$56:$BE$65,,$AH357), 1 / ($BG$56:$BG$65*BY357 + (1-$BG$56:$BG$65)*BU357), N($AU$56:$AU$65&gt;$AM357))
) / 1000</f>
        <v>0</v>
      </c>
      <c r="CA357" s="231">
        <f t="shared" si="590"/>
        <v>20</v>
      </c>
      <c r="CB357" s="229">
        <f t="shared" si="568"/>
        <v>33</v>
      </c>
      <c r="CC357" s="234">
        <f t="shared" si="569"/>
        <v>4.8487499999999999</v>
      </c>
      <c r="CD357" s="234" cm="1">
        <f t="array" ref="CD357">$BM357 * IF($AH357&lt;=2,
SUMPRODUCT(INDEX($AV$61:$AX$65,,$AI357), INDEX($AY$61:$BE$65,,$AH357), 1 / ($BF$61:$BF$65*CC357 + (1-$BF$61:$BF$65)*BY357), N($AU$61:$AU$65&gt;$AM357)),
SUMPRODUCT(INDEX($AV$46:$AX$55,,$AI357), INDEX($AY$46:$BE$55,,$AH357), 1 / ($BG$46:$BG$55*CC357 + (1-$BG$46:$BG$55)*BY357), N($AU$46:$AU$55&gt;$AM357))
) / 1000</f>
        <v>0</v>
      </c>
      <c r="CE357" s="234" cm="1">
        <f t="array" ref="CE357">$BM357 * IF($AH357&lt;=2,
SUMPRODUCT(INDEX($AV$22:$AX$60,,$AI357), INDEX($AY$22:$BE$60,,$AH357), 1 / ($BF$22:$BF$60*CC357), N($AU$22:$AU$60&gt;$AM357)),
SUMPRODUCT(INDEX($AV$22:$AX$45,,$AI357), INDEX($AY$22:$BE$45,,$AH357), 1 / ($BG$22:$BG$45*CC357), N($AU$22:$AU$45&gt;$AM357))
) / 1000</f>
        <v>0</v>
      </c>
      <c r="CF357" s="229">
        <f t="shared" si="570"/>
        <v>0</v>
      </c>
      <c r="CG357" s="246"/>
      <c r="CH357" s="229">
        <f t="shared" si="571"/>
        <v>0</v>
      </c>
      <c r="CI357" s="228">
        <v>35</v>
      </c>
      <c r="CJ357" s="229">
        <f t="shared" si="572"/>
        <v>48</v>
      </c>
      <c r="CK357" s="234">
        <f t="shared" si="573"/>
        <v>3.0748170731707316</v>
      </c>
      <c r="CL357" s="234" cm="1">
        <f t="array" ref="CL357">$BM357 * SUMPRODUCT(INDEX($AV$76:$AX$81,,$AI357),INDEX($AY$76:$BE$81,,$AH357), N($AU$76:$AU$81&gt;$AM357)) / CK357 / 1000</f>
        <v>0</v>
      </c>
      <c r="CM357" s="231">
        <f t="shared" si="591"/>
        <v>30</v>
      </c>
      <c r="CN357" s="229">
        <f t="shared" si="574"/>
        <v>43</v>
      </c>
      <c r="CO357" s="234">
        <f t="shared" si="575"/>
        <v>3.5018750000000001</v>
      </c>
      <c r="CP357" s="234" cm="1">
        <f t="array" ref="CP357">$BM357 * IF($AH357&lt;=2,
SUMPRODUCT(INDEX($AV$71:$AX$75,,$AI357), INDEX($AY$71:$BE$75,,$AH357), 1 / ($BF$71:$BF$75*CO357 + (1-$BF$71:$BF$75)*CK357), N($AU$71:$AU$75&gt;$AM357)),
SUMPRODUCT(INDEX($AV$66:$AX$75,,$AI357), INDEX($AY$66:$BE$75,,$AH357), 1 / ($BG$66:$BG$75*CO357 + (1-$BG$66:$BG$75)*CK357), N($AU$66:$AU$75&gt;$AM357))
) / 1000</f>
        <v>0</v>
      </c>
      <c r="CQ357" s="231">
        <f t="shared" si="592"/>
        <v>25</v>
      </c>
      <c r="CR357" s="229">
        <f t="shared" si="576"/>
        <v>38</v>
      </c>
      <c r="CS357" s="234">
        <f t="shared" si="577"/>
        <v>4.0666935483870965</v>
      </c>
      <c r="CT357" s="234" cm="1">
        <f t="array" ref="CT357">$BM357 * IF($AH357&lt;=2,
SUMPRODUCT(INDEX($AV$66:$AX$70,,$AI357), INDEX($AY$66:$BE$70,,$AH357), 1 / ($BF$66:$BF$70*CS357 + (1-$BF$66:$BF$70)*CO357), N($AU$66:$AU$70&gt;$AM357)),
SUMPRODUCT(INDEX($AV$56:$AX$65,,$AI357), INDEX($AY$56:$BE$65,,$AH357), 1 / ($BG$56:$BG$65*CS357 + (1-$BG$56:$BG$65)*CO357), N($AU$56:$AU$65&gt;$AM357))
) / 1000</f>
        <v>0</v>
      </c>
      <c r="CU357" s="231">
        <f t="shared" si="593"/>
        <v>20</v>
      </c>
      <c r="CV357" s="229">
        <f t="shared" si="578"/>
        <v>33</v>
      </c>
      <c r="CW357" s="234">
        <f t="shared" si="579"/>
        <v>4.8487499999999999</v>
      </c>
      <c r="CX357" s="234" cm="1">
        <f t="array" ref="CX357">$BM357 * IF($AH357&lt;=2,
SUMPRODUCT(INDEX($AV$61:$AX$65,,$AI357), INDEX($AY$61:$BE$65,,$AH357), 1 / ($BF$61:$BF$65*CW357 + (1-$BF$61:$BF$65)*CS357), N($AU$61:$AU$65&gt;$AM357)),
SUMPRODUCT(INDEX($AV$46:$AX$55,,$AI357), INDEX($AY$46:$BE$55,,$AH357), 1 / ($BG$46:$BG$55*CW357 + (1-$BG$46:$BG$55)*CS357), N($AU$46:$AU$55&gt;$AM357))
) / 1000</f>
        <v>0</v>
      </c>
      <c r="CY357" s="234" cm="1">
        <f t="array" ref="CY357">$BM357 * IF($AH357&lt;=2,
SUMPRODUCT(INDEX($AV$22:$AX$60,,$AI357), INDEX($AY$22:$BE$60,,$AH357), 1 / ($BF$22:$BF$60*CW357), N($AU$22:$AU$60&gt;$AM357)),
SUMPRODUCT(INDEX($AV$22:$AX$45,,$AI357), INDEX($AY$22:$BE$45,,$AH357), 1 / ($BG$22:$BG$45*CW357), N($AU$22:$AU$45&gt;$AM357))
) / 1000</f>
        <v>0</v>
      </c>
      <c r="CZ357" s="229">
        <f t="shared" si="580"/>
        <v>0</v>
      </c>
      <c r="DA357" s="246"/>
    </row>
    <row r="358" spans="1:105" s="75" customFormat="1" ht="14.25" customHeight="1" x14ac:dyDescent="0.2">
      <c r="A358" s="230" t="b">
        <f t="shared" si="585"/>
        <v>0</v>
      </c>
      <c r="B358" s="253">
        <v>337</v>
      </c>
      <c r="C358" s="266"/>
      <c r="D358" s="266"/>
      <c r="E358" s="254"/>
      <c r="F358" s="255" t="str">
        <f>IF(ISBLANK(E358), "", VLOOKUP(E358, Z!$A$2:$C$4127, 3, FALSE))</f>
        <v/>
      </c>
      <c r="G358" s="256"/>
      <c r="H358" s="256"/>
      <c r="I358" s="256"/>
      <c r="J358" s="257"/>
      <c r="K358" s="258"/>
      <c r="L358" s="267"/>
      <c r="M358" s="268"/>
      <c r="N358" s="259" t="str" cm="1">
        <f t="array" ref="N358">IF($L358&gt;0, INDEX(Clean,1+AK358,$D$1), "")</f>
        <v/>
      </c>
      <c r="O358" s="260"/>
      <c r="P358" s="260"/>
      <c r="Q358" s="261"/>
      <c r="R358" s="264">
        <f t="shared" si="556"/>
        <v>0</v>
      </c>
      <c r="S358" s="259" t="str" cm="1">
        <f t="array" ref="S358">IF($L358&gt;0, INDEX(Clean,1+AL358,$D$1), "")</f>
        <v/>
      </c>
      <c r="T358" s="260"/>
      <c r="U358" s="260"/>
      <c r="V358" s="261"/>
      <c r="W358" s="267"/>
      <c r="X358" s="267"/>
      <c r="Y358" s="257"/>
      <c r="Z358" s="264">
        <f t="shared" si="557"/>
        <v>0</v>
      </c>
      <c r="AA358" s="269"/>
      <c r="AB358" s="266"/>
      <c r="AC358" s="254"/>
      <c r="AD358" s="255" t="str">
        <f>IF(ISBLANK(AC358), "", VLOOKUP(AC358, Z!$A$2:$C$4127, 3, FALSE))</f>
        <v/>
      </c>
      <c r="AE358" s="270"/>
      <c r="AF358" s="265">
        <f t="shared" si="558"/>
        <v>0</v>
      </c>
      <c r="AG358" s="246"/>
      <c r="AH358" s="228">
        <f t="shared" si="581"/>
        <v>1</v>
      </c>
      <c r="AI358" s="228">
        <f t="shared" si="582"/>
        <v>1</v>
      </c>
      <c r="AJ358" s="228">
        <f t="shared" si="583"/>
        <v>0</v>
      </c>
      <c r="AK358" s="228">
        <v>0</v>
      </c>
      <c r="AL358" s="228">
        <v>0</v>
      </c>
      <c r="AM358" s="228">
        <f t="shared" si="559"/>
        <v>-100</v>
      </c>
      <c r="AN358" s="228" cm="1">
        <f t="array" ref="AN358">IF(ISBLANK(G358), 1, IFERROR(MATCH(G358, INDEX(Kat,,1), 0), IFERROR(MATCH(Kat, INDEX(Use,,2), 0), MATCH(Kat, INDEX(Use,,3), 0))))</f>
        <v>1</v>
      </c>
      <c r="AO358" s="246"/>
      <c r="AP358" s="228" cm="1">
        <f t="array" ref="AP358">IF(W358&gt;0, INDEX(Kat, AN358,4), 0)</f>
        <v>0</v>
      </c>
      <c r="AQ358" s="228">
        <f t="shared" si="584"/>
        <v>0</v>
      </c>
      <c r="AR358" s="228" cm="1">
        <f t="array" ref="AR358">IF(X358&gt;0, INDEX(Kat, $AN358, 4+AQ358), 0)</f>
        <v>0</v>
      </c>
      <c r="AS358" s="228" cm="1">
        <f t="array" ref="AS358">IF(X358&gt;0, INDEX(Kat, $AN358, 9+AQ358), 0)</f>
        <v>0</v>
      </c>
      <c r="AT358" s="246"/>
      <c r="AU358" s="262"/>
      <c r="AV358" s="262"/>
      <c r="AW358" s="263"/>
      <c r="AX358" s="263"/>
      <c r="AY358" s="263"/>
      <c r="AZ358" s="263"/>
      <c r="BA358" s="263"/>
      <c r="BB358" s="263"/>
      <c r="BC358" s="263"/>
      <c r="BD358" s="263"/>
      <c r="BE358" s="263"/>
      <c r="BF358" s="263"/>
      <c r="BG358" s="263"/>
      <c r="BH358" s="246"/>
      <c r="BI358" s="228" cm="1">
        <f t="array" ref="BI358">INDEX(Use, $AH358, 4)</f>
        <v>7</v>
      </c>
      <c r="BJ358" s="228">
        <f t="shared" si="560"/>
        <v>32</v>
      </c>
      <c r="BK358" s="228">
        <f t="shared" si="586"/>
        <v>13</v>
      </c>
      <c r="BL358" s="228">
        <f t="shared" si="587"/>
        <v>0</v>
      </c>
      <c r="BM358" s="233" cm="1">
        <f t="array" ref="BM358">L358/IF($M358&gt;0, INDEX($AY$22:$BE$76, $M358+20, $AH358), 1)</f>
        <v>0</v>
      </c>
      <c r="BN358" s="229">
        <f t="shared" si="561"/>
        <v>0</v>
      </c>
      <c r="BO358" s="228">
        <v>35</v>
      </c>
      <c r="BP358" s="229">
        <f t="shared" si="562"/>
        <v>48</v>
      </c>
      <c r="BQ358" s="234">
        <f t="shared" si="563"/>
        <v>3.0748170731707316</v>
      </c>
      <c r="BR358" s="234" cm="1">
        <f t="array" ref="BR358">$BM358 * SUMPRODUCT(INDEX($AV$76:$AX$81,,$AI358),INDEX($AY$76:$BE$81,,$AH358), N($AU$76:$AU$81&gt;$AM358)) / BQ358 / 1000</f>
        <v>0</v>
      </c>
      <c r="BS358" s="231">
        <f t="shared" si="588"/>
        <v>30</v>
      </c>
      <c r="BT358" s="229">
        <f t="shared" si="564"/>
        <v>43</v>
      </c>
      <c r="BU358" s="234">
        <f t="shared" si="565"/>
        <v>3.5018750000000001</v>
      </c>
      <c r="BV358" s="234" cm="1">
        <f t="array" ref="BV358">$BM358 * IF($AH358&lt;=2,
SUMPRODUCT(INDEX($AV$71:$AX$75,,$AI358), INDEX($AY$71:$BE$75,,$AH358), 1 / ($BF$71:$BF$75*BU358 + (1-$BF$71:$BF$75)*BQ358), N($AU$71:$AU$75&gt;$AM358)),
SUMPRODUCT(INDEX($AV$66:$AX$75,,$AI358), INDEX($AY$66:$BE$75,,$AH358), 1 / ($BG$66:$BG$75*BU358 + (1-$BG$66:$BG$75)*BQ358), N($AU$66:$AU$75&gt;$AM358))
) / 1000</f>
        <v>0</v>
      </c>
      <c r="BW358" s="231">
        <f t="shared" si="589"/>
        <v>25</v>
      </c>
      <c r="BX358" s="229">
        <f t="shared" si="566"/>
        <v>38</v>
      </c>
      <c r="BY358" s="234">
        <f t="shared" si="567"/>
        <v>4.0666935483870965</v>
      </c>
      <c r="BZ358" s="234" cm="1">
        <f t="array" ref="BZ358">$BM358 * IF($AH358&lt;=2,
SUMPRODUCT(INDEX($AV$66:$AX$70,,$AI358), INDEX($AY$66:$BE$70,,$AH358), 1 / ($BF$66:$BF$70*BY358 + (1-$BF$66:$BF$70)*BU358), N($AU$66:$AU$70&gt;$AM358)),
SUMPRODUCT(INDEX($AV$56:$AX$65,,$AI358), INDEX($AY$56:$BE$65,,$AH358), 1 / ($BG$56:$BG$65*BY358 + (1-$BG$56:$BG$65)*BU358), N($AU$56:$AU$65&gt;$AM358))
) / 1000</f>
        <v>0</v>
      </c>
      <c r="CA358" s="231">
        <f t="shared" si="590"/>
        <v>20</v>
      </c>
      <c r="CB358" s="229">
        <f t="shared" si="568"/>
        <v>33</v>
      </c>
      <c r="CC358" s="234">
        <f t="shared" si="569"/>
        <v>4.8487499999999999</v>
      </c>
      <c r="CD358" s="234" cm="1">
        <f t="array" ref="CD358">$BM358 * IF($AH358&lt;=2,
SUMPRODUCT(INDEX($AV$61:$AX$65,,$AI358), INDEX($AY$61:$BE$65,,$AH358), 1 / ($BF$61:$BF$65*CC358 + (1-$BF$61:$BF$65)*BY358), N($AU$61:$AU$65&gt;$AM358)),
SUMPRODUCT(INDEX($AV$46:$AX$55,,$AI358), INDEX($AY$46:$BE$55,,$AH358), 1 / ($BG$46:$BG$55*CC358 + (1-$BG$46:$BG$55)*BY358), N($AU$46:$AU$55&gt;$AM358))
) / 1000</f>
        <v>0</v>
      </c>
      <c r="CE358" s="234" cm="1">
        <f t="array" ref="CE358">$BM358 * IF($AH358&lt;=2,
SUMPRODUCT(INDEX($AV$22:$AX$60,,$AI358), INDEX($AY$22:$BE$60,,$AH358), 1 / ($BF$22:$BF$60*CC358), N($AU$22:$AU$60&gt;$AM358)),
SUMPRODUCT(INDEX($AV$22:$AX$45,,$AI358), INDEX($AY$22:$BE$45,,$AH358), 1 / ($BG$22:$BG$45*CC358), N($AU$22:$AU$45&gt;$AM358))
) / 1000</f>
        <v>0</v>
      </c>
      <c r="CF358" s="229">
        <f t="shared" si="570"/>
        <v>0</v>
      </c>
      <c r="CG358" s="246"/>
      <c r="CH358" s="229">
        <f t="shared" si="571"/>
        <v>0</v>
      </c>
      <c r="CI358" s="228">
        <v>35</v>
      </c>
      <c r="CJ358" s="229">
        <f t="shared" si="572"/>
        <v>48</v>
      </c>
      <c r="CK358" s="234">
        <f t="shared" si="573"/>
        <v>3.0748170731707316</v>
      </c>
      <c r="CL358" s="234" cm="1">
        <f t="array" ref="CL358">$BM358 * SUMPRODUCT(INDEX($AV$76:$AX$81,,$AI358),INDEX($AY$76:$BE$81,,$AH358), N($AU$76:$AU$81&gt;$AM358)) / CK358 / 1000</f>
        <v>0</v>
      </c>
      <c r="CM358" s="231">
        <f t="shared" si="591"/>
        <v>30</v>
      </c>
      <c r="CN358" s="229">
        <f t="shared" si="574"/>
        <v>43</v>
      </c>
      <c r="CO358" s="234">
        <f t="shared" si="575"/>
        <v>3.5018750000000001</v>
      </c>
      <c r="CP358" s="234" cm="1">
        <f t="array" ref="CP358">$BM358 * IF($AH358&lt;=2,
SUMPRODUCT(INDEX($AV$71:$AX$75,,$AI358), INDEX($AY$71:$BE$75,,$AH358), 1 / ($BF$71:$BF$75*CO358 + (1-$BF$71:$BF$75)*CK358), N($AU$71:$AU$75&gt;$AM358)),
SUMPRODUCT(INDEX($AV$66:$AX$75,,$AI358), INDEX($AY$66:$BE$75,,$AH358), 1 / ($BG$66:$BG$75*CO358 + (1-$BG$66:$BG$75)*CK358), N($AU$66:$AU$75&gt;$AM358))
) / 1000</f>
        <v>0</v>
      </c>
      <c r="CQ358" s="231">
        <f t="shared" si="592"/>
        <v>25</v>
      </c>
      <c r="CR358" s="229">
        <f t="shared" si="576"/>
        <v>38</v>
      </c>
      <c r="CS358" s="234">
        <f t="shared" si="577"/>
        <v>4.0666935483870965</v>
      </c>
      <c r="CT358" s="234" cm="1">
        <f t="array" ref="CT358">$BM358 * IF($AH358&lt;=2,
SUMPRODUCT(INDEX($AV$66:$AX$70,,$AI358), INDEX($AY$66:$BE$70,,$AH358), 1 / ($BF$66:$BF$70*CS358 + (1-$BF$66:$BF$70)*CO358), N($AU$66:$AU$70&gt;$AM358)),
SUMPRODUCT(INDEX($AV$56:$AX$65,,$AI358), INDEX($AY$56:$BE$65,,$AH358), 1 / ($BG$56:$BG$65*CS358 + (1-$BG$56:$BG$65)*CO358), N($AU$56:$AU$65&gt;$AM358))
) / 1000</f>
        <v>0</v>
      </c>
      <c r="CU358" s="231">
        <f t="shared" si="593"/>
        <v>20</v>
      </c>
      <c r="CV358" s="229">
        <f t="shared" si="578"/>
        <v>33</v>
      </c>
      <c r="CW358" s="234">
        <f t="shared" si="579"/>
        <v>4.8487499999999999</v>
      </c>
      <c r="CX358" s="234" cm="1">
        <f t="array" ref="CX358">$BM358 * IF($AH358&lt;=2,
SUMPRODUCT(INDEX($AV$61:$AX$65,,$AI358), INDEX($AY$61:$BE$65,,$AH358), 1 / ($BF$61:$BF$65*CW358 + (1-$BF$61:$BF$65)*CS358), N($AU$61:$AU$65&gt;$AM358)),
SUMPRODUCT(INDEX($AV$46:$AX$55,,$AI358), INDEX($AY$46:$BE$55,,$AH358), 1 / ($BG$46:$BG$55*CW358 + (1-$BG$46:$BG$55)*CS358), N($AU$46:$AU$55&gt;$AM358))
) / 1000</f>
        <v>0</v>
      </c>
      <c r="CY358" s="234" cm="1">
        <f t="array" ref="CY358">$BM358 * IF($AH358&lt;=2,
SUMPRODUCT(INDEX($AV$22:$AX$60,,$AI358), INDEX($AY$22:$BE$60,,$AH358), 1 / ($BF$22:$BF$60*CW358), N($AU$22:$AU$60&gt;$AM358)),
SUMPRODUCT(INDEX($AV$22:$AX$45,,$AI358), INDEX($AY$22:$BE$45,,$AH358), 1 / ($BG$22:$BG$45*CW358), N($AU$22:$AU$45&gt;$AM358))
) / 1000</f>
        <v>0</v>
      </c>
      <c r="CZ358" s="229">
        <f t="shared" si="580"/>
        <v>0</v>
      </c>
      <c r="DA358" s="246"/>
    </row>
    <row r="359" spans="1:105" s="75" customFormat="1" ht="14.25" customHeight="1" x14ac:dyDescent="0.2">
      <c r="A359" s="230" t="b">
        <f t="shared" si="585"/>
        <v>0</v>
      </c>
      <c r="B359" s="253">
        <v>338</v>
      </c>
      <c r="C359" s="266"/>
      <c r="D359" s="266"/>
      <c r="E359" s="254"/>
      <c r="F359" s="255" t="str">
        <f>IF(ISBLANK(E359), "", VLOOKUP(E359, Z!$A$2:$C$4127, 3, FALSE))</f>
        <v/>
      </c>
      <c r="G359" s="256"/>
      <c r="H359" s="256"/>
      <c r="I359" s="256"/>
      <c r="J359" s="257"/>
      <c r="K359" s="258"/>
      <c r="L359" s="267"/>
      <c r="M359" s="268"/>
      <c r="N359" s="259" t="str" cm="1">
        <f t="array" ref="N359">IF($L359&gt;0, INDEX(Clean,1+AK359,$D$1), "")</f>
        <v/>
      </c>
      <c r="O359" s="260"/>
      <c r="P359" s="260"/>
      <c r="Q359" s="261"/>
      <c r="R359" s="264">
        <f t="shared" si="556"/>
        <v>0</v>
      </c>
      <c r="S359" s="259" t="str" cm="1">
        <f t="array" ref="S359">IF($L359&gt;0, INDEX(Clean,1+AL359,$D$1), "")</f>
        <v/>
      </c>
      <c r="T359" s="260"/>
      <c r="U359" s="260"/>
      <c r="V359" s="261"/>
      <c r="W359" s="267"/>
      <c r="X359" s="267"/>
      <c r="Y359" s="257"/>
      <c r="Z359" s="264">
        <f t="shared" si="557"/>
        <v>0</v>
      </c>
      <c r="AA359" s="269"/>
      <c r="AB359" s="266"/>
      <c r="AC359" s="254"/>
      <c r="AD359" s="255" t="str">
        <f>IF(ISBLANK(AC359), "", VLOOKUP(AC359, Z!$A$2:$C$4127, 3, FALSE))</f>
        <v/>
      </c>
      <c r="AE359" s="270"/>
      <c r="AF359" s="265">
        <f t="shared" si="558"/>
        <v>0</v>
      </c>
      <c r="AG359" s="246"/>
      <c r="AH359" s="228">
        <f t="shared" si="581"/>
        <v>1</v>
      </c>
      <c r="AI359" s="228">
        <f t="shared" si="582"/>
        <v>1</v>
      </c>
      <c r="AJ359" s="228">
        <f t="shared" si="583"/>
        <v>0</v>
      </c>
      <c r="AK359" s="228">
        <v>0</v>
      </c>
      <c r="AL359" s="228">
        <v>0</v>
      </c>
      <c r="AM359" s="228">
        <f t="shared" si="559"/>
        <v>-100</v>
      </c>
      <c r="AN359" s="228" cm="1">
        <f t="array" ref="AN359">IF(ISBLANK(G359), 1, IFERROR(MATCH(G359, INDEX(Kat,,1), 0), IFERROR(MATCH(Kat, INDEX(Use,,2), 0), MATCH(Kat, INDEX(Use,,3), 0))))</f>
        <v>1</v>
      </c>
      <c r="AO359" s="246"/>
      <c r="AP359" s="228" cm="1">
        <f t="array" ref="AP359">IF(W359&gt;0, INDEX(Kat, AN359,4), 0)</f>
        <v>0</v>
      </c>
      <c r="AQ359" s="228">
        <f t="shared" si="584"/>
        <v>0</v>
      </c>
      <c r="AR359" s="228" cm="1">
        <f t="array" ref="AR359">IF(X359&gt;0, INDEX(Kat, $AN359, 4+AQ359), 0)</f>
        <v>0</v>
      </c>
      <c r="AS359" s="228" cm="1">
        <f t="array" ref="AS359">IF(X359&gt;0, INDEX(Kat, $AN359, 9+AQ359), 0)</f>
        <v>0</v>
      </c>
      <c r="AT359" s="246"/>
      <c r="AU359" s="262"/>
      <c r="AV359" s="262"/>
      <c r="AW359" s="263"/>
      <c r="AX359" s="263"/>
      <c r="AY359" s="263"/>
      <c r="AZ359" s="263"/>
      <c r="BA359" s="263"/>
      <c r="BB359" s="263"/>
      <c r="BC359" s="263"/>
      <c r="BD359" s="263"/>
      <c r="BE359" s="263"/>
      <c r="BF359" s="263"/>
      <c r="BG359" s="263"/>
      <c r="BH359" s="246"/>
      <c r="BI359" s="228" cm="1">
        <f t="array" ref="BI359">INDEX(Use, $AH359, 4)</f>
        <v>7</v>
      </c>
      <c r="BJ359" s="228">
        <f t="shared" si="560"/>
        <v>32</v>
      </c>
      <c r="BK359" s="228">
        <f t="shared" si="586"/>
        <v>13</v>
      </c>
      <c r="BL359" s="228">
        <f t="shared" si="587"/>
        <v>0</v>
      </c>
      <c r="BM359" s="233" cm="1">
        <f t="array" ref="BM359">L359/IF($M359&gt;0, INDEX($AY$22:$BE$76, $M359+20, $AH359), 1)</f>
        <v>0</v>
      </c>
      <c r="BN359" s="229">
        <f t="shared" si="561"/>
        <v>0</v>
      </c>
      <c r="BO359" s="228">
        <v>35</v>
      </c>
      <c r="BP359" s="229">
        <f t="shared" si="562"/>
        <v>48</v>
      </c>
      <c r="BQ359" s="234">
        <f t="shared" si="563"/>
        <v>3.0748170731707316</v>
      </c>
      <c r="BR359" s="234" cm="1">
        <f t="array" ref="BR359">$BM359 * SUMPRODUCT(INDEX($AV$76:$AX$81,,$AI359),INDEX($AY$76:$BE$81,,$AH359), N($AU$76:$AU$81&gt;$AM359)) / BQ359 / 1000</f>
        <v>0</v>
      </c>
      <c r="BS359" s="231">
        <f t="shared" si="588"/>
        <v>30</v>
      </c>
      <c r="BT359" s="229">
        <f t="shared" si="564"/>
        <v>43</v>
      </c>
      <c r="BU359" s="234">
        <f t="shared" si="565"/>
        <v>3.5018750000000001</v>
      </c>
      <c r="BV359" s="234" cm="1">
        <f t="array" ref="BV359">$BM359 * IF($AH359&lt;=2,
SUMPRODUCT(INDEX($AV$71:$AX$75,,$AI359), INDEX($AY$71:$BE$75,,$AH359), 1 / ($BF$71:$BF$75*BU359 + (1-$BF$71:$BF$75)*BQ359), N($AU$71:$AU$75&gt;$AM359)),
SUMPRODUCT(INDEX($AV$66:$AX$75,,$AI359), INDEX($AY$66:$BE$75,,$AH359), 1 / ($BG$66:$BG$75*BU359 + (1-$BG$66:$BG$75)*BQ359), N($AU$66:$AU$75&gt;$AM359))
) / 1000</f>
        <v>0</v>
      </c>
      <c r="BW359" s="231">
        <f t="shared" si="589"/>
        <v>25</v>
      </c>
      <c r="BX359" s="229">
        <f t="shared" si="566"/>
        <v>38</v>
      </c>
      <c r="BY359" s="234">
        <f t="shared" si="567"/>
        <v>4.0666935483870965</v>
      </c>
      <c r="BZ359" s="234" cm="1">
        <f t="array" ref="BZ359">$BM359 * IF($AH359&lt;=2,
SUMPRODUCT(INDEX($AV$66:$AX$70,,$AI359), INDEX($AY$66:$BE$70,,$AH359), 1 / ($BF$66:$BF$70*BY359 + (1-$BF$66:$BF$70)*BU359), N($AU$66:$AU$70&gt;$AM359)),
SUMPRODUCT(INDEX($AV$56:$AX$65,,$AI359), INDEX($AY$56:$BE$65,,$AH359), 1 / ($BG$56:$BG$65*BY359 + (1-$BG$56:$BG$65)*BU359), N($AU$56:$AU$65&gt;$AM359))
) / 1000</f>
        <v>0</v>
      </c>
      <c r="CA359" s="231">
        <f t="shared" si="590"/>
        <v>20</v>
      </c>
      <c r="CB359" s="229">
        <f t="shared" si="568"/>
        <v>33</v>
      </c>
      <c r="CC359" s="234">
        <f t="shared" si="569"/>
        <v>4.8487499999999999</v>
      </c>
      <c r="CD359" s="234" cm="1">
        <f t="array" ref="CD359">$BM359 * IF($AH359&lt;=2,
SUMPRODUCT(INDEX($AV$61:$AX$65,,$AI359), INDEX($AY$61:$BE$65,,$AH359), 1 / ($BF$61:$BF$65*CC359 + (1-$BF$61:$BF$65)*BY359), N($AU$61:$AU$65&gt;$AM359)),
SUMPRODUCT(INDEX($AV$46:$AX$55,,$AI359), INDEX($AY$46:$BE$55,,$AH359), 1 / ($BG$46:$BG$55*CC359 + (1-$BG$46:$BG$55)*BY359), N($AU$46:$AU$55&gt;$AM359))
) / 1000</f>
        <v>0</v>
      </c>
      <c r="CE359" s="234" cm="1">
        <f t="array" ref="CE359">$BM359 * IF($AH359&lt;=2,
SUMPRODUCT(INDEX($AV$22:$AX$60,,$AI359), INDEX($AY$22:$BE$60,,$AH359), 1 / ($BF$22:$BF$60*CC359), N($AU$22:$AU$60&gt;$AM359)),
SUMPRODUCT(INDEX($AV$22:$AX$45,,$AI359), INDEX($AY$22:$BE$45,,$AH359), 1 / ($BG$22:$BG$45*CC359), N($AU$22:$AU$45&gt;$AM359))
) / 1000</f>
        <v>0</v>
      </c>
      <c r="CF359" s="229">
        <f t="shared" si="570"/>
        <v>0</v>
      </c>
      <c r="CG359" s="246"/>
      <c r="CH359" s="229">
        <f t="shared" si="571"/>
        <v>0</v>
      </c>
      <c r="CI359" s="228">
        <v>35</v>
      </c>
      <c r="CJ359" s="229">
        <f t="shared" si="572"/>
        <v>48</v>
      </c>
      <c r="CK359" s="234">
        <f t="shared" si="573"/>
        <v>3.0748170731707316</v>
      </c>
      <c r="CL359" s="234" cm="1">
        <f t="array" ref="CL359">$BM359 * SUMPRODUCT(INDEX($AV$76:$AX$81,,$AI359),INDEX($AY$76:$BE$81,,$AH359), N($AU$76:$AU$81&gt;$AM359)) / CK359 / 1000</f>
        <v>0</v>
      </c>
      <c r="CM359" s="231">
        <f t="shared" si="591"/>
        <v>30</v>
      </c>
      <c r="CN359" s="229">
        <f t="shared" si="574"/>
        <v>43</v>
      </c>
      <c r="CO359" s="234">
        <f t="shared" si="575"/>
        <v>3.5018750000000001</v>
      </c>
      <c r="CP359" s="234" cm="1">
        <f t="array" ref="CP359">$BM359 * IF($AH359&lt;=2,
SUMPRODUCT(INDEX($AV$71:$AX$75,,$AI359), INDEX($AY$71:$BE$75,,$AH359), 1 / ($BF$71:$BF$75*CO359 + (1-$BF$71:$BF$75)*CK359), N($AU$71:$AU$75&gt;$AM359)),
SUMPRODUCT(INDEX($AV$66:$AX$75,,$AI359), INDEX($AY$66:$BE$75,,$AH359), 1 / ($BG$66:$BG$75*CO359 + (1-$BG$66:$BG$75)*CK359), N($AU$66:$AU$75&gt;$AM359))
) / 1000</f>
        <v>0</v>
      </c>
      <c r="CQ359" s="231">
        <f t="shared" si="592"/>
        <v>25</v>
      </c>
      <c r="CR359" s="229">
        <f t="shared" si="576"/>
        <v>38</v>
      </c>
      <c r="CS359" s="234">
        <f t="shared" si="577"/>
        <v>4.0666935483870965</v>
      </c>
      <c r="CT359" s="234" cm="1">
        <f t="array" ref="CT359">$BM359 * IF($AH359&lt;=2,
SUMPRODUCT(INDEX($AV$66:$AX$70,,$AI359), INDEX($AY$66:$BE$70,,$AH359), 1 / ($BF$66:$BF$70*CS359 + (1-$BF$66:$BF$70)*CO359), N($AU$66:$AU$70&gt;$AM359)),
SUMPRODUCT(INDEX($AV$56:$AX$65,,$AI359), INDEX($AY$56:$BE$65,,$AH359), 1 / ($BG$56:$BG$65*CS359 + (1-$BG$56:$BG$65)*CO359), N($AU$56:$AU$65&gt;$AM359))
) / 1000</f>
        <v>0</v>
      </c>
      <c r="CU359" s="231">
        <f t="shared" si="593"/>
        <v>20</v>
      </c>
      <c r="CV359" s="229">
        <f t="shared" si="578"/>
        <v>33</v>
      </c>
      <c r="CW359" s="234">
        <f t="shared" si="579"/>
        <v>4.8487499999999999</v>
      </c>
      <c r="CX359" s="234" cm="1">
        <f t="array" ref="CX359">$BM359 * IF($AH359&lt;=2,
SUMPRODUCT(INDEX($AV$61:$AX$65,,$AI359), INDEX($AY$61:$BE$65,,$AH359), 1 / ($BF$61:$BF$65*CW359 + (1-$BF$61:$BF$65)*CS359), N($AU$61:$AU$65&gt;$AM359)),
SUMPRODUCT(INDEX($AV$46:$AX$55,,$AI359), INDEX($AY$46:$BE$55,,$AH359), 1 / ($BG$46:$BG$55*CW359 + (1-$BG$46:$BG$55)*CS359), N($AU$46:$AU$55&gt;$AM359))
) / 1000</f>
        <v>0</v>
      </c>
      <c r="CY359" s="234" cm="1">
        <f t="array" ref="CY359">$BM359 * IF($AH359&lt;=2,
SUMPRODUCT(INDEX($AV$22:$AX$60,,$AI359), INDEX($AY$22:$BE$60,,$AH359), 1 / ($BF$22:$BF$60*CW359), N($AU$22:$AU$60&gt;$AM359)),
SUMPRODUCT(INDEX($AV$22:$AX$45,,$AI359), INDEX($AY$22:$BE$45,,$AH359), 1 / ($BG$22:$BG$45*CW359), N($AU$22:$AU$45&gt;$AM359))
) / 1000</f>
        <v>0</v>
      </c>
      <c r="CZ359" s="229">
        <f t="shared" si="580"/>
        <v>0</v>
      </c>
      <c r="DA359" s="246"/>
    </row>
    <row r="360" spans="1:105" s="75" customFormat="1" ht="14.25" customHeight="1" x14ac:dyDescent="0.2">
      <c r="A360" s="230" t="b">
        <f t="shared" si="585"/>
        <v>0</v>
      </c>
      <c r="B360" s="253">
        <v>339</v>
      </c>
      <c r="C360" s="266"/>
      <c r="D360" s="266"/>
      <c r="E360" s="254"/>
      <c r="F360" s="255" t="str">
        <f>IF(ISBLANK(E360), "", VLOOKUP(E360, Z!$A$2:$C$4127, 3, FALSE))</f>
        <v/>
      </c>
      <c r="G360" s="256"/>
      <c r="H360" s="256"/>
      <c r="I360" s="256"/>
      <c r="J360" s="257"/>
      <c r="K360" s="258"/>
      <c r="L360" s="267"/>
      <c r="M360" s="268"/>
      <c r="N360" s="259" t="str" cm="1">
        <f t="array" ref="N360">IF($L360&gt;0, INDEX(Clean,1+AK360,$D$1), "")</f>
        <v/>
      </c>
      <c r="O360" s="260"/>
      <c r="P360" s="260"/>
      <c r="Q360" s="261"/>
      <c r="R360" s="264">
        <f t="shared" si="556"/>
        <v>0</v>
      </c>
      <c r="S360" s="259" t="str" cm="1">
        <f t="array" ref="S360">IF($L360&gt;0, INDEX(Clean,1+AL360,$D$1), "")</f>
        <v/>
      </c>
      <c r="T360" s="260"/>
      <c r="U360" s="260"/>
      <c r="V360" s="261"/>
      <c r="W360" s="267"/>
      <c r="X360" s="267"/>
      <c r="Y360" s="257"/>
      <c r="Z360" s="264">
        <f t="shared" si="557"/>
        <v>0</v>
      </c>
      <c r="AA360" s="269"/>
      <c r="AB360" s="266"/>
      <c r="AC360" s="254"/>
      <c r="AD360" s="255" t="str">
        <f>IF(ISBLANK(AC360), "", VLOOKUP(AC360, Z!$A$2:$C$4127, 3, FALSE))</f>
        <v/>
      </c>
      <c r="AE360" s="270"/>
      <c r="AF360" s="265">
        <f t="shared" si="558"/>
        <v>0</v>
      </c>
      <c r="AG360" s="246"/>
      <c r="AH360" s="228">
        <f t="shared" si="581"/>
        <v>1</v>
      </c>
      <c r="AI360" s="228">
        <f t="shared" si="582"/>
        <v>1</v>
      </c>
      <c r="AJ360" s="228">
        <f t="shared" si="583"/>
        <v>0</v>
      </c>
      <c r="AK360" s="228">
        <v>0</v>
      </c>
      <c r="AL360" s="228">
        <v>0</v>
      </c>
      <c r="AM360" s="228">
        <f t="shared" si="559"/>
        <v>-100</v>
      </c>
      <c r="AN360" s="228" cm="1">
        <f t="array" ref="AN360">IF(ISBLANK(G360), 1, IFERROR(MATCH(G360, INDEX(Kat,,1), 0), IFERROR(MATCH(Kat, INDEX(Use,,2), 0), MATCH(Kat, INDEX(Use,,3), 0))))</f>
        <v>1</v>
      </c>
      <c r="AO360" s="246"/>
      <c r="AP360" s="228" cm="1">
        <f t="array" ref="AP360">IF(W360&gt;0, INDEX(Kat, AN360,4), 0)</f>
        <v>0</v>
      </c>
      <c r="AQ360" s="228">
        <f t="shared" si="584"/>
        <v>0</v>
      </c>
      <c r="AR360" s="228" cm="1">
        <f t="array" ref="AR360">IF(X360&gt;0, INDEX(Kat, $AN360, 4+AQ360), 0)</f>
        <v>0</v>
      </c>
      <c r="AS360" s="228" cm="1">
        <f t="array" ref="AS360">IF(X360&gt;0, INDEX(Kat, $AN360, 9+AQ360), 0)</f>
        <v>0</v>
      </c>
      <c r="AT360" s="246"/>
      <c r="AU360" s="262"/>
      <c r="AV360" s="262"/>
      <c r="AW360" s="263"/>
      <c r="AX360" s="263"/>
      <c r="AY360" s="263"/>
      <c r="AZ360" s="263"/>
      <c r="BA360" s="263"/>
      <c r="BB360" s="263"/>
      <c r="BC360" s="263"/>
      <c r="BD360" s="263"/>
      <c r="BE360" s="263"/>
      <c r="BF360" s="263"/>
      <c r="BG360" s="263"/>
      <c r="BH360" s="246"/>
      <c r="BI360" s="228" cm="1">
        <f t="array" ref="BI360">INDEX(Use, $AH360, 4)</f>
        <v>7</v>
      </c>
      <c r="BJ360" s="228">
        <f t="shared" si="560"/>
        <v>32</v>
      </c>
      <c r="BK360" s="228">
        <f t="shared" si="586"/>
        <v>13</v>
      </c>
      <c r="BL360" s="228">
        <f t="shared" si="587"/>
        <v>0</v>
      </c>
      <c r="BM360" s="233" cm="1">
        <f t="array" ref="BM360">L360/IF($M360&gt;0, INDEX($AY$22:$BE$76, $M360+20, $AH360), 1)</f>
        <v>0</v>
      </c>
      <c r="BN360" s="229">
        <f t="shared" si="561"/>
        <v>0</v>
      </c>
      <c r="BO360" s="228">
        <v>35</v>
      </c>
      <c r="BP360" s="229">
        <f t="shared" si="562"/>
        <v>48</v>
      </c>
      <c r="BQ360" s="234">
        <f t="shared" si="563"/>
        <v>3.0748170731707316</v>
      </c>
      <c r="BR360" s="234" cm="1">
        <f t="array" ref="BR360">$BM360 * SUMPRODUCT(INDEX($AV$76:$AX$81,,$AI360),INDEX($AY$76:$BE$81,,$AH360), N($AU$76:$AU$81&gt;$AM360)) / BQ360 / 1000</f>
        <v>0</v>
      </c>
      <c r="BS360" s="231">
        <f t="shared" si="588"/>
        <v>30</v>
      </c>
      <c r="BT360" s="229">
        <f t="shared" si="564"/>
        <v>43</v>
      </c>
      <c r="BU360" s="234">
        <f t="shared" si="565"/>
        <v>3.5018750000000001</v>
      </c>
      <c r="BV360" s="234" cm="1">
        <f t="array" ref="BV360">$BM360 * IF($AH360&lt;=2,
SUMPRODUCT(INDEX($AV$71:$AX$75,,$AI360), INDEX($AY$71:$BE$75,,$AH360), 1 / ($BF$71:$BF$75*BU360 + (1-$BF$71:$BF$75)*BQ360), N($AU$71:$AU$75&gt;$AM360)),
SUMPRODUCT(INDEX($AV$66:$AX$75,,$AI360), INDEX($AY$66:$BE$75,,$AH360), 1 / ($BG$66:$BG$75*BU360 + (1-$BG$66:$BG$75)*BQ360), N($AU$66:$AU$75&gt;$AM360))
) / 1000</f>
        <v>0</v>
      </c>
      <c r="BW360" s="231">
        <f t="shared" si="589"/>
        <v>25</v>
      </c>
      <c r="BX360" s="229">
        <f t="shared" si="566"/>
        <v>38</v>
      </c>
      <c r="BY360" s="234">
        <f t="shared" si="567"/>
        <v>4.0666935483870965</v>
      </c>
      <c r="BZ360" s="234" cm="1">
        <f t="array" ref="BZ360">$BM360 * IF($AH360&lt;=2,
SUMPRODUCT(INDEX($AV$66:$AX$70,,$AI360), INDEX($AY$66:$BE$70,,$AH360), 1 / ($BF$66:$BF$70*BY360 + (1-$BF$66:$BF$70)*BU360), N($AU$66:$AU$70&gt;$AM360)),
SUMPRODUCT(INDEX($AV$56:$AX$65,,$AI360), INDEX($AY$56:$BE$65,,$AH360), 1 / ($BG$56:$BG$65*BY360 + (1-$BG$56:$BG$65)*BU360), N($AU$56:$AU$65&gt;$AM360))
) / 1000</f>
        <v>0</v>
      </c>
      <c r="CA360" s="231">
        <f t="shared" si="590"/>
        <v>20</v>
      </c>
      <c r="CB360" s="229">
        <f t="shared" si="568"/>
        <v>33</v>
      </c>
      <c r="CC360" s="234">
        <f t="shared" si="569"/>
        <v>4.8487499999999999</v>
      </c>
      <c r="CD360" s="234" cm="1">
        <f t="array" ref="CD360">$BM360 * IF($AH360&lt;=2,
SUMPRODUCT(INDEX($AV$61:$AX$65,,$AI360), INDEX($AY$61:$BE$65,,$AH360), 1 / ($BF$61:$BF$65*CC360 + (1-$BF$61:$BF$65)*BY360), N($AU$61:$AU$65&gt;$AM360)),
SUMPRODUCT(INDEX($AV$46:$AX$55,,$AI360), INDEX($AY$46:$BE$55,,$AH360), 1 / ($BG$46:$BG$55*CC360 + (1-$BG$46:$BG$55)*BY360), N($AU$46:$AU$55&gt;$AM360))
) / 1000</f>
        <v>0</v>
      </c>
      <c r="CE360" s="234" cm="1">
        <f t="array" ref="CE360">$BM360 * IF($AH360&lt;=2,
SUMPRODUCT(INDEX($AV$22:$AX$60,,$AI360), INDEX($AY$22:$BE$60,,$AH360), 1 / ($BF$22:$BF$60*CC360), N($AU$22:$AU$60&gt;$AM360)),
SUMPRODUCT(INDEX($AV$22:$AX$45,,$AI360), INDEX($AY$22:$BE$45,,$AH360), 1 / ($BG$22:$BG$45*CC360), N($AU$22:$AU$45&gt;$AM360))
) / 1000</f>
        <v>0</v>
      </c>
      <c r="CF360" s="229">
        <f t="shared" si="570"/>
        <v>0</v>
      </c>
      <c r="CG360" s="246"/>
      <c r="CH360" s="229">
        <f t="shared" si="571"/>
        <v>0</v>
      </c>
      <c r="CI360" s="228">
        <v>35</v>
      </c>
      <c r="CJ360" s="229">
        <f t="shared" si="572"/>
        <v>48</v>
      </c>
      <c r="CK360" s="234">
        <f t="shared" si="573"/>
        <v>3.0748170731707316</v>
      </c>
      <c r="CL360" s="234" cm="1">
        <f t="array" ref="CL360">$BM360 * SUMPRODUCT(INDEX($AV$76:$AX$81,,$AI360),INDEX($AY$76:$BE$81,,$AH360), N($AU$76:$AU$81&gt;$AM360)) / CK360 / 1000</f>
        <v>0</v>
      </c>
      <c r="CM360" s="231">
        <f t="shared" si="591"/>
        <v>30</v>
      </c>
      <c r="CN360" s="229">
        <f t="shared" si="574"/>
        <v>43</v>
      </c>
      <c r="CO360" s="234">
        <f t="shared" si="575"/>
        <v>3.5018750000000001</v>
      </c>
      <c r="CP360" s="234" cm="1">
        <f t="array" ref="CP360">$BM360 * IF($AH360&lt;=2,
SUMPRODUCT(INDEX($AV$71:$AX$75,,$AI360), INDEX($AY$71:$BE$75,,$AH360), 1 / ($BF$71:$BF$75*CO360 + (1-$BF$71:$BF$75)*CK360), N($AU$71:$AU$75&gt;$AM360)),
SUMPRODUCT(INDEX($AV$66:$AX$75,,$AI360), INDEX($AY$66:$BE$75,,$AH360), 1 / ($BG$66:$BG$75*CO360 + (1-$BG$66:$BG$75)*CK360), N($AU$66:$AU$75&gt;$AM360))
) / 1000</f>
        <v>0</v>
      </c>
      <c r="CQ360" s="231">
        <f t="shared" si="592"/>
        <v>25</v>
      </c>
      <c r="CR360" s="229">
        <f t="shared" si="576"/>
        <v>38</v>
      </c>
      <c r="CS360" s="234">
        <f t="shared" si="577"/>
        <v>4.0666935483870965</v>
      </c>
      <c r="CT360" s="234" cm="1">
        <f t="array" ref="CT360">$BM360 * IF($AH360&lt;=2,
SUMPRODUCT(INDEX($AV$66:$AX$70,,$AI360), INDEX($AY$66:$BE$70,,$AH360), 1 / ($BF$66:$BF$70*CS360 + (1-$BF$66:$BF$70)*CO360), N($AU$66:$AU$70&gt;$AM360)),
SUMPRODUCT(INDEX($AV$56:$AX$65,,$AI360), INDEX($AY$56:$BE$65,,$AH360), 1 / ($BG$56:$BG$65*CS360 + (1-$BG$56:$BG$65)*CO360), N($AU$56:$AU$65&gt;$AM360))
) / 1000</f>
        <v>0</v>
      </c>
      <c r="CU360" s="231">
        <f t="shared" si="593"/>
        <v>20</v>
      </c>
      <c r="CV360" s="229">
        <f t="shared" si="578"/>
        <v>33</v>
      </c>
      <c r="CW360" s="234">
        <f t="shared" si="579"/>
        <v>4.8487499999999999</v>
      </c>
      <c r="CX360" s="234" cm="1">
        <f t="array" ref="CX360">$BM360 * IF($AH360&lt;=2,
SUMPRODUCT(INDEX($AV$61:$AX$65,,$AI360), INDEX($AY$61:$BE$65,,$AH360), 1 / ($BF$61:$BF$65*CW360 + (1-$BF$61:$BF$65)*CS360), N($AU$61:$AU$65&gt;$AM360)),
SUMPRODUCT(INDEX($AV$46:$AX$55,,$AI360), INDEX($AY$46:$BE$55,,$AH360), 1 / ($BG$46:$BG$55*CW360 + (1-$BG$46:$BG$55)*CS360), N($AU$46:$AU$55&gt;$AM360))
) / 1000</f>
        <v>0</v>
      </c>
      <c r="CY360" s="234" cm="1">
        <f t="array" ref="CY360">$BM360 * IF($AH360&lt;=2,
SUMPRODUCT(INDEX($AV$22:$AX$60,,$AI360), INDEX($AY$22:$BE$60,,$AH360), 1 / ($BF$22:$BF$60*CW360), N($AU$22:$AU$60&gt;$AM360)),
SUMPRODUCT(INDEX($AV$22:$AX$45,,$AI360), INDEX($AY$22:$BE$45,,$AH360), 1 / ($BG$22:$BG$45*CW360), N($AU$22:$AU$45&gt;$AM360))
) / 1000</f>
        <v>0</v>
      </c>
      <c r="CZ360" s="229">
        <f t="shared" si="580"/>
        <v>0</v>
      </c>
      <c r="DA360" s="246"/>
    </row>
    <row r="361" spans="1:105" s="75" customFormat="1" ht="14.25" customHeight="1" x14ac:dyDescent="0.2">
      <c r="A361" s="230" t="b">
        <f t="shared" si="585"/>
        <v>0</v>
      </c>
      <c r="B361" s="253">
        <v>340</v>
      </c>
      <c r="C361" s="266"/>
      <c r="D361" s="266"/>
      <c r="E361" s="254"/>
      <c r="F361" s="255" t="str">
        <f>IF(ISBLANK(E361), "", VLOOKUP(E361, Z!$A$2:$C$4127, 3, FALSE))</f>
        <v/>
      </c>
      <c r="G361" s="256"/>
      <c r="H361" s="256"/>
      <c r="I361" s="256"/>
      <c r="J361" s="257"/>
      <c r="K361" s="258"/>
      <c r="L361" s="267"/>
      <c r="M361" s="268"/>
      <c r="N361" s="259" t="str" cm="1">
        <f t="array" ref="N361">IF($L361&gt;0, INDEX(Clean,1+AK361,$D$1), "")</f>
        <v/>
      </c>
      <c r="O361" s="260"/>
      <c r="P361" s="260"/>
      <c r="Q361" s="261"/>
      <c r="R361" s="264">
        <f t="shared" si="556"/>
        <v>0</v>
      </c>
      <c r="S361" s="259" t="str" cm="1">
        <f t="array" ref="S361">IF($L361&gt;0, INDEX(Clean,1+AL361,$D$1), "")</f>
        <v/>
      </c>
      <c r="T361" s="260"/>
      <c r="U361" s="260"/>
      <c r="V361" s="261"/>
      <c r="W361" s="267"/>
      <c r="X361" s="267"/>
      <c r="Y361" s="257"/>
      <c r="Z361" s="264">
        <f t="shared" si="557"/>
        <v>0</v>
      </c>
      <c r="AA361" s="269"/>
      <c r="AB361" s="266"/>
      <c r="AC361" s="254"/>
      <c r="AD361" s="255" t="str">
        <f>IF(ISBLANK(AC361), "", VLOOKUP(AC361, Z!$A$2:$C$4127, 3, FALSE))</f>
        <v/>
      </c>
      <c r="AE361" s="270"/>
      <c r="AF361" s="265">
        <f t="shared" si="558"/>
        <v>0</v>
      </c>
      <c r="AG361" s="246"/>
      <c r="AH361" s="228">
        <f t="shared" si="581"/>
        <v>1</v>
      </c>
      <c r="AI361" s="228">
        <f t="shared" si="582"/>
        <v>1</v>
      </c>
      <c r="AJ361" s="228">
        <f t="shared" si="583"/>
        <v>0</v>
      </c>
      <c r="AK361" s="228">
        <v>0</v>
      </c>
      <c r="AL361" s="228">
        <v>0</v>
      </c>
      <c r="AM361" s="228">
        <f t="shared" si="559"/>
        <v>-100</v>
      </c>
      <c r="AN361" s="228" cm="1">
        <f t="array" ref="AN361">IF(ISBLANK(G361), 1, IFERROR(MATCH(G361, INDEX(Kat,,1), 0), IFERROR(MATCH(Kat, INDEX(Use,,2), 0), MATCH(Kat, INDEX(Use,,3), 0))))</f>
        <v>1</v>
      </c>
      <c r="AO361" s="246"/>
      <c r="AP361" s="228" cm="1">
        <f t="array" ref="AP361">IF(W361&gt;0, INDEX(Kat, AN361,4), 0)</f>
        <v>0</v>
      </c>
      <c r="AQ361" s="228">
        <f t="shared" si="584"/>
        <v>0</v>
      </c>
      <c r="AR361" s="228" cm="1">
        <f t="array" ref="AR361">IF(X361&gt;0, INDEX(Kat, $AN361, 4+AQ361), 0)</f>
        <v>0</v>
      </c>
      <c r="AS361" s="228" cm="1">
        <f t="array" ref="AS361">IF(X361&gt;0, INDEX(Kat, $AN361, 9+AQ361), 0)</f>
        <v>0</v>
      </c>
      <c r="AT361" s="246"/>
      <c r="AU361" s="262"/>
      <c r="AV361" s="262"/>
      <c r="AW361" s="263"/>
      <c r="AX361" s="263"/>
      <c r="AY361" s="263"/>
      <c r="AZ361" s="263"/>
      <c r="BA361" s="263"/>
      <c r="BB361" s="263"/>
      <c r="BC361" s="263"/>
      <c r="BD361" s="263"/>
      <c r="BE361" s="263"/>
      <c r="BF361" s="263"/>
      <c r="BG361" s="263"/>
      <c r="BH361" s="246"/>
      <c r="BI361" s="228" cm="1">
        <f t="array" ref="BI361">INDEX(Use, $AH361, 4)</f>
        <v>7</v>
      </c>
      <c r="BJ361" s="228">
        <f t="shared" si="560"/>
        <v>32</v>
      </c>
      <c r="BK361" s="228">
        <f t="shared" si="586"/>
        <v>13</v>
      </c>
      <c r="BL361" s="228">
        <f t="shared" si="587"/>
        <v>0</v>
      </c>
      <c r="BM361" s="233" cm="1">
        <f t="array" ref="BM361">L361/IF($M361&gt;0, INDEX($AY$22:$BE$76, $M361+20, $AH361), 1)</f>
        <v>0</v>
      </c>
      <c r="BN361" s="229">
        <f t="shared" si="561"/>
        <v>0</v>
      </c>
      <c r="BO361" s="228">
        <v>35</v>
      </c>
      <c r="BP361" s="229">
        <f t="shared" si="562"/>
        <v>48</v>
      </c>
      <c r="BQ361" s="234">
        <f t="shared" si="563"/>
        <v>3.0748170731707316</v>
      </c>
      <c r="BR361" s="234" cm="1">
        <f t="array" ref="BR361">$BM361 * SUMPRODUCT(INDEX($AV$76:$AX$81,,$AI361),INDEX($AY$76:$BE$81,,$AH361), N($AU$76:$AU$81&gt;$AM361)) / BQ361 / 1000</f>
        <v>0</v>
      </c>
      <c r="BS361" s="231">
        <f t="shared" si="588"/>
        <v>30</v>
      </c>
      <c r="BT361" s="229">
        <f t="shared" si="564"/>
        <v>43</v>
      </c>
      <c r="BU361" s="234">
        <f t="shared" si="565"/>
        <v>3.5018750000000001</v>
      </c>
      <c r="BV361" s="234" cm="1">
        <f t="array" ref="BV361">$BM361 * IF($AH361&lt;=2,
SUMPRODUCT(INDEX($AV$71:$AX$75,,$AI361), INDEX($AY$71:$BE$75,,$AH361), 1 / ($BF$71:$BF$75*BU361 + (1-$BF$71:$BF$75)*BQ361), N($AU$71:$AU$75&gt;$AM361)),
SUMPRODUCT(INDEX($AV$66:$AX$75,,$AI361), INDEX($AY$66:$BE$75,,$AH361), 1 / ($BG$66:$BG$75*BU361 + (1-$BG$66:$BG$75)*BQ361), N($AU$66:$AU$75&gt;$AM361))
) / 1000</f>
        <v>0</v>
      </c>
      <c r="BW361" s="231">
        <f t="shared" si="589"/>
        <v>25</v>
      </c>
      <c r="BX361" s="229">
        <f t="shared" si="566"/>
        <v>38</v>
      </c>
      <c r="BY361" s="234">
        <f t="shared" si="567"/>
        <v>4.0666935483870965</v>
      </c>
      <c r="BZ361" s="234" cm="1">
        <f t="array" ref="BZ361">$BM361 * IF($AH361&lt;=2,
SUMPRODUCT(INDEX($AV$66:$AX$70,,$AI361), INDEX($AY$66:$BE$70,,$AH361), 1 / ($BF$66:$BF$70*BY361 + (1-$BF$66:$BF$70)*BU361), N($AU$66:$AU$70&gt;$AM361)),
SUMPRODUCT(INDEX($AV$56:$AX$65,,$AI361), INDEX($AY$56:$BE$65,,$AH361), 1 / ($BG$56:$BG$65*BY361 + (1-$BG$56:$BG$65)*BU361), N($AU$56:$AU$65&gt;$AM361))
) / 1000</f>
        <v>0</v>
      </c>
      <c r="CA361" s="231">
        <f t="shared" si="590"/>
        <v>20</v>
      </c>
      <c r="CB361" s="229">
        <f t="shared" si="568"/>
        <v>33</v>
      </c>
      <c r="CC361" s="234">
        <f t="shared" si="569"/>
        <v>4.8487499999999999</v>
      </c>
      <c r="CD361" s="234" cm="1">
        <f t="array" ref="CD361">$BM361 * IF($AH361&lt;=2,
SUMPRODUCT(INDEX($AV$61:$AX$65,,$AI361), INDEX($AY$61:$BE$65,,$AH361), 1 / ($BF$61:$BF$65*CC361 + (1-$BF$61:$BF$65)*BY361), N($AU$61:$AU$65&gt;$AM361)),
SUMPRODUCT(INDEX($AV$46:$AX$55,,$AI361), INDEX($AY$46:$BE$55,,$AH361), 1 / ($BG$46:$BG$55*CC361 + (1-$BG$46:$BG$55)*BY361), N($AU$46:$AU$55&gt;$AM361))
) / 1000</f>
        <v>0</v>
      </c>
      <c r="CE361" s="234" cm="1">
        <f t="array" ref="CE361">$BM361 * IF($AH361&lt;=2,
SUMPRODUCT(INDEX($AV$22:$AX$60,,$AI361), INDEX($AY$22:$BE$60,,$AH361), 1 / ($BF$22:$BF$60*CC361), N($AU$22:$AU$60&gt;$AM361)),
SUMPRODUCT(INDEX($AV$22:$AX$45,,$AI361), INDEX($AY$22:$BE$45,,$AH361), 1 / ($BG$22:$BG$45*CC361), N($AU$22:$AU$45&gt;$AM361))
) / 1000</f>
        <v>0</v>
      </c>
      <c r="CF361" s="229">
        <f t="shared" si="570"/>
        <v>0</v>
      </c>
      <c r="CG361" s="246"/>
      <c r="CH361" s="229">
        <f t="shared" si="571"/>
        <v>0</v>
      </c>
      <c r="CI361" s="228">
        <v>35</v>
      </c>
      <c r="CJ361" s="229">
        <f t="shared" si="572"/>
        <v>48</v>
      </c>
      <c r="CK361" s="234">
        <f t="shared" si="573"/>
        <v>3.0748170731707316</v>
      </c>
      <c r="CL361" s="234" cm="1">
        <f t="array" ref="CL361">$BM361 * SUMPRODUCT(INDEX($AV$76:$AX$81,,$AI361),INDEX($AY$76:$BE$81,,$AH361), N($AU$76:$AU$81&gt;$AM361)) / CK361 / 1000</f>
        <v>0</v>
      </c>
      <c r="CM361" s="231">
        <f t="shared" si="591"/>
        <v>30</v>
      </c>
      <c r="CN361" s="229">
        <f t="shared" si="574"/>
        <v>43</v>
      </c>
      <c r="CO361" s="234">
        <f t="shared" si="575"/>
        <v>3.5018750000000001</v>
      </c>
      <c r="CP361" s="234" cm="1">
        <f t="array" ref="CP361">$BM361 * IF($AH361&lt;=2,
SUMPRODUCT(INDEX($AV$71:$AX$75,,$AI361), INDEX($AY$71:$BE$75,,$AH361), 1 / ($BF$71:$BF$75*CO361 + (1-$BF$71:$BF$75)*CK361), N($AU$71:$AU$75&gt;$AM361)),
SUMPRODUCT(INDEX($AV$66:$AX$75,,$AI361), INDEX($AY$66:$BE$75,,$AH361), 1 / ($BG$66:$BG$75*CO361 + (1-$BG$66:$BG$75)*CK361), N($AU$66:$AU$75&gt;$AM361))
) / 1000</f>
        <v>0</v>
      </c>
      <c r="CQ361" s="231">
        <f t="shared" si="592"/>
        <v>25</v>
      </c>
      <c r="CR361" s="229">
        <f t="shared" si="576"/>
        <v>38</v>
      </c>
      <c r="CS361" s="234">
        <f t="shared" si="577"/>
        <v>4.0666935483870965</v>
      </c>
      <c r="CT361" s="234" cm="1">
        <f t="array" ref="CT361">$BM361 * IF($AH361&lt;=2,
SUMPRODUCT(INDEX($AV$66:$AX$70,,$AI361), INDEX($AY$66:$BE$70,,$AH361), 1 / ($BF$66:$BF$70*CS361 + (1-$BF$66:$BF$70)*CO361), N($AU$66:$AU$70&gt;$AM361)),
SUMPRODUCT(INDEX($AV$56:$AX$65,,$AI361), INDEX($AY$56:$BE$65,,$AH361), 1 / ($BG$56:$BG$65*CS361 + (1-$BG$56:$BG$65)*CO361), N($AU$56:$AU$65&gt;$AM361))
) / 1000</f>
        <v>0</v>
      </c>
      <c r="CU361" s="231">
        <f t="shared" si="593"/>
        <v>20</v>
      </c>
      <c r="CV361" s="229">
        <f t="shared" si="578"/>
        <v>33</v>
      </c>
      <c r="CW361" s="234">
        <f t="shared" si="579"/>
        <v>4.8487499999999999</v>
      </c>
      <c r="CX361" s="234" cm="1">
        <f t="array" ref="CX361">$BM361 * IF($AH361&lt;=2,
SUMPRODUCT(INDEX($AV$61:$AX$65,,$AI361), INDEX($AY$61:$BE$65,,$AH361), 1 / ($BF$61:$BF$65*CW361 + (1-$BF$61:$BF$65)*CS361), N($AU$61:$AU$65&gt;$AM361)),
SUMPRODUCT(INDEX($AV$46:$AX$55,,$AI361), INDEX($AY$46:$BE$55,,$AH361), 1 / ($BG$46:$BG$55*CW361 + (1-$BG$46:$BG$55)*CS361), N($AU$46:$AU$55&gt;$AM361))
) / 1000</f>
        <v>0</v>
      </c>
      <c r="CY361" s="234" cm="1">
        <f t="array" ref="CY361">$BM361 * IF($AH361&lt;=2,
SUMPRODUCT(INDEX($AV$22:$AX$60,,$AI361), INDEX($AY$22:$BE$60,,$AH361), 1 / ($BF$22:$BF$60*CW361), N($AU$22:$AU$60&gt;$AM361)),
SUMPRODUCT(INDEX($AV$22:$AX$45,,$AI361), INDEX($AY$22:$BE$45,,$AH361), 1 / ($BG$22:$BG$45*CW361), N($AU$22:$AU$45&gt;$AM361))
) / 1000</f>
        <v>0</v>
      </c>
      <c r="CZ361" s="229">
        <f t="shared" si="580"/>
        <v>0</v>
      </c>
      <c r="DA361" s="246"/>
    </row>
    <row r="362" spans="1:105" s="75" customFormat="1" ht="14.25" customHeight="1" x14ac:dyDescent="0.2">
      <c r="A362" s="230" t="b">
        <f t="shared" si="585"/>
        <v>0</v>
      </c>
      <c r="B362" s="253">
        <v>341</v>
      </c>
      <c r="C362" s="266"/>
      <c r="D362" s="266"/>
      <c r="E362" s="254"/>
      <c r="F362" s="255" t="str">
        <f>IF(ISBLANK(E362), "", VLOOKUP(E362, Z!$A$2:$C$4127, 3, FALSE))</f>
        <v/>
      </c>
      <c r="G362" s="256"/>
      <c r="H362" s="256"/>
      <c r="I362" s="256"/>
      <c r="J362" s="257"/>
      <c r="K362" s="258"/>
      <c r="L362" s="267"/>
      <c r="M362" s="268"/>
      <c r="N362" s="259" t="str" cm="1">
        <f t="array" ref="N362">IF($L362&gt;0, INDEX(Clean,1+AK362,$D$1), "")</f>
        <v/>
      </c>
      <c r="O362" s="260"/>
      <c r="P362" s="260"/>
      <c r="Q362" s="261"/>
      <c r="R362" s="264">
        <f t="shared" si="556"/>
        <v>0</v>
      </c>
      <c r="S362" s="259" t="str" cm="1">
        <f t="array" ref="S362">IF($L362&gt;0, INDEX(Clean,1+AL362,$D$1), "")</f>
        <v/>
      </c>
      <c r="T362" s="260"/>
      <c r="U362" s="260"/>
      <c r="V362" s="261"/>
      <c r="W362" s="267"/>
      <c r="X362" s="267"/>
      <c r="Y362" s="257"/>
      <c r="Z362" s="264">
        <f t="shared" si="557"/>
        <v>0</v>
      </c>
      <c r="AA362" s="269"/>
      <c r="AB362" s="266"/>
      <c r="AC362" s="254"/>
      <c r="AD362" s="255" t="str">
        <f>IF(ISBLANK(AC362), "", VLOOKUP(AC362, Z!$A$2:$C$4127, 3, FALSE))</f>
        <v/>
      </c>
      <c r="AE362" s="270"/>
      <c r="AF362" s="265">
        <f t="shared" si="558"/>
        <v>0</v>
      </c>
      <c r="AG362" s="246"/>
      <c r="AH362" s="228">
        <f t="shared" si="581"/>
        <v>1</v>
      </c>
      <c r="AI362" s="228">
        <f t="shared" si="582"/>
        <v>1</v>
      </c>
      <c r="AJ362" s="228">
        <f t="shared" si="583"/>
        <v>0</v>
      </c>
      <c r="AK362" s="228">
        <v>0</v>
      </c>
      <c r="AL362" s="228">
        <v>0</v>
      </c>
      <c r="AM362" s="228">
        <f t="shared" si="559"/>
        <v>-100</v>
      </c>
      <c r="AN362" s="228" cm="1">
        <f t="array" ref="AN362">IF(ISBLANK(G362), 1, IFERROR(MATCH(G362, INDEX(Kat,,1), 0), IFERROR(MATCH(Kat, INDEX(Use,,2), 0), MATCH(Kat, INDEX(Use,,3), 0))))</f>
        <v>1</v>
      </c>
      <c r="AO362" s="246"/>
      <c r="AP362" s="228" cm="1">
        <f t="array" ref="AP362">IF(W362&gt;0, INDEX(Kat, AN362,4), 0)</f>
        <v>0</v>
      </c>
      <c r="AQ362" s="228">
        <f t="shared" si="584"/>
        <v>0</v>
      </c>
      <c r="AR362" s="228" cm="1">
        <f t="array" ref="AR362">IF(X362&gt;0, INDEX(Kat, $AN362, 4+AQ362), 0)</f>
        <v>0</v>
      </c>
      <c r="AS362" s="228" cm="1">
        <f t="array" ref="AS362">IF(X362&gt;0, INDEX(Kat, $AN362, 9+AQ362), 0)</f>
        <v>0</v>
      </c>
      <c r="AT362" s="246"/>
      <c r="AU362" s="262"/>
      <c r="AV362" s="262"/>
      <c r="AW362" s="263"/>
      <c r="AX362" s="263"/>
      <c r="AY362" s="263"/>
      <c r="AZ362" s="263"/>
      <c r="BA362" s="263"/>
      <c r="BB362" s="263"/>
      <c r="BC362" s="263"/>
      <c r="BD362" s="263"/>
      <c r="BE362" s="263"/>
      <c r="BF362" s="263"/>
      <c r="BG362" s="263"/>
      <c r="BH362" s="246"/>
      <c r="BI362" s="228" cm="1">
        <f t="array" ref="BI362">INDEX(Use, $AH362, 4)</f>
        <v>7</v>
      </c>
      <c r="BJ362" s="228">
        <f t="shared" si="560"/>
        <v>32</v>
      </c>
      <c r="BK362" s="228">
        <f t="shared" si="586"/>
        <v>13</v>
      </c>
      <c r="BL362" s="228">
        <f t="shared" si="587"/>
        <v>0</v>
      </c>
      <c r="BM362" s="233" cm="1">
        <f t="array" ref="BM362">L362/IF($M362&gt;0, INDEX($AY$22:$BE$76, $M362+20, $AH362), 1)</f>
        <v>0</v>
      </c>
      <c r="BN362" s="229">
        <f t="shared" si="561"/>
        <v>0</v>
      </c>
      <c r="BO362" s="228">
        <v>35</v>
      </c>
      <c r="BP362" s="229">
        <f t="shared" si="562"/>
        <v>48</v>
      </c>
      <c r="BQ362" s="234">
        <f t="shared" si="563"/>
        <v>3.0748170731707316</v>
      </c>
      <c r="BR362" s="234" cm="1">
        <f t="array" ref="BR362">$BM362 * SUMPRODUCT(INDEX($AV$76:$AX$81,,$AI362),INDEX($AY$76:$BE$81,,$AH362), N($AU$76:$AU$81&gt;$AM362)) / BQ362 / 1000</f>
        <v>0</v>
      </c>
      <c r="BS362" s="231">
        <f t="shared" si="588"/>
        <v>30</v>
      </c>
      <c r="BT362" s="229">
        <f t="shared" si="564"/>
        <v>43</v>
      </c>
      <c r="BU362" s="234">
        <f t="shared" si="565"/>
        <v>3.5018750000000001</v>
      </c>
      <c r="BV362" s="234" cm="1">
        <f t="array" ref="BV362">$BM362 * IF($AH362&lt;=2,
SUMPRODUCT(INDEX($AV$71:$AX$75,,$AI362), INDEX($AY$71:$BE$75,,$AH362), 1 / ($BF$71:$BF$75*BU362 + (1-$BF$71:$BF$75)*BQ362), N($AU$71:$AU$75&gt;$AM362)),
SUMPRODUCT(INDEX($AV$66:$AX$75,,$AI362), INDEX($AY$66:$BE$75,,$AH362), 1 / ($BG$66:$BG$75*BU362 + (1-$BG$66:$BG$75)*BQ362), N($AU$66:$AU$75&gt;$AM362))
) / 1000</f>
        <v>0</v>
      </c>
      <c r="BW362" s="231">
        <f t="shared" si="589"/>
        <v>25</v>
      </c>
      <c r="BX362" s="229">
        <f t="shared" si="566"/>
        <v>38</v>
      </c>
      <c r="BY362" s="234">
        <f t="shared" si="567"/>
        <v>4.0666935483870965</v>
      </c>
      <c r="BZ362" s="234" cm="1">
        <f t="array" ref="BZ362">$BM362 * IF($AH362&lt;=2,
SUMPRODUCT(INDEX($AV$66:$AX$70,,$AI362), INDEX($AY$66:$BE$70,,$AH362), 1 / ($BF$66:$BF$70*BY362 + (1-$BF$66:$BF$70)*BU362), N($AU$66:$AU$70&gt;$AM362)),
SUMPRODUCT(INDEX($AV$56:$AX$65,,$AI362), INDEX($AY$56:$BE$65,,$AH362), 1 / ($BG$56:$BG$65*BY362 + (1-$BG$56:$BG$65)*BU362), N($AU$56:$AU$65&gt;$AM362))
) / 1000</f>
        <v>0</v>
      </c>
      <c r="CA362" s="231">
        <f t="shared" si="590"/>
        <v>20</v>
      </c>
      <c r="CB362" s="229">
        <f t="shared" si="568"/>
        <v>33</v>
      </c>
      <c r="CC362" s="234">
        <f t="shared" si="569"/>
        <v>4.8487499999999999</v>
      </c>
      <c r="CD362" s="234" cm="1">
        <f t="array" ref="CD362">$BM362 * IF($AH362&lt;=2,
SUMPRODUCT(INDEX($AV$61:$AX$65,,$AI362), INDEX($AY$61:$BE$65,,$AH362), 1 / ($BF$61:$BF$65*CC362 + (1-$BF$61:$BF$65)*BY362), N($AU$61:$AU$65&gt;$AM362)),
SUMPRODUCT(INDEX($AV$46:$AX$55,,$AI362), INDEX($AY$46:$BE$55,,$AH362), 1 / ($BG$46:$BG$55*CC362 + (1-$BG$46:$BG$55)*BY362), N($AU$46:$AU$55&gt;$AM362))
) / 1000</f>
        <v>0</v>
      </c>
      <c r="CE362" s="234" cm="1">
        <f t="array" ref="CE362">$BM362 * IF($AH362&lt;=2,
SUMPRODUCT(INDEX($AV$22:$AX$60,,$AI362), INDEX($AY$22:$BE$60,,$AH362), 1 / ($BF$22:$BF$60*CC362), N($AU$22:$AU$60&gt;$AM362)),
SUMPRODUCT(INDEX($AV$22:$AX$45,,$AI362), INDEX($AY$22:$BE$45,,$AH362), 1 / ($BG$22:$BG$45*CC362), N($AU$22:$AU$45&gt;$AM362))
) / 1000</f>
        <v>0</v>
      </c>
      <c r="CF362" s="229">
        <f t="shared" si="570"/>
        <v>0</v>
      </c>
      <c r="CG362" s="246"/>
      <c r="CH362" s="229">
        <f t="shared" si="571"/>
        <v>0</v>
      </c>
      <c r="CI362" s="228">
        <v>35</v>
      </c>
      <c r="CJ362" s="229">
        <f t="shared" si="572"/>
        <v>48</v>
      </c>
      <c r="CK362" s="234">
        <f t="shared" si="573"/>
        <v>3.0748170731707316</v>
      </c>
      <c r="CL362" s="234" cm="1">
        <f t="array" ref="CL362">$BM362 * SUMPRODUCT(INDEX($AV$76:$AX$81,,$AI362),INDEX($AY$76:$BE$81,,$AH362), N($AU$76:$AU$81&gt;$AM362)) / CK362 / 1000</f>
        <v>0</v>
      </c>
      <c r="CM362" s="231">
        <f t="shared" si="591"/>
        <v>30</v>
      </c>
      <c r="CN362" s="229">
        <f t="shared" si="574"/>
        <v>43</v>
      </c>
      <c r="CO362" s="234">
        <f t="shared" si="575"/>
        <v>3.5018750000000001</v>
      </c>
      <c r="CP362" s="234" cm="1">
        <f t="array" ref="CP362">$BM362 * IF($AH362&lt;=2,
SUMPRODUCT(INDEX($AV$71:$AX$75,,$AI362), INDEX($AY$71:$BE$75,,$AH362), 1 / ($BF$71:$BF$75*CO362 + (1-$BF$71:$BF$75)*CK362), N($AU$71:$AU$75&gt;$AM362)),
SUMPRODUCT(INDEX($AV$66:$AX$75,,$AI362), INDEX($AY$66:$BE$75,,$AH362), 1 / ($BG$66:$BG$75*CO362 + (1-$BG$66:$BG$75)*CK362), N($AU$66:$AU$75&gt;$AM362))
) / 1000</f>
        <v>0</v>
      </c>
      <c r="CQ362" s="231">
        <f t="shared" si="592"/>
        <v>25</v>
      </c>
      <c r="CR362" s="229">
        <f t="shared" si="576"/>
        <v>38</v>
      </c>
      <c r="CS362" s="234">
        <f t="shared" si="577"/>
        <v>4.0666935483870965</v>
      </c>
      <c r="CT362" s="234" cm="1">
        <f t="array" ref="CT362">$BM362 * IF($AH362&lt;=2,
SUMPRODUCT(INDEX($AV$66:$AX$70,,$AI362), INDEX($AY$66:$BE$70,,$AH362), 1 / ($BF$66:$BF$70*CS362 + (1-$BF$66:$BF$70)*CO362), N($AU$66:$AU$70&gt;$AM362)),
SUMPRODUCT(INDEX($AV$56:$AX$65,,$AI362), INDEX($AY$56:$BE$65,,$AH362), 1 / ($BG$56:$BG$65*CS362 + (1-$BG$56:$BG$65)*CO362), N($AU$56:$AU$65&gt;$AM362))
) / 1000</f>
        <v>0</v>
      </c>
      <c r="CU362" s="231">
        <f t="shared" si="593"/>
        <v>20</v>
      </c>
      <c r="CV362" s="229">
        <f t="shared" si="578"/>
        <v>33</v>
      </c>
      <c r="CW362" s="234">
        <f t="shared" si="579"/>
        <v>4.8487499999999999</v>
      </c>
      <c r="CX362" s="234" cm="1">
        <f t="array" ref="CX362">$BM362 * IF($AH362&lt;=2,
SUMPRODUCT(INDEX($AV$61:$AX$65,,$AI362), INDEX($AY$61:$BE$65,,$AH362), 1 / ($BF$61:$BF$65*CW362 + (1-$BF$61:$BF$65)*CS362), N($AU$61:$AU$65&gt;$AM362)),
SUMPRODUCT(INDEX($AV$46:$AX$55,,$AI362), INDEX($AY$46:$BE$55,,$AH362), 1 / ($BG$46:$BG$55*CW362 + (1-$BG$46:$BG$55)*CS362), N($AU$46:$AU$55&gt;$AM362))
) / 1000</f>
        <v>0</v>
      </c>
      <c r="CY362" s="234" cm="1">
        <f t="array" ref="CY362">$BM362 * IF($AH362&lt;=2,
SUMPRODUCT(INDEX($AV$22:$AX$60,,$AI362), INDEX($AY$22:$BE$60,,$AH362), 1 / ($BF$22:$BF$60*CW362), N($AU$22:$AU$60&gt;$AM362)),
SUMPRODUCT(INDEX($AV$22:$AX$45,,$AI362), INDEX($AY$22:$BE$45,,$AH362), 1 / ($BG$22:$BG$45*CW362), N($AU$22:$AU$45&gt;$AM362))
) / 1000</f>
        <v>0</v>
      </c>
      <c r="CZ362" s="229">
        <f t="shared" si="580"/>
        <v>0</v>
      </c>
      <c r="DA362" s="246"/>
    </row>
    <row r="363" spans="1:105" s="75" customFormat="1" ht="14.25" customHeight="1" x14ac:dyDescent="0.2">
      <c r="A363" s="230" t="b">
        <f t="shared" si="585"/>
        <v>0</v>
      </c>
      <c r="B363" s="253">
        <v>342</v>
      </c>
      <c r="C363" s="266"/>
      <c r="D363" s="266"/>
      <c r="E363" s="254"/>
      <c r="F363" s="255" t="str">
        <f>IF(ISBLANK(E363), "", VLOOKUP(E363, Z!$A$2:$C$4127, 3, FALSE))</f>
        <v/>
      </c>
      <c r="G363" s="256"/>
      <c r="H363" s="256"/>
      <c r="I363" s="256"/>
      <c r="J363" s="257"/>
      <c r="K363" s="258"/>
      <c r="L363" s="267"/>
      <c r="M363" s="268"/>
      <c r="N363" s="259" t="str" cm="1">
        <f t="array" ref="N363">IF($L363&gt;0, INDEX(Clean,1+AK363,$D$1), "")</f>
        <v/>
      </c>
      <c r="O363" s="260"/>
      <c r="P363" s="260"/>
      <c r="Q363" s="261"/>
      <c r="R363" s="264">
        <f t="shared" si="556"/>
        <v>0</v>
      </c>
      <c r="S363" s="259" t="str" cm="1">
        <f t="array" ref="S363">IF($L363&gt;0, INDEX(Clean,1+AL363,$D$1), "")</f>
        <v/>
      </c>
      <c r="T363" s="260"/>
      <c r="U363" s="260"/>
      <c r="V363" s="261"/>
      <c r="W363" s="267"/>
      <c r="X363" s="267"/>
      <c r="Y363" s="257"/>
      <c r="Z363" s="264">
        <f t="shared" si="557"/>
        <v>0</v>
      </c>
      <c r="AA363" s="269"/>
      <c r="AB363" s="266"/>
      <c r="AC363" s="254"/>
      <c r="AD363" s="255" t="str">
        <f>IF(ISBLANK(AC363), "", VLOOKUP(AC363, Z!$A$2:$C$4127, 3, FALSE))</f>
        <v/>
      </c>
      <c r="AE363" s="270"/>
      <c r="AF363" s="265">
        <f t="shared" si="558"/>
        <v>0</v>
      </c>
      <c r="AG363" s="246"/>
      <c r="AH363" s="228">
        <f t="shared" si="581"/>
        <v>1</v>
      </c>
      <c r="AI363" s="228">
        <f t="shared" si="582"/>
        <v>1</v>
      </c>
      <c r="AJ363" s="228">
        <f t="shared" si="583"/>
        <v>0</v>
      </c>
      <c r="AK363" s="228">
        <v>0</v>
      </c>
      <c r="AL363" s="228">
        <v>0</v>
      </c>
      <c r="AM363" s="228">
        <f t="shared" si="559"/>
        <v>-100</v>
      </c>
      <c r="AN363" s="228" cm="1">
        <f t="array" ref="AN363">IF(ISBLANK(G363), 1, IFERROR(MATCH(G363, INDEX(Kat,,1), 0), IFERROR(MATCH(Kat, INDEX(Use,,2), 0), MATCH(Kat, INDEX(Use,,3), 0))))</f>
        <v>1</v>
      </c>
      <c r="AO363" s="246"/>
      <c r="AP363" s="228" cm="1">
        <f t="array" ref="AP363">IF(W363&gt;0, INDEX(Kat, AN363,4), 0)</f>
        <v>0</v>
      </c>
      <c r="AQ363" s="228">
        <f t="shared" si="584"/>
        <v>0</v>
      </c>
      <c r="AR363" s="228" cm="1">
        <f t="array" ref="AR363">IF(X363&gt;0, INDEX(Kat, $AN363, 4+AQ363), 0)</f>
        <v>0</v>
      </c>
      <c r="AS363" s="228" cm="1">
        <f t="array" ref="AS363">IF(X363&gt;0, INDEX(Kat, $AN363, 9+AQ363), 0)</f>
        <v>0</v>
      </c>
      <c r="AT363" s="246"/>
      <c r="AU363" s="262"/>
      <c r="AV363" s="262"/>
      <c r="AW363" s="263"/>
      <c r="AX363" s="263"/>
      <c r="AY363" s="263"/>
      <c r="AZ363" s="263"/>
      <c r="BA363" s="263"/>
      <c r="BB363" s="263"/>
      <c r="BC363" s="263"/>
      <c r="BD363" s="263"/>
      <c r="BE363" s="263"/>
      <c r="BF363" s="263"/>
      <c r="BG363" s="263"/>
      <c r="BH363" s="246"/>
      <c r="BI363" s="228" cm="1">
        <f t="array" ref="BI363">INDEX(Use, $AH363, 4)</f>
        <v>7</v>
      </c>
      <c r="BJ363" s="228">
        <f t="shared" si="560"/>
        <v>32</v>
      </c>
      <c r="BK363" s="228">
        <f t="shared" si="586"/>
        <v>13</v>
      </c>
      <c r="BL363" s="228">
        <f t="shared" si="587"/>
        <v>0</v>
      </c>
      <c r="BM363" s="233" cm="1">
        <f t="array" ref="BM363">L363/IF($M363&gt;0, INDEX($AY$22:$BE$76, $M363+20, $AH363), 1)</f>
        <v>0</v>
      </c>
      <c r="BN363" s="229">
        <f t="shared" si="561"/>
        <v>0</v>
      </c>
      <c r="BO363" s="228">
        <v>35</v>
      </c>
      <c r="BP363" s="229">
        <f t="shared" si="562"/>
        <v>48</v>
      </c>
      <c r="BQ363" s="234">
        <f t="shared" si="563"/>
        <v>3.0748170731707316</v>
      </c>
      <c r="BR363" s="234" cm="1">
        <f t="array" ref="BR363">$BM363 * SUMPRODUCT(INDEX($AV$76:$AX$81,,$AI363),INDEX($AY$76:$BE$81,,$AH363), N($AU$76:$AU$81&gt;$AM363)) / BQ363 / 1000</f>
        <v>0</v>
      </c>
      <c r="BS363" s="231">
        <f t="shared" si="588"/>
        <v>30</v>
      </c>
      <c r="BT363" s="229">
        <f t="shared" si="564"/>
        <v>43</v>
      </c>
      <c r="BU363" s="234">
        <f t="shared" si="565"/>
        <v>3.5018750000000001</v>
      </c>
      <c r="BV363" s="234" cm="1">
        <f t="array" ref="BV363">$BM363 * IF($AH363&lt;=2,
SUMPRODUCT(INDEX($AV$71:$AX$75,,$AI363), INDEX($AY$71:$BE$75,,$AH363), 1 / ($BF$71:$BF$75*BU363 + (1-$BF$71:$BF$75)*BQ363), N($AU$71:$AU$75&gt;$AM363)),
SUMPRODUCT(INDEX($AV$66:$AX$75,,$AI363), INDEX($AY$66:$BE$75,,$AH363), 1 / ($BG$66:$BG$75*BU363 + (1-$BG$66:$BG$75)*BQ363), N($AU$66:$AU$75&gt;$AM363))
) / 1000</f>
        <v>0</v>
      </c>
      <c r="BW363" s="231">
        <f t="shared" si="589"/>
        <v>25</v>
      </c>
      <c r="BX363" s="229">
        <f t="shared" si="566"/>
        <v>38</v>
      </c>
      <c r="BY363" s="234">
        <f t="shared" si="567"/>
        <v>4.0666935483870965</v>
      </c>
      <c r="BZ363" s="234" cm="1">
        <f t="array" ref="BZ363">$BM363 * IF($AH363&lt;=2,
SUMPRODUCT(INDEX($AV$66:$AX$70,,$AI363), INDEX($AY$66:$BE$70,,$AH363), 1 / ($BF$66:$BF$70*BY363 + (1-$BF$66:$BF$70)*BU363), N($AU$66:$AU$70&gt;$AM363)),
SUMPRODUCT(INDEX($AV$56:$AX$65,,$AI363), INDEX($AY$56:$BE$65,,$AH363), 1 / ($BG$56:$BG$65*BY363 + (1-$BG$56:$BG$65)*BU363), N($AU$56:$AU$65&gt;$AM363))
) / 1000</f>
        <v>0</v>
      </c>
      <c r="CA363" s="231">
        <f t="shared" si="590"/>
        <v>20</v>
      </c>
      <c r="CB363" s="229">
        <f t="shared" si="568"/>
        <v>33</v>
      </c>
      <c r="CC363" s="234">
        <f t="shared" si="569"/>
        <v>4.8487499999999999</v>
      </c>
      <c r="CD363" s="234" cm="1">
        <f t="array" ref="CD363">$BM363 * IF($AH363&lt;=2,
SUMPRODUCT(INDEX($AV$61:$AX$65,,$AI363), INDEX($AY$61:$BE$65,,$AH363), 1 / ($BF$61:$BF$65*CC363 + (1-$BF$61:$BF$65)*BY363), N($AU$61:$AU$65&gt;$AM363)),
SUMPRODUCT(INDEX($AV$46:$AX$55,,$AI363), INDEX($AY$46:$BE$55,,$AH363), 1 / ($BG$46:$BG$55*CC363 + (1-$BG$46:$BG$55)*BY363), N($AU$46:$AU$55&gt;$AM363))
) / 1000</f>
        <v>0</v>
      </c>
      <c r="CE363" s="234" cm="1">
        <f t="array" ref="CE363">$BM363 * IF($AH363&lt;=2,
SUMPRODUCT(INDEX($AV$22:$AX$60,,$AI363), INDEX($AY$22:$BE$60,,$AH363), 1 / ($BF$22:$BF$60*CC363), N($AU$22:$AU$60&gt;$AM363)),
SUMPRODUCT(INDEX($AV$22:$AX$45,,$AI363), INDEX($AY$22:$BE$45,,$AH363), 1 / ($BG$22:$BG$45*CC363), N($AU$22:$AU$45&gt;$AM363))
) / 1000</f>
        <v>0</v>
      </c>
      <c r="CF363" s="229">
        <f t="shared" si="570"/>
        <v>0</v>
      </c>
      <c r="CG363" s="246"/>
      <c r="CH363" s="229">
        <f t="shared" si="571"/>
        <v>0</v>
      </c>
      <c r="CI363" s="228">
        <v>35</v>
      </c>
      <c r="CJ363" s="229">
        <f t="shared" si="572"/>
        <v>48</v>
      </c>
      <c r="CK363" s="234">
        <f t="shared" si="573"/>
        <v>3.0748170731707316</v>
      </c>
      <c r="CL363" s="234" cm="1">
        <f t="array" ref="CL363">$BM363 * SUMPRODUCT(INDEX($AV$76:$AX$81,,$AI363),INDEX($AY$76:$BE$81,,$AH363), N($AU$76:$AU$81&gt;$AM363)) / CK363 / 1000</f>
        <v>0</v>
      </c>
      <c r="CM363" s="231">
        <f t="shared" si="591"/>
        <v>30</v>
      </c>
      <c r="CN363" s="229">
        <f t="shared" si="574"/>
        <v>43</v>
      </c>
      <c r="CO363" s="234">
        <f t="shared" si="575"/>
        <v>3.5018750000000001</v>
      </c>
      <c r="CP363" s="234" cm="1">
        <f t="array" ref="CP363">$BM363 * IF($AH363&lt;=2,
SUMPRODUCT(INDEX($AV$71:$AX$75,,$AI363), INDEX($AY$71:$BE$75,,$AH363), 1 / ($BF$71:$BF$75*CO363 + (1-$BF$71:$BF$75)*CK363), N($AU$71:$AU$75&gt;$AM363)),
SUMPRODUCT(INDEX($AV$66:$AX$75,,$AI363), INDEX($AY$66:$BE$75,,$AH363), 1 / ($BG$66:$BG$75*CO363 + (1-$BG$66:$BG$75)*CK363), N($AU$66:$AU$75&gt;$AM363))
) / 1000</f>
        <v>0</v>
      </c>
      <c r="CQ363" s="231">
        <f t="shared" si="592"/>
        <v>25</v>
      </c>
      <c r="CR363" s="229">
        <f t="shared" si="576"/>
        <v>38</v>
      </c>
      <c r="CS363" s="234">
        <f t="shared" si="577"/>
        <v>4.0666935483870965</v>
      </c>
      <c r="CT363" s="234" cm="1">
        <f t="array" ref="CT363">$BM363 * IF($AH363&lt;=2,
SUMPRODUCT(INDEX($AV$66:$AX$70,,$AI363), INDEX($AY$66:$BE$70,,$AH363), 1 / ($BF$66:$BF$70*CS363 + (1-$BF$66:$BF$70)*CO363), N($AU$66:$AU$70&gt;$AM363)),
SUMPRODUCT(INDEX($AV$56:$AX$65,,$AI363), INDEX($AY$56:$BE$65,,$AH363), 1 / ($BG$56:$BG$65*CS363 + (1-$BG$56:$BG$65)*CO363), N($AU$56:$AU$65&gt;$AM363))
) / 1000</f>
        <v>0</v>
      </c>
      <c r="CU363" s="231">
        <f t="shared" si="593"/>
        <v>20</v>
      </c>
      <c r="CV363" s="229">
        <f t="shared" si="578"/>
        <v>33</v>
      </c>
      <c r="CW363" s="234">
        <f t="shared" si="579"/>
        <v>4.8487499999999999</v>
      </c>
      <c r="CX363" s="234" cm="1">
        <f t="array" ref="CX363">$BM363 * IF($AH363&lt;=2,
SUMPRODUCT(INDEX($AV$61:$AX$65,,$AI363), INDEX($AY$61:$BE$65,,$AH363), 1 / ($BF$61:$BF$65*CW363 + (1-$BF$61:$BF$65)*CS363), N($AU$61:$AU$65&gt;$AM363)),
SUMPRODUCT(INDEX($AV$46:$AX$55,,$AI363), INDEX($AY$46:$BE$55,,$AH363), 1 / ($BG$46:$BG$55*CW363 + (1-$BG$46:$BG$55)*CS363), N($AU$46:$AU$55&gt;$AM363))
) / 1000</f>
        <v>0</v>
      </c>
      <c r="CY363" s="234" cm="1">
        <f t="array" ref="CY363">$BM363 * IF($AH363&lt;=2,
SUMPRODUCT(INDEX($AV$22:$AX$60,,$AI363), INDEX($AY$22:$BE$60,,$AH363), 1 / ($BF$22:$BF$60*CW363), N($AU$22:$AU$60&gt;$AM363)),
SUMPRODUCT(INDEX($AV$22:$AX$45,,$AI363), INDEX($AY$22:$BE$45,,$AH363), 1 / ($BG$22:$BG$45*CW363), N($AU$22:$AU$45&gt;$AM363))
) / 1000</f>
        <v>0</v>
      </c>
      <c r="CZ363" s="229">
        <f t="shared" si="580"/>
        <v>0</v>
      </c>
      <c r="DA363" s="246"/>
    </row>
    <row r="364" spans="1:105" s="75" customFormat="1" ht="14.25" customHeight="1" x14ac:dyDescent="0.2">
      <c r="A364" s="230" t="b">
        <f t="shared" si="585"/>
        <v>0</v>
      </c>
      <c r="B364" s="253">
        <v>343</v>
      </c>
      <c r="C364" s="266"/>
      <c r="D364" s="266"/>
      <c r="E364" s="254"/>
      <c r="F364" s="255" t="str">
        <f>IF(ISBLANK(E364), "", VLOOKUP(E364, Z!$A$2:$C$4127, 3, FALSE))</f>
        <v/>
      </c>
      <c r="G364" s="256"/>
      <c r="H364" s="256"/>
      <c r="I364" s="256"/>
      <c r="J364" s="257"/>
      <c r="K364" s="258"/>
      <c r="L364" s="267"/>
      <c r="M364" s="268"/>
      <c r="N364" s="259" t="str" cm="1">
        <f t="array" ref="N364">IF($L364&gt;0, INDEX(Clean,1+AK364,$D$1), "")</f>
        <v/>
      </c>
      <c r="O364" s="260"/>
      <c r="P364" s="260"/>
      <c r="Q364" s="261"/>
      <c r="R364" s="264">
        <f t="shared" si="556"/>
        <v>0</v>
      </c>
      <c r="S364" s="259" t="str" cm="1">
        <f t="array" ref="S364">IF($L364&gt;0, INDEX(Clean,1+AL364,$D$1), "")</f>
        <v/>
      </c>
      <c r="T364" s="260"/>
      <c r="U364" s="260"/>
      <c r="V364" s="261"/>
      <c r="W364" s="267"/>
      <c r="X364" s="267"/>
      <c r="Y364" s="257"/>
      <c r="Z364" s="264">
        <f t="shared" si="557"/>
        <v>0</v>
      </c>
      <c r="AA364" s="269"/>
      <c r="AB364" s="266"/>
      <c r="AC364" s="254"/>
      <c r="AD364" s="255" t="str">
        <f>IF(ISBLANK(AC364), "", VLOOKUP(AC364, Z!$A$2:$C$4127, 3, FALSE))</f>
        <v/>
      </c>
      <c r="AE364" s="270"/>
      <c r="AF364" s="265">
        <f t="shared" si="558"/>
        <v>0</v>
      </c>
      <c r="AG364" s="246"/>
      <c r="AH364" s="228">
        <f t="shared" si="581"/>
        <v>1</v>
      </c>
      <c r="AI364" s="228">
        <f t="shared" si="582"/>
        <v>1</v>
      </c>
      <c r="AJ364" s="228">
        <f t="shared" si="583"/>
        <v>0</v>
      </c>
      <c r="AK364" s="228">
        <v>0</v>
      </c>
      <c r="AL364" s="228">
        <v>0</v>
      </c>
      <c r="AM364" s="228">
        <f t="shared" si="559"/>
        <v>-100</v>
      </c>
      <c r="AN364" s="228" cm="1">
        <f t="array" ref="AN364">IF(ISBLANK(G364), 1, IFERROR(MATCH(G364, INDEX(Kat,,1), 0), IFERROR(MATCH(Kat, INDEX(Use,,2), 0), MATCH(Kat, INDEX(Use,,3), 0))))</f>
        <v>1</v>
      </c>
      <c r="AO364" s="246"/>
      <c r="AP364" s="228" cm="1">
        <f t="array" ref="AP364">IF(W364&gt;0, INDEX(Kat, AN364,4), 0)</f>
        <v>0</v>
      </c>
      <c r="AQ364" s="228">
        <f t="shared" si="584"/>
        <v>0</v>
      </c>
      <c r="AR364" s="228" cm="1">
        <f t="array" ref="AR364">IF(X364&gt;0, INDEX(Kat, $AN364, 4+AQ364), 0)</f>
        <v>0</v>
      </c>
      <c r="AS364" s="228" cm="1">
        <f t="array" ref="AS364">IF(X364&gt;0, INDEX(Kat, $AN364, 9+AQ364), 0)</f>
        <v>0</v>
      </c>
      <c r="AT364" s="246"/>
      <c r="AU364" s="262"/>
      <c r="AV364" s="262"/>
      <c r="AW364" s="263"/>
      <c r="AX364" s="263"/>
      <c r="AY364" s="263"/>
      <c r="AZ364" s="263"/>
      <c r="BA364" s="263"/>
      <c r="BB364" s="263"/>
      <c r="BC364" s="263"/>
      <c r="BD364" s="263"/>
      <c r="BE364" s="263"/>
      <c r="BF364" s="263"/>
      <c r="BG364" s="263"/>
      <c r="BH364" s="246"/>
      <c r="BI364" s="228" cm="1">
        <f t="array" ref="BI364">INDEX(Use, $AH364, 4)</f>
        <v>7</v>
      </c>
      <c r="BJ364" s="228">
        <f t="shared" si="560"/>
        <v>32</v>
      </c>
      <c r="BK364" s="228">
        <f t="shared" si="586"/>
        <v>13</v>
      </c>
      <c r="BL364" s="228">
        <f t="shared" si="587"/>
        <v>0</v>
      </c>
      <c r="BM364" s="233" cm="1">
        <f t="array" ref="BM364">L364/IF($M364&gt;0, INDEX($AY$22:$BE$76, $M364+20, $AH364), 1)</f>
        <v>0</v>
      </c>
      <c r="BN364" s="229">
        <f t="shared" si="561"/>
        <v>0</v>
      </c>
      <c r="BO364" s="228">
        <v>35</v>
      </c>
      <c r="BP364" s="229">
        <f t="shared" si="562"/>
        <v>48</v>
      </c>
      <c r="BQ364" s="234">
        <f t="shared" si="563"/>
        <v>3.0748170731707316</v>
      </c>
      <c r="BR364" s="234" cm="1">
        <f t="array" ref="BR364">$BM364 * SUMPRODUCT(INDEX($AV$76:$AX$81,,$AI364),INDEX($AY$76:$BE$81,,$AH364), N($AU$76:$AU$81&gt;$AM364)) / BQ364 / 1000</f>
        <v>0</v>
      </c>
      <c r="BS364" s="231">
        <f t="shared" si="588"/>
        <v>30</v>
      </c>
      <c r="BT364" s="229">
        <f t="shared" si="564"/>
        <v>43</v>
      </c>
      <c r="BU364" s="234">
        <f t="shared" si="565"/>
        <v>3.5018750000000001</v>
      </c>
      <c r="BV364" s="234" cm="1">
        <f t="array" ref="BV364">$BM364 * IF($AH364&lt;=2,
SUMPRODUCT(INDEX($AV$71:$AX$75,,$AI364), INDEX($AY$71:$BE$75,,$AH364), 1 / ($BF$71:$BF$75*BU364 + (1-$BF$71:$BF$75)*BQ364), N($AU$71:$AU$75&gt;$AM364)),
SUMPRODUCT(INDEX($AV$66:$AX$75,,$AI364), INDEX($AY$66:$BE$75,,$AH364), 1 / ($BG$66:$BG$75*BU364 + (1-$BG$66:$BG$75)*BQ364), N($AU$66:$AU$75&gt;$AM364))
) / 1000</f>
        <v>0</v>
      </c>
      <c r="BW364" s="231">
        <f t="shared" si="589"/>
        <v>25</v>
      </c>
      <c r="BX364" s="229">
        <f t="shared" si="566"/>
        <v>38</v>
      </c>
      <c r="BY364" s="234">
        <f t="shared" si="567"/>
        <v>4.0666935483870965</v>
      </c>
      <c r="BZ364" s="234" cm="1">
        <f t="array" ref="BZ364">$BM364 * IF($AH364&lt;=2,
SUMPRODUCT(INDEX($AV$66:$AX$70,,$AI364), INDEX($AY$66:$BE$70,,$AH364), 1 / ($BF$66:$BF$70*BY364 + (1-$BF$66:$BF$70)*BU364), N($AU$66:$AU$70&gt;$AM364)),
SUMPRODUCT(INDEX($AV$56:$AX$65,,$AI364), INDEX($AY$56:$BE$65,,$AH364), 1 / ($BG$56:$BG$65*BY364 + (1-$BG$56:$BG$65)*BU364), N($AU$56:$AU$65&gt;$AM364))
) / 1000</f>
        <v>0</v>
      </c>
      <c r="CA364" s="231">
        <f t="shared" si="590"/>
        <v>20</v>
      </c>
      <c r="CB364" s="229">
        <f t="shared" si="568"/>
        <v>33</v>
      </c>
      <c r="CC364" s="234">
        <f t="shared" si="569"/>
        <v>4.8487499999999999</v>
      </c>
      <c r="CD364" s="234" cm="1">
        <f t="array" ref="CD364">$BM364 * IF($AH364&lt;=2,
SUMPRODUCT(INDEX($AV$61:$AX$65,,$AI364), INDEX($AY$61:$BE$65,,$AH364), 1 / ($BF$61:$BF$65*CC364 + (1-$BF$61:$BF$65)*BY364), N($AU$61:$AU$65&gt;$AM364)),
SUMPRODUCT(INDEX($AV$46:$AX$55,,$AI364), INDEX($AY$46:$BE$55,,$AH364), 1 / ($BG$46:$BG$55*CC364 + (1-$BG$46:$BG$55)*BY364), N($AU$46:$AU$55&gt;$AM364))
) / 1000</f>
        <v>0</v>
      </c>
      <c r="CE364" s="234" cm="1">
        <f t="array" ref="CE364">$BM364 * IF($AH364&lt;=2,
SUMPRODUCT(INDEX($AV$22:$AX$60,,$AI364), INDEX($AY$22:$BE$60,,$AH364), 1 / ($BF$22:$BF$60*CC364), N($AU$22:$AU$60&gt;$AM364)),
SUMPRODUCT(INDEX($AV$22:$AX$45,,$AI364), INDEX($AY$22:$BE$45,,$AH364), 1 / ($BG$22:$BG$45*CC364), N($AU$22:$AU$45&gt;$AM364))
) / 1000</f>
        <v>0</v>
      </c>
      <c r="CF364" s="229">
        <f t="shared" si="570"/>
        <v>0</v>
      </c>
      <c r="CG364" s="246"/>
      <c r="CH364" s="229">
        <f t="shared" si="571"/>
        <v>0</v>
      </c>
      <c r="CI364" s="228">
        <v>35</v>
      </c>
      <c r="CJ364" s="229">
        <f t="shared" si="572"/>
        <v>48</v>
      </c>
      <c r="CK364" s="234">
        <f t="shared" si="573"/>
        <v>3.0748170731707316</v>
      </c>
      <c r="CL364" s="234" cm="1">
        <f t="array" ref="CL364">$BM364 * SUMPRODUCT(INDEX($AV$76:$AX$81,,$AI364),INDEX($AY$76:$BE$81,,$AH364), N($AU$76:$AU$81&gt;$AM364)) / CK364 / 1000</f>
        <v>0</v>
      </c>
      <c r="CM364" s="231">
        <f t="shared" si="591"/>
        <v>30</v>
      </c>
      <c r="CN364" s="229">
        <f t="shared" si="574"/>
        <v>43</v>
      </c>
      <c r="CO364" s="234">
        <f t="shared" si="575"/>
        <v>3.5018750000000001</v>
      </c>
      <c r="CP364" s="234" cm="1">
        <f t="array" ref="CP364">$BM364 * IF($AH364&lt;=2,
SUMPRODUCT(INDEX($AV$71:$AX$75,,$AI364), INDEX($AY$71:$BE$75,,$AH364), 1 / ($BF$71:$BF$75*CO364 + (1-$BF$71:$BF$75)*CK364), N($AU$71:$AU$75&gt;$AM364)),
SUMPRODUCT(INDEX($AV$66:$AX$75,,$AI364), INDEX($AY$66:$BE$75,,$AH364), 1 / ($BG$66:$BG$75*CO364 + (1-$BG$66:$BG$75)*CK364), N($AU$66:$AU$75&gt;$AM364))
) / 1000</f>
        <v>0</v>
      </c>
      <c r="CQ364" s="231">
        <f t="shared" si="592"/>
        <v>25</v>
      </c>
      <c r="CR364" s="229">
        <f t="shared" si="576"/>
        <v>38</v>
      </c>
      <c r="CS364" s="234">
        <f t="shared" si="577"/>
        <v>4.0666935483870965</v>
      </c>
      <c r="CT364" s="234" cm="1">
        <f t="array" ref="CT364">$BM364 * IF($AH364&lt;=2,
SUMPRODUCT(INDEX($AV$66:$AX$70,,$AI364), INDEX($AY$66:$BE$70,,$AH364), 1 / ($BF$66:$BF$70*CS364 + (1-$BF$66:$BF$70)*CO364), N($AU$66:$AU$70&gt;$AM364)),
SUMPRODUCT(INDEX($AV$56:$AX$65,,$AI364), INDEX($AY$56:$BE$65,,$AH364), 1 / ($BG$56:$BG$65*CS364 + (1-$BG$56:$BG$65)*CO364), N($AU$56:$AU$65&gt;$AM364))
) / 1000</f>
        <v>0</v>
      </c>
      <c r="CU364" s="231">
        <f t="shared" si="593"/>
        <v>20</v>
      </c>
      <c r="CV364" s="229">
        <f t="shared" si="578"/>
        <v>33</v>
      </c>
      <c r="CW364" s="234">
        <f t="shared" si="579"/>
        <v>4.8487499999999999</v>
      </c>
      <c r="CX364" s="234" cm="1">
        <f t="array" ref="CX364">$BM364 * IF($AH364&lt;=2,
SUMPRODUCT(INDEX($AV$61:$AX$65,,$AI364), INDEX($AY$61:$BE$65,,$AH364), 1 / ($BF$61:$BF$65*CW364 + (1-$BF$61:$BF$65)*CS364), N($AU$61:$AU$65&gt;$AM364)),
SUMPRODUCT(INDEX($AV$46:$AX$55,,$AI364), INDEX($AY$46:$BE$55,,$AH364), 1 / ($BG$46:$BG$55*CW364 + (1-$BG$46:$BG$55)*CS364), N($AU$46:$AU$55&gt;$AM364))
) / 1000</f>
        <v>0</v>
      </c>
      <c r="CY364" s="234" cm="1">
        <f t="array" ref="CY364">$BM364 * IF($AH364&lt;=2,
SUMPRODUCT(INDEX($AV$22:$AX$60,,$AI364), INDEX($AY$22:$BE$60,,$AH364), 1 / ($BF$22:$BF$60*CW364), N($AU$22:$AU$60&gt;$AM364)),
SUMPRODUCT(INDEX($AV$22:$AX$45,,$AI364), INDEX($AY$22:$BE$45,,$AH364), 1 / ($BG$22:$BG$45*CW364), N($AU$22:$AU$45&gt;$AM364))
) / 1000</f>
        <v>0</v>
      </c>
      <c r="CZ364" s="229">
        <f t="shared" si="580"/>
        <v>0</v>
      </c>
      <c r="DA364" s="246"/>
    </row>
    <row r="365" spans="1:105" s="75" customFormat="1" ht="14.25" customHeight="1" x14ac:dyDescent="0.2">
      <c r="A365" s="230" t="b">
        <f t="shared" si="585"/>
        <v>0</v>
      </c>
      <c r="B365" s="253">
        <v>344</v>
      </c>
      <c r="C365" s="266"/>
      <c r="D365" s="266"/>
      <c r="E365" s="254"/>
      <c r="F365" s="255" t="str">
        <f>IF(ISBLANK(E365), "", VLOOKUP(E365, Z!$A$2:$C$4127, 3, FALSE))</f>
        <v/>
      </c>
      <c r="G365" s="256"/>
      <c r="H365" s="256"/>
      <c r="I365" s="256"/>
      <c r="J365" s="257"/>
      <c r="K365" s="258"/>
      <c r="L365" s="267"/>
      <c r="M365" s="268"/>
      <c r="N365" s="259" t="str" cm="1">
        <f t="array" ref="N365">IF($L365&gt;0, INDEX(Clean,1+AK365,$D$1), "")</f>
        <v/>
      </c>
      <c r="O365" s="260"/>
      <c r="P365" s="260"/>
      <c r="Q365" s="261"/>
      <c r="R365" s="264">
        <f t="shared" si="556"/>
        <v>0</v>
      </c>
      <c r="S365" s="259" t="str" cm="1">
        <f t="array" ref="S365">IF($L365&gt;0, INDEX(Clean,1+AL365,$D$1), "")</f>
        <v/>
      </c>
      <c r="T365" s="260"/>
      <c r="U365" s="260"/>
      <c r="V365" s="261"/>
      <c r="W365" s="267"/>
      <c r="X365" s="267"/>
      <c r="Y365" s="257"/>
      <c r="Z365" s="264">
        <f t="shared" si="557"/>
        <v>0</v>
      </c>
      <c r="AA365" s="269"/>
      <c r="AB365" s="266"/>
      <c r="AC365" s="254"/>
      <c r="AD365" s="255" t="str">
        <f>IF(ISBLANK(AC365), "", VLOOKUP(AC365, Z!$A$2:$C$4127, 3, FALSE))</f>
        <v/>
      </c>
      <c r="AE365" s="270"/>
      <c r="AF365" s="265">
        <f t="shared" si="558"/>
        <v>0</v>
      </c>
      <c r="AG365" s="246"/>
      <c r="AH365" s="228">
        <f t="shared" si="581"/>
        <v>1</v>
      </c>
      <c r="AI365" s="228">
        <f t="shared" si="582"/>
        <v>1</v>
      </c>
      <c r="AJ365" s="228">
        <f t="shared" si="583"/>
        <v>0</v>
      </c>
      <c r="AK365" s="228">
        <v>0</v>
      </c>
      <c r="AL365" s="228">
        <v>0</v>
      </c>
      <c r="AM365" s="228">
        <f t="shared" si="559"/>
        <v>-100</v>
      </c>
      <c r="AN365" s="228" cm="1">
        <f t="array" ref="AN365">IF(ISBLANK(G365), 1, IFERROR(MATCH(G365, INDEX(Kat,,1), 0), IFERROR(MATCH(Kat, INDEX(Use,,2), 0), MATCH(Kat, INDEX(Use,,3), 0))))</f>
        <v>1</v>
      </c>
      <c r="AO365" s="246"/>
      <c r="AP365" s="228" cm="1">
        <f t="array" ref="AP365">IF(W365&gt;0, INDEX(Kat, AN365,4), 0)</f>
        <v>0</v>
      </c>
      <c r="AQ365" s="228">
        <f t="shared" si="584"/>
        <v>0</v>
      </c>
      <c r="AR365" s="228" cm="1">
        <f t="array" ref="AR365">IF(X365&gt;0, INDEX(Kat, $AN365, 4+AQ365), 0)</f>
        <v>0</v>
      </c>
      <c r="AS365" s="228" cm="1">
        <f t="array" ref="AS365">IF(X365&gt;0, INDEX(Kat, $AN365, 9+AQ365), 0)</f>
        <v>0</v>
      </c>
      <c r="AT365" s="246"/>
      <c r="AU365" s="262"/>
      <c r="AV365" s="262"/>
      <c r="AW365" s="263"/>
      <c r="AX365" s="263"/>
      <c r="AY365" s="263"/>
      <c r="AZ365" s="263"/>
      <c r="BA365" s="263"/>
      <c r="BB365" s="263"/>
      <c r="BC365" s="263"/>
      <c r="BD365" s="263"/>
      <c r="BE365" s="263"/>
      <c r="BF365" s="263"/>
      <c r="BG365" s="263"/>
      <c r="BH365" s="246"/>
      <c r="BI365" s="228" cm="1">
        <f t="array" ref="BI365">INDEX(Use, $AH365, 4)</f>
        <v>7</v>
      </c>
      <c r="BJ365" s="228">
        <f t="shared" si="560"/>
        <v>32</v>
      </c>
      <c r="BK365" s="228">
        <f t="shared" si="586"/>
        <v>13</v>
      </c>
      <c r="BL365" s="228">
        <f t="shared" si="587"/>
        <v>0</v>
      </c>
      <c r="BM365" s="233" cm="1">
        <f t="array" ref="BM365">L365/IF($M365&gt;0, INDEX($AY$22:$BE$76, $M365+20, $AH365), 1)</f>
        <v>0</v>
      </c>
      <c r="BN365" s="229">
        <f t="shared" si="561"/>
        <v>0</v>
      </c>
      <c r="BO365" s="228">
        <v>35</v>
      </c>
      <c r="BP365" s="229">
        <f t="shared" si="562"/>
        <v>48</v>
      </c>
      <c r="BQ365" s="234">
        <f t="shared" si="563"/>
        <v>3.0748170731707316</v>
      </c>
      <c r="BR365" s="234" cm="1">
        <f t="array" ref="BR365">$BM365 * SUMPRODUCT(INDEX($AV$76:$AX$81,,$AI365),INDEX($AY$76:$BE$81,,$AH365), N($AU$76:$AU$81&gt;$AM365)) / BQ365 / 1000</f>
        <v>0</v>
      </c>
      <c r="BS365" s="231">
        <f t="shared" si="588"/>
        <v>30</v>
      </c>
      <c r="BT365" s="229">
        <f t="shared" si="564"/>
        <v>43</v>
      </c>
      <c r="BU365" s="234">
        <f t="shared" si="565"/>
        <v>3.5018750000000001</v>
      </c>
      <c r="BV365" s="234" cm="1">
        <f t="array" ref="BV365">$BM365 * IF($AH365&lt;=2,
SUMPRODUCT(INDEX($AV$71:$AX$75,,$AI365), INDEX($AY$71:$BE$75,,$AH365), 1 / ($BF$71:$BF$75*BU365 + (1-$BF$71:$BF$75)*BQ365), N($AU$71:$AU$75&gt;$AM365)),
SUMPRODUCT(INDEX($AV$66:$AX$75,,$AI365), INDEX($AY$66:$BE$75,,$AH365), 1 / ($BG$66:$BG$75*BU365 + (1-$BG$66:$BG$75)*BQ365), N($AU$66:$AU$75&gt;$AM365))
) / 1000</f>
        <v>0</v>
      </c>
      <c r="BW365" s="231">
        <f t="shared" si="589"/>
        <v>25</v>
      </c>
      <c r="BX365" s="229">
        <f t="shared" si="566"/>
        <v>38</v>
      </c>
      <c r="BY365" s="234">
        <f t="shared" si="567"/>
        <v>4.0666935483870965</v>
      </c>
      <c r="BZ365" s="234" cm="1">
        <f t="array" ref="BZ365">$BM365 * IF($AH365&lt;=2,
SUMPRODUCT(INDEX($AV$66:$AX$70,,$AI365), INDEX($AY$66:$BE$70,,$AH365), 1 / ($BF$66:$BF$70*BY365 + (1-$BF$66:$BF$70)*BU365), N($AU$66:$AU$70&gt;$AM365)),
SUMPRODUCT(INDEX($AV$56:$AX$65,,$AI365), INDEX($AY$56:$BE$65,,$AH365), 1 / ($BG$56:$BG$65*BY365 + (1-$BG$56:$BG$65)*BU365), N($AU$56:$AU$65&gt;$AM365))
) / 1000</f>
        <v>0</v>
      </c>
      <c r="CA365" s="231">
        <f t="shared" si="590"/>
        <v>20</v>
      </c>
      <c r="CB365" s="229">
        <f t="shared" si="568"/>
        <v>33</v>
      </c>
      <c r="CC365" s="234">
        <f t="shared" si="569"/>
        <v>4.8487499999999999</v>
      </c>
      <c r="CD365" s="234" cm="1">
        <f t="array" ref="CD365">$BM365 * IF($AH365&lt;=2,
SUMPRODUCT(INDEX($AV$61:$AX$65,,$AI365), INDEX($AY$61:$BE$65,,$AH365), 1 / ($BF$61:$BF$65*CC365 + (1-$BF$61:$BF$65)*BY365), N($AU$61:$AU$65&gt;$AM365)),
SUMPRODUCT(INDEX($AV$46:$AX$55,,$AI365), INDEX($AY$46:$BE$55,,$AH365), 1 / ($BG$46:$BG$55*CC365 + (1-$BG$46:$BG$55)*BY365), N($AU$46:$AU$55&gt;$AM365))
) / 1000</f>
        <v>0</v>
      </c>
      <c r="CE365" s="234" cm="1">
        <f t="array" ref="CE365">$BM365 * IF($AH365&lt;=2,
SUMPRODUCT(INDEX($AV$22:$AX$60,,$AI365), INDEX($AY$22:$BE$60,,$AH365), 1 / ($BF$22:$BF$60*CC365), N($AU$22:$AU$60&gt;$AM365)),
SUMPRODUCT(INDEX($AV$22:$AX$45,,$AI365), INDEX($AY$22:$BE$45,,$AH365), 1 / ($BG$22:$BG$45*CC365), N($AU$22:$AU$45&gt;$AM365))
) / 1000</f>
        <v>0</v>
      </c>
      <c r="CF365" s="229">
        <f t="shared" si="570"/>
        <v>0</v>
      </c>
      <c r="CG365" s="246"/>
      <c r="CH365" s="229">
        <f t="shared" si="571"/>
        <v>0</v>
      </c>
      <c r="CI365" s="228">
        <v>35</v>
      </c>
      <c r="CJ365" s="229">
        <f t="shared" si="572"/>
        <v>48</v>
      </c>
      <c r="CK365" s="234">
        <f t="shared" si="573"/>
        <v>3.0748170731707316</v>
      </c>
      <c r="CL365" s="234" cm="1">
        <f t="array" ref="CL365">$BM365 * SUMPRODUCT(INDEX($AV$76:$AX$81,,$AI365),INDEX($AY$76:$BE$81,,$AH365), N($AU$76:$AU$81&gt;$AM365)) / CK365 / 1000</f>
        <v>0</v>
      </c>
      <c r="CM365" s="231">
        <f t="shared" si="591"/>
        <v>30</v>
      </c>
      <c r="CN365" s="229">
        <f t="shared" si="574"/>
        <v>43</v>
      </c>
      <c r="CO365" s="234">
        <f t="shared" si="575"/>
        <v>3.5018750000000001</v>
      </c>
      <c r="CP365" s="234" cm="1">
        <f t="array" ref="CP365">$BM365 * IF($AH365&lt;=2,
SUMPRODUCT(INDEX($AV$71:$AX$75,,$AI365), INDEX($AY$71:$BE$75,,$AH365), 1 / ($BF$71:$BF$75*CO365 + (1-$BF$71:$BF$75)*CK365), N($AU$71:$AU$75&gt;$AM365)),
SUMPRODUCT(INDEX($AV$66:$AX$75,,$AI365), INDEX($AY$66:$BE$75,,$AH365), 1 / ($BG$66:$BG$75*CO365 + (1-$BG$66:$BG$75)*CK365), N($AU$66:$AU$75&gt;$AM365))
) / 1000</f>
        <v>0</v>
      </c>
      <c r="CQ365" s="231">
        <f t="shared" si="592"/>
        <v>25</v>
      </c>
      <c r="CR365" s="229">
        <f t="shared" si="576"/>
        <v>38</v>
      </c>
      <c r="CS365" s="234">
        <f t="shared" si="577"/>
        <v>4.0666935483870965</v>
      </c>
      <c r="CT365" s="234" cm="1">
        <f t="array" ref="CT365">$BM365 * IF($AH365&lt;=2,
SUMPRODUCT(INDEX($AV$66:$AX$70,,$AI365), INDEX($AY$66:$BE$70,,$AH365), 1 / ($BF$66:$BF$70*CS365 + (1-$BF$66:$BF$70)*CO365), N($AU$66:$AU$70&gt;$AM365)),
SUMPRODUCT(INDEX($AV$56:$AX$65,,$AI365), INDEX($AY$56:$BE$65,,$AH365), 1 / ($BG$56:$BG$65*CS365 + (1-$BG$56:$BG$65)*CO365), N($AU$56:$AU$65&gt;$AM365))
) / 1000</f>
        <v>0</v>
      </c>
      <c r="CU365" s="231">
        <f t="shared" si="593"/>
        <v>20</v>
      </c>
      <c r="CV365" s="229">
        <f t="shared" si="578"/>
        <v>33</v>
      </c>
      <c r="CW365" s="234">
        <f t="shared" si="579"/>
        <v>4.8487499999999999</v>
      </c>
      <c r="CX365" s="234" cm="1">
        <f t="array" ref="CX365">$BM365 * IF($AH365&lt;=2,
SUMPRODUCT(INDEX($AV$61:$AX$65,,$AI365), INDEX($AY$61:$BE$65,,$AH365), 1 / ($BF$61:$BF$65*CW365 + (1-$BF$61:$BF$65)*CS365), N($AU$61:$AU$65&gt;$AM365)),
SUMPRODUCT(INDEX($AV$46:$AX$55,,$AI365), INDEX($AY$46:$BE$55,,$AH365), 1 / ($BG$46:$BG$55*CW365 + (1-$BG$46:$BG$55)*CS365), N($AU$46:$AU$55&gt;$AM365))
) / 1000</f>
        <v>0</v>
      </c>
      <c r="CY365" s="234" cm="1">
        <f t="array" ref="CY365">$BM365 * IF($AH365&lt;=2,
SUMPRODUCT(INDEX($AV$22:$AX$60,,$AI365), INDEX($AY$22:$BE$60,,$AH365), 1 / ($BF$22:$BF$60*CW365), N($AU$22:$AU$60&gt;$AM365)),
SUMPRODUCT(INDEX($AV$22:$AX$45,,$AI365), INDEX($AY$22:$BE$45,,$AH365), 1 / ($BG$22:$BG$45*CW365), N($AU$22:$AU$45&gt;$AM365))
) / 1000</f>
        <v>0</v>
      </c>
      <c r="CZ365" s="229">
        <f t="shared" si="580"/>
        <v>0</v>
      </c>
      <c r="DA365" s="246"/>
    </row>
    <row r="366" spans="1:105" s="75" customFormat="1" ht="14.25" customHeight="1" x14ac:dyDescent="0.2">
      <c r="A366" s="230" t="b">
        <f t="shared" si="585"/>
        <v>0</v>
      </c>
      <c r="B366" s="253">
        <v>345</v>
      </c>
      <c r="C366" s="266"/>
      <c r="D366" s="266"/>
      <c r="E366" s="254"/>
      <c r="F366" s="255" t="str">
        <f>IF(ISBLANK(E366), "", VLOOKUP(E366, Z!$A$2:$C$4127, 3, FALSE))</f>
        <v/>
      </c>
      <c r="G366" s="256"/>
      <c r="H366" s="256"/>
      <c r="I366" s="256"/>
      <c r="J366" s="257"/>
      <c r="K366" s="258"/>
      <c r="L366" s="267"/>
      <c r="M366" s="268"/>
      <c r="N366" s="259" t="str" cm="1">
        <f t="array" ref="N366">IF($L366&gt;0, INDEX(Clean,1+AK366,$D$1), "")</f>
        <v/>
      </c>
      <c r="O366" s="260"/>
      <c r="P366" s="260"/>
      <c r="Q366" s="261"/>
      <c r="R366" s="264">
        <f t="shared" si="556"/>
        <v>0</v>
      </c>
      <c r="S366" s="259" t="str" cm="1">
        <f t="array" ref="S366">IF($L366&gt;0, INDEX(Clean,1+AL366,$D$1), "")</f>
        <v/>
      </c>
      <c r="T366" s="260"/>
      <c r="U366" s="260"/>
      <c r="V366" s="261"/>
      <c r="W366" s="267"/>
      <c r="X366" s="267"/>
      <c r="Y366" s="257"/>
      <c r="Z366" s="264">
        <f t="shared" si="557"/>
        <v>0</v>
      </c>
      <c r="AA366" s="269"/>
      <c r="AB366" s="266"/>
      <c r="AC366" s="254"/>
      <c r="AD366" s="255" t="str">
        <f>IF(ISBLANK(AC366), "", VLOOKUP(AC366, Z!$A$2:$C$4127, 3, FALSE))</f>
        <v/>
      </c>
      <c r="AE366" s="270"/>
      <c r="AF366" s="265">
        <f t="shared" si="558"/>
        <v>0</v>
      </c>
      <c r="AG366" s="246"/>
      <c r="AH366" s="228">
        <f t="shared" si="581"/>
        <v>1</v>
      </c>
      <c r="AI366" s="228">
        <f t="shared" si="582"/>
        <v>1</v>
      </c>
      <c r="AJ366" s="228">
        <f t="shared" si="583"/>
        <v>0</v>
      </c>
      <c r="AK366" s="228">
        <v>0</v>
      </c>
      <c r="AL366" s="228">
        <v>0</v>
      </c>
      <c r="AM366" s="228">
        <f t="shared" si="559"/>
        <v>-100</v>
      </c>
      <c r="AN366" s="228" cm="1">
        <f t="array" ref="AN366">IF(ISBLANK(G366), 1, IFERROR(MATCH(G366, INDEX(Kat,,1), 0), IFERROR(MATCH(Kat, INDEX(Use,,2), 0), MATCH(Kat, INDEX(Use,,3), 0))))</f>
        <v>1</v>
      </c>
      <c r="AO366" s="246"/>
      <c r="AP366" s="228" cm="1">
        <f t="array" ref="AP366">IF(W366&gt;0, INDEX(Kat, AN366,4), 0)</f>
        <v>0</v>
      </c>
      <c r="AQ366" s="228">
        <f t="shared" si="584"/>
        <v>0</v>
      </c>
      <c r="AR366" s="228" cm="1">
        <f t="array" ref="AR366">IF(X366&gt;0, INDEX(Kat, $AN366, 4+AQ366), 0)</f>
        <v>0</v>
      </c>
      <c r="AS366" s="228" cm="1">
        <f t="array" ref="AS366">IF(X366&gt;0, INDEX(Kat, $AN366, 9+AQ366), 0)</f>
        <v>0</v>
      </c>
      <c r="AT366" s="246"/>
      <c r="AU366" s="262"/>
      <c r="AV366" s="262"/>
      <c r="AW366" s="263"/>
      <c r="AX366" s="263"/>
      <c r="AY366" s="263"/>
      <c r="AZ366" s="263"/>
      <c r="BA366" s="263"/>
      <c r="BB366" s="263"/>
      <c r="BC366" s="263"/>
      <c r="BD366" s="263"/>
      <c r="BE366" s="263"/>
      <c r="BF366" s="263"/>
      <c r="BG366" s="263"/>
      <c r="BH366" s="246"/>
      <c r="BI366" s="228" cm="1">
        <f t="array" ref="BI366">INDEX(Use, $AH366, 4)</f>
        <v>7</v>
      </c>
      <c r="BJ366" s="228">
        <f t="shared" si="560"/>
        <v>32</v>
      </c>
      <c r="BK366" s="228">
        <f t="shared" si="586"/>
        <v>13</v>
      </c>
      <c r="BL366" s="228">
        <f t="shared" si="587"/>
        <v>0</v>
      </c>
      <c r="BM366" s="233" cm="1">
        <f t="array" ref="BM366">L366/IF($M366&gt;0, INDEX($AY$22:$BE$76, $M366+20, $AH366), 1)</f>
        <v>0</v>
      </c>
      <c r="BN366" s="229">
        <f t="shared" si="561"/>
        <v>0</v>
      </c>
      <c r="BO366" s="228">
        <v>35</v>
      </c>
      <c r="BP366" s="229">
        <f t="shared" si="562"/>
        <v>48</v>
      </c>
      <c r="BQ366" s="234">
        <f t="shared" si="563"/>
        <v>3.0748170731707316</v>
      </c>
      <c r="BR366" s="234" cm="1">
        <f t="array" ref="BR366">$BM366 * SUMPRODUCT(INDEX($AV$76:$AX$81,,$AI366),INDEX($AY$76:$BE$81,,$AH366), N($AU$76:$AU$81&gt;$AM366)) / BQ366 / 1000</f>
        <v>0</v>
      </c>
      <c r="BS366" s="231">
        <f t="shared" si="588"/>
        <v>30</v>
      </c>
      <c r="BT366" s="229">
        <f t="shared" si="564"/>
        <v>43</v>
      </c>
      <c r="BU366" s="234">
        <f t="shared" si="565"/>
        <v>3.5018750000000001</v>
      </c>
      <c r="BV366" s="234" cm="1">
        <f t="array" ref="BV366">$BM366 * IF($AH366&lt;=2,
SUMPRODUCT(INDEX($AV$71:$AX$75,,$AI366), INDEX($AY$71:$BE$75,,$AH366), 1 / ($BF$71:$BF$75*BU366 + (1-$BF$71:$BF$75)*BQ366), N($AU$71:$AU$75&gt;$AM366)),
SUMPRODUCT(INDEX($AV$66:$AX$75,,$AI366), INDEX($AY$66:$BE$75,,$AH366), 1 / ($BG$66:$BG$75*BU366 + (1-$BG$66:$BG$75)*BQ366), N($AU$66:$AU$75&gt;$AM366))
) / 1000</f>
        <v>0</v>
      </c>
      <c r="BW366" s="231">
        <f t="shared" si="589"/>
        <v>25</v>
      </c>
      <c r="BX366" s="229">
        <f t="shared" si="566"/>
        <v>38</v>
      </c>
      <c r="BY366" s="234">
        <f t="shared" si="567"/>
        <v>4.0666935483870965</v>
      </c>
      <c r="BZ366" s="234" cm="1">
        <f t="array" ref="BZ366">$BM366 * IF($AH366&lt;=2,
SUMPRODUCT(INDEX($AV$66:$AX$70,,$AI366), INDEX($AY$66:$BE$70,,$AH366), 1 / ($BF$66:$BF$70*BY366 + (1-$BF$66:$BF$70)*BU366), N($AU$66:$AU$70&gt;$AM366)),
SUMPRODUCT(INDEX($AV$56:$AX$65,,$AI366), INDEX($AY$56:$BE$65,,$AH366), 1 / ($BG$56:$BG$65*BY366 + (1-$BG$56:$BG$65)*BU366), N($AU$56:$AU$65&gt;$AM366))
) / 1000</f>
        <v>0</v>
      </c>
      <c r="CA366" s="231">
        <f t="shared" si="590"/>
        <v>20</v>
      </c>
      <c r="CB366" s="229">
        <f t="shared" si="568"/>
        <v>33</v>
      </c>
      <c r="CC366" s="234">
        <f t="shared" si="569"/>
        <v>4.8487499999999999</v>
      </c>
      <c r="CD366" s="234" cm="1">
        <f t="array" ref="CD366">$BM366 * IF($AH366&lt;=2,
SUMPRODUCT(INDEX($AV$61:$AX$65,,$AI366), INDEX($AY$61:$BE$65,,$AH366), 1 / ($BF$61:$BF$65*CC366 + (1-$BF$61:$BF$65)*BY366), N($AU$61:$AU$65&gt;$AM366)),
SUMPRODUCT(INDEX($AV$46:$AX$55,,$AI366), INDEX($AY$46:$BE$55,,$AH366), 1 / ($BG$46:$BG$55*CC366 + (1-$BG$46:$BG$55)*BY366), N($AU$46:$AU$55&gt;$AM366))
) / 1000</f>
        <v>0</v>
      </c>
      <c r="CE366" s="234" cm="1">
        <f t="array" ref="CE366">$BM366 * IF($AH366&lt;=2,
SUMPRODUCT(INDEX($AV$22:$AX$60,,$AI366), INDEX($AY$22:$BE$60,,$AH366), 1 / ($BF$22:$BF$60*CC366), N($AU$22:$AU$60&gt;$AM366)),
SUMPRODUCT(INDEX($AV$22:$AX$45,,$AI366), INDEX($AY$22:$BE$45,,$AH366), 1 / ($BG$22:$BG$45*CC366), N($AU$22:$AU$45&gt;$AM366))
) / 1000</f>
        <v>0</v>
      </c>
      <c r="CF366" s="229">
        <f t="shared" si="570"/>
        <v>0</v>
      </c>
      <c r="CG366" s="246"/>
      <c r="CH366" s="229">
        <f t="shared" si="571"/>
        <v>0</v>
      </c>
      <c r="CI366" s="228">
        <v>35</v>
      </c>
      <c r="CJ366" s="229">
        <f t="shared" si="572"/>
        <v>48</v>
      </c>
      <c r="CK366" s="234">
        <f t="shared" si="573"/>
        <v>3.0748170731707316</v>
      </c>
      <c r="CL366" s="234" cm="1">
        <f t="array" ref="CL366">$BM366 * SUMPRODUCT(INDEX($AV$76:$AX$81,,$AI366),INDEX($AY$76:$BE$81,,$AH366), N($AU$76:$AU$81&gt;$AM366)) / CK366 / 1000</f>
        <v>0</v>
      </c>
      <c r="CM366" s="231">
        <f t="shared" si="591"/>
        <v>30</v>
      </c>
      <c r="CN366" s="229">
        <f t="shared" si="574"/>
        <v>43</v>
      </c>
      <c r="CO366" s="234">
        <f t="shared" si="575"/>
        <v>3.5018750000000001</v>
      </c>
      <c r="CP366" s="234" cm="1">
        <f t="array" ref="CP366">$BM366 * IF($AH366&lt;=2,
SUMPRODUCT(INDEX($AV$71:$AX$75,,$AI366), INDEX($AY$71:$BE$75,,$AH366), 1 / ($BF$71:$BF$75*CO366 + (1-$BF$71:$BF$75)*CK366), N($AU$71:$AU$75&gt;$AM366)),
SUMPRODUCT(INDEX($AV$66:$AX$75,,$AI366), INDEX($AY$66:$BE$75,,$AH366), 1 / ($BG$66:$BG$75*CO366 + (1-$BG$66:$BG$75)*CK366), N($AU$66:$AU$75&gt;$AM366))
) / 1000</f>
        <v>0</v>
      </c>
      <c r="CQ366" s="231">
        <f t="shared" si="592"/>
        <v>25</v>
      </c>
      <c r="CR366" s="229">
        <f t="shared" si="576"/>
        <v>38</v>
      </c>
      <c r="CS366" s="234">
        <f t="shared" si="577"/>
        <v>4.0666935483870965</v>
      </c>
      <c r="CT366" s="234" cm="1">
        <f t="array" ref="CT366">$BM366 * IF($AH366&lt;=2,
SUMPRODUCT(INDEX($AV$66:$AX$70,,$AI366), INDEX($AY$66:$BE$70,,$AH366), 1 / ($BF$66:$BF$70*CS366 + (1-$BF$66:$BF$70)*CO366), N($AU$66:$AU$70&gt;$AM366)),
SUMPRODUCT(INDEX($AV$56:$AX$65,,$AI366), INDEX($AY$56:$BE$65,,$AH366), 1 / ($BG$56:$BG$65*CS366 + (1-$BG$56:$BG$65)*CO366), N($AU$56:$AU$65&gt;$AM366))
) / 1000</f>
        <v>0</v>
      </c>
      <c r="CU366" s="231">
        <f t="shared" si="593"/>
        <v>20</v>
      </c>
      <c r="CV366" s="229">
        <f t="shared" si="578"/>
        <v>33</v>
      </c>
      <c r="CW366" s="234">
        <f t="shared" si="579"/>
        <v>4.8487499999999999</v>
      </c>
      <c r="CX366" s="234" cm="1">
        <f t="array" ref="CX366">$BM366 * IF($AH366&lt;=2,
SUMPRODUCT(INDEX($AV$61:$AX$65,,$AI366), INDEX($AY$61:$BE$65,,$AH366), 1 / ($BF$61:$BF$65*CW366 + (1-$BF$61:$BF$65)*CS366), N($AU$61:$AU$65&gt;$AM366)),
SUMPRODUCT(INDEX($AV$46:$AX$55,,$AI366), INDEX($AY$46:$BE$55,,$AH366), 1 / ($BG$46:$BG$55*CW366 + (1-$BG$46:$BG$55)*CS366), N($AU$46:$AU$55&gt;$AM366))
) / 1000</f>
        <v>0</v>
      </c>
      <c r="CY366" s="234" cm="1">
        <f t="array" ref="CY366">$BM366 * IF($AH366&lt;=2,
SUMPRODUCT(INDEX($AV$22:$AX$60,,$AI366), INDEX($AY$22:$BE$60,,$AH366), 1 / ($BF$22:$BF$60*CW366), N($AU$22:$AU$60&gt;$AM366)),
SUMPRODUCT(INDEX($AV$22:$AX$45,,$AI366), INDEX($AY$22:$BE$45,,$AH366), 1 / ($BG$22:$BG$45*CW366), N($AU$22:$AU$45&gt;$AM366))
) / 1000</f>
        <v>0</v>
      </c>
      <c r="CZ366" s="229">
        <f t="shared" si="580"/>
        <v>0</v>
      </c>
      <c r="DA366" s="246"/>
    </row>
    <row r="367" spans="1:105" s="75" customFormat="1" ht="14.25" customHeight="1" x14ac:dyDescent="0.2">
      <c r="A367" s="230" t="b">
        <f t="shared" si="585"/>
        <v>0</v>
      </c>
      <c r="B367" s="253">
        <v>346</v>
      </c>
      <c r="C367" s="266"/>
      <c r="D367" s="266"/>
      <c r="E367" s="254"/>
      <c r="F367" s="255" t="str">
        <f>IF(ISBLANK(E367), "", VLOOKUP(E367, Z!$A$2:$C$4127, 3, FALSE))</f>
        <v/>
      </c>
      <c r="G367" s="256"/>
      <c r="H367" s="256"/>
      <c r="I367" s="256"/>
      <c r="J367" s="257"/>
      <c r="K367" s="258"/>
      <c r="L367" s="267"/>
      <c r="M367" s="268"/>
      <c r="N367" s="259" t="str" cm="1">
        <f t="array" ref="N367">IF($L367&gt;0, INDEX(Clean,1+AK367,$D$1), "")</f>
        <v/>
      </c>
      <c r="O367" s="260"/>
      <c r="P367" s="260"/>
      <c r="Q367" s="261"/>
      <c r="R367" s="264">
        <f t="shared" si="556"/>
        <v>0</v>
      </c>
      <c r="S367" s="259" t="str" cm="1">
        <f t="array" ref="S367">IF($L367&gt;0, INDEX(Clean,1+AL367,$D$1), "")</f>
        <v/>
      </c>
      <c r="T367" s="260"/>
      <c r="U367" s="260"/>
      <c r="V367" s="261"/>
      <c r="W367" s="267"/>
      <c r="X367" s="267"/>
      <c r="Y367" s="257"/>
      <c r="Z367" s="264">
        <f t="shared" si="557"/>
        <v>0</v>
      </c>
      <c r="AA367" s="269"/>
      <c r="AB367" s="266"/>
      <c r="AC367" s="254"/>
      <c r="AD367" s="255" t="str">
        <f>IF(ISBLANK(AC367), "", VLOOKUP(AC367, Z!$A$2:$C$4127, 3, FALSE))</f>
        <v/>
      </c>
      <c r="AE367" s="270"/>
      <c r="AF367" s="265">
        <f t="shared" si="558"/>
        <v>0</v>
      </c>
      <c r="AG367" s="246"/>
      <c r="AH367" s="228">
        <f t="shared" si="581"/>
        <v>1</v>
      </c>
      <c r="AI367" s="228">
        <f t="shared" si="582"/>
        <v>1</v>
      </c>
      <c r="AJ367" s="228">
        <f t="shared" si="583"/>
        <v>0</v>
      </c>
      <c r="AK367" s="228">
        <v>0</v>
      </c>
      <c r="AL367" s="228">
        <v>0</v>
      </c>
      <c r="AM367" s="228">
        <f t="shared" si="559"/>
        <v>-100</v>
      </c>
      <c r="AN367" s="228" cm="1">
        <f t="array" ref="AN367">IF(ISBLANK(G367), 1, IFERROR(MATCH(G367, INDEX(Kat,,1), 0), IFERROR(MATCH(Kat, INDEX(Use,,2), 0), MATCH(Kat, INDEX(Use,,3), 0))))</f>
        <v>1</v>
      </c>
      <c r="AO367" s="246"/>
      <c r="AP367" s="228" cm="1">
        <f t="array" ref="AP367">IF(W367&gt;0, INDEX(Kat, AN367,4), 0)</f>
        <v>0</v>
      </c>
      <c r="AQ367" s="228">
        <f t="shared" si="584"/>
        <v>0</v>
      </c>
      <c r="AR367" s="228" cm="1">
        <f t="array" ref="AR367">IF(X367&gt;0, INDEX(Kat, $AN367, 4+AQ367), 0)</f>
        <v>0</v>
      </c>
      <c r="AS367" s="228" cm="1">
        <f t="array" ref="AS367">IF(X367&gt;0, INDEX(Kat, $AN367, 9+AQ367), 0)</f>
        <v>0</v>
      </c>
      <c r="AT367" s="246"/>
      <c r="AU367" s="262"/>
      <c r="AV367" s="262"/>
      <c r="AW367" s="263"/>
      <c r="AX367" s="263"/>
      <c r="AY367" s="263"/>
      <c r="AZ367" s="263"/>
      <c r="BA367" s="263"/>
      <c r="BB367" s="263"/>
      <c r="BC367" s="263"/>
      <c r="BD367" s="263"/>
      <c r="BE367" s="263"/>
      <c r="BF367" s="263"/>
      <c r="BG367" s="263"/>
      <c r="BH367" s="246"/>
      <c r="BI367" s="228" cm="1">
        <f t="array" ref="BI367">INDEX(Use, $AH367, 4)</f>
        <v>7</v>
      </c>
      <c r="BJ367" s="228">
        <f t="shared" si="560"/>
        <v>32</v>
      </c>
      <c r="BK367" s="228">
        <f t="shared" si="586"/>
        <v>13</v>
      </c>
      <c r="BL367" s="228">
        <f t="shared" si="587"/>
        <v>0</v>
      </c>
      <c r="BM367" s="233" cm="1">
        <f t="array" ref="BM367">L367/IF($M367&gt;0, INDEX($AY$22:$BE$76, $M367+20, $AH367), 1)</f>
        <v>0</v>
      </c>
      <c r="BN367" s="229">
        <f t="shared" si="561"/>
        <v>0</v>
      </c>
      <c r="BO367" s="228">
        <v>35</v>
      </c>
      <c r="BP367" s="229">
        <f t="shared" si="562"/>
        <v>48</v>
      </c>
      <c r="BQ367" s="234">
        <f t="shared" si="563"/>
        <v>3.0748170731707316</v>
      </c>
      <c r="BR367" s="234" cm="1">
        <f t="array" ref="BR367">$BM367 * SUMPRODUCT(INDEX($AV$76:$AX$81,,$AI367),INDEX($AY$76:$BE$81,,$AH367), N($AU$76:$AU$81&gt;$AM367)) / BQ367 / 1000</f>
        <v>0</v>
      </c>
      <c r="BS367" s="231">
        <f t="shared" si="588"/>
        <v>30</v>
      </c>
      <c r="BT367" s="229">
        <f t="shared" si="564"/>
        <v>43</v>
      </c>
      <c r="BU367" s="234">
        <f t="shared" si="565"/>
        <v>3.5018750000000001</v>
      </c>
      <c r="BV367" s="234" cm="1">
        <f t="array" ref="BV367">$BM367 * IF($AH367&lt;=2,
SUMPRODUCT(INDEX($AV$71:$AX$75,,$AI367), INDEX($AY$71:$BE$75,,$AH367), 1 / ($BF$71:$BF$75*BU367 + (1-$BF$71:$BF$75)*BQ367), N($AU$71:$AU$75&gt;$AM367)),
SUMPRODUCT(INDEX($AV$66:$AX$75,,$AI367), INDEX($AY$66:$BE$75,,$AH367), 1 / ($BG$66:$BG$75*BU367 + (1-$BG$66:$BG$75)*BQ367), N($AU$66:$AU$75&gt;$AM367))
) / 1000</f>
        <v>0</v>
      </c>
      <c r="BW367" s="231">
        <f t="shared" si="589"/>
        <v>25</v>
      </c>
      <c r="BX367" s="229">
        <f t="shared" si="566"/>
        <v>38</v>
      </c>
      <c r="BY367" s="234">
        <f t="shared" si="567"/>
        <v>4.0666935483870965</v>
      </c>
      <c r="BZ367" s="234" cm="1">
        <f t="array" ref="BZ367">$BM367 * IF($AH367&lt;=2,
SUMPRODUCT(INDEX($AV$66:$AX$70,,$AI367), INDEX($AY$66:$BE$70,,$AH367), 1 / ($BF$66:$BF$70*BY367 + (1-$BF$66:$BF$70)*BU367), N($AU$66:$AU$70&gt;$AM367)),
SUMPRODUCT(INDEX($AV$56:$AX$65,,$AI367), INDEX($AY$56:$BE$65,,$AH367), 1 / ($BG$56:$BG$65*BY367 + (1-$BG$56:$BG$65)*BU367), N($AU$56:$AU$65&gt;$AM367))
) / 1000</f>
        <v>0</v>
      </c>
      <c r="CA367" s="231">
        <f t="shared" si="590"/>
        <v>20</v>
      </c>
      <c r="CB367" s="229">
        <f t="shared" si="568"/>
        <v>33</v>
      </c>
      <c r="CC367" s="234">
        <f t="shared" si="569"/>
        <v>4.8487499999999999</v>
      </c>
      <c r="CD367" s="234" cm="1">
        <f t="array" ref="CD367">$BM367 * IF($AH367&lt;=2,
SUMPRODUCT(INDEX($AV$61:$AX$65,,$AI367), INDEX($AY$61:$BE$65,,$AH367), 1 / ($BF$61:$BF$65*CC367 + (1-$BF$61:$BF$65)*BY367), N($AU$61:$AU$65&gt;$AM367)),
SUMPRODUCT(INDEX($AV$46:$AX$55,,$AI367), INDEX($AY$46:$BE$55,,$AH367), 1 / ($BG$46:$BG$55*CC367 + (1-$BG$46:$BG$55)*BY367), N($AU$46:$AU$55&gt;$AM367))
) / 1000</f>
        <v>0</v>
      </c>
      <c r="CE367" s="234" cm="1">
        <f t="array" ref="CE367">$BM367 * IF($AH367&lt;=2,
SUMPRODUCT(INDEX($AV$22:$AX$60,,$AI367), INDEX($AY$22:$BE$60,,$AH367), 1 / ($BF$22:$BF$60*CC367), N($AU$22:$AU$60&gt;$AM367)),
SUMPRODUCT(INDEX($AV$22:$AX$45,,$AI367), INDEX($AY$22:$BE$45,,$AH367), 1 / ($BG$22:$BG$45*CC367), N($AU$22:$AU$45&gt;$AM367))
) / 1000</f>
        <v>0</v>
      </c>
      <c r="CF367" s="229">
        <f t="shared" si="570"/>
        <v>0</v>
      </c>
      <c r="CG367" s="246"/>
      <c r="CH367" s="229">
        <f t="shared" si="571"/>
        <v>0</v>
      </c>
      <c r="CI367" s="228">
        <v>35</v>
      </c>
      <c r="CJ367" s="229">
        <f t="shared" si="572"/>
        <v>48</v>
      </c>
      <c r="CK367" s="234">
        <f t="shared" si="573"/>
        <v>3.0748170731707316</v>
      </c>
      <c r="CL367" s="234" cm="1">
        <f t="array" ref="CL367">$BM367 * SUMPRODUCT(INDEX($AV$76:$AX$81,,$AI367),INDEX($AY$76:$BE$81,,$AH367), N($AU$76:$AU$81&gt;$AM367)) / CK367 / 1000</f>
        <v>0</v>
      </c>
      <c r="CM367" s="231">
        <f t="shared" si="591"/>
        <v>30</v>
      </c>
      <c r="CN367" s="229">
        <f t="shared" si="574"/>
        <v>43</v>
      </c>
      <c r="CO367" s="234">
        <f t="shared" si="575"/>
        <v>3.5018750000000001</v>
      </c>
      <c r="CP367" s="234" cm="1">
        <f t="array" ref="CP367">$BM367 * IF($AH367&lt;=2,
SUMPRODUCT(INDEX($AV$71:$AX$75,,$AI367), INDEX($AY$71:$BE$75,,$AH367), 1 / ($BF$71:$BF$75*CO367 + (1-$BF$71:$BF$75)*CK367), N($AU$71:$AU$75&gt;$AM367)),
SUMPRODUCT(INDEX($AV$66:$AX$75,,$AI367), INDEX($AY$66:$BE$75,,$AH367), 1 / ($BG$66:$BG$75*CO367 + (1-$BG$66:$BG$75)*CK367), N($AU$66:$AU$75&gt;$AM367))
) / 1000</f>
        <v>0</v>
      </c>
      <c r="CQ367" s="231">
        <f t="shared" si="592"/>
        <v>25</v>
      </c>
      <c r="CR367" s="229">
        <f t="shared" si="576"/>
        <v>38</v>
      </c>
      <c r="CS367" s="234">
        <f t="shared" si="577"/>
        <v>4.0666935483870965</v>
      </c>
      <c r="CT367" s="234" cm="1">
        <f t="array" ref="CT367">$BM367 * IF($AH367&lt;=2,
SUMPRODUCT(INDEX($AV$66:$AX$70,,$AI367), INDEX($AY$66:$BE$70,,$AH367), 1 / ($BF$66:$BF$70*CS367 + (1-$BF$66:$BF$70)*CO367), N($AU$66:$AU$70&gt;$AM367)),
SUMPRODUCT(INDEX($AV$56:$AX$65,,$AI367), INDEX($AY$56:$BE$65,,$AH367), 1 / ($BG$56:$BG$65*CS367 + (1-$BG$56:$BG$65)*CO367), N($AU$56:$AU$65&gt;$AM367))
) / 1000</f>
        <v>0</v>
      </c>
      <c r="CU367" s="231">
        <f t="shared" si="593"/>
        <v>20</v>
      </c>
      <c r="CV367" s="229">
        <f t="shared" si="578"/>
        <v>33</v>
      </c>
      <c r="CW367" s="234">
        <f t="shared" si="579"/>
        <v>4.8487499999999999</v>
      </c>
      <c r="CX367" s="234" cm="1">
        <f t="array" ref="CX367">$BM367 * IF($AH367&lt;=2,
SUMPRODUCT(INDEX($AV$61:$AX$65,,$AI367), INDEX($AY$61:$BE$65,,$AH367), 1 / ($BF$61:$BF$65*CW367 + (1-$BF$61:$BF$65)*CS367), N($AU$61:$AU$65&gt;$AM367)),
SUMPRODUCT(INDEX($AV$46:$AX$55,,$AI367), INDEX($AY$46:$BE$55,,$AH367), 1 / ($BG$46:$BG$55*CW367 + (1-$BG$46:$BG$55)*CS367), N($AU$46:$AU$55&gt;$AM367))
) / 1000</f>
        <v>0</v>
      </c>
      <c r="CY367" s="234" cm="1">
        <f t="array" ref="CY367">$BM367 * IF($AH367&lt;=2,
SUMPRODUCT(INDEX($AV$22:$AX$60,,$AI367), INDEX($AY$22:$BE$60,,$AH367), 1 / ($BF$22:$BF$60*CW367), N($AU$22:$AU$60&gt;$AM367)),
SUMPRODUCT(INDEX($AV$22:$AX$45,,$AI367), INDEX($AY$22:$BE$45,,$AH367), 1 / ($BG$22:$BG$45*CW367), N($AU$22:$AU$45&gt;$AM367))
) / 1000</f>
        <v>0</v>
      </c>
      <c r="CZ367" s="229">
        <f t="shared" si="580"/>
        <v>0</v>
      </c>
      <c r="DA367" s="246"/>
    </row>
    <row r="368" spans="1:105" s="75" customFormat="1" ht="14.25" customHeight="1" x14ac:dyDescent="0.2">
      <c r="A368" s="230" t="b">
        <f t="shared" si="585"/>
        <v>0</v>
      </c>
      <c r="B368" s="253">
        <v>347</v>
      </c>
      <c r="C368" s="266"/>
      <c r="D368" s="266"/>
      <c r="E368" s="254"/>
      <c r="F368" s="255" t="str">
        <f>IF(ISBLANK(E368), "", VLOOKUP(E368, Z!$A$2:$C$4127, 3, FALSE))</f>
        <v/>
      </c>
      <c r="G368" s="256"/>
      <c r="H368" s="256"/>
      <c r="I368" s="256"/>
      <c r="J368" s="257"/>
      <c r="K368" s="258"/>
      <c r="L368" s="267"/>
      <c r="M368" s="268"/>
      <c r="N368" s="259" t="str" cm="1">
        <f t="array" ref="N368">IF($L368&gt;0, INDEX(Clean,1+AK368,$D$1), "")</f>
        <v/>
      </c>
      <c r="O368" s="260"/>
      <c r="P368" s="260"/>
      <c r="Q368" s="261"/>
      <c r="R368" s="264">
        <f t="shared" si="556"/>
        <v>0</v>
      </c>
      <c r="S368" s="259" t="str" cm="1">
        <f t="array" ref="S368">IF($L368&gt;0, INDEX(Clean,1+AL368,$D$1), "")</f>
        <v/>
      </c>
      <c r="T368" s="260"/>
      <c r="U368" s="260"/>
      <c r="V368" s="261"/>
      <c r="W368" s="267"/>
      <c r="X368" s="267"/>
      <c r="Y368" s="257"/>
      <c r="Z368" s="264">
        <f t="shared" si="557"/>
        <v>0</v>
      </c>
      <c r="AA368" s="269"/>
      <c r="AB368" s="266"/>
      <c r="AC368" s="254"/>
      <c r="AD368" s="255" t="str">
        <f>IF(ISBLANK(AC368), "", VLOOKUP(AC368, Z!$A$2:$C$4127, 3, FALSE))</f>
        <v/>
      </c>
      <c r="AE368" s="270"/>
      <c r="AF368" s="265">
        <f t="shared" si="558"/>
        <v>0</v>
      </c>
      <c r="AG368" s="246"/>
      <c r="AH368" s="228">
        <f t="shared" si="581"/>
        <v>1</v>
      </c>
      <c r="AI368" s="228">
        <f t="shared" si="582"/>
        <v>1</v>
      </c>
      <c r="AJ368" s="228">
        <f t="shared" si="583"/>
        <v>0</v>
      </c>
      <c r="AK368" s="228">
        <v>0</v>
      </c>
      <c r="AL368" s="228">
        <v>0</v>
      </c>
      <c r="AM368" s="228">
        <f t="shared" si="559"/>
        <v>-100</v>
      </c>
      <c r="AN368" s="228" cm="1">
        <f t="array" ref="AN368">IF(ISBLANK(G368), 1, IFERROR(MATCH(G368, INDEX(Kat,,1), 0), IFERROR(MATCH(Kat, INDEX(Use,,2), 0), MATCH(Kat, INDEX(Use,,3), 0))))</f>
        <v>1</v>
      </c>
      <c r="AO368" s="246"/>
      <c r="AP368" s="228" cm="1">
        <f t="array" ref="AP368">IF(W368&gt;0, INDEX(Kat, AN368,4), 0)</f>
        <v>0</v>
      </c>
      <c r="AQ368" s="228">
        <f t="shared" si="584"/>
        <v>0</v>
      </c>
      <c r="AR368" s="228" cm="1">
        <f t="array" ref="AR368">IF(X368&gt;0, INDEX(Kat, $AN368, 4+AQ368), 0)</f>
        <v>0</v>
      </c>
      <c r="AS368" s="228" cm="1">
        <f t="array" ref="AS368">IF(X368&gt;0, INDEX(Kat, $AN368, 9+AQ368), 0)</f>
        <v>0</v>
      </c>
      <c r="AT368" s="246"/>
      <c r="AU368" s="262"/>
      <c r="AV368" s="262"/>
      <c r="AW368" s="263"/>
      <c r="AX368" s="263"/>
      <c r="AY368" s="263"/>
      <c r="AZ368" s="263"/>
      <c r="BA368" s="263"/>
      <c r="BB368" s="263"/>
      <c r="BC368" s="263"/>
      <c r="BD368" s="263"/>
      <c r="BE368" s="263"/>
      <c r="BF368" s="263"/>
      <c r="BG368" s="263"/>
      <c r="BH368" s="246"/>
      <c r="BI368" s="228" cm="1">
        <f t="array" ref="BI368">INDEX(Use, $AH368, 4)</f>
        <v>7</v>
      </c>
      <c r="BJ368" s="228">
        <f t="shared" si="560"/>
        <v>32</v>
      </c>
      <c r="BK368" s="228">
        <f t="shared" si="586"/>
        <v>13</v>
      </c>
      <c r="BL368" s="228">
        <f t="shared" si="587"/>
        <v>0</v>
      </c>
      <c r="BM368" s="233" cm="1">
        <f t="array" ref="BM368">L368/IF($M368&gt;0, INDEX($AY$22:$BE$76, $M368+20, $AH368), 1)</f>
        <v>0</v>
      </c>
      <c r="BN368" s="229">
        <f t="shared" si="561"/>
        <v>0</v>
      </c>
      <c r="BO368" s="228">
        <v>35</v>
      </c>
      <c r="BP368" s="229">
        <f t="shared" si="562"/>
        <v>48</v>
      </c>
      <c r="BQ368" s="234">
        <f t="shared" si="563"/>
        <v>3.0748170731707316</v>
      </c>
      <c r="BR368" s="234" cm="1">
        <f t="array" ref="BR368">$BM368 * SUMPRODUCT(INDEX($AV$76:$AX$81,,$AI368),INDEX($AY$76:$BE$81,,$AH368), N($AU$76:$AU$81&gt;$AM368)) / BQ368 / 1000</f>
        <v>0</v>
      </c>
      <c r="BS368" s="231">
        <f t="shared" si="588"/>
        <v>30</v>
      </c>
      <c r="BT368" s="229">
        <f t="shared" si="564"/>
        <v>43</v>
      </c>
      <c r="BU368" s="234">
        <f t="shared" si="565"/>
        <v>3.5018750000000001</v>
      </c>
      <c r="BV368" s="234" cm="1">
        <f t="array" ref="BV368">$BM368 * IF($AH368&lt;=2,
SUMPRODUCT(INDEX($AV$71:$AX$75,,$AI368), INDEX($AY$71:$BE$75,,$AH368), 1 / ($BF$71:$BF$75*BU368 + (1-$BF$71:$BF$75)*BQ368), N($AU$71:$AU$75&gt;$AM368)),
SUMPRODUCT(INDEX($AV$66:$AX$75,,$AI368), INDEX($AY$66:$BE$75,,$AH368), 1 / ($BG$66:$BG$75*BU368 + (1-$BG$66:$BG$75)*BQ368), N($AU$66:$AU$75&gt;$AM368))
) / 1000</f>
        <v>0</v>
      </c>
      <c r="BW368" s="231">
        <f t="shared" si="589"/>
        <v>25</v>
      </c>
      <c r="BX368" s="229">
        <f t="shared" si="566"/>
        <v>38</v>
      </c>
      <c r="BY368" s="234">
        <f t="shared" si="567"/>
        <v>4.0666935483870965</v>
      </c>
      <c r="BZ368" s="234" cm="1">
        <f t="array" ref="BZ368">$BM368 * IF($AH368&lt;=2,
SUMPRODUCT(INDEX($AV$66:$AX$70,,$AI368), INDEX($AY$66:$BE$70,,$AH368), 1 / ($BF$66:$BF$70*BY368 + (1-$BF$66:$BF$70)*BU368), N($AU$66:$AU$70&gt;$AM368)),
SUMPRODUCT(INDEX($AV$56:$AX$65,,$AI368), INDEX($AY$56:$BE$65,,$AH368), 1 / ($BG$56:$BG$65*BY368 + (1-$BG$56:$BG$65)*BU368), N($AU$56:$AU$65&gt;$AM368))
) / 1000</f>
        <v>0</v>
      </c>
      <c r="CA368" s="231">
        <f t="shared" si="590"/>
        <v>20</v>
      </c>
      <c r="CB368" s="229">
        <f t="shared" si="568"/>
        <v>33</v>
      </c>
      <c r="CC368" s="234">
        <f t="shared" si="569"/>
        <v>4.8487499999999999</v>
      </c>
      <c r="CD368" s="234" cm="1">
        <f t="array" ref="CD368">$BM368 * IF($AH368&lt;=2,
SUMPRODUCT(INDEX($AV$61:$AX$65,,$AI368), INDEX($AY$61:$BE$65,,$AH368), 1 / ($BF$61:$BF$65*CC368 + (1-$BF$61:$BF$65)*BY368), N($AU$61:$AU$65&gt;$AM368)),
SUMPRODUCT(INDEX($AV$46:$AX$55,,$AI368), INDEX($AY$46:$BE$55,,$AH368), 1 / ($BG$46:$BG$55*CC368 + (1-$BG$46:$BG$55)*BY368), N($AU$46:$AU$55&gt;$AM368))
) / 1000</f>
        <v>0</v>
      </c>
      <c r="CE368" s="234" cm="1">
        <f t="array" ref="CE368">$BM368 * IF($AH368&lt;=2,
SUMPRODUCT(INDEX($AV$22:$AX$60,,$AI368), INDEX($AY$22:$BE$60,,$AH368), 1 / ($BF$22:$BF$60*CC368), N($AU$22:$AU$60&gt;$AM368)),
SUMPRODUCT(INDEX($AV$22:$AX$45,,$AI368), INDEX($AY$22:$BE$45,,$AH368), 1 / ($BG$22:$BG$45*CC368), N($AU$22:$AU$45&gt;$AM368))
) / 1000</f>
        <v>0</v>
      </c>
      <c r="CF368" s="229">
        <f t="shared" si="570"/>
        <v>0</v>
      </c>
      <c r="CG368" s="246"/>
      <c r="CH368" s="229">
        <f t="shared" si="571"/>
        <v>0</v>
      </c>
      <c r="CI368" s="228">
        <v>35</v>
      </c>
      <c r="CJ368" s="229">
        <f t="shared" si="572"/>
        <v>48</v>
      </c>
      <c r="CK368" s="234">
        <f t="shared" si="573"/>
        <v>3.0748170731707316</v>
      </c>
      <c r="CL368" s="234" cm="1">
        <f t="array" ref="CL368">$BM368 * SUMPRODUCT(INDEX($AV$76:$AX$81,,$AI368),INDEX($AY$76:$BE$81,,$AH368), N($AU$76:$AU$81&gt;$AM368)) / CK368 / 1000</f>
        <v>0</v>
      </c>
      <c r="CM368" s="231">
        <f t="shared" si="591"/>
        <v>30</v>
      </c>
      <c r="CN368" s="229">
        <f t="shared" si="574"/>
        <v>43</v>
      </c>
      <c r="CO368" s="234">
        <f t="shared" si="575"/>
        <v>3.5018750000000001</v>
      </c>
      <c r="CP368" s="234" cm="1">
        <f t="array" ref="CP368">$BM368 * IF($AH368&lt;=2,
SUMPRODUCT(INDEX($AV$71:$AX$75,,$AI368), INDEX($AY$71:$BE$75,,$AH368), 1 / ($BF$71:$BF$75*CO368 + (1-$BF$71:$BF$75)*CK368), N($AU$71:$AU$75&gt;$AM368)),
SUMPRODUCT(INDEX($AV$66:$AX$75,,$AI368), INDEX($AY$66:$BE$75,,$AH368), 1 / ($BG$66:$BG$75*CO368 + (1-$BG$66:$BG$75)*CK368), N($AU$66:$AU$75&gt;$AM368))
) / 1000</f>
        <v>0</v>
      </c>
      <c r="CQ368" s="231">
        <f t="shared" si="592"/>
        <v>25</v>
      </c>
      <c r="CR368" s="229">
        <f t="shared" si="576"/>
        <v>38</v>
      </c>
      <c r="CS368" s="234">
        <f t="shared" si="577"/>
        <v>4.0666935483870965</v>
      </c>
      <c r="CT368" s="234" cm="1">
        <f t="array" ref="CT368">$BM368 * IF($AH368&lt;=2,
SUMPRODUCT(INDEX($AV$66:$AX$70,,$AI368), INDEX($AY$66:$BE$70,,$AH368), 1 / ($BF$66:$BF$70*CS368 + (1-$BF$66:$BF$70)*CO368), N($AU$66:$AU$70&gt;$AM368)),
SUMPRODUCT(INDEX($AV$56:$AX$65,,$AI368), INDEX($AY$56:$BE$65,,$AH368), 1 / ($BG$56:$BG$65*CS368 + (1-$BG$56:$BG$65)*CO368), N($AU$56:$AU$65&gt;$AM368))
) / 1000</f>
        <v>0</v>
      </c>
      <c r="CU368" s="231">
        <f t="shared" si="593"/>
        <v>20</v>
      </c>
      <c r="CV368" s="229">
        <f t="shared" si="578"/>
        <v>33</v>
      </c>
      <c r="CW368" s="234">
        <f t="shared" si="579"/>
        <v>4.8487499999999999</v>
      </c>
      <c r="CX368" s="234" cm="1">
        <f t="array" ref="CX368">$BM368 * IF($AH368&lt;=2,
SUMPRODUCT(INDEX($AV$61:$AX$65,,$AI368), INDEX($AY$61:$BE$65,,$AH368), 1 / ($BF$61:$BF$65*CW368 + (1-$BF$61:$BF$65)*CS368), N($AU$61:$AU$65&gt;$AM368)),
SUMPRODUCT(INDEX($AV$46:$AX$55,,$AI368), INDEX($AY$46:$BE$55,,$AH368), 1 / ($BG$46:$BG$55*CW368 + (1-$BG$46:$BG$55)*CS368), N($AU$46:$AU$55&gt;$AM368))
) / 1000</f>
        <v>0</v>
      </c>
      <c r="CY368" s="234" cm="1">
        <f t="array" ref="CY368">$BM368 * IF($AH368&lt;=2,
SUMPRODUCT(INDEX($AV$22:$AX$60,,$AI368), INDEX($AY$22:$BE$60,,$AH368), 1 / ($BF$22:$BF$60*CW368), N($AU$22:$AU$60&gt;$AM368)),
SUMPRODUCT(INDEX($AV$22:$AX$45,,$AI368), INDEX($AY$22:$BE$45,,$AH368), 1 / ($BG$22:$BG$45*CW368), N($AU$22:$AU$45&gt;$AM368))
) / 1000</f>
        <v>0</v>
      </c>
      <c r="CZ368" s="229">
        <f t="shared" si="580"/>
        <v>0</v>
      </c>
      <c r="DA368" s="246"/>
    </row>
    <row r="369" spans="1:105" s="75" customFormat="1" ht="14.25" customHeight="1" x14ac:dyDescent="0.2">
      <c r="A369" s="230" t="b">
        <f t="shared" si="585"/>
        <v>0</v>
      </c>
      <c r="B369" s="253">
        <v>348</v>
      </c>
      <c r="C369" s="266"/>
      <c r="D369" s="266"/>
      <c r="E369" s="254"/>
      <c r="F369" s="255" t="str">
        <f>IF(ISBLANK(E369), "", VLOOKUP(E369, Z!$A$2:$C$4127, 3, FALSE))</f>
        <v/>
      </c>
      <c r="G369" s="256"/>
      <c r="H369" s="256"/>
      <c r="I369" s="256"/>
      <c r="J369" s="257"/>
      <c r="K369" s="258"/>
      <c r="L369" s="267"/>
      <c r="M369" s="268"/>
      <c r="N369" s="259" t="str" cm="1">
        <f t="array" ref="N369">IF($L369&gt;0, INDEX(Clean,1+AK369,$D$1), "")</f>
        <v/>
      </c>
      <c r="O369" s="260"/>
      <c r="P369" s="260"/>
      <c r="Q369" s="261"/>
      <c r="R369" s="264">
        <f t="shared" si="556"/>
        <v>0</v>
      </c>
      <c r="S369" s="259" t="str" cm="1">
        <f t="array" ref="S369">IF($L369&gt;0, INDEX(Clean,1+AL369,$D$1), "")</f>
        <v/>
      </c>
      <c r="T369" s="260"/>
      <c r="U369" s="260"/>
      <c r="V369" s="261"/>
      <c r="W369" s="267"/>
      <c r="X369" s="267"/>
      <c r="Y369" s="257"/>
      <c r="Z369" s="264">
        <f t="shared" si="557"/>
        <v>0</v>
      </c>
      <c r="AA369" s="269"/>
      <c r="AB369" s="266"/>
      <c r="AC369" s="254"/>
      <c r="AD369" s="255" t="str">
        <f>IF(ISBLANK(AC369), "", VLOOKUP(AC369, Z!$A$2:$C$4127, 3, FALSE))</f>
        <v/>
      </c>
      <c r="AE369" s="270"/>
      <c r="AF369" s="265">
        <f t="shared" si="558"/>
        <v>0</v>
      </c>
      <c r="AG369" s="246"/>
      <c r="AH369" s="228">
        <f t="shared" si="581"/>
        <v>1</v>
      </c>
      <c r="AI369" s="228">
        <f t="shared" si="582"/>
        <v>1</v>
      </c>
      <c r="AJ369" s="228">
        <f t="shared" si="583"/>
        <v>0</v>
      </c>
      <c r="AK369" s="228">
        <v>0</v>
      </c>
      <c r="AL369" s="228">
        <v>0</v>
      </c>
      <c r="AM369" s="228">
        <f t="shared" si="559"/>
        <v>-100</v>
      </c>
      <c r="AN369" s="228" cm="1">
        <f t="array" ref="AN369">IF(ISBLANK(G369), 1, IFERROR(MATCH(G369, INDEX(Kat,,1), 0), IFERROR(MATCH(Kat, INDEX(Use,,2), 0), MATCH(Kat, INDEX(Use,,3), 0))))</f>
        <v>1</v>
      </c>
      <c r="AO369" s="246"/>
      <c r="AP369" s="228" cm="1">
        <f t="array" ref="AP369">IF(W369&gt;0, INDEX(Kat, AN369,4), 0)</f>
        <v>0</v>
      </c>
      <c r="AQ369" s="228">
        <f t="shared" si="584"/>
        <v>0</v>
      </c>
      <c r="AR369" s="228" cm="1">
        <f t="array" ref="AR369">IF(X369&gt;0, INDEX(Kat, $AN369, 4+AQ369), 0)</f>
        <v>0</v>
      </c>
      <c r="AS369" s="228" cm="1">
        <f t="array" ref="AS369">IF(X369&gt;0, INDEX(Kat, $AN369, 9+AQ369), 0)</f>
        <v>0</v>
      </c>
      <c r="AT369" s="246"/>
      <c r="AU369" s="262"/>
      <c r="AV369" s="262"/>
      <c r="AW369" s="263"/>
      <c r="AX369" s="263"/>
      <c r="AY369" s="263"/>
      <c r="AZ369" s="263"/>
      <c r="BA369" s="263"/>
      <c r="BB369" s="263"/>
      <c r="BC369" s="263"/>
      <c r="BD369" s="263"/>
      <c r="BE369" s="263"/>
      <c r="BF369" s="263"/>
      <c r="BG369" s="263"/>
      <c r="BH369" s="246"/>
      <c r="BI369" s="228" cm="1">
        <f t="array" ref="BI369">INDEX(Use, $AH369, 4)</f>
        <v>7</v>
      </c>
      <c r="BJ369" s="228">
        <f t="shared" si="560"/>
        <v>32</v>
      </c>
      <c r="BK369" s="228">
        <f t="shared" si="586"/>
        <v>13</v>
      </c>
      <c r="BL369" s="228">
        <f t="shared" si="587"/>
        <v>0</v>
      </c>
      <c r="BM369" s="233" cm="1">
        <f t="array" ref="BM369">L369/IF($M369&gt;0, INDEX($AY$22:$BE$76, $M369+20, $AH369), 1)</f>
        <v>0</v>
      </c>
      <c r="BN369" s="229">
        <f t="shared" si="561"/>
        <v>0</v>
      </c>
      <c r="BO369" s="228">
        <v>35</v>
      </c>
      <c r="BP369" s="229">
        <f t="shared" si="562"/>
        <v>48</v>
      </c>
      <c r="BQ369" s="234">
        <f t="shared" si="563"/>
        <v>3.0748170731707316</v>
      </c>
      <c r="BR369" s="234" cm="1">
        <f t="array" ref="BR369">$BM369 * SUMPRODUCT(INDEX($AV$76:$AX$81,,$AI369),INDEX($AY$76:$BE$81,,$AH369), N($AU$76:$AU$81&gt;$AM369)) / BQ369 / 1000</f>
        <v>0</v>
      </c>
      <c r="BS369" s="231">
        <f t="shared" si="588"/>
        <v>30</v>
      </c>
      <c r="BT369" s="229">
        <f t="shared" si="564"/>
        <v>43</v>
      </c>
      <c r="BU369" s="234">
        <f t="shared" si="565"/>
        <v>3.5018750000000001</v>
      </c>
      <c r="BV369" s="234" cm="1">
        <f t="array" ref="BV369">$BM369 * IF($AH369&lt;=2,
SUMPRODUCT(INDEX($AV$71:$AX$75,,$AI369), INDEX($AY$71:$BE$75,,$AH369), 1 / ($BF$71:$BF$75*BU369 + (1-$BF$71:$BF$75)*BQ369), N($AU$71:$AU$75&gt;$AM369)),
SUMPRODUCT(INDEX($AV$66:$AX$75,,$AI369), INDEX($AY$66:$BE$75,,$AH369), 1 / ($BG$66:$BG$75*BU369 + (1-$BG$66:$BG$75)*BQ369), N($AU$66:$AU$75&gt;$AM369))
) / 1000</f>
        <v>0</v>
      </c>
      <c r="BW369" s="231">
        <f t="shared" si="589"/>
        <v>25</v>
      </c>
      <c r="BX369" s="229">
        <f t="shared" si="566"/>
        <v>38</v>
      </c>
      <c r="BY369" s="234">
        <f t="shared" si="567"/>
        <v>4.0666935483870965</v>
      </c>
      <c r="BZ369" s="234" cm="1">
        <f t="array" ref="BZ369">$BM369 * IF($AH369&lt;=2,
SUMPRODUCT(INDEX($AV$66:$AX$70,,$AI369), INDEX($AY$66:$BE$70,,$AH369), 1 / ($BF$66:$BF$70*BY369 + (1-$BF$66:$BF$70)*BU369), N($AU$66:$AU$70&gt;$AM369)),
SUMPRODUCT(INDEX($AV$56:$AX$65,,$AI369), INDEX($AY$56:$BE$65,,$AH369), 1 / ($BG$56:$BG$65*BY369 + (1-$BG$56:$BG$65)*BU369), N($AU$56:$AU$65&gt;$AM369))
) / 1000</f>
        <v>0</v>
      </c>
      <c r="CA369" s="231">
        <f t="shared" si="590"/>
        <v>20</v>
      </c>
      <c r="CB369" s="229">
        <f t="shared" si="568"/>
        <v>33</v>
      </c>
      <c r="CC369" s="234">
        <f t="shared" si="569"/>
        <v>4.8487499999999999</v>
      </c>
      <c r="CD369" s="234" cm="1">
        <f t="array" ref="CD369">$BM369 * IF($AH369&lt;=2,
SUMPRODUCT(INDEX($AV$61:$AX$65,,$AI369), INDEX($AY$61:$BE$65,,$AH369), 1 / ($BF$61:$BF$65*CC369 + (1-$BF$61:$BF$65)*BY369), N($AU$61:$AU$65&gt;$AM369)),
SUMPRODUCT(INDEX($AV$46:$AX$55,,$AI369), INDEX($AY$46:$BE$55,,$AH369), 1 / ($BG$46:$BG$55*CC369 + (1-$BG$46:$BG$55)*BY369), N($AU$46:$AU$55&gt;$AM369))
) / 1000</f>
        <v>0</v>
      </c>
      <c r="CE369" s="234" cm="1">
        <f t="array" ref="CE369">$BM369 * IF($AH369&lt;=2,
SUMPRODUCT(INDEX($AV$22:$AX$60,,$AI369), INDEX($AY$22:$BE$60,,$AH369), 1 / ($BF$22:$BF$60*CC369), N($AU$22:$AU$60&gt;$AM369)),
SUMPRODUCT(INDEX($AV$22:$AX$45,,$AI369), INDEX($AY$22:$BE$45,,$AH369), 1 / ($BG$22:$BG$45*CC369), N($AU$22:$AU$45&gt;$AM369))
) / 1000</f>
        <v>0</v>
      </c>
      <c r="CF369" s="229">
        <f t="shared" si="570"/>
        <v>0</v>
      </c>
      <c r="CG369" s="246"/>
      <c r="CH369" s="229">
        <f t="shared" si="571"/>
        <v>0</v>
      </c>
      <c r="CI369" s="228">
        <v>35</v>
      </c>
      <c r="CJ369" s="229">
        <f t="shared" si="572"/>
        <v>48</v>
      </c>
      <c r="CK369" s="234">
        <f t="shared" si="573"/>
        <v>3.0748170731707316</v>
      </c>
      <c r="CL369" s="234" cm="1">
        <f t="array" ref="CL369">$BM369 * SUMPRODUCT(INDEX($AV$76:$AX$81,,$AI369),INDEX($AY$76:$BE$81,,$AH369), N($AU$76:$AU$81&gt;$AM369)) / CK369 / 1000</f>
        <v>0</v>
      </c>
      <c r="CM369" s="231">
        <f t="shared" si="591"/>
        <v>30</v>
      </c>
      <c r="CN369" s="229">
        <f t="shared" si="574"/>
        <v>43</v>
      </c>
      <c r="CO369" s="234">
        <f t="shared" si="575"/>
        <v>3.5018750000000001</v>
      </c>
      <c r="CP369" s="234" cm="1">
        <f t="array" ref="CP369">$BM369 * IF($AH369&lt;=2,
SUMPRODUCT(INDEX($AV$71:$AX$75,,$AI369), INDEX($AY$71:$BE$75,,$AH369), 1 / ($BF$71:$BF$75*CO369 + (1-$BF$71:$BF$75)*CK369), N($AU$71:$AU$75&gt;$AM369)),
SUMPRODUCT(INDEX($AV$66:$AX$75,,$AI369), INDEX($AY$66:$BE$75,,$AH369), 1 / ($BG$66:$BG$75*CO369 + (1-$BG$66:$BG$75)*CK369), N($AU$66:$AU$75&gt;$AM369))
) / 1000</f>
        <v>0</v>
      </c>
      <c r="CQ369" s="231">
        <f t="shared" si="592"/>
        <v>25</v>
      </c>
      <c r="CR369" s="229">
        <f t="shared" si="576"/>
        <v>38</v>
      </c>
      <c r="CS369" s="234">
        <f t="shared" si="577"/>
        <v>4.0666935483870965</v>
      </c>
      <c r="CT369" s="234" cm="1">
        <f t="array" ref="CT369">$BM369 * IF($AH369&lt;=2,
SUMPRODUCT(INDEX($AV$66:$AX$70,,$AI369), INDEX($AY$66:$BE$70,,$AH369), 1 / ($BF$66:$BF$70*CS369 + (1-$BF$66:$BF$70)*CO369), N($AU$66:$AU$70&gt;$AM369)),
SUMPRODUCT(INDEX($AV$56:$AX$65,,$AI369), INDEX($AY$56:$BE$65,,$AH369), 1 / ($BG$56:$BG$65*CS369 + (1-$BG$56:$BG$65)*CO369), N($AU$56:$AU$65&gt;$AM369))
) / 1000</f>
        <v>0</v>
      </c>
      <c r="CU369" s="231">
        <f t="shared" si="593"/>
        <v>20</v>
      </c>
      <c r="CV369" s="229">
        <f t="shared" si="578"/>
        <v>33</v>
      </c>
      <c r="CW369" s="234">
        <f t="shared" si="579"/>
        <v>4.8487499999999999</v>
      </c>
      <c r="CX369" s="234" cm="1">
        <f t="array" ref="CX369">$BM369 * IF($AH369&lt;=2,
SUMPRODUCT(INDEX($AV$61:$AX$65,,$AI369), INDEX($AY$61:$BE$65,,$AH369), 1 / ($BF$61:$BF$65*CW369 + (1-$BF$61:$BF$65)*CS369), N($AU$61:$AU$65&gt;$AM369)),
SUMPRODUCT(INDEX($AV$46:$AX$55,,$AI369), INDEX($AY$46:$BE$55,,$AH369), 1 / ($BG$46:$BG$55*CW369 + (1-$BG$46:$BG$55)*CS369), N($AU$46:$AU$55&gt;$AM369))
) / 1000</f>
        <v>0</v>
      </c>
      <c r="CY369" s="234" cm="1">
        <f t="array" ref="CY369">$BM369 * IF($AH369&lt;=2,
SUMPRODUCT(INDEX($AV$22:$AX$60,,$AI369), INDEX($AY$22:$BE$60,,$AH369), 1 / ($BF$22:$BF$60*CW369), N($AU$22:$AU$60&gt;$AM369)),
SUMPRODUCT(INDEX($AV$22:$AX$45,,$AI369), INDEX($AY$22:$BE$45,,$AH369), 1 / ($BG$22:$BG$45*CW369), N($AU$22:$AU$45&gt;$AM369))
) / 1000</f>
        <v>0</v>
      </c>
      <c r="CZ369" s="229">
        <f t="shared" si="580"/>
        <v>0</v>
      </c>
      <c r="DA369" s="246"/>
    </row>
    <row r="370" spans="1:105" s="75" customFormat="1" ht="14.25" customHeight="1" x14ac:dyDescent="0.2">
      <c r="A370" s="230" t="b">
        <f t="shared" si="585"/>
        <v>0</v>
      </c>
      <c r="B370" s="253">
        <v>349</v>
      </c>
      <c r="C370" s="266"/>
      <c r="D370" s="266"/>
      <c r="E370" s="254"/>
      <c r="F370" s="255" t="str">
        <f>IF(ISBLANK(E370), "", VLOOKUP(E370, Z!$A$2:$C$4127, 3, FALSE))</f>
        <v/>
      </c>
      <c r="G370" s="256"/>
      <c r="H370" s="256"/>
      <c r="I370" s="256"/>
      <c r="J370" s="257"/>
      <c r="K370" s="258"/>
      <c r="L370" s="267"/>
      <c r="M370" s="268"/>
      <c r="N370" s="259" t="str" cm="1">
        <f t="array" ref="N370">IF($L370&gt;0, INDEX(Clean,1+AK370,$D$1), "")</f>
        <v/>
      </c>
      <c r="O370" s="260"/>
      <c r="P370" s="260"/>
      <c r="Q370" s="261"/>
      <c r="R370" s="264">
        <f t="shared" si="556"/>
        <v>0</v>
      </c>
      <c r="S370" s="259" t="str" cm="1">
        <f t="array" ref="S370">IF($L370&gt;0, INDEX(Clean,1+AL370,$D$1), "")</f>
        <v/>
      </c>
      <c r="T370" s="260"/>
      <c r="U370" s="260"/>
      <c r="V370" s="261"/>
      <c r="W370" s="267"/>
      <c r="X370" s="267"/>
      <c r="Y370" s="257"/>
      <c r="Z370" s="264">
        <f t="shared" si="557"/>
        <v>0</v>
      </c>
      <c r="AA370" s="269"/>
      <c r="AB370" s="266"/>
      <c r="AC370" s="254"/>
      <c r="AD370" s="255" t="str">
        <f>IF(ISBLANK(AC370), "", VLOOKUP(AC370, Z!$A$2:$C$4127, 3, FALSE))</f>
        <v/>
      </c>
      <c r="AE370" s="270"/>
      <c r="AF370" s="265">
        <f t="shared" si="558"/>
        <v>0</v>
      </c>
      <c r="AG370" s="246"/>
      <c r="AH370" s="228">
        <f t="shared" si="581"/>
        <v>1</v>
      </c>
      <c r="AI370" s="228">
        <f t="shared" si="582"/>
        <v>1</v>
      </c>
      <c r="AJ370" s="228">
        <f t="shared" si="583"/>
        <v>0</v>
      </c>
      <c r="AK370" s="228">
        <v>0</v>
      </c>
      <c r="AL370" s="228">
        <v>0</v>
      </c>
      <c r="AM370" s="228">
        <f t="shared" si="559"/>
        <v>-100</v>
      </c>
      <c r="AN370" s="228" cm="1">
        <f t="array" ref="AN370">IF(ISBLANK(G370), 1, IFERROR(MATCH(G370, INDEX(Kat,,1), 0), IFERROR(MATCH(Kat, INDEX(Use,,2), 0), MATCH(Kat, INDEX(Use,,3), 0))))</f>
        <v>1</v>
      </c>
      <c r="AO370" s="246"/>
      <c r="AP370" s="228" cm="1">
        <f t="array" ref="AP370">IF(W370&gt;0, INDEX(Kat, AN370,4), 0)</f>
        <v>0</v>
      </c>
      <c r="AQ370" s="228">
        <f t="shared" si="584"/>
        <v>0</v>
      </c>
      <c r="AR370" s="228" cm="1">
        <f t="array" ref="AR370">IF(X370&gt;0, INDEX(Kat, $AN370, 4+AQ370), 0)</f>
        <v>0</v>
      </c>
      <c r="AS370" s="228" cm="1">
        <f t="array" ref="AS370">IF(X370&gt;0, INDEX(Kat, $AN370, 9+AQ370), 0)</f>
        <v>0</v>
      </c>
      <c r="AT370" s="246"/>
      <c r="AU370" s="262"/>
      <c r="AV370" s="262"/>
      <c r="AW370" s="263"/>
      <c r="AX370" s="263"/>
      <c r="AY370" s="263"/>
      <c r="AZ370" s="263"/>
      <c r="BA370" s="263"/>
      <c r="BB370" s="263"/>
      <c r="BC370" s="263"/>
      <c r="BD370" s="263"/>
      <c r="BE370" s="263"/>
      <c r="BF370" s="263"/>
      <c r="BG370" s="263"/>
      <c r="BH370" s="246"/>
      <c r="BI370" s="228" cm="1">
        <f t="array" ref="BI370">INDEX(Use, $AH370, 4)</f>
        <v>7</v>
      </c>
      <c r="BJ370" s="228">
        <f t="shared" si="560"/>
        <v>32</v>
      </c>
      <c r="BK370" s="228">
        <f t="shared" si="586"/>
        <v>13</v>
      </c>
      <c r="BL370" s="228">
        <f t="shared" si="587"/>
        <v>0</v>
      </c>
      <c r="BM370" s="233" cm="1">
        <f t="array" ref="BM370">L370/IF($M370&gt;0, INDEX($AY$22:$BE$76, $M370+20, $AH370), 1)</f>
        <v>0</v>
      </c>
      <c r="BN370" s="229">
        <f t="shared" si="561"/>
        <v>0</v>
      </c>
      <c r="BO370" s="228">
        <v>35</v>
      </c>
      <c r="BP370" s="229">
        <f t="shared" si="562"/>
        <v>48</v>
      </c>
      <c r="BQ370" s="234">
        <f t="shared" si="563"/>
        <v>3.0748170731707316</v>
      </c>
      <c r="BR370" s="234" cm="1">
        <f t="array" ref="BR370">$BM370 * SUMPRODUCT(INDEX($AV$76:$AX$81,,$AI370),INDEX($AY$76:$BE$81,,$AH370), N($AU$76:$AU$81&gt;$AM370)) / BQ370 / 1000</f>
        <v>0</v>
      </c>
      <c r="BS370" s="231">
        <f t="shared" si="588"/>
        <v>30</v>
      </c>
      <c r="BT370" s="229">
        <f t="shared" si="564"/>
        <v>43</v>
      </c>
      <c r="BU370" s="234">
        <f t="shared" si="565"/>
        <v>3.5018750000000001</v>
      </c>
      <c r="BV370" s="234" cm="1">
        <f t="array" ref="BV370">$BM370 * IF($AH370&lt;=2,
SUMPRODUCT(INDEX($AV$71:$AX$75,,$AI370), INDEX($AY$71:$BE$75,,$AH370), 1 / ($BF$71:$BF$75*BU370 + (1-$BF$71:$BF$75)*BQ370), N($AU$71:$AU$75&gt;$AM370)),
SUMPRODUCT(INDEX($AV$66:$AX$75,,$AI370), INDEX($AY$66:$BE$75,,$AH370), 1 / ($BG$66:$BG$75*BU370 + (1-$BG$66:$BG$75)*BQ370), N($AU$66:$AU$75&gt;$AM370))
) / 1000</f>
        <v>0</v>
      </c>
      <c r="BW370" s="231">
        <f t="shared" si="589"/>
        <v>25</v>
      </c>
      <c r="BX370" s="229">
        <f t="shared" si="566"/>
        <v>38</v>
      </c>
      <c r="BY370" s="234">
        <f t="shared" si="567"/>
        <v>4.0666935483870965</v>
      </c>
      <c r="BZ370" s="234" cm="1">
        <f t="array" ref="BZ370">$BM370 * IF($AH370&lt;=2,
SUMPRODUCT(INDEX($AV$66:$AX$70,,$AI370), INDEX($AY$66:$BE$70,,$AH370), 1 / ($BF$66:$BF$70*BY370 + (1-$BF$66:$BF$70)*BU370), N($AU$66:$AU$70&gt;$AM370)),
SUMPRODUCT(INDEX($AV$56:$AX$65,,$AI370), INDEX($AY$56:$BE$65,,$AH370), 1 / ($BG$56:$BG$65*BY370 + (1-$BG$56:$BG$65)*BU370), N($AU$56:$AU$65&gt;$AM370))
) / 1000</f>
        <v>0</v>
      </c>
      <c r="CA370" s="231">
        <f t="shared" si="590"/>
        <v>20</v>
      </c>
      <c r="CB370" s="229">
        <f t="shared" si="568"/>
        <v>33</v>
      </c>
      <c r="CC370" s="234">
        <f t="shared" si="569"/>
        <v>4.8487499999999999</v>
      </c>
      <c r="CD370" s="234" cm="1">
        <f t="array" ref="CD370">$BM370 * IF($AH370&lt;=2,
SUMPRODUCT(INDEX($AV$61:$AX$65,,$AI370), INDEX($AY$61:$BE$65,,$AH370), 1 / ($BF$61:$BF$65*CC370 + (1-$BF$61:$BF$65)*BY370), N($AU$61:$AU$65&gt;$AM370)),
SUMPRODUCT(INDEX($AV$46:$AX$55,,$AI370), INDEX($AY$46:$BE$55,,$AH370), 1 / ($BG$46:$BG$55*CC370 + (1-$BG$46:$BG$55)*BY370), N($AU$46:$AU$55&gt;$AM370))
) / 1000</f>
        <v>0</v>
      </c>
      <c r="CE370" s="234" cm="1">
        <f t="array" ref="CE370">$BM370 * IF($AH370&lt;=2,
SUMPRODUCT(INDEX($AV$22:$AX$60,,$AI370), INDEX($AY$22:$BE$60,,$AH370), 1 / ($BF$22:$BF$60*CC370), N($AU$22:$AU$60&gt;$AM370)),
SUMPRODUCT(INDEX($AV$22:$AX$45,,$AI370), INDEX($AY$22:$BE$45,,$AH370), 1 / ($BG$22:$BG$45*CC370), N($AU$22:$AU$45&gt;$AM370))
) / 1000</f>
        <v>0</v>
      </c>
      <c r="CF370" s="229">
        <f t="shared" si="570"/>
        <v>0</v>
      </c>
      <c r="CG370" s="246"/>
      <c r="CH370" s="229">
        <f t="shared" si="571"/>
        <v>0</v>
      </c>
      <c r="CI370" s="228">
        <v>35</v>
      </c>
      <c r="CJ370" s="229">
        <f t="shared" si="572"/>
        <v>48</v>
      </c>
      <c r="CK370" s="234">
        <f t="shared" si="573"/>
        <v>3.0748170731707316</v>
      </c>
      <c r="CL370" s="234" cm="1">
        <f t="array" ref="CL370">$BM370 * SUMPRODUCT(INDEX($AV$76:$AX$81,,$AI370),INDEX($AY$76:$BE$81,,$AH370), N($AU$76:$AU$81&gt;$AM370)) / CK370 / 1000</f>
        <v>0</v>
      </c>
      <c r="CM370" s="231">
        <f t="shared" si="591"/>
        <v>30</v>
      </c>
      <c r="CN370" s="229">
        <f t="shared" si="574"/>
        <v>43</v>
      </c>
      <c r="CO370" s="234">
        <f t="shared" si="575"/>
        <v>3.5018750000000001</v>
      </c>
      <c r="CP370" s="234" cm="1">
        <f t="array" ref="CP370">$BM370 * IF($AH370&lt;=2,
SUMPRODUCT(INDEX($AV$71:$AX$75,,$AI370), INDEX($AY$71:$BE$75,,$AH370), 1 / ($BF$71:$BF$75*CO370 + (1-$BF$71:$BF$75)*CK370), N($AU$71:$AU$75&gt;$AM370)),
SUMPRODUCT(INDEX($AV$66:$AX$75,,$AI370), INDEX($AY$66:$BE$75,,$AH370), 1 / ($BG$66:$BG$75*CO370 + (1-$BG$66:$BG$75)*CK370), N($AU$66:$AU$75&gt;$AM370))
) / 1000</f>
        <v>0</v>
      </c>
      <c r="CQ370" s="231">
        <f t="shared" si="592"/>
        <v>25</v>
      </c>
      <c r="CR370" s="229">
        <f t="shared" si="576"/>
        <v>38</v>
      </c>
      <c r="CS370" s="234">
        <f t="shared" si="577"/>
        <v>4.0666935483870965</v>
      </c>
      <c r="CT370" s="234" cm="1">
        <f t="array" ref="CT370">$BM370 * IF($AH370&lt;=2,
SUMPRODUCT(INDEX($AV$66:$AX$70,,$AI370), INDEX($AY$66:$BE$70,,$AH370), 1 / ($BF$66:$BF$70*CS370 + (1-$BF$66:$BF$70)*CO370), N($AU$66:$AU$70&gt;$AM370)),
SUMPRODUCT(INDEX($AV$56:$AX$65,,$AI370), INDEX($AY$56:$BE$65,,$AH370), 1 / ($BG$56:$BG$65*CS370 + (1-$BG$56:$BG$65)*CO370), N($AU$56:$AU$65&gt;$AM370))
) / 1000</f>
        <v>0</v>
      </c>
      <c r="CU370" s="231">
        <f t="shared" si="593"/>
        <v>20</v>
      </c>
      <c r="CV370" s="229">
        <f t="shared" si="578"/>
        <v>33</v>
      </c>
      <c r="CW370" s="234">
        <f t="shared" si="579"/>
        <v>4.8487499999999999</v>
      </c>
      <c r="CX370" s="234" cm="1">
        <f t="array" ref="CX370">$BM370 * IF($AH370&lt;=2,
SUMPRODUCT(INDEX($AV$61:$AX$65,,$AI370), INDEX($AY$61:$BE$65,,$AH370), 1 / ($BF$61:$BF$65*CW370 + (1-$BF$61:$BF$65)*CS370), N($AU$61:$AU$65&gt;$AM370)),
SUMPRODUCT(INDEX($AV$46:$AX$55,,$AI370), INDEX($AY$46:$BE$55,,$AH370), 1 / ($BG$46:$BG$55*CW370 + (1-$BG$46:$BG$55)*CS370), N($AU$46:$AU$55&gt;$AM370))
) / 1000</f>
        <v>0</v>
      </c>
      <c r="CY370" s="234" cm="1">
        <f t="array" ref="CY370">$BM370 * IF($AH370&lt;=2,
SUMPRODUCT(INDEX($AV$22:$AX$60,,$AI370), INDEX($AY$22:$BE$60,,$AH370), 1 / ($BF$22:$BF$60*CW370), N($AU$22:$AU$60&gt;$AM370)),
SUMPRODUCT(INDEX($AV$22:$AX$45,,$AI370), INDEX($AY$22:$BE$45,,$AH370), 1 / ($BG$22:$BG$45*CW370), N($AU$22:$AU$45&gt;$AM370))
) / 1000</f>
        <v>0</v>
      </c>
      <c r="CZ370" s="229">
        <f t="shared" si="580"/>
        <v>0</v>
      </c>
      <c r="DA370" s="246"/>
    </row>
    <row r="371" spans="1:105" s="75" customFormat="1" ht="14.25" customHeight="1" x14ac:dyDescent="0.2">
      <c r="A371" s="230" t="b">
        <f t="shared" si="585"/>
        <v>0</v>
      </c>
      <c r="B371" s="253">
        <v>350</v>
      </c>
      <c r="C371" s="266"/>
      <c r="D371" s="266"/>
      <c r="E371" s="254"/>
      <c r="F371" s="255" t="str">
        <f>IF(ISBLANK(E371), "", VLOOKUP(E371, Z!$A$2:$C$4127, 3, FALSE))</f>
        <v/>
      </c>
      <c r="G371" s="256"/>
      <c r="H371" s="256"/>
      <c r="I371" s="256"/>
      <c r="J371" s="257"/>
      <c r="K371" s="258"/>
      <c r="L371" s="267"/>
      <c r="M371" s="268"/>
      <c r="N371" s="259" t="str" cm="1">
        <f t="array" ref="N371">IF($L371&gt;0, INDEX(Clean,1+AK371,$D$1), "")</f>
        <v/>
      </c>
      <c r="O371" s="260"/>
      <c r="P371" s="260"/>
      <c r="Q371" s="261"/>
      <c r="R371" s="264">
        <f t="shared" si="556"/>
        <v>0</v>
      </c>
      <c r="S371" s="259" t="str" cm="1">
        <f t="array" ref="S371">IF($L371&gt;0, INDEX(Clean,1+AL371,$D$1), "")</f>
        <v/>
      </c>
      <c r="T371" s="260"/>
      <c r="U371" s="260"/>
      <c r="V371" s="261"/>
      <c r="W371" s="267"/>
      <c r="X371" s="267"/>
      <c r="Y371" s="257"/>
      <c r="Z371" s="264">
        <f t="shared" si="557"/>
        <v>0</v>
      </c>
      <c r="AA371" s="269"/>
      <c r="AB371" s="266"/>
      <c r="AC371" s="254"/>
      <c r="AD371" s="255" t="str">
        <f>IF(ISBLANK(AC371), "", VLOOKUP(AC371, Z!$A$2:$C$4127, 3, FALSE))</f>
        <v/>
      </c>
      <c r="AE371" s="270"/>
      <c r="AF371" s="265">
        <f t="shared" si="558"/>
        <v>0</v>
      </c>
      <c r="AG371" s="246"/>
      <c r="AH371" s="228">
        <f t="shared" si="581"/>
        <v>1</v>
      </c>
      <c r="AI371" s="228">
        <f t="shared" si="582"/>
        <v>1</v>
      </c>
      <c r="AJ371" s="228">
        <f t="shared" si="583"/>
        <v>0</v>
      </c>
      <c r="AK371" s="228">
        <v>0</v>
      </c>
      <c r="AL371" s="228">
        <v>0</v>
      </c>
      <c r="AM371" s="228">
        <f t="shared" si="559"/>
        <v>-100</v>
      </c>
      <c r="AN371" s="228" cm="1">
        <f t="array" ref="AN371">IF(ISBLANK(G371), 1, IFERROR(MATCH(G371, INDEX(Kat,,1), 0), IFERROR(MATCH(Kat, INDEX(Use,,2), 0), MATCH(Kat, INDEX(Use,,3), 0))))</f>
        <v>1</v>
      </c>
      <c r="AO371" s="246"/>
      <c r="AP371" s="228" cm="1">
        <f t="array" ref="AP371">IF(W371&gt;0, INDEX(Kat, AN371,4), 0)</f>
        <v>0</v>
      </c>
      <c r="AQ371" s="228">
        <f t="shared" si="584"/>
        <v>0</v>
      </c>
      <c r="AR371" s="228" cm="1">
        <f t="array" ref="AR371">IF(X371&gt;0, INDEX(Kat, $AN371, 4+AQ371), 0)</f>
        <v>0</v>
      </c>
      <c r="AS371" s="228" cm="1">
        <f t="array" ref="AS371">IF(X371&gt;0, INDEX(Kat, $AN371, 9+AQ371), 0)</f>
        <v>0</v>
      </c>
      <c r="AT371" s="246"/>
      <c r="AU371" s="262"/>
      <c r="AV371" s="262"/>
      <c r="AW371" s="263"/>
      <c r="AX371" s="263"/>
      <c r="AY371" s="263"/>
      <c r="AZ371" s="263"/>
      <c r="BA371" s="263"/>
      <c r="BB371" s="263"/>
      <c r="BC371" s="263"/>
      <c r="BD371" s="263"/>
      <c r="BE371" s="263"/>
      <c r="BF371" s="263"/>
      <c r="BG371" s="263"/>
      <c r="BH371" s="246"/>
      <c r="BI371" s="228" cm="1">
        <f t="array" ref="BI371">INDEX(Use, $AH371, 4)</f>
        <v>7</v>
      </c>
      <c r="BJ371" s="228">
        <f t="shared" si="560"/>
        <v>32</v>
      </c>
      <c r="BK371" s="228">
        <f t="shared" si="586"/>
        <v>13</v>
      </c>
      <c r="BL371" s="228">
        <f t="shared" si="587"/>
        <v>0</v>
      </c>
      <c r="BM371" s="233" cm="1">
        <f t="array" ref="BM371">L371/IF($M371&gt;0, INDEX($AY$22:$BE$76, $M371+20, $AH371), 1)</f>
        <v>0</v>
      </c>
      <c r="BN371" s="229">
        <f t="shared" si="561"/>
        <v>0</v>
      </c>
      <c r="BO371" s="228">
        <v>35</v>
      </c>
      <c r="BP371" s="229">
        <f t="shared" si="562"/>
        <v>48</v>
      </c>
      <c r="BQ371" s="234">
        <f t="shared" si="563"/>
        <v>3.0748170731707316</v>
      </c>
      <c r="BR371" s="234" cm="1">
        <f t="array" ref="BR371">$BM371 * SUMPRODUCT(INDEX($AV$76:$AX$81,,$AI371),INDEX($AY$76:$BE$81,,$AH371), N($AU$76:$AU$81&gt;$AM371)) / BQ371 / 1000</f>
        <v>0</v>
      </c>
      <c r="BS371" s="231">
        <f t="shared" si="588"/>
        <v>30</v>
      </c>
      <c r="BT371" s="229">
        <f t="shared" si="564"/>
        <v>43</v>
      </c>
      <c r="BU371" s="234">
        <f t="shared" si="565"/>
        <v>3.5018750000000001</v>
      </c>
      <c r="BV371" s="234" cm="1">
        <f t="array" ref="BV371">$BM371 * IF($AH371&lt;=2,
SUMPRODUCT(INDEX($AV$71:$AX$75,,$AI371), INDEX($AY$71:$BE$75,,$AH371), 1 / ($BF$71:$BF$75*BU371 + (1-$BF$71:$BF$75)*BQ371), N($AU$71:$AU$75&gt;$AM371)),
SUMPRODUCT(INDEX($AV$66:$AX$75,,$AI371), INDEX($AY$66:$BE$75,,$AH371), 1 / ($BG$66:$BG$75*BU371 + (1-$BG$66:$BG$75)*BQ371), N($AU$66:$AU$75&gt;$AM371))
) / 1000</f>
        <v>0</v>
      </c>
      <c r="BW371" s="231">
        <f t="shared" si="589"/>
        <v>25</v>
      </c>
      <c r="BX371" s="229">
        <f t="shared" si="566"/>
        <v>38</v>
      </c>
      <c r="BY371" s="234">
        <f t="shared" si="567"/>
        <v>4.0666935483870965</v>
      </c>
      <c r="BZ371" s="234" cm="1">
        <f t="array" ref="BZ371">$BM371 * IF($AH371&lt;=2,
SUMPRODUCT(INDEX($AV$66:$AX$70,,$AI371), INDEX($AY$66:$BE$70,,$AH371), 1 / ($BF$66:$BF$70*BY371 + (1-$BF$66:$BF$70)*BU371), N($AU$66:$AU$70&gt;$AM371)),
SUMPRODUCT(INDEX($AV$56:$AX$65,,$AI371), INDEX($AY$56:$BE$65,,$AH371), 1 / ($BG$56:$BG$65*BY371 + (1-$BG$56:$BG$65)*BU371), N($AU$56:$AU$65&gt;$AM371))
) / 1000</f>
        <v>0</v>
      </c>
      <c r="CA371" s="231">
        <f t="shared" si="590"/>
        <v>20</v>
      </c>
      <c r="CB371" s="229">
        <f t="shared" si="568"/>
        <v>33</v>
      </c>
      <c r="CC371" s="234">
        <f t="shared" si="569"/>
        <v>4.8487499999999999</v>
      </c>
      <c r="CD371" s="234" cm="1">
        <f t="array" ref="CD371">$BM371 * IF($AH371&lt;=2,
SUMPRODUCT(INDEX($AV$61:$AX$65,,$AI371), INDEX($AY$61:$BE$65,,$AH371), 1 / ($BF$61:$BF$65*CC371 + (1-$BF$61:$BF$65)*BY371), N($AU$61:$AU$65&gt;$AM371)),
SUMPRODUCT(INDEX($AV$46:$AX$55,,$AI371), INDEX($AY$46:$BE$55,,$AH371), 1 / ($BG$46:$BG$55*CC371 + (1-$BG$46:$BG$55)*BY371), N($AU$46:$AU$55&gt;$AM371))
) / 1000</f>
        <v>0</v>
      </c>
      <c r="CE371" s="234" cm="1">
        <f t="array" ref="CE371">$BM371 * IF($AH371&lt;=2,
SUMPRODUCT(INDEX($AV$22:$AX$60,,$AI371), INDEX($AY$22:$BE$60,,$AH371), 1 / ($BF$22:$BF$60*CC371), N($AU$22:$AU$60&gt;$AM371)),
SUMPRODUCT(INDEX($AV$22:$AX$45,,$AI371), INDEX($AY$22:$BE$45,,$AH371), 1 / ($BG$22:$BG$45*CC371), N($AU$22:$AU$45&gt;$AM371))
) / 1000</f>
        <v>0</v>
      </c>
      <c r="CF371" s="229">
        <f t="shared" si="570"/>
        <v>0</v>
      </c>
      <c r="CG371" s="246"/>
      <c r="CH371" s="229">
        <f t="shared" si="571"/>
        <v>0</v>
      </c>
      <c r="CI371" s="228">
        <v>35</v>
      </c>
      <c r="CJ371" s="229">
        <f t="shared" si="572"/>
        <v>48</v>
      </c>
      <c r="CK371" s="234">
        <f t="shared" si="573"/>
        <v>3.0748170731707316</v>
      </c>
      <c r="CL371" s="234" cm="1">
        <f t="array" ref="CL371">$BM371 * SUMPRODUCT(INDEX($AV$76:$AX$81,,$AI371),INDEX($AY$76:$BE$81,,$AH371), N($AU$76:$AU$81&gt;$AM371)) / CK371 / 1000</f>
        <v>0</v>
      </c>
      <c r="CM371" s="231">
        <f t="shared" si="591"/>
        <v>30</v>
      </c>
      <c r="CN371" s="229">
        <f t="shared" si="574"/>
        <v>43</v>
      </c>
      <c r="CO371" s="234">
        <f t="shared" si="575"/>
        <v>3.5018750000000001</v>
      </c>
      <c r="CP371" s="234" cm="1">
        <f t="array" ref="CP371">$BM371 * IF($AH371&lt;=2,
SUMPRODUCT(INDEX($AV$71:$AX$75,,$AI371), INDEX($AY$71:$BE$75,,$AH371), 1 / ($BF$71:$BF$75*CO371 + (1-$BF$71:$BF$75)*CK371), N($AU$71:$AU$75&gt;$AM371)),
SUMPRODUCT(INDEX($AV$66:$AX$75,,$AI371), INDEX($AY$66:$BE$75,,$AH371), 1 / ($BG$66:$BG$75*CO371 + (1-$BG$66:$BG$75)*CK371), N($AU$66:$AU$75&gt;$AM371))
) / 1000</f>
        <v>0</v>
      </c>
      <c r="CQ371" s="231">
        <f t="shared" si="592"/>
        <v>25</v>
      </c>
      <c r="CR371" s="229">
        <f t="shared" si="576"/>
        <v>38</v>
      </c>
      <c r="CS371" s="234">
        <f t="shared" si="577"/>
        <v>4.0666935483870965</v>
      </c>
      <c r="CT371" s="234" cm="1">
        <f t="array" ref="CT371">$BM371 * IF($AH371&lt;=2,
SUMPRODUCT(INDEX($AV$66:$AX$70,,$AI371), INDEX($AY$66:$BE$70,,$AH371), 1 / ($BF$66:$BF$70*CS371 + (1-$BF$66:$BF$70)*CO371), N($AU$66:$AU$70&gt;$AM371)),
SUMPRODUCT(INDEX($AV$56:$AX$65,,$AI371), INDEX($AY$56:$BE$65,,$AH371), 1 / ($BG$56:$BG$65*CS371 + (1-$BG$56:$BG$65)*CO371), N($AU$56:$AU$65&gt;$AM371))
) / 1000</f>
        <v>0</v>
      </c>
      <c r="CU371" s="231">
        <f t="shared" si="593"/>
        <v>20</v>
      </c>
      <c r="CV371" s="229">
        <f t="shared" si="578"/>
        <v>33</v>
      </c>
      <c r="CW371" s="234">
        <f t="shared" si="579"/>
        <v>4.8487499999999999</v>
      </c>
      <c r="CX371" s="234" cm="1">
        <f t="array" ref="CX371">$BM371 * IF($AH371&lt;=2,
SUMPRODUCT(INDEX($AV$61:$AX$65,,$AI371), INDEX($AY$61:$BE$65,,$AH371), 1 / ($BF$61:$BF$65*CW371 + (1-$BF$61:$BF$65)*CS371), N($AU$61:$AU$65&gt;$AM371)),
SUMPRODUCT(INDEX($AV$46:$AX$55,,$AI371), INDEX($AY$46:$BE$55,,$AH371), 1 / ($BG$46:$BG$55*CW371 + (1-$BG$46:$BG$55)*CS371), N($AU$46:$AU$55&gt;$AM371))
) / 1000</f>
        <v>0</v>
      </c>
      <c r="CY371" s="234" cm="1">
        <f t="array" ref="CY371">$BM371 * IF($AH371&lt;=2,
SUMPRODUCT(INDEX($AV$22:$AX$60,,$AI371), INDEX($AY$22:$BE$60,,$AH371), 1 / ($BF$22:$BF$60*CW371), N($AU$22:$AU$60&gt;$AM371)),
SUMPRODUCT(INDEX($AV$22:$AX$45,,$AI371), INDEX($AY$22:$BE$45,,$AH371), 1 / ($BG$22:$BG$45*CW371), N($AU$22:$AU$45&gt;$AM371))
) / 1000</f>
        <v>0</v>
      </c>
      <c r="CZ371" s="229">
        <f t="shared" si="580"/>
        <v>0</v>
      </c>
      <c r="DA371" s="246"/>
    </row>
    <row r="372" spans="1:105" s="75" customFormat="1" ht="14.25" customHeight="1" x14ac:dyDescent="0.2">
      <c r="A372" s="230" t="b">
        <f t="shared" si="585"/>
        <v>0</v>
      </c>
      <c r="B372" s="253">
        <v>351</v>
      </c>
      <c r="C372" s="266"/>
      <c r="D372" s="266"/>
      <c r="E372" s="254"/>
      <c r="F372" s="255" t="str">
        <f>IF(ISBLANK(E372), "", VLOOKUP(E372, Z!$A$2:$C$4127, 3, FALSE))</f>
        <v/>
      </c>
      <c r="G372" s="256"/>
      <c r="H372" s="256"/>
      <c r="I372" s="256"/>
      <c r="J372" s="257"/>
      <c r="K372" s="258"/>
      <c r="L372" s="267"/>
      <c r="M372" s="268"/>
      <c r="N372" s="259" t="str" cm="1">
        <f t="array" ref="N372">IF($L372&gt;0, INDEX(Clean,1+AK372,$D$1), "")</f>
        <v/>
      </c>
      <c r="O372" s="260"/>
      <c r="P372" s="260"/>
      <c r="Q372" s="261"/>
      <c r="R372" s="264">
        <f t="shared" si="556"/>
        <v>0</v>
      </c>
      <c r="S372" s="259" t="str" cm="1">
        <f t="array" ref="S372">IF($L372&gt;0, INDEX(Clean,1+AL372,$D$1), "")</f>
        <v/>
      </c>
      <c r="T372" s="260"/>
      <c r="U372" s="260"/>
      <c r="V372" s="261"/>
      <c r="W372" s="267"/>
      <c r="X372" s="267"/>
      <c r="Y372" s="257"/>
      <c r="Z372" s="264">
        <f t="shared" si="557"/>
        <v>0</v>
      </c>
      <c r="AA372" s="269"/>
      <c r="AB372" s="266"/>
      <c r="AC372" s="254"/>
      <c r="AD372" s="255" t="str">
        <f>IF(ISBLANK(AC372), "", VLOOKUP(AC372, Z!$A$2:$C$4127, 3, FALSE))</f>
        <v/>
      </c>
      <c r="AE372" s="270"/>
      <c r="AF372" s="265">
        <f t="shared" si="558"/>
        <v>0</v>
      </c>
      <c r="AG372" s="246"/>
      <c r="AH372" s="228">
        <f t="shared" si="581"/>
        <v>1</v>
      </c>
      <c r="AI372" s="228">
        <f t="shared" si="582"/>
        <v>1</v>
      </c>
      <c r="AJ372" s="228">
        <f t="shared" si="583"/>
        <v>0</v>
      </c>
      <c r="AK372" s="228">
        <v>0</v>
      </c>
      <c r="AL372" s="228">
        <v>0</v>
      </c>
      <c r="AM372" s="228">
        <f t="shared" si="559"/>
        <v>-100</v>
      </c>
      <c r="AN372" s="228" cm="1">
        <f t="array" ref="AN372">IF(ISBLANK(G372), 1, IFERROR(MATCH(G372, INDEX(Kat,,1), 0), IFERROR(MATCH(Kat, INDEX(Use,,2), 0), MATCH(Kat, INDEX(Use,,3), 0))))</f>
        <v>1</v>
      </c>
      <c r="AO372" s="246"/>
      <c r="AP372" s="228" cm="1">
        <f t="array" ref="AP372">IF(W372&gt;0, INDEX(Kat, AN372,4), 0)</f>
        <v>0</v>
      </c>
      <c r="AQ372" s="228">
        <f t="shared" si="584"/>
        <v>0</v>
      </c>
      <c r="AR372" s="228" cm="1">
        <f t="array" ref="AR372">IF(X372&gt;0, INDEX(Kat, $AN372, 4+AQ372), 0)</f>
        <v>0</v>
      </c>
      <c r="AS372" s="228" cm="1">
        <f t="array" ref="AS372">IF(X372&gt;0, INDEX(Kat, $AN372, 9+AQ372), 0)</f>
        <v>0</v>
      </c>
      <c r="AT372" s="246"/>
      <c r="AU372" s="262"/>
      <c r="AV372" s="262"/>
      <c r="AW372" s="263"/>
      <c r="AX372" s="263"/>
      <c r="AY372" s="263"/>
      <c r="AZ372" s="263"/>
      <c r="BA372" s="263"/>
      <c r="BB372" s="263"/>
      <c r="BC372" s="263"/>
      <c r="BD372" s="263"/>
      <c r="BE372" s="263"/>
      <c r="BF372" s="263"/>
      <c r="BG372" s="263"/>
      <c r="BH372" s="246"/>
      <c r="BI372" s="228" cm="1">
        <f t="array" ref="BI372">INDEX(Use, $AH372, 4)</f>
        <v>7</v>
      </c>
      <c r="BJ372" s="228">
        <f t="shared" si="560"/>
        <v>32</v>
      </c>
      <c r="BK372" s="228">
        <f t="shared" si="586"/>
        <v>13</v>
      </c>
      <c r="BL372" s="228">
        <f t="shared" si="587"/>
        <v>0</v>
      </c>
      <c r="BM372" s="233" cm="1">
        <f t="array" ref="BM372">L372/IF($M372&gt;0, INDEX($AY$22:$BE$76, $M372+20, $AH372), 1)</f>
        <v>0</v>
      </c>
      <c r="BN372" s="229">
        <f t="shared" si="561"/>
        <v>0</v>
      </c>
      <c r="BO372" s="228">
        <v>35</v>
      </c>
      <c r="BP372" s="229">
        <f t="shared" si="562"/>
        <v>48</v>
      </c>
      <c r="BQ372" s="234">
        <f t="shared" si="563"/>
        <v>3.0748170731707316</v>
      </c>
      <c r="BR372" s="234" cm="1">
        <f t="array" ref="BR372">$BM372 * SUMPRODUCT(INDEX($AV$76:$AX$81,,$AI372),INDEX($AY$76:$BE$81,,$AH372), N($AU$76:$AU$81&gt;$AM372)) / BQ372 / 1000</f>
        <v>0</v>
      </c>
      <c r="BS372" s="231">
        <f t="shared" si="588"/>
        <v>30</v>
      </c>
      <c r="BT372" s="229">
        <f t="shared" si="564"/>
        <v>43</v>
      </c>
      <c r="BU372" s="234">
        <f t="shared" si="565"/>
        <v>3.5018750000000001</v>
      </c>
      <c r="BV372" s="234" cm="1">
        <f t="array" ref="BV372">$BM372 * IF($AH372&lt;=2,
SUMPRODUCT(INDEX($AV$71:$AX$75,,$AI372), INDEX($AY$71:$BE$75,,$AH372), 1 / ($BF$71:$BF$75*BU372 + (1-$BF$71:$BF$75)*BQ372), N($AU$71:$AU$75&gt;$AM372)),
SUMPRODUCT(INDEX($AV$66:$AX$75,,$AI372), INDEX($AY$66:$BE$75,,$AH372), 1 / ($BG$66:$BG$75*BU372 + (1-$BG$66:$BG$75)*BQ372), N($AU$66:$AU$75&gt;$AM372))
) / 1000</f>
        <v>0</v>
      </c>
      <c r="BW372" s="231">
        <f t="shared" si="589"/>
        <v>25</v>
      </c>
      <c r="BX372" s="229">
        <f t="shared" si="566"/>
        <v>38</v>
      </c>
      <c r="BY372" s="234">
        <f t="shared" si="567"/>
        <v>4.0666935483870965</v>
      </c>
      <c r="BZ372" s="234" cm="1">
        <f t="array" ref="BZ372">$BM372 * IF($AH372&lt;=2,
SUMPRODUCT(INDEX($AV$66:$AX$70,,$AI372), INDEX($AY$66:$BE$70,,$AH372), 1 / ($BF$66:$BF$70*BY372 + (1-$BF$66:$BF$70)*BU372), N($AU$66:$AU$70&gt;$AM372)),
SUMPRODUCT(INDEX($AV$56:$AX$65,,$AI372), INDEX($AY$56:$BE$65,,$AH372), 1 / ($BG$56:$BG$65*BY372 + (1-$BG$56:$BG$65)*BU372), N($AU$56:$AU$65&gt;$AM372))
) / 1000</f>
        <v>0</v>
      </c>
      <c r="CA372" s="231">
        <f t="shared" si="590"/>
        <v>20</v>
      </c>
      <c r="CB372" s="229">
        <f t="shared" si="568"/>
        <v>33</v>
      </c>
      <c r="CC372" s="234">
        <f t="shared" si="569"/>
        <v>4.8487499999999999</v>
      </c>
      <c r="CD372" s="234" cm="1">
        <f t="array" ref="CD372">$BM372 * IF($AH372&lt;=2,
SUMPRODUCT(INDEX($AV$61:$AX$65,,$AI372), INDEX($AY$61:$BE$65,,$AH372), 1 / ($BF$61:$BF$65*CC372 + (1-$BF$61:$BF$65)*BY372), N($AU$61:$AU$65&gt;$AM372)),
SUMPRODUCT(INDEX($AV$46:$AX$55,,$AI372), INDEX($AY$46:$BE$55,,$AH372), 1 / ($BG$46:$BG$55*CC372 + (1-$BG$46:$BG$55)*BY372), N($AU$46:$AU$55&gt;$AM372))
) / 1000</f>
        <v>0</v>
      </c>
      <c r="CE372" s="234" cm="1">
        <f t="array" ref="CE372">$BM372 * IF($AH372&lt;=2,
SUMPRODUCT(INDEX($AV$22:$AX$60,,$AI372), INDEX($AY$22:$BE$60,,$AH372), 1 / ($BF$22:$BF$60*CC372), N($AU$22:$AU$60&gt;$AM372)),
SUMPRODUCT(INDEX($AV$22:$AX$45,,$AI372), INDEX($AY$22:$BE$45,,$AH372), 1 / ($BG$22:$BG$45*CC372), N($AU$22:$AU$45&gt;$AM372))
) / 1000</f>
        <v>0</v>
      </c>
      <c r="CF372" s="229">
        <f t="shared" si="570"/>
        <v>0</v>
      </c>
      <c r="CG372" s="246"/>
      <c r="CH372" s="229">
        <f t="shared" si="571"/>
        <v>0</v>
      </c>
      <c r="CI372" s="228">
        <v>35</v>
      </c>
      <c r="CJ372" s="229">
        <f t="shared" si="572"/>
        <v>48</v>
      </c>
      <c r="CK372" s="234">
        <f t="shared" si="573"/>
        <v>3.0748170731707316</v>
      </c>
      <c r="CL372" s="234" cm="1">
        <f t="array" ref="CL372">$BM372 * SUMPRODUCT(INDEX($AV$76:$AX$81,,$AI372),INDEX($AY$76:$BE$81,,$AH372), N($AU$76:$AU$81&gt;$AM372)) / CK372 / 1000</f>
        <v>0</v>
      </c>
      <c r="CM372" s="231">
        <f t="shared" si="591"/>
        <v>30</v>
      </c>
      <c r="CN372" s="229">
        <f t="shared" si="574"/>
        <v>43</v>
      </c>
      <c r="CO372" s="234">
        <f t="shared" si="575"/>
        <v>3.5018750000000001</v>
      </c>
      <c r="CP372" s="234" cm="1">
        <f t="array" ref="CP372">$BM372 * IF($AH372&lt;=2,
SUMPRODUCT(INDEX($AV$71:$AX$75,,$AI372), INDEX($AY$71:$BE$75,,$AH372), 1 / ($BF$71:$BF$75*CO372 + (1-$BF$71:$BF$75)*CK372), N($AU$71:$AU$75&gt;$AM372)),
SUMPRODUCT(INDEX($AV$66:$AX$75,,$AI372), INDEX($AY$66:$BE$75,,$AH372), 1 / ($BG$66:$BG$75*CO372 + (1-$BG$66:$BG$75)*CK372), N($AU$66:$AU$75&gt;$AM372))
) / 1000</f>
        <v>0</v>
      </c>
      <c r="CQ372" s="231">
        <f t="shared" si="592"/>
        <v>25</v>
      </c>
      <c r="CR372" s="229">
        <f t="shared" si="576"/>
        <v>38</v>
      </c>
      <c r="CS372" s="234">
        <f t="shared" si="577"/>
        <v>4.0666935483870965</v>
      </c>
      <c r="CT372" s="234" cm="1">
        <f t="array" ref="CT372">$BM372 * IF($AH372&lt;=2,
SUMPRODUCT(INDEX($AV$66:$AX$70,,$AI372), INDEX($AY$66:$BE$70,,$AH372), 1 / ($BF$66:$BF$70*CS372 + (1-$BF$66:$BF$70)*CO372), N($AU$66:$AU$70&gt;$AM372)),
SUMPRODUCT(INDEX($AV$56:$AX$65,,$AI372), INDEX($AY$56:$BE$65,,$AH372), 1 / ($BG$56:$BG$65*CS372 + (1-$BG$56:$BG$65)*CO372), N($AU$56:$AU$65&gt;$AM372))
) / 1000</f>
        <v>0</v>
      </c>
      <c r="CU372" s="231">
        <f t="shared" si="593"/>
        <v>20</v>
      </c>
      <c r="CV372" s="229">
        <f t="shared" si="578"/>
        <v>33</v>
      </c>
      <c r="CW372" s="234">
        <f t="shared" si="579"/>
        <v>4.8487499999999999</v>
      </c>
      <c r="CX372" s="234" cm="1">
        <f t="array" ref="CX372">$BM372 * IF($AH372&lt;=2,
SUMPRODUCT(INDEX($AV$61:$AX$65,,$AI372), INDEX($AY$61:$BE$65,,$AH372), 1 / ($BF$61:$BF$65*CW372 + (1-$BF$61:$BF$65)*CS372), N($AU$61:$AU$65&gt;$AM372)),
SUMPRODUCT(INDEX($AV$46:$AX$55,,$AI372), INDEX($AY$46:$BE$55,,$AH372), 1 / ($BG$46:$BG$55*CW372 + (1-$BG$46:$BG$55)*CS372), N($AU$46:$AU$55&gt;$AM372))
) / 1000</f>
        <v>0</v>
      </c>
      <c r="CY372" s="234" cm="1">
        <f t="array" ref="CY372">$BM372 * IF($AH372&lt;=2,
SUMPRODUCT(INDEX($AV$22:$AX$60,,$AI372), INDEX($AY$22:$BE$60,,$AH372), 1 / ($BF$22:$BF$60*CW372), N($AU$22:$AU$60&gt;$AM372)),
SUMPRODUCT(INDEX($AV$22:$AX$45,,$AI372), INDEX($AY$22:$BE$45,,$AH372), 1 / ($BG$22:$BG$45*CW372), N($AU$22:$AU$45&gt;$AM372))
) / 1000</f>
        <v>0</v>
      </c>
      <c r="CZ372" s="229">
        <f t="shared" si="580"/>
        <v>0</v>
      </c>
      <c r="DA372" s="246"/>
    </row>
    <row r="373" spans="1:105" s="75" customFormat="1" ht="14.25" customHeight="1" x14ac:dyDescent="0.2">
      <c r="A373" s="230" t="b">
        <f t="shared" si="585"/>
        <v>0</v>
      </c>
      <c r="B373" s="253">
        <v>352</v>
      </c>
      <c r="C373" s="266"/>
      <c r="D373" s="266"/>
      <c r="E373" s="254"/>
      <c r="F373" s="255" t="str">
        <f>IF(ISBLANK(E373), "", VLOOKUP(E373, Z!$A$2:$C$4127, 3, FALSE))</f>
        <v/>
      </c>
      <c r="G373" s="256"/>
      <c r="H373" s="256"/>
      <c r="I373" s="256"/>
      <c r="J373" s="257"/>
      <c r="K373" s="258"/>
      <c r="L373" s="267"/>
      <c r="M373" s="268"/>
      <c r="N373" s="259" t="str" cm="1">
        <f t="array" ref="N373">IF($L373&gt;0, INDEX(Clean,1+AK373,$D$1), "")</f>
        <v/>
      </c>
      <c r="O373" s="260"/>
      <c r="P373" s="260"/>
      <c r="Q373" s="261"/>
      <c r="R373" s="264">
        <f t="shared" si="556"/>
        <v>0</v>
      </c>
      <c r="S373" s="259" t="str" cm="1">
        <f t="array" ref="S373">IF($L373&gt;0, INDEX(Clean,1+AL373,$D$1), "")</f>
        <v/>
      </c>
      <c r="T373" s="260"/>
      <c r="U373" s="260"/>
      <c r="V373" s="261"/>
      <c r="W373" s="267"/>
      <c r="X373" s="267"/>
      <c r="Y373" s="257"/>
      <c r="Z373" s="264">
        <f t="shared" si="557"/>
        <v>0</v>
      </c>
      <c r="AA373" s="269"/>
      <c r="AB373" s="266"/>
      <c r="AC373" s="254"/>
      <c r="AD373" s="255" t="str">
        <f>IF(ISBLANK(AC373), "", VLOOKUP(AC373, Z!$A$2:$C$4127, 3, FALSE))</f>
        <v/>
      </c>
      <c r="AE373" s="270"/>
      <c r="AF373" s="265">
        <f t="shared" si="558"/>
        <v>0</v>
      </c>
      <c r="AG373" s="246"/>
      <c r="AH373" s="228">
        <f t="shared" si="581"/>
        <v>1</v>
      </c>
      <c r="AI373" s="228">
        <f t="shared" si="582"/>
        <v>1</v>
      </c>
      <c r="AJ373" s="228">
        <f t="shared" si="583"/>
        <v>0</v>
      </c>
      <c r="AK373" s="228">
        <v>0</v>
      </c>
      <c r="AL373" s="228">
        <v>0</v>
      </c>
      <c r="AM373" s="228">
        <f t="shared" si="559"/>
        <v>-100</v>
      </c>
      <c r="AN373" s="228" cm="1">
        <f t="array" ref="AN373">IF(ISBLANK(G373), 1, IFERROR(MATCH(G373, INDEX(Kat,,1), 0), IFERROR(MATCH(Kat, INDEX(Use,,2), 0), MATCH(Kat, INDEX(Use,,3), 0))))</f>
        <v>1</v>
      </c>
      <c r="AO373" s="246"/>
      <c r="AP373" s="228" cm="1">
        <f t="array" ref="AP373">IF(W373&gt;0, INDEX(Kat, AN373,4), 0)</f>
        <v>0</v>
      </c>
      <c r="AQ373" s="228">
        <f t="shared" si="584"/>
        <v>0</v>
      </c>
      <c r="AR373" s="228" cm="1">
        <f t="array" ref="AR373">IF(X373&gt;0, INDEX(Kat, $AN373, 4+AQ373), 0)</f>
        <v>0</v>
      </c>
      <c r="AS373" s="228" cm="1">
        <f t="array" ref="AS373">IF(X373&gt;0, INDEX(Kat, $AN373, 9+AQ373), 0)</f>
        <v>0</v>
      </c>
      <c r="AT373" s="246"/>
      <c r="AU373" s="262"/>
      <c r="AV373" s="262"/>
      <c r="AW373" s="263"/>
      <c r="AX373" s="263"/>
      <c r="AY373" s="263"/>
      <c r="AZ373" s="263"/>
      <c r="BA373" s="263"/>
      <c r="BB373" s="263"/>
      <c r="BC373" s="263"/>
      <c r="BD373" s="263"/>
      <c r="BE373" s="263"/>
      <c r="BF373" s="263"/>
      <c r="BG373" s="263"/>
      <c r="BH373" s="246"/>
      <c r="BI373" s="228" cm="1">
        <f t="array" ref="BI373">INDEX(Use, $AH373, 4)</f>
        <v>7</v>
      </c>
      <c r="BJ373" s="228">
        <f t="shared" si="560"/>
        <v>32</v>
      </c>
      <c r="BK373" s="228">
        <f t="shared" si="586"/>
        <v>13</v>
      </c>
      <c r="BL373" s="228">
        <f t="shared" si="587"/>
        <v>0</v>
      </c>
      <c r="BM373" s="233" cm="1">
        <f t="array" ref="BM373">L373/IF($M373&gt;0, INDEX($AY$22:$BE$76, $M373+20, $AH373), 1)</f>
        <v>0</v>
      </c>
      <c r="BN373" s="229">
        <f t="shared" si="561"/>
        <v>0</v>
      </c>
      <c r="BO373" s="228">
        <v>35</v>
      </c>
      <c r="BP373" s="229">
        <f t="shared" si="562"/>
        <v>48</v>
      </c>
      <c r="BQ373" s="234">
        <f t="shared" si="563"/>
        <v>3.0748170731707316</v>
      </c>
      <c r="BR373" s="234" cm="1">
        <f t="array" ref="BR373">$BM373 * SUMPRODUCT(INDEX($AV$76:$AX$81,,$AI373),INDEX($AY$76:$BE$81,,$AH373), N($AU$76:$AU$81&gt;$AM373)) / BQ373 / 1000</f>
        <v>0</v>
      </c>
      <c r="BS373" s="231">
        <f t="shared" si="588"/>
        <v>30</v>
      </c>
      <c r="BT373" s="229">
        <f t="shared" si="564"/>
        <v>43</v>
      </c>
      <c r="BU373" s="234">
        <f t="shared" si="565"/>
        <v>3.5018750000000001</v>
      </c>
      <c r="BV373" s="234" cm="1">
        <f t="array" ref="BV373">$BM373 * IF($AH373&lt;=2,
SUMPRODUCT(INDEX($AV$71:$AX$75,,$AI373), INDEX($AY$71:$BE$75,,$AH373), 1 / ($BF$71:$BF$75*BU373 + (1-$BF$71:$BF$75)*BQ373), N($AU$71:$AU$75&gt;$AM373)),
SUMPRODUCT(INDEX($AV$66:$AX$75,,$AI373), INDEX($AY$66:$BE$75,,$AH373), 1 / ($BG$66:$BG$75*BU373 + (1-$BG$66:$BG$75)*BQ373), N($AU$66:$AU$75&gt;$AM373))
) / 1000</f>
        <v>0</v>
      </c>
      <c r="BW373" s="231">
        <f t="shared" si="589"/>
        <v>25</v>
      </c>
      <c r="BX373" s="229">
        <f t="shared" si="566"/>
        <v>38</v>
      </c>
      <c r="BY373" s="234">
        <f t="shared" si="567"/>
        <v>4.0666935483870965</v>
      </c>
      <c r="BZ373" s="234" cm="1">
        <f t="array" ref="BZ373">$BM373 * IF($AH373&lt;=2,
SUMPRODUCT(INDEX($AV$66:$AX$70,,$AI373), INDEX($AY$66:$BE$70,,$AH373), 1 / ($BF$66:$BF$70*BY373 + (1-$BF$66:$BF$70)*BU373), N($AU$66:$AU$70&gt;$AM373)),
SUMPRODUCT(INDEX($AV$56:$AX$65,,$AI373), INDEX($AY$56:$BE$65,,$AH373), 1 / ($BG$56:$BG$65*BY373 + (1-$BG$56:$BG$65)*BU373), N($AU$56:$AU$65&gt;$AM373))
) / 1000</f>
        <v>0</v>
      </c>
      <c r="CA373" s="231">
        <f t="shared" si="590"/>
        <v>20</v>
      </c>
      <c r="CB373" s="229">
        <f t="shared" si="568"/>
        <v>33</v>
      </c>
      <c r="CC373" s="234">
        <f t="shared" si="569"/>
        <v>4.8487499999999999</v>
      </c>
      <c r="CD373" s="234" cm="1">
        <f t="array" ref="CD373">$BM373 * IF($AH373&lt;=2,
SUMPRODUCT(INDEX($AV$61:$AX$65,,$AI373), INDEX($AY$61:$BE$65,,$AH373), 1 / ($BF$61:$BF$65*CC373 + (1-$BF$61:$BF$65)*BY373), N($AU$61:$AU$65&gt;$AM373)),
SUMPRODUCT(INDEX($AV$46:$AX$55,,$AI373), INDEX($AY$46:$BE$55,,$AH373), 1 / ($BG$46:$BG$55*CC373 + (1-$BG$46:$BG$55)*BY373), N($AU$46:$AU$55&gt;$AM373))
) / 1000</f>
        <v>0</v>
      </c>
      <c r="CE373" s="234" cm="1">
        <f t="array" ref="CE373">$BM373 * IF($AH373&lt;=2,
SUMPRODUCT(INDEX($AV$22:$AX$60,,$AI373), INDEX($AY$22:$BE$60,,$AH373), 1 / ($BF$22:$BF$60*CC373), N($AU$22:$AU$60&gt;$AM373)),
SUMPRODUCT(INDEX($AV$22:$AX$45,,$AI373), INDEX($AY$22:$BE$45,,$AH373), 1 / ($BG$22:$BG$45*CC373), N($AU$22:$AU$45&gt;$AM373))
) / 1000</f>
        <v>0</v>
      </c>
      <c r="CF373" s="229">
        <f t="shared" si="570"/>
        <v>0</v>
      </c>
      <c r="CG373" s="246"/>
      <c r="CH373" s="229">
        <f t="shared" si="571"/>
        <v>0</v>
      </c>
      <c r="CI373" s="228">
        <v>35</v>
      </c>
      <c r="CJ373" s="229">
        <f t="shared" si="572"/>
        <v>48</v>
      </c>
      <c r="CK373" s="234">
        <f t="shared" si="573"/>
        <v>3.0748170731707316</v>
      </c>
      <c r="CL373" s="234" cm="1">
        <f t="array" ref="CL373">$BM373 * SUMPRODUCT(INDEX($AV$76:$AX$81,,$AI373),INDEX($AY$76:$BE$81,,$AH373), N($AU$76:$AU$81&gt;$AM373)) / CK373 / 1000</f>
        <v>0</v>
      </c>
      <c r="CM373" s="231">
        <f t="shared" si="591"/>
        <v>30</v>
      </c>
      <c r="CN373" s="229">
        <f t="shared" si="574"/>
        <v>43</v>
      </c>
      <c r="CO373" s="234">
        <f t="shared" si="575"/>
        <v>3.5018750000000001</v>
      </c>
      <c r="CP373" s="234" cm="1">
        <f t="array" ref="CP373">$BM373 * IF($AH373&lt;=2,
SUMPRODUCT(INDEX($AV$71:$AX$75,,$AI373), INDEX($AY$71:$BE$75,,$AH373), 1 / ($BF$71:$BF$75*CO373 + (1-$BF$71:$BF$75)*CK373), N($AU$71:$AU$75&gt;$AM373)),
SUMPRODUCT(INDEX($AV$66:$AX$75,,$AI373), INDEX($AY$66:$BE$75,,$AH373), 1 / ($BG$66:$BG$75*CO373 + (1-$BG$66:$BG$75)*CK373), N($AU$66:$AU$75&gt;$AM373))
) / 1000</f>
        <v>0</v>
      </c>
      <c r="CQ373" s="231">
        <f t="shared" si="592"/>
        <v>25</v>
      </c>
      <c r="CR373" s="229">
        <f t="shared" si="576"/>
        <v>38</v>
      </c>
      <c r="CS373" s="234">
        <f t="shared" si="577"/>
        <v>4.0666935483870965</v>
      </c>
      <c r="CT373" s="234" cm="1">
        <f t="array" ref="CT373">$BM373 * IF($AH373&lt;=2,
SUMPRODUCT(INDEX($AV$66:$AX$70,,$AI373), INDEX($AY$66:$BE$70,,$AH373), 1 / ($BF$66:$BF$70*CS373 + (1-$BF$66:$BF$70)*CO373), N($AU$66:$AU$70&gt;$AM373)),
SUMPRODUCT(INDEX($AV$56:$AX$65,,$AI373), INDEX($AY$56:$BE$65,,$AH373), 1 / ($BG$56:$BG$65*CS373 + (1-$BG$56:$BG$65)*CO373), N($AU$56:$AU$65&gt;$AM373))
) / 1000</f>
        <v>0</v>
      </c>
      <c r="CU373" s="231">
        <f t="shared" si="593"/>
        <v>20</v>
      </c>
      <c r="CV373" s="229">
        <f t="shared" si="578"/>
        <v>33</v>
      </c>
      <c r="CW373" s="234">
        <f t="shared" si="579"/>
        <v>4.8487499999999999</v>
      </c>
      <c r="CX373" s="234" cm="1">
        <f t="array" ref="CX373">$BM373 * IF($AH373&lt;=2,
SUMPRODUCT(INDEX($AV$61:$AX$65,,$AI373), INDEX($AY$61:$BE$65,,$AH373), 1 / ($BF$61:$BF$65*CW373 + (1-$BF$61:$BF$65)*CS373), N($AU$61:$AU$65&gt;$AM373)),
SUMPRODUCT(INDEX($AV$46:$AX$55,,$AI373), INDEX($AY$46:$BE$55,,$AH373), 1 / ($BG$46:$BG$55*CW373 + (1-$BG$46:$BG$55)*CS373), N($AU$46:$AU$55&gt;$AM373))
) / 1000</f>
        <v>0</v>
      </c>
      <c r="CY373" s="234" cm="1">
        <f t="array" ref="CY373">$BM373 * IF($AH373&lt;=2,
SUMPRODUCT(INDEX($AV$22:$AX$60,,$AI373), INDEX($AY$22:$BE$60,,$AH373), 1 / ($BF$22:$BF$60*CW373), N($AU$22:$AU$60&gt;$AM373)),
SUMPRODUCT(INDEX($AV$22:$AX$45,,$AI373), INDEX($AY$22:$BE$45,,$AH373), 1 / ($BG$22:$BG$45*CW373), N($AU$22:$AU$45&gt;$AM373))
) / 1000</f>
        <v>0</v>
      </c>
      <c r="CZ373" s="229">
        <f t="shared" si="580"/>
        <v>0</v>
      </c>
      <c r="DA373" s="246"/>
    </row>
    <row r="374" spans="1:105" s="75" customFormat="1" ht="14.25" customHeight="1" x14ac:dyDescent="0.2">
      <c r="A374" s="230" t="b">
        <f t="shared" si="585"/>
        <v>0</v>
      </c>
      <c r="B374" s="253">
        <v>353</v>
      </c>
      <c r="C374" s="266"/>
      <c r="D374" s="266"/>
      <c r="E374" s="254"/>
      <c r="F374" s="255" t="str">
        <f>IF(ISBLANK(E374), "", VLOOKUP(E374, Z!$A$2:$C$4127, 3, FALSE))</f>
        <v/>
      </c>
      <c r="G374" s="256"/>
      <c r="H374" s="256"/>
      <c r="I374" s="256"/>
      <c r="J374" s="257"/>
      <c r="K374" s="258"/>
      <c r="L374" s="267"/>
      <c r="M374" s="268"/>
      <c r="N374" s="259" t="str" cm="1">
        <f t="array" ref="N374">IF($L374&gt;0, INDEX(Clean,1+AK374,$D$1), "")</f>
        <v/>
      </c>
      <c r="O374" s="260"/>
      <c r="P374" s="260"/>
      <c r="Q374" s="261"/>
      <c r="R374" s="264">
        <f t="shared" si="556"/>
        <v>0</v>
      </c>
      <c r="S374" s="259" t="str" cm="1">
        <f t="array" ref="S374">IF($L374&gt;0, INDEX(Clean,1+AL374,$D$1), "")</f>
        <v/>
      </c>
      <c r="T374" s="260"/>
      <c r="U374" s="260"/>
      <c r="V374" s="261"/>
      <c r="W374" s="267"/>
      <c r="X374" s="267"/>
      <c r="Y374" s="257"/>
      <c r="Z374" s="264">
        <f t="shared" si="557"/>
        <v>0</v>
      </c>
      <c r="AA374" s="269"/>
      <c r="AB374" s="266"/>
      <c r="AC374" s="254"/>
      <c r="AD374" s="255" t="str">
        <f>IF(ISBLANK(AC374), "", VLOOKUP(AC374, Z!$A$2:$C$4127, 3, FALSE))</f>
        <v/>
      </c>
      <c r="AE374" s="270"/>
      <c r="AF374" s="265">
        <f t="shared" si="558"/>
        <v>0</v>
      </c>
      <c r="AG374" s="246"/>
      <c r="AH374" s="228">
        <f t="shared" si="581"/>
        <v>1</v>
      </c>
      <c r="AI374" s="228">
        <f t="shared" si="582"/>
        <v>1</v>
      </c>
      <c r="AJ374" s="228">
        <f t="shared" si="583"/>
        <v>0</v>
      </c>
      <c r="AK374" s="228">
        <v>0</v>
      </c>
      <c r="AL374" s="228">
        <v>0</v>
      </c>
      <c r="AM374" s="228">
        <f t="shared" si="559"/>
        <v>-100</v>
      </c>
      <c r="AN374" s="228" cm="1">
        <f t="array" ref="AN374">IF(ISBLANK(G374), 1, IFERROR(MATCH(G374, INDEX(Kat,,1), 0), IFERROR(MATCH(Kat, INDEX(Use,,2), 0), MATCH(Kat, INDEX(Use,,3), 0))))</f>
        <v>1</v>
      </c>
      <c r="AO374" s="246"/>
      <c r="AP374" s="228" cm="1">
        <f t="array" ref="AP374">IF(W374&gt;0, INDEX(Kat, AN374,4), 0)</f>
        <v>0</v>
      </c>
      <c r="AQ374" s="228">
        <f t="shared" si="584"/>
        <v>0</v>
      </c>
      <c r="AR374" s="228" cm="1">
        <f t="array" ref="AR374">IF(X374&gt;0, INDEX(Kat, $AN374, 4+AQ374), 0)</f>
        <v>0</v>
      </c>
      <c r="AS374" s="228" cm="1">
        <f t="array" ref="AS374">IF(X374&gt;0, INDEX(Kat, $AN374, 9+AQ374), 0)</f>
        <v>0</v>
      </c>
      <c r="AT374" s="246"/>
      <c r="AU374" s="262"/>
      <c r="AV374" s="262"/>
      <c r="AW374" s="263"/>
      <c r="AX374" s="263"/>
      <c r="AY374" s="263"/>
      <c r="AZ374" s="263"/>
      <c r="BA374" s="263"/>
      <c r="BB374" s="263"/>
      <c r="BC374" s="263"/>
      <c r="BD374" s="263"/>
      <c r="BE374" s="263"/>
      <c r="BF374" s="263"/>
      <c r="BG374" s="263"/>
      <c r="BH374" s="246"/>
      <c r="BI374" s="228" cm="1">
        <f t="array" ref="BI374">INDEX(Use, $AH374, 4)</f>
        <v>7</v>
      </c>
      <c r="BJ374" s="228">
        <f t="shared" si="560"/>
        <v>32</v>
      </c>
      <c r="BK374" s="228">
        <f t="shared" si="586"/>
        <v>13</v>
      </c>
      <c r="BL374" s="228">
        <f t="shared" si="587"/>
        <v>0</v>
      </c>
      <c r="BM374" s="233" cm="1">
        <f t="array" ref="BM374">L374/IF($M374&gt;0, INDEX($AY$22:$BE$76, $M374+20, $AH374), 1)</f>
        <v>0</v>
      </c>
      <c r="BN374" s="229">
        <f t="shared" si="561"/>
        <v>0</v>
      </c>
      <c r="BO374" s="228">
        <v>35</v>
      </c>
      <c r="BP374" s="229">
        <f t="shared" si="562"/>
        <v>48</v>
      </c>
      <c r="BQ374" s="234">
        <f t="shared" si="563"/>
        <v>3.0748170731707316</v>
      </c>
      <c r="BR374" s="234" cm="1">
        <f t="array" ref="BR374">$BM374 * SUMPRODUCT(INDEX($AV$76:$AX$81,,$AI374),INDEX($AY$76:$BE$81,,$AH374), N($AU$76:$AU$81&gt;$AM374)) / BQ374 / 1000</f>
        <v>0</v>
      </c>
      <c r="BS374" s="231">
        <f t="shared" si="588"/>
        <v>30</v>
      </c>
      <c r="BT374" s="229">
        <f t="shared" si="564"/>
        <v>43</v>
      </c>
      <c r="BU374" s="234">
        <f t="shared" si="565"/>
        <v>3.5018750000000001</v>
      </c>
      <c r="BV374" s="234" cm="1">
        <f t="array" ref="BV374">$BM374 * IF($AH374&lt;=2,
SUMPRODUCT(INDEX($AV$71:$AX$75,,$AI374), INDEX($AY$71:$BE$75,,$AH374), 1 / ($BF$71:$BF$75*BU374 + (1-$BF$71:$BF$75)*BQ374), N($AU$71:$AU$75&gt;$AM374)),
SUMPRODUCT(INDEX($AV$66:$AX$75,,$AI374), INDEX($AY$66:$BE$75,,$AH374), 1 / ($BG$66:$BG$75*BU374 + (1-$BG$66:$BG$75)*BQ374), N($AU$66:$AU$75&gt;$AM374))
) / 1000</f>
        <v>0</v>
      </c>
      <c r="BW374" s="231">
        <f t="shared" si="589"/>
        <v>25</v>
      </c>
      <c r="BX374" s="229">
        <f t="shared" si="566"/>
        <v>38</v>
      </c>
      <c r="BY374" s="234">
        <f t="shared" si="567"/>
        <v>4.0666935483870965</v>
      </c>
      <c r="BZ374" s="234" cm="1">
        <f t="array" ref="BZ374">$BM374 * IF($AH374&lt;=2,
SUMPRODUCT(INDEX($AV$66:$AX$70,,$AI374), INDEX($AY$66:$BE$70,,$AH374), 1 / ($BF$66:$BF$70*BY374 + (1-$BF$66:$BF$70)*BU374), N($AU$66:$AU$70&gt;$AM374)),
SUMPRODUCT(INDEX($AV$56:$AX$65,,$AI374), INDEX($AY$56:$BE$65,,$AH374), 1 / ($BG$56:$BG$65*BY374 + (1-$BG$56:$BG$65)*BU374), N($AU$56:$AU$65&gt;$AM374))
) / 1000</f>
        <v>0</v>
      </c>
      <c r="CA374" s="231">
        <f t="shared" si="590"/>
        <v>20</v>
      </c>
      <c r="CB374" s="229">
        <f t="shared" si="568"/>
        <v>33</v>
      </c>
      <c r="CC374" s="234">
        <f t="shared" si="569"/>
        <v>4.8487499999999999</v>
      </c>
      <c r="CD374" s="234" cm="1">
        <f t="array" ref="CD374">$BM374 * IF($AH374&lt;=2,
SUMPRODUCT(INDEX($AV$61:$AX$65,,$AI374), INDEX($AY$61:$BE$65,,$AH374), 1 / ($BF$61:$BF$65*CC374 + (1-$BF$61:$BF$65)*BY374), N($AU$61:$AU$65&gt;$AM374)),
SUMPRODUCT(INDEX($AV$46:$AX$55,,$AI374), INDEX($AY$46:$BE$55,,$AH374), 1 / ($BG$46:$BG$55*CC374 + (1-$BG$46:$BG$55)*BY374), N($AU$46:$AU$55&gt;$AM374))
) / 1000</f>
        <v>0</v>
      </c>
      <c r="CE374" s="234" cm="1">
        <f t="array" ref="CE374">$BM374 * IF($AH374&lt;=2,
SUMPRODUCT(INDEX($AV$22:$AX$60,,$AI374), INDEX($AY$22:$BE$60,,$AH374), 1 / ($BF$22:$BF$60*CC374), N($AU$22:$AU$60&gt;$AM374)),
SUMPRODUCT(INDEX($AV$22:$AX$45,,$AI374), INDEX($AY$22:$BE$45,,$AH374), 1 / ($BG$22:$BG$45*CC374), N($AU$22:$AU$45&gt;$AM374))
) / 1000</f>
        <v>0</v>
      </c>
      <c r="CF374" s="229">
        <f t="shared" si="570"/>
        <v>0</v>
      </c>
      <c r="CG374" s="246"/>
      <c r="CH374" s="229">
        <f t="shared" si="571"/>
        <v>0</v>
      </c>
      <c r="CI374" s="228">
        <v>35</v>
      </c>
      <c r="CJ374" s="229">
        <f t="shared" si="572"/>
        <v>48</v>
      </c>
      <c r="CK374" s="234">
        <f t="shared" si="573"/>
        <v>3.0748170731707316</v>
      </c>
      <c r="CL374" s="234" cm="1">
        <f t="array" ref="CL374">$BM374 * SUMPRODUCT(INDEX($AV$76:$AX$81,,$AI374),INDEX($AY$76:$BE$81,,$AH374), N($AU$76:$AU$81&gt;$AM374)) / CK374 / 1000</f>
        <v>0</v>
      </c>
      <c r="CM374" s="231">
        <f t="shared" si="591"/>
        <v>30</v>
      </c>
      <c r="CN374" s="229">
        <f t="shared" si="574"/>
        <v>43</v>
      </c>
      <c r="CO374" s="234">
        <f t="shared" si="575"/>
        <v>3.5018750000000001</v>
      </c>
      <c r="CP374" s="234" cm="1">
        <f t="array" ref="CP374">$BM374 * IF($AH374&lt;=2,
SUMPRODUCT(INDEX($AV$71:$AX$75,,$AI374), INDEX($AY$71:$BE$75,,$AH374), 1 / ($BF$71:$BF$75*CO374 + (1-$BF$71:$BF$75)*CK374), N($AU$71:$AU$75&gt;$AM374)),
SUMPRODUCT(INDEX($AV$66:$AX$75,,$AI374), INDEX($AY$66:$BE$75,,$AH374), 1 / ($BG$66:$BG$75*CO374 + (1-$BG$66:$BG$75)*CK374), N($AU$66:$AU$75&gt;$AM374))
) / 1000</f>
        <v>0</v>
      </c>
      <c r="CQ374" s="231">
        <f t="shared" si="592"/>
        <v>25</v>
      </c>
      <c r="CR374" s="229">
        <f t="shared" si="576"/>
        <v>38</v>
      </c>
      <c r="CS374" s="234">
        <f t="shared" si="577"/>
        <v>4.0666935483870965</v>
      </c>
      <c r="CT374" s="234" cm="1">
        <f t="array" ref="CT374">$BM374 * IF($AH374&lt;=2,
SUMPRODUCT(INDEX($AV$66:$AX$70,,$AI374), INDEX($AY$66:$BE$70,,$AH374), 1 / ($BF$66:$BF$70*CS374 + (1-$BF$66:$BF$70)*CO374), N($AU$66:$AU$70&gt;$AM374)),
SUMPRODUCT(INDEX($AV$56:$AX$65,,$AI374), INDEX($AY$56:$BE$65,,$AH374), 1 / ($BG$56:$BG$65*CS374 + (1-$BG$56:$BG$65)*CO374), N($AU$56:$AU$65&gt;$AM374))
) / 1000</f>
        <v>0</v>
      </c>
      <c r="CU374" s="231">
        <f t="shared" si="593"/>
        <v>20</v>
      </c>
      <c r="CV374" s="229">
        <f t="shared" si="578"/>
        <v>33</v>
      </c>
      <c r="CW374" s="234">
        <f t="shared" si="579"/>
        <v>4.8487499999999999</v>
      </c>
      <c r="CX374" s="234" cm="1">
        <f t="array" ref="CX374">$BM374 * IF($AH374&lt;=2,
SUMPRODUCT(INDEX($AV$61:$AX$65,,$AI374), INDEX($AY$61:$BE$65,,$AH374), 1 / ($BF$61:$BF$65*CW374 + (1-$BF$61:$BF$65)*CS374), N($AU$61:$AU$65&gt;$AM374)),
SUMPRODUCT(INDEX($AV$46:$AX$55,,$AI374), INDEX($AY$46:$BE$55,,$AH374), 1 / ($BG$46:$BG$55*CW374 + (1-$BG$46:$BG$55)*CS374), N($AU$46:$AU$55&gt;$AM374))
) / 1000</f>
        <v>0</v>
      </c>
      <c r="CY374" s="234" cm="1">
        <f t="array" ref="CY374">$BM374 * IF($AH374&lt;=2,
SUMPRODUCT(INDEX($AV$22:$AX$60,,$AI374), INDEX($AY$22:$BE$60,,$AH374), 1 / ($BF$22:$BF$60*CW374), N($AU$22:$AU$60&gt;$AM374)),
SUMPRODUCT(INDEX($AV$22:$AX$45,,$AI374), INDEX($AY$22:$BE$45,,$AH374), 1 / ($BG$22:$BG$45*CW374), N($AU$22:$AU$45&gt;$AM374))
) / 1000</f>
        <v>0</v>
      </c>
      <c r="CZ374" s="229">
        <f t="shared" si="580"/>
        <v>0</v>
      </c>
      <c r="DA374" s="246"/>
    </row>
    <row r="375" spans="1:105" s="75" customFormat="1" ht="14.25" customHeight="1" x14ac:dyDescent="0.2">
      <c r="A375" s="230" t="b">
        <f t="shared" si="585"/>
        <v>0</v>
      </c>
      <c r="B375" s="253">
        <v>354</v>
      </c>
      <c r="C375" s="266"/>
      <c r="D375" s="266"/>
      <c r="E375" s="254"/>
      <c r="F375" s="255" t="str">
        <f>IF(ISBLANK(E375), "", VLOOKUP(E375, Z!$A$2:$C$4127, 3, FALSE))</f>
        <v/>
      </c>
      <c r="G375" s="256"/>
      <c r="H375" s="256"/>
      <c r="I375" s="256"/>
      <c r="J375" s="257"/>
      <c r="K375" s="258"/>
      <c r="L375" s="267"/>
      <c r="M375" s="268"/>
      <c r="N375" s="259" t="str" cm="1">
        <f t="array" ref="N375">IF($L375&gt;0, INDEX(Clean,1+AK375,$D$1), "")</f>
        <v/>
      </c>
      <c r="O375" s="260"/>
      <c r="P375" s="260"/>
      <c r="Q375" s="261"/>
      <c r="R375" s="264">
        <f t="shared" si="556"/>
        <v>0</v>
      </c>
      <c r="S375" s="259" t="str" cm="1">
        <f t="array" ref="S375">IF($L375&gt;0, INDEX(Clean,1+AL375,$D$1), "")</f>
        <v/>
      </c>
      <c r="T375" s="260"/>
      <c r="U375" s="260"/>
      <c r="V375" s="261"/>
      <c r="W375" s="267"/>
      <c r="X375" s="267"/>
      <c r="Y375" s="257"/>
      <c r="Z375" s="264">
        <f t="shared" si="557"/>
        <v>0</v>
      </c>
      <c r="AA375" s="269"/>
      <c r="AB375" s="266"/>
      <c r="AC375" s="254"/>
      <c r="AD375" s="255" t="str">
        <f>IF(ISBLANK(AC375), "", VLOOKUP(AC375, Z!$A$2:$C$4127, 3, FALSE))</f>
        <v/>
      </c>
      <c r="AE375" s="270"/>
      <c r="AF375" s="265">
        <f t="shared" si="558"/>
        <v>0</v>
      </c>
      <c r="AG375" s="246"/>
      <c r="AH375" s="228">
        <f t="shared" si="581"/>
        <v>1</v>
      </c>
      <c r="AI375" s="228">
        <f t="shared" si="582"/>
        <v>1</v>
      </c>
      <c r="AJ375" s="228">
        <f t="shared" si="583"/>
        <v>0</v>
      </c>
      <c r="AK375" s="228">
        <v>0</v>
      </c>
      <c r="AL375" s="228">
        <v>0</v>
      </c>
      <c r="AM375" s="228">
        <f t="shared" si="559"/>
        <v>-100</v>
      </c>
      <c r="AN375" s="228" cm="1">
        <f t="array" ref="AN375">IF(ISBLANK(G375), 1, IFERROR(MATCH(G375, INDEX(Kat,,1), 0), IFERROR(MATCH(Kat, INDEX(Use,,2), 0), MATCH(Kat, INDEX(Use,,3), 0))))</f>
        <v>1</v>
      </c>
      <c r="AO375" s="246"/>
      <c r="AP375" s="228" cm="1">
        <f t="array" ref="AP375">IF(W375&gt;0, INDEX(Kat, AN375,4), 0)</f>
        <v>0</v>
      </c>
      <c r="AQ375" s="228">
        <f t="shared" si="584"/>
        <v>0</v>
      </c>
      <c r="AR375" s="228" cm="1">
        <f t="array" ref="AR375">IF(X375&gt;0, INDEX(Kat, $AN375, 4+AQ375), 0)</f>
        <v>0</v>
      </c>
      <c r="AS375" s="228" cm="1">
        <f t="array" ref="AS375">IF(X375&gt;0, INDEX(Kat, $AN375, 9+AQ375), 0)</f>
        <v>0</v>
      </c>
      <c r="AT375" s="246"/>
      <c r="AU375" s="262"/>
      <c r="AV375" s="262"/>
      <c r="AW375" s="263"/>
      <c r="AX375" s="263"/>
      <c r="AY375" s="263"/>
      <c r="AZ375" s="263"/>
      <c r="BA375" s="263"/>
      <c r="BB375" s="263"/>
      <c r="BC375" s="263"/>
      <c r="BD375" s="263"/>
      <c r="BE375" s="263"/>
      <c r="BF375" s="263"/>
      <c r="BG375" s="263"/>
      <c r="BH375" s="246"/>
      <c r="BI375" s="228" cm="1">
        <f t="array" ref="BI375">INDEX(Use, $AH375, 4)</f>
        <v>7</v>
      </c>
      <c r="BJ375" s="228">
        <f t="shared" si="560"/>
        <v>32</v>
      </c>
      <c r="BK375" s="228">
        <f t="shared" si="586"/>
        <v>13</v>
      </c>
      <c r="BL375" s="228">
        <f t="shared" si="587"/>
        <v>0</v>
      </c>
      <c r="BM375" s="233" cm="1">
        <f t="array" ref="BM375">L375/IF($M375&gt;0, INDEX($AY$22:$BE$76, $M375+20, $AH375), 1)</f>
        <v>0</v>
      </c>
      <c r="BN375" s="229">
        <f t="shared" si="561"/>
        <v>0</v>
      </c>
      <c r="BO375" s="228">
        <v>35</v>
      </c>
      <c r="BP375" s="229">
        <f t="shared" si="562"/>
        <v>48</v>
      </c>
      <c r="BQ375" s="234">
        <f t="shared" si="563"/>
        <v>3.0748170731707316</v>
      </c>
      <c r="BR375" s="234" cm="1">
        <f t="array" ref="BR375">$BM375 * SUMPRODUCT(INDEX($AV$76:$AX$81,,$AI375),INDEX($AY$76:$BE$81,,$AH375), N($AU$76:$AU$81&gt;$AM375)) / BQ375 / 1000</f>
        <v>0</v>
      </c>
      <c r="BS375" s="231">
        <f t="shared" si="588"/>
        <v>30</v>
      </c>
      <c r="BT375" s="229">
        <f t="shared" si="564"/>
        <v>43</v>
      </c>
      <c r="BU375" s="234">
        <f t="shared" si="565"/>
        <v>3.5018750000000001</v>
      </c>
      <c r="BV375" s="234" cm="1">
        <f t="array" ref="BV375">$BM375 * IF($AH375&lt;=2,
SUMPRODUCT(INDEX($AV$71:$AX$75,,$AI375), INDEX($AY$71:$BE$75,,$AH375), 1 / ($BF$71:$BF$75*BU375 + (1-$BF$71:$BF$75)*BQ375), N($AU$71:$AU$75&gt;$AM375)),
SUMPRODUCT(INDEX($AV$66:$AX$75,,$AI375), INDEX($AY$66:$BE$75,,$AH375), 1 / ($BG$66:$BG$75*BU375 + (1-$BG$66:$BG$75)*BQ375), N($AU$66:$AU$75&gt;$AM375))
) / 1000</f>
        <v>0</v>
      </c>
      <c r="BW375" s="231">
        <f t="shared" si="589"/>
        <v>25</v>
      </c>
      <c r="BX375" s="229">
        <f t="shared" si="566"/>
        <v>38</v>
      </c>
      <c r="BY375" s="234">
        <f t="shared" si="567"/>
        <v>4.0666935483870965</v>
      </c>
      <c r="BZ375" s="234" cm="1">
        <f t="array" ref="BZ375">$BM375 * IF($AH375&lt;=2,
SUMPRODUCT(INDEX($AV$66:$AX$70,,$AI375), INDEX($AY$66:$BE$70,,$AH375), 1 / ($BF$66:$BF$70*BY375 + (1-$BF$66:$BF$70)*BU375), N($AU$66:$AU$70&gt;$AM375)),
SUMPRODUCT(INDEX($AV$56:$AX$65,,$AI375), INDEX($AY$56:$BE$65,,$AH375), 1 / ($BG$56:$BG$65*BY375 + (1-$BG$56:$BG$65)*BU375), N($AU$56:$AU$65&gt;$AM375))
) / 1000</f>
        <v>0</v>
      </c>
      <c r="CA375" s="231">
        <f t="shared" si="590"/>
        <v>20</v>
      </c>
      <c r="CB375" s="229">
        <f t="shared" si="568"/>
        <v>33</v>
      </c>
      <c r="CC375" s="234">
        <f t="shared" si="569"/>
        <v>4.8487499999999999</v>
      </c>
      <c r="CD375" s="234" cm="1">
        <f t="array" ref="CD375">$BM375 * IF($AH375&lt;=2,
SUMPRODUCT(INDEX($AV$61:$AX$65,,$AI375), INDEX($AY$61:$BE$65,,$AH375), 1 / ($BF$61:$BF$65*CC375 + (1-$BF$61:$BF$65)*BY375), N($AU$61:$AU$65&gt;$AM375)),
SUMPRODUCT(INDEX($AV$46:$AX$55,,$AI375), INDEX($AY$46:$BE$55,,$AH375), 1 / ($BG$46:$BG$55*CC375 + (1-$BG$46:$BG$55)*BY375), N($AU$46:$AU$55&gt;$AM375))
) / 1000</f>
        <v>0</v>
      </c>
      <c r="CE375" s="234" cm="1">
        <f t="array" ref="CE375">$BM375 * IF($AH375&lt;=2,
SUMPRODUCT(INDEX($AV$22:$AX$60,,$AI375), INDEX($AY$22:$BE$60,,$AH375), 1 / ($BF$22:$BF$60*CC375), N($AU$22:$AU$60&gt;$AM375)),
SUMPRODUCT(INDEX($AV$22:$AX$45,,$AI375), INDEX($AY$22:$BE$45,,$AH375), 1 / ($BG$22:$BG$45*CC375), N($AU$22:$AU$45&gt;$AM375))
) / 1000</f>
        <v>0</v>
      </c>
      <c r="CF375" s="229">
        <f t="shared" si="570"/>
        <v>0</v>
      </c>
      <c r="CG375" s="246"/>
      <c r="CH375" s="229">
        <f t="shared" si="571"/>
        <v>0</v>
      </c>
      <c r="CI375" s="228">
        <v>35</v>
      </c>
      <c r="CJ375" s="229">
        <f t="shared" si="572"/>
        <v>48</v>
      </c>
      <c r="CK375" s="234">
        <f t="shared" si="573"/>
        <v>3.0748170731707316</v>
      </c>
      <c r="CL375" s="234" cm="1">
        <f t="array" ref="CL375">$BM375 * SUMPRODUCT(INDEX($AV$76:$AX$81,,$AI375),INDEX($AY$76:$BE$81,,$AH375), N($AU$76:$AU$81&gt;$AM375)) / CK375 / 1000</f>
        <v>0</v>
      </c>
      <c r="CM375" s="231">
        <f t="shared" si="591"/>
        <v>30</v>
      </c>
      <c r="CN375" s="229">
        <f t="shared" si="574"/>
        <v>43</v>
      </c>
      <c r="CO375" s="234">
        <f t="shared" si="575"/>
        <v>3.5018750000000001</v>
      </c>
      <c r="CP375" s="234" cm="1">
        <f t="array" ref="CP375">$BM375 * IF($AH375&lt;=2,
SUMPRODUCT(INDEX($AV$71:$AX$75,,$AI375), INDEX($AY$71:$BE$75,,$AH375), 1 / ($BF$71:$BF$75*CO375 + (1-$BF$71:$BF$75)*CK375), N($AU$71:$AU$75&gt;$AM375)),
SUMPRODUCT(INDEX($AV$66:$AX$75,,$AI375), INDEX($AY$66:$BE$75,,$AH375), 1 / ($BG$66:$BG$75*CO375 + (1-$BG$66:$BG$75)*CK375), N($AU$66:$AU$75&gt;$AM375))
) / 1000</f>
        <v>0</v>
      </c>
      <c r="CQ375" s="231">
        <f t="shared" si="592"/>
        <v>25</v>
      </c>
      <c r="CR375" s="229">
        <f t="shared" si="576"/>
        <v>38</v>
      </c>
      <c r="CS375" s="234">
        <f t="shared" si="577"/>
        <v>4.0666935483870965</v>
      </c>
      <c r="CT375" s="234" cm="1">
        <f t="array" ref="CT375">$BM375 * IF($AH375&lt;=2,
SUMPRODUCT(INDEX($AV$66:$AX$70,,$AI375), INDEX($AY$66:$BE$70,,$AH375), 1 / ($BF$66:$BF$70*CS375 + (1-$BF$66:$BF$70)*CO375), N($AU$66:$AU$70&gt;$AM375)),
SUMPRODUCT(INDEX($AV$56:$AX$65,,$AI375), INDEX($AY$56:$BE$65,,$AH375), 1 / ($BG$56:$BG$65*CS375 + (1-$BG$56:$BG$65)*CO375), N($AU$56:$AU$65&gt;$AM375))
) / 1000</f>
        <v>0</v>
      </c>
      <c r="CU375" s="231">
        <f t="shared" si="593"/>
        <v>20</v>
      </c>
      <c r="CV375" s="229">
        <f t="shared" si="578"/>
        <v>33</v>
      </c>
      <c r="CW375" s="234">
        <f t="shared" si="579"/>
        <v>4.8487499999999999</v>
      </c>
      <c r="CX375" s="234" cm="1">
        <f t="array" ref="CX375">$BM375 * IF($AH375&lt;=2,
SUMPRODUCT(INDEX($AV$61:$AX$65,,$AI375), INDEX($AY$61:$BE$65,,$AH375), 1 / ($BF$61:$BF$65*CW375 + (1-$BF$61:$BF$65)*CS375), N($AU$61:$AU$65&gt;$AM375)),
SUMPRODUCT(INDEX($AV$46:$AX$55,,$AI375), INDEX($AY$46:$BE$55,,$AH375), 1 / ($BG$46:$BG$55*CW375 + (1-$BG$46:$BG$55)*CS375), N($AU$46:$AU$55&gt;$AM375))
) / 1000</f>
        <v>0</v>
      </c>
      <c r="CY375" s="234" cm="1">
        <f t="array" ref="CY375">$BM375 * IF($AH375&lt;=2,
SUMPRODUCT(INDEX($AV$22:$AX$60,,$AI375), INDEX($AY$22:$BE$60,,$AH375), 1 / ($BF$22:$BF$60*CW375), N($AU$22:$AU$60&gt;$AM375)),
SUMPRODUCT(INDEX($AV$22:$AX$45,,$AI375), INDEX($AY$22:$BE$45,,$AH375), 1 / ($BG$22:$BG$45*CW375), N($AU$22:$AU$45&gt;$AM375))
) / 1000</f>
        <v>0</v>
      </c>
      <c r="CZ375" s="229">
        <f t="shared" si="580"/>
        <v>0</v>
      </c>
      <c r="DA375" s="246"/>
    </row>
    <row r="376" spans="1:105" s="75" customFormat="1" ht="14.25" customHeight="1" x14ac:dyDescent="0.2">
      <c r="A376" s="230" t="b">
        <f t="shared" si="585"/>
        <v>0</v>
      </c>
      <c r="B376" s="253">
        <v>355</v>
      </c>
      <c r="C376" s="266"/>
      <c r="D376" s="266"/>
      <c r="E376" s="254"/>
      <c r="F376" s="255" t="str">
        <f>IF(ISBLANK(E376), "", VLOOKUP(E376, Z!$A$2:$C$4127, 3, FALSE))</f>
        <v/>
      </c>
      <c r="G376" s="256"/>
      <c r="H376" s="256"/>
      <c r="I376" s="256"/>
      <c r="J376" s="257"/>
      <c r="K376" s="258"/>
      <c r="L376" s="267"/>
      <c r="M376" s="268"/>
      <c r="N376" s="259" t="str" cm="1">
        <f t="array" ref="N376">IF($L376&gt;0, INDEX(Clean,1+AK376,$D$1), "")</f>
        <v/>
      </c>
      <c r="O376" s="260"/>
      <c r="P376" s="260"/>
      <c r="Q376" s="261"/>
      <c r="R376" s="264">
        <f t="shared" si="556"/>
        <v>0</v>
      </c>
      <c r="S376" s="259" t="str" cm="1">
        <f t="array" ref="S376">IF($L376&gt;0, INDEX(Clean,1+AL376,$D$1), "")</f>
        <v/>
      </c>
      <c r="T376" s="260"/>
      <c r="U376" s="260"/>
      <c r="V376" s="261"/>
      <c r="W376" s="267"/>
      <c r="X376" s="267"/>
      <c r="Y376" s="257"/>
      <c r="Z376" s="264">
        <f t="shared" si="557"/>
        <v>0</v>
      </c>
      <c r="AA376" s="269"/>
      <c r="AB376" s="266"/>
      <c r="AC376" s="254"/>
      <c r="AD376" s="255" t="str">
        <f>IF(ISBLANK(AC376), "", VLOOKUP(AC376, Z!$A$2:$C$4127, 3, FALSE))</f>
        <v/>
      </c>
      <c r="AE376" s="270"/>
      <c r="AF376" s="265">
        <f t="shared" si="558"/>
        <v>0</v>
      </c>
      <c r="AG376" s="246"/>
      <c r="AH376" s="228">
        <f t="shared" si="581"/>
        <v>1</v>
      </c>
      <c r="AI376" s="228">
        <f t="shared" si="582"/>
        <v>1</v>
      </c>
      <c r="AJ376" s="228">
        <f t="shared" si="583"/>
        <v>0</v>
      </c>
      <c r="AK376" s="228">
        <v>0</v>
      </c>
      <c r="AL376" s="228">
        <v>0</v>
      </c>
      <c r="AM376" s="228">
        <f t="shared" si="559"/>
        <v>-100</v>
      </c>
      <c r="AN376" s="228" cm="1">
        <f t="array" ref="AN376">IF(ISBLANK(G376), 1, IFERROR(MATCH(G376, INDEX(Kat,,1), 0), IFERROR(MATCH(Kat, INDEX(Use,,2), 0), MATCH(Kat, INDEX(Use,,3), 0))))</f>
        <v>1</v>
      </c>
      <c r="AO376" s="246"/>
      <c r="AP376" s="228" cm="1">
        <f t="array" ref="AP376">IF(W376&gt;0, INDEX(Kat, AN376,4), 0)</f>
        <v>0</v>
      </c>
      <c r="AQ376" s="228">
        <f t="shared" si="584"/>
        <v>0</v>
      </c>
      <c r="AR376" s="228" cm="1">
        <f t="array" ref="AR376">IF(X376&gt;0, INDEX(Kat, $AN376, 4+AQ376), 0)</f>
        <v>0</v>
      </c>
      <c r="AS376" s="228" cm="1">
        <f t="array" ref="AS376">IF(X376&gt;0, INDEX(Kat, $AN376, 9+AQ376), 0)</f>
        <v>0</v>
      </c>
      <c r="AT376" s="246"/>
      <c r="AU376" s="262"/>
      <c r="AV376" s="262"/>
      <c r="AW376" s="263"/>
      <c r="AX376" s="263"/>
      <c r="AY376" s="263"/>
      <c r="AZ376" s="263"/>
      <c r="BA376" s="263"/>
      <c r="BB376" s="263"/>
      <c r="BC376" s="263"/>
      <c r="BD376" s="263"/>
      <c r="BE376" s="263"/>
      <c r="BF376" s="263"/>
      <c r="BG376" s="263"/>
      <c r="BH376" s="246"/>
      <c r="BI376" s="228" cm="1">
        <f t="array" ref="BI376">INDEX(Use, $AH376, 4)</f>
        <v>7</v>
      </c>
      <c r="BJ376" s="228">
        <f t="shared" si="560"/>
        <v>32</v>
      </c>
      <c r="BK376" s="228">
        <f t="shared" si="586"/>
        <v>13</v>
      </c>
      <c r="BL376" s="228">
        <f t="shared" si="587"/>
        <v>0</v>
      </c>
      <c r="BM376" s="233" cm="1">
        <f t="array" ref="BM376">L376/IF($M376&gt;0, INDEX($AY$22:$BE$76, $M376+20, $AH376), 1)</f>
        <v>0</v>
      </c>
      <c r="BN376" s="229">
        <f t="shared" si="561"/>
        <v>0</v>
      </c>
      <c r="BO376" s="228">
        <v>35</v>
      </c>
      <c r="BP376" s="229">
        <f t="shared" si="562"/>
        <v>48</v>
      </c>
      <c r="BQ376" s="234">
        <f t="shared" si="563"/>
        <v>3.0748170731707316</v>
      </c>
      <c r="BR376" s="234" cm="1">
        <f t="array" ref="BR376">$BM376 * SUMPRODUCT(INDEX($AV$76:$AX$81,,$AI376),INDEX($AY$76:$BE$81,,$AH376), N($AU$76:$AU$81&gt;$AM376)) / BQ376 / 1000</f>
        <v>0</v>
      </c>
      <c r="BS376" s="231">
        <f t="shared" si="588"/>
        <v>30</v>
      </c>
      <c r="BT376" s="229">
        <f t="shared" si="564"/>
        <v>43</v>
      </c>
      <c r="BU376" s="234">
        <f t="shared" si="565"/>
        <v>3.5018750000000001</v>
      </c>
      <c r="BV376" s="234" cm="1">
        <f t="array" ref="BV376">$BM376 * IF($AH376&lt;=2,
SUMPRODUCT(INDEX($AV$71:$AX$75,,$AI376), INDEX($AY$71:$BE$75,,$AH376), 1 / ($BF$71:$BF$75*BU376 + (1-$BF$71:$BF$75)*BQ376), N($AU$71:$AU$75&gt;$AM376)),
SUMPRODUCT(INDEX($AV$66:$AX$75,,$AI376), INDEX($AY$66:$BE$75,,$AH376), 1 / ($BG$66:$BG$75*BU376 + (1-$BG$66:$BG$75)*BQ376), N($AU$66:$AU$75&gt;$AM376))
) / 1000</f>
        <v>0</v>
      </c>
      <c r="BW376" s="231">
        <f t="shared" si="589"/>
        <v>25</v>
      </c>
      <c r="BX376" s="229">
        <f t="shared" si="566"/>
        <v>38</v>
      </c>
      <c r="BY376" s="234">
        <f t="shared" si="567"/>
        <v>4.0666935483870965</v>
      </c>
      <c r="BZ376" s="234" cm="1">
        <f t="array" ref="BZ376">$BM376 * IF($AH376&lt;=2,
SUMPRODUCT(INDEX($AV$66:$AX$70,,$AI376), INDEX($AY$66:$BE$70,,$AH376), 1 / ($BF$66:$BF$70*BY376 + (1-$BF$66:$BF$70)*BU376), N($AU$66:$AU$70&gt;$AM376)),
SUMPRODUCT(INDEX($AV$56:$AX$65,,$AI376), INDEX($AY$56:$BE$65,,$AH376), 1 / ($BG$56:$BG$65*BY376 + (1-$BG$56:$BG$65)*BU376), N($AU$56:$AU$65&gt;$AM376))
) / 1000</f>
        <v>0</v>
      </c>
      <c r="CA376" s="231">
        <f t="shared" si="590"/>
        <v>20</v>
      </c>
      <c r="CB376" s="229">
        <f t="shared" si="568"/>
        <v>33</v>
      </c>
      <c r="CC376" s="234">
        <f t="shared" si="569"/>
        <v>4.8487499999999999</v>
      </c>
      <c r="CD376" s="234" cm="1">
        <f t="array" ref="CD376">$BM376 * IF($AH376&lt;=2,
SUMPRODUCT(INDEX($AV$61:$AX$65,,$AI376), INDEX($AY$61:$BE$65,,$AH376), 1 / ($BF$61:$BF$65*CC376 + (1-$BF$61:$BF$65)*BY376), N($AU$61:$AU$65&gt;$AM376)),
SUMPRODUCT(INDEX($AV$46:$AX$55,,$AI376), INDEX($AY$46:$BE$55,,$AH376), 1 / ($BG$46:$BG$55*CC376 + (1-$BG$46:$BG$55)*BY376), N($AU$46:$AU$55&gt;$AM376))
) / 1000</f>
        <v>0</v>
      </c>
      <c r="CE376" s="234" cm="1">
        <f t="array" ref="CE376">$BM376 * IF($AH376&lt;=2,
SUMPRODUCT(INDEX($AV$22:$AX$60,,$AI376), INDEX($AY$22:$BE$60,,$AH376), 1 / ($BF$22:$BF$60*CC376), N($AU$22:$AU$60&gt;$AM376)),
SUMPRODUCT(INDEX($AV$22:$AX$45,,$AI376), INDEX($AY$22:$BE$45,,$AH376), 1 / ($BG$22:$BG$45*CC376), N($AU$22:$AU$45&gt;$AM376))
) / 1000</f>
        <v>0</v>
      </c>
      <c r="CF376" s="229">
        <f t="shared" si="570"/>
        <v>0</v>
      </c>
      <c r="CG376" s="246"/>
      <c r="CH376" s="229">
        <f t="shared" si="571"/>
        <v>0</v>
      </c>
      <c r="CI376" s="228">
        <v>35</v>
      </c>
      <c r="CJ376" s="229">
        <f t="shared" si="572"/>
        <v>48</v>
      </c>
      <c r="CK376" s="234">
        <f t="shared" si="573"/>
        <v>3.0748170731707316</v>
      </c>
      <c r="CL376" s="234" cm="1">
        <f t="array" ref="CL376">$BM376 * SUMPRODUCT(INDEX($AV$76:$AX$81,,$AI376),INDEX($AY$76:$BE$81,,$AH376), N($AU$76:$AU$81&gt;$AM376)) / CK376 / 1000</f>
        <v>0</v>
      </c>
      <c r="CM376" s="231">
        <f t="shared" si="591"/>
        <v>30</v>
      </c>
      <c r="CN376" s="229">
        <f t="shared" si="574"/>
        <v>43</v>
      </c>
      <c r="CO376" s="234">
        <f t="shared" si="575"/>
        <v>3.5018750000000001</v>
      </c>
      <c r="CP376" s="234" cm="1">
        <f t="array" ref="CP376">$BM376 * IF($AH376&lt;=2,
SUMPRODUCT(INDEX($AV$71:$AX$75,,$AI376), INDEX($AY$71:$BE$75,,$AH376), 1 / ($BF$71:$BF$75*CO376 + (1-$BF$71:$BF$75)*CK376), N($AU$71:$AU$75&gt;$AM376)),
SUMPRODUCT(INDEX($AV$66:$AX$75,,$AI376), INDEX($AY$66:$BE$75,,$AH376), 1 / ($BG$66:$BG$75*CO376 + (1-$BG$66:$BG$75)*CK376), N($AU$66:$AU$75&gt;$AM376))
) / 1000</f>
        <v>0</v>
      </c>
      <c r="CQ376" s="231">
        <f t="shared" si="592"/>
        <v>25</v>
      </c>
      <c r="CR376" s="229">
        <f t="shared" si="576"/>
        <v>38</v>
      </c>
      <c r="CS376" s="234">
        <f t="shared" si="577"/>
        <v>4.0666935483870965</v>
      </c>
      <c r="CT376" s="234" cm="1">
        <f t="array" ref="CT376">$BM376 * IF($AH376&lt;=2,
SUMPRODUCT(INDEX($AV$66:$AX$70,,$AI376), INDEX($AY$66:$BE$70,,$AH376), 1 / ($BF$66:$BF$70*CS376 + (1-$BF$66:$BF$70)*CO376), N($AU$66:$AU$70&gt;$AM376)),
SUMPRODUCT(INDEX($AV$56:$AX$65,,$AI376), INDEX($AY$56:$BE$65,,$AH376), 1 / ($BG$56:$BG$65*CS376 + (1-$BG$56:$BG$65)*CO376), N($AU$56:$AU$65&gt;$AM376))
) / 1000</f>
        <v>0</v>
      </c>
      <c r="CU376" s="231">
        <f t="shared" si="593"/>
        <v>20</v>
      </c>
      <c r="CV376" s="229">
        <f t="shared" si="578"/>
        <v>33</v>
      </c>
      <c r="CW376" s="234">
        <f t="shared" si="579"/>
        <v>4.8487499999999999</v>
      </c>
      <c r="CX376" s="234" cm="1">
        <f t="array" ref="CX376">$BM376 * IF($AH376&lt;=2,
SUMPRODUCT(INDEX($AV$61:$AX$65,,$AI376), INDEX($AY$61:$BE$65,,$AH376), 1 / ($BF$61:$BF$65*CW376 + (1-$BF$61:$BF$65)*CS376), N($AU$61:$AU$65&gt;$AM376)),
SUMPRODUCT(INDEX($AV$46:$AX$55,,$AI376), INDEX($AY$46:$BE$55,,$AH376), 1 / ($BG$46:$BG$55*CW376 + (1-$BG$46:$BG$55)*CS376), N($AU$46:$AU$55&gt;$AM376))
) / 1000</f>
        <v>0</v>
      </c>
      <c r="CY376" s="234" cm="1">
        <f t="array" ref="CY376">$BM376 * IF($AH376&lt;=2,
SUMPRODUCT(INDEX($AV$22:$AX$60,,$AI376), INDEX($AY$22:$BE$60,,$AH376), 1 / ($BF$22:$BF$60*CW376), N($AU$22:$AU$60&gt;$AM376)),
SUMPRODUCT(INDEX($AV$22:$AX$45,,$AI376), INDEX($AY$22:$BE$45,,$AH376), 1 / ($BG$22:$BG$45*CW376), N($AU$22:$AU$45&gt;$AM376))
) / 1000</f>
        <v>0</v>
      </c>
      <c r="CZ376" s="229">
        <f t="shared" si="580"/>
        <v>0</v>
      </c>
      <c r="DA376" s="246"/>
    </row>
    <row r="377" spans="1:105" s="75" customFormat="1" ht="14.25" customHeight="1" x14ac:dyDescent="0.2">
      <c r="A377" s="230" t="b">
        <f t="shared" si="585"/>
        <v>0</v>
      </c>
      <c r="B377" s="253">
        <v>356</v>
      </c>
      <c r="C377" s="266"/>
      <c r="D377" s="266"/>
      <c r="E377" s="254"/>
      <c r="F377" s="255" t="str">
        <f>IF(ISBLANK(E377), "", VLOOKUP(E377, Z!$A$2:$C$4127, 3, FALSE))</f>
        <v/>
      </c>
      <c r="G377" s="256"/>
      <c r="H377" s="256"/>
      <c r="I377" s="256"/>
      <c r="J377" s="257"/>
      <c r="K377" s="258"/>
      <c r="L377" s="267"/>
      <c r="M377" s="268"/>
      <c r="N377" s="259" t="str" cm="1">
        <f t="array" ref="N377">IF($L377&gt;0, INDEX(Clean,1+AK377,$D$1), "")</f>
        <v/>
      </c>
      <c r="O377" s="260"/>
      <c r="P377" s="260"/>
      <c r="Q377" s="261"/>
      <c r="R377" s="264">
        <f t="shared" si="556"/>
        <v>0</v>
      </c>
      <c r="S377" s="259" t="str" cm="1">
        <f t="array" ref="S377">IF($L377&gt;0, INDEX(Clean,1+AL377,$D$1), "")</f>
        <v/>
      </c>
      <c r="T377" s="260"/>
      <c r="U377" s="260"/>
      <c r="V377" s="261"/>
      <c r="W377" s="267"/>
      <c r="X377" s="267"/>
      <c r="Y377" s="257"/>
      <c r="Z377" s="264">
        <f t="shared" si="557"/>
        <v>0</v>
      </c>
      <c r="AA377" s="269"/>
      <c r="AB377" s="266"/>
      <c r="AC377" s="254"/>
      <c r="AD377" s="255" t="str">
        <f>IF(ISBLANK(AC377), "", VLOOKUP(AC377, Z!$A$2:$C$4127, 3, FALSE))</f>
        <v/>
      </c>
      <c r="AE377" s="270"/>
      <c r="AF377" s="265">
        <f t="shared" si="558"/>
        <v>0</v>
      </c>
      <c r="AG377" s="246"/>
      <c r="AH377" s="228">
        <f t="shared" si="581"/>
        <v>1</v>
      </c>
      <c r="AI377" s="228">
        <f t="shared" si="582"/>
        <v>1</v>
      </c>
      <c r="AJ377" s="228">
        <f t="shared" si="583"/>
        <v>0</v>
      </c>
      <c r="AK377" s="228">
        <v>0</v>
      </c>
      <c r="AL377" s="228">
        <v>0</v>
      </c>
      <c r="AM377" s="228">
        <f t="shared" si="559"/>
        <v>-100</v>
      </c>
      <c r="AN377" s="228" cm="1">
        <f t="array" ref="AN377">IF(ISBLANK(G377), 1, IFERROR(MATCH(G377, INDEX(Kat,,1), 0), IFERROR(MATCH(Kat, INDEX(Use,,2), 0), MATCH(Kat, INDEX(Use,,3), 0))))</f>
        <v>1</v>
      </c>
      <c r="AO377" s="246"/>
      <c r="AP377" s="228" cm="1">
        <f t="array" ref="AP377">IF(W377&gt;0, INDEX(Kat, AN377,4), 0)</f>
        <v>0</v>
      </c>
      <c r="AQ377" s="228">
        <f t="shared" si="584"/>
        <v>0</v>
      </c>
      <c r="AR377" s="228" cm="1">
        <f t="array" ref="AR377">IF(X377&gt;0, INDEX(Kat, $AN377, 4+AQ377), 0)</f>
        <v>0</v>
      </c>
      <c r="AS377" s="228" cm="1">
        <f t="array" ref="AS377">IF(X377&gt;0, INDEX(Kat, $AN377, 9+AQ377), 0)</f>
        <v>0</v>
      </c>
      <c r="AT377" s="246"/>
      <c r="AU377" s="262"/>
      <c r="AV377" s="262"/>
      <c r="AW377" s="263"/>
      <c r="AX377" s="263"/>
      <c r="AY377" s="263"/>
      <c r="AZ377" s="263"/>
      <c r="BA377" s="263"/>
      <c r="BB377" s="263"/>
      <c r="BC377" s="263"/>
      <c r="BD377" s="263"/>
      <c r="BE377" s="263"/>
      <c r="BF377" s="263"/>
      <c r="BG377" s="263"/>
      <c r="BH377" s="246"/>
      <c r="BI377" s="228" cm="1">
        <f t="array" ref="BI377">INDEX(Use, $AH377, 4)</f>
        <v>7</v>
      </c>
      <c r="BJ377" s="228">
        <f t="shared" si="560"/>
        <v>32</v>
      </c>
      <c r="BK377" s="228">
        <f t="shared" si="586"/>
        <v>13</v>
      </c>
      <c r="BL377" s="228">
        <f t="shared" si="587"/>
        <v>0</v>
      </c>
      <c r="BM377" s="233" cm="1">
        <f t="array" ref="BM377">L377/IF($M377&gt;0, INDEX($AY$22:$BE$76, $M377+20, $AH377), 1)</f>
        <v>0</v>
      </c>
      <c r="BN377" s="229">
        <f t="shared" si="561"/>
        <v>0</v>
      </c>
      <c r="BO377" s="228">
        <v>35</v>
      </c>
      <c r="BP377" s="229">
        <f t="shared" si="562"/>
        <v>48</v>
      </c>
      <c r="BQ377" s="234">
        <f t="shared" si="563"/>
        <v>3.0748170731707316</v>
      </c>
      <c r="BR377" s="234" cm="1">
        <f t="array" ref="BR377">$BM377 * SUMPRODUCT(INDEX($AV$76:$AX$81,,$AI377),INDEX($AY$76:$BE$81,,$AH377), N($AU$76:$AU$81&gt;$AM377)) / BQ377 / 1000</f>
        <v>0</v>
      </c>
      <c r="BS377" s="231">
        <f t="shared" si="588"/>
        <v>30</v>
      </c>
      <c r="BT377" s="229">
        <f t="shared" si="564"/>
        <v>43</v>
      </c>
      <c r="BU377" s="234">
        <f t="shared" si="565"/>
        <v>3.5018750000000001</v>
      </c>
      <c r="BV377" s="234" cm="1">
        <f t="array" ref="BV377">$BM377 * IF($AH377&lt;=2,
SUMPRODUCT(INDEX($AV$71:$AX$75,,$AI377), INDEX($AY$71:$BE$75,,$AH377), 1 / ($BF$71:$BF$75*BU377 + (1-$BF$71:$BF$75)*BQ377), N($AU$71:$AU$75&gt;$AM377)),
SUMPRODUCT(INDEX($AV$66:$AX$75,,$AI377), INDEX($AY$66:$BE$75,,$AH377), 1 / ($BG$66:$BG$75*BU377 + (1-$BG$66:$BG$75)*BQ377), N($AU$66:$AU$75&gt;$AM377))
) / 1000</f>
        <v>0</v>
      </c>
      <c r="BW377" s="231">
        <f t="shared" si="589"/>
        <v>25</v>
      </c>
      <c r="BX377" s="229">
        <f t="shared" si="566"/>
        <v>38</v>
      </c>
      <c r="BY377" s="234">
        <f t="shared" si="567"/>
        <v>4.0666935483870965</v>
      </c>
      <c r="BZ377" s="234" cm="1">
        <f t="array" ref="BZ377">$BM377 * IF($AH377&lt;=2,
SUMPRODUCT(INDEX($AV$66:$AX$70,,$AI377), INDEX($AY$66:$BE$70,,$AH377), 1 / ($BF$66:$BF$70*BY377 + (1-$BF$66:$BF$70)*BU377), N($AU$66:$AU$70&gt;$AM377)),
SUMPRODUCT(INDEX($AV$56:$AX$65,,$AI377), INDEX($AY$56:$BE$65,,$AH377), 1 / ($BG$56:$BG$65*BY377 + (1-$BG$56:$BG$65)*BU377), N($AU$56:$AU$65&gt;$AM377))
) / 1000</f>
        <v>0</v>
      </c>
      <c r="CA377" s="231">
        <f t="shared" si="590"/>
        <v>20</v>
      </c>
      <c r="CB377" s="229">
        <f t="shared" si="568"/>
        <v>33</v>
      </c>
      <c r="CC377" s="234">
        <f t="shared" si="569"/>
        <v>4.8487499999999999</v>
      </c>
      <c r="CD377" s="234" cm="1">
        <f t="array" ref="CD377">$BM377 * IF($AH377&lt;=2,
SUMPRODUCT(INDEX($AV$61:$AX$65,,$AI377), INDEX($AY$61:$BE$65,,$AH377), 1 / ($BF$61:$BF$65*CC377 + (1-$BF$61:$BF$65)*BY377), N($AU$61:$AU$65&gt;$AM377)),
SUMPRODUCT(INDEX($AV$46:$AX$55,,$AI377), INDEX($AY$46:$BE$55,,$AH377), 1 / ($BG$46:$BG$55*CC377 + (1-$BG$46:$BG$55)*BY377), N($AU$46:$AU$55&gt;$AM377))
) / 1000</f>
        <v>0</v>
      </c>
      <c r="CE377" s="234" cm="1">
        <f t="array" ref="CE377">$BM377 * IF($AH377&lt;=2,
SUMPRODUCT(INDEX($AV$22:$AX$60,,$AI377), INDEX($AY$22:$BE$60,,$AH377), 1 / ($BF$22:$BF$60*CC377), N($AU$22:$AU$60&gt;$AM377)),
SUMPRODUCT(INDEX($AV$22:$AX$45,,$AI377), INDEX($AY$22:$BE$45,,$AH377), 1 / ($BG$22:$BG$45*CC377), N($AU$22:$AU$45&gt;$AM377))
) / 1000</f>
        <v>0</v>
      </c>
      <c r="CF377" s="229">
        <f t="shared" si="570"/>
        <v>0</v>
      </c>
      <c r="CG377" s="246"/>
      <c r="CH377" s="229">
        <f t="shared" si="571"/>
        <v>0</v>
      </c>
      <c r="CI377" s="228">
        <v>35</v>
      </c>
      <c r="CJ377" s="229">
        <f t="shared" si="572"/>
        <v>48</v>
      </c>
      <c r="CK377" s="234">
        <f t="shared" si="573"/>
        <v>3.0748170731707316</v>
      </c>
      <c r="CL377" s="234" cm="1">
        <f t="array" ref="CL377">$BM377 * SUMPRODUCT(INDEX($AV$76:$AX$81,,$AI377),INDEX($AY$76:$BE$81,,$AH377), N($AU$76:$AU$81&gt;$AM377)) / CK377 / 1000</f>
        <v>0</v>
      </c>
      <c r="CM377" s="231">
        <f t="shared" si="591"/>
        <v>30</v>
      </c>
      <c r="CN377" s="229">
        <f t="shared" si="574"/>
        <v>43</v>
      </c>
      <c r="CO377" s="234">
        <f t="shared" si="575"/>
        <v>3.5018750000000001</v>
      </c>
      <c r="CP377" s="234" cm="1">
        <f t="array" ref="CP377">$BM377 * IF($AH377&lt;=2,
SUMPRODUCT(INDEX($AV$71:$AX$75,,$AI377), INDEX($AY$71:$BE$75,,$AH377), 1 / ($BF$71:$BF$75*CO377 + (1-$BF$71:$BF$75)*CK377), N($AU$71:$AU$75&gt;$AM377)),
SUMPRODUCT(INDEX($AV$66:$AX$75,,$AI377), INDEX($AY$66:$BE$75,,$AH377), 1 / ($BG$66:$BG$75*CO377 + (1-$BG$66:$BG$75)*CK377), N($AU$66:$AU$75&gt;$AM377))
) / 1000</f>
        <v>0</v>
      </c>
      <c r="CQ377" s="231">
        <f t="shared" si="592"/>
        <v>25</v>
      </c>
      <c r="CR377" s="229">
        <f t="shared" si="576"/>
        <v>38</v>
      </c>
      <c r="CS377" s="234">
        <f t="shared" si="577"/>
        <v>4.0666935483870965</v>
      </c>
      <c r="CT377" s="234" cm="1">
        <f t="array" ref="CT377">$BM377 * IF($AH377&lt;=2,
SUMPRODUCT(INDEX($AV$66:$AX$70,,$AI377), INDEX($AY$66:$BE$70,,$AH377), 1 / ($BF$66:$BF$70*CS377 + (1-$BF$66:$BF$70)*CO377), N($AU$66:$AU$70&gt;$AM377)),
SUMPRODUCT(INDEX($AV$56:$AX$65,,$AI377), INDEX($AY$56:$BE$65,,$AH377), 1 / ($BG$56:$BG$65*CS377 + (1-$BG$56:$BG$65)*CO377), N($AU$56:$AU$65&gt;$AM377))
) / 1000</f>
        <v>0</v>
      </c>
      <c r="CU377" s="231">
        <f t="shared" si="593"/>
        <v>20</v>
      </c>
      <c r="CV377" s="229">
        <f t="shared" si="578"/>
        <v>33</v>
      </c>
      <c r="CW377" s="234">
        <f t="shared" si="579"/>
        <v>4.8487499999999999</v>
      </c>
      <c r="CX377" s="234" cm="1">
        <f t="array" ref="CX377">$BM377 * IF($AH377&lt;=2,
SUMPRODUCT(INDEX($AV$61:$AX$65,,$AI377), INDEX($AY$61:$BE$65,,$AH377), 1 / ($BF$61:$BF$65*CW377 + (1-$BF$61:$BF$65)*CS377), N($AU$61:$AU$65&gt;$AM377)),
SUMPRODUCT(INDEX($AV$46:$AX$55,,$AI377), INDEX($AY$46:$BE$55,,$AH377), 1 / ($BG$46:$BG$55*CW377 + (1-$BG$46:$BG$55)*CS377), N($AU$46:$AU$55&gt;$AM377))
) / 1000</f>
        <v>0</v>
      </c>
      <c r="CY377" s="234" cm="1">
        <f t="array" ref="CY377">$BM377 * IF($AH377&lt;=2,
SUMPRODUCT(INDEX($AV$22:$AX$60,,$AI377), INDEX($AY$22:$BE$60,,$AH377), 1 / ($BF$22:$BF$60*CW377), N($AU$22:$AU$60&gt;$AM377)),
SUMPRODUCT(INDEX($AV$22:$AX$45,,$AI377), INDEX($AY$22:$BE$45,,$AH377), 1 / ($BG$22:$BG$45*CW377), N($AU$22:$AU$45&gt;$AM377))
) / 1000</f>
        <v>0</v>
      </c>
      <c r="CZ377" s="229">
        <f t="shared" si="580"/>
        <v>0</v>
      </c>
      <c r="DA377" s="246"/>
    </row>
    <row r="378" spans="1:105" s="75" customFormat="1" ht="14.25" customHeight="1" x14ac:dyDescent="0.2">
      <c r="A378" s="230" t="b">
        <f t="shared" si="585"/>
        <v>0</v>
      </c>
      <c r="B378" s="253">
        <v>357</v>
      </c>
      <c r="C378" s="266"/>
      <c r="D378" s="266"/>
      <c r="E378" s="254"/>
      <c r="F378" s="255" t="str">
        <f>IF(ISBLANK(E378), "", VLOOKUP(E378, Z!$A$2:$C$4127, 3, FALSE))</f>
        <v/>
      </c>
      <c r="G378" s="256"/>
      <c r="H378" s="256"/>
      <c r="I378" s="256"/>
      <c r="J378" s="257"/>
      <c r="K378" s="258"/>
      <c r="L378" s="267"/>
      <c r="M378" s="268"/>
      <c r="N378" s="259" t="str" cm="1">
        <f t="array" ref="N378">IF($L378&gt;0, INDEX(Clean,1+AK378,$D$1), "")</f>
        <v/>
      </c>
      <c r="O378" s="260"/>
      <c r="P378" s="260"/>
      <c r="Q378" s="261"/>
      <c r="R378" s="264">
        <f t="shared" ref="R378:R441" si="594">CF378*1000</f>
        <v>0</v>
      </c>
      <c r="S378" s="259" t="str" cm="1">
        <f t="array" ref="S378">IF($L378&gt;0, INDEX(Clean,1+AL378,$D$1), "")</f>
        <v/>
      </c>
      <c r="T378" s="260"/>
      <c r="U378" s="260"/>
      <c r="V378" s="261"/>
      <c r="W378" s="267"/>
      <c r="X378" s="267"/>
      <c r="Y378" s="257"/>
      <c r="Z378" s="264">
        <f t="shared" ref="Z378:Z441" si="595">(CZ378 - IF(W378&gt;0, CZ378*(W378/7)*AP378, 0) - IF(X378&gt;0, CZ378*(X378*AR378*AS378), 0))*1000</f>
        <v>0</v>
      </c>
      <c r="AA378" s="269"/>
      <c r="AB378" s="266"/>
      <c r="AC378" s="254"/>
      <c r="AD378" s="255" t="str">
        <f>IF(ISBLANK(AC378), "", VLOOKUP(AC378, Z!$A$2:$C$4127, 3, FALSE))</f>
        <v/>
      </c>
      <c r="AE378" s="270"/>
      <c r="AF378" s="265">
        <f t="shared" ref="AF378:AF441" si="596">0.75*AO$22*(R378-Z378)</f>
        <v>0</v>
      </c>
      <c r="AG378" s="246"/>
      <c r="AH378" s="228">
        <f t="shared" si="581"/>
        <v>1</v>
      </c>
      <c r="AI378" s="228">
        <f t="shared" si="582"/>
        <v>1</v>
      </c>
      <c r="AJ378" s="228">
        <f t="shared" si="583"/>
        <v>0</v>
      </c>
      <c r="AK378" s="228">
        <v>0</v>
      </c>
      <c r="AL378" s="228">
        <v>0</v>
      </c>
      <c r="AM378" s="228">
        <f t="shared" ref="AM378:AM441" si="597">IF(AND(K378="x", AH378=5), 11, IF(AND(K378="x", AH378=6), 19, -100))</f>
        <v>-100</v>
      </c>
      <c r="AN378" s="228" cm="1">
        <f t="array" ref="AN378">IF(ISBLANK(G378), 1, IFERROR(MATCH(G378, INDEX(Kat,,1), 0), IFERROR(MATCH(Kat, INDEX(Use,,2), 0), MATCH(Kat, INDEX(Use,,3), 0))))</f>
        <v>1</v>
      </c>
      <c r="AO378" s="246"/>
      <c r="AP378" s="228" cm="1">
        <f t="array" ref="AP378">IF(W378&gt;0, INDEX(Kat, AN378,4), 0)</f>
        <v>0</v>
      </c>
      <c r="AQ378" s="228">
        <f t="shared" si="584"/>
        <v>0</v>
      </c>
      <c r="AR378" s="228" cm="1">
        <f t="array" ref="AR378">IF(X378&gt;0, INDEX(Kat, $AN378, 4+AQ378), 0)</f>
        <v>0</v>
      </c>
      <c r="AS378" s="228" cm="1">
        <f t="array" ref="AS378">IF(X378&gt;0, INDEX(Kat, $AN378, 9+AQ378), 0)</f>
        <v>0</v>
      </c>
      <c r="AT378" s="246"/>
      <c r="AU378" s="262"/>
      <c r="AV378" s="262"/>
      <c r="AW378" s="263"/>
      <c r="AX378" s="263"/>
      <c r="AY378" s="263"/>
      <c r="AZ378" s="263"/>
      <c r="BA378" s="263"/>
      <c r="BB378" s="263"/>
      <c r="BC378" s="263"/>
      <c r="BD378" s="263"/>
      <c r="BE378" s="263"/>
      <c r="BF378" s="263"/>
      <c r="BG378" s="263"/>
      <c r="BH378" s="246"/>
      <c r="BI378" s="228" cm="1">
        <f t="array" ref="BI378">INDEX(Use, $AH378, 4)</f>
        <v>7</v>
      </c>
      <c r="BJ378" s="228">
        <f t="shared" ref="BJ378:BJ441" si="598">MAX(25, BI378+25)</f>
        <v>32</v>
      </c>
      <c r="BK378" s="228">
        <f t="shared" si="586"/>
        <v>13</v>
      </c>
      <c r="BL378" s="228">
        <f t="shared" si="587"/>
        <v>0</v>
      </c>
      <c r="BM378" s="233" cm="1">
        <f t="array" ref="BM378">L378/IF($M378&gt;0, INDEX($AY$22:$BE$76, $M378+20, $AH378), 1)</f>
        <v>0</v>
      </c>
      <c r="BN378" s="229">
        <f t="shared" ref="BN378:BN441" si="599">Q378 /  IF(AH378&lt;=2, 0.7 + 0.3 * (P378-20)/(35-20), 0.4 + 0.6 * (P378-5)/(35-5))</f>
        <v>0</v>
      </c>
      <c r="BO378" s="228">
        <v>35</v>
      </c>
      <c r="BP378" s="229">
        <f t="shared" ref="BP378:BP441" si="600">MAX($O378, MAX($BJ378, $BO378 + $BK378 + $BL378 + 0.35*$AK378*$BK378 + BN378))</f>
        <v>48</v>
      </c>
      <c r="BQ378" s="234">
        <f t="shared" ref="BQ378:BQ441" si="601">0.45*($BI378+273.15)/(BP378-$BI378)</f>
        <v>3.0748170731707316</v>
      </c>
      <c r="BR378" s="234" cm="1">
        <f t="array" ref="BR378">$BM378 * SUMPRODUCT(INDEX($AV$76:$AX$81,,$AI378),INDEX($AY$76:$BE$81,,$AH378), N($AU$76:$AU$81&gt;$AM378)) / BQ378 / 1000</f>
        <v>0</v>
      </c>
      <c r="BS378" s="231">
        <f t="shared" si="588"/>
        <v>30</v>
      </c>
      <c r="BT378" s="229">
        <f t="shared" ref="BT378:BT441" si="602">MAX($O378, MAX($BJ378, BS378 + $BK378 + $BL378 + IF($AH378&lt;=2, (BS378-20)/(35-20), 0.6+0.4*(BS378-5)/(35-5))*0.35*$AK378*$BK378) + IF($AH378&lt;=2,0.9,0.8)*$BN378)</f>
        <v>43</v>
      </c>
      <c r="BU378" s="234">
        <f t="shared" ref="BU378:BU441" si="603">0.45*($BI378+273.15)/(BT378-$BI378)</f>
        <v>3.5018750000000001</v>
      </c>
      <c r="BV378" s="234" cm="1">
        <f t="array" ref="BV378">$BM378 * IF($AH378&lt;=2,
SUMPRODUCT(INDEX($AV$71:$AX$75,,$AI378), INDEX($AY$71:$BE$75,,$AH378), 1 / ($BF$71:$BF$75*BU378 + (1-$BF$71:$BF$75)*BQ378), N($AU$71:$AU$75&gt;$AM378)),
SUMPRODUCT(INDEX($AV$66:$AX$75,,$AI378), INDEX($AY$66:$BE$75,,$AH378), 1 / ($BG$66:$BG$75*BU378 + (1-$BG$66:$BG$75)*BQ378), N($AU$66:$AU$75&gt;$AM378))
) / 1000</f>
        <v>0</v>
      </c>
      <c r="BW378" s="231">
        <f t="shared" si="589"/>
        <v>25</v>
      </c>
      <c r="BX378" s="229">
        <f t="shared" ref="BX378:BX441" si="604">MAX($O378, MAX($BJ378, BW378 + $BK378 + $BL378 + IF($AH378&lt;=2, (BW378-20)/(35-20), 0.6+0.4*(BW378-5)/(35-5))*0.35*$AK378*$BK378) + IF($AH378&lt;=2,0.8,0.6)*$BN378)</f>
        <v>38</v>
      </c>
      <c r="BY378" s="234">
        <f t="shared" ref="BY378:BY441" si="605">0.45*($BI378+273.15)/(BX378-$BI378)</f>
        <v>4.0666935483870965</v>
      </c>
      <c r="BZ378" s="234" cm="1">
        <f t="array" ref="BZ378">$BM378 * IF($AH378&lt;=2,
SUMPRODUCT(INDEX($AV$66:$AX$70,,$AI378), INDEX($AY$66:$BE$70,,$AH378), 1 / ($BF$66:$BF$70*BY378 + (1-$BF$66:$BF$70)*BU378), N($AU$66:$AU$70&gt;$AM378)),
SUMPRODUCT(INDEX($AV$56:$AX$65,,$AI378), INDEX($AY$56:$BE$65,,$AH378), 1 / ($BG$56:$BG$65*BY378 + (1-$BG$56:$BG$65)*BU378), N($AU$56:$AU$65&gt;$AM378))
) / 1000</f>
        <v>0</v>
      </c>
      <c r="CA378" s="231">
        <f t="shared" si="590"/>
        <v>20</v>
      </c>
      <c r="CB378" s="229">
        <f t="shared" ref="CB378:CB441" si="606">MAX($O378, MAX($BJ378, CA378 + $BK378 + $BL378 + IF($AH378&lt;=2, (CA378-20)/(35-20), 0.6+0.4*(CA378-5)/(35-5))*0.35*$AK378*$BK378) + IF($AH378&lt;=2,0.7,0.4)*$BN378)</f>
        <v>33</v>
      </c>
      <c r="CC378" s="234">
        <f t="shared" ref="CC378:CC441" si="607">0.45*($BI378+273.15)/(CB378-$BI378)</f>
        <v>4.8487499999999999</v>
      </c>
      <c r="CD378" s="234" cm="1">
        <f t="array" ref="CD378">$BM378 * IF($AH378&lt;=2,
SUMPRODUCT(INDEX($AV$61:$AX$65,,$AI378), INDEX($AY$61:$BE$65,,$AH378), 1 / ($BF$61:$BF$65*CC378 + (1-$BF$61:$BF$65)*BY378), N($AU$61:$AU$65&gt;$AM378)),
SUMPRODUCT(INDEX($AV$46:$AX$55,,$AI378), INDEX($AY$46:$BE$55,,$AH378), 1 / ($BG$46:$BG$55*CC378 + (1-$BG$46:$BG$55)*BY378), N($AU$46:$AU$55&gt;$AM378))
) / 1000</f>
        <v>0</v>
      </c>
      <c r="CE378" s="234" cm="1">
        <f t="array" ref="CE378">$BM378 * IF($AH378&lt;=2,
SUMPRODUCT(INDEX($AV$22:$AX$60,,$AI378), INDEX($AY$22:$BE$60,,$AH378), 1 / ($BF$22:$BF$60*CC378), N($AU$22:$AU$60&gt;$AM378)),
SUMPRODUCT(INDEX($AV$22:$AX$45,,$AI378), INDEX($AY$22:$BE$45,,$AH378), 1 / ($BG$22:$BG$45*CC378), N($AU$22:$AU$45&gt;$AM378))
) / 1000</f>
        <v>0</v>
      </c>
      <c r="CF378" s="229">
        <f t="shared" ref="CF378:CF441" si="608">BR378+BV378+BZ378+CD378+CE378</f>
        <v>0</v>
      </c>
      <c r="CG378" s="246"/>
      <c r="CH378" s="229">
        <f t="shared" ref="CH378:CH441" si="609">V378 /  IF(AH378&lt;=2, 0.7 + 0.3 * (U378-20)/(35-20), 0.4 + 0.6 * (U378-5)/(35-5))</f>
        <v>0</v>
      </c>
      <c r="CI378" s="228">
        <v>35</v>
      </c>
      <c r="CJ378" s="229">
        <f t="shared" ref="CJ378:CJ441" si="610">MAX($T378, MAX($BJ378, $BO378 + $BK378 + $BL378 + 0.35*$AL378*$BK378 + CH378))</f>
        <v>48</v>
      </c>
      <c r="CK378" s="234">
        <f t="shared" ref="CK378:CK441" si="611">0.45*($BI378+273.15)/(CJ378-$BI378)</f>
        <v>3.0748170731707316</v>
      </c>
      <c r="CL378" s="234" cm="1">
        <f t="array" ref="CL378">$BM378 * SUMPRODUCT(INDEX($AV$76:$AX$81,,$AI378),INDEX($AY$76:$BE$81,,$AH378), N($AU$76:$AU$81&gt;$AM378)) / CK378 / 1000</f>
        <v>0</v>
      </c>
      <c r="CM378" s="231">
        <f t="shared" si="591"/>
        <v>30</v>
      </c>
      <c r="CN378" s="229">
        <f t="shared" ref="CN378:CN441" si="612">MAX($T378, MAX($BJ378, CM378 + $BK378 + $BL378 + IF($AH378&lt;=2, (CM378-20)/(35-20), 0.6+0.4*(CM378-5)/(35-5))*0.35*$AL378*$BK378) + IF($AH378&lt;=2,0.9,0.8)*$CH378)</f>
        <v>43</v>
      </c>
      <c r="CO378" s="234">
        <f t="shared" ref="CO378:CO441" si="613">0.45*($BI378+273.15)/(CN378-$BI378)</f>
        <v>3.5018750000000001</v>
      </c>
      <c r="CP378" s="234" cm="1">
        <f t="array" ref="CP378">$BM378 * IF($AH378&lt;=2,
SUMPRODUCT(INDEX($AV$71:$AX$75,,$AI378), INDEX($AY$71:$BE$75,,$AH378), 1 / ($BF$71:$BF$75*CO378 + (1-$BF$71:$BF$75)*CK378), N($AU$71:$AU$75&gt;$AM378)),
SUMPRODUCT(INDEX($AV$66:$AX$75,,$AI378), INDEX($AY$66:$BE$75,,$AH378), 1 / ($BG$66:$BG$75*CO378 + (1-$BG$66:$BG$75)*CK378), N($AU$66:$AU$75&gt;$AM378))
) / 1000</f>
        <v>0</v>
      </c>
      <c r="CQ378" s="231">
        <f t="shared" si="592"/>
        <v>25</v>
      </c>
      <c r="CR378" s="229">
        <f t="shared" ref="CR378:CR441" si="614">MAX($T378, MAX($BJ378, CQ378 + $BK378 + $BL378 + IF($AH378&lt;=2, (CQ378-20)/(35-20), 0.6+0.4*(CQ378-5)/(35-5))*0.35*$AL378*$BK378) + IF($AH378&lt;=2,0.8,0.6)*$CH378)</f>
        <v>38</v>
      </c>
      <c r="CS378" s="234">
        <f t="shared" ref="CS378:CS441" si="615">0.45*($BI378+273.15)/(CR378-$BI378)</f>
        <v>4.0666935483870965</v>
      </c>
      <c r="CT378" s="234" cm="1">
        <f t="array" ref="CT378">$BM378 * IF($AH378&lt;=2,
SUMPRODUCT(INDEX($AV$66:$AX$70,,$AI378), INDEX($AY$66:$BE$70,,$AH378), 1 / ($BF$66:$BF$70*CS378 + (1-$BF$66:$BF$70)*CO378), N($AU$66:$AU$70&gt;$AM378)),
SUMPRODUCT(INDEX($AV$56:$AX$65,,$AI378), INDEX($AY$56:$BE$65,,$AH378), 1 / ($BG$56:$BG$65*CS378 + (1-$BG$56:$BG$65)*CO378), N($AU$56:$AU$65&gt;$AM378))
) / 1000</f>
        <v>0</v>
      </c>
      <c r="CU378" s="231">
        <f t="shared" si="593"/>
        <v>20</v>
      </c>
      <c r="CV378" s="229">
        <f t="shared" ref="CV378:CV441" si="616">MAX($T378, MAX($BJ378, CU378 + $BK378 + $BL378 + IF($AH378&lt;=2, (CU378-20)/(35-20), 0.6+0.4*(CU378-5)/(35-5))*0.35*$AL378*$BK378) + IF($AH378&lt;=2,0.7,0.4)*$CH378)</f>
        <v>33</v>
      </c>
      <c r="CW378" s="234">
        <f t="shared" ref="CW378:CW441" si="617">0.45*($BI378+273.15)/(CV378-$BI378)</f>
        <v>4.8487499999999999</v>
      </c>
      <c r="CX378" s="234" cm="1">
        <f t="array" ref="CX378">$BM378 * IF($AH378&lt;=2,
SUMPRODUCT(INDEX($AV$61:$AX$65,,$AI378), INDEX($AY$61:$BE$65,,$AH378), 1 / ($BF$61:$BF$65*CW378 + (1-$BF$61:$BF$65)*CS378), N($AU$61:$AU$65&gt;$AM378)),
SUMPRODUCT(INDEX($AV$46:$AX$55,,$AI378), INDEX($AY$46:$BE$55,,$AH378), 1 / ($BG$46:$BG$55*CW378 + (1-$BG$46:$BG$55)*CS378), N($AU$46:$AU$55&gt;$AM378))
) / 1000</f>
        <v>0</v>
      </c>
      <c r="CY378" s="234" cm="1">
        <f t="array" ref="CY378">$BM378 * IF($AH378&lt;=2,
SUMPRODUCT(INDEX($AV$22:$AX$60,,$AI378), INDEX($AY$22:$BE$60,,$AH378), 1 / ($BF$22:$BF$60*CW378), N($AU$22:$AU$60&gt;$AM378)),
SUMPRODUCT(INDEX($AV$22:$AX$45,,$AI378), INDEX($AY$22:$BE$45,,$AH378), 1 / ($BG$22:$BG$45*CW378), N($AU$22:$AU$45&gt;$AM378))
) / 1000</f>
        <v>0</v>
      </c>
      <c r="CZ378" s="229">
        <f t="shared" ref="CZ378:CZ441" si="618">CL378+CP378+CT378+CX378+CY378</f>
        <v>0</v>
      </c>
      <c r="DA378" s="246"/>
    </row>
    <row r="379" spans="1:105" s="75" customFormat="1" ht="14.25" customHeight="1" x14ac:dyDescent="0.2">
      <c r="A379" s="230" t="b">
        <f t="shared" si="585"/>
        <v>0</v>
      </c>
      <c r="B379" s="253">
        <v>358</v>
      </c>
      <c r="C379" s="266"/>
      <c r="D379" s="266"/>
      <c r="E379" s="254"/>
      <c r="F379" s="255" t="str">
        <f>IF(ISBLANK(E379), "", VLOOKUP(E379, Z!$A$2:$C$4127, 3, FALSE))</f>
        <v/>
      </c>
      <c r="G379" s="256"/>
      <c r="H379" s="256"/>
      <c r="I379" s="256"/>
      <c r="J379" s="257"/>
      <c r="K379" s="258"/>
      <c r="L379" s="267"/>
      <c r="M379" s="268"/>
      <c r="N379" s="259" t="str" cm="1">
        <f t="array" ref="N379">IF($L379&gt;0, INDEX(Clean,1+AK379,$D$1), "")</f>
        <v/>
      </c>
      <c r="O379" s="260"/>
      <c r="P379" s="260"/>
      <c r="Q379" s="261"/>
      <c r="R379" s="264">
        <f t="shared" si="594"/>
        <v>0</v>
      </c>
      <c r="S379" s="259" t="str" cm="1">
        <f t="array" ref="S379">IF($L379&gt;0, INDEX(Clean,1+AL379,$D$1), "")</f>
        <v/>
      </c>
      <c r="T379" s="260"/>
      <c r="U379" s="260"/>
      <c r="V379" s="261"/>
      <c r="W379" s="267"/>
      <c r="X379" s="267"/>
      <c r="Y379" s="257"/>
      <c r="Z379" s="264">
        <f t="shared" si="595"/>
        <v>0</v>
      </c>
      <c r="AA379" s="269"/>
      <c r="AB379" s="266"/>
      <c r="AC379" s="254"/>
      <c r="AD379" s="255" t="str">
        <f>IF(ISBLANK(AC379), "", VLOOKUP(AC379, Z!$A$2:$C$4127, 3, FALSE))</f>
        <v/>
      </c>
      <c r="AE379" s="270"/>
      <c r="AF379" s="265">
        <f t="shared" si="596"/>
        <v>0</v>
      </c>
      <c r="AG379" s="246"/>
      <c r="AH379" s="228">
        <f t="shared" ref="AH379:AH442" si="619">IF(ISBLANK(I379), 1, IFERROR(MATCH(I379, INDEX(Use,,1), 0), IFERROR(MATCH(I379, INDEX(Use,,2), 0), MATCH(I379, INDEX(Use,,3), 0))))</f>
        <v>1</v>
      </c>
      <c r="AI379" s="228">
        <f t="shared" ref="AI379:AI442" si="620">IF(ISBLANK(H379), 1, IFERROR(MATCH(H379, INDEX(Loc,,1), 0), IFERROR(MATCH(H379, INDEX(Loc,,2), 0), MATCH(H379, INDEX(Loc,,3), 0))))</f>
        <v>1</v>
      </c>
      <c r="AJ379" s="228">
        <f t="shared" ref="AJ379:AJ442" si="621">_xlfn.IFNA(IF(IFERROR(MATCH(J379, INDEX(Medium,,1), 0), IFERROR(MATCH(J379, INDEX(Medium,,2), 0), MATCH(J379, INDEX(Medium,,3), 0))) = 2, 1, 0), 0)</f>
        <v>0</v>
      </c>
      <c r="AK379" s="228">
        <v>0</v>
      </c>
      <c r="AL379" s="228">
        <v>0</v>
      </c>
      <c r="AM379" s="228">
        <f t="shared" si="597"/>
        <v>-100</v>
      </c>
      <c r="AN379" s="228" cm="1">
        <f t="array" ref="AN379">IF(ISBLANK(G379), 1, IFERROR(MATCH(G379, INDEX(Kat,,1), 0), IFERROR(MATCH(Kat, INDEX(Use,,2), 0), MATCH(Kat, INDEX(Use,,3), 0))))</f>
        <v>1</v>
      </c>
      <c r="AO379" s="246"/>
      <c r="AP379" s="228" cm="1">
        <f t="array" ref="AP379">IF(W379&gt;0, INDEX(Kat, AN379,4), 0)</f>
        <v>0</v>
      </c>
      <c r="AQ379" s="228">
        <f t="shared" ref="AQ379:AQ442" si="622">IF(ISBLANK(Y379), 0, IFERROR(MATCH(Y379, INDEX(Month,,1), 0), IFERROR(MATCH(Y379, INDEX(Month,,2), 0), MATCH(Y379, INDEX(Month,,3), 0))))</f>
        <v>0</v>
      </c>
      <c r="AR379" s="228" cm="1">
        <f t="array" ref="AR379">IF(X379&gt;0, INDEX(Kat, $AN379, 4+AQ379), 0)</f>
        <v>0</v>
      </c>
      <c r="AS379" s="228" cm="1">
        <f t="array" ref="AS379">IF(X379&gt;0, INDEX(Kat, $AN379, 9+AQ379), 0)</f>
        <v>0</v>
      </c>
      <c r="AT379" s="246"/>
      <c r="AU379" s="262"/>
      <c r="AV379" s="262"/>
      <c r="AW379" s="263"/>
      <c r="AX379" s="263"/>
      <c r="AY379" s="263"/>
      <c r="AZ379" s="263"/>
      <c r="BA379" s="263"/>
      <c r="BB379" s="263"/>
      <c r="BC379" s="263"/>
      <c r="BD379" s="263"/>
      <c r="BE379" s="263"/>
      <c r="BF379" s="263"/>
      <c r="BG379" s="263"/>
      <c r="BH379" s="246"/>
      <c r="BI379" s="228" cm="1">
        <f t="array" ref="BI379">INDEX(Use, $AH379, 4)</f>
        <v>7</v>
      </c>
      <c r="BJ379" s="228">
        <f t="shared" si="598"/>
        <v>32</v>
      </c>
      <c r="BK379" s="228">
        <f t="shared" si="586"/>
        <v>13</v>
      </c>
      <c r="BL379" s="228">
        <f t="shared" si="587"/>
        <v>0</v>
      </c>
      <c r="BM379" s="233" cm="1">
        <f t="array" ref="BM379">L379/IF($M379&gt;0, INDEX($AY$22:$BE$76, $M379+20, $AH379), 1)</f>
        <v>0</v>
      </c>
      <c r="BN379" s="229">
        <f t="shared" si="599"/>
        <v>0</v>
      </c>
      <c r="BO379" s="228">
        <v>35</v>
      </c>
      <c r="BP379" s="229">
        <f t="shared" si="600"/>
        <v>48</v>
      </c>
      <c r="BQ379" s="234">
        <f t="shared" si="601"/>
        <v>3.0748170731707316</v>
      </c>
      <c r="BR379" s="234" cm="1">
        <f t="array" ref="BR379">$BM379 * SUMPRODUCT(INDEX($AV$76:$AX$81,,$AI379),INDEX($AY$76:$BE$81,,$AH379), N($AU$76:$AU$81&gt;$AM379)) / BQ379 / 1000</f>
        <v>0</v>
      </c>
      <c r="BS379" s="231">
        <f t="shared" si="588"/>
        <v>30</v>
      </c>
      <c r="BT379" s="229">
        <f t="shared" si="602"/>
        <v>43</v>
      </c>
      <c r="BU379" s="234">
        <f t="shared" si="603"/>
        <v>3.5018750000000001</v>
      </c>
      <c r="BV379" s="234" cm="1">
        <f t="array" ref="BV379">$BM379 * IF($AH379&lt;=2,
SUMPRODUCT(INDEX($AV$71:$AX$75,,$AI379), INDEX($AY$71:$BE$75,,$AH379), 1 / ($BF$71:$BF$75*BU379 + (1-$BF$71:$BF$75)*BQ379), N($AU$71:$AU$75&gt;$AM379)),
SUMPRODUCT(INDEX($AV$66:$AX$75,,$AI379), INDEX($AY$66:$BE$75,,$AH379), 1 / ($BG$66:$BG$75*BU379 + (1-$BG$66:$BG$75)*BQ379), N($AU$66:$AU$75&gt;$AM379))
) / 1000</f>
        <v>0</v>
      </c>
      <c r="BW379" s="231">
        <f t="shared" si="589"/>
        <v>25</v>
      </c>
      <c r="BX379" s="229">
        <f t="shared" si="604"/>
        <v>38</v>
      </c>
      <c r="BY379" s="234">
        <f t="shared" si="605"/>
        <v>4.0666935483870965</v>
      </c>
      <c r="BZ379" s="234" cm="1">
        <f t="array" ref="BZ379">$BM379 * IF($AH379&lt;=2,
SUMPRODUCT(INDEX($AV$66:$AX$70,,$AI379), INDEX($AY$66:$BE$70,,$AH379), 1 / ($BF$66:$BF$70*BY379 + (1-$BF$66:$BF$70)*BU379), N($AU$66:$AU$70&gt;$AM379)),
SUMPRODUCT(INDEX($AV$56:$AX$65,,$AI379), INDEX($AY$56:$BE$65,,$AH379), 1 / ($BG$56:$BG$65*BY379 + (1-$BG$56:$BG$65)*BU379), N($AU$56:$AU$65&gt;$AM379))
) / 1000</f>
        <v>0</v>
      </c>
      <c r="CA379" s="231">
        <f t="shared" si="590"/>
        <v>20</v>
      </c>
      <c r="CB379" s="229">
        <f t="shared" si="606"/>
        <v>33</v>
      </c>
      <c r="CC379" s="234">
        <f t="shared" si="607"/>
        <v>4.8487499999999999</v>
      </c>
      <c r="CD379" s="234" cm="1">
        <f t="array" ref="CD379">$BM379 * IF($AH379&lt;=2,
SUMPRODUCT(INDEX($AV$61:$AX$65,,$AI379), INDEX($AY$61:$BE$65,,$AH379), 1 / ($BF$61:$BF$65*CC379 + (1-$BF$61:$BF$65)*BY379), N($AU$61:$AU$65&gt;$AM379)),
SUMPRODUCT(INDEX($AV$46:$AX$55,,$AI379), INDEX($AY$46:$BE$55,,$AH379), 1 / ($BG$46:$BG$55*CC379 + (1-$BG$46:$BG$55)*BY379), N($AU$46:$AU$55&gt;$AM379))
) / 1000</f>
        <v>0</v>
      </c>
      <c r="CE379" s="234" cm="1">
        <f t="array" ref="CE379">$BM379 * IF($AH379&lt;=2,
SUMPRODUCT(INDEX($AV$22:$AX$60,,$AI379), INDEX($AY$22:$BE$60,,$AH379), 1 / ($BF$22:$BF$60*CC379), N($AU$22:$AU$60&gt;$AM379)),
SUMPRODUCT(INDEX($AV$22:$AX$45,,$AI379), INDEX($AY$22:$BE$45,,$AH379), 1 / ($BG$22:$BG$45*CC379), N($AU$22:$AU$45&gt;$AM379))
) / 1000</f>
        <v>0</v>
      </c>
      <c r="CF379" s="229">
        <f t="shared" si="608"/>
        <v>0</v>
      </c>
      <c r="CG379" s="246"/>
      <c r="CH379" s="229">
        <f t="shared" si="609"/>
        <v>0</v>
      </c>
      <c r="CI379" s="228">
        <v>35</v>
      </c>
      <c r="CJ379" s="229">
        <f t="shared" si="610"/>
        <v>48</v>
      </c>
      <c r="CK379" s="234">
        <f t="shared" si="611"/>
        <v>3.0748170731707316</v>
      </c>
      <c r="CL379" s="234" cm="1">
        <f t="array" ref="CL379">$BM379 * SUMPRODUCT(INDEX($AV$76:$AX$81,,$AI379),INDEX($AY$76:$BE$81,,$AH379), N($AU$76:$AU$81&gt;$AM379)) / CK379 / 1000</f>
        <v>0</v>
      </c>
      <c r="CM379" s="231">
        <f t="shared" si="591"/>
        <v>30</v>
      </c>
      <c r="CN379" s="229">
        <f t="shared" si="612"/>
        <v>43</v>
      </c>
      <c r="CO379" s="234">
        <f t="shared" si="613"/>
        <v>3.5018750000000001</v>
      </c>
      <c r="CP379" s="234" cm="1">
        <f t="array" ref="CP379">$BM379 * IF($AH379&lt;=2,
SUMPRODUCT(INDEX($AV$71:$AX$75,,$AI379), INDEX($AY$71:$BE$75,,$AH379), 1 / ($BF$71:$BF$75*CO379 + (1-$BF$71:$BF$75)*CK379), N($AU$71:$AU$75&gt;$AM379)),
SUMPRODUCT(INDEX($AV$66:$AX$75,,$AI379), INDEX($AY$66:$BE$75,,$AH379), 1 / ($BG$66:$BG$75*CO379 + (1-$BG$66:$BG$75)*CK379), N($AU$66:$AU$75&gt;$AM379))
) / 1000</f>
        <v>0</v>
      </c>
      <c r="CQ379" s="231">
        <f t="shared" si="592"/>
        <v>25</v>
      </c>
      <c r="CR379" s="229">
        <f t="shared" si="614"/>
        <v>38</v>
      </c>
      <c r="CS379" s="234">
        <f t="shared" si="615"/>
        <v>4.0666935483870965</v>
      </c>
      <c r="CT379" s="234" cm="1">
        <f t="array" ref="CT379">$BM379 * IF($AH379&lt;=2,
SUMPRODUCT(INDEX($AV$66:$AX$70,,$AI379), INDEX($AY$66:$BE$70,,$AH379), 1 / ($BF$66:$BF$70*CS379 + (1-$BF$66:$BF$70)*CO379), N($AU$66:$AU$70&gt;$AM379)),
SUMPRODUCT(INDEX($AV$56:$AX$65,,$AI379), INDEX($AY$56:$BE$65,,$AH379), 1 / ($BG$56:$BG$65*CS379 + (1-$BG$56:$BG$65)*CO379), N($AU$56:$AU$65&gt;$AM379))
) / 1000</f>
        <v>0</v>
      </c>
      <c r="CU379" s="231">
        <f t="shared" si="593"/>
        <v>20</v>
      </c>
      <c r="CV379" s="229">
        <f t="shared" si="616"/>
        <v>33</v>
      </c>
      <c r="CW379" s="234">
        <f t="shared" si="617"/>
        <v>4.8487499999999999</v>
      </c>
      <c r="CX379" s="234" cm="1">
        <f t="array" ref="CX379">$BM379 * IF($AH379&lt;=2,
SUMPRODUCT(INDEX($AV$61:$AX$65,,$AI379), INDEX($AY$61:$BE$65,,$AH379), 1 / ($BF$61:$BF$65*CW379 + (1-$BF$61:$BF$65)*CS379), N($AU$61:$AU$65&gt;$AM379)),
SUMPRODUCT(INDEX($AV$46:$AX$55,,$AI379), INDEX($AY$46:$BE$55,,$AH379), 1 / ($BG$46:$BG$55*CW379 + (1-$BG$46:$BG$55)*CS379), N($AU$46:$AU$55&gt;$AM379))
) / 1000</f>
        <v>0</v>
      </c>
      <c r="CY379" s="234" cm="1">
        <f t="array" ref="CY379">$BM379 * IF($AH379&lt;=2,
SUMPRODUCT(INDEX($AV$22:$AX$60,,$AI379), INDEX($AY$22:$BE$60,,$AH379), 1 / ($BF$22:$BF$60*CW379), N($AU$22:$AU$60&gt;$AM379)),
SUMPRODUCT(INDEX($AV$22:$AX$45,,$AI379), INDEX($AY$22:$BE$45,,$AH379), 1 / ($BG$22:$BG$45*CW379), N($AU$22:$AU$45&gt;$AM379))
) / 1000</f>
        <v>0</v>
      </c>
      <c r="CZ379" s="229">
        <f t="shared" si="618"/>
        <v>0</v>
      </c>
      <c r="DA379" s="246"/>
    </row>
    <row r="380" spans="1:105" s="75" customFormat="1" ht="14.25" customHeight="1" x14ac:dyDescent="0.2">
      <c r="A380" s="230" t="b">
        <f t="shared" si="585"/>
        <v>0</v>
      </c>
      <c r="B380" s="253">
        <v>359</v>
      </c>
      <c r="C380" s="266"/>
      <c r="D380" s="266"/>
      <c r="E380" s="254"/>
      <c r="F380" s="255" t="str">
        <f>IF(ISBLANK(E380), "", VLOOKUP(E380, Z!$A$2:$C$4127, 3, FALSE))</f>
        <v/>
      </c>
      <c r="G380" s="256"/>
      <c r="H380" s="256"/>
      <c r="I380" s="256"/>
      <c r="J380" s="257"/>
      <c r="K380" s="258"/>
      <c r="L380" s="267"/>
      <c r="M380" s="268"/>
      <c r="N380" s="259" t="str" cm="1">
        <f t="array" ref="N380">IF($L380&gt;0, INDEX(Clean,1+AK380,$D$1), "")</f>
        <v/>
      </c>
      <c r="O380" s="260"/>
      <c r="P380" s="260"/>
      <c r="Q380" s="261"/>
      <c r="R380" s="264">
        <f t="shared" si="594"/>
        <v>0</v>
      </c>
      <c r="S380" s="259" t="str" cm="1">
        <f t="array" ref="S380">IF($L380&gt;0, INDEX(Clean,1+AL380,$D$1), "")</f>
        <v/>
      </c>
      <c r="T380" s="260"/>
      <c r="U380" s="260"/>
      <c r="V380" s="261"/>
      <c r="W380" s="267"/>
      <c r="X380" s="267"/>
      <c r="Y380" s="257"/>
      <c r="Z380" s="264">
        <f t="shared" si="595"/>
        <v>0</v>
      </c>
      <c r="AA380" s="269"/>
      <c r="AB380" s="266"/>
      <c r="AC380" s="254"/>
      <c r="AD380" s="255" t="str">
        <f>IF(ISBLANK(AC380), "", VLOOKUP(AC380, Z!$A$2:$C$4127, 3, FALSE))</f>
        <v/>
      </c>
      <c r="AE380" s="270"/>
      <c r="AF380" s="265">
        <f t="shared" si="596"/>
        <v>0</v>
      </c>
      <c r="AG380" s="246"/>
      <c r="AH380" s="228">
        <f t="shared" si="619"/>
        <v>1</v>
      </c>
      <c r="AI380" s="228">
        <f t="shared" si="620"/>
        <v>1</v>
      </c>
      <c r="AJ380" s="228">
        <f t="shared" si="621"/>
        <v>0</v>
      </c>
      <c r="AK380" s="228">
        <v>0</v>
      </c>
      <c r="AL380" s="228">
        <v>0</v>
      </c>
      <c r="AM380" s="228">
        <f t="shared" si="597"/>
        <v>-100</v>
      </c>
      <c r="AN380" s="228" cm="1">
        <f t="array" ref="AN380">IF(ISBLANK(G380), 1, IFERROR(MATCH(G380, INDEX(Kat,,1), 0), IFERROR(MATCH(Kat, INDEX(Use,,2), 0), MATCH(Kat, INDEX(Use,,3), 0))))</f>
        <v>1</v>
      </c>
      <c r="AO380" s="246"/>
      <c r="AP380" s="228" cm="1">
        <f t="array" ref="AP380">IF(W380&gt;0, INDEX(Kat, AN380,4), 0)</f>
        <v>0</v>
      </c>
      <c r="AQ380" s="228">
        <f t="shared" si="622"/>
        <v>0</v>
      </c>
      <c r="AR380" s="228" cm="1">
        <f t="array" ref="AR380">IF(X380&gt;0, INDEX(Kat, $AN380, 4+AQ380), 0)</f>
        <v>0</v>
      </c>
      <c r="AS380" s="228" cm="1">
        <f t="array" ref="AS380">IF(X380&gt;0, INDEX(Kat, $AN380, 9+AQ380), 0)</f>
        <v>0</v>
      </c>
      <c r="AT380" s="246"/>
      <c r="AU380" s="262"/>
      <c r="AV380" s="262"/>
      <c r="AW380" s="263"/>
      <c r="AX380" s="263"/>
      <c r="AY380" s="263"/>
      <c r="AZ380" s="263"/>
      <c r="BA380" s="263"/>
      <c r="BB380" s="263"/>
      <c r="BC380" s="263"/>
      <c r="BD380" s="263"/>
      <c r="BE380" s="263"/>
      <c r="BF380" s="263"/>
      <c r="BG380" s="263"/>
      <c r="BH380" s="246"/>
      <c r="BI380" s="228" cm="1">
        <f t="array" ref="BI380">INDEX(Use, $AH380, 4)</f>
        <v>7</v>
      </c>
      <c r="BJ380" s="228">
        <f t="shared" si="598"/>
        <v>32</v>
      </c>
      <c r="BK380" s="228">
        <f t="shared" si="586"/>
        <v>13</v>
      </c>
      <c r="BL380" s="228">
        <f t="shared" si="587"/>
        <v>0</v>
      </c>
      <c r="BM380" s="233" cm="1">
        <f t="array" ref="BM380">L380/IF($M380&gt;0, INDEX($AY$22:$BE$76, $M380+20, $AH380), 1)</f>
        <v>0</v>
      </c>
      <c r="BN380" s="229">
        <f t="shared" si="599"/>
        <v>0</v>
      </c>
      <c r="BO380" s="228">
        <v>35</v>
      </c>
      <c r="BP380" s="229">
        <f t="shared" si="600"/>
        <v>48</v>
      </c>
      <c r="BQ380" s="234">
        <f t="shared" si="601"/>
        <v>3.0748170731707316</v>
      </c>
      <c r="BR380" s="234" cm="1">
        <f t="array" ref="BR380">$BM380 * SUMPRODUCT(INDEX($AV$76:$AX$81,,$AI380),INDEX($AY$76:$BE$81,,$AH380), N($AU$76:$AU$81&gt;$AM380)) / BQ380 / 1000</f>
        <v>0</v>
      </c>
      <c r="BS380" s="231">
        <f t="shared" si="588"/>
        <v>30</v>
      </c>
      <c r="BT380" s="229">
        <f t="shared" si="602"/>
        <v>43</v>
      </c>
      <c r="BU380" s="234">
        <f t="shared" si="603"/>
        <v>3.5018750000000001</v>
      </c>
      <c r="BV380" s="234" cm="1">
        <f t="array" ref="BV380">$BM380 * IF($AH380&lt;=2,
SUMPRODUCT(INDEX($AV$71:$AX$75,,$AI380), INDEX($AY$71:$BE$75,,$AH380), 1 / ($BF$71:$BF$75*BU380 + (1-$BF$71:$BF$75)*BQ380), N($AU$71:$AU$75&gt;$AM380)),
SUMPRODUCT(INDEX($AV$66:$AX$75,,$AI380), INDEX($AY$66:$BE$75,,$AH380), 1 / ($BG$66:$BG$75*BU380 + (1-$BG$66:$BG$75)*BQ380), N($AU$66:$AU$75&gt;$AM380))
) / 1000</f>
        <v>0</v>
      </c>
      <c r="BW380" s="231">
        <f t="shared" si="589"/>
        <v>25</v>
      </c>
      <c r="BX380" s="229">
        <f t="shared" si="604"/>
        <v>38</v>
      </c>
      <c r="BY380" s="234">
        <f t="shared" si="605"/>
        <v>4.0666935483870965</v>
      </c>
      <c r="BZ380" s="234" cm="1">
        <f t="array" ref="BZ380">$BM380 * IF($AH380&lt;=2,
SUMPRODUCT(INDEX($AV$66:$AX$70,,$AI380), INDEX($AY$66:$BE$70,,$AH380), 1 / ($BF$66:$BF$70*BY380 + (1-$BF$66:$BF$70)*BU380), N($AU$66:$AU$70&gt;$AM380)),
SUMPRODUCT(INDEX($AV$56:$AX$65,,$AI380), INDEX($AY$56:$BE$65,,$AH380), 1 / ($BG$56:$BG$65*BY380 + (1-$BG$56:$BG$65)*BU380), N($AU$56:$AU$65&gt;$AM380))
) / 1000</f>
        <v>0</v>
      </c>
      <c r="CA380" s="231">
        <f t="shared" si="590"/>
        <v>20</v>
      </c>
      <c r="CB380" s="229">
        <f t="shared" si="606"/>
        <v>33</v>
      </c>
      <c r="CC380" s="234">
        <f t="shared" si="607"/>
        <v>4.8487499999999999</v>
      </c>
      <c r="CD380" s="234" cm="1">
        <f t="array" ref="CD380">$BM380 * IF($AH380&lt;=2,
SUMPRODUCT(INDEX($AV$61:$AX$65,,$AI380), INDEX($AY$61:$BE$65,,$AH380), 1 / ($BF$61:$BF$65*CC380 + (1-$BF$61:$BF$65)*BY380), N($AU$61:$AU$65&gt;$AM380)),
SUMPRODUCT(INDEX($AV$46:$AX$55,,$AI380), INDEX($AY$46:$BE$55,,$AH380), 1 / ($BG$46:$BG$55*CC380 + (1-$BG$46:$BG$55)*BY380), N($AU$46:$AU$55&gt;$AM380))
) / 1000</f>
        <v>0</v>
      </c>
      <c r="CE380" s="234" cm="1">
        <f t="array" ref="CE380">$BM380 * IF($AH380&lt;=2,
SUMPRODUCT(INDEX($AV$22:$AX$60,,$AI380), INDEX($AY$22:$BE$60,,$AH380), 1 / ($BF$22:$BF$60*CC380), N($AU$22:$AU$60&gt;$AM380)),
SUMPRODUCT(INDEX($AV$22:$AX$45,,$AI380), INDEX($AY$22:$BE$45,,$AH380), 1 / ($BG$22:$BG$45*CC380), N($AU$22:$AU$45&gt;$AM380))
) / 1000</f>
        <v>0</v>
      </c>
      <c r="CF380" s="229">
        <f t="shared" si="608"/>
        <v>0</v>
      </c>
      <c r="CG380" s="246"/>
      <c r="CH380" s="229">
        <f t="shared" si="609"/>
        <v>0</v>
      </c>
      <c r="CI380" s="228">
        <v>35</v>
      </c>
      <c r="CJ380" s="229">
        <f t="shared" si="610"/>
        <v>48</v>
      </c>
      <c r="CK380" s="234">
        <f t="shared" si="611"/>
        <v>3.0748170731707316</v>
      </c>
      <c r="CL380" s="234" cm="1">
        <f t="array" ref="CL380">$BM380 * SUMPRODUCT(INDEX($AV$76:$AX$81,,$AI380),INDEX($AY$76:$BE$81,,$AH380), N($AU$76:$AU$81&gt;$AM380)) / CK380 / 1000</f>
        <v>0</v>
      </c>
      <c r="CM380" s="231">
        <f t="shared" si="591"/>
        <v>30</v>
      </c>
      <c r="CN380" s="229">
        <f t="shared" si="612"/>
        <v>43</v>
      </c>
      <c r="CO380" s="234">
        <f t="shared" si="613"/>
        <v>3.5018750000000001</v>
      </c>
      <c r="CP380" s="234" cm="1">
        <f t="array" ref="CP380">$BM380 * IF($AH380&lt;=2,
SUMPRODUCT(INDEX($AV$71:$AX$75,,$AI380), INDEX($AY$71:$BE$75,,$AH380), 1 / ($BF$71:$BF$75*CO380 + (1-$BF$71:$BF$75)*CK380), N($AU$71:$AU$75&gt;$AM380)),
SUMPRODUCT(INDEX($AV$66:$AX$75,,$AI380), INDEX($AY$66:$BE$75,,$AH380), 1 / ($BG$66:$BG$75*CO380 + (1-$BG$66:$BG$75)*CK380), N($AU$66:$AU$75&gt;$AM380))
) / 1000</f>
        <v>0</v>
      </c>
      <c r="CQ380" s="231">
        <f t="shared" si="592"/>
        <v>25</v>
      </c>
      <c r="CR380" s="229">
        <f t="shared" si="614"/>
        <v>38</v>
      </c>
      <c r="CS380" s="234">
        <f t="shared" si="615"/>
        <v>4.0666935483870965</v>
      </c>
      <c r="CT380" s="234" cm="1">
        <f t="array" ref="CT380">$BM380 * IF($AH380&lt;=2,
SUMPRODUCT(INDEX($AV$66:$AX$70,,$AI380), INDEX($AY$66:$BE$70,,$AH380), 1 / ($BF$66:$BF$70*CS380 + (1-$BF$66:$BF$70)*CO380), N($AU$66:$AU$70&gt;$AM380)),
SUMPRODUCT(INDEX($AV$56:$AX$65,,$AI380), INDEX($AY$56:$BE$65,,$AH380), 1 / ($BG$56:$BG$65*CS380 + (1-$BG$56:$BG$65)*CO380), N($AU$56:$AU$65&gt;$AM380))
) / 1000</f>
        <v>0</v>
      </c>
      <c r="CU380" s="231">
        <f t="shared" si="593"/>
        <v>20</v>
      </c>
      <c r="CV380" s="229">
        <f t="shared" si="616"/>
        <v>33</v>
      </c>
      <c r="CW380" s="234">
        <f t="shared" si="617"/>
        <v>4.8487499999999999</v>
      </c>
      <c r="CX380" s="234" cm="1">
        <f t="array" ref="CX380">$BM380 * IF($AH380&lt;=2,
SUMPRODUCT(INDEX($AV$61:$AX$65,,$AI380), INDEX($AY$61:$BE$65,,$AH380), 1 / ($BF$61:$BF$65*CW380 + (1-$BF$61:$BF$65)*CS380), N($AU$61:$AU$65&gt;$AM380)),
SUMPRODUCT(INDEX($AV$46:$AX$55,,$AI380), INDEX($AY$46:$BE$55,,$AH380), 1 / ($BG$46:$BG$55*CW380 + (1-$BG$46:$BG$55)*CS380), N($AU$46:$AU$55&gt;$AM380))
) / 1000</f>
        <v>0</v>
      </c>
      <c r="CY380" s="234" cm="1">
        <f t="array" ref="CY380">$BM380 * IF($AH380&lt;=2,
SUMPRODUCT(INDEX($AV$22:$AX$60,,$AI380), INDEX($AY$22:$BE$60,,$AH380), 1 / ($BF$22:$BF$60*CW380), N($AU$22:$AU$60&gt;$AM380)),
SUMPRODUCT(INDEX($AV$22:$AX$45,,$AI380), INDEX($AY$22:$BE$45,,$AH380), 1 / ($BG$22:$BG$45*CW380), N($AU$22:$AU$45&gt;$AM380))
) / 1000</f>
        <v>0</v>
      </c>
      <c r="CZ380" s="229">
        <f t="shared" si="618"/>
        <v>0</v>
      </c>
      <c r="DA380" s="246"/>
    </row>
    <row r="381" spans="1:105" s="75" customFormat="1" ht="14.25" customHeight="1" x14ac:dyDescent="0.2">
      <c r="A381" s="230" t="b">
        <f t="shared" si="585"/>
        <v>0</v>
      </c>
      <c r="B381" s="253">
        <v>360</v>
      </c>
      <c r="C381" s="266"/>
      <c r="D381" s="266"/>
      <c r="E381" s="254"/>
      <c r="F381" s="255" t="str">
        <f>IF(ISBLANK(E381), "", VLOOKUP(E381, Z!$A$2:$C$4127, 3, FALSE))</f>
        <v/>
      </c>
      <c r="G381" s="256"/>
      <c r="H381" s="256"/>
      <c r="I381" s="256"/>
      <c r="J381" s="257"/>
      <c r="K381" s="258"/>
      <c r="L381" s="267"/>
      <c r="M381" s="268"/>
      <c r="N381" s="259" t="str" cm="1">
        <f t="array" ref="N381">IF($L381&gt;0, INDEX(Clean,1+AK381,$D$1), "")</f>
        <v/>
      </c>
      <c r="O381" s="260"/>
      <c r="P381" s="260"/>
      <c r="Q381" s="261"/>
      <c r="R381" s="264">
        <f t="shared" si="594"/>
        <v>0</v>
      </c>
      <c r="S381" s="259" t="str" cm="1">
        <f t="array" ref="S381">IF($L381&gt;0, INDEX(Clean,1+AL381,$D$1), "")</f>
        <v/>
      </c>
      <c r="T381" s="260"/>
      <c r="U381" s="260"/>
      <c r="V381" s="261"/>
      <c r="W381" s="267"/>
      <c r="X381" s="267"/>
      <c r="Y381" s="257"/>
      <c r="Z381" s="264">
        <f t="shared" si="595"/>
        <v>0</v>
      </c>
      <c r="AA381" s="269"/>
      <c r="AB381" s="266"/>
      <c r="AC381" s="254"/>
      <c r="AD381" s="255" t="str">
        <f>IF(ISBLANK(AC381), "", VLOOKUP(AC381, Z!$A$2:$C$4127, 3, FALSE))</f>
        <v/>
      </c>
      <c r="AE381" s="270"/>
      <c r="AF381" s="265">
        <f t="shared" si="596"/>
        <v>0</v>
      </c>
      <c r="AG381" s="246"/>
      <c r="AH381" s="228">
        <f t="shared" si="619"/>
        <v>1</v>
      </c>
      <c r="AI381" s="228">
        <f t="shared" si="620"/>
        <v>1</v>
      </c>
      <c r="AJ381" s="228">
        <f t="shared" si="621"/>
        <v>0</v>
      </c>
      <c r="AK381" s="228">
        <v>0</v>
      </c>
      <c r="AL381" s="228">
        <v>0</v>
      </c>
      <c r="AM381" s="228">
        <f t="shared" si="597"/>
        <v>-100</v>
      </c>
      <c r="AN381" s="228" cm="1">
        <f t="array" ref="AN381">IF(ISBLANK(G381), 1, IFERROR(MATCH(G381, INDEX(Kat,,1), 0), IFERROR(MATCH(Kat, INDEX(Use,,2), 0), MATCH(Kat, INDEX(Use,,3), 0))))</f>
        <v>1</v>
      </c>
      <c r="AO381" s="246"/>
      <c r="AP381" s="228" cm="1">
        <f t="array" ref="AP381">IF(W381&gt;0, INDEX(Kat, AN381,4), 0)</f>
        <v>0</v>
      </c>
      <c r="AQ381" s="228">
        <f t="shared" si="622"/>
        <v>0</v>
      </c>
      <c r="AR381" s="228" cm="1">
        <f t="array" ref="AR381">IF(X381&gt;0, INDEX(Kat, $AN381, 4+AQ381), 0)</f>
        <v>0</v>
      </c>
      <c r="AS381" s="228" cm="1">
        <f t="array" ref="AS381">IF(X381&gt;0, INDEX(Kat, $AN381, 9+AQ381), 0)</f>
        <v>0</v>
      </c>
      <c r="AT381" s="246"/>
      <c r="AU381" s="262"/>
      <c r="AV381" s="262"/>
      <c r="AW381" s="263"/>
      <c r="AX381" s="263"/>
      <c r="AY381" s="263"/>
      <c r="AZ381" s="263"/>
      <c r="BA381" s="263"/>
      <c r="BB381" s="263"/>
      <c r="BC381" s="263"/>
      <c r="BD381" s="263"/>
      <c r="BE381" s="263"/>
      <c r="BF381" s="263"/>
      <c r="BG381" s="263"/>
      <c r="BH381" s="246"/>
      <c r="BI381" s="228" cm="1">
        <f t="array" ref="BI381">INDEX(Use, $AH381, 4)</f>
        <v>7</v>
      </c>
      <c r="BJ381" s="228">
        <f t="shared" si="598"/>
        <v>32</v>
      </c>
      <c r="BK381" s="228">
        <f t="shared" si="586"/>
        <v>13</v>
      </c>
      <c r="BL381" s="228">
        <f t="shared" si="587"/>
        <v>0</v>
      </c>
      <c r="BM381" s="233" cm="1">
        <f t="array" ref="BM381">L381/IF($M381&gt;0, INDEX($AY$22:$BE$76, $M381+20, $AH381), 1)</f>
        <v>0</v>
      </c>
      <c r="BN381" s="229">
        <f t="shared" si="599"/>
        <v>0</v>
      </c>
      <c r="BO381" s="228">
        <v>35</v>
      </c>
      <c r="BP381" s="229">
        <f t="shared" si="600"/>
        <v>48</v>
      </c>
      <c r="BQ381" s="234">
        <f t="shared" si="601"/>
        <v>3.0748170731707316</v>
      </c>
      <c r="BR381" s="234" cm="1">
        <f t="array" ref="BR381">$BM381 * SUMPRODUCT(INDEX($AV$76:$AX$81,,$AI381),INDEX($AY$76:$BE$81,,$AH381), N($AU$76:$AU$81&gt;$AM381)) / BQ381 / 1000</f>
        <v>0</v>
      </c>
      <c r="BS381" s="231">
        <f t="shared" si="588"/>
        <v>30</v>
      </c>
      <c r="BT381" s="229">
        <f t="shared" si="602"/>
        <v>43</v>
      </c>
      <c r="BU381" s="234">
        <f t="shared" si="603"/>
        <v>3.5018750000000001</v>
      </c>
      <c r="BV381" s="234" cm="1">
        <f t="array" ref="BV381">$BM381 * IF($AH381&lt;=2,
SUMPRODUCT(INDEX($AV$71:$AX$75,,$AI381), INDEX($AY$71:$BE$75,,$AH381), 1 / ($BF$71:$BF$75*BU381 + (1-$BF$71:$BF$75)*BQ381), N($AU$71:$AU$75&gt;$AM381)),
SUMPRODUCT(INDEX($AV$66:$AX$75,,$AI381), INDEX($AY$66:$BE$75,,$AH381), 1 / ($BG$66:$BG$75*BU381 + (1-$BG$66:$BG$75)*BQ381), N($AU$66:$AU$75&gt;$AM381))
) / 1000</f>
        <v>0</v>
      </c>
      <c r="BW381" s="231">
        <f t="shared" si="589"/>
        <v>25</v>
      </c>
      <c r="BX381" s="229">
        <f t="shared" si="604"/>
        <v>38</v>
      </c>
      <c r="BY381" s="234">
        <f t="shared" si="605"/>
        <v>4.0666935483870965</v>
      </c>
      <c r="BZ381" s="234" cm="1">
        <f t="array" ref="BZ381">$BM381 * IF($AH381&lt;=2,
SUMPRODUCT(INDEX($AV$66:$AX$70,,$AI381), INDEX($AY$66:$BE$70,,$AH381), 1 / ($BF$66:$BF$70*BY381 + (1-$BF$66:$BF$70)*BU381), N($AU$66:$AU$70&gt;$AM381)),
SUMPRODUCT(INDEX($AV$56:$AX$65,,$AI381), INDEX($AY$56:$BE$65,,$AH381), 1 / ($BG$56:$BG$65*BY381 + (1-$BG$56:$BG$65)*BU381), N($AU$56:$AU$65&gt;$AM381))
) / 1000</f>
        <v>0</v>
      </c>
      <c r="CA381" s="231">
        <f t="shared" si="590"/>
        <v>20</v>
      </c>
      <c r="CB381" s="229">
        <f t="shared" si="606"/>
        <v>33</v>
      </c>
      <c r="CC381" s="234">
        <f t="shared" si="607"/>
        <v>4.8487499999999999</v>
      </c>
      <c r="CD381" s="234" cm="1">
        <f t="array" ref="CD381">$BM381 * IF($AH381&lt;=2,
SUMPRODUCT(INDEX($AV$61:$AX$65,,$AI381), INDEX($AY$61:$BE$65,,$AH381), 1 / ($BF$61:$BF$65*CC381 + (1-$BF$61:$BF$65)*BY381), N($AU$61:$AU$65&gt;$AM381)),
SUMPRODUCT(INDEX($AV$46:$AX$55,,$AI381), INDEX($AY$46:$BE$55,,$AH381), 1 / ($BG$46:$BG$55*CC381 + (1-$BG$46:$BG$55)*BY381), N($AU$46:$AU$55&gt;$AM381))
) / 1000</f>
        <v>0</v>
      </c>
      <c r="CE381" s="234" cm="1">
        <f t="array" ref="CE381">$BM381 * IF($AH381&lt;=2,
SUMPRODUCT(INDEX($AV$22:$AX$60,,$AI381), INDEX($AY$22:$BE$60,,$AH381), 1 / ($BF$22:$BF$60*CC381), N($AU$22:$AU$60&gt;$AM381)),
SUMPRODUCT(INDEX($AV$22:$AX$45,,$AI381), INDEX($AY$22:$BE$45,,$AH381), 1 / ($BG$22:$BG$45*CC381), N($AU$22:$AU$45&gt;$AM381))
) / 1000</f>
        <v>0</v>
      </c>
      <c r="CF381" s="229">
        <f t="shared" si="608"/>
        <v>0</v>
      </c>
      <c r="CG381" s="246"/>
      <c r="CH381" s="229">
        <f t="shared" si="609"/>
        <v>0</v>
      </c>
      <c r="CI381" s="228">
        <v>35</v>
      </c>
      <c r="CJ381" s="229">
        <f t="shared" si="610"/>
        <v>48</v>
      </c>
      <c r="CK381" s="234">
        <f t="shared" si="611"/>
        <v>3.0748170731707316</v>
      </c>
      <c r="CL381" s="234" cm="1">
        <f t="array" ref="CL381">$BM381 * SUMPRODUCT(INDEX($AV$76:$AX$81,,$AI381),INDEX($AY$76:$BE$81,,$AH381), N($AU$76:$AU$81&gt;$AM381)) / CK381 / 1000</f>
        <v>0</v>
      </c>
      <c r="CM381" s="231">
        <f t="shared" si="591"/>
        <v>30</v>
      </c>
      <c r="CN381" s="229">
        <f t="shared" si="612"/>
        <v>43</v>
      </c>
      <c r="CO381" s="234">
        <f t="shared" si="613"/>
        <v>3.5018750000000001</v>
      </c>
      <c r="CP381" s="234" cm="1">
        <f t="array" ref="CP381">$BM381 * IF($AH381&lt;=2,
SUMPRODUCT(INDEX($AV$71:$AX$75,,$AI381), INDEX($AY$71:$BE$75,,$AH381), 1 / ($BF$71:$BF$75*CO381 + (1-$BF$71:$BF$75)*CK381), N($AU$71:$AU$75&gt;$AM381)),
SUMPRODUCT(INDEX($AV$66:$AX$75,,$AI381), INDEX($AY$66:$BE$75,,$AH381), 1 / ($BG$66:$BG$75*CO381 + (1-$BG$66:$BG$75)*CK381), N($AU$66:$AU$75&gt;$AM381))
) / 1000</f>
        <v>0</v>
      </c>
      <c r="CQ381" s="231">
        <f t="shared" si="592"/>
        <v>25</v>
      </c>
      <c r="CR381" s="229">
        <f t="shared" si="614"/>
        <v>38</v>
      </c>
      <c r="CS381" s="234">
        <f t="shared" si="615"/>
        <v>4.0666935483870965</v>
      </c>
      <c r="CT381" s="234" cm="1">
        <f t="array" ref="CT381">$BM381 * IF($AH381&lt;=2,
SUMPRODUCT(INDEX($AV$66:$AX$70,,$AI381), INDEX($AY$66:$BE$70,,$AH381), 1 / ($BF$66:$BF$70*CS381 + (1-$BF$66:$BF$70)*CO381), N($AU$66:$AU$70&gt;$AM381)),
SUMPRODUCT(INDEX($AV$56:$AX$65,,$AI381), INDEX($AY$56:$BE$65,,$AH381), 1 / ($BG$56:$BG$65*CS381 + (1-$BG$56:$BG$65)*CO381), N($AU$56:$AU$65&gt;$AM381))
) / 1000</f>
        <v>0</v>
      </c>
      <c r="CU381" s="231">
        <f t="shared" si="593"/>
        <v>20</v>
      </c>
      <c r="CV381" s="229">
        <f t="shared" si="616"/>
        <v>33</v>
      </c>
      <c r="CW381" s="234">
        <f t="shared" si="617"/>
        <v>4.8487499999999999</v>
      </c>
      <c r="CX381" s="234" cm="1">
        <f t="array" ref="CX381">$BM381 * IF($AH381&lt;=2,
SUMPRODUCT(INDEX($AV$61:$AX$65,,$AI381), INDEX($AY$61:$BE$65,,$AH381), 1 / ($BF$61:$BF$65*CW381 + (1-$BF$61:$BF$65)*CS381), N($AU$61:$AU$65&gt;$AM381)),
SUMPRODUCT(INDEX($AV$46:$AX$55,,$AI381), INDEX($AY$46:$BE$55,,$AH381), 1 / ($BG$46:$BG$55*CW381 + (1-$BG$46:$BG$55)*CS381), N($AU$46:$AU$55&gt;$AM381))
) / 1000</f>
        <v>0</v>
      </c>
      <c r="CY381" s="234" cm="1">
        <f t="array" ref="CY381">$BM381 * IF($AH381&lt;=2,
SUMPRODUCT(INDEX($AV$22:$AX$60,,$AI381), INDEX($AY$22:$BE$60,,$AH381), 1 / ($BF$22:$BF$60*CW381), N($AU$22:$AU$60&gt;$AM381)),
SUMPRODUCT(INDEX($AV$22:$AX$45,,$AI381), INDEX($AY$22:$BE$45,,$AH381), 1 / ($BG$22:$BG$45*CW381), N($AU$22:$AU$45&gt;$AM381))
) / 1000</f>
        <v>0</v>
      </c>
      <c r="CZ381" s="229">
        <f t="shared" si="618"/>
        <v>0</v>
      </c>
      <c r="DA381" s="246"/>
    </row>
    <row r="382" spans="1:105" s="75" customFormat="1" ht="14.25" customHeight="1" x14ac:dyDescent="0.2">
      <c r="A382" s="230" t="b">
        <f t="shared" si="585"/>
        <v>0</v>
      </c>
      <c r="B382" s="253">
        <v>361</v>
      </c>
      <c r="C382" s="266"/>
      <c r="D382" s="266"/>
      <c r="E382" s="254"/>
      <c r="F382" s="255" t="str">
        <f>IF(ISBLANK(E382), "", VLOOKUP(E382, Z!$A$2:$C$4127, 3, FALSE))</f>
        <v/>
      </c>
      <c r="G382" s="256"/>
      <c r="H382" s="256"/>
      <c r="I382" s="256"/>
      <c r="J382" s="257"/>
      <c r="K382" s="258"/>
      <c r="L382" s="267"/>
      <c r="M382" s="268"/>
      <c r="N382" s="259" t="str" cm="1">
        <f t="array" ref="N382">IF($L382&gt;0, INDEX(Clean,1+AK382,$D$1), "")</f>
        <v/>
      </c>
      <c r="O382" s="260"/>
      <c r="P382" s="260"/>
      <c r="Q382" s="261"/>
      <c r="R382" s="264">
        <f t="shared" si="594"/>
        <v>0</v>
      </c>
      <c r="S382" s="259" t="str" cm="1">
        <f t="array" ref="S382">IF($L382&gt;0, INDEX(Clean,1+AL382,$D$1), "")</f>
        <v/>
      </c>
      <c r="T382" s="260"/>
      <c r="U382" s="260"/>
      <c r="V382" s="261"/>
      <c r="W382" s="267"/>
      <c r="X382" s="267"/>
      <c r="Y382" s="257"/>
      <c r="Z382" s="264">
        <f t="shared" si="595"/>
        <v>0</v>
      </c>
      <c r="AA382" s="269"/>
      <c r="AB382" s="266"/>
      <c r="AC382" s="254"/>
      <c r="AD382" s="255" t="str">
        <f>IF(ISBLANK(AC382), "", VLOOKUP(AC382, Z!$A$2:$C$4127, 3, FALSE))</f>
        <v/>
      </c>
      <c r="AE382" s="270"/>
      <c r="AF382" s="265">
        <f t="shared" si="596"/>
        <v>0</v>
      </c>
      <c r="AG382" s="246"/>
      <c r="AH382" s="228">
        <f t="shared" si="619"/>
        <v>1</v>
      </c>
      <c r="AI382" s="228">
        <f t="shared" si="620"/>
        <v>1</v>
      </c>
      <c r="AJ382" s="228">
        <f t="shared" si="621"/>
        <v>0</v>
      </c>
      <c r="AK382" s="228">
        <v>0</v>
      </c>
      <c r="AL382" s="228">
        <v>0</v>
      </c>
      <c r="AM382" s="228">
        <f t="shared" si="597"/>
        <v>-100</v>
      </c>
      <c r="AN382" s="228" cm="1">
        <f t="array" ref="AN382">IF(ISBLANK(G382), 1, IFERROR(MATCH(G382, INDEX(Kat,,1), 0), IFERROR(MATCH(Kat, INDEX(Use,,2), 0), MATCH(Kat, INDEX(Use,,3), 0))))</f>
        <v>1</v>
      </c>
      <c r="AO382" s="246"/>
      <c r="AP382" s="228" cm="1">
        <f t="array" ref="AP382">IF(W382&gt;0, INDEX(Kat, AN382,4), 0)</f>
        <v>0</v>
      </c>
      <c r="AQ382" s="228">
        <f t="shared" si="622"/>
        <v>0</v>
      </c>
      <c r="AR382" s="228" cm="1">
        <f t="array" ref="AR382">IF(X382&gt;0, INDEX(Kat, $AN382, 4+AQ382), 0)</f>
        <v>0</v>
      </c>
      <c r="AS382" s="228" cm="1">
        <f t="array" ref="AS382">IF(X382&gt;0, INDEX(Kat, $AN382, 9+AQ382), 0)</f>
        <v>0</v>
      </c>
      <c r="AT382" s="246"/>
      <c r="AU382" s="262"/>
      <c r="AV382" s="262"/>
      <c r="AW382" s="263"/>
      <c r="AX382" s="263"/>
      <c r="AY382" s="263"/>
      <c r="AZ382" s="263"/>
      <c r="BA382" s="263"/>
      <c r="BB382" s="263"/>
      <c r="BC382" s="263"/>
      <c r="BD382" s="263"/>
      <c r="BE382" s="263"/>
      <c r="BF382" s="263"/>
      <c r="BG382" s="263"/>
      <c r="BH382" s="246"/>
      <c r="BI382" s="228" cm="1">
        <f t="array" ref="BI382">INDEX(Use, $AH382, 4)</f>
        <v>7</v>
      </c>
      <c r="BJ382" s="228">
        <f t="shared" si="598"/>
        <v>32</v>
      </c>
      <c r="BK382" s="228">
        <f t="shared" si="586"/>
        <v>13</v>
      </c>
      <c r="BL382" s="228">
        <f t="shared" si="587"/>
        <v>0</v>
      </c>
      <c r="BM382" s="233" cm="1">
        <f t="array" ref="BM382">L382/IF($M382&gt;0, INDEX($AY$22:$BE$76, $M382+20, $AH382), 1)</f>
        <v>0</v>
      </c>
      <c r="BN382" s="229">
        <f t="shared" si="599"/>
        <v>0</v>
      </c>
      <c r="BO382" s="228">
        <v>35</v>
      </c>
      <c r="BP382" s="229">
        <f t="shared" si="600"/>
        <v>48</v>
      </c>
      <c r="BQ382" s="234">
        <f t="shared" si="601"/>
        <v>3.0748170731707316</v>
      </c>
      <c r="BR382" s="234" cm="1">
        <f t="array" ref="BR382">$BM382 * SUMPRODUCT(INDEX($AV$76:$AX$81,,$AI382),INDEX($AY$76:$BE$81,,$AH382), N($AU$76:$AU$81&gt;$AM382)) / BQ382 / 1000</f>
        <v>0</v>
      </c>
      <c r="BS382" s="231">
        <f t="shared" si="588"/>
        <v>30</v>
      </c>
      <c r="BT382" s="229">
        <f t="shared" si="602"/>
        <v>43</v>
      </c>
      <c r="BU382" s="234">
        <f t="shared" si="603"/>
        <v>3.5018750000000001</v>
      </c>
      <c r="BV382" s="234" cm="1">
        <f t="array" ref="BV382">$BM382 * IF($AH382&lt;=2,
SUMPRODUCT(INDEX($AV$71:$AX$75,,$AI382), INDEX($AY$71:$BE$75,,$AH382), 1 / ($BF$71:$BF$75*BU382 + (1-$BF$71:$BF$75)*BQ382), N($AU$71:$AU$75&gt;$AM382)),
SUMPRODUCT(INDEX($AV$66:$AX$75,,$AI382), INDEX($AY$66:$BE$75,,$AH382), 1 / ($BG$66:$BG$75*BU382 + (1-$BG$66:$BG$75)*BQ382), N($AU$66:$AU$75&gt;$AM382))
) / 1000</f>
        <v>0</v>
      </c>
      <c r="BW382" s="231">
        <f t="shared" si="589"/>
        <v>25</v>
      </c>
      <c r="BX382" s="229">
        <f t="shared" si="604"/>
        <v>38</v>
      </c>
      <c r="BY382" s="234">
        <f t="shared" si="605"/>
        <v>4.0666935483870965</v>
      </c>
      <c r="BZ382" s="234" cm="1">
        <f t="array" ref="BZ382">$BM382 * IF($AH382&lt;=2,
SUMPRODUCT(INDEX($AV$66:$AX$70,,$AI382), INDEX($AY$66:$BE$70,,$AH382), 1 / ($BF$66:$BF$70*BY382 + (1-$BF$66:$BF$70)*BU382), N($AU$66:$AU$70&gt;$AM382)),
SUMPRODUCT(INDEX($AV$56:$AX$65,,$AI382), INDEX($AY$56:$BE$65,,$AH382), 1 / ($BG$56:$BG$65*BY382 + (1-$BG$56:$BG$65)*BU382), N($AU$56:$AU$65&gt;$AM382))
) / 1000</f>
        <v>0</v>
      </c>
      <c r="CA382" s="231">
        <f t="shared" si="590"/>
        <v>20</v>
      </c>
      <c r="CB382" s="229">
        <f t="shared" si="606"/>
        <v>33</v>
      </c>
      <c r="CC382" s="234">
        <f t="shared" si="607"/>
        <v>4.8487499999999999</v>
      </c>
      <c r="CD382" s="234" cm="1">
        <f t="array" ref="CD382">$BM382 * IF($AH382&lt;=2,
SUMPRODUCT(INDEX($AV$61:$AX$65,,$AI382), INDEX($AY$61:$BE$65,,$AH382), 1 / ($BF$61:$BF$65*CC382 + (1-$BF$61:$BF$65)*BY382), N($AU$61:$AU$65&gt;$AM382)),
SUMPRODUCT(INDEX($AV$46:$AX$55,,$AI382), INDEX($AY$46:$BE$55,,$AH382), 1 / ($BG$46:$BG$55*CC382 + (1-$BG$46:$BG$55)*BY382), N($AU$46:$AU$55&gt;$AM382))
) / 1000</f>
        <v>0</v>
      </c>
      <c r="CE382" s="234" cm="1">
        <f t="array" ref="CE382">$BM382 * IF($AH382&lt;=2,
SUMPRODUCT(INDEX($AV$22:$AX$60,,$AI382), INDEX($AY$22:$BE$60,,$AH382), 1 / ($BF$22:$BF$60*CC382), N($AU$22:$AU$60&gt;$AM382)),
SUMPRODUCT(INDEX($AV$22:$AX$45,,$AI382), INDEX($AY$22:$BE$45,,$AH382), 1 / ($BG$22:$BG$45*CC382), N($AU$22:$AU$45&gt;$AM382))
) / 1000</f>
        <v>0</v>
      </c>
      <c r="CF382" s="229">
        <f t="shared" si="608"/>
        <v>0</v>
      </c>
      <c r="CG382" s="246"/>
      <c r="CH382" s="229">
        <f t="shared" si="609"/>
        <v>0</v>
      </c>
      <c r="CI382" s="228">
        <v>35</v>
      </c>
      <c r="CJ382" s="229">
        <f t="shared" si="610"/>
        <v>48</v>
      </c>
      <c r="CK382" s="234">
        <f t="shared" si="611"/>
        <v>3.0748170731707316</v>
      </c>
      <c r="CL382" s="234" cm="1">
        <f t="array" ref="CL382">$BM382 * SUMPRODUCT(INDEX($AV$76:$AX$81,,$AI382),INDEX($AY$76:$BE$81,,$AH382), N($AU$76:$AU$81&gt;$AM382)) / CK382 / 1000</f>
        <v>0</v>
      </c>
      <c r="CM382" s="231">
        <f t="shared" si="591"/>
        <v>30</v>
      </c>
      <c r="CN382" s="229">
        <f t="shared" si="612"/>
        <v>43</v>
      </c>
      <c r="CO382" s="234">
        <f t="shared" si="613"/>
        <v>3.5018750000000001</v>
      </c>
      <c r="CP382" s="234" cm="1">
        <f t="array" ref="CP382">$BM382 * IF($AH382&lt;=2,
SUMPRODUCT(INDEX($AV$71:$AX$75,,$AI382), INDEX($AY$71:$BE$75,,$AH382), 1 / ($BF$71:$BF$75*CO382 + (1-$BF$71:$BF$75)*CK382), N($AU$71:$AU$75&gt;$AM382)),
SUMPRODUCT(INDEX($AV$66:$AX$75,,$AI382), INDEX($AY$66:$BE$75,,$AH382), 1 / ($BG$66:$BG$75*CO382 + (1-$BG$66:$BG$75)*CK382), N($AU$66:$AU$75&gt;$AM382))
) / 1000</f>
        <v>0</v>
      </c>
      <c r="CQ382" s="231">
        <f t="shared" si="592"/>
        <v>25</v>
      </c>
      <c r="CR382" s="229">
        <f t="shared" si="614"/>
        <v>38</v>
      </c>
      <c r="CS382" s="234">
        <f t="shared" si="615"/>
        <v>4.0666935483870965</v>
      </c>
      <c r="CT382" s="234" cm="1">
        <f t="array" ref="CT382">$BM382 * IF($AH382&lt;=2,
SUMPRODUCT(INDEX($AV$66:$AX$70,,$AI382), INDEX($AY$66:$BE$70,,$AH382), 1 / ($BF$66:$BF$70*CS382 + (1-$BF$66:$BF$70)*CO382), N($AU$66:$AU$70&gt;$AM382)),
SUMPRODUCT(INDEX($AV$56:$AX$65,,$AI382), INDEX($AY$56:$BE$65,,$AH382), 1 / ($BG$56:$BG$65*CS382 + (1-$BG$56:$BG$65)*CO382), N($AU$56:$AU$65&gt;$AM382))
) / 1000</f>
        <v>0</v>
      </c>
      <c r="CU382" s="231">
        <f t="shared" si="593"/>
        <v>20</v>
      </c>
      <c r="CV382" s="229">
        <f t="shared" si="616"/>
        <v>33</v>
      </c>
      <c r="CW382" s="234">
        <f t="shared" si="617"/>
        <v>4.8487499999999999</v>
      </c>
      <c r="CX382" s="234" cm="1">
        <f t="array" ref="CX382">$BM382 * IF($AH382&lt;=2,
SUMPRODUCT(INDEX($AV$61:$AX$65,,$AI382), INDEX($AY$61:$BE$65,,$AH382), 1 / ($BF$61:$BF$65*CW382 + (1-$BF$61:$BF$65)*CS382), N($AU$61:$AU$65&gt;$AM382)),
SUMPRODUCT(INDEX($AV$46:$AX$55,,$AI382), INDEX($AY$46:$BE$55,,$AH382), 1 / ($BG$46:$BG$55*CW382 + (1-$BG$46:$BG$55)*CS382), N($AU$46:$AU$55&gt;$AM382))
) / 1000</f>
        <v>0</v>
      </c>
      <c r="CY382" s="234" cm="1">
        <f t="array" ref="CY382">$BM382 * IF($AH382&lt;=2,
SUMPRODUCT(INDEX($AV$22:$AX$60,,$AI382), INDEX($AY$22:$BE$60,,$AH382), 1 / ($BF$22:$BF$60*CW382), N($AU$22:$AU$60&gt;$AM382)),
SUMPRODUCT(INDEX($AV$22:$AX$45,,$AI382), INDEX($AY$22:$BE$45,,$AH382), 1 / ($BG$22:$BG$45*CW382), N($AU$22:$AU$45&gt;$AM382))
) / 1000</f>
        <v>0</v>
      </c>
      <c r="CZ382" s="229">
        <f t="shared" si="618"/>
        <v>0</v>
      </c>
      <c r="DA382" s="246"/>
    </row>
    <row r="383" spans="1:105" s="75" customFormat="1" ht="14.25" customHeight="1" x14ac:dyDescent="0.2">
      <c r="A383" s="230" t="b">
        <f t="shared" si="585"/>
        <v>0</v>
      </c>
      <c r="B383" s="253">
        <v>362</v>
      </c>
      <c r="C383" s="266"/>
      <c r="D383" s="266"/>
      <c r="E383" s="254"/>
      <c r="F383" s="255" t="str">
        <f>IF(ISBLANK(E383), "", VLOOKUP(E383, Z!$A$2:$C$4127, 3, FALSE))</f>
        <v/>
      </c>
      <c r="G383" s="256"/>
      <c r="H383" s="256"/>
      <c r="I383" s="256"/>
      <c r="J383" s="257"/>
      <c r="K383" s="258"/>
      <c r="L383" s="267"/>
      <c r="M383" s="268"/>
      <c r="N383" s="259" t="str" cm="1">
        <f t="array" ref="N383">IF($L383&gt;0, INDEX(Clean,1+AK383,$D$1), "")</f>
        <v/>
      </c>
      <c r="O383" s="260"/>
      <c r="P383" s="260"/>
      <c r="Q383" s="261"/>
      <c r="R383" s="264">
        <f t="shared" si="594"/>
        <v>0</v>
      </c>
      <c r="S383" s="259" t="str" cm="1">
        <f t="array" ref="S383">IF($L383&gt;0, INDEX(Clean,1+AL383,$D$1), "")</f>
        <v/>
      </c>
      <c r="T383" s="260"/>
      <c r="U383" s="260"/>
      <c r="V383" s="261"/>
      <c r="W383" s="267"/>
      <c r="X383" s="267"/>
      <c r="Y383" s="257"/>
      <c r="Z383" s="264">
        <f t="shared" si="595"/>
        <v>0</v>
      </c>
      <c r="AA383" s="269"/>
      <c r="AB383" s="266"/>
      <c r="AC383" s="254"/>
      <c r="AD383" s="255" t="str">
        <f>IF(ISBLANK(AC383), "", VLOOKUP(AC383, Z!$A$2:$C$4127, 3, FALSE))</f>
        <v/>
      </c>
      <c r="AE383" s="270"/>
      <c r="AF383" s="265">
        <f t="shared" si="596"/>
        <v>0</v>
      </c>
      <c r="AG383" s="246"/>
      <c r="AH383" s="228">
        <f t="shared" si="619"/>
        <v>1</v>
      </c>
      <c r="AI383" s="228">
        <f t="shared" si="620"/>
        <v>1</v>
      </c>
      <c r="AJ383" s="228">
        <f t="shared" si="621"/>
        <v>0</v>
      </c>
      <c r="AK383" s="228">
        <v>0</v>
      </c>
      <c r="AL383" s="228">
        <v>0</v>
      </c>
      <c r="AM383" s="228">
        <f t="shared" si="597"/>
        <v>-100</v>
      </c>
      <c r="AN383" s="228" cm="1">
        <f t="array" ref="AN383">IF(ISBLANK(G383), 1, IFERROR(MATCH(G383, INDEX(Kat,,1), 0), IFERROR(MATCH(Kat, INDEX(Use,,2), 0), MATCH(Kat, INDEX(Use,,3), 0))))</f>
        <v>1</v>
      </c>
      <c r="AO383" s="246"/>
      <c r="AP383" s="228" cm="1">
        <f t="array" ref="AP383">IF(W383&gt;0, INDEX(Kat, AN383,4), 0)</f>
        <v>0</v>
      </c>
      <c r="AQ383" s="228">
        <f t="shared" si="622"/>
        <v>0</v>
      </c>
      <c r="AR383" s="228" cm="1">
        <f t="array" ref="AR383">IF(X383&gt;0, INDEX(Kat, $AN383, 4+AQ383), 0)</f>
        <v>0</v>
      </c>
      <c r="AS383" s="228" cm="1">
        <f t="array" ref="AS383">IF(X383&gt;0, INDEX(Kat, $AN383, 9+AQ383), 0)</f>
        <v>0</v>
      </c>
      <c r="AT383" s="246"/>
      <c r="AU383" s="262"/>
      <c r="AV383" s="262"/>
      <c r="AW383" s="263"/>
      <c r="AX383" s="263"/>
      <c r="AY383" s="263"/>
      <c r="AZ383" s="263"/>
      <c r="BA383" s="263"/>
      <c r="BB383" s="263"/>
      <c r="BC383" s="263"/>
      <c r="BD383" s="263"/>
      <c r="BE383" s="263"/>
      <c r="BF383" s="263"/>
      <c r="BG383" s="263"/>
      <c r="BH383" s="246"/>
      <c r="BI383" s="228" cm="1">
        <f t="array" ref="BI383">INDEX(Use, $AH383, 4)</f>
        <v>7</v>
      </c>
      <c r="BJ383" s="228">
        <f t="shared" si="598"/>
        <v>32</v>
      </c>
      <c r="BK383" s="228">
        <f t="shared" si="586"/>
        <v>13</v>
      </c>
      <c r="BL383" s="228">
        <f t="shared" si="587"/>
        <v>0</v>
      </c>
      <c r="BM383" s="233" cm="1">
        <f t="array" ref="BM383">L383/IF($M383&gt;0, INDEX($AY$22:$BE$76, $M383+20, $AH383), 1)</f>
        <v>0</v>
      </c>
      <c r="BN383" s="229">
        <f t="shared" si="599"/>
        <v>0</v>
      </c>
      <c r="BO383" s="228">
        <v>35</v>
      </c>
      <c r="BP383" s="229">
        <f t="shared" si="600"/>
        <v>48</v>
      </c>
      <c r="BQ383" s="234">
        <f t="shared" si="601"/>
        <v>3.0748170731707316</v>
      </c>
      <c r="BR383" s="234" cm="1">
        <f t="array" ref="BR383">$BM383 * SUMPRODUCT(INDEX($AV$76:$AX$81,,$AI383),INDEX($AY$76:$BE$81,,$AH383), N($AU$76:$AU$81&gt;$AM383)) / BQ383 / 1000</f>
        <v>0</v>
      </c>
      <c r="BS383" s="231">
        <f t="shared" si="588"/>
        <v>30</v>
      </c>
      <c r="BT383" s="229">
        <f t="shared" si="602"/>
        <v>43</v>
      </c>
      <c r="BU383" s="234">
        <f t="shared" si="603"/>
        <v>3.5018750000000001</v>
      </c>
      <c r="BV383" s="234" cm="1">
        <f t="array" ref="BV383">$BM383 * IF($AH383&lt;=2,
SUMPRODUCT(INDEX($AV$71:$AX$75,,$AI383), INDEX($AY$71:$BE$75,,$AH383), 1 / ($BF$71:$BF$75*BU383 + (1-$BF$71:$BF$75)*BQ383), N($AU$71:$AU$75&gt;$AM383)),
SUMPRODUCT(INDEX($AV$66:$AX$75,,$AI383), INDEX($AY$66:$BE$75,,$AH383), 1 / ($BG$66:$BG$75*BU383 + (1-$BG$66:$BG$75)*BQ383), N($AU$66:$AU$75&gt;$AM383))
) / 1000</f>
        <v>0</v>
      </c>
      <c r="BW383" s="231">
        <f t="shared" si="589"/>
        <v>25</v>
      </c>
      <c r="BX383" s="229">
        <f t="shared" si="604"/>
        <v>38</v>
      </c>
      <c r="BY383" s="234">
        <f t="shared" si="605"/>
        <v>4.0666935483870965</v>
      </c>
      <c r="BZ383" s="234" cm="1">
        <f t="array" ref="BZ383">$BM383 * IF($AH383&lt;=2,
SUMPRODUCT(INDEX($AV$66:$AX$70,,$AI383), INDEX($AY$66:$BE$70,,$AH383), 1 / ($BF$66:$BF$70*BY383 + (1-$BF$66:$BF$70)*BU383), N($AU$66:$AU$70&gt;$AM383)),
SUMPRODUCT(INDEX($AV$56:$AX$65,,$AI383), INDEX($AY$56:$BE$65,,$AH383), 1 / ($BG$56:$BG$65*BY383 + (1-$BG$56:$BG$65)*BU383), N($AU$56:$AU$65&gt;$AM383))
) / 1000</f>
        <v>0</v>
      </c>
      <c r="CA383" s="231">
        <f t="shared" si="590"/>
        <v>20</v>
      </c>
      <c r="CB383" s="229">
        <f t="shared" si="606"/>
        <v>33</v>
      </c>
      <c r="CC383" s="234">
        <f t="shared" si="607"/>
        <v>4.8487499999999999</v>
      </c>
      <c r="CD383" s="234" cm="1">
        <f t="array" ref="CD383">$BM383 * IF($AH383&lt;=2,
SUMPRODUCT(INDEX($AV$61:$AX$65,,$AI383), INDEX($AY$61:$BE$65,,$AH383), 1 / ($BF$61:$BF$65*CC383 + (1-$BF$61:$BF$65)*BY383), N($AU$61:$AU$65&gt;$AM383)),
SUMPRODUCT(INDEX($AV$46:$AX$55,,$AI383), INDEX($AY$46:$BE$55,,$AH383), 1 / ($BG$46:$BG$55*CC383 + (1-$BG$46:$BG$55)*BY383), N($AU$46:$AU$55&gt;$AM383))
) / 1000</f>
        <v>0</v>
      </c>
      <c r="CE383" s="234" cm="1">
        <f t="array" ref="CE383">$BM383 * IF($AH383&lt;=2,
SUMPRODUCT(INDEX($AV$22:$AX$60,,$AI383), INDEX($AY$22:$BE$60,,$AH383), 1 / ($BF$22:$BF$60*CC383), N($AU$22:$AU$60&gt;$AM383)),
SUMPRODUCT(INDEX($AV$22:$AX$45,,$AI383), INDEX($AY$22:$BE$45,,$AH383), 1 / ($BG$22:$BG$45*CC383), N($AU$22:$AU$45&gt;$AM383))
) / 1000</f>
        <v>0</v>
      </c>
      <c r="CF383" s="229">
        <f t="shared" si="608"/>
        <v>0</v>
      </c>
      <c r="CG383" s="246"/>
      <c r="CH383" s="229">
        <f t="shared" si="609"/>
        <v>0</v>
      </c>
      <c r="CI383" s="228">
        <v>35</v>
      </c>
      <c r="CJ383" s="229">
        <f t="shared" si="610"/>
        <v>48</v>
      </c>
      <c r="CK383" s="234">
        <f t="shared" si="611"/>
        <v>3.0748170731707316</v>
      </c>
      <c r="CL383" s="234" cm="1">
        <f t="array" ref="CL383">$BM383 * SUMPRODUCT(INDEX($AV$76:$AX$81,,$AI383),INDEX($AY$76:$BE$81,,$AH383), N($AU$76:$AU$81&gt;$AM383)) / CK383 / 1000</f>
        <v>0</v>
      </c>
      <c r="CM383" s="231">
        <f t="shared" si="591"/>
        <v>30</v>
      </c>
      <c r="CN383" s="229">
        <f t="shared" si="612"/>
        <v>43</v>
      </c>
      <c r="CO383" s="234">
        <f t="shared" si="613"/>
        <v>3.5018750000000001</v>
      </c>
      <c r="CP383" s="234" cm="1">
        <f t="array" ref="CP383">$BM383 * IF($AH383&lt;=2,
SUMPRODUCT(INDEX($AV$71:$AX$75,,$AI383), INDEX($AY$71:$BE$75,,$AH383), 1 / ($BF$71:$BF$75*CO383 + (1-$BF$71:$BF$75)*CK383), N($AU$71:$AU$75&gt;$AM383)),
SUMPRODUCT(INDEX($AV$66:$AX$75,,$AI383), INDEX($AY$66:$BE$75,,$AH383), 1 / ($BG$66:$BG$75*CO383 + (1-$BG$66:$BG$75)*CK383), N($AU$66:$AU$75&gt;$AM383))
) / 1000</f>
        <v>0</v>
      </c>
      <c r="CQ383" s="231">
        <f t="shared" si="592"/>
        <v>25</v>
      </c>
      <c r="CR383" s="229">
        <f t="shared" si="614"/>
        <v>38</v>
      </c>
      <c r="CS383" s="234">
        <f t="shared" si="615"/>
        <v>4.0666935483870965</v>
      </c>
      <c r="CT383" s="234" cm="1">
        <f t="array" ref="CT383">$BM383 * IF($AH383&lt;=2,
SUMPRODUCT(INDEX($AV$66:$AX$70,,$AI383), INDEX($AY$66:$BE$70,,$AH383), 1 / ($BF$66:$BF$70*CS383 + (1-$BF$66:$BF$70)*CO383), N($AU$66:$AU$70&gt;$AM383)),
SUMPRODUCT(INDEX($AV$56:$AX$65,,$AI383), INDEX($AY$56:$BE$65,,$AH383), 1 / ($BG$56:$BG$65*CS383 + (1-$BG$56:$BG$65)*CO383), N($AU$56:$AU$65&gt;$AM383))
) / 1000</f>
        <v>0</v>
      </c>
      <c r="CU383" s="231">
        <f t="shared" si="593"/>
        <v>20</v>
      </c>
      <c r="CV383" s="229">
        <f t="shared" si="616"/>
        <v>33</v>
      </c>
      <c r="CW383" s="234">
        <f t="shared" si="617"/>
        <v>4.8487499999999999</v>
      </c>
      <c r="CX383" s="234" cm="1">
        <f t="array" ref="CX383">$BM383 * IF($AH383&lt;=2,
SUMPRODUCT(INDEX($AV$61:$AX$65,,$AI383), INDEX($AY$61:$BE$65,,$AH383), 1 / ($BF$61:$BF$65*CW383 + (1-$BF$61:$BF$65)*CS383), N($AU$61:$AU$65&gt;$AM383)),
SUMPRODUCT(INDEX($AV$46:$AX$55,,$AI383), INDEX($AY$46:$BE$55,,$AH383), 1 / ($BG$46:$BG$55*CW383 + (1-$BG$46:$BG$55)*CS383), N($AU$46:$AU$55&gt;$AM383))
) / 1000</f>
        <v>0</v>
      </c>
      <c r="CY383" s="234" cm="1">
        <f t="array" ref="CY383">$BM383 * IF($AH383&lt;=2,
SUMPRODUCT(INDEX($AV$22:$AX$60,,$AI383), INDEX($AY$22:$BE$60,,$AH383), 1 / ($BF$22:$BF$60*CW383), N($AU$22:$AU$60&gt;$AM383)),
SUMPRODUCT(INDEX($AV$22:$AX$45,,$AI383), INDEX($AY$22:$BE$45,,$AH383), 1 / ($BG$22:$BG$45*CW383), N($AU$22:$AU$45&gt;$AM383))
) / 1000</f>
        <v>0</v>
      </c>
      <c r="CZ383" s="229">
        <f t="shared" si="618"/>
        <v>0</v>
      </c>
      <c r="DA383" s="246"/>
    </row>
    <row r="384" spans="1:105" s="75" customFormat="1" ht="14.25" customHeight="1" x14ac:dyDescent="0.2">
      <c r="A384" s="230" t="b">
        <f t="shared" si="585"/>
        <v>0</v>
      </c>
      <c r="B384" s="253">
        <v>363</v>
      </c>
      <c r="C384" s="266"/>
      <c r="D384" s="266"/>
      <c r="E384" s="254"/>
      <c r="F384" s="255" t="str">
        <f>IF(ISBLANK(E384), "", VLOOKUP(E384, Z!$A$2:$C$4127, 3, FALSE))</f>
        <v/>
      </c>
      <c r="G384" s="256"/>
      <c r="H384" s="256"/>
      <c r="I384" s="256"/>
      <c r="J384" s="257"/>
      <c r="K384" s="258"/>
      <c r="L384" s="267"/>
      <c r="M384" s="268"/>
      <c r="N384" s="259" t="str" cm="1">
        <f t="array" ref="N384">IF($L384&gt;0, INDEX(Clean,1+AK384,$D$1), "")</f>
        <v/>
      </c>
      <c r="O384" s="260"/>
      <c r="P384" s="260"/>
      <c r="Q384" s="261"/>
      <c r="R384" s="264">
        <f t="shared" si="594"/>
        <v>0</v>
      </c>
      <c r="S384" s="259" t="str" cm="1">
        <f t="array" ref="S384">IF($L384&gt;0, INDEX(Clean,1+AL384,$D$1), "")</f>
        <v/>
      </c>
      <c r="T384" s="260"/>
      <c r="U384" s="260"/>
      <c r="V384" s="261"/>
      <c r="W384" s="267"/>
      <c r="X384" s="267"/>
      <c r="Y384" s="257"/>
      <c r="Z384" s="264">
        <f t="shared" si="595"/>
        <v>0</v>
      </c>
      <c r="AA384" s="269"/>
      <c r="AB384" s="266"/>
      <c r="AC384" s="254"/>
      <c r="AD384" s="255" t="str">
        <f>IF(ISBLANK(AC384), "", VLOOKUP(AC384, Z!$A$2:$C$4127, 3, FALSE))</f>
        <v/>
      </c>
      <c r="AE384" s="270"/>
      <c r="AF384" s="265">
        <f t="shared" si="596"/>
        <v>0</v>
      </c>
      <c r="AG384" s="246"/>
      <c r="AH384" s="228">
        <f t="shared" si="619"/>
        <v>1</v>
      </c>
      <c r="AI384" s="228">
        <f t="shared" si="620"/>
        <v>1</v>
      </c>
      <c r="AJ384" s="228">
        <f t="shared" si="621"/>
        <v>0</v>
      </c>
      <c r="AK384" s="228">
        <v>0</v>
      </c>
      <c r="AL384" s="228">
        <v>0</v>
      </c>
      <c r="AM384" s="228">
        <f t="shared" si="597"/>
        <v>-100</v>
      </c>
      <c r="AN384" s="228" cm="1">
        <f t="array" ref="AN384">IF(ISBLANK(G384), 1, IFERROR(MATCH(G384, INDEX(Kat,,1), 0), IFERROR(MATCH(Kat, INDEX(Use,,2), 0), MATCH(Kat, INDEX(Use,,3), 0))))</f>
        <v>1</v>
      </c>
      <c r="AO384" s="246"/>
      <c r="AP384" s="228" cm="1">
        <f t="array" ref="AP384">IF(W384&gt;0, INDEX(Kat, AN384,4), 0)</f>
        <v>0</v>
      </c>
      <c r="AQ384" s="228">
        <f t="shared" si="622"/>
        <v>0</v>
      </c>
      <c r="AR384" s="228" cm="1">
        <f t="array" ref="AR384">IF(X384&gt;0, INDEX(Kat, $AN384, 4+AQ384), 0)</f>
        <v>0</v>
      </c>
      <c r="AS384" s="228" cm="1">
        <f t="array" ref="AS384">IF(X384&gt;0, INDEX(Kat, $AN384, 9+AQ384), 0)</f>
        <v>0</v>
      </c>
      <c r="AT384" s="246"/>
      <c r="AU384" s="262"/>
      <c r="AV384" s="262"/>
      <c r="AW384" s="263"/>
      <c r="AX384" s="263"/>
      <c r="AY384" s="263"/>
      <c r="AZ384" s="263"/>
      <c r="BA384" s="263"/>
      <c r="BB384" s="263"/>
      <c r="BC384" s="263"/>
      <c r="BD384" s="263"/>
      <c r="BE384" s="263"/>
      <c r="BF384" s="263"/>
      <c r="BG384" s="263"/>
      <c r="BH384" s="246"/>
      <c r="BI384" s="228" cm="1">
        <f t="array" ref="BI384">INDEX(Use, $AH384, 4)</f>
        <v>7</v>
      </c>
      <c r="BJ384" s="228">
        <f t="shared" si="598"/>
        <v>32</v>
      </c>
      <c r="BK384" s="228">
        <f t="shared" si="586"/>
        <v>13</v>
      </c>
      <c r="BL384" s="228">
        <f t="shared" si="587"/>
        <v>0</v>
      </c>
      <c r="BM384" s="233" cm="1">
        <f t="array" ref="BM384">L384/IF($M384&gt;0, INDEX($AY$22:$BE$76, $M384+20, $AH384), 1)</f>
        <v>0</v>
      </c>
      <c r="BN384" s="229">
        <f t="shared" si="599"/>
        <v>0</v>
      </c>
      <c r="BO384" s="228">
        <v>35</v>
      </c>
      <c r="BP384" s="229">
        <f t="shared" si="600"/>
        <v>48</v>
      </c>
      <c r="BQ384" s="234">
        <f t="shared" si="601"/>
        <v>3.0748170731707316</v>
      </c>
      <c r="BR384" s="234" cm="1">
        <f t="array" ref="BR384">$BM384 * SUMPRODUCT(INDEX($AV$76:$AX$81,,$AI384),INDEX($AY$76:$BE$81,,$AH384), N($AU$76:$AU$81&gt;$AM384)) / BQ384 / 1000</f>
        <v>0</v>
      </c>
      <c r="BS384" s="231">
        <f t="shared" si="588"/>
        <v>30</v>
      </c>
      <c r="BT384" s="229">
        <f t="shared" si="602"/>
        <v>43</v>
      </c>
      <c r="BU384" s="234">
        <f t="shared" si="603"/>
        <v>3.5018750000000001</v>
      </c>
      <c r="BV384" s="234" cm="1">
        <f t="array" ref="BV384">$BM384 * IF($AH384&lt;=2,
SUMPRODUCT(INDEX($AV$71:$AX$75,,$AI384), INDEX($AY$71:$BE$75,,$AH384), 1 / ($BF$71:$BF$75*BU384 + (1-$BF$71:$BF$75)*BQ384), N($AU$71:$AU$75&gt;$AM384)),
SUMPRODUCT(INDEX($AV$66:$AX$75,,$AI384), INDEX($AY$66:$BE$75,,$AH384), 1 / ($BG$66:$BG$75*BU384 + (1-$BG$66:$BG$75)*BQ384), N($AU$66:$AU$75&gt;$AM384))
) / 1000</f>
        <v>0</v>
      </c>
      <c r="BW384" s="231">
        <f t="shared" si="589"/>
        <v>25</v>
      </c>
      <c r="BX384" s="229">
        <f t="shared" si="604"/>
        <v>38</v>
      </c>
      <c r="BY384" s="234">
        <f t="shared" si="605"/>
        <v>4.0666935483870965</v>
      </c>
      <c r="BZ384" s="234" cm="1">
        <f t="array" ref="BZ384">$BM384 * IF($AH384&lt;=2,
SUMPRODUCT(INDEX($AV$66:$AX$70,,$AI384), INDEX($AY$66:$BE$70,,$AH384), 1 / ($BF$66:$BF$70*BY384 + (1-$BF$66:$BF$70)*BU384), N($AU$66:$AU$70&gt;$AM384)),
SUMPRODUCT(INDEX($AV$56:$AX$65,,$AI384), INDEX($AY$56:$BE$65,,$AH384), 1 / ($BG$56:$BG$65*BY384 + (1-$BG$56:$BG$65)*BU384), N($AU$56:$AU$65&gt;$AM384))
) / 1000</f>
        <v>0</v>
      </c>
      <c r="CA384" s="231">
        <f t="shared" si="590"/>
        <v>20</v>
      </c>
      <c r="CB384" s="229">
        <f t="shared" si="606"/>
        <v>33</v>
      </c>
      <c r="CC384" s="234">
        <f t="shared" si="607"/>
        <v>4.8487499999999999</v>
      </c>
      <c r="CD384" s="234" cm="1">
        <f t="array" ref="CD384">$BM384 * IF($AH384&lt;=2,
SUMPRODUCT(INDEX($AV$61:$AX$65,,$AI384), INDEX($AY$61:$BE$65,,$AH384), 1 / ($BF$61:$BF$65*CC384 + (1-$BF$61:$BF$65)*BY384), N($AU$61:$AU$65&gt;$AM384)),
SUMPRODUCT(INDEX($AV$46:$AX$55,,$AI384), INDEX($AY$46:$BE$55,,$AH384), 1 / ($BG$46:$BG$55*CC384 + (1-$BG$46:$BG$55)*BY384), N($AU$46:$AU$55&gt;$AM384))
) / 1000</f>
        <v>0</v>
      </c>
      <c r="CE384" s="234" cm="1">
        <f t="array" ref="CE384">$BM384 * IF($AH384&lt;=2,
SUMPRODUCT(INDEX($AV$22:$AX$60,,$AI384), INDEX($AY$22:$BE$60,,$AH384), 1 / ($BF$22:$BF$60*CC384), N($AU$22:$AU$60&gt;$AM384)),
SUMPRODUCT(INDEX($AV$22:$AX$45,,$AI384), INDEX($AY$22:$BE$45,,$AH384), 1 / ($BG$22:$BG$45*CC384), N($AU$22:$AU$45&gt;$AM384))
) / 1000</f>
        <v>0</v>
      </c>
      <c r="CF384" s="229">
        <f t="shared" si="608"/>
        <v>0</v>
      </c>
      <c r="CG384" s="246"/>
      <c r="CH384" s="229">
        <f t="shared" si="609"/>
        <v>0</v>
      </c>
      <c r="CI384" s="228">
        <v>35</v>
      </c>
      <c r="CJ384" s="229">
        <f t="shared" si="610"/>
        <v>48</v>
      </c>
      <c r="CK384" s="234">
        <f t="shared" si="611"/>
        <v>3.0748170731707316</v>
      </c>
      <c r="CL384" s="234" cm="1">
        <f t="array" ref="CL384">$BM384 * SUMPRODUCT(INDEX($AV$76:$AX$81,,$AI384),INDEX($AY$76:$BE$81,,$AH384), N($AU$76:$AU$81&gt;$AM384)) / CK384 / 1000</f>
        <v>0</v>
      </c>
      <c r="CM384" s="231">
        <f t="shared" si="591"/>
        <v>30</v>
      </c>
      <c r="CN384" s="229">
        <f t="shared" si="612"/>
        <v>43</v>
      </c>
      <c r="CO384" s="234">
        <f t="shared" si="613"/>
        <v>3.5018750000000001</v>
      </c>
      <c r="CP384" s="234" cm="1">
        <f t="array" ref="CP384">$BM384 * IF($AH384&lt;=2,
SUMPRODUCT(INDEX($AV$71:$AX$75,,$AI384), INDEX($AY$71:$BE$75,,$AH384), 1 / ($BF$71:$BF$75*CO384 + (1-$BF$71:$BF$75)*CK384), N($AU$71:$AU$75&gt;$AM384)),
SUMPRODUCT(INDEX($AV$66:$AX$75,,$AI384), INDEX($AY$66:$BE$75,,$AH384), 1 / ($BG$66:$BG$75*CO384 + (1-$BG$66:$BG$75)*CK384), N($AU$66:$AU$75&gt;$AM384))
) / 1000</f>
        <v>0</v>
      </c>
      <c r="CQ384" s="231">
        <f t="shared" si="592"/>
        <v>25</v>
      </c>
      <c r="CR384" s="229">
        <f t="shared" si="614"/>
        <v>38</v>
      </c>
      <c r="CS384" s="234">
        <f t="shared" si="615"/>
        <v>4.0666935483870965</v>
      </c>
      <c r="CT384" s="234" cm="1">
        <f t="array" ref="CT384">$BM384 * IF($AH384&lt;=2,
SUMPRODUCT(INDEX($AV$66:$AX$70,,$AI384), INDEX($AY$66:$BE$70,,$AH384), 1 / ($BF$66:$BF$70*CS384 + (1-$BF$66:$BF$70)*CO384), N($AU$66:$AU$70&gt;$AM384)),
SUMPRODUCT(INDEX($AV$56:$AX$65,,$AI384), INDEX($AY$56:$BE$65,,$AH384), 1 / ($BG$56:$BG$65*CS384 + (1-$BG$56:$BG$65)*CO384), N($AU$56:$AU$65&gt;$AM384))
) / 1000</f>
        <v>0</v>
      </c>
      <c r="CU384" s="231">
        <f t="shared" si="593"/>
        <v>20</v>
      </c>
      <c r="CV384" s="229">
        <f t="shared" si="616"/>
        <v>33</v>
      </c>
      <c r="CW384" s="234">
        <f t="shared" si="617"/>
        <v>4.8487499999999999</v>
      </c>
      <c r="CX384" s="234" cm="1">
        <f t="array" ref="CX384">$BM384 * IF($AH384&lt;=2,
SUMPRODUCT(INDEX($AV$61:$AX$65,,$AI384), INDEX($AY$61:$BE$65,,$AH384), 1 / ($BF$61:$BF$65*CW384 + (1-$BF$61:$BF$65)*CS384), N($AU$61:$AU$65&gt;$AM384)),
SUMPRODUCT(INDEX($AV$46:$AX$55,,$AI384), INDEX($AY$46:$BE$55,,$AH384), 1 / ($BG$46:$BG$55*CW384 + (1-$BG$46:$BG$55)*CS384), N($AU$46:$AU$55&gt;$AM384))
) / 1000</f>
        <v>0</v>
      </c>
      <c r="CY384" s="234" cm="1">
        <f t="array" ref="CY384">$BM384 * IF($AH384&lt;=2,
SUMPRODUCT(INDEX($AV$22:$AX$60,,$AI384), INDEX($AY$22:$BE$60,,$AH384), 1 / ($BF$22:$BF$60*CW384), N($AU$22:$AU$60&gt;$AM384)),
SUMPRODUCT(INDEX($AV$22:$AX$45,,$AI384), INDEX($AY$22:$BE$45,,$AH384), 1 / ($BG$22:$BG$45*CW384), N($AU$22:$AU$45&gt;$AM384))
) / 1000</f>
        <v>0</v>
      </c>
      <c r="CZ384" s="229">
        <f t="shared" si="618"/>
        <v>0</v>
      </c>
      <c r="DA384" s="246"/>
    </row>
    <row r="385" spans="1:105" s="75" customFormat="1" ht="14.25" customHeight="1" x14ac:dyDescent="0.2">
      <c r="A385" s="230" t="b">
        <f t="shared" si="585"/>
        <v>0</v>
      </c>
      <c r="B385" s="253">
        <v>364</v>
      </c>
      <c r="C385" s="266"/>
      <c r="D385" s="266"/>
      <c r="E385" s="254"/>
      <c r="F385" s="255" t="str">
        <f>IF(ISBLANK(E385), "", VLOOKUP(E385, Z!$A$2:$C$4127, 3, FALSE))</f>
        <v/>
      </c>
      <c r="G385" s="256"/>
      <c r="H385" s="256"/>
      <c r="I385" s="256"/>
      <c r="J385" s="257"/>
      <c r="K385" s="258"/>
      <c r="L385" s="267"/>
      <c r="M385" s="268"/>
      <c r="N385" s="259" t="str" cm="1">
        <f t="array" ref="N385">IF($L385&gt;0, INDEX(Clean,1+AK385,$D$1), "")</f>
        <v/>
      </c>
      <c r="O385" s="260"/>
      <c r="P385" s="260"/>
      <c r="Q385" s="261"/>
      <c r="R385" s="264">
        <f t="shared" si="594"/>
        <v>0</v>
      </c>
      <c r="S385" s="259" t="str" cm="1">
        <f t="array" ref="S385">IF($L385&gt;0, INDEX(Clean,1+AL385,$D$1), "")</f>
        <v/>
      </c>
      <c r="T385" s="260"/>
      <c r="U385" s="260"/>
      <c r="V385" s="261"/>
      <c r="W385" s="267"/>
      <c r="X385" s="267"/>
      <c r="Y385" s="257"/>
      <c r="Z385" s="264">
        <f t="shared" si="595"/>
        <v>0</v>
      </c>
      <c r="AA385" s="269"/>
      <c r="AB385" s="266"/>
      <c r="AC385" s="254"/>
      <c r="AD385" s="255" t="str">
        <f>IF(ISBLANK(AC385), "", VLOOKUP(AC385, Z!$A$2:$C$4127, 3, FALSE))</f>
        <v/>
      </c>
      <c r="AE385" s="270"/>
      <c r="AF385" s="265">
        <f t="shared" si="596"/>
        <v>0</v>
      </c>
      <c r="AG385" s="246"/>
      <c r="AH385" s="228">
        <f t="shared" si="619"/>
        <v>1</v>
      </c>
      <c r="AI385" s="228">
        <f t="shared" si="620"/>
        <v>1</v>
      </c>
      <c r="AJ385" s="228">
        <f t="shared" si="621"/>
        <v>0</v>
      </c>
      <c r="AK385" s="228">
        <v>0</v>
      </c>
      <c r="AL385" s="228">
        <v>0</v>
      </c>
      <c r="AM385" s="228">
        <f t="shared" si="597"/>
        <v>-100</v>
      </c>
      <c r="AN385" s="228" cm="1">
        <f t="array" ref="AN385">IF(ISBLANK(G385), 1, IFERROR(MATCH(G385, INDEX(Kat,,1), 0), IFERROR(MATCH(Kat, INDEX(Use,,2), 0), MATCH(Kat, INDEX(Use,,3), 0))))</f>
        <v>1</v>
      </c>
      <c r="AO385" s="246"/>
      <c r="AP385" s="228" cm="1">
        <f t="array" ref="AP385">IF(W385&gt;0, INDEX(Kat, AN385,4), 0)</f>
        <v>0</v>
      </c>
      <c r="AQ385" s="228">
        <f t="shared" si="622"/>
        <v>0</v>
      </c>
      <c r="AR385" s="228" cm="1">
        <f t="array" ref="AR385">IF(X385&gt;0, INDEX(Kat, $AN385, 4+AQ385), 0)</f>
        <v>0</v>
      </c>
      <c r="AS385" s="228" cm="1">
        <f t="array" ref="AS385">IF(X385&gt;0, INDEX(Kat, $AN385, 9+AQ385), 0)</f>
        <v>0</v>
      </c>
      <c r="AT385" s="246"/>
      <c r="AU385" s="262"/>
      <c r="AV385" s="262"/>
      <c r="AW385" s="263"/>
      <c r="AX385" s="263"/>
      <c r="AY385" s="263"/>
      <c r="AZ385" s="263"/>
      <c r="BA385" s="263"/>
      <c r="BB385" s="263"/>
      <c r="BC385" s="263"/>
      <c r="BD385" s="263"/>
      <c r="BE385" s="263"/>
      <c r="BF385" s="263"/>
      <c r="BG385" s="263"/>
      <c r="BH385" s="246"/>
      <c r="BI385" s="228" cm="1">
        <f t="array" ref="BI385">INDEX(Use, $AH385, 4)</f>
        <v>7</v>
      </c>
      <c r="BJ385" s="228">
        <f t="shared" si="598"/>
        <v>32</v>
      </c>
      <c r="BK385" s="228">
        <f t="shared" si="586"/>
        <v>13</v>
      </c>
      <c r="BL385" s="228">
        <f t="shared" si="587"/>
        <v>0</v>
      </c>
      <c r="BM385" s="233" cm="1">
        <f t="array" ref="BM385">L385/IF($M385&gt;0, INDEX($AY$22:$BE$76, $M385+20, $AH385), 1)</f>
        <v>0</v>
      </c>
      <c r="BN385" s="229">
        <f t="shared" si="599"/>
        <v>0</v>
      </c>
      <c r="BO385" s="228">
        <v>35</v>
      </c>
      <c r="BP385" s="229">
        <f t="shared" si="600"/>
        <v>48</v>
      </c>
      <c r="BQ385" s="234">
        <f t="shared" si="601"/>
        <v>3.0748170731707316</v>
      </c>
      <c r="BR385" s="234" cm="1">
        <f t="array" ref="BR385">$BM385 * SUMPRODUCT(INDEX($AV$76:$AX$81,,$AI385),INDEX($AY$76:$BE$81,,$AH385), N($AU$76:$AU$81&gt;$AM385)) / BQ385 / 1000</f>
        <v>0</v>
      </c>
      <c r="BS385" s="231">
        <f t="shared" si="588"/>
        <v>30</v>
      </c>
      <c r="BT385" s="229">
        <f t="shared" si="602"/>
        <v>43</v>
      </c>
      <c r="BU385" s="234">
        <f t="shared" si="603"/>
        <v>3.5018750000000001</v>
      </c>
      <c r="BV385" s="234" cm="1">
        <f t="array" ref="BV385">$BM385 * IF($AH385&lt;=2,
SUMPRODUCT(INDEX($AV$71:$AX$75,,$AI385), INDEX($AY$71:$BE$75,,$AH385), 1 / ($BF$71:$BF$75*BU385 + (1-$BF$71:$BF$75)*BQ385), N($AU$71:$AU$75&gt;$AM385)),
SUMPRODUCT(INDEX($AV$66:$AX$75,,$AI385), INDEX($AY$66:$BE$75,,$AH385), 1 / ($BG$66:$BG$75*BU385 + (1-$BG$66:$BG$75)*BQ385), N($AU$66:$AU$75&gt;$AM385))
) / 1000</f>
        <v>0</v>
      </c>
      <c r="BW385" s="231">
        <f t="shared" si="589"/>
        <v>25</v>
      </c>
      <c r="BX385" s="229">
        <f t="shared" si="604"/>
        <v>38</v>
      </c>
      <c r="BY385" s="234">
        <f t="shared" si="605"/>
        <v>4.0666935483870965</v>
      </c>
      <c r="BZ385" s="234" cm="1">
        <f t="array" ref="BZ385">$BM385 * IF($AH385&lt;=2,
SUMPRODUCT(INDEX($AV$66:$AX$70,,$AI385), INDEX($AY$66:$BE$70,,$AH385), 1 / ($BF$66:$BF$70*BY385 + (1-$BF$66:$BF$70)*BU385), N($AU$66:$AU$70&gt;$AM385)),
SUMPRODUCT(INDEX($AV$56:$AX$65,,$AI385), INDEX($AY$56:$BE$65,,$AH385), 1 / ($BG$56:$BG$65*BY385 + (1-$BG$56:$BG$65)*BU385), N($AU$56:$AU$65&gt;$AM385))
) / 1000</f>
        <v>0</v>
      </c>
      <c r="CA385" s="231">
        <f t="shared" si="590"/>
        <v>20</v>
      </c>
      <c r="CB385" s="229">
        <f t="shared" si="606"/>
        <v>33</v>
      </c>
      <c r="CC385" s="234">
        <f t="shared" si="607"/>
        <v>4.8487499999999999</v>
      </c>
      <c r="CD385" s="234" cm="1">
        <f t="array" ref="CD385">$BM385 * IF($AH385&lt;=2,
SUMPRODUCT(INDEX($AV$61:$AX$65,,$AI385), INDEX($AY$61:$BE$65,,$AH385), 1 / ($BF$61:$BF$65*CC385 + (1-$BF$61:$BF$65)*BY385), N($AU$61:$AU$65&gt;$AM385)),
SUMPRODUCT(INDEX($AV$46:$AX$55,,$AI385), INDEX($AY$46:$BE$55,,$AH385), 1 / ($BG$46:$BG$55*CC385 + (1-$BG$46:$BG$55)*BY385), N($AU$46:$AU$55&gt;$AM385))
) / 1000</f>
        <v>0</v>
      </c>
      <c r="CE385" s="234" cm="1">
        <f t="array" ref="CE385">$BM385 * IF($AH385&lt;=2,
SUMPRODUCT(INDEX($AV$22:$AX$60,,$AI385), INDEX($AY$22:$BE$60,,$AH385), 1 / ($BF$22:$BF$60*CC385), N($AU$22:$AU$60&gt;$AM385)),
SUMPRODUCT(INDEX($AV$22:$AX$45,,$AI385), INDEX($AY$22:$BE$45,,$AH385), 1 / ($BG$22:$BG$45*CC385), N($AU$22:$AU$45&gt;$AM385))
) / 1000</f>
        <v>0</v>
      </c>
      <c r="CF385" s="229">
        <f t="shared" si="608"/>
        <v>0</v>
      </c>
      <c r="CG385" s="246"/>
      <c r="CH385" s="229">
        <f t="shared" si="609"/>
        <v>0</v>
      </c>
      <c r="CI385" s="228">
        <v>35</v>
      </c>
      <c r="CJ385" s="229">
        <f t="shared" si="610"/>
        <v>48</v>
      </c>
      <c r="CK385" s="234">
        <f t="shared" si="611"/>
        <v>3.0748170731707316</v>
      </c>
      <c r="CL385" s="234" cm="1">
        <f t="array" ref="CL385">$BM385 * SUMPRODUCT(INDEX($AV$76:$AX$81,,$AI385),INDEX($AY$76:$BE$81,,$AH385), N($AU$76:$AU$81&gt;$AM385)) / CK385 / 1000</f>
        <v>0</v>
      </c>
      <c r="CM385" s="231">
        <f t="shared" si="591"/>
        <v>30</v>
      </c>
      <c r="CN385" s="229">
        <f t="shared" si="612"/>
        <v>43</v>
      </c>
      <c r="CO385" s="234">
        <f t="shared" si="613"/>
        <v>3.5018750000000001</v>
      </c>
      <c r="CP385" s="234" cm="1">
        <f t="array" ref="CP385">$BM385 * IF($AH385&lt;=2,
SUMPRODUCT(INDEX($AV$71:$AX$75,,$AI385), INDEX($AY$71:$BE$75,,$AH385), 1 / ($BF$71:$BF$75*CO385 + (1-$BF$71:$BF$75)*CK385), N($AU$71:$AU$75&gt;$AM385)),
SUMPRODUCT(INDEX($AV$66:$AX$75,,$AI385), INDEX($AY$66:$BE$75,,$AH385), 1 / ($BG$66:$BG$75*CO385 + (1-$BG$66:$BG$75)*CK385), N($AU$66:$AU$75&gt;$AM385))
) / 1000</f>
        <v>0</v>
      </c>
      <c r="CQ385" s="231">
        <f t="shared" si="592"/>
        <v>25</v>
      </c>
      <c r="CR385" s="229">
        <f t="shared" si="614"/>
        <v>38</v>
      </c>
      <c r="CS385" s="234">
        <f t="shared" si="615"/>
        <v>4.0666935483870965</v>
      </c>
      <c r="CT385" s="234" cm="1">
        <f t="array" ref="CT385">$BM385 * IF($AH385&lt;=2,
SUMPRODUCT(INDEX($AV$66:$AX$70,,$AI385), INDEX($AY$66:$BE$70,,$AH385), 1 / ($BF$66:$BF$70*CS385 + (1-$BF$66:$BF$70)*CO385), N($AU$66:$AU$70&gt;$AM385)),
SUMPRODUCT(INDEX($AV$56:$AX$65,,$AI385), INDEX($AY$56:$BE$65,,$AH385), 1 / ($BG$56:$BG$65*CS385 + (1-$BG$56:$BG$65)*CO385), N($AU$56:$AU$65&gt;$AM385))
) / 1000</f>
        <v>0</v>
      </c>
      <c r="CU385" s="231">
        <f t="shared" si="593"/>
        <v>20</v>
      </c>
      <c r="CV385" s="229">
        <f t="shared" si="616"/>
        <v>33</v>
      </c>
      <c r="CW385" s="234">
        <f t="shared" si="617"/>
        <v>4.8487499999999999</v>
      </c>
      <c r="CX385" s="234" cm="1">
        <f t="array" ref="CX385">$BM385 * IF($AH385&lt;=2,
SUMPRODUCT(INDEX($AV$61:$AX$65,,$AI385), INDEX($AY$61:$BE$65,,$AH385), 1 / ($BF$61:$BF$65*CW385 + (1-$BF$61:$BF$65)*CS385), N($AU$61:$AU$65&gt;$AM385)),
SUMPRODUCT(INDEX($AV$46:$AX$55,,$AI385), INDEX($AY$46:$BE$55,,$AH385), 1 / ($BG$46:$BG$55*CW385 + (1-$BG$46:$BG$55)*CS385), N($AU$46:$AU$55&gt;$AM385))
) / 1000</f>
        <v>0</v>
      </c>
      <c r="CY385" s="234" cm="1">
        <f t="array" ref="CY385">$BM385 * IF($AH385&lt;=2,
SUMPRODUCT(INDEX($AV$22:$AX$60,,$AI385), INDEX($AY$22:$BE$60,,$AH385), 1 / ($BF$22:$BF$60*CW385), N($AU$22:$AU$60&gt;$AM385)),
SUMPRODUCT(INDEX($AV$22:$AX$45,,$AI385), INDEX($AY$22:$BE$45,,$AH385), 1 / ($BG$22:$BG$45*CW385), N($AU$22:$AU$45&gt;$AM385))
) / 1000</f>
        <v>0</v>
      </c>
      <c r="CZ385" s="229">
        <f t="shared" si="618"/>
        <v>0</v>
      </c>
      <c r="DA385" s="246"/>
    </row>
    <row r="386" spans="1:105" s="75" customFormat="1" ht="14.25" customHeight="1" x14ac:dyDescent="0.2">
      <c r="A386" s="230" t="b">
        <f t="shared" si="585"/>
        <v>0</v>
      </c>
      <c r="B386" s="253">
        <v>365</v>
      </c>
      <c r="C386" s="266"/>
      <c r="D386" s="266"/>
      <c r="E386" s="254"/>
      <c r="F386" s="255" t="str">
        <f>IF(ISBLANK(E386), "", VLOOKUP(E386, Z!$A$2:$C$4127, 3, FALSE))</f>
        <v/>
      </c>
      <c r="G386" s="256"/>
      <c r="H386" s="256"/>
      <c r="I386" s="256"/>
      <c r="J386" s="257"/>
      <c r="K386" s="258"/>
      <c r="L386" s="267"/>
      <c r="M386" s="268"/>
      <c r="N386" s="259" t="str" cm="1">
        <f t="array" ref="N386">IF($L386&gt;0, INDEX(Clean,1+AK386,$D$1), "")</f>
        <v/>
      </c>
      <c r="O386" s="260"/>
      <c r="P386" s="260"/>
      <c r="Q386" s="261"/>
      <c r="R386" s="264">
        <f t="shared" si="594"/>
        <v>0</v>
      </c>
      <c r="S386" s="259" t="str" cm="1">
        <f t="array" ref="S386">IF($L386&gt;0, INDEX(Clean,1+AL386,$D$1), "")</f>
        <v/>
      </c>
      <c r="T386" s="260"/>
      <c r="U386" s="260"/>
      <c r="V386" s="261"/>
      <c r="W386" s="267"/>
      <c r="X386" s="267"/>
      <c r="Y386" s="257"/>
      <c r="Z386" s="264">
        <f t="shared" si="595"/>
        <v>0</v>
      </c>
      <c r="AA386" s="269"/>
      <c r="AB386" s="266"/>
      <c r="AC386" s="254"/>
      <c r="AD386" s="255" t="str">
        <f>IF(ISBLANK(AC386), "", VLOOKUP(AC386, Z!$A$2:$C$4127, 3, FALSE))</f>
        <v/>
      </c>
      <c r="AE386" s="270"/>
      <c r="AF386" s="265">
        <f t="shared" si="596"/>
        <v>0</v>
      </c>
      <c r="AG386" s="246"/>
      <c r="AH386" s="228">
        <f t="shared" si="619"/>
        <v>1</v>
      </c>
      <c r="AI386" s="228">
        <f t="shared" si="620"/>
        <v>1</v>
      </c>
      <c r="AJ386" s="228">
        <f t="shared" si="621"/>
        <v>0</v>
      </c>
      <c r="AK386" s="228">
        <v>0</v>
      </c>
      <c r="AL386" s="228">
        <v>0</v>
      </c>
      <c r="AM386" s="228">
        <f t="shared" si="597"/>
        <v>-100</v>
      </c>
      <c r="AN386" s="228" cm="1">
        <f t="array" ref="AN386">IF(ISBLANK(G386), 1, IFERROR(MATCH(G386, INDEX(Kat,,1), 0), IFERROR(MATCH(Kat, INDEX(Use,,2), 0), MATCH(Kat, INDEX(Use,,3), 0))))</f>
        <v>1</v>
      </c>
      <c r="AO386" s="246"/>
      <c r="AP386" s="228" cm="1">
        <f t="array" ref="AP386">IF(W386&gt;0, INDEX(Kat, AN386,4), 0)</f>
        <v>0</v>
      </c>
      <c r="AQ386" s="228">
        <f t="shared" si="622"/>
        <v>0</v>
      </c>
      <c r="AR386" s="228" cm="1">
        <f t="array" ref="AR386">IF(X386&gt;0, INDEX(Kat, $AN386, 4+AQ386), 0)</f>
        <v>0</v>
      </c>
      <c r="AS386" s="228" cm="1">
        <f t="array" ref="AS386">IF(X386&gt;0, INDEX(Kat, $AN386, 9+AQ386), 0)</f>
        <v>0</v>
      </c>
      <c r="AT386" s="246"/>
      <c r="AU386" s="262"/>
      <c r="AV386" s="262"/>
      <c r="AW386" s="263"/>
      <c r="AX386" s="263"/>
      <c r="AY386" s="263"/>
      <c r="AZ386" s="263"/>
      <c r="BA386" s="263"/>
      <c r="BB386" s="263"/>
      <c r="BC386" s="263"/>
      <c r="BD386" s="263"/>
      <c r="BE386" s="263"/>
      <c r="BF386" s="263"/>
      <c r="BG386" s="263"/>
      <c r="BH386" s="246"/>
      <c r="BI386" s="228" cm="1">
        <f t="array" ref="BI386">INDEX(Use, $AH386, 4)</f>
        <v>7</v>
      </c>
      <c r="BJ386" s="228">
        <f t="shared" si="598"/>
        <v>32</v>
      </c>
      <c r="BK386" s="228">
        <f t="shared" si="586"/>
        <v>13</v>
      </c>
      <c r="BL386" s="228">
        <f t="shared" si="587"/>
        <v>0</v>
      </c>
      <c r="BM386" s="233" cm="1">
        <f t="array" ref="BM386">L386/IF($M386&gt;0, INDEX($AY$22:$BE$76, $M386+20, $AH386), 1)</f>
        <v>0</v>
      </c>
      <c r="BN386" s="229">
        <f t="shared" si="599"/>
        <v>0</v>
      </c>
      <c r="BO386" s="228">
        <v>35</v>
      </c>
      <c r="BP386" s="229">
        <f t="shared" si="600"/>
        <v>48</v>
      </c>
      <c r="BQ386" s="234">
        <f t="shared" si="601"/>
        <v>3.0748170731707316</v>
      </c>
      <c r="BR386" s="234" cm="1">
        <f t="array" ref="BR386">$BM386 * SUMPRODUCT(INDEX($AV$76:$AX$81,,$AI386),INDEX($AY$76:$BE$81,,$AH386), N($AU$76:$AU$81&gt;$AM386)) / BQ386 / 1000</f>
        <v>0</v>
      </c>
      <c r="BS386" s="231">
        <f t="shared" si="588"/>
        <v>30</v>
      </c>
      <c r="BT386" s="229">
        <f t="shared" si="602"/>
        <v>43</v>
      </c>
      <c r="BU386" s="234">
        <f t="shared" si="603"/>
        <v>3.5018750000000001</v>
      </c>
      <c r="BV386" s="234" cm="1">
        <f t="array" ref="BV386">$BM386 * IF($AH386&lt;=2,
SUMPRODUCT(INDEX($AV$71:$AX$75,,$AI386), INDEX($AY$71:$BE$75,,$AH386), 1 / ($BF$71:$BF$75*BU386 + (1-$BF$71:$BF$75)*BQ386), N($AU$71:$AU$75&gt;$AM386)),
SUMPRODUCT(INDEX($AV$66:$AX$75,,$AI386), INDEX($AY$66:$BE$75,,$AH386), 1 / ($BG$66:$BG$75*BU386 + (1-$BG$66:$BG$75)*BQ386), N($AU$66:$AU$75&gt;$AM386))
) / 1000</f>
        <v>0</v>
      </c>
      <c r="BW386" s="231">
        <f t="shared" si="589"/>
        <v>25</v>
      </c>
      <c r="BX386" s="229">
        <f t="shared" si="604"/>
        <v>38</v>
      </c>
      <c r="BY386" s="234">
        <f t="shared" si="605"/>
        <v>4.0666935483870965</v>
      </c>
      <c r="BZ386" s="234" cm="1">
        <f t="array" ref="BZ386">$BM386 * IF($AH386&lt;=2,
SUMPRODUCT(INDEX($AV$66:$AX$70,,$AI386), INDEX($AY$66:$BE$70,,$AH386), 1 / ($BF$66:$BF$70*BY386 + (1-$BF$66:$BF$70)*BU386), N($AU$66:$AU$70&gt;$AM386)),
SUMPRODUCT(INDEX($AV$56:$AX$65,,$AI386), INDEX($AY$56:$BE$65,,$AH386), 1 / ($BG$56:$BG$65*BY386 + (1-$BG$56:$BG$65)*BU386), N($AU$56:$AU$65&gt;$AM386))
) / 1000</f>
        <v>0</v>
      </c>
      <c r="CA386" s="231">
        <f t="shared" si="590"/>
        <v>20</v>
      </c>
      <c r="CB386" s="229">
        <f t="shared" si="606"/>
        <v>33</v>
      </c>
      <c r="CC386" s="234">
        <f t="shared" si="607"/>
        <v>4.8487499999999999</v>
      </c>
      <c r="CD386" s="234" cm="1">
        <f t="array" ref="CD386">$BM386 * IF($AH386&lt;=2,
SUMPRODUCT(INDEX($AV$61:$AX$65,,$AI386), INDEX($AY$61:$BE$65,,$AH386), 1 / ($BF$61:$BF$65*CC386 + (1-$BF$61:$BF$65)*BY386), N($AU$61:$AU$65&gt;$AM386)),
SUMPRODUCT(INDEX($AV$46:$AX$55,,$AI386), INDEX($AY$46:$BE$55,,$AH386), 1 / ($BG$46:$BG$55*CC386 + (1-$BG$46:$BG$55)*BY386), N($AU$46:$AU$55&gt;$AM386))
) / 1000</f>
        <v>0</v>
      </c>
      <c r="CE386" s="234" cm="1">
        <f t="array" ref="CE386">$BM386 * IF($AH386&lt;=2,
SUMPRODUCT(INDEX($AV$22:$AX$60,,$AI386), INDEX($AY$22:$BE$60,,$AH386), 1 / ($BF$22:$BF$60*CC386), N($AU$22:$AU$60&gt;$AM386)),
SUMPRODUCT(INDEX($AV$22:$AX$45,,$AI386), INDEX($AY$22:$BE$45,,$AH386), 1 / ($BG$22:$BG$45*CC386), N($AU$22:$AU$45&gt;$AM386))
) / 1000</f>
        <v>0</v>
      </c>
      <c r="CF386" s="229">
        <f t="shared" si="608"/>
        <v>0</v>
      </c>
      <c r="CG386" s="246"/>
      <c r="CH386" s="229">
        <f t="shared" si="609"/>
        <v>0</v>
      </c>
      <c r="CI386" s="228">
        <v>35</v>
      </c>
      <c r="CJ386" s="229">
        <f t="shared" si="610"/>
        <v>48</v>
      </c>
      <c r="CK386" s="234">
        <f t="shared" si="611"/>
        <v>3.0748170731707316</v>
      </c>
      <c r="CL386" s="234" cm="1">
        <f t="array" ref="CL386">$BM386 * SUMPRODUCT(INDEX($AV$76:$AX$81,,$AI386),INDEX($AY$76:$BE$81,,$AH386), N($AU$76:$AU$81&gt;$AM386)) / CK386 / 1000</f>
        <v>0</v>
      </c>
      <c r="CM386" s="231">
        <f t="shared" si="591"/>
        <v>30</v>
      </c>
      <c r="CN386" s="229">
        <f t="shared" si="612"/>
        <v>43</v>
      </c>
      <c r="CO386" s="234">
        <f t="shared" si="613"/>
        <v>3.5018750000000001</v>
      </c>
      <c r="CP386" s="234" cm="1">
        <f t="array" ref="CP386">$BM386 * IF($AH386&lt;=2,
SUMPRODUCT(INDEX($AV$71:$AX$75,,$AI386), INDEX($AY$71:$BE$75,,$AH386), 1 / ($BF$71:$BF$75*CO386 + (1-$BF$71:$BF$75)*CK386), N($AU$71:$AU$75&gt;$AM386)),
SUMPRODUCT(INDEX($AV$66:$AX$75,,$AI386), INDEX($AY$66:$BE$75,,$AH386), 1 / ($BG$66:$BG$75*CO386 + (1-$BG$66:$BG$75)*CK386), N($AU$66:$AU$75&gt;$AM386))
) / 1000</f>
        <v>0</v>
      </c>
      <c r="CQ386" s="231">
        <f t="shared" si="592"/>
        <v>25</v>
      </c>
      <c r="CR386" s="229">
        <f t="shared" si="614"/>
        <v>38</v>
      </c>
      <c r="CS386" s="234">
        <f t="shared" si="615"/>
        <v>4.0666935483870965</v>
      </c>
      <c r="CT386" s="234" cm="1">
        <f t="array" ref="CT386">$BM386 * IF($AH386&lt;=2,
SUMPRODUCT(INDEX($AV$66:$AX$70,,$AI386), INDEX($AY$66:$BE$70,,$AH386), 1 / ($BF$66:$BF$70*CS386 + (1-$BF$66:$BF$70)*CO386), N($AU$66:$AU$70&gt;$AM386)),
SUMPRODUCT(INDEX($AV$56:$AX$65,,$AI386), INDEX($AY$56:$BE$65,,$AH386), 1 / ($BG$56:$BG$65*CS386 + (1-$BG$56:$BG$65)*CO386), N($AU$56:$AU$65&gt;$AM386))
) / 1000</f>
        <v>0</v>
      </c>
      <c r="CU386" s="231">
        <f t="shared" si="593"/>
        <v>20</v>
      </c>
      <c r="CV386" s="229">
        <f t="shared" si="616"/>
        <v>33</v>
      </c>
      <c r="CW386" s="234">
        <f t="shared" si="617"/>
        <v>4.8487499999999999</v>
      </c>
      <c r="CX386" s="234" cm="1">
        <f t="array" ref="CX386">$BM386 * IF($AH386&lt;=2,
SUMPRODUCT(INDEX($AV$61:$AX$65,,$AI386), INDEX($AY$61:$BE$65,,$AH386), 1 / ($BF$61:$BF$65*CW386 + (1-$BF$61:$BF$65)*CS386), N($AU$61:$AU$65&gt;$AM386)),
SUMPRODUCT(INDEX($AV$46:$AX$55,,$AI386), INDEX($AY$46:$BE$55,,$AH386), 1 / ($BG$46:$BG$55*CW386 + (1-$BG$46:$BG$55)*CS386), N($AU$46:$AU$55&gt;$AM386))
) / 1000</f>
        <v>0</v>
      </c>
      <c r="CY386" s="234" cm="1">
        <f t="array" ref="CY386">$BM386 * IF($AH386&lt;=2,
SUMPRODUCT(INDEX($AV$22:$AX$60,,$AI386), INDEX($AY$22:$BE$60,,$AH386), 1 / ($BF$22:$BF$60*CW386), N($AU$22:$AU$60&gt;$AM386)),
SUMPRODUCT(INDEX($AV$22:$AX$45,,$AI386), INDEX($AY$22:$BE$45,,$AH386), 1 / ($BG$22:$BG$45*CW386), N($AU$22:$AU$45&gt;$AM386))
) / 1000</f>
        <v>0</v>
      </c>
      <c r="CZ386" s="229">
        <f t="shared" si="618"/>
        <v>0</v>
      </c>
      <c r="DA386" s="246"/>
    </row>
    <row r="387" spans="1:105" s="75" customFormat="1" ht="14.25" customHeight="1" x14ac:dyDescent="0.2">
      <c r="A387" s="230" t="b">
        <f t="shared" si="585"/>
        <v>0</v>
      </c>
      <c r="B387" s="253">
        <v>366</v>
      </c>
      <c r="C387" s="266"/>
      <c r="D387" s="266"/>
      <c r="E387" s="254"/>
      <c r="F387" s="255" t="str">
        <f>IF(ISBLANK(E387), "", VLOOKUP(E387, Z!$A$2:$C$4127, 3, FALSE))</f>
        <v/>
      </c>
      <c r="G387" s="256"/>
      <c r="H387" s="256"/>
      <c r="I387" s="256"/>
      <c r="J387" s="257"/>
      <c r="K387" s="258"/>
      <c r="L387" s="267"/>
      <c r="M387" s="268"/>
      <c r="N387" s="259" t="str" cm="1">
        <f t="array" ref="N387">IF($L387&gt;0, INDEX(Clean,1+AK387,$D$1), "")</f>
        <v/>
      </c>
      <c r="O387" s="260"/>
      <c r="P387" s="260"/>
      <c r="Q387" s="261"/>
      <c r="R387" s="264">
        <f t="shared" si="594"/>
        <v>0</v>
      </c>
      <c r="S387" s="259" t="str" cm="1">
        <f t="array" ref="S387">IF($L387&gt;0, INDEX(Clean,1+AL387,$D$1), "")</f>
        <v/>
      </c>
      <c r="T387" s="260"/>
      <c r="U387" s="260"/>
      <c r="V387" s="261"/>
      <c r="W387" s="267"/>
      <c r="X387" s="267"/>
      <c r="Y387" s="257"/>
      <c r="Z387" s="264">
        <f t="shared" si="595"/>
        <v>0</v>
      </c>
      <c r="AA387" s="269"/>
      <c r="AB387" s="266"/>
      <c r="AC387" s="254"/>
      <c r="AD387" s="255" t="str">
        <f>IF(ISBLANK(AC387), "", VLOOKUP(AC387, Z!$A$2:$C$4127, 3, FALSE))</f>
        <v/>
      </c>
      <c r="AE387" s="270"/>
      <c r="AF387" s="265">
        <f t="shared" si="596"/>
        <v>0</v>
      </c>
      <c r="AG387" s="246"/>
      <c r="AH387" s="228">
        <f t="shared" si="619"/>
        <v>1</v>
      </c>
      <c r="AI387" s="228">
        <f t="shared" si="620"/>
        <v>1</v>
      </c>
      <c r="AJ387" s="228">
        <f t="shared" si="621"/>
        <v>0</v>
      </c>
      <c r="AK387" s="228">
        <v>0</v>
      </c>
      <c r="AL387" s="228">
        <v>0</v>
      </c>
      <c r="AM387" s="228">
        <f t="shared" si="597"/>
        <v>-100</v>
      </c>
      <c r="AN387" s="228" cm="1">
        <f t="array" ref="AN387">IF(ISBLANK(G387), 1, IFERROR(MATCH(G387, INDEX(Kat,,1), 0), IFERROR(MATCH(Kat, INDEX(Use,,2), 0), MATCH(Kat, INDEX(Use,,3), 0))))</f>
        <v>1</v>
      </c>
      <c r="AO387" s="246"/>
      <c r="AP387" s="228" cm="1">
        <f t="array" ref="AP387">IF(W387&gt;0, INDEX(Kat, AN387,4), 0)</f>
        <v>0</v>
      </c>
      <c r="AQ387" s="228">
        <f t="shared" si="622"/>
        <v>0</v>
      </c>
      <c r="AR387" s="228" cm="1">
        <f t="array" ref="AR387">IF(X387&gt;0, INDEX(Kat, $AN387, 4+AQ387), 0)</f>
        <v>0</v>
      </c>
      <c r="AS387" s="228" cm="1">
        <f t="array" ref="AS387">IF(X387&gt;0, INDEX(Kat, $AN387, 9+AQ387), 0)</f>
        <v>0</v>
      </c>
      <c r="AT387" s="246"/>
      <c r="AU387" s="262"/>
      <c r="AV387" s="262"/>
      <c r="AW387" s="263"/>
      <c r="AX387" s="263"/>
      <c r="AY387" s="263"/>
      <c r="AZ387" s="263"/>
      <c r="BA387" s="263"/>
      <c r="BB387" s="263"/>
      <c r="BC387" s="263"/>
      <c r="BD387" s="263"/>
      <c r="BE387" s="263"/>
      <c r="BF387" s="263"/>
      <c r="BG387" s="263"/>
      <c r="BH387" s="246"/>
      <c r="BI387" s="228" cm="1">
        <f t="array" ref="BI387">INDEX(Use, $AH387, 4)</f>
        <v>7</v>
      </c>
      <c r="BJ387" s="228">
        <f t="shared" si="598"/>
        <v>32</v>
      </c>
      <c r="BK387" s="228">
        <f t="shared" si="586"/>
        <v>13</v>
      </c>
      <c r="BL387" s="228">
        <f t="shared" si="587"/>
        <v>0</v>
      </c>
      <c r="BM387" s="233" cm="1">
        <f t="array" ref="BM387">L387/IF($M387&gt;0, INDEX($AY$22:$BE$76, $M387+20, $AH387), 1)</f>
        <v>0</v>
      </c>
      <c r="BN387" s="229">
        <f t="shared" si="599"/>
        <v>0</v>
      </c>
      <c r="BO387" s="228">
        <v>35</v>
      </c>
      <c r="BP387" s="229">
        <f t="shared" si="600"/>
        <v>48</v>
      </c>
      <c r="BQ387" s="234">
        <f t="shared" si="601"/>
        <v>3.0748170731707316</v>
      </c>
      <c r="BR387" s="234" cm="1">
        <f t="array" ref="BR387">$BM387 * SUMPRODUCT(INDEX($AV$76:$AX$81,,$AI387),INDEX($AY$76:$BE$81,,$AH387), N($AU$76:$AU$81&gt;$AM387)) / BQ387 / 1000</f>
        <v>0</v>
      </c>
      <c r="BS387" s="231">
        <f t="shared" si="588"/>
        <v>30</v>
      </c>
      <c r="BT387" s="229">
        <f t="shared" si="602"/>
        <v>43</v>
      </c>
      <c r="BU387" s="234">
        <f t="shared" si="603"/>
        <v>3.5018750000000001</v>
      </c>
      <c r="BV387" s="234" cm="1">
        <f t="array" ref="BV387">$BM387 * IF($AH387&lt;=2,
SUMPRODUCT(INDEX($AV$71:$AX$75,,$AI387), INDEX($AY$71:$BE$75,,$AH387), 1 / ($BF$71:$BF$75*BU387 + (1-$BF$71:$BF$75)*BQ387), N($AU$71:$AU$75&gt;$AM387)),
SUMPRODUCT(INDEX($AV$66:$AX$75,,$AI387), INDEX($AY$66:$BE$75,,$AH387), 1 / ($BG$66:$BG$75*BU387 + (1-$BG$66:$BG$75)*BQ387), N($AU$66:$AU$75&gt;$AM387))
) / 1000</f>
        <v>0</v>
      </c>
      <c r="BW387" s="231">
        <f t="shared" si="589"/>
        <v>25</v>
      </c>
      <c r="BX387" s="229">
        <f t="shared" si="604"/>
        <v>38</v>
      </c>
      <c r="BY387" s="234">
        <f t="shared" si="605"/>
        <v>4.0666935483870965</v>
      </c>
      <c r="BZ387" s="234" cm="1">
        <f t="array" ref="BZ387">$BM387 * IF($AH387&lt;=2,
SUMPRODUCT(INDEX($AV$66:$AX$70,,$AI387), INDEX($AY$66:$BE$70,,$AH387), 1 / ($BF$66:$BF$70*BY387 + (1-$BF$66:$BF$70)*BU387), N($AU$66:$AU$70&gt;$AM387)),
SUMPRODUCT(INDEX($AV$56:$AX$65,,$AI387), INDEX($AY$56:$BE$65,,$AH387), 1 / ($BG$56:$BG$65*BY387 + (1-$BG$56:$BG$65)*BU387), N($AU$56:$AU$65&gt;$AM387))
) / 1000</f>
        <v>0</v>
      </c>
      <c r="CA387" s="231">
        <f t="shared" si="590"/>
        <v>20</v>
      </c>
      <c r="CB387" s="229">
        <f t="shared" si="606"/>
        <v>33</v>
      </c>
      <c r="CC387" s="234">
        <f t="shared" si="607"/>
        <v>4.8487499999999999</v>
      </c>
      <c r="CD387" s="234" cm="1">
        <f t="array" ref="CD387">$BM387 * IF($AH387&lt;=2,
SUMPRODUCT(INDEX($AV$61:$AX$65,,$AI387), INDEX($AY$61:$BE$65,,$AH387), 1 / ($BF$61:$BF$65*CC387 + (1-$BF$61:$BF$65)*BY387), N($AU$61:$AU$65&gt;$AM387)),
SUMPRODUCT(INDEX($AV$46:$AX$55,,$AI387), INDEX($AY$46:$BE$55,,$AH387), 1 / ($BG$46:$BG$55*CC387 + (1-$BG$46:$BG$55)*BY387), N($AU$46:$AU$55&gt;$AM387))
) / 1000</f>
        <v>0</v>
      </c>
      <c r="CE387" s="234" cm="1">
        <f t="array" ref="CE387">$BM387 * IF($AH387&lt;=2,
SUMPRODUCT(INDEX($AV$22:$AX$60,,$AI387), INDEX($AY$22:$BE$60,,$AH387), 1 / ($BF$22:$BF$60*CC387), N($AU$22:$AU$60&gt;$AM387)),
SUMPRODUCT(INDEX($AV$22:$AX$45,,$AI387), INDEX($AY$22:$BE$45,,$AH387), 1 / ($BG$22:$BG$45*CC387), N($AU$22:$AU$45&gt;$AM387))
) / 1000</f>
        <v>0</v>
      </c>
      <c r="CF387" s="229">
        <f t="shared" si="608"/>
        <v>0</v>
      </c>
      <c r="CG387" s="246"/>
      <c r="CH387" s="229">
        <f t="shared" si="609"/>
        <v>0</v>
      </c>
      <c r="CI387" s="228">
        <v>35</v>
      </c>
      <c r="CJ387" s="229">
        <f t="shared" si="610"/>
        <v>48</v>
      </c>
      <c r="CK387" s="234">
        <f t="shared" si="611"/>
        <v>3.0748170731707316</v>
      </c>
      <c r="CL387" s="234" cm="1">
        <f t="array" ref="CL387">$BM387 * SUMPRODUCT(INDEX($AV$76:$AX$81,,$AI387),INDEX($AY$76:$BE$81,,$AH387), N($AU$76:$AU$81&gt;$AM387)) / CK387 / 1000</f>
        <v>0</v>
      </c>
      <c r="CM387" s="231">
        <f t="shared" si="591"/>
        <v>30</v>
      </c>
      <c r="CN387" s="229">
        <f t="shared" si="612"/>
        <v>43</v>
      </c>
      <c r="CO387" s="234">
        <f t="shared" si="613"/>
        <v>3.5018750000000001</v>
      </c>
      <c r="CP387" s="234" cm="1">
        <f t="array" ref="CP387">$BM387 * IF($AH387&lt;=2,
SUMPRODUCT(INDEX($AV$71:$AX$75,,$AI387), INDEX($AY$71:$BE$75,,$AH387), 1 / ($BF$71:$BF$75*CO387 + (1-$BF$71:$BF$75)*CK387), N($AU$71:$AU$75&gt;$AM387)),
SUMPRODUCT(INDEX($AV$66:$AX$75,,$AI387), INDEX($AY$66:$BE$75,,$AH387), 1 / ($BG$66:$BG$75*CO387 + (1-$BG$66:$BG$75)*CK387), N($AU$66:$AU$75&gt;$AM387))
) / 1000</f>
        <v>0</v>
      </c>
      <c r="CQ387" s="231">
        <f t="shared" si="592"/>
        <v>25</v>
      </c>
      <c r="CR387" s="229">
        <f t="shared" si="614"/>
        <v>38</v>
      </c>
      <c r="CS387" s="234">
        <f t="shared" si="615"/>
        <v>4.0666935483870965</v>
      </c>
      <c r="CT387" s="234" cm="1">
        <f t="array" ref="CT387">$BM387 * IF($AH387&lt;=2,
SUMPRODUCT(INDEX($AV$66:$AX$70,,$AI387), INDEX($AY$66:$BE$70,,$AH387), 1 / ($BF$66:$BF$70*CS387 + (1-$BF$66:$BF$70)*CO387), N($AU$66:$AU$70&gt;$AM387)),
SUMPRODUCT(INDEX($AV$56:$AX$65,,$AI387), INDEX($AY$56:$BE$65,,$AH387), 1 / ($BG$56:$BG$65*CS387 + (1-$BG$56:$BG$65)*CO387), N($AU$56:$AU$65&gt;$AM387))
) / 1000</f>
        <v>0</v>
      </c>
      <c r="CU387" s="231">
        <f t="shared" si="593"/>
        <v>20</v>
      </c>
      <c r="CV387" s="229">
        <f t="shared" si="616"/>
        <v>33</v>
      </c>
      <c r="CW387" s="234">
        <f t="shared" si="617"/>
        <v>4.8487499999999999</v>
      </c>
      <c r="CX387" s="234" cm="1">
        <f t="array" ref="CX387">$BM387 * IF($AH387&lt;=2,
SUMPRODUCT(INDEX($AV$61:$AX$65,,$AI387), INDEX($AY$61:$BE$65,,$AH387), 1 / ($BF$61:$BF$65*CW387 + (1-$BF$61:$BF$65)*CS387), N($AU$61:$AU$65&gt;$AM387)),
SUMPRODUCT(INDEX($AV$46:$AX$55,,$AI387), INDEX($AY$46:$BE$55,,$AH387), 1 / ($BG$46:$BG$55*CW387 + (1-$BG$46:$BG$55)*CS387), N($AU$46:$AU$55&gt;$AM387))
) / 1000</f>
        <v>0</v>
      </c>
      <c r="CY387" s="234" cm="1">
        <f t="array" ref="CY387">$BM387 * IF($AH387&lt;=2,
SUMPRODUCT(INDEX($AV$22:$AX$60,,$AI387), INDEX($AY$22:$BE$60,,$AH387), 1 / ($BF$22:$BF$60*CW387), N($AU$22:$AU$60&gt;$AM387)),
SUMPRODUCT(INDEX($AV$22:$AX$45,,$AI387), INDEX($AY$22:$BE$45,,$AH387), 1 / ($BG$22:$BG$45*CW387), N($AU$22:$AU$45&gt;$AM387))
) / 1000</f>
        <v>0</v>
      </c>
      <c r="CZ387" s="229">
        <f t="shared" si="618"/>
        <v>0</v>
      </c>
      <c r="DA387" s="246"/>
    </row>
    <row r="388" spans="1:105" s="75" customFormat="1" ht="14.25" customHeight="1" x14ac:dyDescent="0.2">
      <c r="A388" s="230" t="b">
        <f t="shared" si="585"/>
        <v>0</v>
      </c>
      <c r="B388" s="253">
        <v>367</v>
      </c>
      <c r="C388" s="266"/>
      <c r="D388" s="266"/>
      <c r="E388" s="254"/>
      <c r="F388" s="255" t="str">
        <f>IF(ISBLANK(E388), "", VLOOKUP(E388, Z!$A$2:$C$4127, 3, FALSE))</f>
        <v/>
      </c>
      <c r="G388" s="256"/>
      <c r="H388" s="256"/>
      <c r="I388" s="256"/>
      <c r="J388" s="257"/>
      <c r="K388" s="258"/>
      <c r="L388" s="267"/>
      <c r="M388" s="268"/>
      <c r="N388" s="259" t="str" cm="1">
        <f t="array" ref="N388">IF($L388&gt;0, INDEX(Clean,1+AK388,$D$1), "")</f>
        <v/>
      </c>
      <c r="O388" s="260"/>
      <c r="P388" s="260"/>
      <c r="Q388" s="261"/>
      <c r="R388" s="264">
        <f t="shared" si="594"/>
        <v>0</v>
      </c>
      <c r="S388" s="259" t="str" cm="1">
        <f t="array" ref="S388">IF($L388&gt;0, INDEX(Clean,1+AL388,$D$1), "")</f>
        <v/>
      </c>
      <c r="T388" s="260"/>
      <c r="U388" s="260"/>
      <c r="V388" s="261"/>
      <c r="W388" s="267"/>
      <c r="X388" s="267"/>
      <c r="Y388" s="257"/>
      <c r="Z388" s="264">
        <f t="shared" si="595"/>
        <v>0</v>
      </c>
      <c r="AA388" s="269"/>
      <c r="AB388" s="266"/>
      <c r="AC388" s="254"/>
      <c r="AD388" s="255" t="str">
        <f>IF(ISBLANK(AC388), "", VLOOKUP(AC388, Z!$A$2:$C$4127, 3, FALSE))</f>
        <v/>
      </c>
      <c r="AE388" s="270"/>
      <c r="AF388" s="265">
        <f t="shared" si="596"/>
        <v>0</v>
      </c>
      <c r="AG388" s="246"/>
      <c r="AH388" s="228">
        <f t="shared" si="619"/>
        <v>1</v>
      </c>
      <c r="AI388" s="228">
        <f t="shared" si="620"/>
        <v>1</v>
      </c>
      <c r="AJ388" s="228">
        <f t="shared" si="621"/>
        <v>0</v>
      </c>
      <c r="AK388" s="228">
        <v>0</v>
      </c>
      <c r="AL388" s="228">
        <v>0</v>
      </c>
      <c r="AM388" s="228">
        <f t="shared" si="597"/>
        <v>-100</v>
      </c>
      <c r="AN388" s="228" cm="1">
        <f t="array" ref="AN388">IF(ISBLANK(G388), 1, IFERROR(MATCH(G388, INDEX(Kat,,1), 0), IFERROR(MATCH(Kat, INDEX(Use,,2), 0), MATCH(Kat, INDEX(Use,,3), 0))))</f>
        <v>1</v>
      </c>
      <c r="AO388" s="246"/>
      <c r="AP388" s="228" cm="1">
        <f t="array" ref="AP388">IF(W388&gt;0, INDEX(Kat, AN388,4), 0)</f>
        <v>0</v>
      </c>
      <c r="AQ388" s="228">
        <f t="shared" si="622"/>
        <v>0</v>
      </c>
      <c r="AR388" s="228" cm="1">
        <f t="array" ref="AR388">IF(X388&gt;0, INDEX(Kat, $AN388, 4+AQ388), 0)</f>
        <v>0</v>
      </c>
      <c r="AS388" s="228" cm="1">
        <f t="array" ref="AS388">IF(X388&gt;0, INDEX(Kat, $AN388, 9+AQ388), 0)</f>
        <v>0</v>
      </c>
      <c r="AT388" s="246"/>
      <c r="AU388" s="262"/>
      <c r="AV388" s="262"/>
      <c r="AW388" s="263"/>
      <c r="AX388" s="263"/>
      <c r="AY388" s="263"/>
      <c r="AZ388" s="263"/>
      <c r="BA388" s="263"/>
      <c r="BB388" s="263"/>
      <c r="BC388" s="263"/>
      <c r="BD388" s="263"/>
      <c r="BE388" s="263"/>
      <c r="BF388" s="263"/>
      <c r="BG388" s="263"/>
      <c r="BH388" s="246"/>
      <c r="BI388" s="228" cm="1">
        <f t="array" ref="BI388">INDEX(Use, $AH388, 4)</f>
        <v>7</v>
      </c>
      <c r="BJ388" s="228">
        <f t="shared" si="598"/>
        <v>32</v>
      </c>
      <c r="BK388" s="228">
        <f t="shared" si="586"/>
        <v>13</v>
      </c>
      <c r="BL388" s="228">
        <f t="shared" si="587"/>
        <v>0</v>
      </c>
      <c r="BM388" s="233" cm="1">
        <f t="array" ref="BM388">L388/IF($M388&gt;0, INDEX($AY$22:$BE$76, $M388+20, $AH388), 1)</f>
        <v>0</v>
      </c>
      <c r="BN388" s="229">
        <f t="shared" si="599"/>
        <v>0</v>
      </c>
      <c r="BO388" s="228">
        <v>35</v>
      </c>
      <c r="BP388" s="229">
        <f t="shared" si="600"/>
        <v>48</v>
      </c>
      <c r="BQ388" s="234">
        <f t="shared" si="601"/>
        <v>3.0748170731707316</v>
      </c>
      <c r="BR388" s="234" cm="1">
        <f t="array" ref="BR388">$BM388 * SUMPRODUCT(INDEX($AV$76:$AX$81,,$AI388),INDEX($AY$76:$BE$81,,$AH388), N($AU$76:$AU$81&gt;$AM388)) / BQ388 / 1000</f>
        <v>0</v>
      </c>
      <c r="BS388" s="231">
        <f t="shared" si="588"/>
        <v>30</v>
      </c>
      <c r="BT388" s="229">
        <f t="shared" si="602"/>
        <v>43</v>
      </c>
      <c r="BU388" s="234">
        <f t="shared" si="603"/>
        <v>3.5018750000000001</v>
      </c>
      <c r="BV388" s="234" cm="1">
        <f t="array" ref="BV388">$BM388 * IF($AH388&lt;=2,
SUMPRODUCT(INDEX($AV$71:$AX$75,,$AI388), INDEX($AY$71:$BE$75,,$AH388), 1 / ($BF$71:$BF$75*BU388 + (1-$BF$71:$BF$75)*BQ388), N($AU$71:$AU$75&gt;$AM388)),
SUMPRODUCT(INDEX($AV$66:$AX$75,,$AI388), INDEX($AY$66:$BE$75,,$AH388), 1 / ($BG$66:$BG$75*BU388 + (1-$BG$66:$BG$75)*BQ388), N($AU$66:$AU$75&gt;$AM388))
) / 1000</f>
        <v>0</v>
      </c>
      <c r="BW388" s="231">
        <f t="shared" si="589"/>
        <v>25</v>
      </c>
      <c r="BX388" s="229">
        <f t="shared" si="604"/>
        <v>38</v>
      </c>
      <c r="BY388" s="234">
        <f t="shared" si="605"/>
        <v>4.0666935483870965</v>
      </c>
      <c r="BZ388" s="234" cm="1">
        <f t="array" ref="BZ388">$BM388 * IF($AH388&lt;=2,
SUMPRODUCT(INDEX($AV$66:$AX$70,,$AI388), INDEX($AY$66:$BE$70,,$AH388), 1 / ($BF$66:$BF$70*BY388 + (1-$BF$66:$BF$70)*BU388), N($AU$66:$AU$70&gt;$AM388)),
SUMPRODUCT(INDEX($AV$56:$AX$65,,$AI388), INDEX($AY$56:$BE$65,,$AH388), 1 / ($BG$56:$BG$65*BY388 + (1-$BG$56:$BG$65)*BU388), N($AU$56:$AU$65&gt;$AM388))
) / 1000</f>
        <v>0</v>
      </c>
      <c r="CA388" s="231">
        <f t="shared" si="590"/>
        <v>20</v>
      </c>
      <c r="CB388" s="229">
        <f t="shared" si="606"/>
        <v>33</v>
      </c>
      <c r="CC388" s="234">
        <f t="shared" si="607"/>
        <v>4.8487499999999999</v>
      </c>
      <c r="CD388" s="234" cm="1">
        <f t="array" ref="CD388">$BM388 * IF($AH388&lt;=2,
SUMPRODUCT(INDEX($AV$61:$AX$65,,$AI388), INDEX($AY$61:$BE$65,,$AH388), 1 / ($BF$61:$BF$65*CC388 + (1-$BF$61:$BF$65)*BY388), N($AU$61:$AU$65&gt;$AM388)),
SUMPRODUCT(INDEX($AV$46:$AX$55,,$AI388), INDEX($AY$46:$BE$55,,$AH388), 1 / ($BG$46:$BG$55*CC388 + (1-$BG$46:$BG$55)*BY388), N($AU$46:$AU$55&gt;$AM388))
) / 1000</f>
        <v>0</v>
      </c>
      <c r="CE388" s="234" cm="1">
        <f t="array" ref="CE388">$BM388 * IF($AH388&lt;=2,
SUMPRODUCT(INDEX($AV$22:$AX$60,,$AI388), INDEX($AY$22:$BE$60,,$AH388), 1 / ($BF$22:$BF$60*CC388), N($AU$22:$AU$60&gt;$AM388)),
SUMPRODUCT(INDEX($AV$22:$AX$45,,$AI388), INDEX($AY$22:$BE$45,,$AH388), 1 / ($BG$22:$BG$45*CC388), N($AU$22:$AU$45&gt;$AM388))
) / 1000</f>
        <v>0</v>
      </c>
      <c r="CF388" s="229">
        <f t="shared" si="608"/>
        <v>0</v>
      </c>
      <c r="CG388" s="246"/>
      <c r="CH388" s="229">
        <f t="shared" si="609"/>
        <v>0</v>
      </c>
      <c r="CI388" s="228">
        <v>35</v>
      </c>
      <c r="CJ388" s="229">
        <f t="shared" si="610"/>
        <v>48</v>
      </c>
      <c r="CK388" s="234">
        <f t="shared" si="611"/>
        <v>3.0748170731707316</v>
      </c>
      <c r="CL388" s="234" cm="1">
        <f t="array" ref="CL388">$BM388 * SUMPRODUCT(INDEX($AV$76:$AX$81,,$AI388),INDEX($AY$76:$BE$81,,$AH388), N($AU$76:$AU$81&gt;$AM388)) / CK388 / 1000</f>
        <v>0</v>
      </c>
      <c r="CM388" s="231">
        <f t="shared" si="591"/>
        <v>30</v>
      </c>
      <c r="CN388" s="229">
        <f t="shared" si="612"/>
        <v>43</v>
      </c>
      <c r="CO388" s="234">
        <f t="shared" si="613"/>
        <v>3.5018750000000001</v>
      </c>
      <c r="CP388" s="234" cm="1">
        <f t="array" ref="CP388">$BM388 * IF($AH388&lt;=2,
SUMPRODUCT(INDEX($AV$71:$AX$75,,$AI388), INDEX($AY$71:$BE$75,,$AH388), 1 / ($BF$71:$BF$75*CO388 + (1-$BF$71:$BF$75)*CK388), N($AU$71:$AU$75&gt;$AM388)),
SUMPRODUCT(INDEX($AV$66:$AX$75,,$AI388), INDEX($AY$66:$BE$75,,$AH388), 1 / ($BG$66:$BG$75*CO388 + (1-$BG$66:$BG$75)*CK388), N($AU$66:$AU$75&gt;$AM388))
) / 1000</f>
        <v>0</v>
      </c>
      <c r="CQ388" s="231">
        <f t="shared" si="592"/>
        <v>25</v>
      </c>
      <c r="CR388" s="229">
        <f t="shared" si="614"/>
        <v>38</v>
      </c>
      <c r="CS388" s="234">
        <f t="shared" si="615"/>
        <v>4.0666935483870965</v>
      </c>
      <c r="CT388" s="234" cm="1">
        <f t="array" ref="CT388">$BM388 * IF($AH388&lt;=2,
SUMPRODUCT(INDEX($AV$66:$AX$70,,$AI388), INDEX($AY$66:$BE$70,,$AH388), 1 / ($BF$66:$BF$70*CS388 + (1-$BF$66:$BF$70)*CO388), N($AU$66:$AU$70&gt;$AM388)),
SUMPRODUCT(INDEX($AV$56:$AX$65,,$AI388), INDEX($AY$56:$BE$65,,$AH388), 1 / ($BG$56:$BG$65*CS388 + (1-$BG$56:$BG$65)*CO388), N($AU$56:$AU$65&gt;$AM388))
) / 1000</f>
        <v>0</v>
      </c>
      <c r="CU388" s="231">
        <f t="shared" si="593"/>
        <v>20</v>
      </c>
      <c r="CV388" s="229">
        <f t="shared" si="616"/>
        <v>33</v>
      </c>
      <c r="CW388" s="234">
        <f t="shared" si="617"/>
        <v>4.8487499999999999</v>
      </c>
      <c r="CX388" s="234" cm="1">
        <f t="array" ref="CX388">$BM388 * IF($AH388&lt;=2,
SUMPRODUCT(INDEX($AV$61:$AX$65,,$AI388), INDEX($AY$61:$BE$65,,$AH388), 1 / ($BF$61:$BF$65*CW388 + (1-$BF$61:$BF$65)*CS388), N($AU$61:$AU$65&gt;$AM388)),
SUMPRODUCT(INDEX($AV$46:$AX$55,,$AI388), INDEX($AY$46:$BE$55,,$AH388), 1 / ($BG$46:$BG$55*CW388 + (1-$BG$46:$BG$55)*CS388), N($AU$46:$AU$55&gt;$AM388))
) / 1000</f>
        <v>0</v>
      </c>
      <c r="CY388" s="234" cm="1">
        <f t="array" ref="CY388">$BM388 * IF($AH388&lt;=2,
SUMPRODUCT(INDEX($AV$22:$AX$60,,$AI388), INDEX($AY$22:$BE$60,,$AH388), 1 / ($BF$22:$BF$60*CW388), N($AU$22:$AU$60&gt;$AM388)),
SUMPRODUCT(INDEX($AV$22:$AX$45,,$AI388), INDEX($AY$22:$BE$45,,$AH388), 1 / ($BG$22:$BG$45*CW388), N($AU$22:$AU$45&gt;$AM388))
) / 1000</f>
        <v>0</v>
      </c>
      <c r="CZ388" s="229">
        <f t="shared" si="618"/>
        <v>0</v>
      </c>
      <c r="DA388" s="246"/>
    </row>
    <row r="389" spans="1:105" s="75" customFormat="1" ht="14.25" customHeight="1" x14ac:dyDescent="0.2">
      <c r="A389" s="230" t="b">
        <f t="shared" si="585"/>
        <v>0</v>
      </c>
      <c r="B389" s="253">
        <v>368</v>
      </c>
      <c r="C389" s="266"/>
      <c r="D389" s="266"/>
      <c r="E389" s="254"/>
      <c r="F389" s="255" t="str">
        <f>IF(ISBLANK(E389), "", VLOOKUP(E389, Z!$A$2:$C$4127, 3, FALSE))</f>
        <v/>
      </c>
      <c r="G389" s="256"/>
      <c r="H389" s="256"/>
      <c r="I389" s="256"/>
      <c r="J389" s="257"/>
      <c r="K389" s="258"/>
      <c r="L389" s="267"/>
      <c r="M389" s="268"/>
      <c r="N389" s="259" t="str" cm="1">
        <f t="array" ref="N389">IF($L389&gt;0, INDEX(Clean,1+AK389,$D$1), "")</f>
        <v/>
      </c>
      <c r="O389" s="260"/>
      <c r="P389" s="260"/>
      <c r="Q389" s="261"/>
      <c r="R389" s="264">
        <f t="shared" si="594"/>
        <v>0</v>
      </c>
      <c r="S389" s="259" t="str" cm="1">
        <f t="array" ref="S389">IF($L389&gt;0, INDEX(Clean,1+AL389,$D$1), "")</f>
        <v/>
      </c>
      <c r="T389" s="260"/>
      <c r="U389" s="260"/>
      <c r="V389" s="261"/>
      <c r="W389" s="267"/>
      <c r="X389" s="267"/>
      <c r="Y389" s="257"/>
      <c r="Z389" s="264">
        <f t="shared" si="595"/>
        <v>0</v>
      </c>
      <c r="AA389" s="269"/>
      <c r="AB389" s="266"/>
      <c r="AC389" s="254"/>
      <c r="AD389" s="255" t="str">
        <f>IF(ISBLANK(AC389), "", VLOOKUP(AC389, Z!$A$2:$C$4127, 3, FALSE))</f>
        <v/>
      </c>
      <c r="AE389" s="270"/>
      <c r="AF389" s="265">
        <f t="shared" si="596"/>
        <v>0</v>
      </c>
      <c r="AG389" s="246"/>
      <c r="AH389" s="228">
        <f t="shared" si="619"/>
        <v>1</v>
      </c>
      <c r="AI389" s="228">
        <f t="shared" si="620"/>
        <v>1</v>
      </c>
      <c r="AJ389" s="228">
        <f t="shared" si="621"/>
        <v>0</v>
      </c>
      <c r="AK389" s="228">
        <v>0</v>
      </c>
      <c r="AL389" s="228">
        <v>0</v>
      </c>
      <c r="AM389" s="228">
        <f t="shared" si="597"/>
        <v>-100</v>
      </c>
      <c r="AN389" s="228" cm="1">
        <f t="array" ref="AN389">IF(ISBLANK(G389), 1, IFERROR(MATCH(G389, INDEX(Kat,,1), 0), IFERROR(MATCH(Kat, INDEX(Use,,2), 0), MATCH(Kat, INDEX(Use,,3), 0))))</f>
        <v>1</v>
      </c>
      <c r="AO389" s="246"/>
      <c r="AP389" s="228" cm="1">
        <f t="array" ref="AP389">IF(W389&gt;0, INDEX(Kat, AN389,4), 0)</f>
        <v>0</v>
      </c>
      <c r="AQ389" s="228">
        <f t="shared" si="622"/>
        <v>0</v>
      </c>
      <c r="AR389" s="228" cm="1">
        <f t="array" ref="AR389">IF(X389&gt;0, INDEX(Kat, $AN389, 4+AQ389), 0)</f>
        <v>0</v>
      </c>
      <c r="AS389" s="228" cm="1">
        <f t="array" ref="AS389">IF(X389&gt;0, INDEX(Kat, $AN389, 9+AQ389), 0)</f>
        <v>0</v>
      </c>
      <c r="AT389" s="246"/>
      <c r="AU389" s="262"/>
      <c r="AV389" s="262"/>
      <c r="AW389" s="263"/>
      <c r="AX389" s="263"/>
      <c r="AY389" s="263"/>
      <c r="AZ389" s="263"/>
      <c r="BA389" s="263"/>
      <c r="BB389" s="263"/>
      <c r="BC389" s="263"/>
      <c r="BD389" s="263"/>
      <c r="BE389" s="263"/>
      <c r="BF389" s="263"/>
      <c r="BG389" s="263"/>
      <c r="BH389" s="246"/>
      <c r="BI389" s="228" cm="1">
        <f t="array" ref="BI389">INDEX(Use, $AH389, 4)</f>
        <v>7</v>
      </c>
      <c r="BJ389" s="228">
        <f t="shared" si="598"/>
        <v>32</v>
      </c>
      <c r="BK389" s="228">
        <f t="shared" si="586"/>
        <v>13</v>
      </c>
      <c r="BL389" s="228">
        <f t="shared" si="587"/>
        <v>0</v>
      </c>
      <c r="BM389" s="233" cm="1">
        <f t="array" ref="BM389">L389/IF($M389&gt;0, INDEX($AY$22:$BE$76, $M389+20, $AH389), 1)</f>
        <v>0</v>
      </c>
      <c r="BN389" s="229">
        <f t="shared" si="599"/>
        <v>0</v>
      </c>
      <c r="BO389" s="228">
        <v>35</v>
      </c>
      <c r="BP389" s="229">
        <f t="shared" si="600"/>
        <v>48</v>
      </c>
      <c r="BQ389" s="234">
        <f t="shared" si="601"/>
        <v>3.0748170731707316</v>
      </c>
      <c r="BR389" s="234" cm="1">
        <f t="array" ref="BR389">$BM389 * SUMPRODUCT(INDEX($AV$76:$AX$81,,$AI389),INDEX($AY$76:$BE$81,,$AH389), N($AU$76:$AU$81&gt;$AM389)) / BQ389 / 1000</f>
        <v>0</v>
      </c>
      <c r="BS389" s="231">
        <f t="shared" si="588"/>
        <v>30</v>
      </c>
      <c r="BT389" s="229">
        <f t="shared" si="602"/>
        <v>43</v>
      </c>
      <c r="BU389" s="234">
        <f t="shared" si="603"/>
        <v>3.5018750000000001</v>
      </c>
      <c r="BV389" s="234" cm="1">
        <f t="array" ref="BV389">$BM389 * IF($AH389&lt;=2,
SUMPRODUCT(INDEX($AV$71:$AX$75,,$AI389), INDEX($AY$71:$BE$75,,$AH389), 1 / ($BF$71:$BF$75*BU389 + (1-$BF$71:$BF$75)*BQ389), N($AU$71:$AU$75&gt;$AM389)),
SUMPRODUCT(INDEX($AV$66:$AX$75,,$AI389), INDEX($AY$66:$BE$75,,$AH389), 1 / ($BG$66:$BG$75*BU389 + (1-$BG$66:$BG$75)*BQ389), N($AU$66:$AU$75&gt;$AM389))
) / 1000</f>
        <v>0</v>
      </c>
      <c r="BW389" s="231">
        <f t="shared" si="589"/>
        <v>25</v>
      </c>
      <c r="BX389" s="229">
        <f t="shared" si="604"/>
        <v>38</v>
      </c>
      <c r="BY389" s="234">
        <f t="shared" si="605"/>
        <v>4.0666935483870965</v>
      </c>
      <c r="BZ389" s="234" cm="1">
        <f t="array" ref="BZ389">$BM389 * IF($AH389&lt;=2,
SUMPRODUCT(INDEX($AV$66:$AX$70,,$AI389), INDEX($AY$66:$BE$70,,$AH389), 1 / ($BF$66:$BF$70*BY389 + (1-$BF$66:$BF$70)*BU389), N($AU$66:$AU$70&gt;$AM389)),
SUMPRODUCT(INDEX($AV$56:$AX$65,,$AI389), INDEX($AY$56:$BE$65,,$AH389), 1 / ($BG$56:$BG$65*BY389 + (1-$BG$56:$BG$65)*BU389), N($AU$56:$AU$65&gt;$AM389))
) / 1000</f>
        <v>0</v>
      </c>
      <c r="CA389" s="231">
        <f t="shared" si="590"/>
        <v>20</v>
      </c>
      <c r="CB389" s="229">
        <f t="shared" si="606"/>
        <v>33</v>
      </c>
      <c r="CC389" s="234">
        <f t="shared" si="607"/>
        <v>4.8487499999999999</v>
      </c>
      <c r="CD389" s="234" cm="1">
        <f t="array" ref="CD389">$BM389 * IF($AH389&lt;=2,
SUMPRODUCT(INDEX($AV$61:$AX$65,,$AI389), INDEX($AY$61:$BE$65,,$AH389), 1 / ($BF$61:$BF$65*CC389 + (1-$BF$61:$BF$65)*BY389), N($AU$61:$AU$65&gt;$AM389)),
SUMPRODUCT(INDEX($AV$46:$AX$55,,$AI389), INDEX($AY$46:$BE$55,,$AH389), 1 / ($BG$46:$BG$55*CC389 + (1-$BG$46:$BG$55)*BY389), N($AU$46:$AU$55&gt;$AM389))
) / 1000</f>
        <v>0</v>
      </c>
      <c r="CE389" s="234" cm="1">
        <f t="array" ref="CE389">$BM389 * IF($AH389&lt;=2,
SUMPRODUCT(INDEX($AV$22:$AX$60,,$AI389), INDEX($AY$22:$BE$60,,$AH389), 1 / ($BF$22:$BF$60*CC389), N($AU$22:$AU$60&gt;$AM389)),
SUMPRODUCT(INDEX($AV$22:$AX$45,,$AI389), INDEX($AY$22:$BE$45,,$AH389), 1 / ($BG$22:$BG$45*CC389), N($AU$22:$AU$45&gt;$AM389))
) / 1000</f>
        <v>0</v>
      </c>
      <c r="CF389" s="229">
        <f t="shared" si="608"/>
        <v>0</v>
      </c>
      <c r="CG389" s="246"/>
      <c r="CH389" s="229">
        <f t="shared" si="609"/>
        <v>0</v>
      </c>
      <c r="CI389" s="228">
        <v>35</v>
      </c>
      <c r="CJ389" s="229">
        <f t="shared" si="610"/>
        <v>48</v>
      </c>
      <c r="CK389" s="234">
        <f t="shared" si="611"/>
        <v>3.0748170731707316</v>
      </c>
      <c r="CL389" s="234" cm="1">
        <f t="array" ref="CL389">$BM389 * SUMPRODUCT(INDEX($AV$76:$AX$81,,$AI389),INDEX($AY$76:$BE$81,,$AH389), N($AU$76:$AU$81&gt;$AM389)) / CK389 / 1000</f>
        <v>0</v>
      </c>
      <c r="CM389" s="231">
        <f t="shared" si="591"/>
        <v>30</v>
      </c>
      <c r="CN389" s="229">
        <f t="shared" si="612"/>
        <v>43</v>
      </c>
      <c r="CO389" s="234">
        <f t="shared" si="613"/>
        <v>3.5018750000000001</v>
      </c>
      <c r="CP389" s="234" cm="1">
        <f t="array" ref="CP389">$BM389 * IF($AH389&lt;=2,
SUMPRODUCT(INDEX($AV$71:$AX$75,,$AI389), INDEX($AY$71:$BE$75,,$AH389), 1 / ($BF$71:$BF$75*CO389 + (1-$BF$71:$BF$75)*CK389), N($AU$71:$AU$75&gt;$AM389)),
SUMPRODUCT(INDEX($AV$66:$AX$75,,$AI389), INDEX($AY$66:$BE$75,,$AH389), 1 / ($BG$66:$BG$75*CO389 + (1-$BG$66:$BG$75)*CK389), N($AU$66:$AU$75&gt;$AM389))
) / 1000</f>
        <v>0</v>
      </c>
      <c r="CQ389" s="231">
        <f t="shared" si="592"/>
        <v>25</v>
      </c>
      <c r="CR389" s="229">
        <f t="shared" si="614"/>
        <v>38</v>
      </c>
      <c r="CS389" s="234">
        <f t="shared" si="615"/>
        <v>4.0666935483870965</v>
      </c>
      <c r="CT389" s="234" cm="1">
        <f t="array" ref="CT389">$BM389 * IF($AH389&lt;=2,
SUMPRODUCT(INDEX($AV$66:$AX$70,,$AI389), INDEX($AY$66:$BE$70,,$AH389), 1 / ($BF$66:$BF$70*CS389 + (1-$BF$66:$BF$70)*CO389), N($AU$66:$AU$70&gt;$AM389)),
SUMPRODUCT(INDEX($AV$56:$AX$65,,$AI389), INDEX($AY$56:$BE$65,,$AH389), 1 / ($BG$56:$BG$65*CS389 + (1-$BG$56:$BG$65)*CO389), N($AU$56:$AU$65&gt;$AM389))
) / 1000</f>
        <v>0</v>
      </c>
      <c r="CU389" s="231">
        <f t="shared" si="593"/>
        <v>20</v>
      </c>
      <c r="CV389" s="229">
        <f t="shared" si="616"/>
        <v>33</v>
      </c>
      <c r="CW389" s="234">
        <f t="shared" si="617"/>
        <v>4.8487499999999999</v>
      </c>
      <c r="CX389" s="234" cm="1">
        <f t="array" ref="CX389">$BM389 * IF($AH389&lt;=2,
SUMPRODUCT(INDEX($AV$61:$AX$65,,$AI389), INDEX($AY$61:$BE$65,,$AH389), 1 / ($BF$61:$BF$65*CW389 + (1-$BF$61:$BF$65)*CS389), N($AU$61:$AU$65&gt;$AM389)),
SUMPRODUCT(INDEX($AV$46:$AX$55,,$AI389), INDEX($AY$46:$BE$55,,$AH389), 1 / ($BG$46:$BG$55*CW389 + (1-$BG$46:$BG$55)*CS389), N($AU$46:$AU$55&gt;$AM389))
) / 1000</f>
        <v>0</v>
      </c>
      <c r="CY389" s="234" cm="1">
        <f t="array" ref="CY389">$BM389 * IF($AH389&lt;=2,
SUMPRODUCT(INDEX($AV$22:$AX$60,,$AI389), INDEX($AY$22:$BE$60,,$AH389), 1 / ($BF$22:$BF$60*CW389), N($AU$22:$AU$60&gt;$AM389)),
SUMPRODUCT(INDEX($AV$22:$AX$45,,$AI389), INDEX($AY$22:$BE$45,,$AH389), 1 / ($BG$22:$BG$45*CW389), N($AU$22:$AU$45&gt;$AM389))
) / 1000</f>
        <v>0</v>
      </c>
      <c r="CZ389" s="229">
        <f t="shared" si="618"/>
        <v>0</v>
      </c>
      <c r="DA389" s="246"/>
    </row>
    <row r="390" spans="1:105" s="75" customFormat="1" ht="14.25" customHeight="1" x14ac:dyDescent="0.2">
      <c r="A390" s="230" t="b">
        <f t="shared" si="585"/>
        <v>0</v>
      </c>
      <c r="B390" s="253">
        <v>369</v>
      </c>
      <c r="C390" s="266"/>
      <c r="D390" s="266"/>
      <c r="E390" s="254"/>
      <c r="F390" s="255" t="str">
        <f>IF(ISBLANK(E390), "", VLOOKUP(E390, Z!$A$2:$C$4127, 3, FALSE))</f>
        <v/>
      </c>
      <c r="G390" s="256"/>
      <c r="H390" s="256"/>
      <c r="I390" s="256"/>
      <c r="J390" s="257"/>
      <c r="K390" s="258"/>
      <c r="L390" s="267"/>
      <c r="M390" s="268"/>
      <c r="N390" s="259" t="str" cm="1">
        <f t="array" ref="N390">IF($L390&gt;0, INDEX(Clean,1+AK390,$D$1), "")</f>
        <v/>
      </c>
      <c r="O390" s="260"/>
      <c r="P390" s="260"/>
      <c r="Q390" s="261"/>
      <c r="R390" s="264">
        <f t="shared" si="594"/>
        <v>0</v>
      </c>
      <c r="S390" s="259" t="str" cm="1">
        <f t="array" ref="S390">IF($L390&gt;0, INDEX(Clean,1+AL390,$D$1), "")</f>
        <v/>
      </c>
      <c r="T390" s="260"/>
      <c r="U390" s="260"/>
      <c r="V390" s="261"/>
      <c r="W390" s="267"/>
      <c r="X390" s="267"/>
      <c r="Y390" s="257"/>
      <c r="Z390" s="264">
        <f t="shared" si="595"/>
        <v>0</v>
      </c>
      <c r="AA390" s="269"/>
      <c r="AB390" s="266"/>
      <c r="AC390" s="254"/>
      <c r="AD390" s="255" t="str">
        <f>IF(ISBLANK(AC390), "", VLOOKUP(AC390, Z!$A$2:$C$4127, 3, FALSE))</f>
        <v/>
      </c>
      <c r="AE390" s="270"/>
      <c r="AF390" s="265">
        <f t="shared" si="596"/>
        <v>0</v>
      </c>
      <c r="AG390" s="246"/>
      <c r="AH390" s="228">
        <f t="shared" si="619"/>
        <v>1</v>
      </c>
      <c r="AI390" s="228">
        <f t="shared" si="620"/>
        <v>1</v>
      </c>
      <c r="AJ390" s="228">
        <f t="shared" si="621"/>
        <v>0</v>
      </c>
      <c r="AK390" s="228">
        <v>0</v>
      </c>
      <c r="AL390" s="228">
        <v>0</v>
      </c>
      <c r="AM390" s="228">
        <f t="shared" si="597"/>
        <v>-100</v>
      </c>
      <c r="AN390" s="228" cm="1">
        <f t="array" ref="AN390">IF(ISBLANK(G390), 1, IFERROR(MATCH(G390, INDEX(Kat,,1), 0), IFERROR(MATCH(Kat, INDEX(Use,,2), 0), MATCH(Kat, INDEX(Use,,3), 0))))</f>
        <v>1</v>
      </c>
      <c r="AO390" s="246"/>
      <c r="AP390" s="228" cm="1">
        <f t="array" ref="AP390">IF(W390&gt;0, INDEX(Kat, AN390,4), 0)</f>
        <v>0</v>
      </c>
      <c r="AQ390" s="228">
        <f t="shared" si="622"/>
        <v>0</v>
      </c>
      <c r="AR390" s="228" cm="1">
        <f t="array" ref="AR390">IF(X390&gt;0, INDEX(Kat, $AN390, 4+AQ390), 0)</f>
        <v>0</v>
      </c>
      <c r="AS390" s="228" cm="1">
        <f t="array" ref="AS390">IF(X390&gt;0, INDEX(Kat, $AN390, 9+AQ390), 0)</f>
        <v>0</v>
      </c>
      <c r="AT390" s="246"/>
      <c r="AU390" s="262"/>
      <c r="AV390" s="262"/>
      <c r="AW390" s="263"/>
      <c r="AX390" s="263"/>
      <c r="AY390" s="263"/>
      <c r="AZ390" s="263"/>
      <c r="BA390" s="263"/>
      <c r="BB390" s="263"/>
      <c r="BC390" s="263"/>
      <c r="BD390" s="263"/>
      <c r="BE390" s="263"/>
      <c r="BF390" s="263"/>
      <c r="BG390" s="263"/>
      <c r="BH390" s="246"/>
      <c r="BI390" s="228" cm="1">
        <f t="array" ref="BI390">INDEX(Use, $AH390, 4)</f>
        <v>7</v>
      </c>
      <c r="BJ390" s="228">
        <f t="shared" si="598"/>
        <v>32</v>
      </c>
      <c r="BK390" s="228">
        <f t="shared" si="586"/>
        <v>13</v>
      </c>
      <c r="BL390" s="228">
        <f t="shared" si="587"/>
        <v>0</v>
      </c>
      <c r="BM390" s="233" cm="1">
        <f t="array" ref="BM390">L390/IF($M390&gt;0, INDEX($AY$22:$BE$76, $M390+20, $AH390), 1)</f>
        <v>0</v>
      </c>
      <c r="BN390" s="229">
        <f t="shared" si="599"/>
        <v>0</v>
      </c>
      <c r="BO390" s="228">
        <v>35</v>
      </c>
      <c r="BP390" s="229">
        <f t="shared" si="600"/>
        <v>48</v>
      </c>
      <c r="BQ390" s="234">
        <f t="shared" si="601"/>
        <v>3.0748170731707316</v>
      </c>
      <c r="BR390" s="234" cm="1">
        <f t="array" ref="BR390">$BM390 * SUMPRODUCT(INDEX($AV$76:$AX$81,,$AI390),INDEX($AY$76:$BE$81,,$AH390), N($AU$76:$AU$81&gt;$AM390)) / BQ390 / 1000</f>
        <v>0</v>
      </c>
      <c r="BS390" s="231">
        <f t="shared" si="588"/>
        <v>30</v>
      </c>
      <c r="BT390" s="229">
        <f t="shared" si="602"/>
        <v>43</v>
      </c>
      <c r="BU390" s="234">
        <f t="shared" si="603"/>
        <v>3.5018750000000001</v>
      </c>
      <c r="BV390" s="234" cm="1">
        <f t="array" ref="BV390">$BM390 * IF($AH390&lt;=2,
SUMPRODUCT(INDEX($AV$71:$AX$75,,$AI390), INDEX($AY$71:$BE$75,,$AH390), 1 / ($BF$71:$BF$75*BU390 + (1-$BF$71:$BF$75)*BQ390), N($AU$71:$AU$75&gt;$AM390)),
SUMPRODUCT(INDEX($AV$66:$AX$75,,$AI390), INDEX($AY$66:$BE$75,,$AH390), 1 / ($BG$66:$BG$75*BU390 + (1-$BG$66:$BG$75)*BQ390), N($AU$66:$AU$75&gt;$AM390))
) / 1000</f>
        <v>0</v>
      </c>
      <c r="BW390" s="231">
        <f t="shared" si="589"/>
        <v>25</v>
      </c>
      <c r="BX390" s="229">
        <f t="shared" si="604"/>
        <v>38</v>
      </c>
      <c r="BY390" s="234">
        <f t="shared" si="605"/>
        <v>4.0666935483870965</v>
      </c>
      <c r="BZ390" s="234" cm="1">
        <f t="array" ref="BZ390">$BM390 * IF($AH390&lt;=2,
SUMPRODUCT(INDEX($AV$66:$AX$70,,$AI390), INDEX($AY$66:$BE$70,,$AH390), 1 / ($BF$66:$BF$70*BY390 + (1-$BF$66:$BF$70)*BU390), N($AU$66:$AU$70&gt;$AM390)),
SUMPRODUCT(INDEX($AV$56:$AX$65,,$AI390), INDEX($AY$56:$BE$65,,$AH390), 1 / ($BG$56:$BG$65*BY390 + (1-$BG$56:$BG$65)*BU390), N($AU$56:$AU$65&gt;$AM390))
) / 1000</f>
        <v>0</v>
      </c>
      <c r="CA390" s="231">
        <f t="shared" si="590"/>
        <v>20</v>
      </c>
      <c r="CB390" s="229">
        <f t="shared" si="606"/>
        <v>33</v>
      </c>
      <c r="CC390" s="234">
        <f t="shared" si="607"/>
        <v>4.8487499999999999</v>
      </c>
      <c r="CD390" s="234" cm="1">
        <f t="array" ref="CD390">$BM390 * IF($AH390&lt;=2,
SUMPRODUCT(INDEX($AV$61:$AX$65,,$AI390), INDEX($AY$61:$BE$65,,$AH390), 1 / ($BF$61:$BF$65*CC390 + (1-$BF$61:$BF$65)*BY390), N($AU$61:$AU$65&gt;$AM390)),
SUMPRODUCT(INDEX($AV$46:$AX$55,,$AI390), INDEX($AY$46:$BE$55,,$AH390), 1 / ($BG$46:$BG$55*CC390 + (1-$BG$46:$BG$55)*BY390), N($AU$46:$AU$55&gt;$AM390))
) / 1000</f>
        <v>0</v>
      </c>
      <c r="CE390" s="234" cm="1">
        <f t="array" ref="CE390">$BM390 * IF($AH390&lt;=2,
SUMPRODUCT(INDEX($AV$22:$AX$60,,$AI390), INDEX($AY$22:$BE$60,,$AH390), 1 / ($BF$22:$BF$60*CC390), N($AU$22:$AU$60&gt;$AM390)),
SUMPRODUCT(INDEX($AV$22:$AX$45,,$AI390), INDEX($AY$22:$BE$45,,$AH390), 1 / ($BG$22:$BG$45*CC390), N($AU$22:$AU$45&gt;$AM390))
) / 1000</f>
        <v>0</v>
      </c>
      <c r="CF390" s="229">
        <f t="shared" si="608"/>
        <v>0</v>
      </c>
      <c r="CG390" s="246"/>
      <c r="CH390" s="229">
        <f t="shared" si="609"/>
        <v>0</v>
      </c>
      <c r="CI390" s="228">
        <v>35</v>
      </c>
      <c r="CJ390" s="229">
        <f t="shared" si="610"/>
        <v>48</v>
      </c>
      <c r="CK390" s="234">
        <f t="shared" si="611"/>
        <v>3.0748170731707316</v>
      </c>
      <c r="CL390" s="234" cm="1">
        <f t="array" ref="CL390">$BM390 * SUMPRODUCT(INDEX($AV$76:$AX$81,,$AI390),INDEX($AY$76:$BE$81,,$AH390), N($AU$76:$AU$81&gt;$AM390)) / CK390 / 1000</f>
        <v>0</v>
      </c>
      <c r="CM390" s="231">
        <f t="shared" si="591"/>
        <v>30</v>
      </c>
      <c r="CN390" s="229">
        <f t="shared" si="612"/>
        <v>43</v>
      </c>
      <c r="CO390" s="234">
        <f t="shared" si="613"/>
        <v>3.5018750000000001</v>
      </c>
      <c r="CP390" s="234" cm="1">
        <f t="array" ref="CP390">$BM390 * IF($AH390&lt;=2,
SUMPRODUCT(INDEX($AV$71:$AX$75,,$AI390), INDEX($AY$71:$BE$75,,$AH390), 1 / ($BF$71:$BF$75*CO390 + (1-$BF$71:$BF$75)*CK390), N($AU$71:$AU$75&gt;$AM390)),
SUMPRODUCT(INDEX($AV$66:$AX$75,,$AI390), INDEX($AY$66:$BE$75,,$AH390), 1 / ($BG$66:$BG$75*CO390 + (1-$BG$66:$BG$75)*CK390), N($AU$66:$AU$75&gt;$AM390))
) / 1000</f>
        <v>0</v>
      </c>
      <c r="CQ390" s="231">
        <f t="shared" si="592"/>
        <v>25</v>
      </c>
      <c r="CR390" s="229">
        <f t="shared" si="614"/>
        <v>38</v>
      </c>
      <c r="CS390" s="234">
        <f t="shared" si="615"/>
        <v>4.0666935483870965</v>
      </c>
      <c r="CT390" s="234" cm="1">
        <f t="array" ref="CT390">$BM390 * IF($AH390&lt;=2,
SUMPRODUCT(INDEX($AV$66:$AX$70,,$AI390), INDEX($AY$66:$BE$70,,$AH390), 1 / ($BF$66:$BF$70*CS390 + (1-$BF$66:$BF$70)*CO390), N($AU$66:$AU$70&gt;$AM390)),
SUMPRODUCT(INDEX($AV$56:$AX$65,,$AI390), INDEX($AY$56:$BE$65,,$AH390), 1 / ($BG$56:$BG$65*CS390 + (1-$BG$56:$BG$65)*CO390), N($AU$56:$AU$65&gt;$AM390))
) / 1000</f>
        <v>0</v>
      </c>
      <c r="CU390" s="231">
        <f t="shared" si="593"/>
        <v>20</v>
      </c>
      <c r="CV390" s="229">
        <f t="shared" si="616"/>
        <v>33</v>
      </c>
      <c r="CW390" s="234">
        <f t="shared" si="617"/>
        <v>4.8487499999999999</v>
      </c>
      <c r="CX390" s="234" cm="1">
        <f t="array" ref="CX390">$BM390 * IF($AH390&lt;=2,
SUMPRODUCT(INDEX($AV$61:$AX$65,,$AI390), INDEX($AY$61:$BE$65,,$AH390), 1 / ($BF$61:$BF$65*CW390 + (1-$BF$61:$BF$65)*CS390), N($AU$61:$AU$65&gt;$AM390)),
SUMPRODUCT(INDEX($AV$46:$AX$55,,$AI390), INDEX($AY$46:$BE$55,,$AH390), 1 / ($BG$46:$BG$55*CW390 + (1-$BG$46:$BG$55)*CS390), N($AU$46:$AU$55&gt;$AM390))
) / 1000</f>
        <v>0</v>
      </c>
      <c r="CY390" s="234" cm="1">
        <f t="array" ref="CY390">$BM390 * IF($AH390&lt;=2,
SUMPRODUCT(INDEX($AV$22:$AX$60,,$AI390), INDEX($AY$22:$BE$60,,$AH390), 1 / ($BF$22:$BF$60*CW390), N($AU$22:$AU$60&gt;$AM390)),
SUMPRODUCT(INDEX($AV$22:$AX$45,,$AI390), INDEX($AY$22:$BE$45,,$AH390), 1 / ($BG$22:$BG$45*CW390), N($AU$22:$AU$45&gt;$AM390))
) / 1000</f>
        <v>0</v>
      </c>
      <c r="CZ390" s="229">
        <f t="shared" si="618"/>
        <v>0</v>
      </c>
      <c r="DA390" s="246"/>
    </row>
    <row r="391" spans="1:105" s="75" customFormat="1" ht="14.25" customHeight="1" x14ac:dyDescent="0.2">
      <c r="A391" s="230" t="b">
        <f t="shared" si="585"/>
        <v>0</v>
      </c>
      <c r="B391" s="253">
        <v>370</v>
      </c>
      <c r="C391" s="266"/>
      <c r="D391" s="266"/>
      <c r="E391" s="254"/>
      <c r="F391" s="255" t="str">
        <f>IF(ISBLANK(E391), "", VLOOKUP(E391, Z!$A$2:$C$4127, 3, FALSE))</f>
        <v/>
      </c>
      <c r="G391" s="256"/>
      <c r="H391" s="256"/>
      <c r="I391" s="256"/>
      <c r="J391" s="257"/>
      <c r="K391" s="258"/>
      <c r="L391" s="267"/>
      <c r="M391" s="268"/>
      <c r="N391" s="259" t="str" cm="1">
        <f t="array" ref="N391">IF($L391&gt;0, INDEX(Clean,1+AK391,$D$1), "")</f>
        <v/>
      </c>
      <c r="O391" s="260"/>
      <c r="P391" s="260"/>
      <c r="Q391" s="261"/>
      <c r="R391" s="264">
        <f t="shared" si="594"/>
        <v>0</v>
      </c>
      <c r="S391" s="259" t="str" cm="1">
        <f t="array" ref="S391">IF($L391&gt;0, INDEX(Clean,1+AL391,$D$1), "")</f>
        <v/>
      </c>
      <c r="T391" s="260"/>
      <c r="U391" s="260"/>
      <c r="V391" s="261"/>
      <c r="W391" s="267"/>
      <c r="X391" s="267"/>
      <c r="Y391" s="257"/>
      <c r="Z391" s="264">
        <f t="shared" si="595"/>
        <v>0</v>
      </c>
      <c r="AA391" s="269"/>
      <c r="AB391" s="266"/>
      <c r="AC391" s="254"/>
      <c r="AD391" s="255" t="str">
        <f>IF(ISBLANK(AC391), "", VLOOKUP(AC391, Z!$A$2:$C$4127, 3, FALSE))</f>
        <v/>
      </c>
      <c r="AE391" s="270"/>
      <c r="AF391" s="265">
        <f t="shared" si="596"/>
        <v>0</v>
      </c>
      <c r="AG391" s="246"/>
      <c r="AH391" s="228">
        <f t="shared" si="619"/>
        <v>1</v>
      </c>
      <c r="AI391" s="228">
        <f t="shared" si="620"/>
        <v>1</v>
      </c>
      <c r="AJ391" s="228">
        <f t="shared" si="621"/>
        <v>0</v>
      </c>
      <c r="AK391" s="228">
        <v>0</v>
      </c>
      <c r="AL391" s="228">
        <v>0</v>
      </c>
      <c r="AM391" s="228">
        <f t="shared" si="597"/>
        <v>-100</v>
      </c>
      <c r="AN391" s="228" cm="1">
        <f t="array" ref="AN391">IF(ISBLANK(G391), 1, IFERROR(MATCH(G391, INDEX(Kat,,1), 0), IFERROR(MATCH(Kat, INDEX(Use,,2), 0), MATCH(Kat, INDEX(Use,,3), 0))))</f>
        <v>1</v>
      </c>
      <c r="AO391" s="246"/>
      <c r="AP391" s="228" cm="1">
        <f t="array" ref="AP391">IF(W391&gt;0, INDEX(Kat, AN391,4), 0)</f>
        <v>0</v>
      </c>
      <c r="AQ391" s="228">
        <f t="shared" si="622"/>
        <v>0</v>
      </c>
      <c r="AR391" s="228" cm="1">
        <f t="array" ref="AR391">IF(X391&gt;0, INDEX(Kat, $AN391, 4+AQ391), 0)</f>
        <v>0</v>
      </c>
      <c r="AS391" s="228" cm="1">
        <f t="array" ref="AS391">IF(X391&gt;0, INDEX(Kat, $AN391, 9+AQ391), 0)</f>
        <v>0</v>
      </c>
      <c r="AT391" s="246"/>
      <c r="AU391" s="262"/>
      <c r="AV391" s="262"/>
      <c r="AW391" s="263"/>
      <c r="AX391" s="263"/>
      <c r="AY391" s="263"/>
      <c r="AZ391" s="263"/>
      <c r="BA391" s="263"/>
      <c r="BB391" s="263"/>
      <c r="BC391" s="263"/>
      <c r="BD391" s="263"/>
      <c r="BE391" s="263"/>
      <c r="BF391" s="263"/>
      <c r="BG391" s="263"/>
      <c r="BH391" s="246"/>
      <c r="BI391" s="228" cm="1">
        <f t="array" ref="BI391">INDEX(Use, $AH391, 4)</f>
        <v>7</v>
      </c>
      <c r="BJ391" s="228">
        <f t="shared" si="598"/>
        <v>32</v>
      </c>
      <c r="BK391" s="228">
        <f t="shared" si="586"/>
        <v>13</v>
      </c>
      <c r="BL391" s="228">
        <f t="shared" si="587"/>
        <v>0</v>
      </c>
      <c r="BM391" s="233" cm="1">
        <f t="array" ref="BM391">L391/IF($M391&gt;0, INDEX($AY$22:$BE$76, $M391+20, $AH391), 1)</f>
        <v>0</v>
      </c>
      <c r="BN391" s="229">
        <f t="shared" si="599"/>
        <v>0</v>
      </c>
      <c r="BO391" s="228">
        <v>35</v>
      </c>
      <c r="BP391" s="229">
        <f t="shared" si="600"/>
        <v>48</v>
      </c>
      <c r="BQ391" s="234">
        <f t="shared" si="601"/>
        <v>3.0748170731707316</v>
      </c>
      <c r="BR391" s="234" cm="1">
        <f t="array" ref="BR391">$BM391 * SUMPRODUCT(INDEX($AV$76:$AX$81,,$AI391),INDEX($AY$76:$BE$81,,$AH391), N($AU$76:$AU$81&gt;$AM391)) / BQ391 / 1000</f>
        <v>0</v>
      </c>
      <c r="BS391" s="231">
        <f t="shared" si="588"/>
        <v>30</v>
      </c>
      <c r="BT391" s="229">
        <f t="shared" si="602"/>
        <v>43</v>
      </c>
      <c r="BU391" s="234">
        <f t="shared" si="603"/>
        <v>3.5018750000000001</v>
      </c>
      <c r="BV391" s="234" cm="1">
        <f t="array" ref="BV391">$BM391 * IF($AH391&lt;=2,
SUMPRODUCT(INDEX($AV$71:$AX$75,,$AI391), INDEX($AY$71:$BE$75,,$AH391), 1 / ($BF$71:$BF$75*BU391 + (1-$BF$71:$BF$75)*BQ391), N($AU$71:$AU$75&gt;$AM391)),
SUMPRODUCT(INDEX($AV$66:$AX$75,,$AI391), INDEX($AY$66:$BE$75,,$AH391), 1 / ($BG$66:$BG$75*BU391 + (1-$BG$66:$BG$75)*BQ391), N($AU$66:$AU$75&gt;$AM391))
) / 1000</f>
        <v>0</v>
      </c>
      <c r="BW391" s="231">
        <f t="shared" si="589"/>
        <v>25</v>
      </c>
      <c r="BX391" s="229">
        <f t="shared" si="604"/>
        <v>38</v>
      </c>
      <c r="BY391" s="234">
        <f t="shared" si="605"/>
        <v>4.0666935483870965</v>
      </c>
      <c r="BZ391" s="234" cm="1">
        <f t="array" ref="BZ391">$BM391 * IF($AH391&lt;=2,
SUMPRODUCT(INDEX($AV$66:$AX$70,,$AI391), INDEX($AY$66:$BE$70,,$AH391), 1 / ($BF$66:$BF$70*BY391 + (1-$BF$66:$BF$70)*BU391), N($AU$66:$AU$70&gt;$AM391)),
SUMPRODUCT(INDEX($AV$56:$AX$65,,$AI391), INDEX($AY$56:$BE$65,,$AH391), 1 / ($BG$56:$BG$65*BY391 + (1-$BG$56:$BG$65)*BU391), N($AU$56:$AU$65&gt;$AM391))
) / 1000</f>
        <v>0</v>
      </c>
      <c r="CA391" s="231">
        <f t="shared" si="590"/>
        <v>20</v>
      </c>
      <c r="CB391" s="229">
        <f t="shared" si="606"/>
        <v>33</v>
      </c>
      <c r="CC391" s="234">
        <f t="shared" si="607"/>
        <v>4.8487499999999999</v>
      </c>
      <c r="CD391" s="234" cm="1">
        <f t="array" ref="CD391">$BM391 * IF($AH391&lt;=2,
SUMPRODUCT(INDEX($AV$61:$AX$65,,$AI391), INDEX($AY$61:$BE$65,,$AH391), 1 / ($BF$61:$BF$65*CC391 + (1-$BF$61:$BF$65)*BY391), N($AU$61:$AU$65&gt;$AM391)),
SUMPRODUCT(INDEX($AV$46:$AX$55,,$AI391), INDEX($AY$46:$BE$55,,$AH391), 1 / ($BG$46:$BG$55*CC391 + (1-$BG$46:$BG$55)*BY391), N($AU$46:$AU$55&gt;$AM391))
) / 1000</f>
        <v>0</v>
      </c>
      <c r="CE391" s="234" cm="1">
        <f t="array" ref="CE391">$BM391 * IF($AH391&lt;=2,
SUMPRODUCT(INDEX($AV$22:$AX$60,,$AI391), INDEX($AY$22:$BE$60,,$AH391), 1 / ($BF$22:$BF$60*CC391), N($AU$22:$AU$60&gt;$AM391)),
SUMPRODUCT(INDEX($AV$22:$AX$45,,$AI391), INDEX($AY$22:$BE$45,,$AH391), 1 / ($BG$22:$BG$45*CC391), N($AU$22:$AU$45&gt;$AM391))
) / 1000</f>
        <v>0</v>
      </c>
      <c r="CF391" s="229">
        <f t="shared" si="608"/>
        <v>0</v>
      </c>
      <c r="CG391" s="246"/>
      <c r="CH391" s="229">
        <f t="shared" si="609"/>
        <v>0</v>
      </c>
      <c r="CI391" s="228">
        <v>35</v>
      </c>
      <c r="CJ391" s="229">
        <f t="shared" si="610"/>
        <v>48</v>
      </c>
      <c r="CK391" s="234">
        <f t="shared" si="611"/>
        <v>3.0748170731707316</v>
      </c>
      <c r="CL391" s="234" cm="1">
        <f t="array" ref="CL391">$BM391 * SUMPRODUCT(INDEX($AV$76:$AX$81,,$AI391),INDEX($AY$76:$BE$81,,$AH391), N($AU$76:$AU$81&gt;$AM391)) / CK391 / 1000</f>
        <v>0</v>
      </c>
      <c r="CM391" s="231">
        <f t="shared" si="591"/>
        <v>30</v>
      </c>
      <c r="CN391" s="229">
        <f t="shared" si="612"/>
        <v>43</v>
      </c>
      <c r="CO391" s="234">
        <f t="shared" si="613"/>
        <v>3.5018750000000001</v>
      </c>
      <c r="CP391" s="234" cm="1">
        <f t="array" ref="CP391">$BM391 * IF($AH391&lt;=2,
SUMPRODUCT(INDEX($AV$71:$AX$75,,$AI391), INDEX($AY$71:$BE$75,,$AH391), 1 / ($BF$71:$BF$75*CO391 + (1-$BF$71:$BF$75)*CK391), N($AU$71:$AU$75&gt;$AM391)),
SUMPRODUCT(INDEX($AV$66:$AX$75,,$AI391), INDEX($AY$66:$BE$75,,$AH391), 1 / ($BG$66:$BG$75*CO391 + (1-$BG$66:$BG$75)*CK391), N($AU$66:$AU$75&gt;$AM391))
) / 1000</f>
        <v>0</v>
      </c>
      <c r="CQ391" s="231">
        <f t="shared" si="592"/>
        <v>25</v>
      </c>
      <c r="CR391" s="229">
        <f t="shared" si="614"/>
        <v>38</v>
      </c>
      <c r="CS391" s="234">
        <f t="shared" si="615"/>
        <v>4.0666935483870965</v>
      </c>
      <c r="CT391" s="234" cm="1">
        <f t="array" ref="CT391">$BM391 * IF($AH391&lt;=2,
SUMPRODUCT(INDEX($AV$66:$AX$70,,$AI391), INDEX($AY$66:$BE$70,,$AH391), 1 / ($BF$66:$BF$70*CS391 + (1-$BF$66:$BF$70)*CO391), N($AU$66:$AU$70&gt;$AM391)),
SUMPRODUCT(INDEX($AV$56:$AX$65,,$AI391), INDEX($AY$56:$BE$65,,$AH391), 1 / ($BG$56:$BG$65*CS391 + (1-$BG$56:$BG$65)*CO391), N($AU$56:$AU$65&gt;$AM391))
) / 1000</f>
        <v>0</v>
      </c>
      <c r="CU391" s="231">
        <f t="shared" si="593"/>
        <v>20</v>
      </c>
      <c r="CV391" s="229">
        <f t="shared" si="616"/>
        <v>33</v>
      </c>
      <c r="CW391" s="234">
        <f t="shared" si="617"/>
        <v>4.8487499999999999</v>
      </c>
      <c r="CX391" s="234" cm="1">
        <f t="array" ref="CX391">$BM391 * IF($AH391&lt;=2,
SUMPRODUCT(INDEX($AV$61:$AX$65,,$AI391), INDEX($AY$61:$BE$65,,$AH391), 1 / ($BF$61:$BF$65*CW391 + (1-$BF$61:$BF$65)*CS391), N($AU$61:$AU$65&gt;$AM391)),
SUMPRODUCT(INDEX($AV$46:$AX$55,,$AI391), INDEX($AY$46:$BE$55,,$AH391), 1 / ($BG$46:$BG$55*CW391 + (1-$BG$46:$BG$55)*CS391), N($AU$46:$AU$55&gt;$AM391))
) / 1000</f>
        <v>0</v>
      </c>
      <c r="CY391" s="234" cm="1">
        <f t="array" ref="CY391">$BM391 * IF($AH391&lt;=2,
SUMPRODUCT(INDEX($AV$22:$AX$60,,$AI391), INDEX($AY$22:$BE$60,,$AH391), 1 / ($BF$22:$BF$60*CW391), N($AU$22:$AU$60&gt;$AM391)),
SUMPRODUCT(INDEX($AV$22:$AX$45,,$AI391), INDEX($AY$22:$BE$45,,$AH391), 1 / ($BG$22:$BG$45*CW391), N($AU$22:$AU$45&gt;$AM391))
) / 1000</f>
        <v>0</v>
      </c>
      <c r="CZ391" s="229">
        <f t="shared" si="618"/>
        <v>0</v>
      </c>
      <c r="DA391" s="246"/>
    </row>
    <row r="392" spans="1:105" s="75" customFormat="1" ht="14.25" customHeight="1" x14ac:dyDescent="0.2">
      <c r="A392" s="230" t="b">
        <f t="shared" si="585"/>
        <v>0</v>
      </c>
      <c r="B392" s="253">
        <v>371</v>
      </c>
      <c r="C392" s="266"/>
      <c r="D392" s="266"/>
      <c r="E392" s="254"/>
      <c r="F392" s="255" t="str">
        <f>IF(ISBLANK(E392), "", VLOOKUP(E392, Z!$A$2:$C$4127, 3, FALSE))</f>
        <v/>
      </c>
      <c r="G392" s="256"/>
      <c r="H392" s="256"/>
      <c r="I392" s="256"/>
      <c r="J392" s="257"/>
      <c r="K392" s="258"/>
      <c r="L392" s="267"/>
      <c r="M392" s="268"/>
      <c r="N392" s="259" t="str" cm="1">
        <f t="array" ref="N392">IF($L392&gt;0, INDEX(Clean,1+AK392,$D$1), "")</f>
        <v/>
      </c>
      <c r="O392" s="260"/>
      <c r="P392" s="260"/>
      <c r="Q392" s="261"/>
      <c r="R392" s="264">
        <f t="shared" si="594"/>
        <v>0</v>
      </c>
      <c r="S392" s="259" t="str" cm="1">
        <f t="array" ref="S392">IF($L392&gt;0, INDEX(Clean,1+AL392,$D$1), "")</f>
        <v/>
      </c>
      <c r="T392" s="260"/>
      <c r="U392" s="260"/>
      <c r="V392" s="261"/>
      <c r="W392" s="267"/>
      <c r="X392" s="267"/>
      <c r="Y392" s="257"/>
      <c r="Z392" s="264">
        <f t="shared" si="595"/>
        <v>0</v>
      </c>
      <c r="AA392" s="269"/>
      <c r="AB392" s="266"/>
      <c r="AC392" s="254"/>
      <c r="AD392" s="255" t="str">
        <f>IF(ISBLANK(AC392), "", VLOOKUP(AC392, Z!$A$2:$C$4127, 3, FALSE))</f>
        <v/>
      </c>
      <c r="AE392" s="270"/>
      <c r="AF392" s="265">
        <f t="shared" si="596"/>
        <v>0</v>
      </c>
      <c r="AG392" s="246"/>
      <c r="AH392" s="228">
        <f t="shared" si="619"/>
        <v>1</v>
      </c>
      <c r="AI392" s="228">
        <f t="shared" si="620"/>
        <v>1</v>
      </c>
      <c r="AJ392" s="228">
        <f t="shared" si="621"/>
        <v>0</v>
      </c>
      <c r="AK392" s="228">
        <v>0</v>
      </c>
      <c r="AL392" s="228">
        <v>0</v>
      </c>
      <c r="AM392" s="228">
        <f t="shared" si="597"/>
        <v>-100</v>
      </c>
      <c r="AN392" s="228" cm="1">
        <f t="array" ref="AN392">IF(ISBLANK(G392), 1, IFERROR(MATCH(G392, INDEX(Kat,,1), 0), IFERROR(MATCH(Kat, INDEX(Use,,2), 0), MATCH(Kat, INDEX(Use,,3), 0))))</f>
        <v>1</v>
      </c>
      <c r="AO392" s="246"/>
      <c r="AP392" s="228" cm="1">
        <f t="array" ref="AP392">IF(W392&gt;0, INDEX(Kat, AN392,4), 0)</f>
        <v>0</v>
      </c>
      <c r="AQ392" s="228">
        <f t="shared" si="622"/>
        <v>0</v>
      </c>
      <c r="AR392" s="228" cm="1">
        <f t="array" ref="AR392">IF(X392&gt;0, INDEX(Kat, $AN392, 4+AQ392), 0)</f>
        <v>0</v>
      </c>
      <c r="AS392" s="228" cm="1">
        <f t="array" ref="AS392">IF(X392&gt;0, INDEX(Kat, $AN392, 9+AQ392), 0)</f>
        <v>0</v>
      </c>
      <c r="AT392" s="246"/>
      <c r="AU392" s="262"/>
      <c r="AV392" s="262"/>
      <c r="AW392" s="263"/>
      <c r="AX392" s="263"/>
      <c r="AY392" s="263"/>
      <c r="AZ392" s="263"/>
      <c r="BA392" s="263"/>
      <c r="BB392" s="263"/>
      <c r="BC392" s="263"/>
      <c r="BD392" s="263"/>
      <c r="BE392" s="263"/>
      <c r="BF392" s="263"/>
      <c r="BG392" s="263"/>
      <c r="BH392" s="246"/>
      <c r="BI392" s="228" cm="1">
        <f t="array" ref="BI392">INDEX(Use, $AH392, 4)</f>
        <v>7</v>
      </c>
      <c r="BJ392" s="228">
        <f t="shared" si="598"/>
        <v>32</v>
      </c>
      <c r="BK392" s="228">
        <f t="shared" si="586"/>
        <v>13</v>
      </c>
      <c r="BL392" s="228">
        <f t="shared" si="587"/>
        <v>0</v>
      </c>
      <c r="BM392" s="233" cm="1">
        <f t="array" ref="BM392">L392/IF($M392&gt;0, INDEX($AY$22:$BE$76, $M392+20, $AH392), 1)</f>
        <v>0</v>
      </c>
      <c r="BN392" s="229">
        <f t="shared" si="599"/>
        <v>0</v>
      </c>
      <c r="BO392" s="228">
        <v>35</v>
      </c>
      <c r="BP392" s="229">
        <f t="shared" si="600"/>
        <v>48</v>
      </c>
      <c r="BQ392" s="234">
        <f t="shared" si="601"/>
        <v>3.0748170731707316</v>
      </c>
      <c r="BR392" s="234" cm="1">
        <f t="array" ref="BR392">$BM392 * SUMPRODUCT(INDEX($AV$76:$AX$81,,$AI392),INDEX($AY$76:$BE$81,,$AH392), N($AU$76:$AU$81&gt;$AM392)) / BQ392 / 1000</f>
        <v>0</v>
      </c>
      <c r="BS392" s="231">
        <f t="shared" si="588"/>
        <v>30</v>
      </c>
      <c r="BT392" s="229">
        <f t="shared" si="602"/>
        <v>43</v>
      </c>
      <c r="BU392" s="234">
        <f t="shared" si="603"/>
        <v>3.5018750000000001</v>
      </c>
      <c r="BV392" s="234" cm="1">
        <f t="array" ref="BV392">$BM392 * IF($AH392&lt;=2,
SUMPRODUCT(INDEX($AV$71:$AX$75,,$AI392), INDEX($AY$71:$BE$75,,$AH392), 1 / ($BF$71:$BF$75*BU392 + (1-$BF$71:$BF$75)*BQ392), N($AU$71:$AU$75&gt;$AM392)),
SUMPRODUCT(INDEX($AV$66:$AX$75,,$AI392), INDEX($AY$66:$BE$75,,$AH392), 1 / ($BG$66:$BG$75*BU392 + (1-$BG$66:$BG$75)*BQ392), N($AU$66:$AU$75&gt;$AM392))
) / 1000</f>
        <v>0</v>
      </c>
      <c r="BW392" s="231">
        <f t="shared" si="589"/>
        <v>25</v>
      </c>
      <c r="BX392" s="229">
        <f t="shared" si="604"/>
        <v>38</v>
      </c>
      <c r="BY392" s="234">
        <f t="shared" si="605"/>
        <v>4.0666935483870965</v>
      </c>
      <c r="BZ392" s="234" cm="1">
        <f t="array" ref="BZ392">$BM392 * IF($AH392&lt;=2,
SUMPRODUCT(INDEX($AV$66:$AX$70,,$AI392), INDEX($AY$66:$BE$70,,$AH392), 1 / ($BF$66:$BF$70*BY392 + (1-$BF$66:$BF$70)*BU392), N($AU$66:$AU$70&gt;$AM392)),
SUMPRODUCT(INDEX($AV$56:$AX$65,,$AI392), INDEX($AY$56:$BE$65,,$AH392), 1 / ($BG$56:$BG$65*BY392 + (1-$BG$56:$BG$65)*BU392), N($AU$56:$AU$65&gt;$AM392))
) / 1000</f>
        <v>0</v>
      </c>
      <c r="CA392" s="231">
        <f t="shared" si="590"/>
        <v>20</v>
      </c>
      <c r="CB392" s="229">
        <f t="shared" si="606"/>
        <v>33</v>
      </c>
      <c r="CC392" s="234">
        <f t="shared" si="607"/>
        <v>4.8487499999999999</v>
      </c>
      <c r="CD392" s="234" cm="1">
        <f t="array" ref="CD392">$BM392 * IF($AH392&lt;=2,
SUMPRODUCT(INDEX($AV$61:$AX$65,,$AI392), INDEX($AY$61:$BE$65,,$AH392), 1 / ($BF$61:$BF$65*CC392 + (1-$BF$61:$BF$65)*BY392), N($AU$61:$AU$65&gt;$AM392)),
SUMPRODUCT(INDEX($AV$46:$AX$55,,$AI392), INDEX($AY$46:$BE$55,,$AH392), 1 / ($BG$46:$BG$55*CC392 + (1-$BG$46:$BG$55)*BY392), N($AU$46:$AU$55&gt;$AM392))
) / 1000</f>
        <v>0</v>
      </c>
      <c r="CE392" s="234" cm="1">
        <f t="array" ref="CE392">$BM392 * IF($AH392&lt;=2,
SUMPRODUCT(INDEX($AV$22:$AX$60,,$AI392), INDEX($AY$22:$BE$60,,$AH392), 1 / ($BF$22:$BF$60*CC392), N($AU$22:$AU$60&gt;$AM392)),
SUMPRODUCT(INDEX($AV$22:$AX$45,,$AI392), INDEX($AY$22:$BE$45,,$AH392), 1 / ($BG$22:$BG$45*CC392), N($AU$22:$AU$45&gt;$AM392))
) / 1000</f>
        <v>0</v>
      </c>
      <c r="CF392" s="229">
        <f t="shared" si="608"/>
        <v>0</v>
      </c>
      <c r="CG392" s="246"/>
      <c r="CH392" s="229">
        <f t="shared" si="609"/>
        <v>0</v>
      </c>
      <c r="CI392" s="228">
        <v>35</v>
      </c>
      <c r="CJ392" s="229">
        <f t="shared" si="610"/>
        <v>48</v>
      </c>
      <c r="CK392" s="234">
        <f t="shared" si="611"/>
        <v>3.0748170731707316</v>
      </c>
      <c r="CL392" s="234" cm="1">
        <f t="array" ref="CL392">$BM392 * SUMPRODUCT(INDEX($AV$76:$AX$81,,$AI392),INDEX($AY$76:$BE$81,,$AH392), N($AU$76:$AU$81&gt;$AM392)) / CK392 / 1000</f>
        <v>0</v>
      </c>
      <c r="CM392" s="231">
        <f t="shared" si="591"/>
        <v>30</v>
      </c>
      <c r="CN392" s="229">
        <f t="shared" si="612"/>
        <v>43</v>
      </c>
      <c r="CO392" s="234">
        <f t="shared" si="613"/>
        <v>3.5018750000000001</v>
      </c>
      <c r="CP392" s="234" cm="1">
        <f t="array" ref="CP392">$BM392 * IF($AH392&lt;=2,
SUMPRODUCT(INDEX($AV$71:$AX$75,,$AI392), INDEX($AY$71:$BE$75,,$AH392), 1 / ($BF$71:$BF$75*CO392 + (1-$BF$71:$BF$75)*CK392), N($AU$71:$AU$75&gt;$AM392)),
SUMPRODUCT(INDEX($AV$66:$AX$75,,$AI392), INDEX($AY$66:$BE$75,,$AH392), 1 / ($BG$66:$BG$75*CO392 + (1-$BG$66:$BG$75)*CK392), N($AU$66:$AU$75&gt;$AM392))
) / 1000</f>
        <v>0</v>
      </c>
      <c r="CQ392" s="231">
        <f t="shared" si="592"/>
        <v>25</v>
      </c>
      <c r="CR392" s="229">
        <f t="shared" si="614"/>
        <v>38</v>
      </c>
      <c r="CS392" s="234">
        <f t="shared" si="615"/>
        <v>4.0666935483870965</v>
      </c>
      <c r="CT392" s="234" cm="1">
        <f t="array" ref="CT392">$BM392 * IF($AH392&lt;=2,
SUMPRODUCT(INDEX($AV$66:$AX$70,,$AI392), INDEX($AY$66:$BE$70,,$AH392), 1 / ($BF$66:$BF$70*CS392 + (1-$BF$66:$BF$70)*CO392), N($AU$66:$AU$70&gt;$AM392)),
SUMPRODUCT(INDEX($AV$56:$AX$65,,$AI392), INDEX($AY$56:$BE$65,,$AH392), 1 / ($BG$56:$BG$65*CS392 + (1-$BG$56:$BG$65)*CO392), N($AU$56:$AU$65&gt;$AM392))
) / 1000</f>
        <v>0</v>
      </c>
      <c r="CU392" s="231">
        <f t="shared" si="593"/>
        <v>20</v>
      </c>
      <c r="CV392" s="229">
        <f t="shared" si="616"/>
        <v>33</v>
      </c>
      <c r="CW392" s="234">
        <f t="shared" si="617"/>
        <v>4.8487499999999999</v>
      </c>
      <c r="CX392" s="234" cm="1">
        <f t="array" ref="CX392">$BM392 * IF($AH392&lt;=2,
SUMPRODUCT(INDEX($AV$61:$AX$65,,$AI392), INDEX($AY$61:$BE$65,,$AH392), 1 / ($BF$61:$BF$65*CW392 + (1-$BF$61:$BF$65)*CS392), N($AU$61:$AU$65&gt;$AM392)),
SUMPRODUCT(INDEX($AV$46:$AX$55,,$AI392), INDEX($AY$46:$BE$55,,$AH392), 1 / ($BG$46:$BG$55*CW392 + (1-$BG$46:$BG$55)*CS392), N($AU$46:$AU$55&gt;$AM392))
) / 1000</f>
        <v>0</v>
      </c>
      <c r="CY392" s="234" cm="1">
        <f t="array" ref="CY392">$BM392 * IF($AH392&lt;=2,
SUMPRODUCT(INDEX($AV$22:$AX$60,,$AI392), INDEX($AY$22:$BE$60,,$AH392), 1 / ($BF$22:$BF$60*CW392), N($AU$22:$AU$60&gt;$AM392)),
SUMPRODUCT(INDEX($AV$22:$AX$45,,$AI392), INDEX($AY$22:$BE$45,,$AH392), 1 / ($BG$22:$BG$45*CW392), N($AU$22:$AU$45&gt;$AM392))
) / 1000</f>
        <v>0</v>
      </c>
      <c r="CZ392" s="229">
        <f t="shared" si="618"/>
        <v>0</v>
      </c>
      <c r="DA392" s="246"/>
    </row>
    <row r="393" spans="1:105" s="75" customFormat="1" ht="14.25" customHeight="1" x14ac:dyDescent="0.2">
      <c r="A393" s="230" t="b">
        <f t="shared" si="585"/>
        <v>0</v>
      </c>
      <c r="B393" s="253">
        <v>372</v>
      </c>
      <c r="C393" s="266"/>
      <c r="D393" s="266"/>
      <c r="E393" s="254"/>
      <c r="F393" s="255" t="str">
        <f>IF(ISBLANK(E393), "", VLOOKUP(E393, Z!$A$2:$C$4127, 3, FALSE))</f>
        <v/>
      </c>
      <c r="G393" s="256"/>
      <c r="H393" s="256"/>
      <c r="I393" s="256"/>
      <c r="J393" s="257"/>
      <c r="K393" s="258"/>
      <c r="L393" s="267"/>
      <c r="M393" s="268"/>
      <c r="N393" s="259" t="str" cm="1">
        <f t="array" ref="N393">IF($L393&gt;0, INDEX(Clean,1+AK393,$D$1), "")</f>
        <v/>
      </c>
      <c r="O393" s="260"/>
      <c r="P393" s="260"/>
      <c r="Q393" s="261"/>
      <c r="R393" s="264">
        <f t="shared" si="594"/>
        <v>0</v>
      </c>
      <c r="S393" s="259" t="str" cm="1">
        <f t="array" ref="S393">IF($L393&gt;0, INDEX(Clean,1+AL393,$D$1), "")</f>
        <v/>
      </c>
      <c r="T393" s="260"/>
      <c r="U393" s="260"/>
      <c r="V393" s="261"/>
      <c r="W393" s="267"/>
      <c r="X393" s="267"/>
      <c r="Y393" s="257"/>
      <c r="Z393" s="264">
        <f t="shared" si="595"/>
        <v>0</v>
      </c>
      <c r="AA393" s="269"/>
      <c r="AB393" s="266"/>
      <c r="AC393" s="254"/>
      <c r="AD393" s="255" t="str">
        <f>IF(ISBLANK(AC393), "", VLOOKUP(AC393, Z!$A$2:$C$4127, 3, FALSE))</f>
        <v/>
      </c>
      <c r="AE393" s="270"/>
      <c r="AF393" s="265">
        <f t="shared" si="596"/>
        <v>0</v>
      </c>
      <c r="AG393" s="246"/>
      <c r="AH393" s="228">
        <f t="shared" si="619"/>
        <v>1</v>
      </c>
      <c r="AI393" s="228">
        <f t="shared" si="620"/>
        <v>1</v>
      </c>
      <c r="AJ393" s="228">
        <f t="shared" si="621"/>
        <v>0</v>
      </c>
      <c r="AK393" s="228">
        <v>0</v>
      </c>
      <c r="AL393" s="228">
        <v>0</v>
      </c>
      <c r="AM393" s="228">
        <f t="shared" si="597"/>
        <v>-100</v>
      </c>
      <c r="AN393" s="228" cm="1">
        <f t="array" ref="AN393">IF(ISBLANK(G393), 1, IFERROR(MATCH(G393, INDEX(Kat,,1), 0), IFERROR(MATCH(Kat, INDEX(Use,,2), 0), MATCH(Kat, INDEX(Use,,3), 0))))</f>
        <v>1</v>
      </c>
      <c r="AO393" s="246"/>
      <c r="AP393" s="228" cm="1">
        <f t="array" ref="AP393">IF(W393&gt;0, INDEX(Kat, AN393,4), 0)</f>
        <v>0</v>
      </c>
      <c r="AQ393" s="228">
        <f t="shared" si="622"/>
        <v>0</v>
      </c>
      <c r="AR393" s="228" cm="1">
        <f t="array" ref="AR393">IF(X393&gt;0, INDEX(Kat, $AN393, 4+AQ393), 0)</f>
        <v>0</v>
      </c>
      <c r="AS393" s="228" cm="1">
        <f t="array" ref="AS393">IF(X393&gt;0, INDEX(Kat, $AN393, 9+AQ393), 0)</f>
        <v>0</v>
      </c>
      <c r="AT393" s="246"/>
      <c r="AU393" s="262"/>
      <c r="AV393" s="262"/>
      <c r="AW393" s="263"/>
      <c r="AX393" s="263"/>
      <c r="AY393" s="263"/>
      <c r="AZ393" s="263"/>
      <c r="BA393" s="263"/>
      <c r="BB393" s="263"/>
      <c r="BC393" s="263"/>
      <c r="BD393" s="263"/>
      <c r="BE393" s="263"/>
      <c r="BF393" s="263"/>
      <c r="BG393" s="263"/>
      <c r="BH393" s="246"/>
      <c r="BI393" s="228" cm="1">
        <f t="array" ref="BI393">INDEX(Use, $AH393, 4)</f>
        <v>7</v>
      </c>
      <c r="BJ393" s="228">
        <f t="shared" si="598"/>
        <v>32</v>
      </c>
      <c r="BK393" s="228">
        <f t="shared" si="586"/>
        <v>13</v>
      </c>
      <c r="BL393" s="228">
        <f t="shared" si="587"/>
        <v>0</v>
      </c>
      <c r="BM393" s="233" cm="1">
        <f t="array" ref="BM393">L393/IF($M393&gt;0, INDEX($AY$22:$BE$76, $M393+20, $AH393), 1)</f>
        <v>0</v>
      </c>
      <c r="BN393" s="229">
        <f t="shared" si="599"/>
        <v>0</v>
      </c>
      <c r="BO393" s="228">
        <v>35</v>
      </c>
      <c r="BP393" s="229">
        <f t="shared" si="600"/>
        <v>48</v>
      </c>
      <c r="BQ393" s="234">
        <f t="shared" si="601"/>
        <v>3.0748170731707316</v>
      </c>
      <c r="BR393" s="234" cm="1">
        <f t="array" ref="BR393">$BM393 * SUMPRODUCT(INDEX($AV$76:$AX$81,,$AI393),INDEX($AY$76:$BE$81,,$AH393), N($AU$76:$AU$81&gt;$AM393)) / BQ393 / 1000</f>
        <v>0</v>
      </c>
      <c r="BS393" s="231">
        <f t="shared" si="588"/>
        <v>30</v>
      </c>
      <c r="BT393" s="229">
        <f t="shared" si="602"/>
        <v>43</v>
      </c>
      <c r="BU393" s="234">
        <f t="shared" si="603"/>
        <v>3.5018750000000001</v>
      </c>
      <c r="BV393" s="234" cm="1">
        <f t="array" ref="BV393">$BM393 * IF($AH393&lt;=2,
SUMPRODUCT(INDEX($AV$71:$AX$75,,$AI393), INDEX($AY$71:$BE$75,,$AH393), 1 / ($BF$71:$BF$75*BU393 + (1-$BF$71:$BF$75)*BQ393), N($AU$71:$AU$75&gt;$AM393)),
SUMPRODUCT(INDEX($AV$66:$AX$75,,$AI393), INDEX($AY$66:$BE$75,,$AH393), 1 / ($BG$66:$BG$75*BU393 + (1-$BG$66:$BG$75)*BQ393), N($AU$66:$AU$75&gt;$AM393))
) / 1000</f>
        <v>0</v>
      </c>
      <c r="BW393" s="231">
        <f t="shared" si="589"/>
        <v>25</v>
      </c>
      <c r="BX393" s="229">
        <f t="shared" si="604"/>
        <v>38</v>
      </c>
      <c r="BY393" s="234">
        <f t="shared" si="605"/>
        <v>4.0666935483870965</v>
      </c>
      <c r="BZ393" s="234" cm="1">
        <f t="array" ref="BZ393">$BM393 * IF($AH393&lt;=2,
SUMPRODUCT(INDEX($AV$66:$AX$70,,$AI393), INDEX($AY$66:$BE$70,,$AH393), 1 / ($BF$66:$BF$70*BY393 + (1-$BF$66:$BF$70)*BU393), N($AU$66:$AU$70&gt;$AM393)),
SUMPRODUCT(INDEX($AV$56:$AX$65,,$AI393), INDEX($AY$56:$BE$65,,$AH393), 1 / ($BG$56:$BG$65*BY393 + (1-$BG$56:$BG$65)*BU393), N($AU$56:$AU$65&gt;$AM393))
) / 1000</f>
        <v>0</v>
      </c>
      <c r="CA393" s="231">
        <f t="shared" si="590"/>
        <v>20</v>
      </c>
      <c r="CB393" s="229">
        <f t="shared" si="606"/>
        <v>33</v>
      </c>
      <c r="CC393" s="234">
        <f t="shared" si="607"/>
        <v>4.8487499999999999</v>
      </c>
      <c r="CD393" s="234" cm="1">
        <f t="array" ref="CD393">$BM393 * IF($AH393&lt;=2,
SUMPRODUCT(INDEX($AV$61:$AX$65,,$AI393), INDEX($AY$61:$BE$65,,$AH393), 1 / ($BF$61:$BF$65*CC393 + (1-$BF$61:$BF$65)*BY393), N($AU$61:$AU$65&gt;$AM393)),
SUMPRODUCT(INDEX($AV$46:$AX$55,,$AI393), INDEX($AY$46:$BE$55,,$AH393), 1 / ($BG$46:$BG$55*CC393 + (1-$BG$46:$BG$55)*BY393), N($AU$46:$AU$55&gt;$AM393))
) / 1000</f>
        <v>0</v>
      </c>
      <c r="CE393" s="234" cm="1">
        <f t="array" ref="CE393">$BM393 * IF($AH393&lt;=2,
SUMPRODUCT(INDEX($AV$22:$AX$60,,$AI393), INDEX($AY$22:$BE$60,,$AH393), 1 / ($BF$22:$BF$60*CC393), N($AU$22:$AU$60&gt;$AM393)),
SUMPRODUCT(INDEX($AV$22:$AX$45,,$AI393), INDEX($AY$22:$BE$45,,$AH393), 1 / ($BG$22:$BG$45*CC393), N($AU$22:$AU$45&gt;$AM393))
) / 1000</f>
        <v>0</v>
      </c>
      <c r="CF393" s="229">
        <f t="shared" si="608"/>
        <v>0</v>
      </c>
      <c r="CG393" s="246"/>
      <c r="CH393" s="229">
        <f t="shared" si="609"/>
        <v>0</v>
      </c>
      <c r="CI393" s="228">
        <v>35</v>
      </c>
      <c r="CJ393" s="229">
        <f t="shared" si="610"/>
        <v>48</v>
      </c>
      <c r="CK393" s="234">
        <f t="shared" si="611"/>
        <v>3.0748170731707316</v>
      </c>
      <c r="CL393" s="234" cm="1">
        <f t="array" ref="CL393">$BM393 * SUMPRODUCT(INDEX($AV$76:$AX$81,,$AI393),INDEX($AY$76:$BE$81,,$AH393), N($AU$76:$AU$81&gt;$AM393)) / CK393 / 1000</f>
        <v>0</v>
      </c>
      <c r="CM393" s="231">
        <f t="shared" si="591"/>
        <v>30</v>
      </c>
      <c r="CN393" s="229">
        <f t="shared" si="612"/>
        <v>43</v>
      </c>
      <c r="CO393" s="234">
        <f t="shared" si="613"/>
        <v>3.5018750000000001</v>
      </c>
      <c r="CP393" s="234" cm="1">
        <f t="array" ref="CP393">$BM393 * IF($AH393&lt;=2,
SUMPRODUCT(INDEX($AV$71:$AX$75,,$AI393), INDEX($AY$71:$BE$75,,$AH393), 1 / ($BF$71:$BF$75*CO393 + (1-$BF$71:$BF$75)*CK393), N($AU$71:$AU$75&gt;$AM393)),
SUMPRODUCT(INDEX($AV$66:$AX$75,,$AI393), INDEX($AY$66:$BE$75,,$AH393), 1 / ($BG$66:$BG$75*CO393 + (1-$BG$66:$BG$75)*CK393), N($AU$66:$AU$75&gt;$AM393))
) / 1000</f>
        <v>0</v>
      </c>
      <c r="CQ393" s="231">
        <f t="shared" si="592"/>
        <v>25</v>
      </c>
      <c r="CR393" s="229">
        <f t="shared" si="614"/>
        <v>38</v>
      </c>
      <c r="CS393" s="234">
        <f t="shared" si="615"/>
        <v>4.0666935483870965</v>
      </c>
      <c r="CT393" s="234" cm="1">
        <f t="array" ref="CT393">$BM393 * IF($AH393&lt;=2,
SUMPRODUCT(INDEX($AV$66:$AX$70,,$AI393), INDEX($AY$66:$BE$70,,$AH393), 1 / ($BF$66:$BF$70*CS393 + (1-$BF$66:$BF$70)*CO393), N($AU$66:$AU$70&gt;$AM393)),
SUMPRODUCT(INDEX($AV$56:$AX$65,,$AI393), INDEX($AY$56:$BE$65,,$AH393), 1 / ($BG$56:$BG$65*CS393 + (1-$BG$56:$BG$65)*CO393), N($AU$56:$AU$65&gt;$AM393))
) / 1000</f>
        <v>0</v>
      </c>
      <c r="CU393" s="231">
        <f t="shared" si="593"/>
        <v>20</v>
      </c>
      <c r="CV393" s="229">
        <f t="shared" si="616"/>
        <v>33</v>
      </c>
      <c r="CW393" s="234">
        <f t="shared" si="617"/>
        <v>4.8487499999999999</v>
      </c>
      <c r="CX393" s="234" cm="1">
        <f t="array" ref="CX393">$BM393 * IF($AH393&lt;=2,
SUMPRODUCT(INDEX($AV$61:$AX$65,,$AI393), INDEX($AY$61:$BE$65,,$AH393), 1 / ($BF$61:$BF$65*CW393 + (1-$BF$61:$BF$65)*CS393), N($AU$61:$AU$65&gt;$AM393)),
SUMPRODUCT(INDEX($AV$46:$AX$55,,$AI393), INDEX($AY$46:$BE$55,,$AH393), 1 / ($BG$46:$BG$55*CW393 + (1-$BG$46:$BG$55)*CS393), N($AU$46:$AU$55&gt;$AM393))
) / 1000</f>
        <v>0</v>
      </c>
      <c r="CY393" s="234" cm="1">
        <f t="array" ref="CY393">$BM393 * IF($AH393&lt;=2,
SUMPRODUCT(INDEX($AV$22:$AX$60,,$AI393), INDEX($AY$22:$BE$60,,$AH393), 1 / ($BF$22:$BF$60*CW393), N($AU$22:$AU$60&gt;$AM393)),
SUMPRODUCT(INDEX($AV$22:$AX$45,,$AI393), INDEX($AY$22:$BE$45,,$AH393), 1 / ($BG$22:$BG$45*CW393), N($AU$22:$AU$45&gt;$AM393))
) / 1000</f>
        <v>0</v>
      </c>
      <c r="CZ393" s="229">
        <f t="shared" si="618"/>
        <v>0</v>
      </c>
      <c r="DA393" s="246"/>
    </row>
    <row r="394" spans="1:105" s="75" customFormat="1" ht="14.25" customHeight="1" x14ac:dyDescent="0.2">
      <c r="A394" s="230" t="b">
        <f t="shared" si="585"/>
        <v>0</v>
      </c>
      <c r="B394" s="253">
        <v>373</v>
      </c>
      <c r="C394" s="266"/>
      <c r="D394" s="266"/>
      <c r="E394" s="254"/>
      <c r="F394" s="255" t="str">
        <f>IF(ISBLANK(E394), "", VLOOKUP(E394, Z!$A$2:$C$4127, 3, FALSE))</f>
        <v/>
      </c>
      <c r="G394" s="256"/>
      <c r="H394" s="256"/>
      <c r="I394" s="256"/>
      <c r="J394" s="257"/>
      <c r="K394" s="258"/>
      <c r="L394" s="267"/>
      <c r="M394" s="268"/>
      <c r="N394" s="259" t="str" cm="1">
        <f t="array" ref="N394">IF($L394&gt;0, INDEX(Clean,1+AK394,$D$1), "")</f>
        <v/>
      </c>
      <c r="O394" s="260"/>
      <c r="P394" s="260"/>
      <c r="Q394" s="261"/>
      <c r="R394" s="264">
        <f t="shared" si="594"/>
        <v>0</v>
      </c>
      <c r="S394" s="259" t="str" cm="1">
        <f t="array" ref="S394">IF($L394&gt;0, INDEX(Clean,1+AL394,$D$1), "")</f>
        <v/>
      </c>
      <c r="T394" s="260"/>
      <c r="U394" s="260"/>
      <c r="V394" s="261"/>
      <c r="W394" s="267"/>
      <c r="X394" s="267"/>
      <c r="Y394" s="257"/>
      <c r="Z394" s="264">
        <f t="shared" si="595"/>
        <v>0</v>
      </c>
      <c r="AA394" s="269"/>
      <c r="AB394" s="266"/>
      <c r="AC394" s="254"/>
      <c r="AD394" s="255" t="str">
        <f>IF(ISBLANK(AC394), "", VLOOKUP(AC394, Z!$A$2:$C$4127, 3, FALSE))</f>
        <v/>
      </c>
      <c r="AE394" s="270"/>
      <c r="AF394" s="265">
        <f t="shared" si="596"/>
        <v>0</v>
      </c>
      <c r="AG394" s="246"/>
      <c r="AH394" s="228">
        <f t="shared" si="619"/>
        <v>1</v>
      </c>
      <c r="AI394" s="228">
        <f t="shared" si="620"/>
        <v>1</v>
      </c>
      <c r="AJ394" s="228">
        <f t="shared" si="621"/>
        <v>0</v>
      </c>
      <c r="AK394" s="228">
        <v>0</v>
      </c>
      <c r="AL394" s="228">
        <v>0</v>
      </c>
      <c r="AM394" s="228">
        <f t="shared" si="597"/>
        <v>-100</v>
      </c>
      <c r="AN394" s="228" cm="1">
        <f t="array" ref="AN394">IF(ISBLANK(G394), 1, IFERROR(MATCH(G394, INDEX(Kat,,1), 0), IFERROR(MATCH(Kat, INDEX(Use,,2), 0), MATCH(Kat, INDEX(Use,,3), 0))))</f>
        <v>1</v>
      </c>
      <c r="AO394" s="246"/>
      <c r="AP394" s="228" cm="1">
        <f t="array" ref="AP394">IF(W394&gt;0, INDEX(Kat, AN394,4), 0)</f>
        <v>0</v>
      </c>
      <c r="AQ394" s="228">
        <f t="shared" si="622"/>
        <v>0</v>
      </c>
      <c r="AR394" s="228" cm="1">
        <f t="array" ref="AR394">IF(X394&gt;0, INDEX(Kat, $AN394, 4+AQ394), 0)</f>
        <v>0</v>
      </c>
      <c r="AS394" s="228" cm="1">
        <f t="array" ref="AS394">IF(X394&gt;0, INDEX(Kat, $AN394, 9+AQ394), 0)</f>
        <v>0</v>
      </c>
      <c r="AT394" s="246"/>
      <c r="AU394" s="262"/>
      <c r="AV394" s="262"/>
      <c r="AW394" s="263"/>
      <c r="AX394" s="263"/>
      <c r="AY394" s="263"/>
      <c r="AZ394" s="263"/>
      <c r="BA394" s="263"/>
      <c r="BB394" s="263"/>
      <c r="BC394" s="263"/>
      <c r="BD394" s="263"/>
      <c r="BE394" s="263"/>
      <c r="BF394" s="263"/>
      <c r="BG394" s="263"/>
      <c r="BH394" s="246"/>
      <c r="BI394" s="228" cm="1">
        <f t="array" ref="BI394">INDEX(Use, $AH394, 4)</f>
        <v>7</v>
      </c>
      <c r="BJ394" s="228">
        <f t="shared" si="598"/>
        <v>32</v>
      </c>
      <c r="BK394" s="228">
        <f t="shared" si="586"/>
        <v>13</v>
      </c>
      <c r="BL394" s="228">
        <f t="shared" si="587"/>
        <v>0</v>
      </c>
      <c r="BM394" s="233" cm="1">
        <f t="array" ref="BM394">L394/IF($M394&gt;0, INDEX($AY$22:$BE$76, $M394+20, $AH394), 1)</f>
        <v>0</v>
      </c>
      <c r="BN394" s="229">
        <f t="shared" si="599"/>
        <v>0</v>
      </c>
      <c r="BO394" s="228">
        <v>35</v>
      </c>
      <c r="BP394" s="229">
        <f t="shared" si="600"/>
        <v>48</v>
      </c>
      <c r="BQ394" s="234">
        <f t="shared" si="601"/>
        <v>3.0748170731707316</v>
      </c>
      <c r="BR394" s="234" cm="1">
        <f t="array" ref="BR394">$BM394 * SUMPRODUCT(INDEX($AV$76:$AX$81,,$AI394),INDEX($AY$76:$BE$81,,$AH394), N($AU$76:$AU$81&gt;$AM394)) / BQ394 / 1000</f>
        <v>0</v>
      </c>
      <c r="BS394" s="231">
        <f t="shared" si="588"/>
        <v>30</v>
      </c>
      <c r="BT394" s="229">
        <f t="shared" si="602"/>
        <v>43</v>
      </c>
      <c r="BU394" s="234">
        <f t="shared" si="603"/>
        <v>3.5018750000000001</v>
      </c>
      <c r="BV394" s="234" cm="1">
        <f t="array" ref="BV394">$BM394 * IF($AH394&lt;=2,
SUMPRODUCT(INDEX($AV$71:$AX$75,,$AI394), INDEX($AY$71:$BE$75,,$AH394), 1 / ($BF$71:$BF$75*BU394 + (1-$BF$71:$BF$75)*BQ394), N($AU$71:$AU$75&gt;$AM394)),
SUMPRODUCT(INDEX($AV$66:$AX$75,,$AI394), INDEX($AY$66:$BE$75,,$AH394), 1 / ($BG$66:$BG$75*BU394 + (1-$BG$66:$BG$75)*BQ394), N($AU$66:$AU$75&gt;$AM394))
) / 1000</f>
        <v>0</v>
      </c>
      <c r="BW394" s="231">
        <f t="shared" si="589"/>
        <v>25</v>
      </c>
      <c r="BX394" s="229">
        <f t="shared" si="604"/>
        <v>38</v>
      </c>
      <c r="BY394" s="234">
        <f t="shared" si="605"/>
        <v>4.0666935483870965</v>
      </c>
      <c r="BZ394" s="234" cm="1">
        <f t="array" ref="BZ394">$BM394 * IF($AH394&lt;=2,
SUMPRODUCT(INDEX($AV$66:$AX$70,,$AI394), INDEX($AY$66:$BE$70,,$AH394), 1 / ($BF$66:$BF$70*BY394 + (1-$BF$66:$BF$70)*BU394), N($AU$66:$AU$70&gt;$AM394)),
SUMPRODUCT(INDEX($AV$56:$AX$65,,$AI394), INDEX($AY$56:$BE$65,,$AH394), 1 / ($BG$56:$BG$65*BY394 + (1-$BG$56:$BG$65)*BU394), N($AU$56:$AU$65&gt;$AM394))
) / 1000</f>
        <v>0</v>
      </c>
      <c r="CA394" s="231">
        <f t="shared" si="590"/>
        <v>20</v>
      </c>
      <c r="CB394" s="229">
        <f t="shared" si="606"/>
        <v>33</v>
      </c>
      <c r="CC394" s="234">
        <f t="shared" si="607"/>
        <v>4.8487499999999999</v>
      </c>
      <c r="CD394" s="234" cm="1">
        <f t="array" ref="CD394">$BM394 * IF($AH394&lt;=2,
SUMPRODUCT(INDEX($AV$61:$AX$65,,$AI394), INDEX($AY$61:$BE$65,,$AH394), 1 / ($BF$61:$BF$65*CC394 + (1-$BF$61:$BF$65)*BY394), N($AU$61:$AU$65&gt;$AM394)),
SUMPRODUCT(INDEX($AV$46:$AX$55,,$AI394), INDEX($AY$46:$BE$55,,$AH394), 1 / ($BG$46:$BG$55*CC394 + (1-$BG$46:$BG$55)*BY394), N($AU$46:$AU$55&gt;$AM394))
) / 1000</f>
        <v>0</v>
      </c>
      <c r="CE394" s="234" cm="1">
        <f t="array" ref="CE394">$BM394 * IF($AH394&lt;=2,
SUMPRODUCT(INDEX($AV$22:$AX$60,,$AI394), INDEX($AY$22:$BE$60,,$AH394), 1 / ($BF$22:$BF$60*CC394), N($AU$22:$AU$60&gt;$AM394)),
SUMPRODUCT(INDEX($AV$22:$AX$45,,$AI394), INDEX($AY$22:$BE$45,,$AH394), 1 / ($BG$22:$BG$45*CC394), N($AU$22:$AU$45&gt;$AM394))
) / 1000</f>
        <v>0</v>
      </c>
      <c r="CF394" s="229">
        <f t="shared" si="608"/>
        <v>0</v>
      </c>
      <c r="CG394" s="246"/>
      <c r="CH394" s="229">
        <f t="shared" si="609"/>
        <v>0</v>
      </c>
      <c r="CI394" s="228">
        <v>35</v>
      </c>
      <c r="CJ394" s="229">
        <f t="shared" si="610"/>
        <v>48</v>
      </c>
      <c r="CK394" s="234">
        <f t="shared" si="611"/>
        <v>3.0748170731707316</v>
      </c>
      <c r="CL394" s="234" cm="1">
        <f t="array" ref="CL394">$BM394 * SUMPRODUCT(INDEX($AV$76:$AX$81,,$AI394),INDEX($AY$76:$BE$81,,$AH394), N($AU$76:$AU$81&gt;$AM394)) / CK394 / 1000</f>
        <v>0</v>
      </c>
      <c r="CM394" s="231">
        <f t="shared" si="591"/>
        <v>30</v>
      </c>
      <c r="CN394" s="229">
        <f t="shared" si="612"/>
        <v>43</v>
      </c>
      <c r="CO394" s="234">
        <f t="shared" si="613"/>
        <v>3.5018750000000001</v>
      </c>
      <c r="CP394" s="234" cm="1">
        <f t="array" ref="CP394">$BM394 * IF($AH394&lt;=2,
SUMPRODUCT(INDEX($AV$71:$AX$75,,$AI394), INDEX($AY$71:$BE$75,,$AH394), 1 / ($BF$71:$BF$75*CO394 + (1-$BF$71:$BF$75)*CK394), N($AU$71:$AU$75&gt;$AM394)),
SUMPRODUCT(INDEX($AV$66:$AX$75,,$AI394), INDEX($AY$66:$BE$75,,$AH394), 1 / ($BG$66:$BG$75*CO394 + (1-$BG$66:$BG$75)*CK394), N($AU$66:$AU$75&gt;$AM394))
) / 1000</f>
        <v>0</v>
      </c>
      <c r="CQ394" s="231">
        <f t="shared" si="592"/>
        <v>25</v>
      </c>
      <c r="CR394" s="229">
        <f t="shared" si="614"/>
        <v>38</v>
      </c>
      <c r="CS394" s="234">
        <f t="shared" si="615"/>
        <v>4.0666935483870965</v>
      </c>
      <c r="CT394" s="234" cm="1">
        <f t="array" ref="CT394">$BM394 * IF($AH394&lt;=2,
SUMPRODUCT(INDEX($AV$66:$AX$70,,$AI394), INDEX($AY$66:$BE$70,,$AH394), 1 / ($BF$66:$BF$70*CS394 + (1-$BF$66:$BF$70)*CO394), N($AU$66:$AU$70&gt;$AM394)),
SUMPRODUCT(INDEX($AV$56:$AX$65,,$AI394), INDEX($AY$56:$BE$65,,$AH394), 1 / ($BG$56:$BG$65*CS394 + (1-$BG$56:$BG$65)*CO394), N($AU$56:$AU$65&gt;$AM394))
) / 1000</f>
        <v>0</v>
      </c>
      <c r="CU394" s="231">
        <f t="shared" si="593"/>
        <v>20</v>
      </c>
      <c r="CV394" s="229">
        <f t="shared" si="616"/>
        <v>33</v>
      </c>
      <c r="CW394" s="234">
        <f t="shared" si="617"/>
        <v>4.8487499999999999</v>
      </c>
      <c r="CX394" s="234" cm="1">
        <f t="array" ref="CX394">$BM394 * IF($AH394&lt;=2,
SUMPRODUCT(INDEX($AV$61:$AX$65,,$AI394), INDEX($AY$61:$BE$65,,$AH394), 1 / ($BF$61:$BF$65*CW394 + (1-$BF$61:$BF$65)*CS394), N($AU$61:$AU$65&gt;$AM394)),
SUMPRODUCT(INDEX($AV$46:$AX$55,,$AI394), INDEX($AY$46:$BE$55,,$AH394), 1 / ($BG$46:$BG$55*CW394 + (1-$BG$46:$BG$55)*CS394), N($AU$46:$AU$55&gt;$AM394))
) / 1000</f>
        <v>0</v>
      </c>
      <c r="CY394" s="234" cm="1">
        <f t="array" ref="CY394">$BM394 * IF($AH394&lt;=2,
SUMPRODUCT(INDEX($AV$22:$AX$60,,$AI394), INDEX($AY$22:$BE$60,,$AH394), 1 / ($BF$22:$BF$60*CW394), N($AU$22:$AU$60&gt;$AM394)),
SUMPRODUCT(INDEX($AV$22:$AX$45,,$AI394), INDEX($AY$22:$BE$45,,$AH394), 1 / ($BG$22:$BG$45*CW394), N($AU$22:$AU$45&gt;$AM394))
) / 1000</f>
        <v>0</v>
      </c>
      <c r="CZ394" s="229">
        <f t="shared" si="618"/>
        <v>0</v>
      </c>
      <c r="DA394" s="246"/>
    </row>
    <row r="395" spans="1:105" s="75" customFormat="1" ht="14.25" customHeight="1" x14ac:dyDescent="0.2">
      <c r="A395" s="230" t="b">
        <f t="shared" si="585"/>
        <v>0</v>
      </c>
      <c r="B395" s="253">
        <v>374</v>
      </c>
      <c r="C395" s="266"/>
      <c r="D395" s="266"/>
      <c r="E395" s="254"/>
      <c r="F395" s="255" t="str">
        <f>IF(ISBLANK(E395), "", VLOOKUP(E395, Z!$A$2:$C$4127, 3, FALSE))</f>
        <v/>
      </c>
      <c r="G395" s="256"/>
      <c r="H395" s="256"/>
      <c r="I395" s="256"/>
      <c r="J395" s="257"/>
      <c r="K395" s="258"/>
      <c r="L395" s="267"/>
      <c r="M395" s="268"/>
      <c r="N395" s="259" t="str" cm="1">
        <f t="array" ref="N395">IF($L395&gt;0, INDEX(Clean,1+AK395,$D$1), "")</f>
        <v/>
      </c>
      <c r="O395" s="260"/>
      <c r="P395" s="260"/>
      <c r="Q395" s="261"/>
      <c r="R395" s="264">
        <f t="shared" si="594"/>
        <v>0</v>
      </c>
      <c r="S395" s="259" t="str" cm="1">
        <f t="array" ref="S395">IF($L395&gt;0, INDEX(Clean,1+AL395,$D$1), "")</f>
        <v/>
      </c>
      <c r="T395" s="260"/>
      <c r="U395" s="260"/>
      <c r="V395" s="261"/>
      <c r="W395" s="267"/>
      <c r="X395" s="267"/>
      <c r="Y395" s="257"/>
      <c r="Z395" s="264">
        <f t="shared" si="595"/>
        <v>0</v>
      </c>
      <c r="AA395" s="269"/>
      <c r="AB395" s="266"/>
      <c r="AC395" s="254"/>
      <c r="AD395" s="255" t="str">
        <f>IF(ISBLANK(AC395), "", VLOOKUP(AC395, Z!$A$2:$C$4127, 3, FALSE))</f>
        <v/>
      </c>
      <c r="AE395" s="270"/>
      <c r="AF395" s="265">
        <f t="shared" si="596"/>
        <v>0</v>
      </c>
      <c r="AG395" s="246"/>
      <c r="AH395" s="228">
        <f t="shared" si="619"/>
        <v>1</v>
      </c>
      <c r="AI395" s="228">
        <f t="shared" si="620"/>
        <v>1</v>
      </c>
      <c r="AJ395" s="228">
        <f t="shared" si="621"/>
        <v>0</v>
      </c>
      <c r="AK395" s="228">
        <v>0</v>
      </c>
      <c r="AL395" s="228">
        <v>0</v>
      </c>
      <c r="AM395" s="228">
        <f t="shared" si="597"/>
        <v>-100</v>
      </c>
      <c r="AN395" s="228" cm="1">
        <f t="array" ref="AN395">IF(ISBLANK(G395), 1, IFERROR(MATCH(G395, INDEX(Kat,,1), 0), IFERROR(MATCH(Kat, INDEX(Use,,2), 0), MATCH(Kat, INDEX(Use,,3), 0))))</f>
        <v>1</v>
      </c>
      <c r="AO395" s="246"/>
      <c r="AP395" s="228" cm="1">
        <f t="array" ref="AP395">IF(W395&gt;0, INDEX(Kat, AN395,4), 0)</f>
        <v>0</v>
      </c>
      <c r="AQ395" s="228">
        <f t="shared" si="622"/>
        <v>0</v>
      </c>
      <c r="AR395" s="228" cm="1">
        <f t="array" ref="AR395">IF(X395&gt;0, INDEX(Kat, $AN395, 4+AQ395), 0)</f>
        <v>0</v>
      </c>
      <c r="AS395" s="228" cm="1">
        <f t="array" ref="AS395">IF(X395&gt;0, INDEX(Kat, $AN395, 9+AQ395), 0)</f>
        <v>0</v>
      </c>
      <c r="AT395" s="246"/>
      <c r="AU395" s="262"/>
      <c r="AV395" s="262"/>
      <c r="AW395" s="263"/>
      <c r="AX395" s="263"/>
      <c r="AY395" s="263"/>
      <c r="AZ395" s="263"/>
      <c r="BA395" s="263"/>
      <c r="BB395" s="263"/>
      <c r="BC395" s="263"/>
      <c r="BD395" s="263"/>
      <c r="BE395" s="263"/>
      <c r="BF395" s="263"/>
      <c r="BG395" s="263"/>
      <c r="BH395" s="246"/>
      <c r="BI395" s="228" cm="1">
        <f t="array" ref="BI395">INDEX(Use, $AH395, 4)</f>
        <v>7</v>
      </c>
      <c r="BJ395" s="228">
        <f t="shared" si="598"/>
        <v>32</v>
      </c>
      <c r="BK395" s="228">
        <f t="shared" si="586"/>
        <v>13</v>
      </c>
      <c r="BL395" s="228">
        <f t="shared" si="587"/>
        <v>0</v>
      </c>
      <c r="BM395" s="233" cm="1">
        <f t="array" ref="BM395">L395/IF($M395&gt;0, INDEX($AY$22:$BE$76, $M395+20, $AH395), 1)</f>
        <v>0</v>
      </c>
      <c r="BN395" s="229">
        <f t="shared" si="599"/>
        <v>0</v>
      </c>
      <c r="BO395" s="228">
        <v>35</v>
      </c>
      <c r="BP395" s="229">
        <f t="shared" si="600"/>
        <v>48</v>
      </c>
      <c r="BQ395" s="234">
        <f t="shared" si="601"/>
        <v>3.0748170731707316</v>
      </c>
      <c r="BR395" s="234" cm="1">
        <f t="array" ref="BR395">$BM395 * SUMPRODUCT(INDEX($AV$76:$AX$81,,$AI395),INDEX($AY$76:$BE$81,,$AH395), N($AU$76:$AU$81&gt;$AM395)) / BQ395 / 1000</f>
        <v>0</v>
      </c>
      <c r="BS395" s="231">
        <f t="shared" si="588"/>
        <v>30</v>
      </c>
      <c r="BT395" s="229">
        <f t="shared" si="602"/>
        <v>43</v>
      </c>
      <c r="BU395" s="234">
        <f t="shared" si="603"/>
        <v>3.5018750000000001</v>
      </c>
      <c r="BV395" s="234" cm="1">
        <f t="array" ref="BV395">$BM395 * IF($AH395&lt;=2,
SUMPRODUCT(INDEX($AV$71:$AX$75,,$AI395), INDEX($AY$71:$BE$75,,$AH395), 1 / ($BF$71:$BF$75*BU395 + (1-$BF$71:$BF$75)*BQ395), N($AU$71:$AU$75&gt;$AM395)),
SUMPRODUCT(INDEX($AV$66:$AX$75,,$AI395), INDEX($AY$66:$BE$75,,$AH395), 1 / ($BG$66:$BG$75*BU395 + (1-$BG$66:$BG$75)*BQ395), N($AU$66:$AU$75&gt;$AM395))
) / 1000</f>
        <v>0</v>
      </c>
      <c r="BW395" s="231">
        <f t="shared" si="589"/>
        <v>25</v>
      </c>
      <c r="BX395" s="229">
        <f t="shared" si="604"/>
        <v>38</v>
      </c>
      <c r="BY395" s="234">
        <f t="shared" si="605"/>
        <v>4.0666935483870965</v>
      </c>
      <c r="BZ395" s="234" cm="1">
        <f t="array" ref="BZ395">$BM395 * IF($AH395&lt;=2,
SUMPRODUCT(INDEX($AV$66:$AX$70,,$AI395), INDEX($AY$66:$BE$70,,$AH395), 1 / ($BF$66:$BF$70*BY395 + (1-$BF$66:$BF$70)*BU395), N($AU$66:$AU$70&gt;$AM395)),
SUMPRODUCT(INDEX($AV$56:$AX$65,,$AI395), INDEX($AY$56:$BE$65,,$AH395), 1 / ($BG$56:$BG$65*BY395 + (1-$BG$56:$BG$65)*BU395), N($AU$56:$AU$65&gt;$AM395))
) / 1000</f>
        <v>0</v>
      </c>
      <c r="CA395" s="231">
        <f t="shared" si="590"/>
        <v>20</v>
      </c>
      <c r="CB395" s="229">
        <f t="shared" si="606"/>
        <v>33</v>
      </c>
      <c r="CC395" s="234">
        <f t="shared" si="607"/>
        <v>4.8487499999999999</v>
      </c>
      <c r="CD395" s="234" cm="1">
        <f t="array" ref="CD395">$BM395 * IF($AH395&lt;=2,
SUMPRODUCT(INDEX($AV$61:$AX$65,,$AI395), INDEX($AY$61:$BE$65,,$AH395), 1 / ($BF$61:$BF$65*CC395 + (1-$BF$61:$BF$65)*BY395), N($AU$61:$AU$65&gt;$AM395)),
SUMPRODUCT(INDEX($AV$46:$AX$55,,$AI395), INDEX($AY$46:$BE$55,,$AH395), 1 / ($BG$46:$BG$55*CC395 + (1-$BG$46:$BG$55)*BY395), N($AU$46:$AU$55&gt;$AM395))
) / 1000</f>
        <v>0</v>
      </c>
      <c r="CE395" s="234" cm="1">
        <f t="array" ref="CE395">$BM395 * IF($AH395&lt;=2,
SUMPRODUCT(INDEX($AV$22:$AX$60,,$AI395), INDEX($AY$22:$BE$60,,$AH395), 1 / ($BF$22:$BF$60*CC395), N($AU$22:$AU$60&gt;$AM395)),
SUMPRODUCT(INDEX($AV$22:$AX$45,,$AI395), INDEX($AY$22:$BE$45,,$AH395), 1 / ($BG$22:$BG$45*CC395), N($AU$22:$AU$45&gt;$AM395))
) / 1000</f>
        <v>0</v>
      </c>
      <c r="CF395" s="229">
        <f t="shared" si="608"/>
        <v>0</v>
      </c>
      <c r="CG395" s="246"/>
      <c r="CH395" s="229">
        <f t="shared" si="609"/>
        <v>0</v>
      </c>
      <c r="CI395" s="228">
        <v>35</v>
      </c>
      <c r="CJ395" s="229">
        <f t="shared" si="610"/>
        <v>48</v>
      </c>
      <c r="CK395" s="234">
        <f t="shared" si="611"/>
        <v>3.0748170731707316</v>
      </c>
      <c r="CL395" s="234" cm="1">
        <f t="array" ref="CL395">$BM395 * SUMPRODUCT(INDEX($AV$76:$AX$81,,$AI395),INDEX($AY$76:$BE$81,,$AH395), N($AU$76:$AU$81&gt;$AM395)) / CK395 / 1000</f>
        <v>0</v>
      </c>
      <c r="CM395" s="231">
        <f t="shared" si="591"/>
        <v>30</v>
      </c>
      <c r="CN395" s="229">
        <f t="shared" si="612"/>
        <v>43</v>
      </c>
      <c r="CO395" s="234">
        <f t="shared" si="613"/>
        <v>3.5018750000000001</v>
      </c>
      <c r="CP395" s="234" cm="1">
        <f t="array" ref="CP395">$BM395 * IF($AH395&lt;=2,
SUMPRODUCT(INDEX($AV$71:$AX$75,,$AI395), INDEX($AY$71:$BE$75,,$AH395), 1 / ($BF$71:$BF$75*CO395 + (1-$BF$71:$BF$75)*CK395), N($AU$71:$AU$75&gt;$AM395)),
SUMPRODUCT(INDEX($AV$66:$AX$75,,$AI395), INDEX($AY$66:$BE$75,,$AH395), 1 / ($BG$66:$BG$75*CO395 + (1-$BG$66:$BG$75)*CK395), N($AU$66:$AU$75&gt;$AM395))
) / 1000</f>
        <v>0</v>
      </c>
      <c r="CQ395" s="231">
        <f t="shared" si="592"/>
        <v>25</v>
      </c>
      <c r="CR395" s="229">
        <f t="shared" si="614"/>
        <v>38</v>
      </c>
      <c r="CS395" s="234">
        <f t="shared" si="615"/>
        <v>4.0666935483870965</v>
      </c>
      <c r="CT395" s="234" cm="1">
        <f t="array" ref="CT395">$BM395 * IF($AH395&lt;=2,
SUMPRODUCT(INDEX($AV$66:$AX$70,,$AI395), INDEX($AY$66:$BE$70,,$AH395), 1 / ($BF$66:$BF$70*CS395 + (1-$BF$66:$BF$70)*CO395), N($AU$66:$AU$70&gt;$AM395)),
SUMPRODUCT(INDEX($AV$56:$AX$65,,$AI395), INDEX($AY$56:$BE$65,,$AH395), 1 / ($BG$56:$BG$65*CS395 + (1-$BG$56:$BG$65)*CO395), N($AU$56:$AU$65&gt;$AM395))
) / 1000</f>
        <v>0</v>
      </c>
      <c r="CU395" s="231">
        <f t="shared" si="593"/>
        <v>20</v>
      </c>
      <c r="CV395" s="229">
        <f t="shared" si="616"/>
        <v>33</v>
      </c>
      <c r="CW395" s="234">
        <f t="shared" si="617"/>
        <v>4.8487499999999999</v>
      </c>
      <c r="CX395" s="234" cm="1">
        <f t="array" ref="CX395">$BM395 * IF($AH395&lt;=2,
SUMPRODUCT(INDEX($AV$61:$AX$65,,$AI395), INDEX($AY$61:$BE$65,,$AH395), 1 / ($BF$61:$BF$65*CW395 + (1-$BF$61:$BF$65)*CS395), N($AU$61:$AU$65&gt;$AM395)),
SUMPRODUCT(INDEX($AV$46:$AX$55,,$AI395), INDEX($AY$46:$BE$55,,$AH395), 1 / ($BG$46:$BG$55*CW395 + (1-$BG$46:$BG$55)*CS395), N($AU$46:$AU$55&gt;$AM395))
) / 1000</f>
        <v>0</v>
      </c>
      <c r="CY395" s="234" cm="1">
        <f t="array" ref="CY395">$BM395 * IF($AH395&lt;=2,
SUMPRODUCT(INDEX($AV$22:$AX$60,,$AI395), INDEX($AY$22:$BE$60,,$AH395), 1 / ($BF$22:$BF$60*CW395), N($AU$22:$AU$60&gt;$AM395)),
SUMPRODUCT(INDEX($AV$22:$AX$45,,$AI395), INDEX($AY$22:$BE$45,,$AH395), 1 / ($BG$22:$BG$45*CW395), N($AU$22:$AU$45&gt;$AM395))
) / 1000</f>
        <v>0</v>
      </c>
      <c r="CZ395" s="229">
        <f t="shared" si="618"/>
        <v>0</v>
      </c>
      <c r="DA395" s="246"/>
    </row>
    <row r="396" spans="1:105" s="75" customFormat="1" ht="14.25" customHeight="1" x14ac:dyDescent="0.2">
      <c r="A396" s="230" t="b">
        <f t="shared" si="585"/>
        <v>0</v>
      </c>
      <c r="B396" s="253">
        <v>375</v>
      </c>
      <c r="C396" s="266"/>
      <c r="D396" s="266"/>
      <c r="E396" s="254"/>
      <c r="F396" s="255" t="str">
        <f>IF(ISBLANK(E396), "", VLOOKUP(E396, Z!$A$2:$C$4127, 3, FALSE))</f>
        <v/>
      </c>
      <c r="G396" s="256"/>
      <c r="H396" s="256"/>
      <c r="I396" s="256"/>
      <c r="J396" s="257"/>
      <c r="K396" s="258"/>
      <c r="L396" s="267"/>
      <c r="M396" s="268"/>
      <c r="N396" s="259" t="str" cm="1">
        <f t="array" ref="N396">IF($L396&gt;0, INDEX(Clean,1+AK396,$D$1), "")</f>
        <v/>
      </c>
      <c r="O396" s="260"/>
      <c r="P396" s="260"/>
      <c r="Q396" s="261"/>
      <c r="R396" s="264">
        <f t="shared" si="594"/>
        <v>0</v>
      </c>
      <c r="S396" s="259" t="str" cm="1">
        <f t="array" ref="S396">IF($L396&gt;0, INDEX(Clean,1+AL396,$D$1), "")</f>
        <v/>
      </c>
      <c r="T396" s="260"/>
      <c r="U396" s="260"/>
      <c r="V396" s="261"/>
      <c r="W396" s="267"/>
      <c r="X396" s="267"/>
      <c r="Y396" s="257"/>
      <c r="Z396" s="264">
        <f t="shared" si="595"/>
        <v>0</v>
      </c>
      <c r="AA396" s="269"/>
      <c r="AB396" s="266"/>
      <c r="AC396" s="254"/>
      <c r="AD396" s="255" t="str">
        <f>IF(ISBLANK(AC396), "", VLOOKUP(AC396, Z!$A$2:$C$4127, 3, FALSE))</f>
        <v/>
      </c>
      <c r="AE396" s="270"/>
      <c r="AF396" s="265">
        <f t="shared" si="596"/>
        <v>0</v>
      </c>
      <c r="AG396" s="246"/>
      <c r="AH396" s="228">
        <f t="shared" si="619"/>
        <v>1</v>
      </c>
      <c r="AI396" s="228">
        <f t="shared" si="620"/>
        <v>1</v>
      </c>
      <c r="AJ396" s="228">
        <f t="shared" si="621"/>
        <v>0</v>
      </c>
      <c r="AK396" s="228">
        <v>0</v>
      </c>
      <c r="AL396" s="228">
        <v>0</v>
      </c>
      <c r="AM396" s="228">
        <f t="shared" si="597"/>
        <v>-100</v>
      </c>
      <c r="AN396" s="228" cm="1">
        <f t="array" ref="AN396">IF(ISBLANK(G396), 1, IFERROR(MATCH(G396, INDEX(Kat,,1), 0), IFERROR(MATCH(Kat, INDEX(Use,,2), 0), MATCH(Kat, INDEX(Use,,3), 0))))</f>
        <v>1</v>
      </c>
      <c r="AO396" s="246"/>
      <c r="AP396" s="228" cm="1">
        <f t="array" ref="AP396">IF(W396&gt;0, INDEX(Kat, AN396,4), 0)</f>
        <v>0</v>
      </c>
      <c r="AQ396" s="228">
        <f t="shared" si="622"/>
        <v>0</v>
      </c>
      <c r="AR396" s="228" cm="1">
        <f t="array" ref="AR396">IF(X396&gt;0, INDEX(Kat, $AN396, 4+AQ396), 0)</f>
        <v>0</v>
      </c>
      <c r="AS396" s="228" cm="1">
        <f t="array" ref="AS396">IF(X396&gt;0, INDEX(Kat, $AN396, 9+AQ396), 0)</f>
        <v>0</v>
      </c>
      <c r="AT396" s="246"/>
      <c r="AU396" s="262"/>
      <c r="AV396" s="262"/>
      <c r="AW396" s="263"/>
      <c r="AX396" s="263"/>
      <c r="AY396" s="263"/>
      <c r="AZ396" s="263"/>
      <c r="BA396" s="263"/>
      <c r="BB396" s="263"/>
      <c r="BC396" s="263"/>
      <c r="BD396" s="263"/>
      <c r="BE396" s="263"/>
      <c r="BF396" s="263"/>
      <c r="BG396" s="263"/>
      <c r="BH396" s="246"/>
      <c r="BI396" s="228" cm="1">
        <f t="array" ref="BI396">INDEX(Use, $AH396, 4)</f>
        <v>7</v>
      </c>
      <c r="BJ396" s="228">
        <f t="shared" si="598"/>
        <v>32</v>
      </c>
      <c r="BK396" s="228">
        <f t="shared" si="586"/>
        <v>13</v>
      </c>
      <c r="BL396" s="228">
        <f t="shared" si="587"/>
        <v>0</v>
      </c>
      <c r="BM396" s="233" cm="1">
        <f t="array" ref="BM396">L396/IF($M396&gt;0, INDEX($AY$22:$BE$76, $M396+20, $AH396), 1)</f>
        <v>0</v>
      </c>
      <c r="BN396" s="229">
        <f t="shared" si="599"/>
        <v>0</v>
      </c>
      <c r="BO396" s="228">
        <v>35</v>
      </c>
      <c r="BP396" s="229">
        <f t="shared" si="600"/>
        <v>48</v>
      </c>
      <c r="BQ396" s="234">
        <f t="shared" si="601"/>
        <v>3.0748170731707316</v>
      </c>
      <c r="BR396" s="234" cm="1">
        <f t="array" ref="BR396">$BM396 * SUMPRODUCT(INDEX($AV$76:$AX$81,,$AI396),INDEX($AY$76:$BE$81,,$AH396), N($AU$76:$AU$81&gt;$AM396)) / BQ396 / 1000</f>
        <v>0</v>
      </c>
      <c r="BS396" s="231">
        <f t="shared" si="588"/>
        <v>30</v>
      </c>
      <c r="BT396" s="229">
        <f t="shared" si="602"/>
        <v>43</v>
      </c>
      <c r="BU396" s="234">
        <f t="shared" si="603"/>
        <v>3.5018750000000001</v>
      </c>
      <c r="BV396" s="234" cm="1">
        <f t="array" ref="BV396">$BM396 * IF($AH396&lt;=2,
SUMPRODUCT(INDEX($AV$71:$AX$75,,$AI396), INDEX($AY$71:$BE$75,,$AH396), 1 / ($BF$71:$BF$75*BU396 + (1-$BF$71:$BF$75)*BQ396), N($AU$71:$AU$75&gt;$AM396)),
SUMPRODUCT(INDEX($AV$66:$AX$75,,$AI396), INDEX($AY$66:$BE$75,,$AH396), 1 / ($BG$66:$BG$75*BU396 + (1-$BG$66:$BG$75)*BQ396), N($AU$66:$AU$75&gt;$AM396))
) / 1000</f>
        <v>0</v>
      </c>
      <c r="BW396" s="231">
        <f t="shared" si="589"/>
        <v>25</v>
      </c>
      <c r="BX396" s="229">
        <f t="shared" si="604"/>
        <v>38</v>
      </c>
      <c r="BY396" s="234">
        <f t="shared" si="605"/>
        <v>4.0666935483870965</v>
      </c>
      <c r="BZ396" s="234" cm="1">
        <f t="array" ref="BZ396">$BM396 * IF($AH396&lt;=2,
SUMPRODUCT(INDEX($AV$66:$AX$70,,$AI396), INDEX($AY$66:$BE$70,,$AH396), 1 / ($BF$66:$BF$70*BY396 + (1-$BF$66:$BF$70)*BU396), N($AU$66:$AU$70&gt;$AM396)),
SUMPRODUCT(INDEX($AV$56:$AX$65,,$AI396), INDEX($AY$56:$BE$65,,$AH396), 1 / ($BG$56:$BG$65*BY396 + (1-$BG$56:$BG$65)*BU396), N($AU$56:$AU$65&gt;$AM396))
) / 1000</f>
        <v>0</v>
      </c>
      <c r="CA396" s="231">
        <f t="shared" si="590"/>
        <v>20</v>
      </c>
      <c r="CB396" s="229">
        <f t="shared" si="606"/>
        <v>33</v>
      </c>
      <c r="CC396" s="234">
        <f t="shared" si="607"/>
        <v>4.8487499999999999</v>
      </c>
      <c r="CD396" s="234" cm="1">
        <f t="array" ref="CD396">$BM396 * IF($AH396&lt;=2,
SUMPRODUCT(INDEX($AV$61:$AX$65,,$AI396), INDEX($AY$61:$BE$65,,$AH396), 1 / ($BF$61:$BF$65*CC396 + (1-$BF$61:$BF$65)*BY396), N($AU$61:$AU$65&gt;$AM396)),
SUMPRODUCT(INDEX($AV$46:$AX$55,,$AI396), INDEX($AY$46:$BE$55,,$AH396), 1 / ($BG$46:$BG$55*CC396 + (1-$BG$46:$BG$55)*BY396), N($AU$46:$AU$55&gt;$AM396))
) / 1000</f>
        <v>0</v>
      </c>
      <c r="CE396" s="234" cm="1">
        <f t="array" ref="CE396">$BM396 * IF($AH396&lt;=2,
SUMPRODUCT(INDEX($AV$22:$AX$60,,$AI396), INDEX($AY$22:$BE$60,,$AH396), 1 / ($BF$22:$BF$60*CC396), N($AU$22:$AU$60&gt;$AM396)),
SUMPRODUCT(INDEX($AV$22:$AX$45,,$AI396), INDEX($AY$22:$BE$45,,$AH396), 1 / ($BG$22:$BG$45*CC396), N($AU$22:$AU$45&gt;$AM396))
) / 1000</f>
        <v>0</v>
      </c>
      <c r="CF396" s="229">
        <f t="shared" si="608"/>
        <v>0</v>
      </c>
      <c r="CG396" s="246"/>
      <c r="CH396" s="229">
        <f t="shared" si="609"/>
        <v>0</v>
      </c>
      <c r="CI396" s="228">
        <v>35</v>
      </c>
      <c r="CJ396" s="229">
        <f t="shared" si="610"/>
        <v>48</v>
      </c>
      <c r="CK396" s="234">
        <f t="shared" si="611"/>
        <v>3.0748170731707316</v>
      </c>
      <c r="CL396" s="234" cm="1">
        <f t="array" ref="CL396">$BM396 * SUMPRODUCT(INDEX($AV$76:$AX$81,,$AI396),INDEX($AY$76:$BE$81,,$AH396), N($AU$76:$AU$81&gt;$AM396)) / CK396 / 1000</f>
        <v>0</v>
      </c>
      <c r="CM396" s="231">
        <f t="shared" si="591"/>
        <v>30</v>
      </c>
      <c r="CN396" s="229">
        <f t="shared" si="612"/>
        <v>43</v>
      </c>
      <c r="CO396" s="234">
        <f t="shared" si="613"/>
        <v>3.5018750000000001</v>
      </c>
      <c r="CP396" s="234" cm="1">
        <f t="array" ref="CP396">$BM396 * IF($AH396&lt;=2,
SUMPRODUCT(INDEX($AV$71:$AX$75,,$AI396), INDEX($AY$71:$BE$75,,$AH396), 1 / ($BF$71:$BF$75*CO396 + (1-$BF$71:$BF$75)*CK396), N($AU$71:$AU$75&gt;$AM396)),
SUMPRODUCT(INDEX($AV$66:$AX$75,,$AI396), INDEX($AY$66:$BE$75,,$AH396), 1 / ($BG$66:$BG$75*CO396 + (1-$BG$66:$BG$75)*CK396), N($AU$66:$AU$75&gt;$AM396))
) / 1000</f>
        <v>0</v>
      </c>
      <c r="CQ396" s="231">
        <f t="shared" si="592"/>
        <v>25</v>
      </c>
      <c r="CR396" s="229">
        <f t="shared" si="614"/>
        <v>38</v>
      </c>
      <c r="CS396" s="234">
        <f t="shared" si="615"/>
        <v>4.0666935483870965</v>
      </c>
      <c r="CT396" s="234" cm="1">
        <f t="array" ref="CT396">$BM396 * IF($AH396&lt;=2,
SUMPRODUCT(INDEX($AV$66:$AX$70,,$AI396), INDEX($AY$66:$BE$70,,$AH396), 1 / ($BF$66:$BF$70*CS396 + (1-$BF$66:$BF$70)*CO396), N($AU$66:$AU$70&gt;$AM396)),
SUMPRODUCT(INDEX($AV$56:$AX$65,,$AI396), INDEX($AY$56:$BE$65,,$AH396), 1 / ($BG$56:$BG$65*CS396 + (1-$BG$56:$BG$65)*CO396), N($AU$56:$AU$65&gt;$AM396))
) / 1000</f>
        <v>0</v>
      </c>
      <c r="CU396" s="231">
        <f t="shared" si="593"/>
        <v>20</v>
      </c>
      <c r="CV396" s="229">
        <f t="shared" si="616"/>
        <v>33</v>
      </c>
      <c r="CW396" s="234">
        <f t="shared" si="617"/>
        <v>4.8487499999999999</v>
      </c>
      <c r="CX396" s="234" cm="1">
        <f t="array" ref="CX396">$BM396 * IF($AH396&lt;=2,
SUMPRODUCT(INDEX($AV$61:$AX$65,,$AI396), INDEX($AY$61:$BE$65,,$AH396), 1 / ($BF$61:$BF$65*CW396 + (1-$BF$61:$BF$65)*CS396), N($AU$61:$AU$65&gt;$AM396)),
SUMPRODUCT(INDEX($AV$46:$AX$55,,$AI396), INDEX($AY$46:$BE$55,,$AH396), 1 / ($BG$46:$BG$55*CW396 + (1-$BG$46:$BG$55)*CS396), N($AU$46:$AU$55&gt;$AM396))
) / 1000</f>
        <v>0</v>
      </c>
      <c r="CY396" s="234" cm="1">
        <f t="array" ref="CY396">$BM396 * IF($AH396&lt;=2,
SUMPRODUCT(INDEX($AV$22:$AX$60,,$AI396), INDEX($AY$22:$BE$60,,$AH396), 1 / ($BF$22:$BF$60*CW396), N($AU$22:$AU$60&gt;$AM396)),
SUMPRODUCT(INDEX($AV$22:$AX$45,,$AI396), INDEX($AY$22:$BE$45,,$AH396), 1 / ($BG$22:$BG$45*CW396), N($AU$22:$AU$45&gt;$AM396))
) / 1000</f>
        <v>0</v>
      </c>
      <c r="CZ396" s="229">
        <f t="shared" si="618"/>
        <v>0</v>
      </c>
      <c r="DA396" s="246"/>
    </row>
    <row r="397" spans="1:105" s="75" customFormat="1" ht="14.25" customHeight="1" x14ac:dyDescent="0.2">
      <c r="A397" s="230" t="b">
        <f t="shared" si="585"/>
        <v>0</v>
      </c>
      <c r="B397" s="253">
        <v>376</v>
      </c>
      <c r="C397" s="266"/>
      <c r="D397" s="266"/>
      <c r="E397" s="254"/>
      <c r="F397" s="255" t="str">
        <f>IF(ISBLANK(E397), "", VLOOKUP(E397, Z!$A$2:$C$4127, 3, FALSE))</f>
        <v/>
      </c>
      <c r="G397" s="256"/>
      <c r="H397" s="256"/>
      <c r="I397" s="256"/>
      <c r="J397" s="257"/>
      <c r="K397" s="258"/>
      <c r="L397" s="267"/>
      <c r="M397" s="268"/>
      <c r="N397" s="259" t="str" cm="1">
        <f t="array" ref="N397">IF($L397&gt;0, INDEX(Clean,1+AK397,$D$1), "")</f>
        <v/>
      </c>
      <c r="O397" s="260"/>
      <c r="P397" s="260"/>
      <c r="Q397" s="261"/>
      <c r="R397" s="264">
        <f t="shared" si="594"/>
        <v>0</v>
      </c>
      <c r="S397" s="259" t="str" cm="1">
        <f t="array" ref="S397">IF($L397&gt;0, INDEX(Clean,1+AL397,$D$1), "")</f>
        <v/>
      </c>
      <c r="T397" s="260"/>
      <c r="U397" s="260"/>
      <c r="V397" s="261"/>
      <c r="W397" s="267"/>
      <c r="X397" s="267"/>
      <c r="Y397" s="257"/>
      <c r="Z397" s="264">
        <f t="shared" si="595"/>
        <v>0</v>
      </c>
      <c r="AA397" s="269"/>
      <c r="AB397" s="266"/>
      <c r="AC397" s="254"/>
      <c r="AD397" s="255" t="str">
        <f>IF(ISBLANK(AC397), "", VLOOKUP(AC397, Z!$A$2:$C$4127, 3, FALSE))</f>
        <v/>
      </c>
      <c r="AE397" s="270"/>
      <c r="AF397" s="265">
        <f t="shared" si="596"/>
        <v>0</v>
      </c>
      <c r="AG397" s="246"/>
      <c r="AH397" s="228">
        <f t="shared" si="619"/>
        <v>1</v>
      </c>
      <c r="AI397" s="228">
        <f t="shared" si="620"/>
        <v>1</v>
      </c>
      <c r="AJ397" s="228">
        <f t="shared" si="621"/>
        <v>0</v>
      </c>
      <c r="AK397" s="228">
        <v>0</v>
      </c>
      <c r="AL397" s="228">
        <v>0</v>
      </c>
      <c r="AM397" s="228">
        <f t="shared" si="597"/>
        <v>-100</v>
      </c>
      <c r="AN397" s="228" cm="1">
        <f t="array" ref="AN397">IF(ISBLANK(G397), 1, IFERROR(MATCH(G397, INDEX(Kat,,1), 0), IFERROR(MATCH(Kat, INDEX(Use,,2), 0), MATCH(Kat, INDEX(Use,,3), 0))))</f>
        <v>1</v>
      </c>
      <c r="AO397" s="246"/>
      <c r="AP397" s="228" cm="1">
        <f t="array" ref="AP397">IF(W397&gt;0, INDEX(Kat, AN397,4), 0)</f>
        <v>0</v>
      </c>
      <c r="AQ397" s="228">
        <f t="shared" si="622"/>
        <v>0</v>
      </c>
      <c r="AR397" s="228" cm="1">
        <f t="array" ref="AR397">IF(X397&gt;0, INDEX(Kat, $AN397, 4+AQ397), 0)</f>
        <v>0</v>
      </c>
      <c r="AS397" s="228" cm="1">
        <f t="array" ref="AS397">IF(X397&gt;0, INDEX(Kat, $AN397, 9+AQ397), 0)</f>
        <v>0</v>
      </c>
      <c r="AT397" s="246"/>
      <c r="AU397" s="262"/>
      <c r="AV397" s="262"/>
      <c r="AW397" s="263"/>
      <c r="AX397" s="263"/>
      <c r="AY397" s="263"/>
      <c r="AZ397" s="263"/>
      <c r="BA397" s="263"/>
      <c r="BB397" s="263"/>
      <c r="BC397" s="263"/>
      <c r="BD397" s="263"/>
      <c r="BE397" s="263"/>
      <c r="BF397" s="263"/>
      <c r="BG397" s="263"/>
      <c r="BH397" s="246"/>
      <c r="BI397" s="228" cm="1">
        <f t="array" ref="BI397">INDEX(Use, $AH397, 4)</f>
        <v>7</v>
      </c>
      <c r="BJ397" s="228">
        <f t="shared" si="598"/>
        <v>32</v>
      </c>
      <c r="BK397" s="228">
        <f t="shared" si="586"/>
        <v>13</v>
      </c>
      <c r="BL397" s="228">
        <f t="shared" si="587"/>
        <v>0</v>
      </c>
      <c r="BM397" s="233" cm="1">
        <f t="array" ref="BM397">L397/IF($M397&gt;0, INDEX($AY$22:$BE$76, $M397+20, $AH397), 1)</f>
        <v>0</v>
      </c>
      <c r="BN397" s="229">
        <f t="shared" si="599"/>
        <v>0</v>
      </c>
      <c r="BO397" s="228">
        <v>35</v>
      </c>
      <c r="BP397" s="229">
        <f t="shared" si="600"/>
        <v>48</v>
      </c>
      <c r="BQ397" s="234">
        <f t="shared" si="601"/>
        <v>3.0748170731707316</v>
      </c>
      <c r="BR397" s="234" cm="1">
        <f t="array" ref="BR397">$BM397 * SUMPRODUCT(INDEX($AV$76:$AX$81,,$AI397),INDEX($AY$76:$BE$81,,$AH397), N($AU$76:$AU$81&gt;$AM397)) / BQ397 / 1000</f>
        <v>0</v>
      </c>
      <c r="BS397" s="231">
        <f t="shared" si="588"/>
        <v>30</v>
      </c>
      <c r="BT397" s="229">
        <f t="shared" si="602"/>
        <v>43</v>
      </c>
      <c r="BU397" s="234">
        <f t="shared" si="603"/>
        <v>3.5018750000000001</v>
      </c>
      <c r="BV397" s="234" cm="1">
        <f t="array" ref="BV397">$BM397 * IF($AH397&lt;=2,
SUMPRODUCT(INDEX($AV$71:$AX$75,,$AI397), INDEX($AY$71:$BE$75,,$AH397), 1 / ($BF$71:$BF$75*BU397 + (1-$BF$71:$BF$75)*BQ397), N($AU$71:$AU$75&gt;$AM397)),
SUMPRODUCT(INDEX($AV$66:$AX$75,,$AI397), INDEX($AY$66:$BE$75,,$AH397), 1 / ($BG$66:$BG$75*BU397 + (1-$BG$66:$BG$75)*BQ397), N($AU$66:$AU$75&gt;$AM397))
) / 1000</f>
        <v>0</v>
      </c>
      <c r="BW397" s="231">
        <f t="shared" si="589"/>
        <v>25</v>
      </c>
      <c r="BX397" s="229">
        <f t="shared" si="604"/>
        <v>38</v>
      </c>
      <c r="BY397" s="234">
        <f t="shared" si="605"/>
        <v>4.0666935483870965</v>
      </c>
      <c r="BZ397" s="234" cm="1">
        <f t="array" ref="BZ397">$BM397 * IF($AH397&lt;=2,
SUMPRODUCT(INDEX($AV$66:$AX$70,,$AI397), INDEX($AY$66:$BE$70,,$AH397), 1 / ($BF$66:$BF$70*BY397 + (1-$BF$66:$BF$70)*BU397), N($AU$66:$AU$70&gt;$AM397)),
SUMPRODUCT(INDEX($AV$56:$AX$65,,$AI397), INDEX($AY$56:$BE$65,,$AH397), 1 / ($BG$56:$BG$65*BY397 + (1-$BG$56:$BG$65)*BU397), N($AU$56:$AU$65&gt;$AM397))
) / 1000</f>
        <v>0</v>
      </c>
      <c r="CA397" s="231">
        <f t="shared" si="590"/>
        <v>20</v>
      </c>
      <c r="CB397" s="229">
        <f t="shared" si="606"/>
        <v>33</v>
      </c>
      <c r="CC397" s="234">
        <f t="shared" si="607"/>
        <v>4.8487499999999999</v>
      </c>
      <c r="CD397" s="234" cm="1">
        <f t="array" ref="CD397">$BM397 * IF($AH397&lt;=2,
SUMPRODUCT(INDEX($AV$61:$AX$65,,$AI397), INDEX($AY$61:$BE$65,,$AH397), 1 / ($BF$61:$BF$65*CC397 + (1-$BF$61:$BF$65)*BY397), N($AU$61:$AU$65&gt;$AM397)),
SUMPRODUCT(INDEX($AV$46:$AX$55,,$AI397), INDEX($AY$46:$BE$55,,$AH397), 1 / ($BG$46:$BG$55*CC397 + (1-$BG$46:$BG$55)*BY397), N($AU$46:$AU$55&gt;$AM397))
) / 1000</f>
        <v>0</v>
      </c>
      <c r="CE397" s="234" cm="1">
        <f t="array" ref="CE397">$BM397 * IF($AH397&lt;=2,
SUMPRODUCT(INDEX($AV$22:$AX$60,,$AI397), INDEX($AY$22:$BE$60,,$AH397), 1 / ($BF$22:$BF$60*CC397), N($AU$22:$AU$60&gt;$AM397)),
SUMPRODUCT(INDEX($AV$22:$AX$45,,$AI397), INDEX($AY$22:$BE$45,,$AH397), 1 / ($BG$22:$BG$45*CC397), N($AU$22:$AU$45&gt;$AM397))
) / 1000</f>
        <v>0</v>
      </c>
      <c r="CF397" s="229">
        <f t="shared" si="608"/>
        <v>0</v>
      </c>
      <c r="CG397" s="246"/>
      <c r="CH397" s="229">
        <f t="shared" si="609"/>
        <v>0</v>
      </c>
      <c r="CI397" s="228">
        <v>35</v>
      </c>
      <c r="CJ397" s="229">
        <f t="shared" si="610"/>
        <v>48</v>
      </c>
      <c r="CK397" s="234">
        <f t="shared" si="611"/>
        <v>3.0748170731707316</v>
      </c>
      <c r="CL397" s="234" cm="1">
        <f t="array" ref="CL397">$BM397 * SUMPRODUCT(INDEX($AV$76:$AX$81,,$AI397),INDEX($AY$76:$BE$81,,$AH397), N($AU$76:$AU$81&gt;$AM397)) / CK397 / 1000</f>
        <v>0</v>
      </c>
      <c r="CM397" s="231">
        <f t="shared" si="591"/>
        <v>30</v>
      </c>
      <c r="CN397" s="229">
        <f t="shared" si="612"/>
        <v>43</v>
      </c>
      <c r="CO397" s="234">
        <f t="shared" si="613"/>
        <v>3.5018750000000001</v>
      </c>
      <c r="CP397" s="234" cm="1">
        <f t="array" ref="CP397">$BM397 * IF($AH397&lt;=2,
SUMPRODUCT(INDEX($AV$71:$AX$75,,$AI397), INDEX($AY$71:$BE$75,,$AH397), 1 / ($BF$71:$BF$75*CO397 + (1-$BF$71:$BF$75)*CK397), N($AU$71:$AU$75&gt;$AM397)),
SUMPRODUCT(INDEX($AV$66:$AX$75,,$AI397), INDEX($AY$66:$BE$75,,$AH397), 1 / ($BG$66:$BG$75*CO397 + (1-$BG$66:$BG$75)*CK397), N($AU$66:$AU$75&gt;$AM397))
) / 1000</f>
        <v>0</v>
      </c>
      <c r="CQ397" s="231">
        <f t="shared" si="592"/>
        <v>25</v>
      </c>
      <c r="CR397" s="229">
        <f t="shared" si="614"/>
        <v>38</v>
      </c>
      <c r="CS397" s="234">
        <f t="shared" si="615"/>
        <v>4.0666935483870965</v>
      </c>
      <c r="CT397" s="234" cm="1">
        <f t="array" ref="CT397">$BM397 * IF($AH397&lt;=2,
SUMPRODUCT(INDEX($AV$66:$AX$70,,$AI397), INDEX($AY$66:$BE$70,,$AH397), 1 / ($BF$66:$BF$70*CS397 + (1-$BF$66:$BF$70)*CO397), N($AU$66:$AU$70&gt;$AM397)),
SUMPRODUCT(INDEX($AV$56:$AX$65,,$AI397), INDEX($AY$56:$BE$65,,$AH397), 1 / ($BG$56:$BG$65*CS397 + (1-$BG$56:$BG$65)*CO397), N($AU$56:$AU$65&gt;$AM397))
) / 1000</f>
        <v>0</v>
      </c>
      <c r="CU397" s="231">
        <f t="shared" si="593"/>
        <v>20</v>
      </c>
      <c r="CV397" s="229">
        <f t="shared" si="616"/>
        <v>33</v>
      </c>
      <c r="CW397" s="234">
        <f t="shared" si="617"/>
        <v>4.8487499999999999</v>
      </c>
      <c r="CX397" s="234" cm="1">
        <f t="array" ref="CX397">$BM397 * IF($AH397&lt;=2,
SUMPRODUCT(INDEX($AV$61:$AX$65,,$AI397), INDEX($AY$61:$BE$65,,$AH397), 1 / ($BF$61:$BF$65*CW397 + (1-$BF$61:$BF$65)*CS397), N($AU$61:$AU$65&gt;$AM397)),
SUMPRODUCT(INDEX($AV$46:$AX$55,,$AI397), INDEX($AY$46:$BE$55,,$AH397), 1 / ($BG$46:$BG$55*CW397 + (1-$BG$46:$BG$55)*CS397), N($AU$46:$AU$55&gt;$AM397))
) / 1000</f>
        <v>0</v>
      </c>
      <c r="CY397" s="234" cm="1">
        <f t="array" ref="CY397">$BM397 * IF($AH397&lt;=2,
SUMPRODUCT(INDEX($AV$22:$AX$60,,$AI397), INDEX($AY$22:$BE$60,,$AH397), 1 / ($BF$22:$BF$60*CW397), N($AU$22:$AU$60&gt;$AM397)),
SUMPRODUCT(INDEX($AV$22:$AX$45,,$AI397), INDEX($AY$22:$BE$45,,$AH397), 1 / ($BG$22:$BG$45*CW397), N($AU$22:$AU$45&gt;$AM397))
) / 1000</f>
        <v>0</v>
      </c>
      <c r="CZ397" s="229">
        <f t="shared" si="618"/>
        <v>0</v>
      </c>
      <c r="DA397" s="246"/>
    </row>
    <row r="398" spans="1:105" s="75" customFormat="1" ht="14.25" customHeight="1" x14ac:dyDescent="0.2">
      <c r="A398" s="230" t="b">
        <f t="shared" si="585"/>
        <v>0</v>
      </c>
      <c r="B398" s="253">
        <v>377</v>
      </c>
      <c r="C398" s="266"/>
      <c r="D398" s="266"/>
      <c r="E398" s="254"/>
      <c r="F398" s="255" t="str">
        <f>IF(ISBLANK(E398), "", VLOOKUP(E398, Z!$A$2:$C$4127, 3, FALSE))</f>
        <v/>
      </c>
      <c r="G398" s="256"/>
      <c r="H398" s="256"/>
      <c r="I398" s="256"/>
      <c r="J398" s="257"/>
      <c r="K398" s="258"/>
      <c r="L398" s="267"/>
      <c r="M398" s="268"/>
      <c r="N398" s="259" t="str" cm="1">
        <f t="array" ref="N398">IF($L398&gt;0, INDEX(Clean,1+AK398,$D$1), "")</f>
        <v/>
      </c>
      <c r="O398" s="260"/>
      <c r="P398" s="260"/>
      <c r="Q398" s="261"/>
      <c r="R398" s="264">
        <f t="shared" si="594"/>
        <v>0</v>
      </c>
      <c r="S398" s="259" t="str" cm="1">
        <f t="array" ref="S398">IF($L398&gt;0, INDEX(Clean,1+AL398,$D$1), "")</f>
        <v/>
      </c>
      <c r="T398" s="260"/>
      <c r="U398" s="260"/>
      <c r="V398" s="261"/>
      <c r="W398" s="267"/>
      <c r="X398" s="267"/>
      <c r="Y398" s="257"/>
      <c r="Z398" s="264">
        <f t="shared" si="595"/>
        <v>0</v>
      </c>
      <c r="AA398" s="269"/>
      <c r="AB398" s="266"/>
      <c r="AC398" s="254"/>
      <c r="AD398" s="255" t="str">
        <f>IF(ISBLANK(AC398), "", VLOOKUP(AC398, Z!$A$2:$C$4127, 3, FALSE))</f>
        <v/>
      </c>
      <c r="AE398" s="270"/>
      <c r="AF398" s="265">
        <f t="shared" si="596"/>
        <v>0</v>
      </c>
      <c r="AG398" s="246"/>
      <c r="AH398" s="228">
        <f t="shared" si="619"/>
        <v>1</v>
      </c>
      <c r="AI398" s="228">
        <f t="shared" si="620"/>
        <v>1</v>
      </c>
      <c r="AJ398" s="228">
        <f t="shared" si="621"/>
        <v>0</v>
      </c>
      <c r="AK398" s="228">
        <v>0</v>
      </c>
      <c r="AL398" s="228">
        <v>0</v>
      </c>
      <c r="AM398" s="228">
        <f t="shared" si="597"/>
        <v>-100</v>
      </c>
      <c r="AN398" s="228" cm="1">
        <f t="array" ref="AN398">IF(ISBLANK(G398), 1, IFERROR(MATCH(G398, INDEX(Kat,,1), 0), IFERROR(MATCH(Kat, INDEX(Use,,2), 0), MATCH(Kat, INDEX(Use,,3), 0))))</f>
        <v>1</v>
      </c>
      <c r="AO398" s="246"/>
      <c r="AP398" s="228" cm="1">
        <f t="array" ref="AP398">IF(W398&gt;0, INDEX(Kat, AN398,4), 0)</f>
        <v>0</v>
      </c>
      <c r="AQ398" s="228">
        <f t="shared" si="622"/>
        <v>0</v>
      </c>
      <c r="AR398" s="228" cm="1">
        <f t="array" ref="AR398">IF(X398&gt;0, INDEX(Kat, $AN398, 4+AQ398), 0)</f>
        <v>0</v>
      </c>
      <c r="AS398" s="228" cm="1">
        <f t="array" ref="AS398">IF(X398&gt;0, INDEX(Kat, $AN398, 9+AQ398), 0)</f>
        <v>0</v>
      </c>
      <c r="AT398" s="246"/>
      <c r="AU398" s="262"/>
      <c r="AV398" s="262"/>
      <c r="AW398" s="263"/>
      <c r="AX398" s="263"/>
      <c r="AY398" s="263"/>
      <c r="AZ398" s="263"/>
      <c r="BA398" s="263"/>
      <c r="BB398" s="263"/>
      <c r="BC398" s="263"/>
      <c r="BD398" s="263"/>
      <c r="BE398" s="263"/>
      <c r="BF398" s="263"/>
      <c r="BG398" s="263"/>
      <c r="BH398" s="246"/>
      <c r="BI398" s="228" cm="1">
        <f t="array" ref="BI398">INDEX(Use, $AH398, 4)</f>
        <v>7</v>
      </c>
      <c r="BJ398" s="228">
        <f t="shared" si="598"/>
        <v>32</v>
      </c>
      <c r="BK398" s="228">
        <f t="shared" si="586"/>
        <v>13</v>
      </c>
      <c r="BL398" s="228">
        <f t="shared" si="587"/>
        <v>0</v>
      </c>
      <c r="BM398" s="233" cm="1">
        <f t="array" ref="BM398">L398/IF($M398&gt;0, INDEX($AY$22:$BE$76, $M398+20, $AH398), 1)</f>
        <v>0</v>
      </c>
      <c r="BN398" s="229">
        <f t="shared" si="599"/>
        <v>0</v>
      </c>
      <c r="BO398" s="228">
        <v>35</v>
      </c>
      <c r="BP398" s="229">
        <f t="shared" si="600"/>
        <v>48</v>
      </c>
      <c r="BQ398" s="234">
        <f t="shared" si="601"/>
        <v>3.0748170731707316</v>
      </c>
      <c r="BR398" s="234" cm="1">
        <f t="array" ref="BR398">$BM398 * SUMPRODUCT(INDEX($AV$76:$AX$81,,$AI398),INDEX($AY$76:$BE$81,,$AH398), N($AU$76:$AU$81&gt;$AM398)) / BQ398 / 1000</f>
        <v>0</v>
      </c>
      <c r="BS398" s="231">
        <f t="shared" si="588"/>
        <v>30</v>
      </c>
      <c r="BT398" s="229">
        <f t="shared" si="602"/>
        <v>43</v>
      </c>
      <c r="BU398" s="234">
        <f t="shared" si="603"/>
        <v>3.5018750000000001</v>
      </c>
      <c r="BV398" s="234" cm="1">
        <f t="array" ref="BV398">$BM398 * IF($AH398&lt;=2,
SUMPRODUCT(INDEX($AV$71:$AX$75,,$AI398), INDEX($AY$71:$BE$75,,$AH398), 1 / ($BF$71:$BF$75*BU398 + (1-$BF$71:$BF$75)*BQ398), N($AU$71:$AU$75&gt;$AM398)),
SUMPRODUCT(INDEX($AV$66:$AX$75,,$AI398), INDEX($AY$66:$BE$75,,$AH398), 1 / ($BG$66:$BG$75*BU398 + (1-$BG$66:$BG$75)*BQ398), N($AU$66:$AU$75&gt;$AM398))
) / 1000</f>
        <v>0</v>
      </c>
      <c r="BW398" s="231">
        <f t="shared" si="589"/>
        <v>25</v>
      </c>
      <c r="BX398" s="229">
        <f t="shared" si="604"/>
        <v>38</v>
      </c>
      <c r="BY398" s="234">
        <f t="shared" si="605"/>
        <v>4.0666935483870965</v>
      </c>
      <c r="BZ398" s="234" cm="1">
        <f t="array" ref="BZ398">$BM398 * IF($AH398&lt;=2,
SUMPRODUCT(INDEX($AV$66:$AX$70,,$AI398), INDEX($AY$66:$BE$70,,$AH398), 1 / ($BF$66:$BF$70*BY398 + (1-$BF$66:$BF$70)*BU398), N($AU$66:$AU$70&gt;$AM398)),
SUMPRODUCT(INDEX($AV$56:$AX$65,,$AI398), INDEX($AY$56:$BE$65,,$AH398), 1 / ($BG$56:$BG$65*BY398 + (1-$BG$56:$BG$65)*BU398), N($AU$56:$AU$65&gt;$AM398))
) / 1000</f>
        <v>0</v>
      </c>
      <c r="CA398" s="231">
        <f t="shared" si="590"/>
        <v>20</v>
      </c>
      <c r="CB398" s="229">
        <f t="shared" si="606"/>
        <v>33</v>
      </c>
      <c r="CC398" s="234">
        <f t="shared" si="607"/>
        <v>4.8487499999999999</v>
      </c>
      <c r="CD398" s="234" cm="1">
        <f t="array" ref="CD398">$BM398 * IF($AH398&lt;=2,
SUMPRODUCT(INDEX($AV$61:$AX$65,,$AI398), INDEX($AY$61:$BE$65,,$AH398), 1 / ($BF$61:$BF$65*CC398 + (1-$BF$61:$BF$65)*BY398), N($AU$61:$AU$65&gt;$AM398)),
SUMPRODUCT(INDEX($AV$46:$AX$55,,$AI398), INDEX($AY$46:$BE$55,,$AH398), 1 / ($BG$46:$BG$55*CC398 + (1-$BG$46:$BG$55)*BY398), N($AU$46:$AU$55&gt;$AM398))
) / 1000</f>
        <v>0</v>
      </c>
      <c r="CE398" s="234" cm="1">
        <f t="array" ref="CE398">$BM398 * IF($AH398&lt;=2,
SUMPRODUCT(INDEX($AV$22:$AX$60,,$AI398), INDEX($AY$22:$BE$60,,$AH398), 1 / ($BF$22:$BF$60*CC398), N($AU$22:$AU$60&gt;$AM398)),
SUMPRODUCT(INDEX($AV$22:$AX$45,,$AI398), INDEX($AY$22:$BE$45,,$AH398), 1 / ($BG$22:$BG$45*CC398), N($AU$22:$AU$45&gt;$AM398))
) / 1000</f>
        <v>0</v>
      </c>
      <c r="CF398" s="229">
        <f t="shared" si="608"/>
        <v>0</v>
      </c>
      <c r="CG398" s="246"/>
      <c r="CH398" s="229">
        <f t="shared" si="609"/>
        <v>0</v>
      </c>
      <c r="CI398" s="228">
        <v>35</v>
      </c>
      <c r="CJ398" s="229">
        <f t="shared" si="610"/>
        <v>48</v>
      </c>
      <c r="CK398" s="234">
        <f t="shared" si="611"/>
        <v>3.0748170731707316</v>
      </c>
      <c r="CL398" s="234" cm="1">
        <f t="array" ref="CL398">$BM398 * SUMPRODUCT(INDEX($AV$76:$AX$81,,$AI398),INDEX($AY$76:$BE$81,,$AH398), N($AU$76:$AU$81&gt;$AM398)) / CK398 / 1000</f>
        <v>0</v>
      </c>
      <c r="CM398" s="231">
        <f t="shared" si="591"/>
        <v>30</v>
      </c>
      <c r="CN398" s="229">
        <f t="shared" si="612"/>
        <v>43</v>
      </c>
      <c r="CO398" s="234">
        <f t="shared" si="613"/>
        <v>3.5018750000000001</v>
      </c>
      <c r="CP398" s="234" cm="1">
        <f t="array" ref="CP398">$BM398 * IF($AH398&lt;=2,
SUMPRODUCT(INDEX($AV$71:$AX$75,,$AI398), INDEX($AY$71:$BE$75,,$AH398), 1 / ($BF$71:$BF$75*CO398 + (1-$BF$71:$BF$75)*CK398), N($AU$71:$AU$75&gt;$AM398)),
SUMPRODUCT(INDEX($AV$66:$AX$75,,$AI398), INDEX($AY$66:$BE$75,,$AH398), 1 / ($BG$66:$BG$75*CO398 + (1-$BG$66:$BG$75)*CK398), N($AU$66:$AU$75&gt;$AM398))
) / 1000</f>
        <v>0</v>
      </c>
      <c r="CQ398" s="231">
        <f t="shared" si="592"/>
        <v>25</v>
      </c>
      <c r="CR398" s="229">
        <f t="shared" si="614"/>
        <v>38</v>
      </c>
      <c r="CS398" s="234">
        <f t="shared" si="615"/>
        <v>4.0666935483870965</v>
      </c>
      <c r="CT398" s="234" cm="1">
        <f t="array" ref="CT398">$BM398 * IF($AH398&lt;=2,
SUMPRODUCT(INDEX($AV$66:$AX$70,,$AI398), INDEX($AY$66:$BE$70,,$AH398), 1 / ($BF$66:$BF$70*CS398 + (1-$BF$66:$BF$70)*CO398), N($AU$66:$AU$70&gt;$AM398)),
SUMPRODUCT(INDEX($AV$56:$AX$65,,$AI398), INDEX($AY$56:$BE$65,,$AH398), 1 / ($BG$56:$BG$65*CS398 + (1-$BG$56:$BG$65)*CO398), N($AU$56:$AU$65&gt;$AM398))
) / 1000</f>
        <v>0</v>
      </c>
      <c r="CU398" s="231">
        <f t="shared" si="593"/>
        <v>20</v>
      </c>
      <c r="CV398" s="229">
        <f t="shared" si="616"/>
        <v>33</v>
      </c>
      <c r="CW398" s="234">
        <f t="shared" si="617"/>
        <v>4.8487499999999999</v>
      </c>
      <c r="CX398" s="234" cm="1">
        <f t="array" ref="CX398">$BM398 * IF($AH398&lt;=2,
SUMPRODUCT(INDEX($AV$61:$AX$65,,$AI398), INDEX($AY$61:$BE$65,,$AH398), 1 / ($BF$61:$BF$65*CW398 + (1-$BF$61:$BF$65)*CS398), N($AU$61:$AU$65&gt;$AM398)),
SUMPRODUCT(INDEX($AV$46:$AX$55,,$AI398), INDEX($AY$46:$BE$55,,$AH398), 1 / ($BG$46:$BG$55*CW398 + (1-$BG$46:$BG$55)*CS398), N($AU$46:$AU$55&gt;$AM398))
) / 1000</f>
        <v>0</v>
      </c>
      <c r="CY398" s="234" cm="1">
        <f t="array" ref="CY398">$BM398 * IF($AH398&lt;=2,
SUMPRODUCT(INDEX($AV$22:$AX$60,,$AI398), INDEX($AY$22:$BE$60,,$AH398), 1 / ($BF$22:$BF$60*CW398), N($AU$22:$AU$60&gt;$AM398)),
SUMPRODUCT(INDEX($AV$22:$AX$45,,$AI398), INDEX($AY$22:$BE$45,,$AH398), 1 / ($BG$22:$BG$45*CW398), N($AU$22:$AU$45&gt;$AM398))
) / 1000</f>
        <v>0</v>
      </c>
      <c r="CZ398" s="229">
        <f t="shared" si="618"/>
        <v>0</v>
      </c>
      <c r="DA398" s="246"/>
    </row>
    <row r="399" spans="1:105" s="75" customFormat="1" ht="14.25" customHeight="1" x14ac:dyDescent="0.2">
      <c r="A399" s="230" t="b">
        <f t="shared" si="585"/>
        <v>0</v>
      </c>
      <c r="B399" s="253">
        <v>378</v>
      </c>
      <c r="C399" s="266"/>
      <c r="D399" s="266"/>
      <c r="E399" s="254"/>
      <c r="F399" s="255" t="str">
        <f>IF(ISBLANK(E399), "", VLOOKUP(E399, Z!$A$2:$C$4127, 3, FALSE))</f>
        <v/>
      </c>
      <c r="G399" s="256"/>
      <c r="H399" s="256"/>
      <c r="I399" s="256"/>
      <c r="J399" s="257"/>
      <c r="K399" s="258"/>
      <c r="L399" s="267"/>
      <c r="M399" s="268"/>
      <c r="N399" s="259" t="str" cm="1">
        <f t="array" ref="N399">IF($L399&gt;0, INDEX(Clean,1+AK399,$D$1), "")</f>
        <v/>
      </c>
      <c r="O399" s="260"/>
      <c r="P399" s="260"/>
      <c r="Q399" s="261"/>
      <c r="R399" s="264">
        <f t="shared" si="594"/>
        <v>0</v>
      </c>
      <c r="S399" s="259" t="str" cm="1">
        <f t="array" ref="S399">IF($L399&gt;0, INDEX(Clean,1+AL399,$D$1), "")</f>
        <v/>
      </c>
      <c r="T399" s="260"/>
      <c r="U399" s="260"/>
      <c r="V399" s="261"/>
      <c r="W399" s="267"/>
      <c r="X399" s="267"/>
      <c r="Y399" s="257"/>
      <c r="Z399" s="264">
        <f t="shared" si="595"/>
        <v>0</v>
      </c>
      <c r="AA399" s="269"/>
      <c r="AB399" s="266"/>
      <c r="AC399" s="254"/>
      <c r="AD399" s="255" t="str">
        <f>IF(ISBLANK(AC399), "", VLOOKUP(AC399, Z!$A$2:$C$4127, 3, FALSE))</f>
        <v/>
      </c>
      <c r="AE399" s="270"/>
      <c r="AF399" s="265">
        <f t="shared" si="596"/>
        <v>0</v>
      </c>
      <c r="AG399" s="246"/>
      <c r="AH399" s="228">
        <f t="shared" si="619"/>
        <v>1</v>
      </c>
      <c r="AI399" s="228">
        <f t="shared" si="620"/>
        <v>1</v>
      </c>
      <c r="AJ399" s="228">
        <f t="shared" si="621"/>
        <v>0</v>
      </c>
      <c r="AK399" s="228">
        <v>0</v>
      </c>
      <c r="AL399" s="228">
        <v>0</v>
      </c>
      <c r="AM399" s="228">
        <f t="shared" si="597"/>
        <v>-100</v>
      </c>
      <c r="AN399" s="228" cm="1">
        <f t="array" ref="AN399">IF(ISBLANK(G399), 1, IFERROR(MATCH(G399, INDEX(Kat,,1), 0), IFERROR(MATCH(Kat, INDEX(Use,,2), 0), MATCH(Kat, INDEX(Use,,3), 0))))</f>
        <v>1</v>
      </c>
      <c r="AO399" s="246"/>
      <c r="AP399" s="228" cm="1">
        <f t="array" ref="AP399">IF(W399&gt;0, INDEX(Kat, AN399,4), 0)</f>
        <v>0</v>
      </c>
      <c r="AQ399" s="228">
        <f t="shared" si="622"/>
        <v>0</v>
      </c>
      <c r="AR399" s="228" cm="1">
        <f t="array" ref="AR399">IF(X399&gt;0, INDEX(Kat, $AN399, 4+AQ399), 0)</f>
        <v>0</v>
      </c>
      <c r="AS399" s="228" cm="1">
        <f t="array" ref="AS399">IF(X399&gt;0, INDEX(Kat, $AN399, 9+AQ399), 0)</f>
        <v>0</v>
      </c>
      <c r="AT399" s="246"/>
      <c r="AU399" s="262"/>
      <c r="AV399" s="262"/>
      <c r="AW399" s="263"/>
      <c r="AX399" s="263"/>
      <c r="AY399" s="263"/>
      <c r="AZ399" s="263"/>
      <c r="BA399" s="263"/>
      <c r="BB399" s="263"/>
      <c r="BC399" s="263"/>
      <c r="BD399" s="263"/>
      <c r="BE399" s="263"/>
      <c r="BF399" s="263"/>
      <c r="BG399" s="263"/>
      <c r="BH399" s="246"/>
      <c r="BI399" s="228" cm="1">
        <f t="array" ref="BI399">INDEX(Use, $AH399, 4)</f>
        <v>7</v>
      </c>
      <c r="BJ399" s="228">
        <f t="shared" si="598"/>
        <v>32</v>
      </c>
      <c r="BK399" s="228">
        <f t="shared" si="586"/>
        <v>13</v>
      </c>
      <c r="BL399" s="228">
        <f t="shared" si="587"/>
        <v>0</v>
      </c>
      <c r="BM399" s="233" cm="1">
        <f t="array" ref="BM399">L399/IF($M399&gt;0, INDEX($AY$22:$BE$76, $M399+20, $AH399), 1)</f>
        <v>0</v>
      </c>
      <c r="BN399" s="229">
        <f t="shared" si="599"/>
        <v>0</v>
      </c>
      <c r="BO399" s="228">
        <v>35</v>
      </c>
      <c r="BP399" s="229">
        <f t="shared" si="600"/>
        <v>48</v>
      </c>
      <c r="BQ399" s="234">
        <f t="shared" si="601"/>
        <v>3.0748170731707316</v>
      </c>
      <c r="BR399" s="234" cm="1">
        <f t="array" ref="BR399">$BM399 * SUMPRODUCT(INDEX($AV$76:$AX$81,,$AI399),INDEX($AY$76:$BE$81,,$AH399), N($AU$76:$AU$81&gt;$AM399)) / BQ399 / 1000</f>
        <v>0</v>
      </c>
      <c r="BS399" s="231">
        <f t="shared" si="588"/>
        <v>30</v>
      </c>
      <c r="BT399" s="229">
        <f t="shared" si="602"/>
        <v>43</v>
      </c>
      <c r="BU399" s="234">
        <f t="shared" si="603"/>
        <v>3.5018750000000001</v>
      </c>
      <c r="BV399" s="234" cm="1">
        <f t="array" ref="BV399">$BM399 * IF($AH399&lt;=2,
SUMPRODUCT(INDEX($AV$71:$AX$75,,$AI399), INDEX($AY$71:$BE$75,,$AH399), 1 / ($BF$71:$BF$75*BU399 + (1-$BF$71:$BF$75)*BQ399), N($AU$71:$AU$75&gt;$AM399)),
SUMPRODUCT(INDEX($AV$66:$AX$75,,$AI399), INDEX($AY$66:$BE$75,,$AH399), 1 / ($BG$66:$BG$75*BU399 + (1-$BG$66:$BG$75)*BQ399), N($AU$66:$AU$75&gt;$AM399))
) / 1000</f>
        <v>0</v>
      </c>
      <c r="BW399" s="231">
        <f t="shared" si="589"/>
        <v>25</v>
      </c>
      <c r="BX399" s="229">
        <f t="shared" si="604"/>
        <v>38</v>
      </c>
      <c r="BY399" s="234">
        <f t="shared" si="605"/>
        <v>4.0666935483870965</v>
      </c>
      <c r="BZ399" s="234" cm="1">
        <f t="array" ref="BZ399">$BM399 * IF($AH399&lt;=2,
SUMPRODUCT(INDEX($AV$66:$AX$70,,$AI399), INDEX($AY$66:$BE$70,,$AH399), 1 / ($BF$66:$BF$70*BY399 + (1-$BF$66:$BF$70)*BU399), N($AU$66:$AU$70&gt;$AM399)),
SUMPRODUCT(INDEX($AV$56:$AX$65,,$AI399), INDEX($AY$56:$BE$65,,$AH399), 1 / ($BG$56:$BG$65*BY399 + (1-$BG$56:$BG$65)*BU399), N($AU$56:$AU$65&gt;$AM399))
) / 1000</f>
        <v>0</v>
      </c>
      <c r="CA399" s="231">
        <f t="shared" si="590"/>
        <v>20</v>
      </c>
      <c r="CB399" s="229">
        <f t="shared" si="606"/>
        <v>33</v>
      </c>
      <c r="CC399" s="234">
        <f t="shared" si="607"/>
        <v>4.8487499999999999</v>
      </c>
      <c r="CD399" s="234" cm="1">
        <f t="array" ref="CD399">$BM399 * IF($AH399&lt;=2,
SUMPRODUCT(INDEX($AV$61:$AX$65,,$AI399), INDEX($AY$61:$BE$65,,$AH399), 1 / ($BF$61:$BF$65*CC399 + (1-$BF$61:$BF$65)*BY399), N($AU$61:$AU$65&gt;$AM399)),
SUMPRODUCT(INDEX($AV$46:$AX$55,,$AI399), INDEX($AY$46:$BE$55,,$AH399), 1 / ($BG$46:$BG$55*CC399 + (1-$BG$46:$BG$55)*BY399), N($AU$46:$AU$55&gt;$AM399))
) / 1000</f>
        <v>0</v>
      </c>
      <c r="CE399" s="234" cm="1">
        <f t="array" ref="CE399">$BM399 * IF($AH399&lt;=2,
SUMPRODUCT(INDEX($AV$22:$AX$60,,$AI399), INDEX($AY$22:$BE$60,,$AH399), 1 / ($BF$22:$BF$60*CC399), N($AU$22:$AU$60&gt;$AM399)),
SUMPRODUCT(INDEX($AV$22:$AX$45,,$AI399), INDEX($AY$22:$BE$45,,$AH399), 1 / ($BG$22:$BG$45*CC399), N($AU$22:$AU$45&gt;$AM399))
) / 1000</f>
        <v>0</v>
      </c>
      <c r="CF399" s="229">
        <f t="shared" si="608"/>
        <v>0</v>
      </c>
      <c r="CG399" s="246"/>
      <c r="CH399" s="229">
        <f t="shared" si="609"/>
        <v>0</v>
      </c>
      <c r="CI399" s="228">
        <v>35</v>
      </c>
      <c r="CJ399" s="229">
        <f t="shared" si="610"/>
        <v>48</v>
      </c>
      <c r="CK399" s="234">
        <f t="shared" si="611"/>
        <v>3.0748170731707316</v>
      </c>
      <c r="CL399" s="234" cm="1">
        <f t="array" ref="CL399">$BM399 * SUMPRODUCT(INDEX($AV$76:$AX$81,,$AI399),INDEX($AY$76:$BE$81,,$AH399), N($AU$76:$AU$81&gt;$AM399)) / CK399 / 1000</f>
        <v>0</v>
      </c>
      <c r="CM399" s="231">
        <f t="shared" si="591"/>
        <v>30</v>
      </c>
      <c r="CN399" s="229">
        <f t="shared" si="612"/>
        <v>43</v>
      </c>
      <c r="CO399" s="234">
        <f t="shared" si="613"/>
        <v>3.5018750000000001</v>
      </c>
      <c r="CP399" s="234" cm="1">
        <f t="array" ref="CP399">$BM399 * IF($AH399&lt;=2,
SUMPRODUCT(INDEX($AV$71:$AX$75,,$AI399), INDEX($AY$71:$BE$75,,$AH399), 1 / ($BF$71:$BF$75*CO399 + (1-$BF$71:$BF$75)*CK399), N($AU$71:$AU$75&gt;$AM399)),
SUMPRODUCT(INDEX($AV$66:$AX$75,,$AI399), INDEX($AY$66:$BE$75,,$AH399), 1 / ($BG$66:$BG$75*CO399 + (1-$BG$66:$BG$75)*CK399), N($AU$66:$AU$75&gt;$AM399))
) / 1000</f>
        <v>0</v>
      </c>
      <c r="CQ399" s="231">
        <f t="shared" si="592"/>
        <v>25</v>
      </c>
      <c r="CR399" s="229">
        <f t="shared" si="614"/>
        <v>38</v>
      </c>
      <c r="CS399" s="234">
        <f t="shared" si="615"/>
        <v>4.0666935483870965</v>
      </c>
      <c r="CT399" s="234" cm="1">
        <f t="array" ref="CT399">$BM399 * IF($AH399&lt;=2,
SUMPRODUCT(INDEX($AV$66:$AX$70,,$AI399), INDEX($AY$66:$BE$70,,$AH399), 1 / ($BF$66:$BF$70*CS399 + (1-$BF$66:$BF$70)*CO399), N($AU$66:$AU$70&gt;$AM399)),
SUMPRODUCT(INDEX($AV$56:$AX$65,,$AI399), INDEX($AY$56:$BE$65,,$AH399), 1 / ($BG$56:$BG$65*CS399 + (1-$BG$56:$BG$65)*CO399), N($AU$56:$AU$65&gt;$AM399))
) / 1000</f>
        <v>0</v>
      </c>
      <c r="CU399" s="231">
        <f t="shared" si="593"/>
        <v>20</v>
      </c>
      <c r="CV399" s="229">
        <f t="shared" si="616"/>
        <v>33</v>
      </c>
      <c r="CW399" s="234">
        <f t="shared" si="617"/>
        <v>4.8487499999999999</v>
      </c>
      <c r="CX399" s="234" cm="1">
        <f t="array" ref="CX399">$BM399 * IF($AH399&lt;=2,
SUMPRODUCT(INDEX($AV$61:$AX$65,,$AI399), INDEX($AY$61:$BE$65,,$AH399), 1 / ($BF$61:$BF$65*CW399 + (1-$BF$61:$BF$65)*CS399), N($AU$61:$AU$65&gt;$AM399)),
SUMPRODUCT(INDEX($AV$46:$AX$55,,$AI399), INDEX($AY$46:$BE$55,,$AH399), 1 / ($BG$46:$BG$55*CW399 + (1-$BG$46:$BG$55)*CS399), N($AU$46:$AU$55&gt;$AM399))
) / 1000</f>
        <v>0</v>
      </c>
      <c r="CY399" s="234" cm="1">
        <f t="array" ref="CY399">$BM399 * IF($AH399&lt;=2,
SUMPRODUCT(INDEX($AV$22:$AX$60,,$AI399), INDEX($AY$22:$BE$60,,$AH399), 1 / ($BF$22:$BF$60*CW399), N($AU$22:$AU$60&gt;$AM399)),
SUMPRODUCT(INDEX($AV$22:$AX$45,,$AI399), INDEX($AY$22:$BE$45,,$AH399), 1 / ($BG$22:$BG$45*CW399), N($AU$22:$AU$45&gt;$AM399))
) / 1000</f>
        <v>0</v>
      </c>
      <c r="CZ399" s="229">
        <f t="shared" si="618"/>
        <v>0</v>
      </c>
      <c r="DA399" s="246"/>
    </row>
    <row r="400" spans="1:105" s="75" customFormat="1" ht="14.25" customHeight="1" x14ac:dyDescent="0.2">
      <c r="A400" s="230" t="b">
        <f t="shared" si="585"/>
        <v>0</v>
      </c>
      <c r="B400" s="253">
        <v>379</v>
      </c>
      <c r="C400" s="266"/>
      <c r="D400" s="266"/>
      <c r="E400" s="254"/>
      <c r="F400" s="255" t="str">
        <f>IF(ISBLANK(E400), "", VLOOKUP(E400, Z!$A$2:$C$4127, 3, FALSE))</f>
        <v/>
      </c>
      <c r="G400" s="256"/>
      <c r="H400" s="256"/>
      <c r="I400" s="256"/>
      <c r="J400" s="257"/>
      <c r="K400" s="258"/>
      <c r="L400" s="267"/>
      <c r="M400" s="268"/>
      <c r="N400" s="259" t="str" cm="1">
        <f t="array" ref="N400">IF($L400&gt;0, INDEX(Clean,1+AK400,$D$1), "")</f>
        <v/>
      </c>
      <c r="O400" s="260"/>
      <c r="P400" s="260"/>
      <c r="Q400" s="261"/>
      <c r="R400" s="264">
        <f t="shared" si="594"/>
        <v>0</v>
      </c>
      <c r="S400" s="259" t="str" cm="1">
        <f t="array" ref="S400">IF($L400&gt;0, INDEX(Clean,1+AL400,$D$1), "")</f>
        <v/>
      </c>
      <c r="T400" s="260"/>
      <c r="U400" s="260"/>
      <c r="V400" s="261"/>
      <c r="W400" s="267"/>
      <c r="X400" s="267"/>
      <c r="Y400" s="257"/>
      <c r="Z400" s="264">
        <f t="shared" si="595"/>
        <v>0</v>
      </c>
      <c r="AA400" s="269"/>
      <c r="AB400" s="266"/>
      <c r="AC400" s="254"/>
      <c r="AD400" s="255" t="str">
        <f>IF(ISBLANK(AC400), "", VLOOKUP(AC400, Z!$A$2:$C$4127, 3, FALSE))</f>
        <v/>
      </c>
      <c r="AE400" s="270"/>
      <c r="AF400" s="265">
        <f t="shared" si="596"/>
        <v>0</v>
      </c>
      <c r="AG400" s="246"/>
      <c r="AH400" s="228">
        <f t="shared" si="619"/>
        <v>1</v>
      </c>
      <c r="AI400" s="228">
        <f t="shared" si="620"/>
        <v>1</v>
      </c>
      <c r="AJ400" s="228">
        <f t="shared" si="621"/>
        <v>0</v>
      </c>
      <c r="AK400" s="228">
        <v>0</v>
      </c>
      <c r="AL400" s="228">
        <v>0</v>
      </c>
      <c r="AM400" s="228">
        <f t="shared" si="597"/>
        <v>-100</v>
      </c>
      <c r="AN400" s="228" cm="1">
        <f t="array" ref="AN400">IF(ISBLANK(G400), 1, IFERROR(MATCH(G400, INDEX(Kat,,1), 0), IFERROR(MATCH(Kat, INDEX(Use,,2), 0), MATCH(Kat, INDEX(Use,,3), 0))))</f>
        <v>1</v>
      </c>
      <c r="AO400" s="246"/>
      <c r="AP400" s="228" cm="1">
        <f t="array" ref="AP400">IF(W400&gt;0, INDEX(Kat, AN400,4), 0)</f>
        <v>0</v>
      </c>
      <c r="AQ400" s="228">
        <f t="shared" si="622"/>
        <v>0</v>
      </c>
      <c r="AR400" s="228" cm="1">
        <f t="array" ref="AR400">IF(X400&gt;0, INDEX(Kat, $AN400, 4+AQ400), 0)</f>
        <v>0</v>
      </c>
      <c r="AS400" s="228" cm="1">
        <f t="array" ref="AS400">IF(X400&gt;0, INDEX(Kat, $AN400, 9+AQ400), 0)</f>
        <v>0</v>
      </c>
      <c r="AT400" s="246"/>
      <c r="AU400" s="262"/>
      <c r="AV400" s="262"/>
      <c r="AW400" s="263"/>
      <c r="AX400" s="263"/>
      <c r="AY400" s="263"/>
      <c r="AZ400" s="263"/>
      <c r="BA400" s="263"/>
      <c r="BB400" s="263"/>
      <c r="BC400" s="263"/>
      <c r="BD400" s="263"/>
      <c r="BE400" s="263"/>
      <c r="BF400" s="263"/>
      <c r="BG400" s="263"/>
      <c r="BH400" s="246"/>
      <c r="BI400" s="228" cm="1">
        <f t="array" ref="BI400">INDEX(Use, $AH400, 4)</f>
        <v>7</v>
      </c>
      <c r="BJ400" s="228">
        <f t="shared" si="598"/>
        <v>32</v>
      </c>
      <c r="BK400" s="228">
        <f t="shared" si="586"/>
        <v>13</v>
      </c>
      <c r="BL400" s="228">
        <f t="shared" si="587"/>
        <v>0</v>
      </c>
      <c r="BM400" s="233" cm="1">
        <f t="array" ref="BM400">L400/IF($M400&gt;0, INDEX($AY$22:$BE$76, $M400+20, $AH400), 1)</f>
        <v>0</v>
      </c>
      <c r="BN400" s="229">
        <f t="shared" si="599"/>
        <v>0</v>
      </c>
      <c r="BO400" s="228">
        <v>35</v>
      </c>
      <c r="BP400" s="229">
        <f t="shared" si="600"/>
        <v>48</v>
      </c>
      <c r="BQ400" s="234">
        <f t="shared" si="601"/>
        <v>3.0748170731707316</v>
      </c>
      <c r="BR400" s="234" cm="1">
        <f t="array" ref="BR400">$BM400 * SUMPRODUCT(INDEX($AV$76:$AX$81,,$AI400),INDEX($AY$76:$BE$81,,$AH400), N($AU$76:$AU$81&gt;$AM400)) / BQ400 / 1000</f>
        <v>0</v>
      </c>
      <c r="BS400" s="231">
        <f t="shared" si="588"/>
        <v>30</v>
      </c>
      <c r="BT400" s="229">
        <f t="shared" si="602"/>
        <v>43</v>
      </c>
      <c r="BU400" s="234">
        <f t="shared" si="603"/>
        <v>3.5018750000000001</v>
      </c>
      <c r="BV400" s="234" cm="1">
        <f t="array" ref="BV400">$BM400 * IF($AH400&lt;=2,
SUMPRODUCT(INDEX($AV$71:$AX$75,,$AI400), INDEX($AY$71:$BE$75,,$AH400), 1 / ($BF$71:$BF$75*BU400 + (1-$BF$71:$BF$75)*BQ400), N($AU$71:$AU$75&gt;$AM400)),
SUMPRODUCT(INDEX($AV$66:$AX$75,,$AI400), INDEX($AY$66:$BE$75,,$AH400), 1 / ($BG$66:$BG$75*BU400 + (1-$BG$66:$BG$75)*BQ400), N($AU$66:$AU$75&gt;$AM400))
) / 1000</f>
        <v>0</v>
      </c>
      <c r="BW400" s="231">
        <f t="shared" si="589"/>
        <v>25</v>
      </c>
      <c r="BX400" s="229">
        <f t="shared" si="604"/>
        <v>38</v>
      </c>
      <c r="BY400" s="234">
        <f t="shared" si="605"/>
        <v>4.0666935483870965</v>
      </c>
      <c r="BZ400" s="234" cm="1">
        <f t="array" ref="BZ400">$BM400 * IF($AH400&lt;=2,
SUMPRODUCT(INDEX($AV$66:$AX$70,,$AI400), INDEX($AY$66:$BE$70,,$AH400), 1 / ($BF$66:$BF$70*BY400 + (1-$BF$66:$BF$70)*BU400), N($AU$66:$AU$70&gt;$AM400)),
SUMPRODUCT(INDEX($AV$56:$AX$65,,$AI400), INDEX($AY$56:$BE$65,,$AH400), 1 / ($BG$56:$BG$65*BY400 + (1-$BG$56:$BG$65)*BU400), N($AU$56:$AU$65&gt;$AM400))
) / 1000</f>
        <v>0</v>
      </c>
      <c r="CA400" s="231">
        <f t="shared" si="590"/>
        <v>20</v>
      </c>
      <c r="CB400" s="229">
        <f t="shared" si="606"/>
        <v>33</v>
      </c>
      <c r="CC400" s="234">
        <f t="shared" si="607"/>
        <v>4.8487499999999999</v>
      </c>
      <c r="CD400" s="234" cm="1">
        <f t="array" ref="CD400">$BM400 * IF($AH400&lt;=2,
SUMPRODUCT(INDEX($AV$61:$AX$65,,$AI400), INDEX($AY$61:$BE$65,,$AH400), 1 / ($BF$61:$BF$65*CC400 + (1-$BF$61:$BF$65)*BY400), N($AU$61:$AU$65&gt;$AM400)),
SUMPRODUCT(INDEX($AV$46:$AX$55,,$AI400), INDEX($AY$46:$BE$55,,$AH400), 1 / ($BG$46:$BG$55*CC400 + (1-$BG$46:$BG$55)*BY400), N($AU$46:$AU$55&gt;$AM400))
) / 1000</f>
        <v>0</v>
      </c>
      <c r="CE400" s="234" cm="1">
        <f t="array" ref="CE400">$BM400 * IF($AH400&lt;=2,
SUMPRODUCT(INDEX($AV$22:$AX$60,,$AI400), INDEX($AY$22:$BE$60,,$AH400), 1 / ($BF$22:$BF$60*CC400), N($AU$22:$AU$60&gt;$AM400)),
SUMPRODUCT(INDEX($AV$22:$AX$45,,$AI400), INDEX($AY$22:$BE$45,,$AH400), 1 / ($BG$22:$BG$45*CC400), N($AU$22:$AU$45&gt;$AM400))
) / 1000</f>
        <v>0</v>
      </c>
      <c r="CF400" s="229">
        <f t="shared" si="608"/>
        <v>0</v>
      </c>
      <c r="CG400" s="246"/>
      <c r="CH400" s="229">
        <f t="shared" si="609"/>
        <v>0</v>
      </c>
      <c r="CI400" s="228">
        <v>35</v>
      </c>
      <c r="CJ400" s="229">
        <f t="shared" si="610"/>
        <v>48</v>
      </c>
      <c r="CK400" s="234">
        <f t="shared" si="611"/>
        <v>3.0748170731707316</v>
      </c>
      <c r="CL400" s="234" cm="1">
        <f t="array" ref="CL400">$BM400 * SUMPRODUCT(INDEX($AV$76:$AX$81,,$AI400),INDEX($AY$76:$BE$81,,$AH400), N($AU$76:$AU$81&gt;$AM400)) / CK400 / 1000</f>
        <v>0</v>
      </c>
      <c r="CM400" s="231">
        <f t="shared" si="591"/>
        <v>30</v>
      </c>
      <c r="CN400" s="229">
        <f t="shared" si="612"/>
        <v>43</v>
      </c>
      <c r="CO400" s="234">
        <f t="shared" si="613"/>
        <v>3.5018750000000001</v>
      </c>
      <c r="CP400" s="234" cm="1">
        <f t="array" ref="CP400">$BM400 * IF($AH400&lt;=2,
SUMPRODUCT(INDEX($AV$71:$AX$75,,$AI400), INDEX($AY$71:$BE$75,,$AH400), 1 / ($BF$71:$BF$75*CO400 + (1-$BF$71:$BF$75)*CK400), N($AU$71:$AU$75&gt;$AM400)),
SUMPRODUCT(INDEX($AV$66:$AX$75,,$AI400), INDEX($AY$66:$BE$75,,$AH400), 1 / ($BG$66:$BG$75*CO400 + (1-$BG$66:$BG$75)*CK400), N($AU$66:$AU$75&gt;$AM400))
) / 1000</f>
        <v>0</v>
      </c>
      <c r="CQ400" s="231">
        <f t="shared" si="592"/>
        <v>25</v>
      </c>
      <c r="CR400" s="229">
        <f t="shared" si="614"/>
        <v>38</v>
      </c>
      <c r="CS400" s="234">
        <f t="shared" si="615"/>
        <v>4.0666935483870965</v>
      </c>
      <c r="CT400" s="234" cm="1">
        <f t="array" ref="CT400">$BM400 * IF($AH400&lt;=2,
SUMPRODUCT(INDEX($AV$66:$AX$70,,$AI400), INDEX($AY$66:$BE$70,,$AH400), 1 / ($BF$66:$BF$70*CS400 + (1-$BF$66:$BF$70)*CO400), N($AU$66:$AU$70&gt;$AM400)),
SUMPRODUCT(INDEX($AV$56:$AX$65,,$AI400), INDEX($AY$56:$BE$65,,$AH400), 1 / ($BG$56:$BG$65*CS400 + (1-$BG$56:$BG$65)*CO400), N($AU$56:$AU$65&gt;$AM400))
) / 1000</f>
        <v>0</v>
      </c>
      <c r="CU400" s="231">
        <f t="shared" si="593"/>
        <v>20</v>
      </c>
      <c r="CV400" s="229">
        <f t="shared" si="616"/>
        <v>33</v>
      </c>
      <c r="CW400" s="234">
        <f t="shared" si="617"/>
        <v>4.8487499999999999</v>
      </c>
      <c r="CX400" s="234" cm="1">
        <f t="array" ref="CX400">$BM400 * IF($AH400&lt;=2,
SUMPRODUCT(INDEX($AV$61:$AX$65,,$AI400), INDEX($AY$61:$BE$65,,$AH400), 1 / ($BF$61:$BF$65*CW400 + (1-$BF$61:$BF$65)*CS400), N($AU$61:$AU$65&gt;$AM400)),
SUMPRODUCT(INDEX($AV$46:$AX$55,,$AI400), INDEX($AY$46:$BE$55,,$AH400), 1 / ($BG$46:$BG$55*CW400 + (1-$BG$46:$BG$55)*CS400), N($AU$46:$AU$55&gt;$AM400))
) / 1000</f>
        <v>0</v>
      </c>
      <c r="CY400" s="234" cm="1">
        <f t="array" ref="CY400">$BM400 * IF($AH400&lt;=2,
SUMPRODUCT(INDEX($AV$22:$AX$60,,$AI400), INDEX($AY$22:$BE$60,,$AH400), 1 / ($BF$22:$BF$60*CW400), N($AU$22:$AU$60&gt;$AM400)),
SUMPRODUCT(INDEX($AV$22:$AX$45,,$AI400), INDEX($AY$22:$BE$45,,$AH400), 1 / ($BG$22:$BG$45*CW400), N($AU$22:$AU$45&gt;$AM400))
) / 1000</f>
        <v>0</v>
      </c>
      <c r="CZ400" s="229">
        <f t="shared" si="618"/>
        <v>0</v>
      </c>
      <c r="DA400" s="246"/>
    </row>
    <row r="401" spans="1:105" s="75" customFormat="1" ht="14.25" customHeight="1" x14ac:dyDescent="0.2">
      <c r="A401" s="230" t="b">
        <f t="shared" si="585"/>
        <v>0</v>
      </c>
      <c r="B401" s="253">
        <v>380</v>
      </c>
      <c r="C401" s="266"/>
      <c r="D401" s="266"/>
      <c r="E401" s="254"/>
      <c r="F401" s="255" t="str">
        <f>IF(ISBLANK(E401), "", VLOOKUP(E401, Z!$A$2:$C$4127, 3, FALSE))</f>
        <v/>
      </c>
      <c r="G401" s="256"/>
      <c r="H401" s="256"/>
      <c r="I401" s="256"/>
      <c r="J401" s="257"/>
      <c r="K401" s="258"/>
      <c r="L401" s="267"/>
      <c r="M401" s="268"/>
      <c r="N401" s="259" t="str" cm="1">
        <f t="array" ref="N401">IF($L401&gt;0, INDEX(Clean,1+AK401,$D$1), "")</f>
        <v/>
      </c>
      <c r="O401" s="260"/>
      <c r="P401" s="260"/>
      <c r="Q401" s="261"/>
      <c r="R401" s="264">
        <f t="shared" si="594"/>
        <v>0</v>
      </c>
      <c r="S401" s="259" t="str" cm="1">
        <f t="array" ref="S401">IF($L401&gt;0, INDEX(Clean,1+AL401,$D$1), "")</f>
        <v/>
      </c>
      <c r="T401" s="260"/>
      <c r="U401" s="260"/>
      <c r="V401" s="261"/>
      <c r="W401" s="267"/>
      <c r="X401" s="267"/>
      <c r="Y401" s="257"/>
      <c r="Z401" s="264">
        <f t="shared" si="595"/>
        <v>0</v>
      </c>
      <c r="AA401" s="269"/>
      <c r="AB401" s="266"/>
      <c r="AC401" s="254"/>
      <c r="AD401" s="255" t="str">
        <f>IF(ISBLANK(AC401), "", VLOOKUP(AC401, Z!$A$2:$C$4127, 3, FALSE))</f>
        <v/>
      </c>
      <c r="AE401" s="270"/>
      <c r="AF401" s="265">
        <f t="shared" si="596"/>
        <v>0</v>
      </c>
      <c r="AG401" s="246"/>
      <c r="AH401" s="228">
        <f t="shared" si="619"/>
        <v>1</v>
      </c>
      <c r="AI401" s="228">
        <f t="shared" si="620"/>
        <v>1</v>
      </c>
      <c r="AJ401" s="228">
        <f t="shared" si="621"/>
        <v>0</v>
      </c>
      <c r="AK401" s="228">
        <v>0</v>
      </c>
      <c r="AL401" s="228">
        <v>0</v>
      </c>
      <c r="AM401" s="228">
        <f t="shared" si="597"/>
        <v>-100</v>
      </c>
      <c r="AN401" s="228" cm="1">
        <f t="array" ref="AN401">IF(ISBLANK(G401), 1, IFERROR(MATCH(G401, INDEX(Kat,,1), 0), IFERROR(MATCH(Kat, INDEX(Use,,2), 0), MATCH(Kat, INDEX(Use,,3), 0))))</f>
        <v>1</v>
      </c>
      <c r="AO401" s="246"/>
      <c r="AP401" s="228" cm="1">
        <f t="array" ref="AP401">IF(W401&gt;0, INDEX(Kat, AN401,4), 0)</f>
        <v>0</v>
      </c>
      <c r="AQ401" s="228">
        <f t="shared" si="622"/>
        <v>0</v>
      </c>
      <c r="AR401" s="228" cm="1">
        <f t="array" ref="AR401">IF(X401&gt;0, INDEX(Kat, $AN401, 4+AQ401), 0)</f>
        <v>0</v>
      </c>
      <c r="AS401" s="228" cm="1">
        <f t="array" ref="AS401">IF(X401&gt;0, INDEX(Kat, $AN401, 9+AQ401), 0)</f>
        <v>0</v>
      </c>
      <c r="AT401" s="246"/>
      <c r="AU401" s="262"/>
      <c r="AV401" s="262"/>
      <c r="AW401" s="263"/>
      <c r="AX401" s="263"/>
      <c r="AY401" s="263"/>
      <c r="AZ401" s="263"/>
      <c r="BA401" s="263"/>
      <c r="BB401" s="263"/>
      <c r="BC401" s="263"/>
      <c r="BD401" s="263"/>
      <c r="BE401" s="263"/>
      <c r="BF401" s="263"/>
      <c r="BG401" s="263"/>
      <c r="BH401" s="246"/>
      <c r="BI401" s="228" cm="1">
        <f t="array" ref="BI401">INDEX(Use, $AH401, 4)</f>
        <v>7</v>
      </c>
      <c r="BJ401" s="228">
        <f t="shared" si="598"/>
        <v>32</v>
      </c>
      <c r="BK401" s="228">
        <f t="shared" si="586"/>
        <v>13</v>
      </c>
      <c r="BL401" s="228">
        <f t="shared" si="587"/>
        <v>0</v>
      </c>
      <c r="BM401" s="233" cm="1">
        <f t="array" ref="BM401">L401/IF($M401&gt;0, INDEX($AY$22:$BE$76, $M401+20, $AH401), 1)</f>
        <v>0</v>
      </c>
      <c r="BN401" s="229">
        <f t="shared" si="599"/>
        <v>0</v>
      </c>
      <c r="BO401" s="228">
        <v>35</v>
      </c>
      <c r="BP401" s="229">
        <f t="shared" si="600"/>
        <v>48</v>
      </c>
      <c r="BQ401" s="234">
        <f t="shared" si="601"/>
        <v>3.0748170731707316</v>
      </c>
      <c r="BR401" s="234" cm="1">
        <f t="array" ref="BR401">$BM401 * SUMPRODUCT(INDEX($AV$76:$AX$81,,$AI401),INDEX($AY$76:$BE$81,,$AH401), N($AU$76:$AU$81&gt;$AM401)) / BQ401 / 1000</f>
        <v>0</v>
      </c>
      <c r="BS401" s="231">
        <f t="shared" si="588"/>
        <v>30</v>
      </c>
      <c r="BT401" s="229">
        <f t="shared" si="602"/>
        <v>43</v>
      </c>
      <c r="BU401" s="234">
        <f t="shared" si="603"/>
        <v>3.5018750000000001</v>
      </c>
      <c r="BV401" s="234" cm="1">
        <f t="array" ref="BV401">$BM401 * IF($AH401&lt;=2,
SUMPRODUCT(INDEX($AV$71:$AX$75,,$AI401), INDEX($AY$71:$BE$75,,$AH401), 1 / ($BF$71:$BF$75*BU401 + (1-$BF$71:$BF$75)*BQ401), N($AU$71:$AU$75&gt;$AM401)),
SUMPRODUCT(INDEX($AV$66:$AX$75,,$AI401), INDEX($AY$66:$BE$75,,$AH401), 1 / ($BG$66:$BG$75*BU401 + (1-$BG$66:$BG$75)*BQ401), N($AU$66:$AU$75&gt;$AM401))
) / 1000</f>
        <v>0</v>
      </c>
      <c r="BW401" s="231">
        <f t="shared" si="589"/>
        <v>25</v>
      </c>
      <c r="BX401" s="229">
        <f t="shared" si="604"/>
        <v>38</v>
      </c>
      <c r="BY401" s="234">
        <f t="shared" si="605"/>
        <v>4.0666935483870965</v>
      </c>
      <c r="BZ401" s="234" cm="1">
        <f t="array" ref="BZ401">$BM401 * IF($AH401&lt;=2,
SUMPRODUCT(INDEX($AV$66:$AX$70,,$AI401), INDEX($AY$66:$BE$70,,$AH401), 1 / ($BF$66:$BF$70*BY401 + (1-$BF$66:$BF$70)*BU401), N($AU$66:$AU$70&gt;$AM401)),
SUMPRODUCT(INDEX($AV$56:$AX$65,,$AI401), INDEX($AY$56:$BE$65,,$AH401), 1 / ($BG$56:$BG$65*BY401 + (1-$BG$56:$BG$65)*BU401), N($AU$56:$AU$65&gt;$AM401))
) / 1000</f>
        <v>0</v>
      </c>
      <c r="CA401" s="231">
        <f t="shared" si="590"/>
        <v>20</v>
      </c>
      <c r="CB401" s="229">
        <f t="shared" si="606"/>
        <v>33</v>
      </c>
      <c r="CC401" s="234">
        <f t="shared" si="607"/>
        <v>4.8487499999999999</v>
      </c>
      <c r="CD401" s="234" cm="1">
        <f t="array" ref="CD401">$BM401 * IF($AH401&lt;=2,
SUMPRODUCT(INDEX($AV$61:$AX$65,,$AI401), INDEX($AY$61:$BE$65,,$AH401), 1 / ($BF$61:$BF$65*CC401 + (1-$BF$61:$BF$65)*BY401), N($AU$61:$AU$65&gt;$AM401)),
SUMPRODUCT(INDEX($AV$46:$AX$55,,$AI401), INDEX($AY$46:$BE$55,,$AH401), 1 / ($BG$46:$BG$55*CC401 + (1-$BG$46:$BG$55)*BY401), N($AU$46:$AU$55&gt;$AM401))
) / 1000</f>
        <v>0</v>
      </c>
      <c r="CE401" s="234" cm="1">
        <f t="array" ref="CE401">$BM401 * IF($AH401&lt;=2,
SUMPRODUCT(INDEX($AV$22:$AX$60,,$AI401), INDEX($AY$22:$BE$60,,$AH401), 1 / ($BF$22:$BF$60*CC401), N($AU$22:$AU$60&gt;$AM401)),
SUMPRODUCT(INDEX($AV$22:$AX$45,,$AI401), INDEX($AY$22:$BE$45,,$AH401), 1 / ($BG$22:$BG$45*CC401), N($AU$22:$AU$45&gt;$AM401))
) / 1000</f>
        <v>0</v>
      </c>
      <c r="CF401" s="229">
        <f t="shared" si="608"/>
        <v>0</v>
      </c>
      <c r="CG401" s="246"/>
      <c r="CH401" s="229">
        <f t="shared" si="609"/>
        <v>0</v>
      </c>
      <c r="CI401" s="228">
        <v>35</v>
      </c>
      <c r="CJ401" s="229">
        <f t="shared" si="610"/>
        <v>48</v>
      </c>
      <c r="CK401" s="234">
        <f t="shared" si="611"/>
        <v>3.0748170731707316</v>
      </c>
      <c r="CL401" s="234" cm="1">
        <f t="array" ref="CL401">$BM401 * SUMPRODUCT(INDEX($AV$76:$AX$81,,$AI401),INDEX($AY$76:$BE$81,,$AH401), N($AU$76:$AU$81&gt;$AM401)) / CK401 / 1000</f>
        <v>0</v>
      </c>
      <c r="CM401" s="231">
        <f t="shared" si="591"/>
        <v>30</v>
      </c>
      <c r="CN401" s="229">
        <f t="shared" si="612"/>
        <v>43</v>
      </c>
      <c r="CO401" s="234">
        <f t="shared" si="613"/>
        <v>3.5018750000000001</v>
      </c>
      <c r="CP401" s="234" cm="1">
        <f t="array" ref="CP401">$BM401 * IF($AH401&lt;=2,
SUMPRODUCT(INDEX($AV$71:$AX$75,,$AI401), INDEX($AY$71:$BE$75,,$AH401), 1 / ($BF$71:$BF$75*CO401 + (1-$BF$71:$BF$75)*CK401), N($AU$71:$AU$75&gt;$AM401)),
SUMPRODUCT(INDEX($AV$66:$AX$75,,$AI401), INDEX($AY$66:$BE$75,,$AH401), 1 / ($BG$66:$BG$75*CO401 + (1-$BG$66:$BG$75)*CK401), N($AU$66:$AU$75&gt;$AM401))
) / 1000</f>
        <v>0</v>
      </c>
      <c r="CQ401" s="231">
        <f t="shared" si="592"/>
        <v>25</v>
      </c>
      <c r="CR401" s="229">
        <f t="shared" si="614"/>
        <v>38</v>
      </c>
      <c r="CS401" s="234">
        <f t="shared" si="615"/>
        <v>4.0666935483870965</v>
      </c>
      <c r="CT401" s="234" cm="1">
        <f t="array" ref="CT401">$BM401 * IF($AH401&lt;=2,
SUMPRODUCT(INDEX($AV$66:$AX$70,,$AI401), INDEX($AY$66:$BE$70,,$AH401), 1 / ($BF$66:$BF$70*CS401 + (1-$BF$66:$BF$70)*CO401), N($AU$66:$AU$70&gt;$AM401)),
SUMPRODUCT(INDEX($AV$56:$AX$65,,$AI401), INDEX($AY$56:$BE$65,,$AH401), 1 / ($BG$56:$BG$65*CS401 + (1-$BG$56:$BG$65)*CO401), N($AU$56:$AU$65&gt;$AM401))
) / 1000</f>
        <v>0</v>
      </c>
      <c r="CU401" s="231">
        <f t="shared" si="593"/>
        <v>20</v>
      </c>
      <c r="CV401" s="229">
        <f t="shared" si="616"/>
        <v>33</v>
      </c>
      <c r="CW401" s="234">
        <f t="shared" si="617"/>
        <v>4.8487499999999999</v>
      </c>
      <c r="CX401" s="234" cm="1">
        <f t="array" ref="CX401">$BM401 * IF($AH401&lt;=2,
SUMPRODUCT(INDEX($AV$61:$AX$65,,$AI401), INDEX($AY$61:$BE$65,,$AH401), 1 / ($BF$61:$BF$65*CW401 + (1-$BF$61:$BF$65)*CS401), N($AU$61:$AU$65&gt;$AM401)),
SUMPRODUCT(INDEX($AV$46:$AX$55,,$AI401), INDEX($AY$46:$BE$55,,$AH401), 1 / ($BG$46:$BG$55*CW401 + (1-$BG$46:$BG$55)*CS401), N($AU$46:$AU$55&gt;$AM401))
) / 1000</f>
        <v>0</v>
      </c>
      <c r="CY401" s="234" cm="1">
        <f t="array" ref="CY401">$BM401 * IF($AH401&lt;=2,
SUMPRODUCT(INDEX($AV$22:$AX$60,,$AI401), INDEX($AY$22:$BE$60,,$AH401), 1 / ($BF$22:$BF$60*CW401), N($AU$22:$AU$60&gt;$AM401)),
SUMPRODUCT(INDEX($AV$22:$AX$45,,$AI401), INDEX($AY$22:$BE$45,,$AH401), 1 / ($BG$22:$BG$45*CW401), N($AU$22:$AU$45&gt;$AM401))
) / 1000</f>
        <v>0</v>
      </c>
      <c r="CZ401" s="229">
        <f t="shared" si="618"/>
        <v>0</v>
      </c>
      <c r="DA401" s="246"/>
    </row>
    <row r="402" spans="1:105" s="75" customFormat="1" ht="14.25" customHeight="1" x14ac:dyDescent="0.2">
      <c r="A402" s="230" t="b">
        <f t="shared" si="585"/>
        <v>0</v>
      </c>
      <c r="B402" s="253">
        <v>381</v>
      </c>
      <c r="C402" s="266"/>
      <c r="D402" s="266"/>
      <c r="E402" s="254"/>
      <c r="F402" s="255" t="str">
        <f>IF(ISBLANK(E402), "", VLOOKUP(E402, Z!$A$2:$C$4127, 3, FALSE))</f>
        <v/>
      </c>
      <c r="G402" s="256"/>
      <c r="H402" s="256"/>
      <c r="I402" s="256"/>
      <c r="J402" s="257"/>
      <c r="K402" s="258"/>
      <c r="L402" s="267"/>
      <c r="M402" s="268"/>
      <c r="N402" s="259" t="str" cm="1">
        <f t="array" ref="N402">IF($L402&gt;0, INDEX(Clean,1+AK402,$D$1), "")</f>
        <v/>
      </c>
      <c r="O402" s="260"/>
      <c r="P402" s="260"/>
      <c r="Q402" s="261"/>
      <c r="R402" s="264">
        <f t="shared" si="594"/>
        <v>0</v>
      </c>
      <c r="S402" s="259" t="str" cm="1">
        <f t="array" ref="S402">IF($L402&gt;0, INDEX(Clean,1+AL402,$D$1), "")</f>
        <v/>
      </c>
      <c r="T402" s="260"/>
      <c r="U402" s="260"/>
      <c r="V402" s="261"/>
      <c r="W402" s="267"/>
      <c r="X402" s="267"/>
      <c r="Y402" s="257"/>
      <c r="Z402" s="264">
        <f t="shared" si="595"/>
        <v>0</v>
      </c>
      <c r="AA402" s="269"/>
      <c r="AB402" s="266"/>
      <c r="AC402" s="254"/>
      <c r="AD402" s="255" t="str">
        <f>IF(ISBLANK(AC402), "", VLOOKUP(AC402, Z!$A$2:$C$4127, 3, FALSE))</f>
        <v/>
      </c>
      <c r="AE402" s="270"/>
      <c r="AF402" s="265">
        <f t="shared" si="596"/>
        <v>0</v>
      </c>
      <c r="AG402" s="246"/>
      <c r="AH402" s="228">
        <f t="shared" si="619"/>
        <v>1</v>
      </c>
      <c r="AI402" s="228">
        <f t="shared" si="620"/>
        <v>1</v>
      </c>
      <c r="AJ402" s="228">
        <f t="shared" si="621"/>
        <v>0</v>
      </c>
      <c r="AK402" s="228">
        <v>0</v>
      </c>
      <c r="AL402" s="228">
        <v>0</v>
      </c>
      <c r="AM402" s="228">
        <f t="shared" si="597"/>
        <v>-100</v>
      </c>
      <c r="AN402" s="228" cm="1">
        <f t="array" ref="AN402">IF(ISBLANK(G402), 1, IFERROR(MATCH(G402, INDEX(Kat,,1), 0), IFERROR(MATCH(Kat, INDEX(Use,,2), 0), MATCH(Kat, INDEX(Use,,3), 0))))</f>
        <v>1</v>
      </c>
      <c r="AO402" s="246"/>
      <c r="AP402" s="228" cm="1">
        <f t="array" ref="AP402">IF(W402&gt;0, INDEX(Kat, AN402,4), 0)</f>
        <v>0</v>
      </c>
      <c r="AQ402" s="228">
        <f t="shared" si="622"/>
        <v>0</v>
      </c>
      <c r="AR402" s="228" cm="1">
        <f t="array" ref="AR402">IF(X402&gt;0, INDEX(Kat, $AN402, 4+AQ402), 0)</f>
        <v>0</v>
      </c>
      <c r="AS402" s="228" cm="1">
        <f t="array" ref="AS402">IF(X402&gt;0, INDEX(Kat, $AN402, 9+AQ402), 0)</f>
        <v>0</v>
      </c>
      <c r="AT402" s="246"/>
      <c r="AU402" s="262"/>
      <c r="AV402" s="262"/>
      <c r="AW402" s="263"/>
      <c r="AX402" s="263"/>
      <c r="AY402" s="263"/>
      <c r="AZ402" s="263"/>
      <c r="BA402" s="263"/>
      <c r="BB402" s="263"/>
      <c r="BC402" s="263"/>
      <c r="BD402" s="263"/>
      <c r="BE402" s="263"/>
      <c r="BF402" s="263"/>
      <c r="BG402" s="263"/>
      <c r="BH402" s="246"/>
      <c r="BI402" s="228" cm="1">
        <f t="array" ref="BI402">INDEX(Use, $AH402, 4)</f>
        <v>7</v>
      </c>
      <c r="BJ402" s="228">
        <f t="shared" si="598"/>
        <v>32</v>
      </c>
      <c r="BK402" s="228">
        <f t="shared" si="586"/>
        <v>13</v>
      </c>
      <c r="BL402" s="228">
        <f t="shared" si="587"/>
        <v>0</v>
      </c>
      <c r="BM402" s="233" cm="1">
        <f t="array" ref="BM402">L402/IF($M402&gt;0, INDEX($AY$22:$BE$76, $M402+20, $AH402), 1)</f>
        <v>0</v>
      </c>
      <c r="BN402" s="229">
        <f t="shared" si="599"/>
        <v>0</v>
      </c>
      <c r="BO402" s="228">
        <v>35</v>
      </c>
      <c r="BP402" s="229">
        <f t="shared" si="600"/>
        <v>48</v>
      </c>
      <c r="BQ402" s="234">
        <f t="shared" si="601"/>
        <v>3.0748170731707316</v>
      </c>
      <c r="BR402" s="234" cm="1">
        <f t="array" ref="BR402">$BM402 * SUMPRODUCT(INDEX($AV$76:$AX$81,,$AI402),INDEX($AY$76:$BE$81,,$AH402), N($AU$76:$AU$81&gt;$AM402)) / BQ402 / 1000</f>
        <v>0</v>
      </c>
      <c r="BS402" s="231">
        <f t="shared" si="588"/>
        <v>30</v>
      </c>
      <c r="BT402" s="229">
        <f t="shared" si="602"/>
        <v>43</v>
      </c>
      <c r="BU402" s="234">
        <f t="shared" si="603"/>
        <v>3.5018750000000001</v>
      </c>
      <c r="BV402" s="234" cm="1">
        <f t="array" ref="BV402">$BM402 * IF($AH402&lt;=2,
SUMPRODUCT(INDEX($AV$71:$AX$75,,$AI402), INDEX($AY$71:$BE$75,,$AH402), 1 / ($BF$71:$BF$75*BU402 + (1-$BF$71:$BF$75)*BQ402), N($AU$71:$AU$75&gt;$AM402)),
SUMPRODUCT(INDEX($AV$66:$AX$75,,$AI402), INDEX($AY$66:$BE$75,,$AH402), 1 / ($BG$66:$BG$75*BU402 + (1-$BG$66:$BG$75)*BQ402), N($AU$66:$AU$75&gt;$AM402))
) / 1000</f>
        <v>0</v>
      </c>
      <c r="BW402" s="231">
        <f t="shared" si="589"/>
        <v>25</v>
      </c>
      <c r="BX402" s="229">
        <f t="shared" si="604"/>
        <v>38</v>
      </c>
      <c r="BY402" s="234">
        <f t="shared" si="605"/>
        <v>4.0666935483870965</v>
      </c>
      <c r="BZ402" s="234" cm="1">
        <f t="array" ref="BZ402">$BM402 * IF($AH402&lt;=2,
SUMPRODUCT(INDEX($AV$66:$AX$70,,$AI402), INDEX($AY$66:$BE$70,,$AH402), 1 / ($BF$66:$BF$70*BY402 + (1-$BF$66:$BF$70)*BU402), N($AU$66:$AU$70&gt;$AM402)),
SUMPRODUCT(INDEX($AV$56:$AX$65,,$AI402), INDEX($AY$56:$BE$65,,$AH402), 1 / ($BG$56:$BG$65*BY402 + (1-$BG$56:$BG$65)*BU402), N($AU$56:$AU$65&gt;$AM402))
) / 1000</f>
        <v>0</v>
      </c>
      <c r="CA402" s="231">
        <f t="shared" si="590"/>
        <v>20</v>
      </c>
      <c r="CB402" s="229">
        <f t="shared" si="606"/>
        <v>33</v>
      </c>
      <c r="CC402" s="234">
        <f t="shared" si="607"/>
        <v>4.8487499999999999</v>
      </c>
      <c r="CD402" s="234" cm="1">
        <f t="array" ref="CD402">$BM402 * IF($AH402&lt;=2,
SUMPRODUCT(INDEX($AV$61:$AX$65,,$AI402), INDEX($AY$61:$BE$65,,$AH402), 1 / ($BF$61:$BF$65*CC402 + (1-$BF$61:$BF$65)*BY402), N($AU$61:$AU$65&gt;$AM402)),
SUMPRODUCT(INDEX($AV$46:$AX$55,,$AI402), INDEX($AY$46:$BE$55,,$AH402), 1 / ($BG$46:$BG$55*CC402 + (1-$BG$46:$BG$55)*BY402), N($AU$46:$AU$55&gt;$AM402))
) / 1000</f>
        <v>0</v>
      </c>
      <c r="CE402" s="234" cm="1">
        <f t="array" ref="CE402">$BM402 * IF($AH402&lt;=2,
SUMPRODUCT(INDEX($AV$22:$AX$60,,$AI402), INDEX($AY$22:$BE$60,,$AH402), 1 / ($BF$22:$BF$60*CC402), N($AU$22:$AU$60&gt;$AM402)),
SUMPRODUCT(INDEX($AV$22:$AX$45,,$AI402), INDEX($AY$22:$BE$45,,$AH402), 1 / ($BG$22:$BG$45*CC402), N($AU$22:$AU$45&gt;$AM402))
) / 1000</f>
        <v>0</v>
      </c>
      <c r="CF402" s="229">
        <f t="shared" si="608"/>
        <v>0</v>
      </c>
      <c r="CG402" s="246"/>
      <c r="CH402" s="229">
        <f t="shared" si="609"/>
        <v>0</v>
      </c>
      <c r="CI402" s="228">
        <v>35</v>
      </c>
      <c r="CJ402" s="229">
        <f t="shared" si="610"/>
        <v>48</v>
      </c>
      <c r="CK402" s="234">
        <f t="shared" si="611"/>
        <v>3.0748170731707316</v>
      </c>
      <c r="CL402" s="234" cm="1">
        <f t="array" ref="CL402">$BM402 * SUMPRODUCT(INDEX($AV$76:$AX$81,,$AI402),INDEX($AY$76:$BE$81,,$AH402), N($AU$76:$AU$81&gt;$AM402)) / CK402 / 1000</f>
        <v>0</v>
      </c>
      <c r="CM402" s="231">
        <f t="shared" si="591"/>
        <v>30</v>
      </c>
      <c r="CN402" s="229">
        <f t="shared" si="612"/>
        <v>43</v>
      </c>
      <c r="CO402" s="234">
        <f t="shared" si="613"/>
        <v>3.5018750000000001</v>
      </c>
      <c r="CP402" s="234" cm="1">
        <f t="array" ref="CP402">$BM402 * IF($AH402&lt;=2,
SUMPRODUCT(INDEX($AV$71:$AX$75,,$AI402), INDEX($AY$71:$BE$75,,$AH402), 1 / ($BF$71:$BF$75*CO402 + (1-$BF$71:$BF$75)*CK402), N($AU$71:$AU$75&gt;$AM402)),
SUMPRODUCT(INDEX($AV$66:$AX$75,,$AI402), INDEX($AY$66:$BE$75,,$AH402), 1 / ($BG$66:$BG$75*CO402 + (1-$BG$66:$BG$75)*CK402), N($AU$66:$AU$75&gt;$AM402))
) / 1000</f>
        <v>0</v>
      </c>
      <c r="CQ402" s="231">
        <f t="shared" si="592"/>
        <v>25</v>
      </c>
      <c r="CR402" s="229">
        <f t="shared" si="614"/>
        <v>38</v>
      </c>
      <c r="CS402" s="234">
        <f t="shared" si="615"/>
        <v>4.0666935483870965</v>
      </c>
      <c r="CT402" s="234" cm="1">
        <f t="array" ref="CT402">$BM402 * IF($AH402&lt;=2,
SUMPRODUCT(INDEX($AV$66:$AX$70,,$AI402), INDEX($AY$66:$BE$70,,$AH402), 1 / ($BF$66:$BF$70*CS402 + (1-$BF$66:$BF$70)*CO402), N($AU$66:$AU$70&gt;$AM402)),
SUMPRODUCT(INDEX($AV$56:$AX$65,,$AI402), INDEX($AY$56:$BE$65,,$AH402), 1 / ($BG$56:$BG$65*CS402 + (1-$BG$56:$BG$65)*CO402), N($AU$56:$AU$65&gt;$AM402))
) / 1000</f>
        <v>0</v>
      </c>
      <c r="CU402" s="231">
        <f t="shared" si="593"/>
        <v>20</v>
      </c>
      <c r="CV402" s="229">
        <f t="shared" si="616"/>
        <v>33</v>
      </c>
      <c r="CW402" s="234">
        <f t="shared" si="617"/>
        <v>4.8487499999999999</v>
      </c>
      <c r="CX402" s="234" cm="1">
        <f t="array" ref="CX402">$BM402 * IF($AH402&lt;=2,
SUMPRODUCT(INDEX($AV$61:$AX$65,,$AI402), INDEX($AY$61:$BE$65,,$AH402), 1 / ($BF$61:$BF$65*CW402 + (1-$BF$61:$BF$65)*CS402), N($AU$61:$AU$65&gt;$AM402)),
SUMPRODUCT(INDEX($AV$46:$AX$55,,$AI402), INDEX($AY$46:$BE$55,,$AH402), 1 / ($BG$46:$BG$55*CW402 + (1-$BG$46:$BG$55)*CS402), N($AU$46:$AU$55&gt;$AM402))
) / 1000</f>
        <v>0</v>
      </c>
      <c r="CY402" s="234" cm="1">
        <f t="array" ref="CY402">$BM402 * IF($AH402&lt;=2,
SUMPRODUCT(INDEX($AV$22:$AX$60,,$AI402), INDEX($AY$22:$BE$60,,$AH402), 1 / ($BF$22:$BF$60*CW402), N($AU$22:$AU$60&gt;$AM402)),
SUMPRODUCT(INDEX($AV$22:$AX$45,,$AI402), INDEX($AY$22:$BE$45,,$AH402), 1 / ($BG$22:$BG$45*CW402), N($AU$22:$AU$45&gt;$AM402))
) / 1000</f>
        <v>0</v>
      </c>
      <c r="CZ402" s="229">
        <f t="shared" si="618"/>
        <v>0</v>
      </c>
      <c r="DA402" s="246"/>
    </row>
    <row r="403" spans="1:105" s="75" customFormat="1" ht="14.25" customHeight="1" x14ac:dyDescent="0.2">
      <c r="A403" s="230" t="b">
        <f t="shared" si="585"/>
        <v>0</v>
      </c>
      <c r="B403" s="253">
        <v>382</v>
      </c>
      <c r="C403" s="266"/>
      <c r="D403" s="266"/>
      <c r="E403" s="254"/>
      <c r="F403" s="255" t="str">
        <f>IF(ISBLANK(E403), "", VLOOKUP(E403, Z!$A$2:$C$4127, 3, FALSE))</f>
        <v/>
      </c>
      <c r="G403" s="256"/>
      <c r="H403" s="256"/>
      <c r="I403" s="256"/>
      <c r="J403" s="257"/>
      <c r="K403" s="258"/>
      <c r="L403" s="267"/>
      <c r="M403" s="268"/>
      <c r="N403" s="259" t="str" cm="1">
        <f t="array" ref="N403">IF($L403&gt;0, INDEX(Clean,1+AK403,$D$1), "")</f>
        <v/>
      </c>
      <c r="O403" s="260"/>
      <c r="P403" s="260"/>
      <c r="Q403" s="261"/>
      <c r="R403" s="264">
        <f t="shared" si="594"/>
        <v>0</v>
      </c>
      <c r="S403" s="259" t="str" cm="1">
        <f t="array" ref="S403">IF($L403&gt;0, INDEX(Clean,1+AL403,$D$1), "")</f>
        <v/>
      </c>
      <c r="T403" s="260"/>
      <c r="U403" s="260"/>
      <c r="V403" s="261"/>
      <c r="W403" s="267"/>
      <c r="X403" s="267"/>
      <c r="Y403" s="257"/>
      <c r="Z403" s="264">
        <f t="shared" si="595"/>
        <v>0</v>
      </c>
      <c r="AA403" s="269"/>
      <c r="AB403" s="266"/>
      <c r="AC403" s="254"/>
      <c r="AD403" s="255" t="str">
        <f>IF(ISBLANK(AC403), "", VLOOKUP(AC403, Z!$A$2:$C$4127, 3, FALSE))</f>
        <v/>
      </c>
      <c r="AE403" s="270"/>
      <c r="AF403" s="265">
        <f t="shared" si="596"/>
        <v>0</v>
      </c>
      <c r="AG403" s="246"/>
      <c r="AH403" s="228">
        <f t="shared" si="619"/>
        <v>1</v>
      </c>
      <c r="AI403" s="228">
        <f t="shared" si="620"/>
        <v>1</v>
      </c>
      <c r="AJ403" s="228">
        <f t="shared" si="621"/>
        <v>0</v>
      </c>
      <c r="AK403" s="228">
        <v>0</v>
      </c>
      <c r="AL403" s="228">
        <v>0</v>
      </c>
      <c r="AM403" s="228">
        <f t="shared" si="597"/>
        <v>-100</v>
      </c>
      <c r="AN403" s="228" cm="1">
        <f t="array" ref="AN403">IF(ISBLANK(G403), 1, IFERROR(MATCH(G403, INDEX(Kat,,1), 0), IFERROR(MATCH(Kat, INDEX(Use,,2), 0), MATCH(Kat, INDEX(Use,,3), 0))))</f>
        <v>1</v>
      </c>
      <c r="AO403" s="246"/>
      <c r="AP403" s="228" cm="1">
        <f t="array" ref="AP403">IF(W403&gt;0, INDEX(Kat, AN403,4), 0)</f>
        <v>0</v>
      </c>
      <c r="AQ403" s="228">
        <f t="shared" si="622"/>
        <v>0</v>
      </c>
      <c r="AR403" s="228" cm="1">
        <f t="array" ref="AR403">IF(X403&gt;0, INDEX(Kat, $AN403, 4+AQ403), 0)</f>
        <v>0</v>
      </c>
      <c r="AS403" s="228" cm="1">
        <f t="array" ref="AS403">IF(X403&gt;0, INDEX(Kat, $AN403, 9+AQ403), 0)</f>
        <v>0</v>
      </c>
      <c r="AT403" s="246"/>
      <c r="AU403" s="262"/>
      <c r="AV403" s="262"/>
      <c r="AW403" s="263"/>
      <c r="AX403" s="263"/>
      <c r="AY403" s="263"/>
      <c r="AZ403" s="263"/>
      <c r="BA403" s="263"/>
      <c r="BB403" s="263"/>
      <c r="BC403" s="263"/>
      <c r="BD403" s="263"/>
      <c r="BE403" s="263"/>
      <c r="BF403" s="263"/>
      <c r="BG403" s="263"/>
      <c r="BH403" s="246"/>
      <c r="BI403" s="228" cm="1">
        <f t="array" ref="BI403">INDEX(Use, $AH403, 4)</f>
        <v>7</v>
      </c>
      <c r="BJ403" s="228">
        <f t="shared" si="598"/>
        <v>32</v>
      </c>
      <c r="BK403" s="228">
        <f t="shared" si="586"/>
        <v>13</v>
      </c>
      <c r="BL403" s="228">
        <f t="shared" si="587"/>
        <v>0</v>
      </c>
      <c r="BM403" s="233" cm="1">
        <f t="array" ref="BM403">L403/IF($M403&gt;0, INDEX($AY$22:$BE$76, $M403+20, $AH403), 1)</f>
        <v>0</v>
      </c>
      <c r="BN403" s="229">
        <f t="shared" si="599"/>
        <v>0</v>
      </c>
      <c r="BO403" s="228">
        <v>35</v>
      </c>
      <c r="BP403" s="229">
        <f t="shared" si="600"/>
        <v>48</v>
      </c>
      <c r="BQ403" s="234">
        <f t="shared" si="601"/>
        <v>3.0748170731707316</v>
      </c>
      <c r="BR403" s="234" cm="1">
        <f t="array" ref="BR403">$BM403 * SUMPRODUCT(INDEX($AV$76:$AX$81,,$AI403),INDEX($AY$76:$BE$81,,$AH403), N($AU$76:$AU$81&gt;$AM403)) / BQ403 / 1000</f>
        <v>0</v>
      </c>
      <c r="BS403" s="231">
        <f t="shared" si="588"/>
        <v>30</v>
      </c>
      <c r="BT403" s="229">
        <f t="shared" si="602"/>
        <v>43</v>
      </c>
      <c r="BU403" s="234">
        <f t="shared" si="603"/>
        <v>3.5018750000000001</v>
      </c>
      <c r="BV403" s="234" cm="1">
        <f t="array" ref="BV403">$BM403 * IF($AH403&lt;=2,
SUMPRODUCT(INDEX($AV$71:$AX$75,,$AI403), INDEX($AY$71:$BE$75,,$AH403), 1 / ($BF$71:$BF$75*BU403 + (1-$BF$71:$BF$75)*BQ403), N($AU$71:$AU$75&gt;$AM403)),
SUMPRODUCT(INDEX($AV$66:$AX$75,,$AI403), INDEX($AY$66:$BE$75,,$AH403), 1 / ($BG$66:$BG$75*BU403 + (1-$BG$66:$BG$75)*BQ403), N($AU$66:$AU$75&gt;$AM403))
) / 1000</f>
        <v>0</v>
      </c>
      <c r="BW403" s="231">
        <f t="shared" si="589"/>
        <v>25</v>
      </c>
      <c r="BX403" s="229">
        <f t="shared" si="604"/>
        <v>38</v>
      </c>
      <c r="BY403" s="234">
        <f t="shared" si="605"/>
        <v>4.0666935483870965</v>
      </c>
      <c r="BZ403" s="234" cm="1">
        <f t="array" ref="BZ403">$BM403 * IF($AH403&lt;=2,
SUMPRODUCT(INDEX($AV$66:$AX$70,,$AI403), INDEX($AY$66:$BE$70,,$AH403), 1 / ($BF$66:$BF$70*BY403 + (1-$BF$66:$BF$70)*BU403), N($AU$66:$AU$70&gt;$AM403)),
SUMPRODUCT(INDEX($AV$56:$AX$65,,$AI403), INDEX($AY$56:$BE$65,,$AH403), 1 / ($BG$56:$BG$65*BY403 + (1-$BG$56:$BG$65)*BU403), N($AU$56:$AU$65&gt;$AM403))
) / 1000</f>
        <v>0</v>
      </c>
      <c r="CA403" s="231">
        <f t="shared" si="590"/>
        <v>20</v>
      </c>
      <c r="CB403" s="229">
        <f t="shared" si="606"/>
        <v>33</v>
      </c>
      <c r="CC403" s="234">
        <f t="shared" si="607"/>
        <v>4.8487499999999999</v>
      </c>
      <c r="CD403" s="234" cm="1">
        <f t="array" ref="CD403">$BM403 * IF($AH403&lt;=2,
SUMPRODUCT(INDEX($AV$61:$AX$65,,$AI403), INDEX($AY$61:$BE$65,,$AH403), 1 / ($BF$61:$BF$65*CC403 + (1-$BF$61:$BF$65)*BY403), N($AU$61:$AU$65&gt;$AM403)),
SUMPRODUCT(INDEX($AV$46:$AX$55,,$AI403), INDEX($AY$46:$BE$55,,$AH403), 1 / ($BG$46:$BG$55*CC403 + (1-$BG$46:$BG$55)*BY403), N($AU$46:$AU$55&gt;$AM403))
) / 1000</f>
        <v>0</v>
      </c>
      <c r="CE403" s="234" cm="1">
        <f t="array" ref="CE403">$BM403 * IF($AH403&lt;=2,
SUMPRODUCT(INDEX($AV$22:$AX$60,,$AI403), INDEX($AY$22:$BE$60,,$AH403), 1 / ($BF$22:$BF$60*CC403), N($AU$22:$AU$60&gt;$AM403)),
SUMPRODUCT(INDEX($AV$22:$AX$45,,$AI403), INDEX($AY$22:$BE$45,,$AH403), 1 / ($BG$22:$BG$45*CC403), N($AU$22:$AU$45&gt;$AM403))
) / 1000</f>
        <v>0</v>
      </c>
      <c r="CF403" s="229">
        <f t="shared" si="608"/>
        <v>0</v>
      </c>
      <c r="CG403" s="246"/>
      <c r="CH403" s="229">
        <f t="shared" si="609"/>
        <v>0</v>
      </c>
      <c r="CI403" s="228">
        <v>35</v>
      </c>
      <c r="CJ403" s="229">
        <f t="shared" si="610"/>
        <v>48</v>
      </c>
      <c r="CK403" s="234">
        <f t="shared" si="611"/>
        <v>3.0748170731707316</v>
      </c>
      <c r="CL403" s="234" cm="1">
        <f t="array" ref="CL403">$BM403 * SUMPRODUCT(INDEX($AV$76:$AX$81,,$AI403),INDEX($AY$76:$BE$81,,$AH403), N($AU$76:$AU$81&gt;$AM403)) / CK403 / 1000</f>
        <v>0</v>
      </c>
      <c r="CM403" s="231">
        <f t="shared" si="591"/>
        <v>30</v>
      </c>
      <c r="CN403" s="229">
        <f t="shared" si="612"/>
        <v>43</v>
      </c>
      <c r="CO403" s="234">
        <f t="shared" si="613"/>
        <v>3.5018750000000001</v>
      </c>
      <c r="CP403" s="234" cm="1">
        <f t="array" ref="CP403">$BM403 * IF($AH403&lt;=2,
SUMPRODUCT(INDEX($AV$71:$AX$75,,$AI403), INDEX($AY$71:$BE$75,,$AH403), 1 / ($BF$71:$BF$75*CO403 + (1-$BF$71:$BF$75)*CK403), N($AU$71:$AU$75&gt;$AM403)),
SUMPRODUCT(INDEX($AV$66:$AX$75,,$AI403), INDEX($AY$66:$BE$75,,$AH403), 1 / ($BG$66:$BG$75*CO403 + (1-$BG$66:$BG$75)*CK403), N($AU$66:$AU$75&gt;$AM403))
) / 1000</f>
        <v>0</v>
      </c>
      <c r="CQ403" s="231">
        <f t="shared" si="592"/>
        <v>25</v>
      </c>
      <c r="CR403" s="229">
        <f t="shared" si="614"/>
        <v>38</v>
      </c>
      <c r="CS403" s="234">
        <f t="shared" si="615"/>
        <v>4.0666935483870965</v>
      </c>
      <c r="CT403" s="234" cm="1">
        <f t="array" ref="CT403">$BM403 * IF($AH403&lt;=2,
SUMPRODUCT(INDEX($AV$66:$AX$70,,$AI403), INDEX($AY$66:$BE$70,,$AH403), 1 / ($BF$66:$BF$70*CS403 + (1-$BF$66:$BF$70)*CO403), N($AU$66:$AU$70&gt;$AM403)),
SUMPRODUCT(INDEX($AV$56:$AX$65,,$AI403), INDEX($AY$56:$BE$65,,$AH403), 1 / ($BG$56:$BG$65*CS403 + (1-$BG$56:$BG$65)*CO403), N($AU$56:$AU$65&gt;$AM403))
) / 1000</f>
        <v>0</v>
      </c>
      <c r="CU403" s="231">
        <f t="shared" si="593"/>
        <v>20</v>
      </c>
      <c r="CV403" s="229">
        <f t="shared" si="616"/>
        <v>33</v>
      </c>
      <c r="CW403" s="234">
        <f t="shared" si="617"/>
        <v>4.8487499999999999</v>
      </c>
      <c r="CX403" s="234" cm="1">
        <f t="array" ref="CX403">$BM403 * IF($AH403&lt;=2,
SUMPRODUCT(INDEX($AV$61:$AX$65,,$AI403), INDEX($AY$61:$BE$65,,$AH403), 1 / ($BF$61:$BF$65*CW403 + (1-$BF$61:$BF$65)*CS403), N($AU$61:$AU$65&gt;$AM403)),
SUMPRODUCT(INDEX($AV$46:$AX$55,,$AI403), INDEX($AY$46:$BE$55,,$AH403), 1 / ($BG$46:$BG$55*CW403 + (1-$BG$46:$BG$55)*CS403), N($AU$46:$AU$55&gt;$AM403))
) / 1000</f>
        <v>0</v>
      </c>
      <c r="CY403" s="234" cm="1">
        <f t="array" ref="CY403">$BM403 * IF($AH403&lt;=2,
SUMPRODUCT(INDEX($AV$22:$AX$60,,$AI403), INDEX($AY$22:$BE$60,,$AH403), 1 / ($BF$22:$BF$60*CW403), N($AU$22:$AU$60&gt;$AM403)),
SUMPRODUCT(INDEX($AV$22:$AX$45,,$AI403), INDEX($AY$22:$BE$45,,$AH403), 1 / ($BG$22:$BG$45*CW403), N($AU$22:$AU$45&gt;$AM403))
) / 1000</f>
        <v>0</v>
      </c>
      <c r="CZ403" s="229">
        <f t="shared" si="618"/>
        <v>0</v>
      </c>
      <c r="DA403" s="246"/>
    </row>
    <row r="404" spans="1:105" s="75" customFormat="1" ht="14.25" customHeight="1" x14ac:dyDescent="0.2">
      <c r="A404" s="230" t="b">
        <f t="shared" si="585"/>
        <v>0</v>
      </c>
      <c r="B404" s="253">
        <v>383</v>
      </c>
      <c r="C404" s="266"/>
      <c r="D404" s="266"/>
      <c r="E404" s="254"/>
      <c r="F404" s="255" t="str">
        <f>IF(ISBLANK(E404), "", VLOOKUP(E404, Z!$A$2:$C$4127, 3, FALSE))</f>
        <v/>
      </c>
      <c r="G404" s="256"/>
      <c r="H404" s="256"/>
      <c r="I404" s="256"/>
      <c r="J404" s="257"/>
      <c r="K404" s="258"/>
      <c r="L404" s="267"/>
      <c r="M404" s="268"/>
      <c r="N404" s="259" t="str" cm="1">
        <f t="array" ref="N404">IF($L404&gt;0, INDEX(Clean,1+AK404,$D$1), "")</f>
        <v/>
      </c>
      <c r="O404" s="260"/>
      <c r="P404" s="260"/>
      <c r="Q404" s="261"/>
      <c r="R404" s="264">
        <f t="shared" si="594"/>
        <v>0</v>
      </c>
      <c r="S404" s="259" t="str" cm="1">
        <f t="array" ref="S404">IF($L404&gt;0, INDEX(Clean,1+AL404,$D$1), "")</f>
        <v/>
      </c>
      <c r="T404" s="260"/>
      <c r="U404" s="260"/>
      <c r="V404" s="261"/>
      <c r="W404" s="267"/>
      <c r="X404" s="267"/>
      <c r="Y404" s="257"/>
      <c r="Z404" s="264">
        <f t="shared" si="595"/>
        <v>0</v>
      </c>
      <c r="AA404" s="269"/>
      <c r="AB404" s="266"/>
      <c r="AC404" s="254"/>
      <c r="AD404" s="255" t="str">
        <f>IF(ISBLANK(AC404), "", VLOOKUP(AC404, Z!$A$2:$C$4127, 3, FALSE))</f>
        <v/>
      </c>
      <c r="AE404" s="270"/>
      <c r="AF404" s="265">
        <f t="shared" si="596"/>
        <v>0</v>
      </c>
      <c r="AG404" s="246"/>
      <c r="AH404" s="228">
        <f t="shared" si="619"/>
        <v>1</v>
      </c>
      <c r="AI404" s="228">
        <f t="shared" si="620"/>
        <v>1</v>
      </c>
      <c r="AJ404" s="228">
        <f t="shared" si="621"/>
        <v>0</v>
      </c>
      <c r="AK404" s="228">
        <v>0</v>
      </c>
      <c r="AL404" s="228">
        <v>0</v>
      </c>
      <c r="AM404" s="228">
        <f t="shared" si="597"/>
        <v>-100</v>
      </c>
      <c r="AN404" s="228" cm="1">
        <f t="array" ref="AN404">IF(ISBLANK(G404), 1, IFERROR(MATCH(G404, INDEX(Kat,,1), 0), IFERROR(MATCH(Kat, INDEX(Use,,2), 0), MATCH(Kat, INDEX(Use,,3), 0))))</f>
        <v>1</v>
      </c>
      <c r="AO404" s="246"/>
      <c r="AP404" s="228" cm="1">
        <f t="array" ref="AP404">IF(W404&gt;0, INDEX(Kat, AN404,4), 0)</f>
        <v>0</v>
      </c>
      <c r="AQ404" s="228">
        <f t="shared" si="622"/>
        <v>0</v>
      </c>
      <c r="AR404" s="228" cm="1">
        <f t="array" ref="AR404">IF(X404&gt;0, INDEX(Kat, $AN404, 4+AQ404), 0)</f>
        <v>0</v>
      </c>
      <c r="AS404" s="228" cm="1">
        <f t="array" ref="AS404">IF(X404&gt;0, INDEX(Kat, $AN404, 9+AQ404), 0)</f>
        <v>0</v>
      </c>
      <c r="AT404" s="246"/>
      <c r="AU404" s="262"/>
      <c r="AV404" s="262"/>
      <c r="AW404" s="263"/>
      <c r="AX404" s="263"/>
      <c r="AY404" s="263"/>
      <c r="AZ404" s="263"/>
      <c r="BA404" s="263"/>
      <c r="BB404" s="263"/>
      <c r="BC404" s="263"/>
      <c r="BD404" s="263"/>
      <c r="BE404" s="263"/>
      <c r="BF404" s="263"/>
      <c r="BG404" s="263"/>
      <c r="BH404" s="246"/>
      <c r="BI404" s="228" cm="1">
        <f t="array" ref="BI404">INDEX(Use, $AH404, 4)</f>
        <v>7</v>
      </c>
      <c r="BJ404" s="228">
        <f t="shared" si="598"/>
        <v>32</v>
      </c>
      <c r="BK404" s="228">
        <f t="shared" si="586"/>
        <v>13</v>
      </c>
      <c r="BL404" s="228">
        <f t="shared" si="587"/>
        <v>0</v>
      </c>
      <c r="BM404" s="233" cm="1">
        <f t="array" ref="BM404">L404/IF($M404&gt;0, INDEX($AY$22:$BE$76, $M404+20, $AH404), 1)</f>
        <v>0</v>
      </c>
      <c r="BN404" s="229">
        <f t="shared" si="599"/>
        <v>0</v>
      </c>
      <c r="BO404" s="228">
        <v>35</v>
      </c>
      <c r="BP404" s="229">
        <f t="shared" si="600"/>
        <v>48</v>
      </c>
      <c r="BQ404" s="234">
        <f t="shared" si="601"/>
        <v>3.0748170731707316</v>
      </c>
      <c r="BR404" s="234" cm="1">
        <f t="array" ref="BR404">$BM404 * SUMPRODUCT(INDEX($AV$76:$AX$81,,$AI404),INDEX($AY$76:$BE$81,,$AH404), N($AU$76:$AU$81&gt;$AM404)) / BQ404 / 1000</f>
        <v>0</v>
      </c>
      <c r="BS404" s="231">
        <f t="shared" si="588"/>
        <v>30</v>
      </c>
      <c r="BT404" s="229">
        <f t="shared" si="602"/>
        <v>43</v>
      </c>
      <c r="BU404" s="234">
        <f t="shared" si="603"/>
        <v>3.5018750000000001</v>
      </c>
      <c r="BV404" s="234" cm="1">
        <f t="array" ref="BV404">$BM404 * IF($AH404&lt;=2,
SUMPRODUCT(INDEX($AV$71:$AX$75,,$AI404), INDEX($AY$71:$BE$75,,$AH404), 1 / ($BF$71:$BF$75*BU404 + (1-$BF$71:$BF$75)*BQ404), N($AU$71:$AU$75&gt;$AM404)),
SUMPRODUCT(INDEX($AV$66:$AX$75,,$AI404), INDEX($AY$66:$BE$75,,$AH404), 1 / ($BG$66:$BG$75*BU404 + (1-$BG$66:$BG$75)*BQ404), N($AU$66:$AU$75&gt;$AM404))
) / 1000</f>
        <v>0</v>
      </c>
      <c r="BW404" s="231">
        <f t="shared" si="589"/>
        <v>25</v>
      </c>
      <c r="BX404" s="229">
        <f t="shared" si="604"/>
        <v>38</v>
      </c>
      <c r="BY404" s="234">
        <f t="shared" si="605"/>
        <v>4.0666935483870965</v>
      </c>
      <c r="BZ404" s="234" cm="1">
        <f t="array" ref="BZ404">$BM404 * IF($AH404&lt;=2,
SUMPRODUCT(INDEX($AV$66:$AX$70,,$AI404), INDEX($AY$66:$BE$70,,$AH404), 1 / ($BF$66:$BF$70*BY404 + (1-$BF$66:$BF$70)*BU404), N($AU$66:$AU$70&gt;$AM404)),
SUMPRODUCT(INDEX($AV$56:$AX$65,,$AI404), INDEX($AY$56:$BE$65,,$AH404), 1 / ($BG$56:$BG$65*BY404 + (1-$BG$56:$BG$65)*BU404), N($AU$56:$AU$65&gt;$AM404))
) / 1000</f>
        <v>0</v>
      </c>
      <c r="CA404" s="231">
        <f t="shared" si="590"/>
        <v>20</v>
      </c>
      <c r="CB404" s="229">
        <f t="shared" si="606"/>
        <v>33</v>
      </c>
      <c r="CC404" s="234">
        <f t="shared" si="607"/>
        <v>4.8487499999999999</v>
      </c>
      <c r="CD404" s="234" cm="1">
        <f t="array" ref="CD404">$BM404 * IF($AH404&lt;=2,
SUMPRODUCT(INDEX($AV$61:$AX$65,,$AI404), INDEX($AY$61:$BE$65,,$AH404), 1 / ($BF$61:$BF$65*CC404 + (1-$BF$61:$BF$65)*BY404), N($AU$61:$AU$65&gt;$AM404)),
SUMPRODUCT(INDEX($AV$46:$AX$55,,$AI404), INDEX($AY$46:$BE$55,,$AH404), 1 / ($BG$46:$BG$55*CC404 + (1-$BG$46:$BG$55)*BY404), N($AU$46:$AU$55&gt;$AM404))
) / 1000</f>
        <v>0</v>
      </c>
      <c r="CE404" s="234" cm="1">
        <f t="array" ref="CE404">$BM404 * IF($AH404&lt;=2,
SUMPRODUCT(INDEX($AV$22:$AX$60,,$AI404), INDEX($AY$22:$BE$60,,$AH404), 1 / ($BF$22:$BF$60*CC404), N($AU$22:$AU$60&gt;$AM404)),
SUMPRODUCT(INDEX($AV$22:$AX$45,,$AI404), INDEX($AY$22:$BE$45,,$AH404), 1 / ($BG$22:$BG$45*CC404), N($AU$22:$AU$45&gt;$AM404))
) / 1000</f>
        <v>0</v>
      </c>
      <c r="CF404" s="229">
        <f t="shared" si="608"/>
        <v>0</v>
      </c>
      <c r="CG404" s="246"/>
      <c r="CH404" s="229">
        <f t="shared" si="609"/>
        <v>0</v>
      </c>
      <c r="CI404" s="228">
        <v>35</v>
      </c>
      <c r="CJ404" s="229">
        <f t="shared" si="610"/>
        <v>48</v>
      </c>
      <c r="CK404" s="234">
        <f t="shared" si="611"/>
        <v>3.0748170731707316</v>
      </c>
      <c r="CL404" s="234" cm="1">
        <f t="array" ref="CL404">$BM404 * SUMPRODUCT(INDEX($AV$76:$AX$81,,$AI404),INDEX($AY$76:$BE$81,,$AH404), N($AU$76:$AU$81&gt;$AM404)) / CK404 / 1000</f>
        <v>0</v>
      </c>
      <c r="CM404" s="231">
        <f t="shared" si="591"/>
        <v>30</v>
      </c>
      <c r="CN404" s="229">
        <f t="shared" si="612"/>
        <v>43</v>
      </c>
      <c r="CO404" s="234">
        <f t="shared" si="613"/>
        <v>3.5018750000000001</v>
      </c>
      <c r="CP404" s="234" cm="1">
        <f t="array" ref="CP404">$BM404 * IF($AH404&lt;=2,
SUMPRODUCT(INDEX($AV$71:$AX$75,,$AI404), INDEX($AY$71:$BE$75,,$AH404), 1 / ($BF$71:$BF$75*CO404 + (1-$BF$71:$BF$75)*CK404), N($AU$71:$AU$75&gt;$AM404)),
SUMPRODUCT(INDEX($AV$66:$AX$75,,$AI404), INDEX($AY$66:$BE$75,,$AH404), 1 / ($BG$66:$BG$75*CO404 + (1-$BG$66:$BG$75)*CK404), N($AU$66:$AU$75&gt;$AM404))
) / 1000</f>
        <v>0</v>
      </c>
      <c r="CQ404" s="231">
        <f t="shared" si="592"/>
        <v>25</v>
      </c>
      <c r="CR404" s="229">
        <f t="shared" si="614"/>
        <v>38</v>
      </c>
      <c r="CS404" s="234">
        <f t="shared" si="615"/>
        <v>4.0666935483870965</v>
      </c>
      <c r="CT404" s="234" cm="1">
        <f t="array" ref="CT404">$BM404 * IF($AH404&lt;=2,
SUMPRODUCT(INDEX($AV$66:$AX$70,,$AI404), INDEX($AY$66:$BE$70,,$AH404), 1 / ($BF$66:$BF$70*CS404 + (1-$BF$66:$BF$70)*CO404), N($AU$66:$AU$70&gt;$AM404)),
SUMPRODUCT(INDEX($AV$56:$AX$65,,$AI404), INDEX($AY$56:$BE$65,,$AH404), 1 / ($BG$56:$BG$65*CS404 + (1-$BG$56:$BG$65)*CO404), N($AU$56:$AU$65&gt;$AM404))
) / 1000</f>
        <v>0</v>
      </c>
      <c r="CU404" s="231">
        <f t="shared" si="593"/>
        <v>20</v>
      </c>
      <c r="CV404" s="229">
        <f t="shared" si="616"/>
        <v>33</v>
      </c>
      <c r="CW404" s="234">
        <f t="shared" si="617"/>
        <v>4.8487499999999999</v>
      </c>
      <c r="CX404" s="234" cm="1">
        <f t="array" ref="CX404">$BM404 * IF($AH404&lt;=2,
SUMPRODUCT(INDEX($AV$61:$AX$65,,$AI404), INDEX($AY$61:$BE$65,,$AH404), 1 / ($BF$61:$BF$65*CW404 + (1-$BF$61:$BF$65)*CS404), N($AU$61:$AU$65&gt;$AM404)),
SUMPRODUCT(INDEX($AV$46:$AX$55,,$AI404), INDEX($AY$46:$BE$55,,$AH404), 1 / ($BG$46:$BG$55*CW404 + (1-$BG$46:$BG$55)*CS404), N($AU$46:$AU$55&gt;$AM404))
) / 1000</f>
        <v>0</v>
      </c>
      <c r="CY404" s="234" cm="1">
        <f t="array" ref="CY404">$BM404 * IF($AH404&lt;=2,
SUMPRODUCT(INDEX($AV$22:$AX$60,,$AI404), INDEX($AY$22:$BE$60,,$AH404), 1 / ($BF$22:$BF$60*CW404), N($AU$22:$AU$60&gt;$AM404)),
SUMPRODUCT(INDEX($AV$22:$AX$45,,$AI404), INDEX($AY$22:$BE$45,,$AH404), 1 / ($BG$22:$BG$45*CW404), N($AU$22:$AU$45&gt;$AM404))
) / 1000</f>
        <v>0</v>
      </c>
      <c r="CZ404" s="229">
        <f t="shared" si="618"/>
        <v>0</v>
      </c>
      <c r="DA404" s="246"/>
    </row>
    <row r="405" spans="1:105" s="75" customFormat="1" ht="14.25" customHeight="1" x14ac:dyDescent="0.2">
      <c r="A405" s="230" t="b">
        <f t="shared" ref="A405:A468" si="623">IF(OR(AND($L405&gt;80, $AH405=1), AND($L405&gt;40, $AH405=3), AND($L405&gt;30, $AH405=4),), TRUE, FALSE)</f>
        <v>0</v>
      </c>
      <c r="B405" s="253">
        <v>384</v>
      </c>
      <c r="C405" s="266"/>
      <c r="D405" s="266"/>
      <c r="E405" s="254"/>
      <c r="F405" s="255" t="str">
        <f>IF(ISBLANK(E405), "", VLOOKUP(E405, Z!$A$2:$C$4127, 3, FALSE))</f>
        <v/>
      </c>
      <c r="G405" s="256"/>
      <c r="H405" s="256"/>
      <c r="I405" s="256"/>
      <c r="J405" s="257"/>
      <c r="K405" s="258"/>
      <c r="L405" s="267"/>
      <c r="M405" s="268"/>
      <c r="N405" s="259" t="str" cm="1">
        <f t="array" ref="N405">IF($L405&gt;0, INDEX(Clean,1+AK405,$D$1), "")</f>
        <v/>
      </c>
      <c r="O405" s="260"/>
      <c r="P405" s="260"/>
      <c r="Q405" s="261"/>
      <c r="R405" s="264">
        <f t="shared" si="594"/>
        <v>0</v>
      </c>
      <c r="S405" s="259" t="str" cm="1">
        <f t="array" ref="S405">IF($L405&gt;0, INDEX(Clean,1+AL405,$D$1), "")</f>
        <v/>
      </c>
      <c r="T405" s="260"/>
      <c r="U405" s="260"/>
      <c r="V405" s="261"/>
      <c r="W405" s="267"/>
      <c r="X405" s="267"/>
      <c r="Y405" s="257"/>
      <c r="Z405" s="264">
        <f t="shared" si="595"/>
        <v>0</v>
      </c>
      <c r="AA405" s="269"/>
      <c r="AB405" s="266"/>
      <c r="AC405" s="254"/>
      <c r="AD405" s="255" t="str">
        <f>IF(ISBLANK(AC405), "", VLOOKUP(AC405, Z!$A$2:$C$4127, 3, FALSE))</f>
        <v/>
      </c>
      <c r="AE405" s="270"/>
      <c r="AF405" s="265">
        <f t="shared" si="596"/>
        <v>0</v>
      </c>
      <c r="AG405" s="246"/>
      <c r="AH405" s="228">
        <f t="shared" si="619"/>
        <v>1</v>
      </c>
      <c r="AI405" s="228">
        <f t="shared" si="620"/>
        <v>1</v>
      </c>
      <c r="AJ405" s="228">
        <f t="shared" si="621"/>
        <v>0</v>
      </c>
      <c r="AK405" s="228">
        <v>0</v>
      </c>
      <c r="AL405" s="228">
        <v>0</v>
      </c>
      <c r="AM405" s="228">
        <f t="shared" si="597"/>
        <v>-100</v>
      </c>
      <c r="AN405" s="228" cm="1">
        <f t="array" ref="AN405">IF(ISBLANK(G405), 1, IFERROR(MATCH(G405, INDEX(Kat,,1), 0), IFERROR(MATCH(Kat, INDEX(Use,,2), 0), MATCH(Kat, INDEX(Use,,3), 0))))</f>
        <v>1</v>
      </c>
      <c r="AO405" s="246"/>
      <c r="AP405" s="228" cm="1">
        <f t="array" ref="AP405">IF(W405&gt;0, INDEX(Kat, AN405,4), 0)</f>
        <v>0</v>
      </c>
      <c r="AQ405" s="228">
        <f t="shared" si="622"/>
        <v>0</v>
      </c>
      <c r="AR405" s="228" cm="1">
        <f t="array" ref="AR405">IF(X405&gt;0, INDEX(Kat, $AN405, 4+AQ405), 0)</f>
        <v>0</v>
      </c>
      <c r="AS405" s="228" cm="1">
        <f t="array" ref="AS405">IF(X405&gt;0, INDEX(Kat, $AN405, 9+AQ405), 0)</f>
        <v>0</v>
      </c>
      <c r="AT405" s="246"/>
      <c r="AU405" s="262"/>
      <c r="AV405" s="262"/>
      <c r="AW405" s="263"/>
      <c r="AX405" s="263"/>
      <c r="AY405" s="263"/>
      <c r="AZ405" s="263"/>
      <c r="BA405" s="263"/>
      <c r="BB405" s="263"/>
      <c r="BC405" s="263"/>
      <c r="BD405" s="263"/>
      <c r="BE405" s="263"/>
      <c r="BF405" s="263"/>
      <c r="BG405" s="263"/>
      <c r="BH405" s="246"/>
      <c r="BI405" s="228" cm="1">
        <f t="array" ref="BI405">INDEX(Use, $AH405, 4)</f>
        <v>7</v>
      </c>
      <c r="BJ405" s="228">
        <f t="shared" si="598"/>
        <v>32</v>
      </c>
      <c r="BK405" s="228">
        <f t="shared" si="586"/>
        <v>13</v>
      </c>
      <c r="BL405" s="228">
        <f t="shared" si="587"/>
        <v>0</v>
      </c>
      <c r="BM405" s="233" cm="1">
        <f t="array" ref="BM405">L405/IF($M405&gt;0, INDEX($AY$22:$BE$76, $M405+20, $AH405), 1)</f>
        <v>0</v>
      </c>
      <c r="BN405" s="229">
        <f t="shared" si="599"/>
        <v>0</v>
      </c>
      <c r="BO405" s="228">
        <v>35</v>
      </c>
      <c r="BP405" s="229">
        <f t="shared" si="600"/>
        <v>48</v>
      </c>
      <c r="BQ405" s="234">
        <f t="shared" si="601"/>
        <v>3.0748170731707316</v>
      </c>
      <c r="BR405" s="234" cm="1">
        <f t="array" ref="BR405">$BM405 * SUMPRODUCT(INDEX($AV$76:$AX$81,,$AI405),INDEX($AY$76:$BE$81,,$AH405), N($AU$76:$AU$81&gt;$AM405)) / BQ405 / 1000</f>
        <v>0</v>
      </c>
      <c r="BS405" s="231">
        <f t="shared" si="588"/>
        <v>30</v>
      </c>
      <c r="BT405" s="229">
        <f t="shared" si="602"/>
        <v>43</v>
      </c>
      <c r="BU405" s="234">
        <f t="shared" si="603"/>
        <v>3.5018750000000001</v>
      </c>
      <c r="BV405" s="234" cm="1">
        <f t="array" ref="BV405">$BM405 * IF($AH405&lt;=2,
SUMPRODUCT(INDEX($AV$71:$AX$75,,$AI405), INDEX($AY$71:$BE$75,,$AH405), 1 / ($BF$71:$BF$75*BU405 + (1-$BF$71:$BF$75)*BQ405), N($AU$71:$AU$75&gt;$AM405)),
SUMPRODUCT(INDEX($AV$66:$AX$75,,$AI405), INDEX($AY$66:$BE$75,,$AH405), 1 / ($BG$66:$BG$75*BU405 + (1-$BG$66:$BG$75)*BQ405), N($AU$66:$AU$75&gt;$AM405))
) / 1000</f>
        <v>0</v>
      </c>
      <c r="BW405" s="231">
        <f t="shared" si="589"/>
        <v>25</v>
      </c>
      <c r="BX405" s="229">
        <f t="shared" si="604"/>
        <v>38</v>
      </c>
      <c r="BY405" s="234">
        <f t="shared" si="605"/>
        <v>4.0666935483870965</v>
      </c>
      <c r="BZ405" s="234" cm="1">
        <f t="array" ref="BZ405">$BM405 * IF($AH405&lt;=2,
SUMPRODUCT(INDEX($AV$66:$AX$70,,$AI405), INDEX($AY$66:$BE$70,,$AH405), 1 / ($BF$66:$BF$70*BY405 + (1-$BF$66:$BF$70)*BU405), N($AU$66:$AU$70&gt;$AM405)),
SUMPRODUCT(INDEX($AV$56:$AX$65,,$AI405), INDEX($AY$56:$BE$65,,$AH405), 1 / ($BG$56:$BG$65*BY405 + (1-$BG$56:$BG$65)*BU405), N($AU$56:$AU$65&gt;$AM405))
) / 1000</f>
        <v>0</v>
      </c>
      <c r="CA405" s="231">
        <f t="shared" si="590"/>
        <v>20</v>
      </c>
      <c r="CB405" s="229">
        <f t="shared" si="606"/>
        <v>33</v>
      </c>
      <c r="CC405" s="234">
        <f t="shared" si="607"/>
        <v>4.8487499999999999</v>
      </c>
      <c r="CD405" s="234" cm="1">
        <f t="array" ref="CD405">$BM405 * IF($AH405&lt;=2,
SUMPRODUCT(INDEX($AV$61:$AX$65,,$AI405), INDEX($AY$61:$BE$65,,$AH405), 1 / ($BF$61:$BF$65*CC405 + (1-$BF$61:$BF$65)*BY405), N($AU$61:$AU$65&gt;$AM405)),
SUMPRODUCT(INDEX($AV$46:$AX$55,,$AI405), INDEX($AY$46:$BE$55,,$AH405), 1 / ($BG$46:$BG$55*CC405 + (1-$BG$46:$BG$55)*BY405), N($AU$46:$AU$55&gt;$AM405))
) / 1000</f>
        <v>0</v>
      </c>
      <c r="CE405" s="234" cm="1">
        <f t="array" ref="CE405">$BM405 * IF($AH405&lt;=2,
SUMPRODUCT(INDEX($AV$22:$AX$60,,$AI405), INDEX($AY$22:$BE$60,,$AH405), 1 / ($BF$22:$BF$60*CC405), N($AU$22:$AU$60&gt;$AM405)),
SUMPRODUCT(INDEX($AV$22:$AX$45,,$AI405), INDEX($AY$22:$BE$45,,$AH405), 1 / ($BG$22:$BG$45*CC405), N($AU$22:$AU$45&gt;$AM405))
) / 1000</f>
        <v>0</v>
      </c>
      <c r="CF405" s="229">
        <f t="shared" si="608"/>
        <v>0</v>
      </c>
      <c r="CG405" s="246"/>
      <c r="CH405" s="229">
        <f t="shared" si="609"/>
        <v>0</v>
      </c>
      <c r="CI405" s="228">
        <v>35</v>
      </c>
      <c r="CJ405" s="229">
        <f t="shared" si="610"/>
        <v>48</v>
      </c>
      <c r="CK405" s="234">
        <f t="shared" si="611"/>
        <v>3.0748170731707316</v>
      </c>
      <c r="CL405" s="234" cm="1">
        <f t="array" ref="CL405">$BM405 * SUMPRODUCT(INDEX($AV$76:$AX$81,,$AI405),INDEX($AY$76:$BE$81,,$AH405), N($AU$76:$AU$81&gt;$AM405)) / CK405 / 1000</f>
        <v>0</v>
      </c>
      <c r="CM405" s="231">
        <f t="shared" si="591"/>
        <v>30</v>
      </c>
      <c r="CN405" s="229">
        <f t="shared" si="612"/>
        <v>43</v>
      </c>
      <c r="CO405" s="234">
        <f t="shared" si="613"/>
        <v>3.5018750000000001</v>
      </c>
      <c r="CP405" s="234" cm="1">
        <f t="array" ref="CP405">$BM405 * IF($AH405&lt;=2,
SUMPRODUCT(INDEX($AV$71:$AX$75,,$AI405), INDEX($AY$71:$BE$75,,$AH405), 1 / ($BF$71:$BF$75*CO405 + (1-$BF$71:$BF$75)*CK405), N($AU$71:$AU$75&gt;$AM405)),
SUMPRODUCT(INDEX($AV$66:$AX$75,,$AI405), INDEX($AY$66:$BE$75,,$AH405), 1 / ($BG$66:$BG$75*CO405 + (1-$BG$66:$BG$75)*CK405), N($AU$66:$AU$75&gt;$AM405))
) / 1000</f>
        <v>0</v>
      </c>
      <c r="CQ405" s="231">
        <f t="shared" si="592"/>
        <v>25</v>
      </c>
      <c r="CR405" s="229">
        <f t="shared" si="614"/>
        <v>38</v>
      </c>
      <c r="CS405" s="234">
        <f t="shared" si="615"/>
        <v>4.0666935483870965</v>
      </c>
      <c r="CT405" s="234" cm="1">
        <f t="array" ref="CT405">$BM405 * IF($AH405&lt;=2,
SUMPRODUCT(INDEX($AV$66:$AX$70,,$AI405), INDEX($AY$66:$BE$70,,$AH405), 1 / ($BF$66:$BF$70*CS405 + (1-$BF$66:$BF$70)*CO405), N($AU$66:$AU$70&gt;$AM405)),
SUMPRODUCT(INDEX($AV$56:$AX$65,,$AI405), INDEX($AY$56:$BE$65,,$AH405), 1 / ($BG$56:$BG$65*CS405 + (1-$BG$56:$BG$65)*CO405), N($AU$56:$AU$65&gt;$AM405))
) / 1000</f>
        <v>0</v>
      </c>
      <c r="CU405" s="231">
        <f t="shared" si="593"/>
        <v>20</v>
      </c>
      <c r="CV405" s="229">
        <f t="shared" si="616"/>
        <v>33</v>
      </c>
      <c r="CW405" s="234">
        <f t="shared" si="617"/>
        <v>4.8487499999999999</v>
      </c>
      <c r="CX405" s="234" cm="1">
        <f t="array" ref="CX405">$BM405 * IF($AH405&lt;=2,
SUMPRODUCT(INDEX($AV$61:$AX$65,,$AI405), INDEX($AY$61:$BE$65,,$AH405), 1 / ($BF$61:$BF$65*CW405 + (1-$BF$61:$BF$65)*CS405), N($AU$61:$AU$65&gt;$AM405)),
SUMPRODUCT(INDEX($AV$46:$AX$55,,$AI405), INDEX($AY$46:$BE$55,,$AH405), 1 / ($BG$46:$BG$55*CW405 + (1-$BG$46:$BG$55)*CS405), N($AU$46:$AU$55&gt;$AM405))
) / 1000</f>
        <v>0</v>
      </c>
      <c r="CY405" s="234" cm="1">
        <f t="array" ref="CY405">$BM405 * IF($AH405&lt;=2,
SUMPRODUCT(INDEX($AV$22:$AX$60,,$AI405), INDEX($AY$22:$BE$60,,$AH405), 1 / ($BF$22:$BF$60*CW405), N($AU$22:$AU$60&gt;$AM405)),
SUMPRODUCT(INDEX($AV$22:$AX$45,,$AI405), INDEX($AY$22:$BE$45,,$AH405), 1 / ($BG$22:$BG$45*CW405), N($AU$22:$AU$45&gt;$AM405))
) / 1000</f>
        <v>0</v>
      </c>
      <c r="CZ405" s="229">
        <f t="shared" si="618"/>
        <v>0</v>
      </c>
      <c r="DA405" s="246"/>
    </row>
    <row r="406" spans="1:105" s="75" customFormat="1" ht="14.25" customHeight="1" x14ac:dyDescent="0.2">
      <c r="A406" s="230" t="b">
        <f t="shared" si="623"/>
        <v>0</v>
      </c>
      <c r="B406" s="253">
        <v>385</v>
      </c>
      <c r="C406" s="266"/>
      <c r="D406" s="266"/>
      <c r="E406" s="254"/>
      <c r="F406" s="255" t="str">
        <f>IF(ISBLANK(E406), "", VLOOKUP(E406, Z!$A$2:$C$4127, 3, FALSE))</f>
        <v/>
      </c>
      <c r="G406" s="256"/>
      <c r="H406" s="256"/>
      <c r="I406" s="256"/>
      <c r="J406" s="257"/>
      <c r="K406" s="258"/>
      <c r="L406" s="267"/>
      <c r="M406" s="268"/>
      <c r="N406" s="259" t="str" cm="1">
        <f t="array" ref="N406">IF($L406&gt;0, INDEX(Clean,1+AK406,$D$1), "")</f>
        <v/>
      </c>
      <c r="O406" s="260"/>
      <c r="P406" s="260"/>
      <c r="Q406" s="261"/>
      <c r="R406" s="264">
        <f t="shared" si="594"/>
        <v>0</v>
      </c>
      <c r="S406" s="259" t="str" cm="1">
        <f t="array" ref="S406">IF($L406&gt;0, INDEX(Clean,1+AL406,$D$1), "")</f>
        <v/>
      </c>
      <c r="T406" s="260"/>
      <c r="U406" s="260"/>
      <c r="V406" s="261"/>
      <c r="W406" s="267"/>
      <c r="X406" s="267"/>
      <c r="Y406" s="257"/>
      <c r="Z406" s="264">
        <f t="shared" si="595"/>
        <v>0</v>
      </c>
      <c r="AA406" s="269"/>
      <c r="AB406" s="266"/>
      <c r="AC406" s="254"/>
      <c r="AD406" s="255" t="str">
        <f>IF(ISBLANK(AC406), "", VLOOKUP(AC406, Z!$A$2:$C$4127, 3, FALSE))</f>
        <v/>
      </c>
      <c r="AE406" s="270"/>
      <c r="AF406" s="265">
        <f t="shared" si="596"/>
        <v>0</v>
      </c>
      <c r="AG406" s="246"/>
      <c r="AH406" s="228">
        <f t="shared" si="619"/>
        <v>1</v>
      </c>
      <c r="AI406" s="228">
        <f t="shared" si="620"/>
        <v>1</v>
      </c>
      <c r="AJ406" s="228">
        <f t="shared" si="621"/>
        <v>0</v>
      </c>
      <c r="AK406" s="228">
        <v>0</v>
      </c>
      <c r="AL406" s="228">
        <v>0</v>
      </c>
      <c r="AM406" s="228">
        <f t="shared" si="597"/>
        <v>-100</v>
      </c>
      <c r="AN406" s="228" cm="1">
        <f t="array" ref="AN406">IF(ISBLANK(G406), 1, IFERROR(MATCH(G406, INDEX(Kat,,1), 0), IFERROR(MATCH(Kat, INDEX(Use,,2), 0), MATCH(Kat, INDEX(Use,,3), 0))))</f>
        <v>1</v>
      </c>
      <c r="AO406" s="246"/>
      <c r="AP406" s="228" cm="1">
        <f t="array" ref="AP406">IF(W406&gt;0, INDEX(Kat, AN406,4), 0)</f>
        <v>0</v>
      </c>
      <c r="AQ406" s="228">
        <f t="shared" si="622"/>
        <v>0</v>
      </c>
      <c r="AR406" s="228" cm="1">
        <f t="array" ref="AR406">IF(X406&gt;0, INDEX(Kat, $AN406, 4+AQ406), 0)</f>
        <v>0</v>
      </c>
      <c r="AS406" s="228" cm="1">
        <f t="array" ref="AS406">IF(X406&gt;0, INDEX(Kat, $AN406, 9+AQ406), 0)</f>
        <v>0</v>
      </c>
      <c r="AT406" s="246"/>
      <c r="AU406" s="262"/>
      <c r="AV406" s="262"/>
      <c r="AW406" s="263"/>
      <c r="AX406" s="263"/>
      <c r="AY406" s="263"/>
      <c r="AZ406" s="263"/>
      <c r="BA406" s="263"/>
      <c r="BB406" s="263"/>
      <c r="BC406" s="263"/>
      <c r="BD406" s="263"/>
      <c r="BE406" s="263"/>
      <c r="BF406" s="263"/>
      <c r="BG406" s="263"/>
      <c r="BH406" s="246"/>
      <c r="BI406" s="228" cm="1">
        <f t="array" ref="BI406">INDEX(Use, $AH406, 4)</f>
        <v>7</v>
      </c>
      <c r="BJ406" s="228">
        <f t="shared" si="598"/>
        <v>32</v>
      </c>
      <c r="BK406" s="228">
        <f t="shared" ref="BK406:BK469" si="624">IF($AJ406=1, 6, IF($AH406=4, 10, 13))</f>
        <v>13</v>
      </c>
      <c r="BL406" s="228">
        <f t="shared" ref="BL406:BL469" si="625">IF($AJ406=1, 9, 0)</f>
        <v>0</v>
      </c>
      <c r="BM406" s="233" cm="1">
        <f t="array" ref="BM406">L406/IF($M406&gt;0, INDEX($AY$22:$BE$76, $M406+20, $AH406), 1)</f>
        <v>0</v>
      </c>
      <c r="BN406" s="229">
        <f t="shared" si="599"/>
        <v>0</v>
      </c>
      <c r="BO406" s="228">
        <v>35</v>
      </c>
      <c r="BP406" s="229">
        <f t="shared" si="600"/>
        <v>48</v>
      </c>
      <c r="BQ406" s="234">
        <f t="shared" si="601"/>
        <v>3.0748170731707316</v>
      </c>
      <c r="BR406" s="234" cm="1">
        <f t="array" ref="BR406">$BM406 * SUMPRODUCT(INDEX($AV$76:$AX$81,,$AI406),INDEX($AY$76:$BE$81,,$AH406), N($AU$76:$AU$81&gt;$AM406)) / BQ406 / 1000</f>
        <v>0</v>
      </c>
      <c r="BS406" s="231">
        <f t="shared" ref="BS406:BS469" si="626">IF($AH406&lt;=2, 30, 25)</f>
        <v>30</v>
      </c>
      <c r="BT406" s="229">
        <f t="shared" si="602"/>
        <v>43</v>
      </c>
      <c r="BU406" s="234">
        <f t="shared" si="603"/>
        <v>3.5018750000000001</v>
      </c>
      <c r="BV406" s="234" cm="1">
        <f t="array" ref="BV406">$BM406 * IF($AH406&lt;=2,
SUMPRODUCT(INDEX($AV$71:$AX$75,,$AI406), INDEX($AY$71:$BE$75,,$AH406), 1 / ($BF$71:$BF$75*BU406 + (1-$BF$71:$BF$75)*BQ406), N($AU$71:$AU$75&gt;$AM406)),
SUMPRODUCT(INDEX($AV$66:$AX$75,,$AI406), INDEX($AY$66:$BE$75,,$AH406), 1 / ($BG$66:$BG$75*BU406 + (1-$BG$66:$BG$75)*BQ406), N($AU$66:$AU$75&gt;$AM406))
) / 1000</f>
        <v>0</v>
      </c>
      <c r="BW406" s="231">
        <f t="shared" ref="BW406:BW469" si="627">IF($AH406&lt;=2, 25, 15)</f>
        <v>25</v>
      </c>
      <c r="BX406" s="229">
        <f t="shared" si="604"/>
        <v>38</v>
      </c>
      <c r="BY406" s="234">
        <f t="shared" si="605"/>
        <v>4.0666935483870965</v>
      </c>
      <c r="BZ406" s="234" cm="1">
        <f t="array" ref="BZ406">$BM406 * IF($AH406&lt;=2,
SUMPRODUCT(INDEX($AV$66:$AX$70,,$AI406), INDEX($AY$66:$BE$70,,$AH406), 1 / ($BF$66:$BF$70*BY406 + (1-$BF$66:$BF$70)*BU406), N($AU$66:$AU$70&gt;$AM406)),
SUMPRODUCT(INDEX($AV$56:$AX$65,,$AI406), INDEX($AY$56:$BE$65,,$AH406), 1 / ($BG$56:$BG$65*BY406 + (1-$BG$56:$BG$65)*BU406), N($AU$56:$AU$65&gt;$AM406))
) / 1000</f>
        <v>0</v>
      </c>
      <c r="CA406" s="231">
        <f t="shared" ref="CA406:CA469" si="628">IF($AH406&lt;=2, 20, 5)</f>
        <v>20</v>
      </c>
      <c r="CB406" s="229">
        <f t="shared" si="606"/>
        <v>33</v>
      </c>
      <c r="CC406" s="234">
        <f t="shared" si="607"/>
        <v>4.8487499999999999</v>
      </c>
      <c r="CD406" s="234" cm="1">
        <f t="array" ref="CD406">$BM406 * IF($AH406&lt;=2,
SUMPRODUCT(INDEX($AV$61:$AX$65,,$AI406), INDEX($AY$61:$BE$65,,$AH406), 1 / ($BF$61:$BF$65*CC406 + (1-$BF$61:$BF$65)*BY406), N($AU$61:$AU$65&gt;$AM406)),
SUMPRODUCT(INDEX($AV$46:$AX$55,,$AI406), INDEX($AY$46:$BE$55,,$AH406), 1 / ($BG$46:$BG$55*CC406 + (1-$BG$46:$BG$55)*BY406), N($AU$46:$AU$55&gt;$AM406))
) / 1000</f>
        <v>0</v>
      </c>
      <c r="CE406" s="234" cm="1">
        <f t="array" ref="CE406">$BM406 * IF($AH406&lt;=2,
SUMPRODUCT(INDEX($AV$22:$AX$60,,$AI406), INDEX($AY$22:$BE$60,,$AH406), 1 / ($BF$22:$BF$60*CC406), N($AU$22:$AU$60&gt;$AM406)),
SUMPRODUCT(INDEX($AV$22:$AX$45,,$AI406), INDEX($AY$22:$BE$45,,$AH406), 1 / ($BG$22:$BG$45*CC406), N($AU$22:$AU$45&gt;$AM406))
) / 1000</f>
        <v>0</v>
      </c>
      <c r="CF406" s="229">
        <f t="shared" si="608"/>
        <v>0</v>
      </c>
      <c r="CG406" s="246"/>
      <c r="CH406" s="229">
        <f t="shared" si="609"/>
        <v>0</v>
      </c>
      <c r="CI406" s="228">
        <v>35</v>
      </c>
      <c r="CJ406" s="229">
        <f t="shared" si="610"/>
        <v>48</v>
      </c>
      <c r="CK406" s="234">
        <f t="shared" si="611"/>
        <v>3.0748170731707316</v>
      </c>
      <c r="CL406" s="234" cm="1">
        <f t="array" ref="CL406">$BM406 * SUMPRODUCT(INDEX($AV$76:$AX$81,,$AI406),INDEX($AY$76:$BE$81,,$AH406), N($AU$76:$AU$81&gt;$AM406)) / CK406 / 1000</f>
        <v>0</v>
      </c>
      <c r="CM406" s="231">
        <f t="shared" ref="CM406:CM469" si="629">IF($AH406&lt;=2, 30, 25)</f>
        <v>30</v>
      </c>
      <c r="CN406" s="229">
        <f t="shared" si="612"/>
        <v>43</v>
      </c>
      <c r="CO406" s="234">
        <f t="shared" si="613"/>
        <v>3.5018750000000001</v>
      </c>
      <c r="CP406" s="234" cm="1">
        <f t="array" ref="CP406">$BM406 * IF($AH406&lt;=2,
SUMPRODUCT(INDEX($AV$71:$AX$75,,$AI406), INDEX($AY$71:$BE$75,,$AH406), 1 / ($BF$71:$BF$75*CO406 + (1-$BF$71:$BF$75)*CK406), N($AU$71:$AU$75&gt;$AM406)),
SUMPRODUCT(INDEX($AV$66:$AX$75,,$AI406), INDEX($AY$66:$BE$75,,$AH406), 1 / ($BG$66:$BG$75*CO406 + (1-$BG$66:$BG$75)*CK406), N($AU$66:$AU$75&gt;$AM406))
) / 1000</f>
        <v>0</v>
      </c>
      <c r="CQ406" s="231">
        <f t="shared" ref="CQ406:CQ469" si="630">IF($AH406&lt;=2, 25, 15)</f>
        <v>25</v>
      </c>
      <c r="CR406" s="229">
        <f t="shared" si="614"/>
        <v>38</v>
      </c>
      <c r="CS406" s="234">
        <f t="shared" si="615"/>
        <v>4.0666935483870965</v>
      </c>
      <c r="CT406" s="234" cm="1">
        <f t="array" ref="CT406">$BM406 * IF($AH406&lt;=2,
SUMPRODUCT(INDEX($AV$66:$AX$70,,$AI406), INDEX($AY$66:$BE$70,,$AH406), 1 / ($BF$66:$BF$70*CS406 + (1-$BF$66:$BF$70)*CO406), N($AU$66:$AU$70&gt;$AM406)),
SUMPRODUCT(INDEX($AV$56:$AX$65,,$AI406), INDEX($AY$56:$BE$65,,$AH406), 1 / ($BG$56:$BG$65*CS406 + (1-$BG$56:$BG$65)*CO406), N($AU$56:$AU$65&gt;$AM406))
) / 1000</f>
        <v>0</v>
      </c>
      <c r="CU406" s="231">
        <f t="shared" ref="CU406:CU469" si="631">IF($AH406&lt;=2, 20, 5)</f>
        <v>20</v>
      </c>
      <c r="CV406" s="229">
        <f t="shared" si="616"/>
        <v>33</v>
      </c>
      <c r="CW406" s="234">
        <f t="shared" si="617"/>
        <v>4.8487499999999999</v>
      </c>
      <c r="CX406" s="234" cm="1">
        <f t="array" ref="CX406">$BM406 * IF($AH406&lt;=2,
SUMPRODUCT(INDEX($AV$61:$AX$65,,$AI406), INDEX($AY$61:$BE$65,,$AH406), 1 / ($BF$61:$BF$65*CW406 + (1-$BF$61:$BF$65)*CS406), N($AU$61:$AU$65&gt;$AM406)),
SUMPRODUCT(INDEX($AV$46:$AX$55,,$AI406), INDEX($AY$46:$BE$55,,$AH406), 1 / ($BG$46:$BG$55*CW406 + (1-$BG$46:$BG$55)*CS406), N($AU$46:$AU$55&gt;$AM406))
) / 1000</f>
        <v>0</v>
      </c>
      <c r="CY406" s="234" cm="1">
        <f t="array" ref="CY406">$BM406 * IF($AH406&lt;=2,
SUMPRODUCT(INDEX($AV$22:$AX$60,,$AI406), INDEX($AY$22:$BE$60,,$AH406), 1 / ($BF$22:$BF$60*CW406), N($AU$22:$AU$60&gt;$AM406)),
SUMPRODUCT(INDEX($AV$22:$AX$45,,$AI406), INDEX($AY$22:$BE$45,,$AH406), 1 / ($BG$22:$BG$45*CW406), N($AU$22:$AU$45&gt;$AM406))
) / 1000</f>
        <v>0</v>
      </c>
      <c r="CZ406" s="229">
        <f t="shared" si="618"/>
        <v>0</v>
      </c>
      <c r="DA406" s="246"/>
    </row>
    <row r="407" spans="1:105" s="75" customFormat="1" ht="14.25" customHeight="1" x14ac:dyDescent="0.2">
      <c r="A407" s="230" t="b">
        <f t="shared" si="623"/>
        <v>0</v>
      </c>
      <c r="B407" s="253">
        <v>386</v>
      </c>
      <c r="C407" s="266"/>
      <c r="D407" s="266"/>
      <c r="E407" s="254"/>
      <c r="F407" s="255" t="str">
        <f>IF(ISBLANK(E407), "", VLOOKUP(E407, Z!$A$2:$C$4127, 3, FALSE))</f>
        <v/>
      </c>
      <c r="G407" s="256"/>
      <c r="H407" s="256"/>
      <c r="I407" s="256"/>
      <c r="J407" s="257"/>
      <c r="K407" s="258"/>
      <c r="L407" s="267"/>
      <c r="M407" s="268"/>
      <c r="N407" s="259" t="str" cm="1">
        <f t="array" ref="N407">IF($L407&gt;0, INDEX(Clean,1+AK407,$D$1), "")</f>
        <v/>
      </c>
      <c r="O407" s="260"/>
      <c r="P407" s="260"/>
      <c r="Q407" s="261"/>
      <c r="R407" s="264">
        <f t="shared" si="594"/>
        <v>0</v>
      </c>
      <c r="S407" s="259" t="str" cm="1">
        <f t="array" ref="S407">IF($L407&gt;0, INDEX(Clean,1+AL407,$D$1), "")</f>
        <v/>
      </c>
      <c r="T407" s="260"/>
      <c r="U407" s="260"/>
      <c r="V407" s="261"/>
      <c r="W407" s="267"/>
      <c r="X407" s="267"/>
      <c r="Y407" s="257"/>
      <c r="Z407" s="264">
        <f t="shared" si="595"/>
        <v>0</v>
      </c>
      <c r="AA407" s="269"/>
      <c r="AB407" s="266"/>
      <c r="AC407" s="254"/>
      <c r="AD407" s="255" t="str">
        <f>IF(ISBLANK(AC407), "", VLOOKUP(AC407, Z!$A$2:$C$4127, 3, FALSE))</f>
        <v/>
      </c>
      <c r="AE407" s="270"/>
      <c r="AF407" s="265">
        <f t="shared" si="596"/>
        <v>0</v>
      </c>
      <c r="AG407" s="246"/>
      <c r="AH407" s="228">
        <f t="shared" si="619"/>
        <v>1</v>
      </c>
      <c r="AI407" s="228">
        <f t="shared" si="620"/>
        <v>1</v>
      </c>
      <c r="AJ407" s="228">
        <f t="shared" si="621"/>
        <v>0</v>
      </c>
      <c r="AK407" s="228">
        <v>0</v>
      </c>
      <c r="AL407" s="228">
        <v>0</v>
      </c>
      <c r="AM407" s="228">
        <f t="shared" si="597"/>
        <v>-100</v>
      </c>
      <c r="AN407" s="228" cm="1">
        <f t="array" ref="AN407">IF(ISBLANK(G407), 1, IFERROR(MATCH(G407, INDEX(Kat,,1), 0), IFERROR(MATCH(Kat, INDEX(Use,,2), 0), MATCH(Kat, INDEX(Use,,3), 0))))</f>
        <v>1</v>
      </c>
      <c r="AO407" s="246"/>
      <c r="AP407" s="228" cm="1">
        <f t="array" ref="AP407">IF(W407&gt;0, INDEX(Kat, AN407,4), 0)</f>
        <v>0</v>
      </c>
      <c r="AQ407" s="228">
        <f t="shared" si="622"/>
        <v>0</v>
      </c>
      <c r="AR407" s="228" cm="1">
        <f t="array" ref="AR407">IF(X407&gt;0, INDEX(Kat, $AN407, 4+AQ407), 0)</f>
        <v>0</v>
      </c>
      <c r="AS407" s="228" cm="1">
        <f t="array" ref="AS407">IF(X407&gt;0, INDEX(Kat, $AN407, 9+AQ407), 0)</f>
        <v>0</v>
      </c>
      <c r="AT407" s="246"/>
      <c r="AU407" s="262"/>
      <c r="AV407" s="262"/>
      <c r="AW407" s="263"/>
      <c r="AX407" s="263"/>
      <c r="AY407" s="263"/>
      <c r="AZ407" s="263"/>
      <c r="BA407" s="263"/>
      <c r="BB407" s="263"/>
      <c r="BC407" s="263"/>
      <c r="BD407" s="263"/>
      <c r="BE407" s="263"/>
      <c r="BF407" s="263"/>
      <c r="BG407" s="263"/>
      <c r="BH407" s="246"/>
      <c r="BI407" s="228" cm="1">
        <f t="array" ref="BI407">INDEX(Use, $AH407, 4)</f>
        <v>7</v>
      </c>
      <c r="BJ407" s="228">
        <f t="shared" si="598"/>
        <v>32</v>
      </c>
      <c r="BK407" s="228">
        <f t="shared" si="624"/>
        <v>13</v>
      </c>
      <c r="BL407" s="228">
        <f t="shared" si="625"/>
        <v>0</v>
      </c>
      <c r="BM407" s="233" cm="1">
        <f t="array" ref="BM407">L407/IF($M407&gt;0, INDEX($AY$22:$BE$76, $M407+20, $AH407), 1)</f>
        <v>0</v>
      </c>
      <c r="BN407" s="229">
        <f t="shared" si="599"/>
        <v>0</v>
      </c>
      <c r="BO407" s="228">
        <v>35</v>
      </c>
      <c r="BP407" s="229">
        <f t="shared" si="600"/>
        <v>48</v>
      </c>
      <c r="BQ407" s="234">
        <f t="shared" si="601"/>
        <v>3.0748170731707316</v>
      </c>
      <c r="BR407" s="234" cm="1">
        <f t="array" ref="BR407">$BM407 * SUMPRODUCT(INDEX($AV$76:$AX$81,,$AI407),INDEX($AY$76:$BE$81,,$AH407), N($AU$76:$AU$81&gt;$AM407)) / BQ407 / 1000</f>
        <v>0</v>
      </c>
      <c r="BS407" s="231">
        <f t="shared" si="626"/>
        <v>30</v>
      </c>
      <c r="BT407" s="229">
        <f t="shared" si="602"/>
        <v>43</v>
      </c>
      <c r="BU407" s="234">
        <f t="shared" si="603"/>
        <v>3.5018750000000001</v>
      </c>
      <c r="BV407" s="234" cm="1">
        <f t="array" ref="BV407">$BM407 * IF($AH407&lt;=2,
SUMPRODUCT(INDEX($AV$71:$AX$75,,$AI407), INDEX($AY$71:$BE$75,,$AH407), 1 / ($BF$71:$BF$75*BU407 + (1-$BF$71:$BF$75)*BQ407), N($AU$71:$AU$75&gt;$AM407)),
SUMPRODUCT(INDEX($AV$66:$AX$75,,$AI407), INDEX($AY$66:$BE$75,,$AH407), 1 / ($BG$66:$BG$75*BU407 + (1-$BG$66:$BG$75)*BQ407), N($AU$66:$AU$75&gt;$AM407))
) / 1000</f>
        <v>0</v>
      </c>
      <c r="BW407" s="231">
        <f t="shared" si="627"/>
        <v>25</v>
      </c>
      <c r="BX407" s="229">
        <f t="shared" si="604"/>
        <v>38</v>
      </c>
      <c r="BY407" s="234">
        <f t="shared" si="605"/>
        <v>4.0666935483870965</v>
      </c>
      <c r="BZ407" s="234" cm="1">
        <f t="array" ref="BZ407">$BM407 * IF($AH407&lt;=2,
SUMPRODUCT(INDEX($AV$66:$AX$70,,$AI407), INDEX($AY$66:$BE$70,,$AH407), 1 / ($BF$66:$BF$70*BY407 + (1-$BF$66:$BF$70)*BU407), N($AU$66:$AU$70&gt;$AM407)),
SUMPRODUCT(INDEX($AV$56:$AX$65,,$AI407), INDEX($AY$56:$BE$65,,$AH407), 1 / ($BG$56:$BG$65*BY407 + (1-$BG$56:$BG$65)*BU407), N($AU$56:$AU$65&gt;$AM407))
) / 1000</f>
        <v>0</v>
      </c>
      <c r="CA407" s="231">
        <f t="shared" si="628"/>
        <v>20</v>
      </c>
      <c r="CB407" s="229">
        <f t="shared" si="606"/>
        <v>33</v>
      </c>
      <c r="CC407" s="234">
        <f t="shared" si="607"/>
        <v>4.8487499999999999</v>
      </c>
      <c r="CD407" s="234" cm="1">
        <f t="array" ref="CD407">$BM407 * IF($AH407&lt;=2,
SUMPRODUCT(INDEX($AV$61:$AX$65,,$AI407), INDEX($AY$61:$BE$65,,$AH407), 1 / ($BF$61:$BF$65*CC407 + (1-$BF$61:$BF$65)*BY407), N($AU$61:$AU$65&gt;$AM407)),
SUMPRODUCT(INDEX($AV$46:$AX$55,,$AI407), INDEX($AY$46:$BE$55,,$AH407), 1 / ($BG$46:$BG$55*CC407 + (1-$BG$46:$BG$55)*BY407), N($AU$46:$AU$55&gt;$AM407))
) / 1000</f>
        <v>0</v>
      </c>
      <c r="CE407" s="234" cm="1">
        <f t="array" ref="CE407">$BM407 * IF($AH407&lt;=2,
SUMPRODUCT(INDEX($AV$22:$AX$60,,$AI407), INDEX($AY$22:$BE$60,,$AH407), 1 / ($BF$22:$BF$60*CC407), N($AU$22:$AU$60&gt;$AM407)),
SUMPRODUCT(INDEX($AV$22:$AX$45,,$AI407), INDEX($AY$22:$BE$45,,$AH407), 1 / ($BG$22:$BG$45*CC407), N($AU$22:$AU$45&gt;$AM407))
) / 1000</f>
        <v>0</v>
      </c>
      <c r="CF407" s="229">
        <f t="shared" si="608"/>
        <v>0</v>
      </c>
      <c r="CG407" s="246"/>
      <c r="CH407" s="229">
        <f t="shared" si="609"/>
        <v>0</v>
      </c>
      <c r="CI407" s="228">
        <v>35</v>
      </c>
      <c r="CJ407" s="229">
        <f t="shared" si="610"/>
        <v>48</v>
      </c>
      <c r="CK407" s="234">
        <f t="shared" si="611"/>
        <v>3.0748170731707316</v>
      </c>
      <c r="CL407" s="234" cm="1">
        <f t="array" ref="CL407">$BM407 * SUMPRODUCT(INDEX($AV$76:$AX$81,,$AI407),INDEX($AY$76:$BE$81,,$AH407), N($AU$76:$AU$81&gt;$AM407)) / CK407 / 1000</f>
        <v>0</v>
      </c>
      <c r="CM407" s="231">
        <f t="shared" si="629"/>
        <v>30</v>
      </c>
      <c r="CN407" s="229">
        <f t="shared" si="612"/>
        <v>43</v>
      </c>
      <c r="CO407" s="234">
        <f t="shared" si="613"/>
        <v>3.5018750000000001</v>
      </c>
      <c r="CP407" s="234" cm="1">
        <f t="array" ref="CP407">$BM407 * IF($AH407&lt;=2,
SUMPRODUCT(INDEX($AV$71:$AX$75,,$AI407), INDEX($AY$71:$BE$75,,$AH407), 1 / ($BF$71:$BF$75*CO407 + (1-$BF$71:$BF$75)*CK407), N($AU$71:$AU$75&gt;$AM407)),
SUMPRODUCT(INDEX($AV$66:$AX$75,,$AI407), INDEX($AY$66:$BE$75,,$AH407), 1 / ($BG$66:$BG$75*CO407 + (1-$BG$66:$BG$75)*CK407), N($AU$66:$AU$75&gt;$AM407))
) / 1000</f>
        <v>0</v>
      </c>
      <c r="CQ407" s="231">
        <f t="shared" si="630"/>
        <v>25</v>
      </c>
      <c r="CR407" s="229">
        <f t="shared" si="614"/>
        <v>38</v>
      </c>
      <c r="CS407" s="234">
        <f t="shared" si="615"/>
        <v>4.0666935483870965</v>
      </c>
      <c r="CT407" s="234" cm="1">
        <f t="array" ref="CT407">$BM407 * IF($AH407&lt;=2,
SUMPRODUCT(INDEX($AV$66:$AX$70,,$AI407), INDEX($AY$66:$BE$70,,$AH407), 1 / ($BF$66:$BF$70*CS407 + (1-$BF$66:$BF$70)*CO407), N($AU$66:$AU$70&gt;$AM407)),
SUMPRODUCT(INDEX($AV$56:$AX$65,,$AI407), INDEX($AY$56:$BE$65,,$AH407), 1 / ($BG$56:$BG$65*CS407 + (1-$BG$56:$BG$65)*CO407), N($AU$56:$AU$65&gt;$AM407))
) / 1000</f>
        <v>0</v>
      </c>
      <c r="CU407" s="231">
        <f t="shared" si="631"/>
        <v>20</v>
      </c>
      <c r="CV407" s="229">
        <f t="shared" si="616"/>
        <v>33</v>
      </c>
      <c r="CW407" s="234">
        <f t="shared" si="617"/>
        <v>4.8487499999999999</v>
      </c>
      <c r="CX407" s="234" cm="1">
        <f t="array" ref="CX407">$BM407 * IF($AH407&lt;=2,
SUMPRODUCT(INDEX($AV$61:$AX$65,,$AI407), INDEX($AY$61:$BE$65,,$AH407), 1 / ($BF$61:$BF$65*CW407 + (1-$BF$61:$BF$65)*CS407), N($AU$61:$AU$65&gt;$AM407)),
SUMPRODUCT(INDEX($AV$46:$AX$55,,$AI407), INDEX($AY$46:$BE$55,,$AH407), 1 / ($BG$46:$BG$55*CW407 + (1-$BG$46:$BG$55)*CS407), N($AU$46:$AU$55&gt;$AM407))
) / 1000</f>
        <v>0</v>
      </c>
      <c r="CY407" s="234" cm="1">
        <f t="array" ref="CY407">$BM407 * IF($AH407&lt;=2,
SUMPRODUCT(INDEX($AV$22:$AX$60,,$AI407), INDEX($AY$22:$BE$60,,$AH407), 1 / ($BF$22:$BF$60*CW407), N($AU$22:$AU$60&gt;$AM407)),
SUMPRODUCT(INDEX($AV$22:$AX$45,,$AI407), INDEX($AY$22:$BE$45,,$AH407), 1 / ($BG$22:$BG$45*CW407), N($AU$22:$AU$45&gt;$AM407))
) / 1000</f>
        <v>0</v>
      </c>
      <c r="CZ407" s="229">
        <f t="shared" si="618"/>
        <v>0</v>
      </c>
      <c r="DA407" s="246"/>
    </row>
    <row r="408" spans="1:105" s="75" customFormat="1" ht="14.25" customHeight="1" x14ac:dyDescent="0.2">
      <c r="A408" s="230" t="b">
        <f t="shared" si="623"/>
        <v>0</v>
      </c>
      <c r="B408" s="253">
        <v>387</v>
      </c>
      <c r="C408" s="266"/>
      <c r="D408" s="266"/>
      <c r="E408" s="254"/>
      <c r="F408" s="255" t="str">
        <f>IF(ISBLANK(E408), "", VLOOKUP(E408, Z!$A$2:$C$4127, 3, FALSE))</f>
        <v/>
      </c>
      <c r="G408" s="256"/>
      <c r="H408" s="256"/>
      <c r="I408" s="256"/>
      <c r="J408" s="257"/>
      <c r="K408" s="258"/>
      <c r="L408" s="267"/>
      <c r="M408" s="268"/>
      <c r="N408" s="259" t="str" cm="1">
        <f t="array" ref="N408">IF($L408&gt;0, INDEX(Clean,1+AK408,$D$1), "")</f>
        <v/>
      </c>
      <c r="O408" s="260"/>
      <c r="P408" s="260"/>
      <c r="Q408" s="261"/>
      <c r="R408" s="264">
        <f t="shared" si="594"/>
        <v>0</v>
      </c>
      <c r="S408" s="259" t="str" cm="1">
        <f t="array" ref="S408">IF($L408&gt;0, INDEX(Clean,1+AL408,$D$1), "")</f>
        <v/>
      </c>
      <c r="T408" s="260"/>
      <c r="U408" s="260"/>
      <c r="V408" s="261"/>
      <c r="W408" s="267"/>
      <c r="X408" s="267"/>
      <c r="Y408" s="257"/>
      <c r="Z408" s="264">
        <f t="shared" si="595"/>
        <v>0</v>
      </c>
      <c r="AA408" s="269"/>
      <c r="AB408" s="266"/>
      <c r="AC408" s="254"/>
      <c r="AD408" s="255" t="str">
        <f>IF(ISBLANK(AC408), "", VLOOKUP(AC408, Z!$A$2:$C$4127, 3, FALSE))</f>
        <v/>
      </c>
      <c r="AE408" s="270"/>
      <c r="AF408" s="265">
        <f t="shared" si="596"/>
        <v>0</v>
      </c>
      <c r="AG408" s="246"/>
      <c r="AH408" s="228">
        <f t="shared" si="619"/>
        <v>1</v>
      </c>
      <c r="AI408" s="228">
        <f t="shared" si="620"/>
        <v>1</v>
      </c>
      <c r="AJ408" s="228">
        <f t="shared" si="621"/>
        <v>0</v>
      </c>
      <c r="AK408" s="228">
        <v>0</v>
      </c>
      <c r="AL408" s="228">
        <v>0</v>
      </c>
      <c r="AM408" s="228">
        <f t="shared" si="597"/>
        <v>-100</v>
      </c>
      <c r="AN408" s="228" cm="1">
        <f t="array" ref="AN408">IF(ISBLANK(G408), 1, IFERROR(MATCH(G408, INDEX(Kat,,1), 0), IFERROR(MATCH(Kat, INDEX(Use,,2), 0), MATCH(Kat, INDEX(Use,,3), 0))))</f>
        <v>1</v>
      </c>
      <c r="AO408" s="246"/>
      <c r="AP408" s="228" cm="1">
        <f t="array" ref="AP408">IF(W408&gt;0, INDEX(Kat, AN408,4), 0)</f>
        <v>0</v>
      </c>
      <c r="AQ408" s="228">
        <f t="shared" si="622"/>
        <v>0</v>
      </c>
      <c r="AR408" s="228" cm="1">
        <f t="array" ref="AR408">IF(X408&gt;0, INDEX(Kat, $AN408, 4+AQ408), 0)</f>
        <v>0</v>
      </c>
      <c r="AS408" s="228" cm="1">
        <f t="array" ref="AS408">IF(X408&gt;0, INDEX(Kat, $AN408, 9+AQ408), 0)</f>
        <v>0</v>
      </c>
      <c r="AT408" s="246"/>
      <c r="AU408" s="262"/>
      <c r="AV408" s="262"/>
      <c r="AW408" s="263"/>
      <c r="AX408" s="263"/>
      <c r="AY408" s="263"/>
      <c r="AZ408" s="263"/>
      <c r="BA408" s="263"/>
      <c r="BB408" s="263"/>
      <c r="BC408" s="263"/>
      <c r="BD408" s="263"/>
      <c r="BE408" s="263"/>
      <c r="BF408" s="263"/>
      <c r="BG408" s="263"/>
      <c r="BH408" s="246"/>
      <c r="BI408" s="228" cm="1">
        <f t="array" ref="BI408">INDEX(Use, $AH408, 4)</f>
        <v>7</v>
      </c>
      <c r="BJ408" s="228">
        <f t="shared" si="598"/>
        <v>32</v>
      </c>
      <c r="BK408" s="228">
        <f t="shared" si="624"/>
        <v>13</v>
      </c>
      <c r="BL408" s="228">
        <f t="shared" si="625"/>
        <v>0</v>
      </c>
      <c r="BM408" s="233" cm="1">
        <f t="array" ref="BM408">L408/IF($M408&gt;0, INDEX($AY$22:$BE$76, $M408+20, $AH408), 1)</f>
        <v>0</v>
      </c>
      <c r="BN408" s="229">
        <f t="shared" si="599"/>
        <v>0</v>
      </c>
      <c r="BO408" s="228">
        <v>35</v>
      </c>
      <c r="BP408" s="229">
        <f t="shared" si="600"/>
        <v>48</v>
      </c>
      <c r="BQ408" s="234">
        <f t="shared" si="601"/>
        <v>3.0748170731707316</v>
      </c>
      <c r="BR408" s="234" cm="1">
        <f t="array" ref="BR408">$BM408 * SUMPRODUCT(INDEX($AV$76:$AX$81,,$AI408),INDEX($AY$76:$BE$81,,$AH408), N($AU$76:$AU$81&gt;$AM408)) / BQ408 / 1000</f>
        <v>0</v>
      </c>
      <c r="BS408" s="231">
        <f t="shared" si="626"/>
        <v>30</v>
      </c>
      <c r="BT408" s="229">
        <f t="shared" si="602"/>
        <v>43</v>
      </c>
      <c r="BU408" s="234">
        <f t="shared" si="603"/>
        <v>3.5018750000000001</v>
      </c>
      <c r="BV408" s="234" cm="1">
        <f t="array" ref="BV408">$BM408 * IF($AH408&lt;=2,
SUMPRODUCT(INDEX($AV$71:$AX$75,,$AI408), INDEX($AY$71:$BE$75,,$AH408), 1 / ($BF$71:$BF$75*BU408 + (1-$BF$71:$BF$75)*BQ408), N($AU$71:$AU$75&gt;$AM408)),
SUMPRODUCT(INDEX($AV$66:$AX$75,,$AI408), INDEX($AY$66:$BE$75,,$AH408), 1 / ($BG$66:$BG$75*BU408 + (1-$BG$66:$BG$75)*BQ408), N($AU$66:$AU$75&gt;$AM408))
) / 1000</f>
        <v>0</v>
      </c>
      <c r="BW408" s="231">
        <f t="shared" si="627"/>
        <v>25</v>
      </c>
      <c r="BX408" s="229">
        <f t="shared" si="604"/>
        <v>38</v>
      </c>
      <c r="BY408" s="234">
        <f t="shared" si="605"/>
        <v>4.0666935483870965</v>
      </c>
      <c r="BZ408" s="234" cm="1">
        <f t="array" ref="BZ408">$BM408 * IF($AH408&lt;=2,
SUMPRODUCT(INDEX($AV$66:$AX$70,,$AI408), INDEX($AY$66:$BE$70,,$AH408), 1 / ($BF$66:$BF$70*BY408 + (1-$BF$66:$BF$70)*BU408), N($AU$66:$AU$70&gt;$AM408)),
SUMPRODUCT(INDEX($AV$56:$AX$65,,$AI408), INDEX($AY$56:$BE$65,,$AH408), 1 / ($BG$56:$BG$65*BY408 + (1-$BG$56:$BG$65)*BU408), N($AU$56:$AU$65&gt;$AM408))
) / 1000</f>
        <v>0</v>
      </c>
      <c r="CA408" s="231">
        <f t="shared" si="628"/>
        <v>20</v>
      </c>
      <c r="CB408" s="229">
        <f t="shared" si="606"/>
        <v>33</v>
      </c>
      <c r="CC408" s="234">
        <f t="shared" si="607"/>
        <v>4.8487499999999999</v>
      </c>
      <c r="CD408" s="234" cm="1">
        <f t="array" ref="CD408">$BM408 * IF($AH408&lt;=2,
SUMPRODUCT(INDEX($AV$61:$AX$65,,$AI408), INDEX($AY$61:$BE$65,,$AH408), 1 / ($BF$61:$BF$65*CC408 + (1-$BF$61:$BF$65)*BY408), N($AU$61:$AU$65&gt;$AM408)),
SUMPRODUCT(INDEX($AV$46:$AX$55,,$AI408), INDEX($AY$46:$BE$55,,$AH408), 1 / ($BG$46:$BG$55*CC408 + (1-$BG$46:$BG$55)*BY408), N($AU$46:$AU$55&gt;$AM408))
) / 1000</f>
        <v>0</v>
      </c>
      <c r="CE408" s="234" cm="1">
        <f t="array" ref="CE408">$BM408 * IF($AH408&lt;=2,
SUMPRODUCT(INDEX($AV$22:$AX$60,,$AI408), INDEX($AY$22:$BE$60,,$AH408), 1 / ($BF$22:$BF$60*CC408), N($AU$22:$AU$60&gt;$AM408)),
SUMPRODUCT(INDEX($AV$22:$AX$45,,$AI408), INDEX($AY$22:$BE$45,,$AH408), 1 / ($BG$22:$BG$45*CC408), N($AU$22:$AU$45&gt;$AM408))
) / 1000</f>
        <v>0</v>
      </c>
      <c r="CF408" s="229">
        <f t="shared" si="608"/>
        <v>0</v>
      </c>
      <c r="CG408" s="246"/>
      <c r="CH408" s="229">
        <f t="shared" si="609"/>
        <v>0</v>
      </c>
      <c r="CI408" s="228">
        <v>35</v>
      </c>
      <c r="CJ408" s="229">
        <f t="shared" si="610"/>
        <v>48</v>
      </c>
      <c r="CK408" s="234">
        <f t="shared" si="611"/>
        <v>3.0748170731707316</v>
      </c>
      <c r="CL408" s="234" cm="1">
        <f t="array" ref="CL408">$BM408 * SUMPRODUCT(INDEX($AV$76:$AX$81,,$AI408),INDEX($AY$76:$BE$81,,$AH408), N($AU$76:$AU$81&gt;$AM408)) / CK408 / 1000</f>
        <v>0</v>
      </c>
      <c r="CM408" s="231">
        <f t="shared" si="629"/>
        <v>30</v>
      </c>
      <c r="CN408" s="229">
        <f t="shared" si="612"/>
        <v>43</v>
      </c>
      <c r="CO408" s="234">
        <f t="shared" si="613"/>
        <v>3.5018750000000001</v>
      </c>
      <c r="CP408" s="234" cm="1">
        <f t="array" ref="CP408">$BM408 * IF($AH408&lt;=2,
SUMPRODUCT(INDEX($AV$71:$AX$75,,$AI408), INDEX($AY$71:$BE$75,,$AH408), 1 / ($BF$71:$BF$75*CO408 + (1-$BF$71:$BF$75)*CK408), N($AU$71:$AU$75&gt;$AM408)),
SUMPRODUCT(INDEX($AV$66:$AX$75,,$AI408), INDEX($AY$66:$BE$75,,$AH408), 1 / ($BG$66:$BG$75*CO408 + (1-$BG$66:$BG$75)*CK408), N($AU$66:$AU$75&gt;$AM408))
) / 1000</f>
        <v>0</v>
      </c>
      <c r="CQ408" s="231">
        <f t="shared" si="630"/>
        <v>25</v>
      </c>
      <c r="CR408" s="229">
        <f t="shared" si="614"/>
        <v>38</v>
      </c>
      <c r="CS408" s="234">
        <f t="shared" si="615"/>
        <v>4.0666935483870965</v>
      </c>
      <c r="CT408" s="234" cm="1">
        <f t="array" ref="CT408">$BM408 * IF($AH408&lt;=2,
SUMPRODUCT(INDEX($AV$66:$AX$70,,$AI408), INDEX($AY$66:$BE$70,,$AH408), 1 / ($BF$66:$BF$70*CS408 + (1-$BF$66:$BF$70)*CO408), N($AU$66:$AU$70&gt;$AM408)),
SUMPRODUCT(INDEX($AV$56:$AX$65,,$AI408), INDEX($AY$56:$BE$65,,$AH408), 1 / ($BG$56:$BG$65*CS408 + (1-$BG$56:$BG$65)*CO408), N($AU$56:$AU$65&gt;$AM408))
) / 1000</f>
        <v>0</v>
      </c>
      <c r="CU408" s="231">
        <f t="shared" si="631"/>
        <v>20</v>
      </c>
      <c r="CV408" s="229">
        <f t="shared" si="616"/>
        <v>33</v>
      </c>
      <c r="CW408" s="234">
        <f t="shared" si="617"/>
        <v>4.8487499999999999</v>
      </c>
      <c r="CX408" s="234" cm="1">
        <f t="array" ref="CX408">$BM408 * IF($AH408&lt;=2,
SUMPRODUCT(INDEX($AV$61:$AX$65,,$AI408), INDEX($AY$61:$BE$65,,$AH408), 1 / ($BF$61:$BF$65*CW408 + (1-$BF$61:$BF$65)*CS408), N($AU$61:$AU$65&gt;$AM408)),
SUMPRODUCT(INDEX($AV$46:$AX$55,,$AI408), INDEX($AY$46:$BE$55,,$AH408), 1 / ($BG$46:$BG$55*CW408 + (1-$BG$46:$BG$55)*CS408), N($AU$46:$AU$55&gt;$AM408))
) / 1000</f>
        <v>0</v>
      </c>
      <c r="CY408" s="234" cm="1">
        <f t="array" ref="CY408">$BM408 * IF($AH408&lt;=2,
SUMPRODUCT(INDEX($AV$22:$AX$60,,$AI408), INDEX($AY$22:$BE$60,,$AH408), 1 / ($BF$22:$BF$60*CW408), N($AU$22:$AU$60&gt;$AM408)),
SUMPRODUCT(INDEX($AV$22:$AX$45,,$AI408), INDEX($AY$22:$BE$45,,$AH408), 1 / ($BG$22:$BG$45*CW408), N($AU$22:$AU$45&gt;$AM408))
) / 1000</f>
        <v>0</v>
      </c>
      <c r="CZ408" s="229">
        <f t="shared" si="618"/>
        <v>0</v>
      </c>
      <c r="DA408" s="246"/>
    </row>
    <row r="409" spans="1:105" s="75" customFormat="1" ht="14.25" customHeight="1" x14ac:dyDescent="0.2">
      <c r="A409" s="230" t="b">
        <f t="shared" si="623"/>
        <v>0</v>
      </c>
      <c r="B409" s="253">
        <v>388</v>
      </c>
      <c r="C409" s="266"/>
      <c r="D409" s="266"/>
      <c r="E409" s="254"/>
      <c r="F409" s="255" t="str">
        <f>IF(ISBLANK(E409), "", VLOOKUP(E409, Z!$A$2:$C$4127, 3, FALSE))</f>
        <v/>
      </c>
      <c r="G409" s="256"/>
      <c r="H409" s="256"/>
      <c r="I409" s="256"/>
      <c r="J409" s="257"/>
      <c r="K409" s="258"/>
      <c r="L409" s="267"/>
      <c r="M409" s="268"/>
      <c r="N409" s="259" t="str" cm="1">
        <f t="array" ref="N409">IF($L409&gt;0, INDEX(Clean,1+AK409,$D$1), "")</f>
        <v/>
      </c>
      <c r="O409" s="260"/>
      <c r="P409" s="260"/>
      <c r="Q409" s="261"/>
      <c r="R409" s="264">
        <f t="shared" si="594"/>
        <v>0</v>
      </c>
      <c r="S409" s="259" t="str" cm="1">
        <f t="array" ref="S409">IF($L409&gt;0, INDEX(Clean,1+AL409,$D$1), "")</f>
        <v/>
      </c>
      <c r="T409" s="260"/>
      <c r="U409" s="260"/>
      <c r="V409" s="261"/>
      <c r="W409" s="267"/>
      <c r="X409" s="267"/>
      <c r="Y409" s="257"/>
      <c r="Z409" s="264">
        <f t="shared" si="595"/>
        <v>0</v>
      </c>
      <c r="AA409" s="269"/>
      <c r="AB409" s="266"/>
      <c r="AC409" s="254"/>
      <c r="AD409" s="255" t="str">
        <f>IF(ISBLANK(AC409), "", VLOOKUP(AC409, Z!$A$2:$C$4127, 3, FALSE))</f>
        <v/>
      </c>
      <c r="AE409" s="270"/>
      <c r="AF409" s="265">
        <f t="shared" si="596"/>
        <v>0</v>
      </c>
      <c r="AG409" s="246"/>
      <c r="AH409" s="228">
        <f t="shared" si="619"/>
        <v>1</v>
      </c>
      <c r="AI409" s="228">
        <f t="shared" si="620"/>
        <v>1</v>
      </c>
      <c r="AJ409" s="228">
        <f t="shared" si="621"/>
        <v>0</v>
      </c>
      <c r="AK409" s="228">
        <v>0</v>
      </c>
      <c r="AL409" s="228">
        <v>0</v>
      </c>
      <c r="AM409" s="228">
        <f t="shared" si="597"/>
        <v>-100</v>
      </c>
      <c r="AN409" s="228" cm="1">
        <f t="array" ref="AN409">IF(ISBLANK(G409), 1, IFERROR(MATCH(G409, INDEX(Kat,,1), 0), IFERROR(MATCH(Kat, INDEX(Use,,2), 0), MATCH(Kat, INDEX(Use,,3), 0))))</f>
        <v>1</v>
      </c>
      <c r="AO409" s="246"/>
      <c r="AP409" s="228" cm="1">
        <f t="array" ref="AP409">IF(W409&gt;0, INDEX(Kat, AN409,4), 0)</f>
        <v>0</v>
      </c>
      <c r="AQ409" s="228">
        <f t="shared" si="622"/>
        <v>0</v>
      </c>
      <c r="AR409" s="228" cm="1">
        <f t="array" ref="AR409">IF(X409&gt;0, INDEX(Kat, $AN409, 4+AQ409), 0)</f>
        <v>0</v>
      </c>
      <c r="AS409" s="228" cm="1">
        <f t="array" ref="AS409">IF(X409&gt;0, INDEX(Kat, $AN409, 9+AQ409), 0)</f>
        <v>0</v>
      </c>
      <c r="AT409" s="246"/>
      <c r="AU409" s="262"/>
      <c r="AV409" s="262"/>
      <c r="AW409" s="263"/>
      <c r="AX409" s="263"/>
      <c r="AY409" s="263"/>
      <c r="AZ409" s="263"/>
      <c r="BA409" s="263"/>
      <c r="BB409" s="263"/>
      <c r="BC409" s="263"/>
      <c r="BD409" s="263"/>
      <c r="BE409" s="263"/>
      <c r="BF409" s="263"/>
      <c r="BG409" s="263"/>
      <c r="BH409" s="246"/>
      <c r="BI409" s="228" cm="1">
        <f t="array" ref="BI409">INDEX(Use, $AH409, 4)</f>
        <v>7</v>
      </c>
      <c r="BJ409" s="228">
        <f t="shared" si="598"/>
        <v>32</v>
      </c>
      <c r="BK409" s="228">
        <f t="shared" si="624"/>
        <v>13</v>
      </c>
      <c r="BL409" s="228">
        <f t="shared" si="625"/>
        <v>0</v>
      </c>
      <c r="BM409" s="233" cm="1">
        <f t="array" ref="BM409">L409/IF($M409&gt;0, INDEX($AY$22:$BE$76, $M409+20, $AH409), 1)</f>
        <v>0</v>
      </c>
      <c r="BN409" s="229">
        <f t="shared" si="599"/>
        <v>0</v>
      </c>
      <c r="BO409" s="228">
        <v>35</v>
      </c>
      <c r="BP409" s="229">
        <f t="shared" si="600"/>
        <v>48</v>
      </c>
      <c r="BQ409" s="234">
        <f t="shared" si="601"/>
        <v>3.0748170731707316</v>
      </c>
      <c r="BR409" s="234" cm="1">
        <f t="array" ref="BR409">$BM409 * SUMPRODUCT(INDEX($AV$76:$AX$81,,$AI409),INDEX($AY$76:$BE$81,,$AH409), N($AU$76:$AU$81&gt;$AM409)) / BQ409 / 1000</f>
        <v>0</v>
      </c>
      <c r="BS409" s="231">
        <f t="shared" si="626"/>
        <v>30</v>
      </c>
      <c r="BT409" s="229">
        <f t="shared" si="602"/>
        <v>43</v>
      </c>
      <c r="BU409" s="234">
        <f t="shared" si="603"/>
        <v>3.5018750000000001</v>
      </c>
      <c r="BV409" s="234" cm="1">
        <f t="array" ref="BV409">$BM409 * IF($AH409&lt;=2,
SUMPRODUCT(INDEX($AV$71:$AX$75,,$AI409), INDEX($AY$71:$BE$75,,$AH409), 1 / ($BF$71:$BF$75*BU409 + (1-$BF$71:$BF$75)*BQ409), N($AU$71:$AU$75&gt;$AM409)),
SUMPRODUCT(INDEX($AV$66:$AX$75,,$AI409), INDEX($AY$66:$BE$75,,$AH409), 1 / ($BG$66:$BG$75*BU409 + (1-$BG$66:$BG$75)*BQ409), N($AU$66:$AU$75&gt;$AM409))
) / 1000</f>
        <v>0</v>
      </c>
      <c r="BW409" s="231">
        <f t="shared" si="627"/>
        <v>25</v>
      </c>
      <c r="BX409" s="229">
        <f t="shared" si="604"/>
        <v>38</v>
      </c>
      <c r="BY409" s="234">
        <f t="shared" si="605"/>
        <v>4.0666935483870965</v>
      </c>
      <c r="BZ409" s="234" cm="1">
        <f t="array" ref="BZ409">$BM409 * IF($AH409&lt;=2,
SUMPRODUCT(INDEX($AV$66:$AX$70,,$AI409), INDEX($AY$66:$BE$70,,$AH409), 1 / ($BF$66:$BF$70*BY409 + (1-$BF$66:$BF$70)*BU409), N($AU$66:$AU$70&gt;$AM409)),
SUMPRODUCT(INDEX($AV$56:$AX$65,,$AI409), INDEX($AY$56:$BE$65,,$AH409), 1 / ($BG$56:$BG$65*BY409 + (1-$BG$56:$BG$65)*BU409), N($AU$56:$AU$65&gt;$AM409))
) / 1000</f>
        <v>0</v>
      </c>
      <c r="CA409" s="231">
        <f t="shared" si="628"/>
        <v>20</v>
      </c>
      <c r="CB409" s="229">
        <f t="shared" si="606"/>
        <v>33</v>
      </c>
      <c r="CC409" s="234">
        <f t="shared" si="607"/>
        <v>4.8487499999999999</v>
      </c>
      <c r="CD409" s="234" cm="1">
        <f t="array" ref="CD409">$BM409 * IF($AH409&lt;=2,
SUMPRODUCT(INDEX($AV$61:$AX$65,,$AI409), INDEX($AY$61:$BE$65,,$AH409), 1 / ($BF$61:$BF$65*CC409 + (1-$BF$61:$BF$65)*BY409), N($AU$61:$AU$65&gt;$AM409)),
SUMPRODUCT(INDEX($AV$46:$AX$55,,$AI409), INDEX($AY$46:$BE$55,,$AH409), 1 / ($BG$46:$BG$55*CC409 + (1-$BG$46:$BG$55)*BY409), N($AU$46:$AU$55&gt;$AM409))
) / 1000</f>
        <v>0</v>
      </c>
      <c r="CE409" s="234" cm="1">
        <f t="array" ref="CE409">$BM409 * IF($AH409&lt;=2,
SUMPRODUCT(INDEX($AV$22:$AX$60,,$AI409), INDEX($AY$22:$BE$60,,$AH409), 1 / ($BF$22:$BF$60*CC409), N($AU$22:$AU$60&gt;$AM409)),
SUMPRODUCT(INDEX($AV$22:$AX$45,,$AI409), INDEX($AY$22:$BE$45,,$AH409), 1 / ($BG$22:$BG$45*CC409), N($AU$22:$AU$45&gt;$AM409))
) / 1000</f>
        <v>0</v>
      </c>
      <c r="CF409" s="229">
        <f t="shared" si="608"/>
        <v>0</v>
      </c>
      <c r="CG409" s="246"/>
      <c r="CH409" s="229">
        <f t="shared" si="609"/>
        <v>0</v>
      </c>
      <c r="CI409" s="228">
        <v>35</v>
      </c>
      <c r="CJ409" s="229">
        <f t="shared" si="610"/>
        <v>48</v>
      </c>
      <c r="CK409" s="234">
        <f t="shared" si="611"/>
        <v>3.0748170731707316</v>
      </c>
      <c r="CL409" s="234" cm="1">
        <f t="array" ref="CL409">$BM409 * SUMPRODUCT(INDEX($AV$76:$AX$81,,$AI409),INDEX($AY$76:$BE$81,,$AH409), N($AU$76:$AU$81&gt;$AM409)) / CK409 / 1000</f>
        <v>0</v>
      </c>
      <c r="CM409" s="231">
        <f t="shared" si="629"/>
        <v>30</v>
      </c>
      <c r="CN409" s="229">
        <f t="shared" si="612"/>
        <v>43</v>
      </c>
      <c r="CO409" s="234">
        <f t="shared" si="613"/>
        <v>3.5018750000000001</v>
      </c>
      <c r="CP409" s="234" cm="1">
        <f t="array" ref="CP409">$BM409 * IF($AH409&lt;=2,
SUMPRODUCT(INDEX($AV$71:$AX$75,,$AI409), INDEX($AY$71:$BE$75,,$AH409), 1 / ($BF$71:$BF$75*CO409 + (1-$BF$71:$BF$75)*CK409), N($AU$71:$AU$75&gt;$AM409)),
SUMPRODUCT(INDEX($AV$66:$AX$75,,$AI409), INDEX($AY$66:$BE$75,,$AH409), 1 / ($BG$66:$BG$75*CO409 + (1-$BG$66:$BG$75)*CK409), N($AU$66:$AU$75&gt;$AM409))
) / 1000</f>
        <v>0</v>
      </c>
      <c r="CQ409" s="231">
        <f t="shared" si="630"/>
        <v>25</v>
      </c>
      <c r="CR409" s="229">
        <f t="shared" si="614"/>
        <v>38</v>
      </c>
      <c r="CS409" s="234">
        <f t="shared" si="615"/>
        <v>4.0666935483870965</v>
      </c>
      <c r="CT409" s="234" cm="1">
        <f t="array" ref="CT409">$BM409 * IF($AH409&lt;=2,
SUMPRODUCT(INDEX($AV$66:$AX$70,,$AI409), INDEX($AY$66:$BE$70,,$AH409), 1 / ($BF$66:$BF$70*CS409 + (1-$BF$66:$BF$70)*CO409), N($AU$66:$AU$70&gt;$AM409)),
SUMPRODUCT(INDEX($AV$56:$AX$65,,$AI409), INDEX($AY$56:$BE$65,,$AH409), 1 / ($BG$56:$BG$65*CS409 + (1-$BG$56:$BG$65)*CO409), N($AU$56:$AU$65&gt;$AM409))
) / 1000</f>
        <v>0</v>
      </c>
      <c r="CU409" s="231">
        <f t="shared" si="631"/>
        <v>20</v>
      </c>
      <c r="CV409" s="229">
        <f t="shared" si="616"/>
        <v>33</v>
      </c>
      <c r="CW409" s="234">
        <f t="shared" si="617"/>
        <v>4.8487499999999999</v>
      </c>
      <c r="CX409" s="234" cm="1">
        <f t="array" ref="CX409">$BM409 * IF($AH409&lt;=2,
SUMPRODUCT(INDEX($AV$61:$AX$65,,$AI409), INDEX($AY$61:$BE$65,,$AH409), 1 / ($BF$61:$BF$65*CW409 + (1-$BF$61:$BF$65)*CS409), N($AU$61:$AU$65&gt;$AM409)),
SUMPRODUCT(INDEX($AV$46:$AX$55,,$AI409), INDEX($AY$46:$BE$55,,$AH409), 1 / ($BG$46:$BG$55*CW409 + (1-$BG$46:$BG$55)*CS409), N($AU$46:$AU$55&gt;$AM409))
) / 1000</f>
        <v>0</v>
      </c>
      <c r="CY409" s="234" cm="1">
        <f t="array" ref="CY409">$BM409 * IF($AH409&lt;=2,
SUMPRODUCT(INDEX($AV$22:$AX$60,,$AI409), INDEX($AY$22:$BE$60,,$AH409), 1 / ($BF$22:$BF$60*CW409), N($AU$22:$AU$60&gt;$AM409)),
SUMPRODUCT(INDEX($AV$22:$AX$45,,$AI409), INDEX($AY$22:$BE$45,,$AH409), 1 / ($BG$22:$BG$45*CW409), N($AU$22:$AU$45&gt;$AM409))
) / 1000</f>
        <v>0</v>
      </c>
      <c r="CZ409" s="229">
        <f t="shared" si="618"/>
        <v>0</v>
      </c>
      <c r="DA409" s="246"/>
    </row>
    <row r="410" spans="1:105" s="75" customFormat="1" ht="14.25" customHeight="1" x14ac:dyDescent="0.2">
      <c r="A410" s="230" t="b">
        <f t="shared" si="623"/>
        <v>0</v>
      </c>
      <c r="B410" s="253">
        <v>389</v>
      </c>
      <c r="C410" s="266"/>
      <c r="D410" s="266"/>
      <c r="E410" s="254"/>
      <c r="F410" s="255" t="str">
        <f>IF(ISBLANK(E410), "", VLOOKUP(E410, Z!$A$2:$C$4127, 3, FALSE))</f>
        <v/>
      </c>
      <c r="G410" s="256"/>
      <c r="H410" s="256"/>
      <c r="I410" s="256"/>
      <c r="J410" s="257"/>
      <c r="K410" s="258"/>
      <c r="L410" s="267"/>
      <c r="M410" s="268"/>
      <c r="N410" s="259" t="str" cm="1">
        <f t="array" ref="N410">IF($L410&gt;0, INDEX(Clean,1+AK410,$D$1), "")</f>
        <v/>
      </c>
      <c r="O410" s="260"/>
      <c r="P410" s="260"/>
      <c r="Q410" s="261"/>
      <c r="R410" s="264">
        <f t="shared" si="594"/>
        <v>0</v>
      </c>
      <c r="S410" s="259" t="str" cm="1">
        <f t="array" ref="S410">IF($L410&gt;0, INDEX(Clean,1+AL410,$D$1), "")</f>
        <v/>
      </c>
      <c r="T410" s="260"/>
      <c r="U410" s="260"/>
      <c r="V410" s="261"/>
      <c r="W410" s="267"/>
      <c r="X410" s="267"/>
      <c r="Y410" s="257"/>
      <c r="Z410" s="264">
        <f t="shared" si="595"/>
        <v>0</v>
      </c>
      <c r="AA410" s="269"/>
      <c r="AB410" s="266"/>
      <c r="AC410" s="254"/>
      <c r="AD410" s="255" t="str">
        <f>IF(ISBLANK(AC410), "", VLOOKUP(AC410, Z!$A$2:$C$4127, 3, FALSE))</f>
        <v/>
      </c>
      <c r="AE410" s="270"/>
      <c r="AF410" s="265">
        <f t="shared" si="596"/>
        <v>0</v>
      </c>
      <c r="AG410" s="246"/>
      <c r="AH410" s="228">
        <f t="shared" si="619"/>
        <v>1</v>
      </c>
      <c r="AI410" s="228">
        <f t="shared" si="620"/>
        <v>1</v>
      </c>
      <c r="AJ410" s="228">
        <f t="shared" si="621"/>
        <v>0</v>
      </c>
      <c r="AK410" s="228">
        <v>0</v>
      </c>
      <c r="AL410" s="228">
        <v>0</v>
      </c>
      <c r="AM410" s="228">
        <f t="shared" si="597"/>
        <v>-100</v>
      </c>
      <c r="AN410" s="228" cm="1">
        <f t="array" ref="AN410">IF(ISBLANK(G410), 1, IFERROR(MATCH(G410, INDEX(Kat,,1), 0), IFERROR(MATCH(Kat, INDEX(Use,,2), 0), MATCH(Kat, INDEX(Use,,3), 0))))</f>
        <v>1</v>
      </c>
      <c r="AO410" s="246"/>
      <c r="AP410" s="228" cm="1">
        <f t="array" ref="AP410">IF(W410&gt;0, INDEX(Kat, AN410,4), 0)</f>
        <v>0</v>
      </c>
      <c r="AQ410" s="228">
        <f t="shared" si="622"/>
        <v>0</v>
      </c>
      <c r="AR410" s="228" cm="1">
        <f t="array" ref="AR410">IF(X410&gt;0, INDEX(Kat, $AN410, 4+AQ410), 0)</f>
        <v>0</v>
      </c>
      <c r="AS410" s="228" cm="1">
        <f t="array" ref="AS410">IF(X410&gt;0, INDEX(Kat, $AN410, 9+AQ410), 0)</f>
        <v>0</v>
      </c>
      <c r="AT410" s="246"/>
      <c r="AU410" s="262"/>
      <c r="AV410" s="262"/>
      <c r="AW410" s="263"/>
      <c r="AX410" s="263"/>
      <c r="AY410" s="263"/>
      <c r="AZ410" s="263"/>
      <c r="BA410" s="263"/>
      <c r="BB410" s="263"/>
      <c r="BC410" s="263"/>
      <c r="BD410" s="263"/>
      <c r="BE410" s="263"/>
      <c r="BF410" s="263"/>
      <c r="BG410" s="263"/>
      <c r="BH410" s="246"/>
      <c r="BI410" s="228" cm="1">
        <f t="array" ref="BI410">INDEX(Use, $AH410, 4)</f>
        <v>7</v>
      </c>
      <c r="BJ410" s="228">
        <f t="shared" si="598"/>
        <v>32</v>
      </c>
      <c r="BK410" s="228">
        <f t="shared" si="624"/>
        <v>13</v>
      </c>
      <c r="BL410" s="228">
        <f t="shared" si="625"/>
        <v>0</v>
      </c>
      <c r="BM410" s="233" cm="1">
        <f t="array" ref="BM410">L410/IF($M410&gt;0, INDEX($AY$22:$BE$76, $M410+20, $AH410), 1)</f>
        <v>0</v>
      </c>
      <c r="BN410" s="229">
        <f t="shared" si="599"/>
        <v>0</v>
      </c>
      <c r="BO410" s="228">
        <v>35</v>
      </c>
      <c r="BP410" s="229">
        <f t="shared" si="600"/>
        <v>48</v>
      </c>
      <c r="BQ410" s="234">
        <f t="shared" si="601"/>
        <v>3.0748170731707316</v>
      </c>
      <c r="BR410" s="234" cm="1">
        <f t="array" ref="BR410">$BM410 * SUMPRODUCT(INDEX($AV$76:$AX$81,,$AI410),INDEX($AY$76:$BE$81,,$AH410), N($AU$76:$AU$81&gt;$AM410)) / BQ410 / 1000</f>
        <v>0</v>
      </c>
      <c r="BS410" s="231">
        <f t="shared" si="626"/>
        <v>30</v>
      </c>
      <c r="BT410" s="229">
        <f t="shared" si="602"/>
        <v>43</v>
      </c>
      <c r="BU410" s="234">
        <f t="shared" si="603"/>
        <v>3.5018750000000001</v>
      </c>
      <c r="BV410" s="234" cm="1">
        <f t="array" ref="BV410">$BM410 * IF($AH410&lt;=2,
SUMPRODUCT(INDEX($AV$71:$AX$75,,$AI410), INDEX($AY$71:$BE$75,,$AH410), 1 / ($BF$71:$BF$75*BU410 + (1-$BF$71:$BF$75)*BQ410), N($AU$71:$AU$75&gt;$AM410)),
SUMPRODUCT(INDEX($AV$66:$AX$75,,$AI410), INDEX($AY$66:$BE$75,,$AH410), 1 / ($BG$66:$BG$75*BU410 + (1-$BG$66:$BG$75)*BQ410), N($AU$66:$AU$75&gt;$AM410))
) / 1000</f>
        <v>0</v>
      </c>
      <c r="BW410" s="231">
        <f t="shared" si="627"/>
        <v>25</v>
      </c>
      <c r="BX410" s="229">
        <f t="shared" si="604"/>
        <v>38</v>
      </c>
      <c r="BY410" s="234">
        <f t="shared" si="605"/>
        <v>4.0666935483870965</v>
      </c>
      <c r="BZ410" s="234" cm="1">
        <f t="array" ref="BZ410">$BM410 * IF($AH410&lt;=2,
SUMPRODUCT(INDEX($AV$66:$AX$70,,$AI410), INDEX($AY$66:$BE$70,,$AH410), 1 / ($BF$66:$BF$70*BY410 + (1-$BF$66:$BF$70)*BU410), N($AU$66:$AU$70&gt;$AM410)),
SUMPRODUCT(INDEX($AV$56:$AX$65,,$AI410), INDEX($AY$56:$BE$65,,$AH410), 1 / ($BG$56:$BG$65*BY410 + (1-$BG$56:$BG$65)*BU410), N($AU$56:$AU$65&gt;$AM410))
) / 1000</f>
        <v>0</v>
      </c>
      <c r="CA410" s="231">
        <f t="shared" si="628"/>
        <v>20</v>
      </c>
      <c r="CB410" s="229">
        <f t="shared" si="606"/>
        <v>33</v>
      </c>
      <c r="CC410" s="234">
        <f t="shared" si="607"/>
        <v>4.8487499999999999</v>
      </c>
      <c r="CD410" s="234" cm="1">
        <f t="array" ref="CD410">$BM410 * IF($AH410&lt;=2,
SUMPRODUCT(INDEX($AV$61:$AX$65,,$AI410), INDEX($AY$61:$BE$65,,$AH410), 1 / ($BF$61:$BF$65*CC410 + (1-$BF$61:$BF$65)*BY410), N($AU$61:$AU$65&gt;$AM410)),
SUMPRODUCT(INDEX($AV$46:$AX$55,,$AI410), INDEX($AY$46:$BE$55,,$AH410), 1 / ($BG$46:$BG$55*CC410 + (1-$BG$46:$BG$55)*BY410), N($AU$46:$AU$55&gt;$AM410))
) / 1000</f>
        <v>0</v>
      </c>
      <c r="CE410" s="234" cm="1">
        <f t="array" ref="CE410">$BM410 * IF($AH410&lt;=2,
SUMPRODUCT(INDEX($AV$22:$AX$60,,$AI410), INDEX($AY$22:$BE$60,,$AH410), 1 / ($BF$22:$BF$60*CC410), N($AU$22:$AU$60&gt;$AM410)),
SUMPRODUCT(INDEX($AV$22:$AX$45,,$AI410), INDEX($AY$22:$BE$45,,$AH410), 1 / ($BG$22:$BG$45*CC410), N($AU$22:$AU$45&gt;$AM410))
) / 1000</f>
        <v>0</v>
      </c>
      <c r="CF410" s="229">
        <f t="shared" si="608"/>
        <v>0</v>
      </c>
      <c r="CG410" s="246"/>
      <c r="CH410" s="229">
        <f t="shared" si="609"/>
        <v>0</v>
      </c>
      <c r="CI410" s="228">
        <v>35</v>
      </c>
      <c r="CJ410" s="229">
        <f t="shared" si="610"/>
        <v>48</v>
      </c>
      <c r="CK410" s="234">
        <f t="shared" si="611"/>
        <v>3.0748170731707316</v>
      </c>
      <c r="CL410" s="234" cm="1">
        <f t="array" ref="CL410">$BM410 * SUMPRODUCT(INDEX($AV$76:$AX$81,,$AI410),INDEX($AY$76:$BE$81,,$AH410), N($AU$76:$AU$81&gt;$AM410)) / CK410 / 1000</f>
        <v>0</v>
      </c>
      <c r="CM410" s="231">
        <f t="shared" si="629"/>
        <v>30</v>
      </c>
      <c r="CN410" s="229">
        <f t="shared" si="612"/>
        <v>43</v>
      </c>
      <c r="CO410" s="234">
        <f t="shared" si="613"/>
        <v>3.5018750000000001</v>
      </c>
      <c r="CP410" s="234" cm="1">
        <f t="array" ref="CP410">$BM410 * IF($AH410&lt;=2,
SUMPRODUCT(INDEX($AV$71:$AX$75,,$AI410), INDEX($AY$71:$BE$75,,$AH410), 1 / ($BF$71:$BF$75*CO410 + (1-$BF$71:$BF$75)*CK410), N($AU$71:$AU$75&gt;$AM410)),
SUMPRODUCT(INDEX($AV$66:$AX$75,,$AI410), INDEX($AY$66:$BE$75,,$AH410), 1 / ($BG$66:$BG$75*CO410 + (1-$BG$66:$BG$75)*CK410), N($AU$66:$AU$75&gt;$AM410))
) / 1000</f>
        <v>0</v>
      </c>
      <c r="CQ410" s="231">
        <f t="shared" si="630"/>
        <v>25</v>
      </c>
      <c r="CR410" s="229">
        <f t="shared" si="614"/>
        <v>38</v>
      </c>
      <c r="CS410" s="234">
        <f t="shared" si="615"/>
        <v>4.0666935483870965</v>
      </c>
      <c r="CT410" s="234" cm="1">
        <f t="array" ref="CT410">$BM410 * IF($AH410&lt;=2,
SUMPRODUCT(INDEX($AV$66:$AX$70,,$AI410), INDEX($AY$66:$BE$70,,$AH410), 1 / ($BF$66:$BF$70*CS410 + (1-$BF$66:$BF$70)*CO410), N($AU$66:$AU$70&gt;$AM410)),
SUMPRODUCT(INDEX($AV$56:$AX$65,,$AI410), INDEX($AY$56:$BE$65,,$AH410), 1 / ($BG$56:$BG$65*CS410 + (1-$BG$56:$BG$65)*CO410), N($AU$56:$AU$65&gt;$AM410))
) / 1000</f>
        <v>0</v>
      </c>
      <c r="CU410" s="231">
        <f t="shared" si="631"/>
        <v>20</v>
      </c>
      <c r="CV410" s="229">
        <f t="shared" si="616"/>
        <v>33</v>
      </c>
      <c r="CW410" s="234">
        <f t="shared" si="617"/>
        <v>4.8487499999999999</v>
      </c>
      <c r="CX410" s="234" cm="1">
        <f t="array" ref="CX410">$BM410 * IF($AH410&lt;=2,
SUMPRODUCT(INDEX($AV$61:$AX$65,,$AI410), INDEX($AY$61:$BE$65,,$AH410), 1 / ($BF$61:$BF$65*CW410 + (1-$BF$61:$BF$65)*CS410), N($AU$61:$AU$65&gt;$AM410)),
SUMPRODUCT(INDEX($AV$46:$AX$55,,$AI410), INDEX($AY$46:$BE$55,,$AH410), 1 / ($BG$46:$BG$55*CW410 + (1-$BG$46:$BG$55)*CS410), N($AU$46:$AU$55&gt;$AM410))
) / 1000</f>
        <v>0</v>
      </c>
      <c r="CY410" s="234" cm="1">
        <f t="array" ref="CY410">$BM410 * IF($AH410&lt;=2,
SUMPRODUCT(INDEX($AV$22:$AX$60,,$AI410), INDEX($AY$22:$BE$60,,$AH410), 1 / ($BF$22:$BF$60*CW410), N($AU$22:$AU$60&gt;$AM410)),
SUMPRODUCT(INDEX($AV$22:$AX$45,,$AI410), INDEX($AY$22:$BE$45,,$AH410), 1 / ($BG$22:$BG$45*CW410), N($AU$22:$AU$45&gt;$AM410))
) / 1000</f>
        <v>0</v>
      </c>
      <c r="CZ410" s="229">
        <f t="shared" si="618"/>
        <v>0</v>
      </c>
      <c r="DA410" s="246"/>
    </row>
    <row r="411" spans="1:105" s="75" customFormat="1" ht="14.25" customHeight="1" x14ac:dyDescent="0.2">
      <c r="A411" s="230" t="b">
        <f t="shared" si="623"/>
        <v>0</v>
      </c>
      <c r="B411" s="253">
        <v>390</v>
      </c>
      <c r="C411" s="266"/>
      <c r="D411" s="266"/>
      <c r="E411" s="254"/>
      <c r="F411" s="255" t="str">
        <f>IF(ISBLANK(E411), "", VLOOKUP(E411, Z!$A$2:$C$4127, 3, FALSE))</f>
        <v/>
      </c>
      <c r="G411" s="256"/>
      <c r="H411" s="256"/>
      <c r="I411" s="256"/>
      <c r="J411" s="257"/>
      <c r="K411" s="258"/>
      <c r="L411" s="267"/>
      <c r="M411" s="268"/>
      <c r="N411" s="259" t="str" cm="1">
        <f t="array" ref="N411">IF($L411&gt;0, INDEX(Clean,1+AK411,$D$1), "")</f>
        <v/>
      </c>
      <c r="O411" s="260"/>
      <c r="P411" s="260"/>
      <c r="Q411" s="261"/>
      <c r="R411" s="264">
        <f t="shared" si="594"/>
        <v>0</v>
      </c>
      <c r="S411" s="259" t="str" cm="1">
        <f t="array" ref="S411">IF($L411&gt;0, INDEX(Clean,1+AL411,$D$1), "")</f>
        <v/>
      </c>
      <c r="T411" s="260"/>
      <c r="U411" s="260"/>
      <c r="V411" s="261"/>
      <c r="W411" s="267"/>
      <c r="X411" s="267"/>
      <c r="Y411" s="257"/>
      <c r="Z411" s="264">
        <f t="shared" si="595"/>
        <v>0</v>
      </c>
      <c r="AA411" s="269"/>
      <c r="AB411" s="266"/>
      <c r="AC411" s="254"/>
      <c r="AD411" s="255" t="str">
        <f>IF(ISBLANK(AC411), "", VLOOKUP(AC411, Z!$A$2:$C$4127, 3, FALSE))</f>
        <v/>
      </c>
      <c r="AE411" s="270"/>
      <c r="AF411" s="265">
        <f t="shared" si="596"/>
        <v>0</v>
      </c>
      <c r="AG411" s="246"/>
      <c r="AH411" s="228">
        <f t="shared" si="619"/>
        <v>1</v>
      </c>
      <c r="AI411" s="228">
        <f t="shared" si="620"/>
        <v>1</v>
      </c>
      <c r="AJ411" s="228">
        <f t="shared" si="621"/>
        <v>0</v>
      </c>
      <c r="AK411" s="228">
        <v>0</v>
      </c>
      <c r="AL411" s="228">
        <v>0</v>
      </c>
      <c r="AM411" s="228">
        <f t="shared" si="597"/>
        <v>-100</v>
      </c>
      <c r="AN411" s="228" cm="1">
        <f t="array" ref="AN411">IF(ISBLANK(G411), 1, IFERROR(MATCH(G411, INDEX(Kat,,1), 0), IFERROR(MATCH(Kat, INDEX(Use,,2), 0), MATCH(Kat, INDEX(Use,,3), 0))))</f>
        <v>1</v>
      </c>
      <c r="AO411" s="246"/>
      <c r="AP411" s="228" cm="1">
        <f t="array" ref="AP411">IF(W411&gt;0, INDEX(Kat, AN411,4), 0)</f>
        <v>0</v>
      </c>
      <c r="AQ411" s="228">
        <f t="shared" si="622"/>
        <v>0</v>
      </c>
      <c r="AR411" s="228" cm="1">
        <f t="array" ref="AR411">IF(X411&gt;0, INDEX(Kat, $AN411, 4+AQ411), 0)</f>
        <v>0</v>
      </c>
      <c r="AS411" s="228" cm="1">
        <f t="array" ref="AS411">IF(X411&gt;0, INDEX(Kat, $AN411, 9+AQ411), 0)</f>
        <v>0</v>
      </c>
      <c r="AT411" s="246"/>
      <c r="AU411" s="262"/>
      <c r="AV411" s="262"/>
      <c r="AW411" s="263"/>
      <c r="AX411" s="263"/>
      <c r="AY411" s="263"/>
      <c r="AZ411" s="263"/>
      <c r="BA411" s="263"/>
      <c r="BB411" s="263"/>
      <c r="BC411" s="263"/>
      <c r="BD411" s="263"/>
      <c r="BE411" s="263"/>
      <c r="BF411" s="263"/>
      <c r="BG411" s="263"/>
      <c r="BH411" s="246"/>
      <c r="BI411" s="228" cm="1">
        <f t="array" ref="BI411">INDEX(Use, $AH411, 4)</f>
        <v>7</v>
      </c>
      <c r="BJ411" s="228">
        <f t="shared" si="598"/>
        <v>32</v>
      </c>
      <c r="BK411" s="228">
        <f t="shared" si="624"/>
        <v>13</v>
      </c>
      <c r="BL411" s="228">
        <f t="shared" si="625"/>
        <v>0</v>
      </c>
      <c r="BM411" s="233" cm="1">
        <f t="array" ref="BM411">L411/IF($M411&gt;0, INDEX($AY$22:$BE$76, $M411+20, $AH411), 1)</f>
        <v>0</v>
      </c>
      <c r="BN411" s="229">
        <f t="shared" si="599"/>
        <v>0</v>
      </c>
      <c r="BO411" s="228">
        <v>35</v>
      </c>
      <c r="BP411" s="229">
        <f t="shared" si="600"/>
        <v>48</v>
      </c>
      <c r="BQ411" s="234">
        <f t="shared" si="601"/>
        <v>3.0748170731707316</v>
      </c>
      <c r="BR411" s="234" cm="1">
        <f t="array" ref="BR411">$BM411 * SUMPRODUCT(INDEX($AV$76:$AX$81,,$AI411),INDEX($AY$76:$BE$81,,$AH411), N($AU$76:$AU$81&gt;$AM411)) / BQ411 / 1000</f>
        <v>0</v>
      </c>
      <c r="BS411" s="231">
        <f t="shared" si="626"/>
        <v>30</v>
      </c>
      <c r="BT411" s="229">
        <f t="shared" si="602"/>
        <v>43</v>
      </c>
      <c r="BU411" s="234">
        <f t="shared" si="603"/>
        <v>3.5018750000000001</v>
      </c>
      <c r="BV411" s="234" cm="1">
        <f t="array" ref="BV411">$BM411 * IF($AH411&lt;=2,
SUMPRODUCT(INDEX($AV$71:$AX$75,,$AI411), INDEX($AY$71:$BE$75,,$AH411), 1 / ($BF$71:$BF$75*BU411 + (1-$BF$71:$BF$75)*BQ411), N($AU$71:$AU$75&gt;$AM411)),
SUMPRODUCT(INDEX($AV$66:$AX$75,,$AI411), INDEX($AY$66:$BE$75,,$AH411), 1 / ($BG$66:$BG$75*BU411 + (1-$BG$66:$BG$75)*BQ411), N($AU$66:$AU$75&gt;$AM411))
) / 1000</f>
        <v>0</v>
      </c>
      <c r="BW411" s="231">
        <f t="shared" si="627"/>
        <v>25</v>
      </c>
      <c r="BX411" s="229">
        <f t="shared" si="604"/>
        <v>38</v>
      </c>
      <c r="BY411" s="234">
        <f t="shared" si="605"/>
        <v>4.0666935483870965</v>
      </c>
      <c r="BZ411" s="234" cm="1">
        <f t="array" ref="BZ411">$BM411 * IF($AH411&lt;=2,
SUMPRODUCT(INDEX($AV$66:$AX$70,,$AI411), INDEX($AY$66:$BE$70,,$AH411), 1 / ($BF$66:$BF$70*BY411 + (1-$BF$66:$BF$70)*BU411), N($AU$66:$AU$70&gt;$AM411)),
SUMPRODUCT(INDEX($AV$56:$AX$65,,$AI411), INDEX($AY$56:$BE$65,,$AH411), 1 / ($BG$56:$BG$65*BY411 + (1-$BG$56:$BG$65)*BU411), N($AU$56:$AU$65&gt;$AM411))
) / 1000</f>
        <v>0</v>
      </c>
      <c r="CA411" s="231">
        <f t="shared" si="628"/>
        <v>20</v>
      </c>
      <c r="CB411" s="229">
        <f t="shared" si="606"/>
        <v>33</v>
      </c>
      <c r="CC411" s="234">
        <f t="shared" si="607"/>
        <v>4.8487499999999999</v>
      </c>
      <c r="CD411" s="234" cm="1">
        <f t="array" ref="CD411">$BM411 * IF($AH411&lt;=2,
SUMPRODUCT(INDEX($AV$61:$AX$65,,$AI411), INDEX($AY$61:$BE$65,,$AH411), 1 / ($BF$61:$BF$65*CC411 + (1-$BF$61:$BF$65)*BY411), N($AU$61:$AU$65&gt;$AM411)),
SUMPRODUCT(INDEX($AV$46:$AX$55,,$AI411), INDEX($AY$46:$BE$55,,$AH411), 1 / ($BG$46:$BG$55*CC411 + (1-$BG$46:$BG$55)*BY411), N($AU$46:$AU$55&gt;$AM411))
) / 1000</f>
        <v>0</v>
      </c>
      <c r="CE411" s="234" cm="1">
        <f t="array" ref="CE411">$BM411 * IF($AH411&lt;=2,
SUMPRODUCT(INDEX($AV$22:$AX$60,,$AI411), INDEX($AY$22:$BE$60,,$AH411), 1 / ($BF$22:$BF$60*CC411), N($AU$22:$AU$60&gt;$AM411)),
SUMPRODUCT(INDEX($AV$22:$AX$45,,$AI411), INDEX($AY$22:$BE$45,,$AH411), 1 / ($BG$22:$BG$45*CC411), N($AU$22:$AU$45&gt;$AM411))
) / 1000</f>
        <v>0</v>
      </c>
      <c r="CF411" s="229">
        <f t="shared" si="608"/>
        <v>0</v>
      </c>
      <c r="CG411" s="246"/>
      <c r="CH411" s="229">
        <f t="shared" si="609"/>
        <v>0</v>
      </c>
      <c r="CI411" s="228">
        <v>35</v>
      </c>
      <c r="CJ411" s="229">
        <f t="shared" si="610"/>
        <v>48</v>
      </c>
      <c r="CK411" s="234">
        <f t="shared" si="611"/>
        <v>3.0748170731707316</v>
      </c>
      <c r="CL411" s="234" cm="1">
        <f t="array" ref="CL411">$BM411 * SUMPRODUCT(INDEX($AV$76:$AX$81,,$AI411),INDEX($AY$76:$BE$81,,$AH411), N($AU$76:$AU$81&gt;$AM411)) / CK411 / 1000</f>
        <v>0</v>
      </c>
      <c r="CM411" s="231">
        <f t="shared" si="629"/>
        <v>30</v>
      </c>
      <c r="CN411" s="229">
        <f t="shared" si="612"/>
        <v>43</v>
      </c>
      <c r="CO411" s="234">
        <f t="shared" si="613"/>
        <v>3.5018750000000001</v>
      </c>
      <c r="CP411" s="234" cm="1">
        <f t="array" ref="CP411">$BM411 * IF($AH411&lt;=2,
SUMPRODUCT(INDEX($AV$71:$AX$75,,$AI411), INDEX($AY$71:$BE$75,,$AH411), 1 / ($BF$71:$BF$75*CO411 + (1-$BF$71:$BF$75)*CK411), N($AU$71:$AU$75&gt;$AM411)),
SUMPRODUCT(INDEX($AV$66:$AX$75,,$AI411), INDEX($AY$66:$BE$75,,$AH411), 1 / ($BG$66:$BG$75*CO411 + (1-$BG$66:$BG$75)*CK411), N($AU$66:$AU$75&gt;$AM411))
) / 1000</f>
        <v>0</v>
      </c>
      <c r="CQ411" s="231">
        <f t="shared" si="630"/>
        <v>25</v>
      </c>
      <c r="CR411" s="229">
        <f t="shared" si="614"/>
        <v>38</v>
      </c>
      <c r="CS411" s="234">
        <f t="shared" si="615"/>
        <v>4.0666935483870965</v>
      </c>
      <c r="CT411" s="234" cm="1">
        <f t="array" ref="CT411">$BM411 * IF($AH411&lt;=2,
SUMPRODUCT(INDEX($AV$66:$AX$70,,$AI411), INDEX($AY$66:$BE$70,,$AH411), 1 / ($BF$66:$BF$70*CS411 + (1-$BF$66:$BF$70)*CO411), N($AU$66:$AU$70&gt;$AM411)),
SUMPRODUCT(INDEX($AV$56:$AX$65,,$AI411), INDEX($AY$56:$BE$65,,$AH411), 1 / ($BG$56:$BG$65*CS411 + (1-$BG$56:$BG$65)*CO411), N($AU$56:$AU$65&gt;$AM411))
) / 1000</f>
        <v>0</v>
      </c>
      <c r="CU411" s="231">
        <f t="shared" si="631"/>
        <v>20</v>
      </c>
      <c r="CV411" s="229">
        <f t="shared" si="616"/>
        <v>33</v>
      </c>
      <c r="CW411" s="234">
        <f t="shared" si="617"/>
        <v>4.8487499999999999</v>
      </c>
      <c r="CX411" s="234" cm="1">
        <f t="array" ref="CX411">$BM411 * IF($AH411&lt;=2,
SUMPRODUCT(INDEX($AV$61:$AX$65,,$AI411), INDEX($AY$61:$BE$65,,$AH411), 1 / ($BF$61:$BF$65*CW411 + (1-$BF$61:$BF$65)*CS411), N($AU$61:$AU$65&gt;$AM411)),
SUMPRODUCT(INDEX($AV$46:$AX$55,,$AI411), INDEX($AY$46:$BE$55,,$AH411), 1 / ($BG$46:$BG$55*CW411 + (1-$BG$46:$BG$55)*CS411), N($AU$46:$AU$55&gt;$AM411))
) / 1000</f>
        <v>0</v>
      </c>
      <c r="CY411" s="234" cm="1">
        <f t="array" ref="CY411">$BM411 * IF($AH411&lt;=2,
SUMPRODUCT(INDEX($AV$22:$AX$60,,$AI411), INDEX($AY$22:$BE$60,,$AH411), 1 / ($BF$22:$BF$60*CW411), N($AU$22:$AU$60&gt;$AM411)),
SUMPRODUCT(INDEX($AV$22:$AX$45,,$AI411), INDEX($AY$22:$BE$45,,$AH411), 1 / ($BG$22:$BG$45*CW411), N($AU$22:$AU$45&gt;$AM411))
) / 1000</f>
        <v>0</v>
      </c>
      <c r="CZ411" s="229">
        <f t="shared" si="618"/>
        <v>0</v>
      </c>
      <c r="DA411" s="246"/>
    </row>
    <row r="412" spans="1:105" s="75" customFormat="1" ht="14.25" customHeight="1" x14ac:dyDescent="0.2">
      <c r="A412" s="230" t="b">
        <f t="shared" si="623"/>
        <v>0</v>
      </c>
      <c r="B412" s="253">
        <v>391</v>
      </c>
      <c r="C412" s="266"/>
      <c r="D412" s="266"/>
      <c r="E412" s="254"/>
      <c r="F412" s="255" t="str">
        <f>IF(ISBLANK(E412), "", VLOOKUP(E412, Z!$A$2:$C$4127, 3, FALSE))</f>
        <v/>
      </c>
      <c r="G412" s="256"/>
      <c r="H412" s="256"/>
      <c r="I412" s="256"/>
      <c r="J412" s="257"/>
      <c r="K412" s="258"/>
      <c r="L412" s="267"/>
      <c r="M412" s="268"/>
      <c r="N412" s="259" t="str" cm="1">
        <f t="array" ref="N412">IF($L412&gt;0, INDEX(Clean,1+AK412,$D$1), "")</f>
        <v/>
      </c>
      <c r="O412" s="260"/>
      <c r="P412" s="260"/>
      <c r="Q412" s="261"/>
      <c r="R412" s="264">
        <f t="shared" si="594"/>
        <v>0</v>
      </c>
      <c r="S412" s="259" t="str" cm="1">
        <f t="array" ref="S412">IF($L412&gt;0, INDEX(Clean,1+AL412,$D$1), "")</f>
        <v/>
      </c>
      <c r="T412" s="260"/>
      <c r="U412" s="260"/>
      <c r="V412" s="261"/>
      <c r="W412" s="267"/>
      <c r="X412" s="267"/>
      <c r="Y412" s="257"/>
      <c r="Z412" s="264">
        <f t="shared" si="595"/>
        <v>0</v>
      </c>
      <c r="AA412" s="269"/>
      <c r="AB412" s="266"/>
      <c r="AC412" s="254"/>
      <c r="AD412" s="255" t="str">
        <f>IF(ISBLANK(AC412), "", VLOOKUP(AC412, Z!$A$2:$C$4127, 3, FALSE))</f>
        <v/>
      </c>
      <c r="AE412" s="270"/>
      <c r="AF412" s="265">
        <f t="shared" si="596"/>
        <v>0</v>
      </c>
      <c r="AG412" s="246"/>
      <c r="AH412" s="228">
        <f t="shared" si="619"/>
        <v>1</v>
      </c>
      <c r="AI412" s="228">
        <f t="shared" si="620"/>
        <v>1</v>
      </c>
      <c r="AJ412" s="228">
        <f t="shared" si="621"/>
        <v>0</v>
      </c>
      <c r="AK412" s="228">
        <v>0</v>
      </c>
      <c r="AL412" s="228">
        <v>0</v>
      </c>
      <c r="AM412" s="228">
        <f t="shared" si="597"/>
        <v>-100</v>
      </c>
      <c r="AN412" s="228" cm="1">
        <f t="array" ref="AN412">IF(ISBLANK(G412), 1, IFERROR(MATCH(G412, INDEX(Kat,,1), 0), IFERROR(MATCH(Kat, INDEX(Use,,2), 0), MATCH(Kat, INDEX(Use,,3), 0))))</f>
        <v>1</v>
      </c>
      <c r="AO412" s="246"/>
      <c r="AP412" s="228" cm="1">
        <f t="array" ref="AP412">IF(W412&gt;0, INDEX(Kat, AN412,4), 0)</f>
        <v>0</v>
      </c>
      <c r="AQ412" s="228">
        <f t="shared" si="622"/>
        <v>0</v>
      </c>
      <c r="AR412" s="228" cm="1">
        <f t="array" ref="AR412">IF(X412&gt;0, INDEX(Kat, $AN412, 4+AQ412), 0)</f>
        <v>0</v>
      </c>
      <c r="AS412" s="228" cm="1">
        <f t="array" ref="AS412">IF(X412&gt;0, INDEX(Kat, $AN412, 9+AQ412), 0)</f>
        <v>0</v>
      </c>
      <c r="AT412" s="246"/>
      <c r="AU412" s="262"/>
      <c r="AV412" s="262"/>
      <c r="AW412" s="263"/>
      <c r="AX412" s="263"/>
      <c r="AY412" s="263"/>
      <c r="AZ412" s="263"/>
      <c r="BA412" s="263"/>
      <c r="BB412" s="263"/>
      <c r="BC412" s="263"/>
      <c r="BD412" s="263"/>
      <c r="BE412" s="263"/>
      <c r="BF412" s="263"/>
      <c r="BG412" s="263"/>
      <c r="BH412" s="246"/>
      <c r="BI412" s="228" cm="1">
        <f t="array" ref="BI412">INDEX(Use, $AH412, 4)</f>
        <v>7</v>
      </c>
      <c r="BJ412" s="228">
        <f t="shared" si="598"/>
        <v>32</v>
      </c>
      <c r="BK412" s="228">
        <f t="shared" si="624"/>
        <v>13</v>
      </c>
      <c r="BL412" s="228">
        <f t="shared" si="625"/>
        <v>0</v>
      </c>
      <c r="BM412" s="233" cm="1">
        <f t="array" ref="BM412">L412/IF($M412&gt;0, INDEX($AY$22:$BE$76, $M412+20, $AH412), 1)</f>
        <v>0</v>
      </c>
      <c r="BN412" s="229">
        <f t="shared" si="599"/>
        <v>0</v>
      </c>
      <c r="BO412" s="228">
        <v>35</v>
      </c>
      <c r="BP412" s="229">
        <f t="shared" si="600"/>
        <v>48</v>
      </c>
      <c r="BQ412" s="234">
        <f t="shared" si="601"/>
        <v>3.0748170731707316</v>
      </c>
      <c r="BR412" s="234" cm="1">
        <f t="array" ref="BR412">$BM412 * SUMPRODUCT(INDEX($AV$76:$AX$81,,$AI412),INDEX($AY$76:$BE$81,,$AH412), N($AU$76:$AU$81&gt;$AM412)) / BQ412 / 1000</f>
        <v>0</v>
      </c>
      <c r="BS412" s="231">
        <f t="shared" si="626"/>
        <v>30</v>
      </c>
      <c r="BT412" s="229">
        <f t="shared" si="602"/>
        <v>43</v>
      </c>
      <c r="BU412" s="234">
        <f t="shared" si="603"/>
        <v>3.5018750000000001</v>
      </c>
      <c r="BV412" s="234" cm="1">
        <f t="array" ref="BV412">$BM412 * IF($AH412&lt;=2,
SUMPRODUCT(INDEX($AV$71:$AX$75,,$AI412), INDEX($AY$71:$BE$75,,$AH412), 1 / ($BF$71:$BF$75*BU412 + (1-$BF$71:$BF$75)*BQ412), N($AU$71:$AU$75&gt;$AM412)),
SUMPRODUCT(INDEX($AV$66:$AX$75,,$AI412), INDEX($AY$66:$BE$75,,$AH412), 1 / ($BG$66:$BG$75*BU412 + (1-$BG$66:$BG$75)*BQ412), N($AU$66:$AU$75&gt;$AM412))
) / 1000</f>
        <v>0</v>
      </c>
      <c r="BW412" s="231">
        <f t="shared" si="627"/>
        <v>25</v>
      </c>
      <c r="BX412" s="229">
        <f t="shared" si="604"/>
        <v>38</v>
      </c>
      <c r="BY412" s="234">
        <f t="shared" si="605"/>
        <v>4.0666935483870965</v>
      </c>
      <c r="BZ412" s="234" cm="1">
        <f t="array" ref="BZ412">$BM412 * IF($AH412&lt;=2,
SUMPRODUCT(INDEX($AV$66:$AX$70,,$AI412), INDEX($AY$66:$BE$70,,$AH412), 1 / ($BF$66:$BF$70*BY412 + (1-$BF$66:$BF$70)*BU412), N($AU$66:$AU$70&gt;$AM412)),
SUMPRODUCT(INDEX($AV$56:$AX$65,,$AI412), INDEX($AY$56:$BE$65,,$AH412), 1 / ($BG$56:$BG$65*BY412 + (1-$BG$56:$BG$65)*BU412), N($AU$56:$AU$65&gt;$AM412))
) / 1000</f>
        <v>0</v>
      </c>
      <c r="CA412" s="231">
        <f t="shared" si="628"/>
        <v>20</v>
      </c>
      <c r="CB412" s="229">
        <f t="shared" si="606"/>
        <v>33</v>
      </c>
      <c r="CC412" s="234">
        <f t="shared" si="607"/>
        <v>4.8487499999999999</v>
      </c>
      <c r="CD412" s="234" cm="1">
        <f t="array" ref="CD412">$BM412 * IF($AH412&lt;=2,
SUMPRODUCT(INDEX($AV$61:$AX$65,,$AI412), INDEX($AY$61:$BE$65,,$AH412), 1 / ($BF$61:$BF$65*CC412 + (1-$BF$61:$BF$65)*BY412), N($AU$61:$AU$65&gt;$AM412)),
SUMPRODUCT(INDEX($AV$46:$AX$55,,$AI412), INDEX($AY$46:$BE$55,,$AH412), 1 / ($BG$46:$BG$55*CC412 + (1-$BG$46:$BG$55)*BY412), N($AU$46:$AU$55&gt;$AM412))
) / 1000</f>
        <v>0</v>
      </c>
      <c r="CE412" s="234" cm="1">
        <f t="array" ref="CE412">$BM412 * IF($AH412&lt;=2,
SUMPRODUCT(INDEX($AV$22:$AX$60,,$AI412), INDEX($AY$22:$BE$60,,$AH412), 1 / ($BF$22:$BF$60*CC412), N($AU$22:$AU$60&gt;$AM412)),
SUMPRODUCT(INDEX($AV$22:$AX$45,,$AI412), INDEX($AY$22:$BE$45,,$AH412), 1 / ($BG$22:$BG$45*CC412), N($AU$22:$AU$45&gt;$AM412))
) / 1000</f>
        <v>0</v>
      </c>
      <c r="CF412" s="229">
        <f t="shared" si="608"/>
        <v>0</v>
      </c>
      <c r="CG412" s="246"/>
      <c r="CH412" s="229">
        <f t="shared" si="609"/>
        <v>0</v>
      </c>
      <c r="CI412" s="228">
        <v>35</v>
      </c>
      <c r="CJ412" s="229">
        <f t="shared" si="610"/>
        <v>48</v>
      </c>
      <c r="CK412" s="234">
        <f t="shared" si="611"/>
        <v>3.0748170731707316</v>
      </c>
      <c r="CL412" s="234" cm="1">
        <f t="array" ref="CL412">$BM412 * SUMPRODUCT(INDEX($AV$76:$AX$81,,$AI412),INDEX($AY$76:$BE$81,,$AH412), N($AU$76:$AU$81&gt;$AM412)) / CK412 / 1000</f>
        <v>0</v>
      </c>
      <c r="CM412" s="231">
        <f t="shared" si="629"/>
        <v>30</v>
      </c>
      <c r="CN412" s="229">
        <f t="shared" si="612"/>
        <v>43</v>
      </c>
      <c r="CO412" s="234">
        <f t="shared" si="613"/>
        <v>3.5018750000000001</v>
      </c>
      <c r="CP412" s="234" cm="1">
        <f t="array" ref="CP412">$BM412 * IF($AH412&lt;=2,
SUMPRODUCT(INDEX($AV$71:$AX$75,,$AI412), INDEX($AY$71:$BE$75,,$AH412), 1 / ($BF$71:$BF$75*CO412 + (1-$BF$71:$BF$75)*CK412), N($AU$71:$AU$75&gt;$AM412)),
SUMPRODUCT(INDEX($AV$66:$AX$75,,$AI412), INDEX($AY$66:$BE$75,,$AH412), 1 / ($BG$66:$BG$75*CO412 + (1-$BG$66:$BG$75)*CK412), N($AU$66:$AU$75&gt;$AM412))
) / 1000</f>
        <v>0</v>
      </c>
      <c r="CQ412" s="231">
        <f t="shared" si="630"/>
        <v>25</v>
      </c>
      <c r="CR412" s="229">
        <f t="shared" si="614"/>
        <v>38</v>
      </c>
      <c r="CS412" s="234">
        <f t="shared" si="615"/>
        <v>4.0666935483870965</v>
      </c>
      <c r="CT412" s="234" cm="1">
        <f t="array" ref="CT412">$BM412 * IF($AH412&lt;=2,
SUMPRODUCT(INDEX($AV$66:$AX$70,,$AI412), INDEX($AY$66:$BE$70,,$AH412), 1 / ($BF$66:$BF$70*CS412 + (1-$BF$66:$BF$70)*CO412), N($AU$66:$AU$70&gt;$AM412)),
SUMPRODUCT(INDEX($AV$56:$AX$65,,$AI412), INDEX($AY$56:$BE$65,,$AH412), 1 / ($BG$56:$BG$65*CS412 + (1-$BG$56:$BG$65)*CO412), N($AU$56:$AU$65&gt;$AM412))
) / 1000</f>
        <v>0</v>
      </c>
      <c r="CU412" s="231">
        <f t="shared" si="631"/>
        <v>20</v>
      </c>
      <c r="CV412" s="229">
        <f t="shared" si="616"/>
        <v>33</v>
      </c>
      <c r="CW412" s="234">
        <f t="shared" si="617"/>
        <v>4.8487499999999999</v>
      </c>
      <c r="CX412" s="234" cm="1">
        <f t="array" ref="CX412">$BM412 * IF($AH412&lt;=2,
SUMPRODUCT(INDEX($AV$61:$AX$65,,$AI412), INDEX($AY$61:$BE$65,,$AH412), 1 / ($BF$61:$BF$65*CW412 + (1-$BF$61:$BF$65)*CS412), N($AU$61:$AU$65&gt;$AM412)),
SUMPRODUCT(INDEX($AV$46:$AX$55,,$AI412), INDEX($AY$46:$BE$55,,$AH412), 1 / ($BG$46:$BG$55*CW412 + (1-$BG$46:$BG$55)*CS412), N($AU$46:$AU$55&gt;$AM412))
) / 1000</f>
        <v>0</v>
      </c>
      <c r="CY412" s="234" cm="1">
        <f t="array" ref="CY412">$BM412 * IF($AH412&lt;=2,
SUMPRODUCT(INDEX($AV$22:$AX$60,,$AI412), INDEX($AY$22:$BE$60,,$AH412), 1 / ($BF$22:$BF$60*CW412), N($AU$22:$AU$60&gt;$AM412)),
SUMPRODUCT(INDEX($AV$22:$AX$45,,$AI412), INDEX($AY$22:$BE$45,,$AH412), 1 / ($BG$22:$BG$45*CW412), N($AU$22:$AU$45&gt;$AM412))
) / 1000</f>
        <v>0</v>
      </c>
      <c r="CZ412" s="229">
        <f t="shared" si="618"/>
        <v>0</v>
      </c>
      <c r="DA412" s="246"/>
    </row>
    <row r="413" spans="1:105" s="75" customFormat="1" ht="14.25" customHeight="1" x14ac:dyDescent="0.2">
      <c r="A413" s="230" t="b">
        <f t="shared" si="623"/>
        <v>0</v>
      </c>
      <c r="B413" s="253">
        <v>392</v>
      </c>
      <c r="C413" s="266"/>
      <c r="D413" s="266"/>
      <c r="E413" s="254"/>
      <c r="F413" s="255" t="str">
        <f>IF(ISBLANK(E413), "", VLOOKUP(E413, Z!$A$2:$C$4127, 3, FALSE))</f>
        <v/>
      </c>
      <c r="G413" s="256"/>
      <c r="H413" s="256"/>
      <c r="I413" s="256"/>
      <c r="J413" s="257"/>
      <c r="K413" s="258"/>
      <c r="L413" s="267"/>
      <c r="M413" s="268"/>
      <c r="N413" s="259" t="str" cm="1">
        <f t="array" ref="N413">IF($L413&gt;0, INDEX(Clean,1+AK413,$D$1), "")</f>
        <v/>
      </c>
      <c r="O413" s="260"/>
      <c r="P413" s="260"/>
      <c r="Q413" s="261"/>
      <c r="R413" s="264">
        <f t="shared" si="594"/>
        <v>0</v>
      </c>
      <c r="S413" s="259" t="str" cm="1">
        <f t="array" ref="S413">IF($L413&gt;0, INDEX(Clean,1+AL413,$D$1), "")</f>
        <v/>
      </c>
      <c r="T413" s="260"/>
      <c r="U413" s="260"/>
      <c r="V413" s="261"/>
      <c r="W413" s="267"/>
      <c r="X413" s="267"/>
      <c r="Y413" s="257"/>
      <c r="Z413" s="264">
        <f t="shared" si="595"/>
        <v>0</v>
      </c>
      <c r="AA413" s="269"/>
      <c r="AB413" s="266"/>
      <c r="AC413" s="254"/>
      <c r="AD413" s="255" t="str">
        <f>IF(ISBLANK(AC413), "", VLOOKUP(AC413, Z!$A$2:$C$4127, 3, FALSE))</f>
        <v/>
      </c>
      <c r="AE413" s="270"/>
      <c r="AF413" s="265">
        <f t="shared" si="596"/>
        <v>0</v>
      </c>
      <c r="AG413" s="246"/>
      <c r="AH413" s="228">
        <f t="shared" si="619"/>
        <v>1</v>
      </c>
      <c r="AI413" s="228">
        <f t="shared" si="620"/>
        <v>1</v>
      </c>
      <c r="AJ413" s="228">
        <f t="shared" si="621"/>
        <v>0</v>
      </c>
      <c r="AK413" s="228">
        <v>0</v>
      </c>
      <c r="AL413" s="228">
        <v>0</v>
      </c>
      <c r="AM413" s="228">
        <f t="shared" si="597"/>
        <v>-100</v>
      </c>
      <c r="AN413" s="228" cm="1">
        <f t="array" ref="AN413">IF(ISBLANK(G413), 1, IFERROR(MATCH(G413, INDEX(Kat,,1), 0), IFERROR(MATCH(Kat, INDEX(Use,,2), 0), MATCH(Kat, INDEX(Use,,3), 0))))</f>
        <v>1</v>
      </c>
      <c r="AO413" s="246"/>
      <c r="AP413" s="228" cm="1">
        <f t="array" ref="AP413">IF(W413&gt;0, INDEX(Kat, AN413,4), 0)</f>
        <v>0</v>
      </c>
      <c r="AQ413" s="228">
        <f t="shared" si="622"/>
        <v>0</v>
      </c>
      <c r="AR413" s="228" cm="1">
        <f t="array" ref="AR413">IF(X413&gt;0, INDEX(Kat, $AN413, 4+AQ413), 0)</f>
        <v>0</v>
      </c>
      <c r="AS413" s="228" cm="1">
        <f t="array" ref="AS413">IF(X413&gt;0, INDEX(Kat, $AN413, 9+AQ413), 0)</f>
        <v>0</v>
      </c>
      <c r="AT413" s="246"/>
      <c r="AU413" s="262"/>
      <c r="AV413" s="262"/>
      <c r="AW413" s="263"/>
      <c r="AX413" s="263"/>
      <c r="AY413" s="263"/>
      <c r="AZ413" s="263"/>
      <c r="BA413" s="263"/>
      <c r="BB413" s="263"/>
      <c r="BC413" s="263"/>
      <c r="BD413" s="263"/>
      <c r="BE413" s="263"/>
      <c r="BF413" s="263"/>
      <c r="BG413" s="263"/>
      <c r="BH413" s="246"/>
      <c r="BI413" s="228" cm="1">
        <f t="array" ref="BI413">INDEX(Use, $AH413, 4)</f>
        <v>7</v>
      </c>
      <c r="BJ413" s="228">
        <f t="shared" si="598"/>
        <v>32</v>
      </c>
      <c r="BK413" s="228">
        <f t="shared" si="624"/>
        <v>13</v>
      </c>
      <c r="BL413" s="228">
        <f t="shared" si="625"/>
        <v>0</v>
      </c>
      <c r="BM413" s="233" cm="1">
        <f t="array" ref="BM413">L413/IF($M413&gt;0, INDEX($AY$22:$BE$76, $M413+20, $AH413), 1)</f>
        <v>0</v>
      </c>
      <c r="BN413" s="229">
        <f t="shared" si="599"/>
        <v>0</v>
      </c>
      <c r="BO413" s="228">
        <v>35</v>
      </c>
      <c r="BP413" s="229">
        <f t="shared" si="600"/>
        <v>48</v>
      </c>
      <c r="BQ413" s="234">
        <f t="shared" si="601"/>
        <v>3.0748170731707316</v>
      </c>
      <c r="BR413" s="234" cm="1">
        <f t="array" ref="BR413">$BM413 * SUMPRODUCT(INDEX($AV$76:$AX$81,,$AI413),INDEX($AY$76:$BE$81,,$AH413), N($AU$76:$AU$81&gt;$AM413)) / BQ413 / 1000</f>
        <v>0</v>
      </c>
      <c r="BS413" s="231">
        <f t="shared" si="626"/>
        <v>30</v>
      </c>
      <c r="BT413" s="229">
        <f t="shared" si="602"/>
        <v>43</v>
      </c>
      <c r="BU413" s="234">
        <f t="shared" si="603"/>
        <v>3.5018750000000001</v>
      </c>
      <c r="BV413" s="234" cm="1">
        <f t="array" ref="BV413">$BM413 * IF($AH413&lt;=2,
SUMPRODUCT(INDEX($AV$71:$AX$75,,$AI413), INDEX($AY$71:$BE$75,,$AH413), 1 / ($BF$71:$BF$75*BU413 + (1-$BF$71:$BF$75)*BQ413), N($AU$71:$AU$75&gt;$AM413)),
SUMPRODUCT(INDEX($AV$66:$AX$75,,$AI413), INDEX($AY$66:$BE$75,,$AH413), 1 / ($BG$66:$BG$75*BU413 + (1-$BG$66:$BG$75)*BQ413), N($AU$66:$AU$75&gt;$AM413))
) / 1000</f>
        <v>0</v>
      </c>
      <c r="BW413" s="231">
        <f t="shared" si="627"/>
        <v>25</v>
      </c>
      <c r="BX413" s="229">
        <f t="shared" si="604"/>
        <v>38</v>
      </c>
      <c r="BY413" s="234">
        <f t="shared" si="605"/>
        <v>4.0666935483870965</v>
      </c>
      <c r="BZ413" s="234" cm="1">
        <f t="array" ref="BZ413">$BM413 * IF($AH413&lt;=2,
SUMPRODUCT(INDEX($AV$66:$AX$70,,$AI413), INDEX($AY$66:$BE$70,,$AH413), 1 / ($BF$66:$BF$70*BY413 + (1-$BF$66:$BF$70)*BU413), N($AU$66:$AU$70&gt;$AM413)),
SUMPRODUCT(INDEX($AV$56:$AX$65,,$AI413), INDEX($AY$56:$BE$65,,$AH413), 1 / ($BG$56:$BG$65*BY413 + (1-$BG$56:$BG$65)*BU413), N($AU$56:$AU$65&gt;$AM413))
) / 1000</f>
        <v>0</v>
      </c>
      <c r="CA413" s="231">
        <f t="shared" si="628"/>
        <v>20</v>
      </c>
      <c r="CB413" s="229">
        <f t="shared" si="606"/>
        <v>33</v>
      </c>
      <c r="CC413" s="234">
        <f t="shared" si="607"/>
        <v>4.8487499999999999</v>
      </c>
      <c r="CD413" s="234" cm="1">
        <f t="array" ref="CD413">$BM413 * IF($AH413&lt;=2,
SUMPRODUCT(INDEX($AV$61:$AX$65,,$AI413), INDEX($AY$61:$BE$65,,$AH413), 1 / ($BF$61:$BF$65*CC413 + (1-$BF$61:$BF$65)*BY413), N($AU$61:$AU$65&gt;$AM413)),
SUMPRODUCT(INDEX($AV$46:$AX$55,,$AI413), INDEX($AY$46:$BE$55,,$AH413), 1 / ($BG$46:$BG$55*CC413 + (1-$BG$46:$BG$55)*BY413), N($AU$46:$AU$55&gt;$AM413))
) / 1000</f>
        <v>0</v>
      </c>
      <c r="CE413" s="234" cm="1">
        <f t="array" ref="CE413">$BM413 * IF($AH413&lt;=2,
SUMPRODUCT(INDEX($AV$22:$AX$60,,$AI413), INDEX($AY$22:$BE$60,,$AH413), 1 / ($BF$22:$BF$60*CC413), N($AU$22:$AU$60&gt;$AM413)),
SUMPRODUCT(INDEX($AV$22:$AX$45,,$AI413), INDEX($AY$22:$BE$45,,$AH413), 1 / ($BG$22:$BG$45*CC413), N($AU$22:$AU$45&gt;$AM413))
) / 1000</f>
        <v>0</v>
      </c>
      <c r="CF413" s="229">
        <f t="shared" si="608"/>
        <v>0</v>
      </c>
      <c r="CG413" s="246"/>
      <c r="CH413" s="229">
        <f t="shared" si="609"/>
        <v>0</v>
      </c>
      <c r="CI413" s="228">
        <v>35</v>
      </c>
      <c r="CJ413" s="229">
        <f t="shared" si="610"/>
        <v>48</v>
      </c>
      <c r="CK413" s="234">
        <f t="shared" si="611"/>
        <v>3.0748170731707316</v>
      </c>
      <c r="CL413" s="234" cm="1">
        <f t="array" ref="CL413">$BM413 * SUMPRODUCT(INDEX($AV$76:$AX$81,,$AI413),INDEX($AY$76:$BE$81,,$AH413), N($AU$76:$AU$81&gt;$AM413)) / CK413 / 1000</f>
        <v>0</v>
      </c>
      <c r="CM413" s="231">
        <f t="shared" si="629"/>
        <v>30</v>
      </c>
      <c r="CN413" s="229">
        <f t="shared" si="612"/>
        <v>43</v>
      </c>
      <c r="CO413" s="234">
        <f t="shared" si="613"/>
        <v>3.5018750000000001</v>
      </c>
      <c r="CP413" s="234" cm="1">
        <f t="array" ref="CP413">$BM413 * IF($AH413&lt;=2,
SUMPRODUCT(INDEX($AV$71:$AX$75,,$AI413), INDEX($AY$71:$BE$75,,$AH413), 1 / ($BF$71:$BF$75*CO413 + (1-$BF$71:$BF$75)*CK413), N($AU$71:$AU$75&gt;$AM413)),
SUMPRODUCT(INDEX($AV$66:$AX$75,,$AI413), INDEX($AY$66:$BE$75,,$AH413), 1 / ($BG$66:$BG$75*CO413 + (1-$BG$66:$BG$75)*CK413), N($AU$66:$AU$75&gt;$AM413))
) / 1000</f>
        <v>0</v>
      </c>
      <c r="CQ413" s="231">
        <f t="shared" si="630"/>
        <v>25</v>
      </c>
      <c r="CR413" s="229">
        <f t="shared" si="614"/>
        <v>38</v>
      </c>
      <c r="CS413" s="234">
        <f t="shared" si="615"/>
        <v>4.0666935483870965</v>
      </c>
      <c r="CT413" s="234" cm="1">
        <f t="array" ref="CT413">$BM413 * IF($AH413&lt;=2,
SUMPRODUCT(INDEX($AV$66:$AX$70,,$AI413), INDEX($AY$66:$BE$70,,$AH413), 1 / ($BF$66:$BF$70*CS413 + (1-$BF$66:$BF$70)*CO413), N($AU$66:$AU$70&gt;$AM413)),
SUMPRODUCT(INDEX($AV$56:$AX$65,,$AI413), INDEX($AY$56:$BE$65,,$AH413), 1 / ($BG$56:$BG$65*CS413 + (1-$BG$56:$BG$65)*CO413), N($AU$56:$AU$65&gt;$AM413))
) / 1000</f>
        <v>0</v>
      </c>
      <c r="CU413" s="231">
        <f t="shared" si="631"/>
        <v>20</v>
      </c>
      <c r="CV413" s="229">
        <f t="shared" si="616"/>
        <v>33</v>
      </c>
      <c r="CW413" s="234">
        <f t="shared" si="617"/>
        <v>4.8487499999999999</v>
      </c>
      <c r="CX413" s="234" cm="1">
        <f t="array" ref="CX413">$BM413 * IF($AH413&lt;=2,
SUMPRODUCT(INDEX($AV$61:$AX$65,,$AI413), INDEX($AY$61:$BE$65,,$AH413), 1 / ($BF$61:$BF$65*CW413 + (1-$BF$61:$BF$65)*CS413), N($AU$61:$AU$65&gt;$AM413)),
SUMPRODUCT(INDEX($AV$46:$AX$55,,$AI413), INDEX($AY$46:$BE$55,,$AH413), 1 / ($BG$46:$BG$55*CW413 + (1-$BG$46:$BG$55)*CS413), N($AU$46:$AU$55&gt;$AM413))
) / 1000</f>
        <v>0</v>
      </c>
      <c r="CY413" s="234" cm="1">
        <f t="array" ref="CY413">$BM413 * IF($AH413&lt;=2,
SUMPRODUCT(INDEX($AV$22:$AX$60,,$AI413), INDEX($AY$22:$BE$60,,$AH413), 1 / ($BF$22:$BF$60*CW413), N($AU$22:$AU$60&gt;$AM413)),
SUMPRODUCT(INDEX($AV$22:$AX$45,,$AI413), INDEX($AY$22:$BE$45,,$AH413), 1 / ($BG$22:$BG$45*CW413), N($AU$22:$AU$45&gt;$AM413))
) / 1000</f>
        <v>0</v>
      </c>
      <c r="CZ413" s="229">
        <f t="shared" si="618"/>
        <v>0</v>
      </c>
      <c r="DA413" s="246"/>
    </row>
    <row r="414" spans="1:105" s="75" customFormat="1" ht="14.25" customHeight="1" x14ac:dyDescent="0.2">
      <c r="A414" s="230" t="b">
        <f t="shared" si="623"/>
        <v>0</v>
      </c>
      <c r="B414" s="253">
        <v>393</v>
      </c>
      <c r="C414" s="266"/>
      <c r="D414" s="266"/>
      <c r="E414" s="254"/>
      <c r="F414" s="255" t="str">
        <f>IF(ISBLANK(E414), "", VLOOKUP(E414, Z!$A$2:$C$4127, 3, FALSE))</f>
        <v/>
      </c>
      <c r="G414" s="256"/>
      <c r="H414" s="256"/>
      <c r="I414" s="256"/>
      <c r="J414" s="257"/>
      <c r="K414" s="258"/>
      <c r="L414" s="267"/>
      <c r="M414" s="268"/>
      <c r="N414" s="259" t="str" cm="1">
        <f t="array" ref="N414">IF($L414&gt;0, INDEX(Clean,1+AK414,$D$1), "")</f>
        <v/>
      </c>
      <c r="O414" s="260"/>
      <c r="P414" s="260"/>
      <c r="Q414" s="261"/>
      <c r="R414" s="264">
        <f t="shared" si="594"/>
        <v>0</v>
      </c>
      <c r="S414" s="259" t="str" cm="1">
        <f t="array" ref="S414">IF($L414&gt;0, INDEX(Clean,1+AL414,$D$1), "")</f>
        <v/>
      </c>
      <c r="T414" s="260"/>
      <c r="U414" s="260"/>
      <c r="V414" s="261"/>
      <c r="W414" s="267"/>
      <c r="X414" s="267"/>
      <c r="Y414" s="257"/>
      <c r="Z414" s="264">
        <f t="shared" si="595"/>
        <v>0</v>
      </c>
      <c r="AA414" s="269"/>
      <c r="AB414" s="266"/>
      <c r="AC414" s="254"/>
      <c r="AD414" s="255" t="str">
        <f>IF(ISBLANK(AC414), "", VLOOKUP(AC414, Z!$A$2:$C$4127, 3, FALSE))</f>
        <v/>
      </c>
      <c r="AE414" s="270"/>
      <c r="AF414" s="265">
        <f t="shared" si="596"/>
        <v>0</v>
      </c>
      <c r="AG414" s="246"/>
      <c r="AH414" s="228">
        <f t="shared" si="619"/>
        <v>1</v>
      </c>
      <c r="AI414" s="228">
        <f t="shared" si="620"/>
        <v>1</v>
      </c>
      <c r="AJ414" s="228">
        <f t="shared" si="621"/>
        <v>0</v>
      </c>
      <c r="AK414" s="228">
        <v>0</v>
      </c>
      <c r="AL414" s="228">
        <v>0</v>
      </c>
      <c r="AM414" s="228">
        <f t="shared" si="597"/>
        <v>-100</v>
      </c>
      <c r="AN414" s="228" cm="1">
        <f t="array" ref="AN414">IF(ISBLANK(G414), 1, IFERROR(MATCH(G414, INDEX(Kat,,1), 0), IFERROR(MATCH(Kat, INDEX(Use,,2), 0), MATCH(Kat, INDEX(Use,,3), 0))))</f>
        <v>1</v>
      </c>
      <c r="AO414" s="246"/>
      <c r="AP414" s="228" cm="1">
        <f t="array" ref="AP414">IF(W414&gt;0, INDEX(Kat, AN414,4), 0)</f>
        <v>0</v>
      </c>
      <c r="AQ414" s="228">
        <f t="shared" si="622"/>
        <v>0</v>
      </c>
      <c r="AR414" s="228" cm="1">
        <f t="array" ref="AR414">IF(X414&gt;0, INDEX(Kat, $AN414, 4+AQ414), 0)</f>
        <v>0</v>
      </c>
      <c r="AS414" s="228" cm="1">
        <f t="array" ref="AS414">IF(X414&gt;0, INDEX(Kat, $AN414, 9+AQ414), 0)</f>
        <v>0</v>
      </c>
      <c r="AT414" s="246"/>
      <c r="AU414" s="262"/>
      <c r="AV414" s="262"/>
      <c r="AW414" s="263"/>
      <c r="AX414" s="263"/>
      <c r="AY414" s="263"/>
      <c r="AZ414" s="263"/>
      <c r="BA414" s="263"/>
      <c r="BB414" s="263"/>
      <c r="BC414" s="263"/>
      <c r="BD414" s="263"/>
      <c r="BE414" s="263"/>
      <c r="BF414" s="263"/>
      <c r="BG414" s="263"/>
      <c r="BH414" s="246"/>
      <c r="BI414" s="228" cm="1">
        <f t="array" ref="BI414">INDEX(Use, $AH414, 4)</f>
        <v>7</v>
      </c>
      <c r="BJ414" s="228">
        <f t="shared" si="598"/>
        <v>32</v>
      </c>
      <c r="BK414" s="228">
        <f t="shared" si="624"/>
        <v>13</v>
      </c>
      <c r="BL414" s="228">
        <f t="shared" si="625"/>
        <v>0</v>
      </c>
      <c r="BM414" s="233" cm="1">
        <f t="array" ref="BM414">L414/IF($M414&gt;0, INDEX($AY$22:$BE$76, $M414+20, $AH414), 1)</f>
        <v>0</v>
      </c>
      <c r="BN414" s="229">
        <f t="shared" si="599"/>
        <v>0</v>
      </c>
      <c r="BO414" s="228">
        <v>35</v>
      </c>
      <c r="BP414" s="229">
        <f t="shared" si="600"/>
        <v>48</v>
      </c>
      <c r="BQ414" s="234">
        <f t="shared" si="601"/>
        <v>3.0748170731707316</v>
      </c>
      <c r="BR414" s="234" cm="1">
        <f t="array" ref="BR414">$BM414 * SUMPRODUCT(INDEX($AV$76:$AX$81,,$AI414),INDEX($AY$76:$BE$81,,$AH414), N($AU$76:$AU$81&gt;$AM414)) / BQ414 / 1000</f>
        <v>0</v>
      </c>
      <c r="BS414" s="231">
        <f t="shared" si="626"/>
        <v>30</v>
      </c>
      <c r="BT414" s="229">
        <f t="shared" si="602"/>
        <v>43</v>
      </c>
      <c r="BU414" s="234">
        <f t="shared" si="603"/>
        <v>3.5018750000000001</v>
      </c>
      <c r="BV414" s="234" cm="1">
        <f t="array" ref="BV414">$BM414 * IF($AH414&lt;=2,
SUMPRODUCT(INDEX($AV$71:$AX$75,,$AI414), INDEX($AY$71:$BE$75,,$AH414), 1 / ($BF$71:$BF$75*BU414 + (1-$BF$71:$BF$75)*BQ414), N($AU$71:$AU$75&gt;$AM414)),
SUMPRODUCT(INDEX($AV$66:$AX$75,,$AI414), INDEX($AY$66:$BE$75,,$AH414), 1 / ($BG$66:$BG$75*BU414 + (1-$BG$66:$BG$75)*BQ414), N($AU$66:$AU$75&gt;$AM414))
) / 1000</f>
        <v>0</v>
      </c>
      <c r="BW414" s="231">
        <f t="shared" si="627"/>
        <v>25</v>
      </c>
      <c r="BX414" s="229">
        <f t="shared" si="604"/>
        <v>38</v>
      </c>
      <c r="BY414" s="234">
        <f t="shared" si="605"/>
        <v>4.0666935483870965</v>
      </c>
      <c r="BZ414" s="234" cm="1">
        <f t="array" ref="BZ414">$BM414 * IF($AH414&lt;=2,
SUMPRODUCT(INDEX($AV$66:$AX$70,,$AI414), INDEX($AY$66:$BE$70,,$AH414), 1 / ($BF$66:$BF$70*BY414 + (1-$BF$66:$BF$70)*BU414), N($AU$66:$AU$70&gt;$AM414)),
SUMPRODUCT(INDEX($AV$56:$AX$65,,$AI414), INDEX($AY$56:$BE$65,,$AH414), 1 / ($BG$56:$BG$65*BY414 + (1-$BG$56:$BG$65)*BU414), N($AU$56:$AU$65&gt;$AM414))
) / 1000</f>
        <v>0</v>
      </c>
      <c r="CA414" s="231">
        <f t="shared" si="628"/>
        <v>20</v>
      </c>
      <c r="CB414" s="229">
        <f t="shared" si="606"/>
        <v>33</v>
      </c>
      <c r="CC414" s="234">
        <f t="shared" si="607"/>
        <v>4.8487499999999999</v>
      </c>
      <c r="CD414" s="234" cm="1">
        <f t="array" ref="CD414">$BM414 * IF($AH414&lt;=2,
SUMPRODUCT(INDEX($AV$61:$AX$65,,$AI414), INDEX($AY$61:$BE$65,,$AH414), 1 / ($BF$61:$BF$65*CC414 + (1-$BF$61:$BF$65)*BY414), N($AU$61:$AU$65&gt;$AM414)),
SUMPRODUCT(INDEX($AV$46:$AX$55,,$AI414), INDEX($AY$46:$BE$55,,$AH414), 1 / ($BG$46:$BG$55*CC414 + (1-$BG$46:$BG$55)*BY414), N($AU$46:$AU$55&gt;$AM414))
) / 1000</f>
        <v>0</v>
      </c>
      <c r="CE414" s="234" cm="1">
        <f t="array" ref="CE414">$BM414 * IF($AH414&lt;=2,
SUMPRODUCT(INDEX($AV$22:$AX$60,,$AI414), INDEX($AY$22:$BE$60,,$AH414), 1 / ($BF$22:$BF$60*CC414), N($AU$22:$AU$60&gt;$AM414)),
SUMPRODUCT(INDEX($AV$22:$AX$45,,$AI414), INDEX($AY$22:$BE$45,,$AH414), 1 / ($BG$22:$BG$45*CC414), N($AU$22:$AU$45&gt;$AM414))
) / 1000</f>
        <v>0</v>
      </c>
      <c r="CF414" s="229">
        <f t="shared" si="608"/>
        <v>0</v>
      </c>
      <c r="CG414" s="246"/>
      <c r="CH414" s="229">
        <f t="shared" si="609"/>
        <v>0</v>
      </c>
      <c r="CI414" s="228">
        <v>35</v>
      </c>
      <c r="CJ414" s="229">
        <f t="shared" si="610"/>
        <v>48</v>
      </c>
      <c r="CK414" s="234">
        <f t="shared" si="611"/>
        <v>3.0748170731707316</v>
      </c>
      <c r="CL414" s="234" cm="1">
        <f t="array" ref="CL414">$BM414 * SUMPRODUCT(INDEX($AV$76:$AX$81,,$AI414),INDEX($AY$76:$BE$81,,$AH414), N($AU$76:$AU$81&gt;$AM414)) / CK414 / 1000</f>
        <v>0</v>
      </c>
      <c r="CM414" s="231">
        <f t="shared" si="629"/>
        <v>30</v>
      </c>
      <c r="CN414" s="229">
        <f t="shared" si="612"/>
        <v>43</v>
      </c>
      <c r="CO414" s="234">
        <f t="shared" si="613"/>
        <v>3.5018750000000001</v>
      </c>
      <c r="CP414" s="234" cm="1">
        <f t="array" ref="CP414">$BM414 * IF($AH414&lt;=2,
SUMPRODUCT(INDEX($AV$71:$AX$75,,$AI414), INDEX($AY$71:$BE$75,,$AH414), 1 / ($BF$71:$BF$75*CO414 + (1-$BF$71:$BF$75)*CK414), N($AU$71:$AU$75&gt;$AM414)),
SUMPRODUCT(INDEX($AV$66:$AX$75,,$AI414), INDEX($AY$66:$BE$75,,$AH414), 1 / ($BG$66:$BG$75*CO414 + (1-$BG$66:$BG$75)*CK414), N($AU$66:$AU$75&gt;$AM414))
) / 1000</f>
        <v>0</v>
      </c>
      <c r="CQ414" s="231">
        <f t="shared" si="630"/>
        <v>25</v>
      </c>
      <c r="CR414" s="229">
        <f t="shared" si="614"/>
        <v>38</v>
      </c>
      <c r="CS414" s="234">
        <f t="shared" si="615"/>
        <v>4.0666935483870965</v>
      </c>
      <c r="CT414" s="234" cm="1">
        <f t="array" ref="CT414">$BM414 * IF($AH414&lt;=2,
SUMPRODUCT(INDEX($AV$66:$AX$70,,$AI414), INDEX($AY$66:$BE$70,,$AH414), 1 / ($BF$66:$BF$70*CS414 + (1-$BF$66:$BF$70)*CO414), N($AU$66:$AU$70&gt;$AM414)),
SUMPRODUCT(INDEX($AV$56:$AX$65,,$AI414), INDEX($AY$56:$BE$65,,$AH414), 1 / ($BG$56:$BG$65*CS414 + (1-$BG$56:$BG$65)*CO414), N($AU$56:$AU$65&gt;$AM414))
) / 1000</f>
        <v>0</v>
      </c>
      <c r="CU414" s="231">
        <f t="shared" si="631"/>
        <v>20</v>
      </c>
      <c r="CV414" s="229">
        <f t="shared" si="616"/>
        <v>33</v>
      </c>
      <c r="CW414" s="234">
        <f t="shared" si="617"/>
        <v>4.8487499999999999</v>
      </c>
      <c r="CX414" s="234" cm="1">
        <f t="array" ref="CX414">$BM414 * IF($AH414&lt;=2,
SUMPRODUCT(INDEX($AV$61:$AX$65,,$AI414), INDEX($AY$61:$BE$65,,$AH414), 1 / ($BF$61:$BF$65*CW414 + (1-$BF$61:$BF$65)*CS414), N($AU$61:$AU$65&gt;$AM414)),
SUMPRODUCT(INDEX($AV$46:$AX$55,,$AI414), INDEX($AY$46:$BE$55,,$AH414), 1 / ($BG$46:$BG$55*CW414 + (1-$BG$46:$BG$55)*CS414), N($AU$46:$AU$55&gt;$AM414))
) / 1000</f>
        <v>0</v>
      </c>
      <c r="CY414" s="234" cm="1">
        <f t="array" ref="CY414">$BM414 * IF($AH414&lt;=2,
SUMPRODUCT(INDEX($AV$22:$AX$60,,$AI414), INDEX($AY$22:$BE$60,,$AH414), 1 / ($BF$22:$BF$60*CW414), N($AU$22:$AU$60&gt;$AM414)),
SUMPRODUCT(INDEX($AV$22:$AX$45,,$AI414), INDEX($AY$22:$BE$45,,$AH414), 1 / ($BG$22:$BG$45*CW414), N($AU$22:$AU$45&gt;$AM414))
) / 1000</f>
        <v>0</v>
      </c>
      <c r="CZ414" s="229">
        <f t="shared" si="618"/>
        <v>0</v>
      </c>
      <c r="DA414" s="246"/>
    </row>
    <row r="415" spans="1:105" s="75" customFormat="1" ht="14.25" customHeight="1" x14ac:dyDescent="0.2">
      <c r="A415" s="230" t="b">
        <f t="shared" si="623"/>
        <v>0</v>
      </c>
      <c r="B415" s="253">
        <v>394</v>
      </c>
      <c r="C415" s="266"/>
      <c r="D415" s="266"/>
      <c r="E415" s="254"/>
      <c r="F415" s="255" t="str">
        <f>IF(ISBLANK(E415), "", VLOOKUP(E415, Z!$A$2:$C$4127, 3, FALSE))</f>
        <v/>
      </c>
      <c r="G415" s="256"/>
      <c r="H415" s="256"/>
      <c r="I415" s="256"/>
      <c r="J415" s="257"/>
      <c r="K415" s="258"/>
      <c r="L415" s="267"/>
      <c r="M415" s="268"/>
      <c r="N415" s="259" t="str" cm="1">
        <f t="array" ref="N415">IF($L415&gt;0, INDEX(Clean,1+AK415,$D$1), "")</f>
        <v/>
      </c>
      <c r="O415" s="260"/>
      <c r="P415" s="260"/>
      <c r="Q415" s="261"/>
      <c r="R415" s="264">
        <f t="shared" si="594"/>
        <v>0</v>
      </c>
      <c r="S415" s="259" t="str" cm="1">
        <f t="array" ref="S415">IF($L415&gt;0, INDEX(Clean,1+AL415,$D$1), "")</f>
        <v/>
      </c>
      <c r="T415" s="260"/>
      <c r="U415" s="260"/>
      <c r="V415" s="261"/>
      <c r="W415" s="267"/>
      <c r="X415" s="267"/>
      <c r="Y415" s="257"/>
      <c r="Z415" s="264">
        <f t="shared" si="595"/>
        <v>0</v>
      </c>
      <c r="AA415" s="269"/>
      <c r="AB415" s="266"/>
      <c r="AC415" s="254"/>
      <c r="AD415" s="255" t="str">
        <f>IF(ISBLANK(AC415), "", VLOOKUP(AC415, Z!$A$2:$C$4127, 3, FALSE))</f>
        <v/>
      </c>
      <c r="AE415" s="270"/>
      <c r="AF415" s="265">
        <f t="shared" si="596"/>
        <v>0</v>
      </c>
      <c r="AG415" s="246"/>
      <c r="AH415" s="228">
        <f t="shared" si="619"/>
        <v>1</v>
      </c>
      <c r="AI415" s="228">
        <f t="shared" si="620"/>
        <v>1</v>
      </c>
      <c r="AJ415" s="228">
        <f t="shared" si="621"/>
        <v>0</v>
      </c>
      <c r="AK415" s="228">
        <v>0</v>
      </c>
      <c r="AL415" s="228">
        <v>0</v>
      </c>
      <c r="AM415" s="228">
        <f t="shared" si="597"/>
        <v>-100</v>
      </c>
      <c r="AN415" s="228" cm="1">
        <f t="array" ref="AN415">IF(ISBLANK(G415), 1, IFERROR(MATCH(G415, INDEX(Kat,,1), 0), IFERROR(MATCH(Kat, INDEX(Use,,2), 0), MATCH(Kat, INDEX(Use,,3), 0))))</f>
        <v>1</v>
      </c>
      <c r="AO415" s="246"/>
      <c r="AP415" s="228" cm="1">
        <f t="array" ref="AP415">IF(W415&gt;0, INDEX(Kat, AN415,4), 0)</f>
        <v>0</v>
      </c>
      <c r="AQ415" s="228">
        <f t="shared" si="622"/>
        <v>0</v>
      </c>
      <c r="AR415" s="228" cm="1">
        <f t="array" ref="AR415">IF(X415&gt;0, INDEX(Kat, $AN415, 4+AQ415), 0)</f>
        <v>0</v>
      </c>
      <c r="AS415" s="228" cm="1">
        <f t="array" ref="AS415">IF(X415&gt;0, INDEX(Kat, $AN415, 9+AQ415), 0)</f>
        <v>0</v>
      </c>
      <c r="AT415" s="246"/>
      <c r="AU415" s="262"/>
      <c r="AV415" s="262"/>
      <c r="AW415" s="263"/>
      <c r="AX415" s="263"/>
      <c r="AY415" s="263"/>
      <c r="AZ415" s="263"/>
      <c r="BA415" s="263"/>
      <c r="BB415" s="263"/>
      <c r="BC415" s="263"/>
      <c r="BD415" s="263"/>
      <c r="BE415" s="263"/>
      <c r="BF415" s="263"/>
      <c r="BG415" s="263"/>
      <c r="BH415" s="246"/>
      <c r="BI415" s="228" cm="1">
        <f t="array" ref="BI415">INDEX(Use, $AH415, 4)</f>
        <v>7</v>
      </c>
      <c r="BJ415" s="228">
        <f t="shared" si="598"/>
        <v>32</v>
      </c>
      <c r="BK415" s="228">
        <f t="shared" si="624"/>
        <v>13</v>
      </c>
      <c r="BL415" s="228">
        <f t="shared" si="625"/>
        <v>0</v>
      </c>
      <c r="BM415" s="233" cm="1">
        <f t="array" ref="BM415">L415/IF($M415&gt;0, INDEX($AY$22:$BE$76, $M415+20, $AH415), 1)</f>
        <v>0</v>
      </c>
      <c r="BN415" s="229">
        <f t="shared" si="599"/>
        <v>0</v>
      </c>
      <c r="BO415" s="228">
        <v>35</v>
      </c>
      <c r="BP415" s="229">
        <f t="shared" si="600"/>
        <v>48</v>
      </c>
      <c r="BQ415" s="234">
        <f t="shared" si="601"/>
        <v>3.0748170731707316</v>
      </c>
      <c r="BR415" s="234" cm="1">
        <f t="array" ref="BR415">$BM415 * SUMPRODUCT(INDEX($AV$76:$AX$81,,$AI415),INDEX($AY$76:$BE$81,,$AH415), N($AU$76:$AU$81&gt;$AM415)) / BQ415 / 1000</f>
        <v>0</v>
      </c>
      <c r="BS415" s="231">
        <f t="shared" si="626"/>
        <v>30</v>
      </c>
      <c r="BT415" s="229">
        <f t="shared" si="602"/>
        <v>43</v>
      </c>
      <c r="BU415" s="234">
        <f t="shared" si="603"/>
        <v>3.5018750000000001</v>
      </c>
      <c r="BV415" s="234" cm="1">
        <f t="array" ref="BV415">$BM415 * IF($AH415&lt;=2,
SUMPRODUCT(INDEX($AV$71:$AX$75,,$AI415), INDEX($AY$71:$BE$75,,$AH415), 1 / ($BF$71:$BF$75*BU415 + (1-$BF$71:$BF$75)*BQ415), N($AU$71:$AU$75&gt;$AM415)),
SUMPRODUCT(INDEX($AV$66:$AX$75,,$AI415), INDEX($AY$66:$BE$75,,$AH415), 1 / ($BG$66:$BG$75*BU415 + (1-$BG$66:$BG$75)*BQ415), N($AU$66:$AU$75&gt;$AM415))
) / 1000</f>
        <v>0</v>
      </c>
      <c r="BW415" s="231">
        <f t="shared" si="627"/>
        <v>25</v>
      </c>
      <c r="BX415" s="229">
        <f t="shared" si="604"/>
        <v>38</v>
      </c>
      <c r="BY415" s="234">
        <f t="shared" si="605"/>
        <v>4.0666935483870965</v>
      </c>
      <c r="BZ415" s="234" cm="1">
        <f t="array" ref="BZ415">$BM415 * IF($AH415&lt;=2,
SUMPRODUCT(INDEX($AV$66:$AX$70,,$AI415), INDEX($AY$66:$BE$70,,$AH415), 1 / ($BF$66:$BF$70*BY415 + (1-$BF$66:$BF$70)*BU415), N($AU$66:$AU$70&gt;$AM415)),
SUMPRODUCT(INDEX($AV$56:$AX$65,,$AI415), INDEX($AY$56:$BE$65,,$AH415), 1 / ($BG$56:$BG$65*BY415 + (1-$BG$56:$BG$65)*BU415), N($AU$56:$AU$65&gt;$AM415))
) / 1000</f>
        <v>0</v>
      </c>
      <c r="CA415" s="231">
        <f t="shared" si="628"/>
        <v>20</v>
      </c>
      <c r="CB415" s="229">
        <f t="shared" si="606"/>
        <v>33</v>
      </c>
      <c r="CC415" s="234">
        <f t="shared" si="607"/>
        <v>4.8487499999999999</v>
      </c>
      <c r="CD415" s="234" cm="1">
        <f t="array" ref="CD415">$BM415 * IF($AH415&lt;=2,
SUMPRODUCT(INDEX($AV$61:$AX$65,,$AI415), INDEX($AY$61:$BE$65,,$AH415), 1 / ($BF$61:$BF$65*CC415 + (1-$BF$61:$BF$65)*BY415), N($AU$61:$AU$65&gt;$AM415)),
SUMPRODUCT(INDEX($AV$46:$AX$55,,$AI415), INDEX($AY$46:$BE$55,,$AH415), 1 / ($BG$46:$BG$55*CC415 + (1-$BG$46:$BG$55)*BY415), N($AU$46:$AU$55&gt;$AM415))
) / 1000</f>
        <v>0</v>
      </c>
      <c r="CE415" s="234" cm="1">
        <f t="array" ref="CE415">$BM415 * IF($AH415&lt;=2,
SUMPRODUCT(INDEX($AV$22:$AX$60,,$AI415), INDEX($AY$22:$BE$60,,$AH415), 1 / ($BF$22:$BF$60*CC415), N($AU$22:$AU$60&gt;$AM415)),
SUMPRODUCT(INDEX($AV$22:$AX$45,,$AI415), INDEX($AY$22:$BE$45,,$AH415), 1 / ($BG$22:$BG$45*CC415), N($AU$22:$AU$45&gt;$AM415))
) / 1000</f>
        <v>0</v>
      </c>
      <c r="CF415" s="229">
        <f t="shared" si="608"/>
        <v>0</v>
      </c>
      <c r="CG415" s="246"/>
      <c r="CH415" s="229">
        <f t="shared" si="609"/>
        <v>0</v>
      </c>
      <c r="CI415" s="228">
        <v>35</v>
      </c>
      <c r="CJ415" s="229">
        <f t="shared" si="610"/>
        <v>48</v>
      </c>
      <c r="CK415" s="234">
        <f t="shared" si="611"/>
        <v>3.0748170731707316</v>
      </c>
      <c r="CL415" s="234" cm="1">
        <f t="array" ref="CL415">$BM415 * SUMPRODUCT(INDEX($AV$76:$AX$81,,$AI415),INDEX($AY$76:$BE$81,,$AH415), N($AU$76:$AU$81&gt;$AM415)) / CK415 / 1000</f>
        <v>0</v>
      </c>
      <c r="CM415" s="231">
        <f t="shared" si="629"/>
        <v>30</v>
      </c>
      <c r="CN415" s="229">
        <f t="shared" si="612"/>
        <v>43</v>
      </c>
      <c r="CO415" s="234">
        <f t="shared" si="613"/>
        <v>3.5018750000000001</v>
      </c>
      <c r="CP415" s="234" cm="1">
        <f t="array" ref="CP415">$BM415 * IF($AH415&lt;=2,
SUMPRODUCT(INDEX($AV$71:$AX$75,,$AI415), INDEX($AY$71:$BE$75,,$AH415), 1 / ($BF$71:$BF$75*CO415 + (1-$BF$71:$BF$75)*CK415), N($AU$71:$AU$75&gt;$AM415)),
SUMPRODUCT(INDEX($AV$66:$AX$75,,$AI415), INDEX($AY$66:$BE$75,,$AH415), 1 / ($BG$66:$BG$75*CO415 + (1-$BG$66:$BG$75)*CK415), N($AU$66:$AU$75&gt;$AM415))
) / 1000</f>
        <v>0</v>
      </c>
      <c r="CQ415" s="231">
        <f t="shared" si="630"/>
        <v>25</v>
      </c>
      <c r="CR415" s="229">
        <f t="shared" si="614"/>
        <v>38</v>
      </c>
      <c r="CS415" s="234">
        <f t="shared" si="615"/>
        <v>4.0666935483870965</v>
      </c>
      <c r="CT415" s="234" cm="1">
        <f t="array" ref="CT415">$BM415 * IF($AH415&lt;=2,
SUMPRODUCT(INDEX($AV$66:$AX$70,,$AI415), INDEX($AY$66:$BE$70,,$AH415), 1 / ($BF$66:$BF$70*CS415 + (1-$BF$66:$BF$70)*CO415), N($AU$66:$AU$70&gt;$AM415)),
SUMPRODUCT(INDEX($AV$56:$AX$65,,$AI415), INDEX($AY$56:$BE$65,,$AH415), 1 / ($BG$56:$BG$65*CS415 + (1-$BG$56:$BG$65)*CO415), N($AU$56:$AU$65&gt;$AM415))
) / 1000</f>
        <v>0</v>
      </c>
      <c r="CU415" s="231">
        <f t="shared" si="631"/>
        <v>20</v>
      </c>
      <c r="CV415" s="229">
        <f t="shared" si="616"/>
        <v>33</v>
      </c>
      <c r="CW415" s="234">
        <f t="shared" si="617"/>
        <v>4.8487499999999999</v>
      </c>
      <c r="CX415" s="234" cm="1">
        <f t="array" ref="CX415">$BM415 * IF($AH415&lt;=2,
SUMPRODUCT(INDEX($AV$61:$AX$65,,$AI415), INDEX($AY$61:$BE$65,,$AH415), 1 / ($BF$61:$BF$65*CW415 + (1-$BF$61:$BF$65)*CS415), N($AU$61:$AU$65&gt;$AM415)),
SUMPRODUCT(INDEX($AV$46:$AX$55,,$AI415), INDEX($AY$46:$BE$55,,$AH415), 1 / ($BG$46:$BG$55*CW415 + (1-$BG$46:$BG$55)*CS415), N($AU$46:$AU$55&gt;$AM415))
) / 1000</f>
        <v>0</v>
      </c>
      <c r="CY415" s="234" cm="1">
        <f t="array" ref="CY415">$BM415 * IF($AH415&lt;=2,
SUMPRODUCT(INDEX($AV$22:$AX$60,,$AI415), INDEX($AY$22:$BE$60,,$AH415), 1 / ($BF$22:$BF$60*CW415), N($AU$22:$AU$60&gt;$AM415)),
SUMPRODUCT(INDEX($AV$22:$AX$45,,$AI415), INDEX($AY$22:$BE$45,,$AH415), 1 / ($BG$22:$BG$45*CW415), N($AU$22:$AU$45&gt;$AM415))
) / 1000</f>
        <v>0</v>
      </c>
      <c r="CZ415" s="229">
        <f t="shared" si="618"/>
        <v>0</v>
      </c>
      <c r="DA415" s="246"/>
    </row>
    <row r="416" spans="1:105" s="75" customFormat="1" ht="14.25" customHeight="1" x14ac:dyDescent="0.2">
      <c r="A416" s="230" t="b">
        <f t="shared" si="623"/>
        <v>0</v>
      </c>
      <c r="B416" s="253">
        <v>395</v>
      </c>
      <c r="C416" s="266"/>
      <c r="D416" s="266"/>
      <c r="E416" s="254"/>
      <c r="F416" s="255" t="str">
        <f>IF(ISBLANK(E416), "", VLOOKUP(E416, Z!$A$2:$C$4127, 3, FALSE))</f>
        <v/>
      </c>
      <c r="G416" s="256"/>
      <c r="H416" s="256"/>
      <c r="I416" s="256"/>
      <c r="J416" s="257"/>
      <c r="K416" s="258"/>
      <c r="L416" s="267"/>
      <c r="M416" s="268"/>
      <c r="N416" s="259" t="str" cm="1">
        <f t="array" ref="N416">IF($L416&gt;0, INDEX(Clean,1+AK416,$D$1), "")</f>
        <v/>
      </c>
      <c r="O416" s="260"/>
      <c r="P416" s="260"/>
      <c r="Q416" s="261"/>
      <c r="R416" s="264">
        <f t="shared" si="594"/>
        <v>0</v>
      </c>
      <c r="S416" s="259" t="str" cm="1">
        <f t="array" ref="S416">IF($L416&gt;0, INDEX(Clean,1+AL416,$D$1), "")</f>
        <v/>
      </c>
      <c r="T416" s="260"/>
      <c r="U416" s="260"/>
      <c r="V416" s="261"/>
      <c r="W416" s="267"/>
      <c r="X416" s="267"/>
      <c r="Y416" s="257"/>
      <c r="Z416" s="264">
        <f t="shared" si="595"/>
        <v>0</v>
      </c>
      <c r="AA416" s="269"/>
      <c r="AB416" s="266"/>
      <c r="AC416" s="254"/>
      <c r="AD416" s="255" t="str">
        <f>IF(ISBLANK(AC416), "", VLOOKUP(AC416, Z!$A$2:$C$4127, 3, FALSE))</f>
        <v/>
      </c>
      <c r="AE416" s="270"/>
      <c r="AF416" s="265">
        <f t="shared" si="596"/>
        <v>0</v>
      </c>
      <c r="AG416" s="246"/>
      <c r="AH416" s="228">
        <f t="shared" si="619"/>
        <v>1</v>
      </c>
      <c r="AI416" s="228">
        <f t="shared" si="620"/>
        <v>1</v>
      </c>
      <c r="AJ416" s="228">
        <f t="shared" si="621"/>
        <v>0</v>
      </c>
      <c r="AK416" s="228">
        <v>0</v>
      </c>
      <c r="AL416" s="228">
        <v>0</v>
      </c>
      <c r="AM416" s="228">
        <f t="shared" si="597"/>
        <v>-100</v>
      </c>
      <c r="AN416" s="228" cm="1">
        <f t="array" ref="AN416">IF(ISBLANK(G416), 1, IFERROR(MATCH(G416, INDEX(Kat,,1), 0), IFERROR(MATCH(Kat, INDEX(Use,,2), 0), MATCH(Kat, INDEX(Use,,3), 0))))</f>
        <v>1</v>
      </c>
      <c r="AO416" s="246"/>
      <c r="AP416" s="228" cm="1">
        <f t="array" ref="AP416">IF(W416&gt;0, INDEX(Kat, AN416,4), 0)</f>
        <v>0</v>
      </c>
      <c r="AQ416" s="228">
        <f t="shared" si="622"/>
        <v>0</v>
      </c>
      <c r="AR416" s="228" cm="1">
        <f t="array" ref="AR416">IF(X416&gt;0, INDEX(Kat, $AN416, 4+AQ416), 0)</f>
        <v>0</v>
      </c>
      <c r="AS416" s="228" cm="1">
        <f t="array" ref="AS416">IF(X416&gt;0, INDEX(Kat, $AN416, 9+AQ416), 0)</f>
        <v>0</v>
      </c>
      <c r="AT416" s="246"/>
      <c r="AU416" s="262"/>
      <c r="AV416" s="262"/>
      <c r="AW416" s="263"/>
      <c r="AX416" s="263"/>
      <c r="AY416" s="263"/>
      <c r="AZ416" s="263"/>
      <c r="BA416" s="263"/>
      <c r="BB416" s="263"/>
      <c r="BC416" s="263"/>
      <c r="BD416" s="263"/>
      <c r="BE416" s="263"/>
      <c r="BF416" s="263"/>
      <c r="BG416" s="263"/>
      <c r="BH416" s="246"/>
      <c r="BI416" s="228" cm="1">
        <f t="array" ref="BI416">INDEX(Use, $AH416, 4)</f>
        <v>7</v>
      </c>
      <c r="BJ416" s="228">
        <f t="shared" si="598"/>
        <v>32</v>
      </c>
      <c r="BK416" s="228">
        <f t="shared" si="624"/>
        <v>13</v>
      </c>
      <c r="BL416" s="228">
        <f t="shared" si="625"/>
        <v>0</v>
      </c>
      <c r="BM416" s="233" cm="1">
        <f t="array" ref="BM416">L416/IF($M416&gt;0, INDEX($AY$22:$BE$76, $M416+20, $AH416), 1)</f>
        <v>0</v>
      </c>
      <c r="BN416" s="229">
        <f t="shared" si="599"/>
        <v>0</v>
      </c>
      <c r="BO416" s="228">
        <v>35</v>
      </c>
      <c r="BP416" s="229">
        <f t="shared" si="600"/>
        <v>48</v>
      </c>
      <c r="BQ416" s="234">
        <f t="shared" si="601"/>
        <v>3.0748170731707316</v>
      </c>
      <c r="BR416" s="234" cm="1">
        <f t="array" ref="BR416">$BM416 * SUMPRODUCT(INDEX($AV$76:$AX$81,,$AI416),INDEX($AY$76:$BE$81,,$AH416), N($AU$76:$AU$81&gt;$AM416)) / BQ416 / 1000</f>
        <v>0</v>
      </c>
      <c r="BS416" s="231">
        <f t="shared" si="626"/>
        <v>30</v>
      </c>
      <c r="BT416" s="229">
        <f t="shared" si="602"/>
        <v>43</v>
      </c>
      <c r="BU416" s="234">
        <f t="shared" si="603"/>
        <v>3.5018750000000001</v>
      </c>
      <c r="BV416" s="234" cm="1">
        <f t="array" ref="BV416">$BM416 * IF($AH416&lt;=2,
SUMPRODUCT(INDEX($AV$71:$AX$75,,$AI416), INDEX($AY$71:$BE$75,,$AH416), 1 / ($BF$71:$BF$75*BU416 + (1-$BF$71:$BF$75)*BQ416), N($AU$71:$AU$75&gt;$AM416)),
SUMPRODUCT(INDEX($AV$66:$AX$75,,$AI416), INDEX($AY$66:$BE$75,,$AH416), 1 / ($BG$66:$BG$75*BU416 + (1-$BG$66:$BG$75)*BQ416), N($AU$66:$AU$75&gt;$AM416))
) / 1000</f>
        <v>0</v>
      </c>
      <c r="BW416" s="231">
        <f t="shared" si="627"/>
        <v>25</v>
      </c>
      <c r="BX416" s="229">
        <f t="shared" si="604"/>
        <v>38</v>
      </c>
      <c r="BY416" s="234">
        <f t="shared" si="605"/>
        <v>4.0666935483870965</v>
      </c>
      <c r="BZ416" s="234" cm="1">
        <f t="array" ref="BZ416">$BM416 * IF($AH416&lt;=2,
SUMPRODUCT(INDEX($AV$66:$AX$70,,$AI416), INDEX($AY$66:$BE$70,,$AH416), 1 / ($BF$66:$BF$70*BY416 + (1-$BF$66:$BF$70)*BU416), N($AU$66:$AU$70&gt;$AM416)),
SUMPRODUCT(INDEX($AV$56:$AX$65,,$AI416), INDEX($AY$56:$BE$65,,$AH416), 1 / ($BG$56:$BG$65*BY416 + (1-$BG$56:$BG$65)*BU416), N($AU$56:$AU$65&gt;$AM416))
) / 1000</f>
        <v>0</v>
      </c>
      <c r="CA416" s="231">
        <f t="shared" si="628"/>
        <v>20</v>
      </c>
      <c r="CB416" s="229">
        <f t="shared" si="606"/>
        <v>33</v>
      </c>
      <c r="CC416" s="234">
        <f t="shared" si="607"/>
        <v>4.8487499999999999</v>
      </c>
      <c r="CD416" s="234" cm="1">
        <f t="array" ref="CD416">$BM416 * IF($AH416&lt;=2,
SUMPRODUCT(INDEX($AV$61:$AX$65,,$AI416), INDEX($AY$61:$BE$65,,$AH416), 1 / ($BF$61:$BF$65*CC416 + (1-$BF$61:$BF$65)*BY416), N($AU$61:$AU$65&gt;$AM416)),
SUMPRODUCT(INDEX($AV$46:$AX$55,,$AI416), INDEX($AY$46:$BE$55,,$AH416), 1 / ($BG$46:$BG$55*CC416 + (1-$BG$46:$BG$55)*BY416), N($AU$46:$AU$55&gt;$AM416))
) / 1000</f>
        <v>0</v>
      </c>
      <c r="CE416" s="234" cm="1">
        <f t="array" ref="CE416">$BM416 * IF($AH416&lt;=2,
SUMPRODUCT(INDEX($AV$22:$AX$60,,$AI416), INDEX($AY$22:$BE$60,,$AH416), 1 / ($BF$22:$BF$60*CC416), N($AU$22:$AU$60&gt;$AM416)),
SUMPRODUCT(INDEX($AV$22:$AX$45,,$AI416), INDEX($AY$22:$BE$45,,$AH416), 1 / ($BG$22:$BG$45*CC416), N($AU$22:$AU$45&gt;$AM416))
) / 1000</f>
        <v>0</v>
      </c>
      <c r="CF416" s="229">
        <f t="shared" si="608"/>
        <v>0</v>
      </c>
      <c r="CG416" s="246"/>
      <c r="CH416" s="229">
        <f t="shared" si="609"/>
        <v>0</v>
      </c>
      <c r="CI416" s="228">
        <v>35</v>
      </c>
      <c r="CJ416" s="229">
        <f t="shared" si="610"/>
        <v>48</v>
      </c>
      <c r="CK416" s="234">
        <f t="shared" si="611"/>
        <v>3.0748170731707316</v>
      </c>
      <c r="CL416" s="234" cm="1">
        <f t="array" ref="CL416">$BM416 * SUMPRODUCT(INDEX($AV$76:$AX$81,,$AI416),INDEX($AY$76:$BE$81,,$AH416), N($AU$76:$AU$81&gt;$AM416)) / CK416 / 1000</f>
        <v>0</v>
      </c>
      <c r="CM416" s="231">
        <f t="shared" si="629"/>
        <v>30</v>
      </c>
      <c r="CN416" s="229">
        <f t="shared" si="612"/>
        <v>43</v>
      </c>
      <c r="CO416" s="234">
        <f t="shared" si="613"/>
        <v>3.5018750000000001</v>
      </c>
      <c r="CP416" s="234" cm="1">
        <f t="array" ref="CP416">$BM416 * IF($AH416&lt;=2,
SUMPRODUCT(INDEX($AV$71:$AX$75,,$AI416), INDEX($AY$71:$BE$75,,$AH416), 1 / ($BF$71:$BF$75*CO416 + (1-$BF$71:$BF$75)*CK416), N($AU$71:$AU$75&gt;$AM416)),
SUMPRODUCT(INDEX($AV$66:$AX$75,,$AI416), INDEX($AY$66:$BE$75,,$AH416), 1 / ($BG$66:$BG$75*CO416 + (1-$BG$66:$BG$75)*CK416), N($AU$66:$AU$75&gt;$AM416))
) / 1000</f>
        <v>0</v>
      </c>
      <c r="CQ416" s="231">
        <f t="shared" si="630"/>
        <v>25</v>
      </c>
      <c r="CR416" s="229">
        <f t="shared" si="614"/>
        <v>38</v>
      </c>
      <c r="CS416" s="234">
        <f t="shared" si="615"/>
        <v>4.0666935483870965</v>
      </c>
      <c r="CT416" s="234" cm="1">
        <f t="array" ref="CT416">$BM416 * IF($AH416&lt;=2,
SUMPRODUCT(INDEX($AV$66:$AX$70,,$AI416), INDEX($AY$66:$BE$70,,$AH416), 1 / ($BF$66:$BF$70*CS416 + (1-$BF$66:$BF$70)*CO416), N($AU$66:$AU$70&gt;$AM416)),
SUMPRODUCT(INDEX($AV$56:$AX$65,,$AI416), INDEX($AY$56:$BE$65,,$AH416), 1 / ($BG$56:$BG$65*CS416 + (1-$BG$56:$BG$65)*CO416), N($AU$56:$AU$65&gt;$AM416))
) / 1000</f>
        <v>0</v>
      </c>
      <c r="CU416" s="231">
        <f t="shared" si="631"/>
        <v>20</v>
      </c>
      <c r="CV416" s="229">
        <f t="shared" si="616"/>
        <v>33</v>
      </c>
      <c r="CW416" s="234">
        <f t="shared" si="617"/>
        <v>4.8487499999999999</v>
      </c>
      <c r="CX416" s="234" cm="1">
        <f t="array" ref="CX416">$BM416 * IF($AH416&lt;=2,
SUMPRODUCT(INDEX($AV$61:$AX$65,,$AI416), INDEX($AY$61:$BE$65,,$AH416), 1 / ($BF$61:$BF$65*CW416 + (1-$BF$61:$BF$65)*CS416), N($AU$61:$AU$65&gt;$AM416)),
SUMPRODUCT(INDEX($AV$46:$AX$55,,$AI416), INDEX($AY$46:$BE$55,,$AH416), 1 / ($BG$46:$BG$55*CW416 + (1-$BG$46:$BG$55)*CS416), N($AU$46:$AU$55&gt;$AM416))
) / 1000</f>
        <v>0</v>
      </c>
      <c r="CY416" s="234" cm="1">
        <f t="array" ref="CY416">$BM416 * IF($AH416&lt;=2,
SUMPRODUCT(INDEX($AV$22:$AX$60,,$AI416), INDEX($AY$22:$BE$60,,$AH416), 1 / ($BF$22:$BF$60*CW416), N($AU$22:$AU$60&gt;$AM416)),
SUMPRODUCT(INDEX($AV$22:$AX$45,,$AI416), INDEX($AY$22:$BE$45,,$AH416), 1 / ($BG$22:$BG$45*CW416), N($AU$22:$AU$45&gt;$AM416))
) / 1000</f>
        <v>0</v>
      </c>
      <c r="CZ416" s="229">
        <f t="shared" si="618"/>
        <v>0</v>
      </c>
      <c r="DA416" s="246"/>
    </row>
    <row r="417" spans="1:105" s="75" customFormat="1" ht="14.25" customHeight="1" x14ac:dyDescent="0.2">
      <c r="A417" s="230" t="b">
        <f t="shared" si="623"/>
        <v>0</v>
      </c>
      <c r="B417" s="253">
        <v>396</v>
      </c>
      <c r="C417" s="266"/>
      <c r="D417" s="266"/>
      <c r="E417" s="254"/>
      <c r="F417" s="255" t="str">
        <f>IF(ISBLANK(E417), "", VLOOKUP(E417, Z!$A$2:$C$4127, 3, FALSE))</f>
        <v/>
      </c>
      <c r="G417" s="256"/>
      <c r="H417" s="256"/>
      <c r="I417" s="256"/>
      <c r="J417" s="257"/>
      <c r="K417" s="258"/>
      <c r="L417" s="267"/>
      <c r="M417" s="268"/>
      <c r="N417" s="259" t="str" cm="1">
        <f t="array" ref="N417">IF($L417&gt;0, INDEX(Clean,1+AK417,$D$1), "")</f>
        <v/>
      </c>
      <c r="O417" s="260"/>
      <c r="P417" s="260"/>
      <c r="Q417" s="261"/>
      <c r="R417" s="264">
        <f t="shared" si="594"/>
        <v>0</v>
      </c>
      <c r="S417" s="259" t="str" cm="1">
        <f t="array" ref="S417">IF($L417&gt;0, INDEX(Clean,1+AL417,$D$1), "")</f>
        <v/>
      </c>
      <c r="T417" s="260"/>
      <c r="U417" s="260"/>
      <c r="V417" s="261"/>
      <c r="W417" s="267"/>
      <c r="X417" s="267"/>
      <c r="Y417" s="257"/>
      <c r="Z417" s="264">
        <f t="shared" si="595"/>
        <v>0</v>
      </c>
      <c r="AA417" s="269"/>
      <c r="AB417" s="266"/>
      <c r="AC417" s="254"/>
      <c r="AD417" s="255" t="str">
        <f>IF(ISBLANK(AC417), "", VLOOKUP(AC417, Z!$A$2:$C$4127, 3, FALSE))</f>
        <v/>
      </c>
      <c r="AE417" s="270"/>
      <c r="AF417" s="265">
        <f t="shared" si="596"/>
        <v>0</v>
      </c>
      <c r="AG417" s="246"/>
      <c r="AH417" s="228">
        <f t="shared" si="619"/>
        <v>1</v>
      </c>
      <c r="AI417" s="228">
        <f t="shared" si="620"/>
        <v>1</v>
      </c>
      <c r="AJ417" s="228">
        <f t="shared" si="621"/>
        <v>0</v>
      </c>
      <c r="AK417" s="228">
        <v>0</v>
      </c>
      <c r="AL417" s="228">
        <v>0</v>
      </c>
      <c r="AM417" s="228">
        <f t="shared" si="597"/>
        <v>-100</v>
      </c>
      <c r="AN417" s="228" cm="1">
        <f t="array" ref="AN417">IF(ISBLANK(G417), 1, IFERROR(MATCH(G417, INDEX(Kat,,1), 0), IFERROR(MATCH(Kat, INDEX(Use,,2), 0), MATCH(Kat, INDEX(Use,,3), 0))))</f>
        <v>1</v>
      </c>
      <c r="AO417" s="246"/>
      <c r="AP417" s="228" cm="1">
        <f t="array" ref="AP417">IF(W417&gt;0, INDEX(Kat, AN417,4), 0)</f>
        <v>0</v>
      </c>
      <c r="AQ417" s="228">
        <f t="shared" si="622"/>
        <v>0</v>
      </c>
      <c r="AR417" s="228" cm="1">
        <f t="array" ref="AR417">IF(X417&gt;0, INDEX(Kat, $AN417, 4+AQ417), 0)</f>
        <v>0</v>
      </c>
      <c r="AS417" s="228" cm="1">
        <f t="array" ref="AS417">IF(X417&gt;0, INDEX(Kat, $AN417, 9+AQ417), 0)</f>
        <v>0</v>
      </c>
      <c r="AT417" s="246"/>
      <c r="AU417" s="262"/>
      <c r="AV417" s="262"/>
      <c r="AW417" s="263"/>
      <c r="AX417" s="263"/>
      <c r="AY417" s="263"/>
      <c r="AZ417" s="263"/>
      <c r="BA417" s="263"/>
      <c r="BB417" s="263"/>
      <c r="BC417" s="263"/>
      <c r="BD417" s="263"/>
      <c r="BE417" s="263"/>
      <c r="BF417" s="263"/>
      <c r="BG417" s="263"/>
      <c r="BH417" s="246"/>
      <c r="BI417" s="228" cm="1">
        <f t="array" ref="BI417">INDEX(Use, $AH417, 4)</f>
        <v>7</v>
      </c>
      <c r="BJ417" s="228">
        <f t="shared" si="598"/>
        <v>32</v>
      </c>
      <c r="BK417" s="228">
        <f t="shared" si="624"/>
        <v>13</v>
      </c>
      <c r="BL417" s="228">
        <f t="shared" si="625"/>
        <v>0</v>
      </c>
      <c r="BM417" s="233" cm="1">
        <f t="array" ref="BM417">L417/IF($M417&gt;0, INDEX($AY$22:$BE$76, $M417+20, $AH417), 1)</f>
        <v>0</v>
      </c>
      <c r="BN417" s="229">
        <f t="shared" si="599"/>
        <v>0</v>
      </c>
      <c r="BO417" s="228">
        <v>35</v>
      </c>
      <c r="BP417" s="229">
        <f t="shared" si="600"/>
        <v>48</v>
      </c>
      <c r="BQ417" s="234">
        <f t="shared" si="601"/>
        <v>3.0748170731707316</v>
      </c>
      <c r="BR417" s="234" cm="1">
        <f t="array" ref="BR417">$BM417 * SUMPRODUCT(INDEX($AV$76:$AX$81,,$AI417),INDEX($AY$76:$BE$81,,$AH417), N($AU$76:$AU$81&gt;$AM417)) / BQ417 / 1000</f>
        <v>0</v>
      </c>
      <c r="BS417" s="231">
        <f t="shared" si="626"/>
        <v>30</v>
      </c>
      <c r="BT417" s="229">
        <f t="shared" si="602"/>
        <v>43</v>
      </c>
      <c r="BU417" s="234">
        <f t="shared" si="603"/>
        <v>3.5018750000000001</v>
      </c>
      <c r="BV417" s="234" cm="1">
        <f t="array" ref="BV417">$BM417 * IF($AH417&lt;=2,
SUMPRODUCT(INDEX($AV$71:$AX$75,,$AI417), INDEX($AY$71:$BE$75,,$AH417), 1 / ($BF$71:$BF$75*BU417 + (1-$BF$71:$BF$75)*BQ417), N($AU$71:$AU$75&gt;$AM417)),
SUMPRODUCT(INDEX($AV$66:$AX$75,,$AI417), INDEX($AY$66:$BE$75,,$AH417), 1 / ($BG$66:$BG$75*BU417 + (1-$BG$66:$BG$75)*BQ417), N($AU$66:$AU$75&gt;$AM417))
) / 1000</f>
        <v>0</v>
      </c>
      <c r="BW417" s="231">
        <f t="shared" si="627"/>
        <v>25</v>
      </c>
      <c r="BX417" s="229">
        <f t="shared" si="604"/>
        <v>38</v>
      </c>
      <c r="BY417" s="234">
        <f t="shared" si="605"/>
        <v>4.0666935483870965</v>
      </c>
      <c r="BZ417" s="234" cm="1">
        <f t="array" ref="BZ417">$BM417 * IF($AH417&lt;=2,
SUMPRODUCT(INDEX($AV$66:$AX$70,,$AI417), INDEX($AY$66:$BE$70,,$AH417), 1 / ($BF$66:$BF$70*BY417 + (1-$BF$66:$BF$70)*BU417), N($AU$66:$AU$70&gt;$AM417)),
SUMPRODUCT(INDEX($AV$56:$AX$65,,$AI417), INDEX($AY$56:$BE$65,,$AH417), 1 / ($BG$56:$BG$65*BY417 + (1-$BG$56:$BG$65)*BU417), N($AU$56:$AU$65&gt;$AM417))
) / 1000</f>
        <v>0</v>
      </c>
      <c r="CA417" s="231">
        <f t="shared" si="628"/>
        <v>20</v>
      </c>
      <c r="CB417" s="229">
        <f t="shared" si="606"/>
        <v>33</v>
      </c>
      <c r="CC417" s="234">
        <f t="shared" si="607"/>
        <v>4.8487499999999999</v>
      </c>
      <c r="CD417" s="234" cm="1">
        <f t="array" ref="CD417">$BM417 * IF($AH417&lt;=2,
SUMPRODUCT(INDEX($AV$61:$AX$65,,$AI417), INDEX($AY$61:$BE$65,,$AH417), 1 / ($BF$61:$BF$65*CC417 + (1-$BF$61:$BF$65)*BY417), N($AU$61:$AU$65&gt;$AM417)),
SUMPRODUCT(INDEX($AV$46:$AX$55,,$AI417), INDEX($AY$46:$BE$55,,$AH417), 1 / ($BG$46:$BG$55*CC417 + (1-$BG$46:$BG$55)*BY417), N($AU$46:$AU$55&gt;$AM417))
) / 1000</f>
        <v>0</v>
      </c>
      <c r="CE417" s="234" cm="1">
        <f t="array" ref="CE417">$BM417 * IF($AH417&lt;=2,
SUMPRODUCT(INDEX($AV$22:$AX$60,,$AI417), INDEX($AY$22:$BE$60,,$AH417), 1 / ($BF$22:$BF$60*CC417), N($AU$22:$AU$60&gt;$AM417)),
SUMPRODUCT(INDEX($AV$22:$AX$45,,$AI417), INDEX($AY$22:$BE$45,,$AH417), 1 / ($BG$22:$BG$45*CC417), N($AU$22:$AU$45&gt;$AM417))
) / 1000</f>
        <v>0</v>
      </c>
      <c r="CF417" s="229">
        <f t="shared" si="608"/>
        <v>0</v>
      </c>
      <c r="CG417" s="246"/>
      <c r="CH417" s="229">
        <f t="shared" si="609"/>
        <v>0</v>
      </c>
      <c r="CI417" s="228">
        <v>35</v>
      </c>
      <c r="CJ417" s="229">
        <f t="shared" si="610"/>
        <v>48</v>
      </c>
      <c r="CK417" s="234">
        <f t="shared" si="611"/>
        <v>3.0748170731707316</v>
      </c>
      <c r="CL417" s="234" cm="1">
        <f t="array" ref="CL417">$BM417 * SUMPRODUCT(INDEX($AV$76:$AX$81,,$AI417),INDEX($AY$76:$BE$81,,$AH417), N($AU$76:$AU$81&gt;$AM417)) / CK417 / 1000</f>
        <v>0</v>
      </c>
      <c r="CM417" s="231">
        <f t="shared" si="629"/>
        <v>30</v>
      </c>
      <c r="CN417" s="229">
        <f t="shared" si="612"/>
        <v>43</v>
      </c>
      <c r="CO417" s="234">
        <f t="shared" si="613"/>
        <v>3.5018750000000001</v>
      </c>
      <c r="CP417" s="234" cm="1">
        <f t="array" ref="CP417">$BM417 * IF($AH417&lt;=2,
SUMPRODUCT(INDEX($AV$71:$AX$75,,$AI417), INDEX($AY$71:$BE$75,,$AH417), 1 / ($BF$71:$BF$75*CO417 + (1-$BF$71:$BF$75)*CK417), N($AU$71:$AU$75&gt;$AM417)),
SUMPRODUCT(INDEX($AV$66:$AX$75,,$AI417), INDEX($AY$66:$BE$75,,$AH417), 1 / ($BG$66:$BG$75*CO417 + (1-$BG$66:$BG$75)*CK417), N($AU$66:$AU$75&gt;$AM417))
) / 1000</f>
        <v>0</v>
      </c>
      <c r="CQ417" s="231">
        <f t="shared" si="630"/>
        <v>25</v>
      </c>
      <c r="CR417" s="229">
        <f t="shared" si="614"/>
        <v>38</v>
      </c>
      <c r="CS417" s="234">
        <f t="shared" si="615"/>
        <v>4.0666935483870965</v>
      </c>
      <c r="CT417" s="234" cm="1">
        <f t="array" ref="CT417">$BM417 * IF($AH417&lt;=2,
SUMPRODUCT(INDEX($AV$66:$AX$70,,$AI417), INDEX($AY$66:$BE$70,,$AH417), 1 / ($BF$66:$BF$70*CS417 + (1-$BF$66:$BF$70)*CO417), N($AU$66:$AU$70&gt;$AM417)),
SUMPRODUCT(INDEX($AV$56:$AX$65,,$AI417), INDEX($AY$56:$BE$65,,$AH417), 1 / ($BG$56:$BG$65*CS417 + (1-$BG$56:$BG$65)*CO417), N($AU$56:$AU$65&gt;$AM417))
) / 1000</f>
        <v>0</v>
      </c>
      <c r="CU417" s="231">
        <f t="shared" si="631"/>
        <v>20</v>
      </c>
      <c r="CV417" s="229">
        <f t="shared" si="616"/>
        <v>33</v>
      </c>
      <c r="CW417" s="234">
        <f t="shared" si="617"/>
        <v>4.8487499999999999</v>
      </c>
      <c r="CX417" s="234" cm="1">
        <f t="array" ref="CX417">$BM417 * IF($AH417&lt;=2,
SUMPRODUCT(INDEX($AV$61:$AX$65,,$AI417), INDEX($AY$61:$BE$65,,$AH417), 1 / ($BF$61:$BF$65*CW417 + (1-$BF$61:$BF$65)*CS417), N($AU$61:$AU$65&gt;$AM417)),
SUMPRODUCT(INDEX($AV$46:$AX$55,,$AI417), INDEX($AY$46:$BE$55,,$AH417), 1 / ($BG$46:$BG$55*CW417 + (1-$BG$46:$BG$55)*CS417), N($AU$46:$AU$55&gt;$AM417))
) / 1000</f>
        <v>0</v>
      </c>
      <c r="CY417" s="234" cm="1">
        <f t="array" ref="CY417">$BM417 * IF($AH417&lt;=2,
SUMPRODUCT(INDEX($AV$22:$AX$60,,$AI417), INDEX($AY$22:$BE$60,,$AH417), 1 / ($BF$22:$BF$60*CW417), N($AU$22:$AU$60&gt;$AM417)),
SUMPRODUCT(INDEX($AV$22:$AX$45,,$AI417), INDEX($AY$22:$BE$45,,$AH417), 1 / ($BG$22:$BG$45*CW417), N($AU$22:$AU$45&gt;$AM417))
) / 1000</f>
        <v>0</v>
      </c>
      <c r="CZ417" s="229">
        <f t="shared" si="618"/>
        <v>0</v>
      </c>
      <c r="DA417" s="246"/>
    </row>
    <row r="418" spans="1:105" s="75" customFormat="1" ht="14.25" customHeight="1" x14ac:dyDescent="0.2">
      <c r="A418" s="230" t="b">
        <f t="shared" si="623"/>
        <v>0</v>
      </c>
      <c r="B418" s="253">
        <v>397</v>
      </c>
      <c r="C418" s="266"/>
      <c r="D418" s="266"/>
      <c r="E418" s="254"/>
      <c r="F418" s="255" t="str">
        <f>IF(ISBLANK(E418), "", VLOOKUP(E418, Z!$A$2:$C$4127, 3, FALSE))</f>
        <v/>
      </c>
      <c r="G418" s="256"/>
      <c r="H418" s="256"/>
      <c r="I418" s="256"/>
      <c r="J418" s="257"/>
      <c r="K418" s="258"/>
      <c r="L418" s="267"/>
      <c r="M418" s="268"/>
      <c r="N418" s="259" t="str" cm="1">
        <f t="array" ref="N418">IF($L418&gt;0, INDEX(Clean,1+AK418,$D$1), "")</f>
        <v/>
      </c>
      <c r="O418" s="260"/>
      <c r="P418" s="260"/>
      <c r="Q418" s="261"/>
      <c r="R418" s="264">
        <f t="shared" si="594"/>
        <v>0</v>
      </c>
      <c r="S418" s="259" t="str" cm="1">
        <f t="array" ref="S418">IF($L418&gt;0, INDEX(Clean,1+AL418,$D$1), "")</f>
        <v/>
      </c>
      <c r="T418" s="260"/>
      <c r="U418" s="260"/>
      <c r="V418" s="261"/>
      <c r="W418" s="267"/>
      <c r="X418" s="267"/>
      <c r="Y418" s="257"/>
      <c r="Z418" s="264">
        <f t="shared" si="595"/>
        <v>0</v>
      </c>
      <c r="AA418" s="269"/>
      <c r="AB418" s="266"/>
      <c r="AC418" s="254"/>
      <c r="AD418" s="255" t="str">
        <f>IF(ISBLANK(AC418), "", VLOOKUP(AC418, Z!$A$2:$C$4127, 3, FALSE))</f>
        <v/>
      </c>
      <c r="AE418" s="270"/>
      <c r="AF418" s="265">
        <f t="shared" si="596"/>
        <v>0</v>
      </c>
      <c r="AG418" s="246"/>
      <c r="AH418" s="228">
        <f t="shared" si="619"/>
        <v>1</v>
      </c>
      <c r="AI418" s="228">
        <f t="shared" si="620"/>
        <v>1</v>
      </c>
      <c r="AJ418" s="228">
        <f t="shared" si="621"/>
        <v>0</v>
      </c>
      <c r="AK418" s="228">
        <v>0</v>
      </c>
      <c r="AL418" s="228">
        <v>0</v>
      </c>
      <c r="AM418" s="228">
        <f t="shared" si="597"/>
        <v>-100</v>
      </c>
      <c r="AN418" s="228" cm="1">
        <f t="array" ref="AN418">IF(ISBLANK(G418), 1, IFERROR(MATCH(G418, INDEX(Kat,,1), 0), IFERROR(MATCH(Kat, INDEX(Use,,2), 0), MATCH(Kat, INDEX(Use,,3), 0))))</f>
        <v>1</v>
      </c>
      <c r="AO418" s="246"/>
      <c r="AP418" s="228" cm="1">
        <f t="array" ref="AP418">IF(W418&gt;0, INDEX(Kat, AN418,4), 0)</f>
        <v>0</v>
      </c>
      <c r="AQ418" s="228">
        <f t="shared" si="622"/>
        <v>0</v>
      </c>
      <c r="AR418" s="228" cm="1">
        <f t="array" ref="AR418">IF(X418&gt;0, INDEX(Kat, $AN418, 4+AQ418), 0)</f>
        <v>0</v>
      </c>
      <c r="AS418" s="228" cm="1">
        <f t="array" ref="AS418">IF(X418&gt;0, INDEX(Kat, $AN418, 9+AQ418), 0)</f>
        <v>0</v>
      </c>
      <c r="AT418" s="246"/>
      <c r="AU418" s="262"/>
      <c r="AV418" s="262"/>
      <c r="AW418" s="263"/>
      <c r="AX418" s="263"/>
      <c r="AY418" s="263"/>
      <c r="AZ418" s="263"/>
      <c r="BA418" s="263"/>
      <c r="BB418" s="263"/>
      <c r="BC418" s="263"/>
      <c r="BD418" s="263"/>
      <c r="BE418" s="263"/>
      <c r="BF418" s="263"/>
      <c r="BG418" s="263"/>
      <c r="BH418" s="246"/>
      <c r="BI418" s="228" cm="1">
        <f t="array" ref="BI418">INDEX(Use, $AH418, 4)</f>
        <v>7</v>
      </c>
      <c r="BJ418" s="228">
        <f t="shared" si="598"/>
        <v>32</v>
      </c>
      <c r="BK418" s="228">
        <f t="shared" si="624"/>
        <v>13</v>
      </c>
      <c r="BL418" s="228">
        <f t="shared" si="625"/>
        <v>0</v>
      </c>
      <c r="BM418" s="233" cm="1">
        <f t="array" ref="BM418">L418/IF($M418&gt;0, INDEX($AY$22:$BE$76, $M418+20, $AH418), 1)</f>
        <v>0</v>
      </c>
      <c r="BN418" s="229">
        <f t="shared" si="599"/>
        <v>0</v>
      </c>
      <c r="BO418" s="228">
        <v>35</v>
      </c>
      <c r="BP418" s="229">
        <f t="shared" si="600"/>
        <v>48</v>
      </c>
      <c r="BQ418" s="234">
        <f t="shared" si="601"/>
        <v>3.0748170731707316</v>
      </c>
      <c r="BR418" s="234" cm="1">
        <f t="array" ref="BR418">$BM418 * SUMPRODUCT(INDEX($AV$76:$AX$81,,$AI418),INDEX($AY$76:$BE$81,,$AH418), N($AU$76:$AU$81&gt;$AM418)) / BQ418 / 1000</f>
        <v>0</v>
      </c>
      <c r="BS418" s="231">
        <f t="shared" si="626"/>
        <v>30</v>
      </c>
      <c r="BT418" s="229">
        <f t="shared" si="602"/>
        <v>43</v>
      </c>
      <c r="BU418" s="234">
        <f t="shared" si="603"/>
        <v>3.5018750000000001</v>
      </c>
      <c r="BV418" s="234" cm="1">
        <f t="array" ref="BV418">$BM418 * IF($AH418&lt;=2,
SUMPRODUCT(INDEX($AV$71:$AX$75,,$AI418), INDEX($AY$71:$BE$75,,$AH418), 1 / ($BF$71:$BF$75*BU418 + (1-$BF$71:$BF$75)*BQ418), N($AU$71:$AU$75&gt;$AM418)),
SUMPRODUCT(INDEX($AV$66:$AX$75,,$AI418), INDEX($AY$66:$BE$75,,$AH418), 1 / ($BG$66:$BG$75*BU418 + (1-$BG$66:$BG$75)*BQ418), N($AU$66:$AU$75&gt;$AM418))
) / 1000</f>
        <v>0</v>
      </c>
      <c r="BW418" s="231">
        <f t="shared" si="627"/>
        <v>25</v>
      </c>
      <c r="BX418" s="229">
        <f t="shared" si="604"/>
        <v>38</v>
      </c>
      <c r="BY418" s="234">
        <f t="shared" si="605"/>
        <v>4.0666935483870965</v>
      </c>
      <c r="BZ418" s="234" cm="1">
        <f t="array" ref="BZ418">$BM418 * IF($AH418&lt;=2,
SUMPRODUCT(INDEX($AV$66:$AX$70,,$AI418), INDEX($AY$66:$BE$70,,$AH418), 1 / ($BF$66:$BF$70*BY418 + (1-$BF$66:$BF$70)*BU418), N($AU$66:$AU$70&gt;$AM418)),
SUMPRODUCT(INDEX($AV$56:$AX$65,,$AI418), INDEX($AY$56:$BE$65,,$AH418), 1 / ($BG$56:$BG$65*BY418 + (1-$BG$56:$BG$65)*BU418), N($AU$56:$AU$65&gt;$AM418))
) / 1000</f>
        <v>0</v>
      </c>
      <c r="CA418" s="231">
        <f t="shared" si="628"/>
        <v>20</v>
      </c>
      <c r="CB418" s="229">
        <f t="shared" si="606"/>
        <v>33</v>
      </c>
      <c r="CC418" s="234">
        <f t="shared" si="607"/>
        <v>4.8487499999999999</v>
      </c>
      <c r="CD418" s="234" cm="1">
        <f t="array" ref="CD418">$BM418 * IF($AH418&lt;=2,
SUMPRODUCT(INDEX($AV$61:$AX$65,,$AI418), INDEX($AY$61:$BE$65,,$AH418), 1 / ($BF$61:$BF$65*CC418 + (1-$BF$61:$BF$65)*BY418), N($AU$61:$AU$65&gt;$AM418)),
SUMPRODUCT(INDEX($AV$46:$AX$55,,$AI418), INDEX($AY$46:$BE$55,,$AH418), 1 / ($BG$46:$BG$55*CC418 + (1-$BG$46:$BG$55)*BY418), N($AU$46:$AU$55&gt;$AM418))
) / 1000</f>
        <v>0</v>
      </c>
      <c r="CE418" s="234" cm="1">
        <f t="array" ref="CE418">$BM418 * IF($AH418&lt;=2,
SUMPRODUCT(INDEX($AV$22:$AX$60,,$AI418), INDEX($AY$22:$BE$60,,$AH418), 1 / ($BF$22:$BF$60*CC418), N($AU$22:$AU$60&gt;$AM418)),
SUMPRODUCT(INDEX($AV$22:$AX$45,,$AI418), INDEX($AY$22:$BE$45,,$AH418), 1 / ($BG$22:$BG$45*CC418), N($AU$22:$AU$45&gt;$AM418))
) / 1000</f>
        <v>0</v>
      </c>
      <c r="CF418" s="229">
        <f t="shared" si="608"/>
        <v>0</v>
      </c>
      <c r="CG418" s="246"/>
      <c r="CH418" s="229">
        <f t="shared" si="609"/>
        <v>0</v>
      </c>
      <c r="CI418" s="228">
        <v>35</v>
      </c>
      <c r="CJ418" s="229">
        <f t="shared" si="610"/>
        <v>48</v>
      </c>
      <c r="CK418" s="234">
        <f t="shared" si="611"/>
        <v>3.0748170731707316</v>
      </c>
      <c r="CL418" s="234" cm="1">
        <f t="array" ref="CL418">$BM418 * SUMPRODUCT(INDEX($AV$76:$AX$81,,$AI418),INDEX($AY$76:$BE$81,,$AH418), N($AU$76:$AU$81&gt;$AM418)) / CK418 / 1000</f>
        <v>0</v>
      </c>
      <c r="CM418" s="231">
        <f t="shared" si="629"/>
        <v>30</v>
      </c>
      <c r="CN418" s="229">
        <f t="shared" si="612"/>
        <v>43</v>
      </c>
      <c r="CO418" s="234">
        <f t="shared" si="613"/>
        <v>3.5018750000000001</v>
      </c>
      <c r="CP418" s="234" cm="1">
        <f t="array" ref="CP418">$BM418 * IF($AH418&lt;=2,
SUMPRODUCT(INDEX($AV$71:$AX$75,,$AI418), INDEX($AY$71:$BE$75,,$AH418), 1 / ($BF$71:$BF$75*CO418 + (1-$BF$71:$BF$75)*CK418), N($AU$71:$AU$75&gt;$AM418)),
SUMPRODUCT(INDEX($AV$66:$AX$75,,$AI418), INDEX($AY$66:$BE$75,,$AH418), 1 / ($BG$66:$BG$75*CO418 + (1-$BG$66:$BG$75)*CK418), N($AU$66:$AU$75&gt;$AM418))
) / 1000</f>
        <v>0</v>
      </c>
      <c r="CQ418" s="231">
        <f t="shared" si="630"/>
        <v>25</v>
      </c>
      <c r="CR418" s="229">
        <f t="shared" si="614"/>
        <v>38</v>
      </c>
      <c r="CS418" s="234">
        <f t="shared" si="615"/>
        <v>4.0666935483870965</v>
      </c>
      <c r="CT418" s="234" cm="1">
        <f t="array" ref="CT418">$BM418 * IF($AH418&lt;=2,
SUMPRODUCT(INDEX($AV$66:$AX$70,,$AI418), INDEX($AY$66:$BE$70,,$AH418), 1 / ($BF$66:$BF$70*CS418 + (1-$BF$66:$BF$70)*CO418), N($AU$66:$AU$70&gt;$AM418)),
SUMPRODUCT(INDEX($AV$56:$AX$65,,$AI418), INDEX($AY$56:$BE$65,,$AH418), 1 / ($BG$56:$BG$65*CS418 + (1-$BG$56:$BG$65)*CO418), N($AU$56:$AU$65&gt;$AM418))
) / 1000</f>
        <v>0</v>
      </c>
      <c r="CU418" s="231">
        <f t="shared" si="631"/>
        <v>20</v>
      </c>
      <c r="CV418" s="229">
        <f t="shared" si="616"/>
        <v>33</v>
      </c>
      <c r="CW418" s="234">
        <f t="shared" si="617"/>
        <v>4.8487499999999999</v>
      </c>
      <c r="CX418" s="234" cm="1">
        <f t="array" ref="CX418">$BM418 * IF($AH418&lt;=2,
SUMPRODUCT(INDEX($AV$61:$AX$65,,$AI418), INDEX($AY$61:$BE$65,,$AH418), 1 / ($BF$61:$BF$65*CW418 + (1-$BF$61:$BF$65)*CS418), N($AU$61:$AU$65&gt;$AM418)),
SUMPRODUCT(INDEX($AV$46:$AX$55,,$AI418), INDEX($AY$46:$BE$55,,$AH418), 1 / ($BG$46:$BG$55*CW418 + (1-$BG$46:$BG$55)*CS418), N($AU$46:$AU$55&gt;$AM418))
) / 1000</f>
        <v>0</v>
      </c>
      <c r="CY418" s="234" cm="1">
        <f t="array" ref="CY418">$BM418 * IF($AH418&lt;=2,
SUMPRODUCT(INDEX($AV$22:$AX$60,,$AI418), INDEX($AY$22:$BE$60,,$AH418), 1 / ($BF$22:$BF$60*CW418), N($AU$22:$AU$60&gt;$AM418)),
SUMPRODUCT(INDEX($AV$22:$AX$45,,$AI418), INDEX($AY$22:$BE$45,,$AH418), 1 / ($BG$22:$BG$45*CW418), N($AU$22:$AU$45&gt;$AM418))
) / 1000</f>
        <v>0</v>
      </c>
      <c r="CZ418" s="229">
        <f t="shared" si="618"/>
        <v>0</v>
      </c>
      <c r="DA418" s="246"/>
    </row>
    <row r="419" spans="1:105" s="75" customFormat="1" ht="14.25" customHeight="1" x14ac:dyDescent="0.2">
      <c r="A419" s="230" t="b">
        <f t="shared" si="623"/>
        <v>0</v>
      </c>
      <c r="B419" s="253">
        <v>398</v>
      </c>
      <c r="C419" s="266"/>
      <c r="D419" s="266"/>
      <c r="E419" s="254"/>
      <c r="F419" s="255" t="str">
        <f>IF(ISBLANK(E419), "", VLOOKUP(E419, Z!$A$2:$C$4127, 3, FALSE))</f>
        <v/>
      </c>
      <c r="G419" s="256"/>
      <c r="H419" s="256"/>
      <c r="I419" s="256"/>
      <c r="J419" s="257"/>
      <c r="K419" s="258"/>
      <c r="L419" s="267"/>
      <c r="M419" s="268"/>
      <c r="N419" s="259" t="str" cm="1">
        <f t="array" ref="N419">IF($L419&gt;0, INDEX(Clean,1+AK419,$D$1), "")</f>
        <v/>
      </c>
      <c r="O419" s="260"/>
      <c r="P419" s="260"/>
      <c r="Q419" s="261"/>
      <c r="R419" s="264">
        <f t="shared" si="594"/>
        <v>0</v>
      </c>
      <c r="S419" s="259" t="str" cm="1">
        <f t="array" ref="S419">IF($L419&gt;0, INDEX(Clean,1+AL419,$D$1), "")</f>
        <v/>
      </c>
      <c r="T419" s="260"/>
      <c r="U419" s="260"/>
      <c r="V419" s="261"/>
      <c r="W419" s="267"/>
      <c r="X419" s="267"/>
      <c r="Y419" s="257"/>
      <c r="Z419" s="264">
        <f t="shared" si="595"/>
        <v>0</v>
      </c>
      <c r="AA419" s="269"/>
      <c r="AB419" s="266"/>
      <c r="AC419" s="254"/>
      <c r="AD419" s="255" t="str">
        <f>IF(ISBLANK(AC419), "", VLOOKUP(AC419, Z!$A$2:$C$4127, 3, FALSE))</f>
        <v/>
      </c>
      <c r="AE419" s="270"/>
      <c r="AF419" s="265">
        <f t="shared" si="596"/>
        <v>0</v>
      </c>
      <c r="AG419" s="246"/>
      <c r="AH419" s="228">
        <f t="shared" si="619"/>
        <v>1</v>
      </c>
      <c r="AI419" s="228">
        <f t="shared" si="620"/>
        <v>1</v>
      </c>
      <c r="AJ419" s="228">
        <f t="shared" si="621"/>
        <v>0</v>
      </c>
      <c r="AK419" s="228">
        <v>0</v>
      </c>
      <c r="AL419" s="228">
        <v>0</v>
      </c>
      <c r="AM419" s="228">
        <f t="shared" si="597"/>
        <v>-100</v>
      </c>
      <c r="AN419" s="228" cm="1">
        <f t="array" ref="AN419">IF(ISBLANK(G419), 1, IFERROR(MATCH(G419, INDEX(Kat,,1), 0), IFERROR(MATCH(Kat, INDEX(Use,,2), 0), MATCH(Kat, INDEX(Use,,3), 0))))</f>
        <v>1</v>
      </c>
      <c r="AO419" s="246"/>
      <c r="AP419" s="228" cm="1">
        <f t="array" ref="AP419">IF(W419&gt;0, INDEX(Kat, AN419,4), 0)</f>
        <v>0</v>
      </c>
      <c r="AQ419" s="228">
        <f t="shared" si="622"/>
        <v>0</v>
      </c>
      <c r="AR419" s="228" cm="1">
        <f t="array" ref="AR419">IF(X419&gt;0, INDEX(Kat, $AN419, 4+AQ419), 0)</f>
        <v>0</v>
      </c>
      <c r="AS419" s="228" cm="1">
        <f t="array" ref="AS419">IF(X419&gt;0, INDEX(Kat, $AN419, 9+AQ419), 0)</f>
        <v>0</v>
      </c>
      <c r="AT419" s="246"/>
      <c r="AU419" s="262"/>
      <c r="AV419" s="262"/>
      <c r="AW419" s="263"/>
      <c r="AX419" s="263"/>
      <c r="AY419" s="263"/>
      <c r="AZ419" s="263"/>
      <c r="BA419" s="263"/>
      <c r="BB419" s="263"/>
      <c r="BC419" s="263"/>
      <c r="BD419" s="263"/>
      <c r="BE419" s="263"/>
      <c r="BF419" s="263"/>
      <c r="BG419" s="263"/>
      <c r="BH419" s="246"/>
      <c r="BI419" s="228" cm="1">
        <f t="array" ref="BI419">INDEX(Use, $AH419, 4)</f>
        <v>7</v>
      </c>
      <c r="BJ419" s="228">
        <f t="shared" si="598"/>
        <v>32</v>
      </c>
      <c r="BK419" s="228">
        <f t="shared" si="624"/>
        <v>13</v>
      </c>
      <c r="BL419" s="228">
        <f t="shared" si="625"/>
        <v>0</v>
      </c>
      <c r="BM419" s="233" cm="1">
        <f t="array" ref="BM419">L419/IF($M419&gt;0, INDEX($AY$22:$BE$76, $M419+20, $AH419), 1)</f>
        <v>0</v>
      </c>
      <c r="BN419" s="229">
        <f t="shared" si="599"/>
        <v>0</v>
      </c>
      <c r="BO419" s="228">
        <v>35</v>
      </c>
      <c r="BP419" s="229">
        <f t="shared" si="600"/>
        <v>48</v>
      </c>
      <c r="BQ419" s="234">
        <f t="shared" si="601"/>
        <v>3.0748170731707316</v>
      </c>
      <c r="BR419" s="234" cm="1">
        <f t="array" ref="BR419">$BM419 * SUMPRODUCT(INDEX($AV$76:$AX$81,,$AI419),INDEX($AY$76:$BE$81,,$AH419), N($AU$76:$AU$81&gt;$AM419)) / BQ419 / 1000</f>
        <v>0</v>
      </c>
      <c r="BS419" s="231">
        <f t="shared" si="626"/>
        <v>30</v>
      </c>
      <c r="BT419" s="229">
        <f t="shared" si="602"/>
        <v>43</v>
      </c>
      <c r="BU419" s="234">
        <f t="shared" si="603"/>
        <v>3.5018750000000001</v>
      </c>
      <c r="BV419" s="234" cm="1">
        <f t="array" ref="BV419">$BM419 * IF($AH419&lt;=2,
SUMPRODUCT(INDEX($AV$71:$AX$75,,$AI419), INDEX($AY$71:$BE$75,,$AH419), 1 / ($BF$71:$BF$75*BU419 + (1-$BF$71:$BF$75)*BQ419), N($AU$71:$AU$75&gt;$AM419)),
SUMPRODUCT(INDEX($AV$66:$AX$75,,$AI419), INDEX($AY$66:$BE$75,,$AH419), 1 / ($BG$66:$BG$75*BU419 + (1-$BG$66:$BG$75)*BQ419), N($AU$66:$AU$75&gt;$AM419))
) / 1000</f>
        <v>0</v>
      </c>
      <c r="BW419" s="231">
        <f t="shared" si="627"/>
        <v>25</v>
      </c>
      <c r="BX419" s="229">
        <f t="shared" si="604"/>
        <v>38</v>
      </c>
      <c r="BY419" s="234">
        <f t="shared" si="605"/>
        <v>4.0666935483870965</v>
      </c>
      <c r="BZ419" s="234" cm="1">
        <f t="array" ref="BZ419">$BM419 * IF($AH419&lt;=2,
SUMPRODUCT(INDEX($AV$66:$AX$70,,$AI419), INDEX($AY$66:$BE$70,,$AH419), 1 / ($BF$66:$BF$70*BY419 + (1-$BF$66:$BF$70)*BU419), N($AU$66:$AU$70&gt;$AM419)),
SUMPRODUCT(INDEX($AV$56:$AX$65,,$AI419), INDEX($AY$56:$BE$65,,$AH419), 1 / ($BG$56:$BG$65*BY419 + (1-$BG$56:$BG$65)*BU419), N($AU$56:$AU$65&gt;$AM419))
) / 1000</f>
        <v>0</v>
      </c>
      <c r="CA419" s="231">
        <f t="shared" si="628"/>
        <v>20</v>
      </c>
      <c r="CB419" s="229">
        <f t="shared" si="606"/>
        <v>33</v>
      </c>
      <c r="CC419" s="234">
        <f t="shared" si="607"/>
        <v>4.8487499999999999</v>
      </c>
      <c r="CD419" s="234" cm="1">
        <f t="array" ref="CD419">$BM419 * IF($AH419&lt;=2,
SUMPRODUCT(INDEX($AV$61:$AX$65,,$AI419), INDEX($AY$61:$BE$65,,$AH419), 1 / ($BF$61:$BF$65*CC419 + (1-$BF$61:$BF$65)*BY419), N($AU$61:$AU$65&gt;$AM419)),
SUMPRODUCT(INDEX($AV$46:$AX$55,,$AI419), INDEX($AY$46:$BE$55,,$AH419), 1 / ($BG$46:$BG$55*CC419 + (1-$BG$46:$BG$55)*BY419), N($AU$46:$AU$55&gt;$AM419))
) / 1000</f>
        <v>0</v>
      </c>
      <c r="CE419" s="234" cm="1">
        <f t="array" ref="CE419">$BM419 * IF($AH419&lt;=2,
SUMPRODUCT(INDEX($AV$22:$AX$60,,$AI419), INDEX($AY$22:$BE$60,,$AH419), 1 / ($BF$22:$BF$60*CC419), N($AU$22:$AU$60&gt;$AM419)),
SUMPRODUCT(INDEX($AV$22:$AX$45,,$AI419), INDEX($AY$22:$BE$45,,$AH419), 1 / ($BG$22:$BG$45*CC419), N($AU$22:$AU$45&gt;$AM419))
) / 1000</f>
        <v>0</v>
      </c>
      <c r="CF419" s="229">
        <f t="shared" si="608"/>
        <v>0</v>
      </c>
      <c r="CG419" s="246"/>
      <c r="CH419" s="229">
        <f t="shared" si="609"/>
        <v>0</v>
      </c>
      <c r="CI419" s="228">
        <v>35</v>
      </c>
      <c r="CJ419" s="229">
        <f t="shared" si="610"/>
        <v>48</v>
      </c>
      <c r="CK419" s="234">
        <f t="shared" si="611"/>
        <v>3.0748170731707316</v>
      </c>
      <c r="CL419" s="234" cm="1">
        <f t="array" ref="CL419">$BM419 * SUMPRODUCT(INDEX($AV$76:$AX$81,,$AI419),INDEX($AY$76:$BE$81,,$AH419), N($AU$76:$AU$81&gt;$AM419)) / CK419 / 1000</f>
        <v>0</v>
      </c>
      <c r="CM419" s="231">
        <f t="shared" si="629"/>
        <v>30</v>
      </c>
      <c r="CN419" s="229">
        <f t="shared" si="612"/>
        <v>43</v>
      </c>
      <c r="CO419" s="234">
        <f t="shared" si="613"/>
        <v>3.5018750000000001</v>
      </c>
      <c r="CP419" s="234" cm="1">
        <f t="array" ref="CP419">$BM419 * IF($AH419&lt;=2,
SUMPRODUCT(INDEX($AV$71:$AX$75,,$AI419), INDEX($AY$71:$BE$75,,$AH419), 1 / ($BF$71:$BF$75*CO419 + (1-$BF$71:$BF$75)*CK419), N($AU$71:$AU$75&gt;$AM419)),
SUMPRODUCT(INDEX($AV$66:$AX$75,,$AI419), INDEX($AY$66:$BE$75,,$AH419), 1 / ($BG$66:$BG$75*CO419 + (1-$BG$66:$BG$75)*CK419), N($AU$66:$AU$75&gt;$AM419))
) / 1000</f>
        <v>0</v>
      </c>
      <c r="CQ419" s="231">
        <f t="shared" si="630"/>
        <v>25</v>
      </c>
      <c r="CR419" s="229">
        <f t="shared" si="614"/>
        <v>38</v>
      </c>
      <c r="CS419" s="234">
        <f t="shared" si="615"/>
        <v>4.0666935483870965</v>
      </c>
      <c r="CT419" s="234" cm="1">
        <f t="array" ref="CT419">$BM419 * IF($AH419&lt;=2,
SUMPRODUCT(INDEX($AV$66:$AX$70,,$AI419), INDEX($AY$66:$BE$70,,$AH419), 1 / ($BF$66:$BF$70*CS419 + (1-$BF$66:$BF$70)*CO419), N($AU$66:$AU$70&gt;$AM419)),
SUMPRODUCT(INDEX($AV$56:$AX$65,,$AI419), INDEX($AY$56:$BE$65,,$AH419), 1 / ($BG$56:$BG$65*CS419 + (1-$BG$56:$BG$65)*CO419), N($AU$56:$AU$65&gt;$AM419))
) / 1000</f>
        <v>0</v>
      </c>
      <c r="CU419" s="231">
        <f t="shared" si="631"/>
        <v>20</v>
      </c>
      <c r="CV419" s="229">
        <f t="shared" si="616"/>
        <v>33</v>
      </c>
      <c r="CW419" s="234">
        <f t="shared" si="617"/>
        <v>4.8487499999999999</v>
      </c>
      <c r="CX419" s="234" cm="1">
        <f t="array" ref="CX419">$BM419 * IF($AH419&lt;=2,
SUMPRODUCT(INDEX($AV$61:$AX$65,,$AI419), INDEX($AY$61:$BE$65,,$AH419), 1 / ($BF$61:$BF$65*CW419 + (1-$BF$61:$BF$65)*CS419), N($AU$61:$AU$65&gt;$AM419)),
SUMPRODUCT(INDEX($AV$46:$AX$55,,$AI419), INDEX($AY$46:$BE$55,,$AH419), 1 / ($BG$46:$BG$55*CW419 + (1-$BG$46:$BG$55)*CS419), N($AU$46:$AU$55&gt;$AM419))
) / 1000</f>
        <v>0</v>
      </c>
      <c r="CY419" s="234" cm="1">
        <f t="array" ref="CY419">$BM419 * IF($AH419&lt;=2,
SUMPRODUCT(INDEX($AV$22:$AX$60,,$AI419), INDEX($AY$22:$BE$60,,$AH419), 1 / ($BF$22:$BF$60*CW419), N($AU$22:$AU$60&gt;$AM419)),
SUMPRODUCT(INDEX($AV$22:$AX$45,,$AI419), INDEX($AY$22:$BE$45,,$AH419), 1 / ($BG$22:$BG$45*CW419), N($AU$22:$AU$45&gt;$AM419))
) / 1000</f>
        <v>0</v>
      </c>
      <c r="CZ419" s="229">
        <f t="shared" si="618"/>
        <v>0</v>
      </c>
      <c r="DA419" s="246"/>
    </row>
    <row r="420" spans="1:105" s="75" customFormat="1" ht="14.25" customHeight="1" x14ac:dyDescent="0.2">
      <c r="A420" s="230" t="b">
        <f t="shared" si="623"/>
        <v>0</v>
      </c>
      <c r="B420" s="253">
        <v>399</v>
      </c>
      <c r="C420" s="266"/>
      <c r="D420" s="266"/>
      <c r="E420" s="254"/>
      <c r="F420" s="255" t="str">
        <f>IF(ISBLANK(E420), "", VLOOKUP(E420, Z!$A$2:$C$4127, 3, FALSE))</f>
        <v/>
      </c>
      <c r="G420" s="256"/>
      <c r="H420" s="256"/>
      <c r="I420" s="256"/>
      <c r="J420" s="257"/>
      <c r="K420" s="258"/>
      <c r="L420" s="267"/>
      <c r="M420" s="268"/>
      <c r="N420" s="259" t="str" cm="1">
        <f t="array" ref="N420">IF($L420&gt;0, INDEX(Clean,1+AK420,$D$1), "")</f>
        <v/>
      </c>
      <c r="O420" s="260"/>
      <c r="P420" s="260"/>
      <c r="Q420" s="261"/>
      <c r="R420" s="264">
        <f t="shared" si="594"/>
        <v>0</v>
      </c>
      <c r="S420" s="259" t="str" cm="1">
        <f t="array" ref="S420">IF($L420&gt;0, INDEX(Clean,1+AL420,$D$1), "")</f>
        <v/>
      </c>
      <c r="T420" s="260"/>
      <c r="U420" s="260"/>
      <c r="V420" s="261"/>
      <c r="W420" s="267"/>
      <c r="X420" s="267"/>
      <c r="Y420" s="257"/>
      <c r="Z420" s="264">
        <f t="shared" si="595"/>
        <v>0</v>
      </c>
      <c r="AA420" s="269"/>
      <c r="AB420" s="266"/>
      <c r="AC420" s="254"/>
      <c r="AD420" s="255" t="str">
        <f>IF(ISBLANK(AC420), "", VLOOKUP(AC420, Z!$A$2:$C$4127, 3, FALSE))</f>
        <v/>
      </c>
      <c r="AE420" s="270"/>
      <c r="AF420" s="265">
        <f t="shared" si="596"/>
        <v>0</v>
      </c>
      <c r="AG420" s="246"/>
      <c r="AH420" s="228">
        <f t="shared" si="619"/>
        <v>1</v>
      </c>
      <c r="AI420" s="228">
        <f t="shared" si="620"/>
        <v>1</v>
      </c>
      <c r="AJ420" s="228">
        <f t="shared" si="621"/>
        <v>0</v>
      </c>
      <c r="AK420" s="228">
        <v>0</v>
      </c>
      <c r="AL420" s="228">
        <v>0</v>
      </c>
      <c r="AM420" s="228">
        <f t="shared" si="597"/>
        <v>-100</v>
      </c>
      <c r="AN420" s="228" cm="1">
        <f t="array" ref="AN420">IF(ISBLANK(G420), 1, IFERROR(MATCH(G420, INDEX(Kat,,1), 0), IFERROR(MATCH(Kat, INDEX(Use,,2), 0), MATCH(Kat, INDEX(Use,,3), 0))))</f>
        <v>1</v>
      </c>
      <c r="AO420" s="246"/>
      <c r="AP420" s="228" cm="1">
        <f t="array" ref="AP420">IF(W420&gt;0, INDEX(Kat, AN420,4), 0)</f>
        <v>0</v>
      </c>
      <c r="AQ420" s="228">
        <f t="shared" si="622"/>
        <v>0</v>
      </c>
      <c r="AR420" s="228" cm="1">
        <f t="array" ref="AR420">IF(X420&gt;0, INDEX(Kat, $AN420, 4+AQ420), 0)</f>
        <v>0</v>
      </c>
      <c r="AS420" s="228" cm="1">
        <f t="array" ref="AS420">IF(X420&gt;0, INDEX(Kat, $AN420, 9+AQ420), 0)</f>
        <v>0</v>
      </c>
      <c r="AT420" s="246"/>
      <c r="AU420" s="262"/>
      <c r="AV420" s="262"/>
      <c r="AW420" s="263"/>
      <c r="AX420" s="263"/>
      <c r="AY420" s="263"/>
      <c r="AZ420" s="263"/>
      <c r="BA420" s="263"/>
      <c r="BB420" s="263"/>
      <c r="BC420" s="263"/>
      <c r="BD420" s="263"/>
      <c r="BE420" s="263"/>
      <c r="BF420" s="263"/>
      <c r="BG420" s="263"/>
      <c r="BH420" s="246"/>
      <c r="BI420" s="228" cm="1">
        <f t="array" ref="BI420">INDEX(Use, $AH420, 4)</f>
        <v>7</v>
      </c>
      <c r="BJ420" s="228">
        <f t="shared" si="598"/>
        <v>32</v>
      </c>
      <c r="BK420" s="228">
        <f t="shared" si="624"/>
        <v>13</v>
      </c>
      <c r="BL420" s="228">
        <f t="shared" si="625"/>
        <v>0</v>
      </c>
      <c r="BM420" s="233" cm="1">
        <f t="array" ref="BM420">L420/IF($M420&gt;0, INDEX($AY$22:$BE$76, $M420+20, $AH420), 1)</f>
        <v>0</v>
      </c>
      <c r="BN420" s="229">
        <f t="shared" si="599"/>
        <v>0</v>
      </c>
      <c r="BO420" s="228">
        <v>35</v>
      </c>
      <c r="BP420" s="229">
        <f t="shared" si="600"/>
        <v>48</v>
      </c>
      <c r="BQ420" s="234">
        <f t="shared" si="601"/>
        <v>3.0748170731707316</v>
      </c>
      <c r="BR420" s="234" cm="1">
        <f t="array" ref="BR420">$BM420 * SUMPRODUCT(INDEX($AV$76:$AX$81,,$AI420),INDEX($AY$76:$BE$81,,$AH420), N($AU$76:$AU$81&gt;$AM420)) / BQ420 / 1000</f>
        <v>0</v>
      </c>
      <c r="BS420" s="231">
        <f t="shared" si="626"/>
        <v>30</v>
      </c>
      <c r="BT420" s="229">
        <f t="shared" si="602"/>
        <v>43</v>
      </c>
      <c r="BU420" s="234">
        <f t="shared" si="603"/>
        <v>3.5018750000000001</v>
      </c>
      <c r="BV420" s="234" cm="1">
        <f t="array" ref="BV420">$BM420 * IF($AH420&lt;=2,
SUMPRODUCT(INDEX($AV$71:$AX$75,,$AI420), INDEX($AY$71:$BE$75,,$AH420), 1 / ($BF$71:$BF$75*BU420 + (1-$BF$71:$BF$75)*BQ420), N($AU$71:$AU$75&gt;$AM420)),
SUMPRODUCT(INDEX($AV$66:$AX$75,,$AI420), INDEX($AY$66:$BE$75,,$AH420), 1 / ($BG$66:$BG$75*BU420 + (1-$BG$66:$BG$75)*BQ420), N($AU$66:$AU$75&gt;$AM420))
) / 1000</f>
        <v>0</v>
      </c>
      <c r="BW420" s="231">
        <f t="shared" si="627"/>
        <v>25</v>
      </c>
      <c r="BX420" s="229">
        <f t="shared" si="604"/>
        <v>38</v>
      </c>
      <c r="BY420" s="234">
        <f t="shared" si="605"/>
        <v>4.0666935483870965</v>
      </c>
      <c r="BZ420" s="234" cm="1">
        <f t="array" ref="BZ420">$BM420 * IF($AH420&lt;=2,
SUMPRODUCT(INDEX($AV$66:$AX$70,,$AI420), INDEX($AY$66:$BE$70,,$AH420), 1 / ($BF$66:$BF$70*BY420 + (1-$BF$66:$BF$70)*BU420), N($AU$66:$AU$70&gt;$AM420)),
SUMPRODUCT(INDEX($AV$56:$AX$65,,$AI420), INDEX($AY$56:$BE$65,,$AH420), 1 / ($BG$56:$BG$65*BY420 + (1-$BG$56:$BG$65)*BU420), N($AU$56:$AU$65&gt;$AM420))
) / 1000</f>
        <v>0</v>
      </c>
      <c r="CA420" s="231">
        <f t="shared" si="628"/>
        <v>20</v>
      </c>
      <c r="CB420" s="229">
        <f t="shared" si="606"/>
        <v>33</v>
      </c>
      <c r="CC420" s="234">
        <f t="shared" si="607"/>
        <v>4.8487499999999999</v>
      </c>
      <c r="CD420" s="234" cm="1">
        <f t="array" ref="CD420">$BM420 * IF($AH420&lt;=2,
SUMPRODUCT(INDEX($AV$61:$AX$65,,$AI420), INDEX($AY$61:$BE$65,,$AH420), 1 / ($BF$61:$BF$65*CC420 + (1-$BF$61:$BF$65)*BY420), N($AU$61:$AU$65&gt;$AM420)),
SUMPRODUCT(INDEX($AV$46:$AX$55,,$AI420), INDEX($AY$46:$BE$55,,$AH420), 1 / ($BG$46:$BG$55*CC420 + (1-$BG$46:$BG$55)*BY420), N($AU$46:$AU$55&gt;$AM420))
) / 1000</f>
        <v>0</v>
      </c>
      <c r="CE420" s="234" cm="1">
        <f t="array" ref="CE420">$BM420 * IF($AH420&lt;=2,
SUMPRODUCT(INDEX($AV$22:$AX$60,,$AI420), INDEX($AY$22:$BE$60,,$AH420), 1 / ($BF$22:$BF$60*CC420), N($AU$22:$AU$60&gt;$AM420)),
SUMPRODUCT(INDEX($AV$22:$AX$45,,$AI420), INDEX($AY$22:$BE$45,,$AH420), 1 / ($BG$22:$BG$45*CC420), N($AU$22:$AU$45&gt;$AM420))
) / 1000</f>
        <v>0</v>
      </c>
      <c r="CF420" s="229">
        <f t="shared" si="608"/>
        <v>0</v>
      </c>
      <c r="CG420" s="246"/>
      <c r="CH420" s="229">
        <f t="shared" si="609"/>
        <v>0</v>
      </c>
      <c r="CI420" s="228">
        <v>35</v>
      </c>
      <c r="CJ420" s="229">
        <f t="shared" si="610"/>
        <v>48</v>
      </c>
      <c r="CK420" s="234">
        <f t="shared" si="611"/>
        <v>3.0748170731707316</v>
      </c>
      <c r="CL420" s="234" cm="1">
        <f t="array" ref="CL420">$BM420 * SUMPRODUCT(INDEX($AV$76:$AX$81,,$AI420),INDEX($AY$76:$BE$81,,$AH420), N($AU$76:$AU$81&gt;$AM420)) / CK420 / 1000</f>
        <v>0</v>
      </c>
      <c r="CM420" s="231">
        <f t="shared" si="629"/>
        <v>30</v>
      </c>
      <c r="CN420" s="229">
        <f t="shared" si="612"/>
        <v>43</v>
      </c>
      <c r="CO420" s="234">
        <f t="shared" si="613"/>
        <v>3.5018750000000001</v>
      </c>
      <c r="CP420" s="234" cm="1">
        <f t="array" ref="CP420">$BM420 * IF($AH420&lt;=2,
SUMPRODUCT(INDEX($AV$71:$AX$75,,$AI420), INDEX($AY$71:$BE$75,,$AH420), 1 / ($BF$71:$BF$75*CO420 + (1-$BF$71:$BF$75)*CK420), N($AU$71:$AU$75&gt;$AM420)),
SUMPRODUCT(INDEX($AV$66:$AX$75,,$AI420), INDEX($AY$66:$BE$75,,$AH420), 1 / ($BG$66:$BG$75*CO420 + (1-$BG$66:$BG$75)*CK420), N($AU$66:$AU$75&gt;$AM420))
) / 1000</f>
        <v>0</v>
      </c>
      <c r="CQ420" s="231">
        <f t="shared" si="630"/>
        <v>25</v>
      </c>
      <c r="CR420" s="229">
        <f t="shared" si="614"/>
        <v>38</v>
      </c>
      <c r="CS420" s="234">
        <f t="shared" si="615"/>
        <v>4.0666935483870965</v>
      </c>
      <c r="CT420" s="234" cm="1">
        <f t="array" ref="CT420">$BM420 * IF($AH420&lt;=2,
SUMPRODUCT(INDEX($AV$66:$AX$70,,$AI420), INDEX($AY$66:$BE$70,,$AH420), 1 / ($BF$66:$BF$70*CS420 + (1-$BF$66:$BF$70)*CO420), N($AU$66:$AU$70&gt;$AM420)),
SUMPRODUCT(INDEX($AV$56:$AX$65,,$AI420), INDEX($AY$56:$BE$65,,$AH420), 1 / ($BG$56:$BG$65*CS420 + (1-$BG$56:$BG$65)*CO420), N($AU$56:$AU$65&gt;$AM420))
) / 1000</f>
        <v>0</v>
      </c>
      <c r="CU420" s="231">
        <f t="shared" si="631"/>
        <v>20</v>
      </c>
      <c r="CV420" s="229">
        <f t="shared" si="616"/>
        <v>33</v>
      </c>
      <c r="CW420" s="234">
        <f t="shared" si="617"/>
        <v>4.8487499999999999</v>
      </c>
      <c r="CX420" s="234" cm="1">
        <f t="array" ref="CX420">$BM420 * IF($AH420&lt;=2,
SUMPRODUCT(INDEX($AV$61:$AX$65,,$AI420), INDEX($AY$61:$BE$65,,$AH420), 1 / ($BF$61:$BF$65*CW420 + (1-$BF$61:$BF$65)*CS420), N($AU$61:$AU$65&gt;$AM420)),
SUMPRODUCT(INDEX($AV$46:$AX$55,,$AI420), INDEX($AY$46:$BE$55,,$AH420), 1 / ($BG$46:$BG$55*CW420 + (1-$BG$46:$BG$55)*CS420), N($AU$46:$AU$55&gt;$AM420))
) / 1000</f>
        <v>0</v>
      </c>
      <c r="CY420" s="234" cm="1">
        <f t="array" ref="CY420">$BM420 * IF($AH420&lt;=2,
SUMPRODUCT(INDEX($AV$22:$AX$60,,$AI420), INDEX($AY$22:$BE$60,,$AH420), 1 / ($BF$22:$BF$60*CW420), N($AU$22:$AU$60&gt;$AM420)),
SUMPRODUCT(INDEX($AV$22:$AX$45,,$AI420), INDEX($AY$22:$BE$45,,$AH420), 1 / ($BG$22:$BG$45*CW420), N($AU$22:$AU$45&gt;$AM420))
) / 1000</f>
        <v>0</v>
      </c>
      <c r="CZ420" s="229">
        <f t="shared" si="618"/>
        <v>0</v>
      </c>
      <c r="DA420" s="246"/>
    </row>
    <row r="421" spans="1:105" s="75" customFormat="1" ht="14.25" customHeight="1" x14ac:dyDescent="0.2">
      <c r="A421" s="230" t="b">
        <f t="shared" si="623"/>
        <v>0</v>
      </c>
      <c r="B421" s="253">
        <v>400</v>
      </c>
      <c r="C421" s="266"/>
      <c r="D421" s="266"/>
      <c r="E421" s="254"/>
      <c r="F421" s="255" t="str">
        <f>IF(ISBLANK(E421), "", VLOOKUP(E421, Z!$A$2:$C$4127, 3, FALSE))</f>
        <v/>
      </c>
      <c r="G421" s="256"/>
      <c r="H421" s="256"/>
      <c r="I421" s="256"/>
      <c r="J421" s="257"/>
      <c r="K421" s="258"/>
      <c r="L421" s="267"/>
      <c r="M421" s="268"/>
      <c r="N421" s="259" t="str" cm="1">
        <f t="array" ref="N421">IF($L421&gt;0, INDEX(Clean,1+AK421,$D$1), "")</f>
        <v/>
      </c>
      <c r="O421" s="260"/>
      <c r="P421" s="260"/>
      <c r="Q421" s="261"/>
      <c r="R421" s="264">
        <f t="shared" si="594"/>
        <v>0</v>
      </c>
      <c r="S421" s="259" t="str" cm="1">
        <f t="array" ref="S421">IF($L421&gt;0, INDEX(Clean,1+AL421,$D$1), "")</f>
        <v/>
      </c>
      <c r="T421" s="260"/>
      <c r="U421" s="260"/>
      <c r="V421" s="261"/>
      <c r="W421" s="267"/>
      <c r="X421" s="267"/>
      <c r="Y421" s="257"/>
      <c r="Z421" s="264">
        <f t="shared" si="595"/>
        <v>0</v>
      </c>
      <c r="AA421" s="269"/>
      <c r="AB421" s="266"/>
      <c r="AC421" s="254"/>
      <c r="AD421" s="255" t="str">
        <f>IF(ISBLANK(AC421), "", VLOOKUP(AC421, Z!$A$2:$C$4127, 3, FALSE))</f>
        <v/>
      </c>
      <c r="AE421" s="270"/>
      <c r="AF421" s="265">
        <f t="shared" si="596"/>
        <v>0</v>
      </c>
      <c r="AG421" s="246"/>
      <c r="AH421" s="228">
        <f t="shared" si="619"/>
        <v>1</v>
      </c>
      <c r="AI421" s="228">
        <f t="shared" si="620"/>
        <v>1</v>
      </c>
      <c r="AJ421" s="228">
        <f t="shared" si="621"/>
        <v>0</v>
      </c>
      <c r="AK421" s="228">
        <v>0</v>
      </c>
      <c r="AL421" s="228">
        <v>0</v>
      </c>
      <c r="AM421" s="228">
        <f t="shared" si="597"/>
        <v>-100</v>
      </c>
      <c r="AN421" s="228" cm="1">
        <f t="array" ref="AN421">IF(ISBLANK(G421), 1, IFERROR(MATCH(G421, INDEX(Kat,,1), 0), IFERROR(MATCH(Kat, INDEX(Use,,2), 0), MATCH(Kat, INDEX(Use,,3), 0))))</f>
        <v>1</v>
      </c>
      <c r="AO421" s="246"/>
      <c r="AP421" s="228" cm="1">
        <f t="array" ref="AP421">IF(W421&gt;0, INDEX(Kat, AN421,4), 0)</f>
        <v>0</v>
      </c>
      <c r="AQ421" s="228">
        <f t="shared" si="622"/>
        <v>0</v>
      </c>
      <c r="AR421" s="228" cm="1">
        <f t="array" ref="AR421">IF(X421&gt;0, INDEX(Kat, $AN421, 4+AQ421), 0)</f>
        <v>0</v>
      </c>
      <c r="AS421" s="228" cm="1">
        <f t="array" ref="AS421">IF(X421&gt;0, INDEX(Kat, $AN421, 9+AQ421), 0)</f>
        <v>0</v>
      </c>
      <c r="AT421" s="246"/>
      <c r="AU421" s="262"/>
      <c r="AV421" s="262"/>
      <c r="AW421" s="263"/>
      <c r="AX421" s="263"/>
      <c r="AY421" s="263"/>
      <c r="AZ421" s="263"/>
      <c r="BA421" s="263"/>
      <c r="BB421" s="263"/>
      <c r="BC421" s="263"/>
      <c r="BD421" s="263"/>
      <c r="BE421" s="263"/>
      <c r="BF421" s="263"/>
      <c r="BG421" s="263"/>
      <c r="BH421" s="246"/>
      <c r="BI421" s="228" cm="1">
        <f t="array" ref="BI421">INDEX(Use, $AH421, 4)</f>
        <v>7</v>
      </c>
      <c r="BJ421" s="228">
        <f t="shared" si="598"/>
        <v>32</v>
      </c>
      <c r="BK421" s="228">
        <f t="shared" si="624"/>
        <v>13</v>
      </c>
      <c r="BL421" s="228">
        <f t="shared" si="625"/>
        <v>0</v>
      </c>
      <c r="BM421" s="233" cm="1">
        <f t="array" ref="BM421">L421/IF($M421&gt;0, INDEX($AY$22:$BE$76, $M421+20, $AH421), 1)</f>
        <v>0</v>
      </c>
      <c r="BN421" s="229">
        <f t="shared" si="599"/>
        <v>0</v>
      </c>
      <c r="BO421" s="228">
        <v>35</v>
      </c>
      <c r="BP421" s="229">
        <f t="shared" si="600"/>
        <v>48</v>
      </c>
      <c r="BQ421" s="234">
        <f t="shared" si="601"/>
        <v>3.0748170731707316</v>
      </c>
      <c r="BR421" s="234" cm="1">
        <f t="array" ref="BR421">$BM421 * SUMPRODUCT(INDEX($AV$76:$AX$81,,$AI421),INDEX($AY$76:$BE$81,,$AH421), N($AU$76:$AU$81&gt;$AM421)) / BQ421 / 1000</f>
        <v>0</v>
      </c>
      <c r="BS421" s="231">
        <f t="shared" si="626"/>
        <v>30</v>
      </c>
      <c r="BT421" s="229">
        <f t="shared" si="602"/>
        <v>43</v>
      </c>
      <c r="BU421" s="234">
        <f t="shared" si="603"/>
        <v>3.5018750000000001</v>
      </c>
      <c r="BV421" s="234" cm="1">
        <f t="array" ref="BV421">$BM421 * IF($AH421&lt;=2,
SUMPRODUCT(INDEX($AV$71:$AX$75,,$AI421), INDEX($AY$71:$BE$75,,$AH421), 1 / ($BF$71:$BF$75*BU421 + (1-$BF$71:$BF$75)*BQ421), N($AU$71:$AU$75&gt;$AM421)),
SUMPRODUCT(INDEX($AV$66:$AX$75,,$AI421), INDEX($AY$66:$BE$75,,$AH421), 1 / ($BG$66:$BG$75*BU421 + (1-$BG$66:$BG$75)*BQ421), N($AU$66:$AU$75&gt;$AM421))
) / 1000</f>
        <v>0</v>
      </c>
      <c r="BW421" s="231">
        <f t="shared" si="627"/>
        <v>25</v>
      </c>
      <c r="BX421" s="229">
        <f t="shared" si="604"/>
        <v>38</v>
      </c>
      <c r="BY421" s="234">
        <f t="shared" si="605"/>
        <v>4.0666935483870965</v>
      </c>
      <c r="BZ421" s="234" cm="1">
        <f t="array" ref="BZ421">$BM421 * IF($AH421&lt;=2,
SUMPRODUCT(INDEX($AV$66:$AX$70,,$AI421), INDEX($AY$66:$BE$70,,$AH421), 1 / ($BF$66:$BF$70*BY421 + (1-$BF$66:$BF$70)*BU421), N($AU$66:$AU$70&gt;$AM421)),
SUMPRODUCT(INDEX($AV$56:$AX$65,,$AI421), INDEX($AY$56:$BE$65,,$AH421), 1 / ($BG$56:$BG$65*BY421 + (1-$BG$56:$BG$65)*BU421), N($AU$56:$AU$65&gt;$AM421))
) / 1000</f>
        <v>0</v>
      </c>
      <c r="CA421" s="231">
        <f t="shared" si="628"/>
        <v>20</v>
      </c>
      <c r="CB421" s="229">
        <f t="shared" si="606"/>
        <v>33</v>
      </c>
      <c r="CC421" s="234">
        <f t="shared" si="607"/>
        <v>4.8487499999999999</v>
      </c>
      <c r="CD421" s="234" cm="1">
        <f t="array" ref="CD421">$BM421 * IF($AH421&lt;=2,
SUMPRODUCT(INDEX($AV$61:$AX$65,,$AI421), INDEX($AY$61:$BE$65,,$AH421), 1 / ($BF$61:$BF$65*CC421 + (1-$BF$61:$BF$65)*BY421), N($AU$61:$AU$65&gt;$AM421)),
SUMPRODUCT(INDEX($AV$46:$AX$55,,$AI421), INDEX($AY$46:$BE$55,,$AH421), 1 / ($BG$46:$BG$55*CC421 + (1-$BG$46:$BG$55)*BY421), N($AU$46:$AU$55&gt;$AM421))
) / 1000</f>
        <v>0</v>
      </c>
      <c r="CE421" s="234" cm="1">
        <f t="array" ref="CE421">$BM421 * IF($AH421&lt;=2,
SUMPRODUCT(INDEX($AV$22:$AX$60,,$AI421), INDEX($AY$22:$BE$60,,$AH421), 1 / ($BF$22:$BF$60*CC421), N($AU$22:$AU$60&gt;$AM421)),
SUMPRODUCT(INDEX($AV$22:$AX$45,,$AI421), INDEX($AY$22:$BE$45,,$AH421), 1 / ($BG$22:$BG$45*CC421), N($AU$22:$AU$45&gt;$AM421))
) / 1000</f>
        <v>0</v>
      </c>
      <c r="CF421" s="229">
        <f t="shared" si="608"/>
        <v>0</v>
      </c>
      <c r="CG421" s="246"/>
      <c r="CH421" s="229">
        <f t="shared" si="609"/>
        <v>0</v>
      </c>
      <c r="CI421" s="228">
        <v>35</v>
      </c>
      <c r="CJ421" s="229">
        <f t="shared" si="610"/>
        <v>48</v>
      </c>
      <c r="CK421" s="234">
        <f t="shared" si="611"/>
        <v>3.0748170731707316</v>
      </c>
      <c r="CL421" s="234" cm="1">
        <f t="array" ref="CL421">$BM421 * SUMPRODUCT(INDEX($AV$76:$AX$81,,$AI421),INDEX($AY$76:$BE$81,,$AH421), N($AU$76:$AU$81&gt;$AM421)) / CK421 / 1000</f>
        <v>0</v>
      </c>
      <c r="CM421" s="231">
        <f t="shared" si="629"/>
        <v>30</v>
      </c>
      <c r="CN421" s="229">
        <f t="shared" si="612"/>
        <v>43</v>
      </c>
      <c r="CO421" s="234">
        <f t="shared" si="613"/>
        <v>3.5018750000000001</v>
      </c>
      <c r="CP421" s="234" cm="1">
        <f t="array" ref="CP421">$BM421 * IF($AH421&lt;=2,
SUMPRODUCT(INDEX($AV$71:$AX$75,,$AI421), INDEX($AY$71:$BE$75,,$AH421), 1 / ($BF$71:$BF$75*CO421 + (1-$BF$71:$BF$75)*CK421), N($AU$71:$AU$75&gt;$AM421)),
SUMPRODUCT(INDEX($AV$66:$AX$75,,$AI421), INDEX($AY$66:$BE$75,,$AH421), 1 / ($BG$66:$BG$75*CO421 + (1-$BG$66:$BG$75)*CK421), N($AU$66:$AU$75&gt;$AM421))
) / 1000</f>
        <v>0</v>
      </c>
      <c r="CQ421" s="231">
        <f t="shared" si="630"/>
        <v>25</v>
      </c>
      <c r="CR421" s="229">
        <f t="shared" si="614"/>
        <v>38</v>
      </c>
      <c r="CS421" s="234">
        <f t="shared" si="615"/>
        <v>4.0666935483870965</v>
      </c>
      <c r="CT421" s="234" cm="1">
        <f t="array" ref="CT421">$BM421 * IF($AH421&lt;=2,
SUMPRODUCT(INDEX($AV$66:$AX$70,,$AI421), INDEX($AY$66:$BE$70,,$AH421), 1 / ($BF$66:$BF$70*CS421 + (1-$BF$66:$BF$70)*CO421), N($AU$66:$AU$70&gt;$AM421)),
SUMPRODUCT(INDEX($AV$56:$AX$65,,$AI421), INDEX($AY$56:$BE$65,,$AH421), 1 / ($BG$56:$BG$65*CS421 + (1-$BG$56:$BG$65)*CO421), N($AU$56:$AU$65&gt;$AM421))
) / 1000</f>
        <v>0</v>
      </c>
      <c r="CU421" s="231">
        <f t="shared" si="631"/>
        <v>20</v>
      </c>
      <c r="CV421" s="229">
        <f t="shared" si="616"/>
        <v>33</v>
      </c>
      <c r="CW421" s="234">
        <f t="shared" si="617"/>
        <v>4.8487499999999999</v>
      </c>
      <c r="CX421" s="234" cm="1">
        <f t="array" ref="CX421">$BM421 * IF($AH421&lt;=2,
SUMPRODUCT(INDEX($AV$61:$AX$65,,$AI421), INDEX($AY$61:$BE$65,,$AH421), 1 / ($BF$61:$BF$65*CW421 + (1-$BF$61:$BF$65)*CS421), N($AU$61:$AU$65&gt;$AM421)),
SUMPRODUCT(INDEX($AV$46:$AX$55,,$AI421), INDEX($AY$46:$BE$55,,$AH421), 1 / ($BG$46:$BG$55*CW421 + (1-$BG$46:$BG$55)*CS421), N($AU$46:$AU$55&gt;$AM421))
) / 1000</f>
        <v>0</v>
      </c>
      <c r="CY421" s="234" cm="1">
        <f t="array" ref="CY421">$BM421 * IF($AH421&lt;=2,
SUMPRODUCT(INDEX($AV$22:$AX$60,,$AI421), INDEX($AY$22:$BE$60,,$AH421), 1 / ($BF$22:$BF$60*CW421), N($AU$22:$AU$60&gt;$AM421)),
SUMPRODUCT(INDEX($AV$22:$AX$45,,$AI421), INDEX($AY$22:$BE$45,,$AH421), 1 / ($BG$22:$BG$45*CW421), N($AU$22:$AU$45&gt;$AM421))
) / 1000</f>
        <v>0</v>
      </c>
      <c r="CZ421" s="229">
        <f t="shared" si="618"/>
        <v>0</v>
      </c>
      <c r="DA421" s="246"/>
    </row>
    <row r="422" spans="1:105" s="75" customFormat="1" ht="14.25" customHeight="1" x14ac:dyDescent="0.2">
      <c r="A422" s="230" t="b">
        <f t="shared" si="623"/>
        <v>0</v>
      </c>
      <c r="B422" s="253">
        <v>401</v>
      </c>
      <c r="C422" s="266"/>
      <c r="D422" s="266"/>
      <c r="E422" s="254"/>
      <c r="F422" s="255" t="str">
        <f>IF(ISBLANK(E422), "", VLOOKUP(E422, Z!$A$2:$C$4127, 3, FALSE))</f>
        <v/>
      </c>
      <c r="G422" s="256"/>
      <c r="H422" s="256"/>
      <c r="I422" s="256"/>
      <c r="J422" s="257"/>
      <c r="K422" s="258"/>
      <c r="L422" s="267"/>
      <c r="M422" s="268"/>
      <c r="N422" s="259" t="str" cm="1">
        <f t="array" ref="N422">IF($L422&gt;0, INDEX(Clean,1+AK422,$D$1), "")</f>
        <v/>
      </c>
      <c r="O422" s="260"/>
      <c r="P422" s="260"/>
      <c r="Q422" s="261"/>
      <c r="R422" s="264">
        <f t="shared" si="594"/>
        <v>0</v>
      </c>
      <c r="S422" s="259" t="str" cm="1">
        <f t="array" ref="S422">IF($L422&gt;0, INDEX(Clean,1+AL422,$D$1), "")</f>
        <v/>
      </c>
      <c r="T422" s="260"/>
      <c r="U422" s="260"/>
      <c r="V422" s="261"/>
      <c r="W422" s="267"/>
      <c r="X422" s="267"/>
      <c r="Y422" s="257"/>
      <c r="Z422" s="264">
        <f t="shared" si="595"/>
        <v>0</v>
      </c>
      <c r="AA422" s="269"/>
      <c r="AB422" s="266"/>
      <c r="AC422" s="254"/>
      <c r="AD422" s="255" t="str">
        <f>IF(ISBLANK(AC422), "", VLOOKUP(AC422, Z!$A$2:$C$4127, 3, FALSE))</f>
        <v/>
      </c>
      <c r="AE422" s="270"/>
      <c r="AF422" s="265">
        <f t="shared" si="596"/>
        <v>0</v>
      </c>
      <c r="AG422" s="246"/>
      <c r="AH422" s="228">
        <f t="shared" si="619"/>
        <v>1</v>
      </c>
      <c r="AI422" s="228">
        <f t="shared" si="620"/>
        <v>1</v>
      </c>
      <c r="AJ422" s="228">
        <f t="shared" si="621"/>
        <v>0</v>
      </c>
      <c r="AK422" s="228">
        <v>0</v>
      </c>
      <c r="AL422" s="228">
        <v>0</v>
      </c>
      <c r="AM422" s="228">
        <f t="shared" si="597"/>
        <v>-100</v>
      </c>
      <c r="AN422" s="228" cm="1">
        <f t="array" ref="AN422">IF(ISBLANK(G422), 1, IFERROR(MATCH(G422, INDEX(Kat,,1), 0), IFERROR(MATCH(Kat, INDEX(Use,,2), 0), MATCH(Kat, INDEX(Use,,3), 0))))</f>
        <v>1</v>
      </c>
      <c r="AO422" s="246"/>
      <c r="AP422" s="228" cm="1">
        <f t="array" ref="AP422">IF(W422&gt;0, INDEX(Kat, AN422,4), 0)</f>
        <v>0</v>
      </c>
      <c r="AQ422" s="228">
        <f t="shared" si="622"/>
        <v>0</v>
      </c>
      <c r="AR422" s="228" cm="1">
        <f t="array" ref="AR422">IF(X422&gt;0, INDEX(Kat, $AN422, 4+AQ422), 0)</f>
        <v>0</v>
      </c>
      <c r="AS422" s="228" cm="1">
        <f t="array" ref="AS422">IF(X422&gt;0, INDEX(Kat, $AN422, 9+AQ422), 0)</f>
        <v>0</v>
      </c>
      <c r="AT422" s="246"/>
      <c r="AU422" s="262"/>
      <c r="AV422" s="262"/>
      <c r="AW422" s="263"/>
      <c r="AX422" s="263"/>
      <c r="AY422" s="263"/>
      <c r="AZ422" s="263"/>
      <c r="BA422" s="263"/>
      <c r="BB422" s="263"/>
      <c r="BC422" s="263"/>
      <c r="BD422" s="263"/>
      <c r="BE422" s="263"/>
      <c r="BF422" s="263"/>
      <c r="BG422" s="263"/>
      <c r="BH422" s="246"/>
      <c r="BI422" s="228" cm="1">
        <f t="array" ref="BI422">INDEX(Use, $AH422, 4)</f>
        <v>7</v>
      </c>
      <c r="BJ422" s="228">
        <f t="shared" si="598"/>
        <v>32</v>
      </c>
      <c r="BK422" s="228">
        <f t="shared" si="624"/>
        <v>13</v>
      </c>
      <c r="BL422" s="228">
        <f t="shared" si="625"/>
        <v>0</v>
      </c>
      <c r="BM422" s="233" cm="1">
        <f t="array" ref="BM422">L422/IF($M422&gt;0, INDEX($AY$22:$BE$76, $M422+20, $AH422), 1)</f>
        <v>0</v>
      </c>
      <c r="BN422" s="229">
        <f t="shared" si="599"/>
        <v>0</v>
      </c>
      <c r="BO422" s="228">
        <v>35</v>
      </c>
      <c r="BP422" s="229">
        <f t="shared" si="600"/>
        <v>48</v>
      </c>
      <c r="BQ422" s="234">
        <f t="shared" si="601"/>
        <v>3.0748170731707316</v>
      </c>
      <c r="BR422" s="234" cm="1">
        <f t="array" ref="BR422">$BM422 * SUMPRODUCT(INDEX($AV$76:$AX$81,,$AI422),INDEX($AY$76:$BE$81,,$AH422), N($AU$76:$AU$81&gt;$AM422)) / BQ422 / 1000</f>
        <v>0</v>
      </c>
      <c r="BS422" s="231">
        <f t="shared" si="626"/>
        <v>30</v>
      </c>
      <c r="BT422" s="229">
        <f t="shared" si="602"/>
        <v>43</v>
      </c>
      <c r="BU422" s="234">
        <f t="shared" si="603"/>
        <v>3.5018750000000001</v>
      </c>
      <c r="BV422" s="234" cm="1">
        <f t="array" ref="BV422">$BM422 * IF($AH422&lt;=2,
SUMPRODUCT(INDEX($AV$71:$AX$75,,$AI422), INDEX($AY$71:$BE$75,,$AH422), 1 / ($BF$71:$BF$75*BU422 + (1-$BF$71:$BF$75)*BQ422), N($AU$71:$AU$75&gt;$AM422)),
SUMPRODUCT(INDEX($AV$66:$AX$75,,$AI422), INDEX($AY$66:$BE$75,,$AH422), 1 / ($BG$66:$BG$75*BU422 + (1-$BG$66:$BG$75)*BQ422), N($AU$66:$AU$75&gt;$AM422))
) / 1000</f>
        <v>0</v>
      </c>
      <c r="BW422" s="231">
        <f t="shared" si="627"/>
        <v>25</v>
      </c>
      <c r="BX422" s="229">
        <f t="shared" si="604"/>
        <v>38</v>
      </c>
      <c r="BY422" s="234">
        <f t="shared" si="605"/>
        <v>4.0666935483870965</v>
      </c>
      <c r="BZ422" s="234" cm="1">
        <f t="array" ref="BZ422">$BM422 * IF($AH422&lt;=2,
SUMPRODUCT(INDEX($AV$66:$AX$70,,$AI422), INDEX($AY$66:$BE$70,,$AH422), 1 / ($BF$66:$BF$70*BY422 + (1-$BF$66:$BF$70)*BU422), N($AU$66:$AU$70&gt;$AM422)),
SUMPRODUCT(INDEX($AV$56:$AX$65,,$AI422), INDEX($AY$56:$BE$65,,$AH422), 1 / ($BG$56:$BG$65*BY422 + (1-$BG$56:$BG$65)*BU422), N($AU$56:$AU$65&gt;$AM422))
) / 1000</f>
        <v>0</v>
      </c>
      <c r="CA422" s="231">
        <f t="shared" si="628"/>
        <v>20</v>
      </c>
      <c r="CB422" s="229">
        <f t="shared" si="606"/>
        <v>33</v>
      </c>
      <c r="CC422" s="234">
        <f t="shared" si="607"/>
        <v>4.8487499999999999</v>
      </c>
      <c r="CD422" s="234" cm="1">
        <f t="array" ref="CD422">$BM422 * IF($AH422&lt;=2,
SUMPRODUCT(INDEX($AV$61:$AX$65,,$AI422), INDEX($AY$61:$BE$65,,$AH422), 1 / ($BF$61:$BF$65*CC422 + (1-$BF$61:$BF$65)*BY422), N($AU$61:$AU$65&gt;$AM422)),
SUMPRODUCT(INDEX($AV$46:$AX$55,,$AI422), INDEX($AY$46:$BE$55,,$AH422), 1 / ($BG$46:$BG$55*CC422 + (1-$BG$46:$BG$55)*BY422), N($AU$46:$AU$55&gt;$AM422))
) / 1000</f>
        <v>0</v>
      </c>
      <c r="CE422" s="234" cm="1">
        <f t="array" ref="CE422">$BM422 * IF($AH422&lt;=2,
SUMPRODUCT(INDEX($AV$22:$AX$60,,$AI422), INDEX($AY$22:$BE$60,,$AH422), 1 / ($BF$22:$BF$60*CC422), N($AU$22:$AU$60&gt;$AM422)),
SUMPRODUCT(INDEX($AV$22:$AX$45,,$AI422), INDEX($AY$22:$BE$45,,$AH422), 1 / ($BG$22:$BG$45*CC422), N($AU$22:$AU$45&gt;$AM422))
) / 1000</f>
        <v>0</v>
      </c>
      <c r="CF422" s="229">
        <f t="shared" si="608"/>
        <v>0</v>
      </c>
      <c r="CG422" s="246"/>
      <c r="CH422" s="229">
        <f t="shared" si="609"/>
        <v>0</v>
      </c>
      <c r="CI422" s="228">
        <v>35</v>
      </c>
      <c r="CJ422" s="229">
        <f t="shared" si="610"/>
        <v>48</v>
      </c>
      <c r="CK422" s="234">
        <f t="shared" si="611"/>
        <v>3.0748170731707316</v>
      </c>
      <c r="CL422" s="234" cm="1">
        <f t="array" ref="CL422">$BM422 * SUMPRODUCT(INDEX($AV$76:$AX$81,,$AI422),INDEX($AY$76:$BE$81,,$AH422), N($AU$76:$AU$81&gt;$AM422)) / CK422 / 1000</f>
        <v>0</v>
      </c>
      <c r="CM422" s="231">
        <f t="shared" si="629"/>
        <v>30</v>
      </c>
      <c r="CN422" s="229">
        <f t="shared" si="612"/>
        <v>43</v>
      </c>
      <c r="CO422" s="234">
        <f t="shared" si="613"/>
        <v>3.5018750000000001</v>
      </c>
      <c r="CP422" s="234" cm="1">
        <f t="array" ref="CP422">$BM422 * IF($AH422&lt;=2,
SUMPRODUCT(INDEX($AV$71:$AX$75,,$AI422), INDEX($AY$71:$BE$75,,$AH422), 1 / ($BF$71:$BF$75*CO422 + (1-$BF$71:$BF$75)*CK422), N($AU$71:$AU$75&gt;$AM422)),
SUMPRODUCT(INDEX($AV$66:$AX$75,,$AI422), INDEX($AY$66:$BE$75,,$AH422), 1 / ($BG$66:$BG$75*CO422 + (1-$BG$66:$BG$75)*CK422), N($AU$66:$AU$75&gt;$AM422))
) / 1000</f>
        <v>0</v>
      </c>
      <c r="CQ422" s="231">
        <f t="shared" si="630"/>
        <v>25</v>
      </c>
      <c r="CR422" s="229">
        <f t="shared" si="614"/>
        <v>38</v>
      </c>
      <c r="CS422" s="234">
        <f t="shared" si="615"/>
        <v>4.0666935483870965</v>
      </c>
      <c r="CT422" s="234" cm="1">
        <f t="array" ref="CT422">$BM422 * IF($AH422&lt;=2,
SUMPRODUCT(INDEX($AV$66:$AX$70,,$AI422), INDEX($AY$66:$BE$70,,$AH422), 1 / ($BF$66:$BF$70*CS422 + (1-$BF$66:$BF$70)*CO422), N($AU$66:$AU$70&gt;$AM422)),
SUMPRODUCT(INDEX($AV$56:$AX$65,,$AI422), INDEX($AY$56:$BE$65,,$AH422), 1 / ($BG$56:$BG$65*CS422 + (1-$BG$56:$BG$65)*CO422), N($AU$56:$AU$65&gt;$AM422))
) / 1000</f>
        <v>0</v>
      </c>
      <c r="CU422" s="231">
        <f t="shared" si="631"/>
        <v>20</v>
      </c>
      <c r="CV422" s="229">
        <f t="shared" si="616"/>
        <v>33</v>
      </c>
      <c r="CW422" s="234">
        <f t="shared" si="617"/>
        <v>4.8487499999999999</v>
      </c>
      <c r="CX422" s="234" cm="1">
        <f t="array" ref="CX422">$BM422 * IF($AH422&lt;=2,
SUMPRODUCT(INDEX($AV$61:$AX$65,,$AI422), INDEX($AY$61:$BE$65,,$AH422), 1 / ($BF$61:$BF$65*CW422 + (1-$BF$61:$BF$65)*CS422), N($AU$61:$AU$65&gt;$AM422)),
SUMPRODUCT(INDEX($AV$46:$AX$55,,$AI422), INDEX($AY$46:$BE$55,,$AH422), 1 / ($BG$46:$BG$55*CW422 + (1-$BG$46:$BG$55)*CS422), N($AU$46:$AU$55&gt;$AM422))
) / 1000</f>
        <v>0</v>
      </c>
      <c r="CY422" s="234" cm="1">
        <f t="array" ref="CY422">$BM422 * IF($AH422&lt;=2,
SUMPRODUCT(INDEX($AV$22:$AX$60,,$AI422), INDEX($AY$22:$BE$60,,$AH422), 1 / ($BF$22:$BF$60*CW422), N($AU$22:$AU$60&gt;$AM422)),
SUMPRODUCT(INDEX($AV$22:$AX$45,,$AI422), INDEX($AY$22:$BE$45,,$AH422), 1 / ($BG$22:$BG$45*CW422), N($AU$22:$AU$45&gt;$AM422))
) / 1000</f>
        <v>0</v>
      </c>
      <c r="CZ422" s="229">
        <f t="shared" si="618"/>
        <v>0</v>
      </c>
      <c r="DA422" s="246"/>
    </row>
    <row r="423" spans="1:105" s="75" customFormat="1" ht="14.25" customHeight="1" x14ac:dyDescent="0.2">
      <c r="A423" s="230" t="b">
        <f t="shared" si="623"/>
        <v>0</v>
      </c>
      <c r="B423" s="253">
        <v>402</v>
      </c>
      <c r="C423" s="266"/>
      <c r="D423" s="266"/>
      <c r="E423" s="254"/>
      <c r="F423" s="255" t="str">
        <f>IF(ISBLANK(E423), "", VLOOKUP(E423, Z!$A$2:$C$4127, 3, FALSE))</f>
        <v/>
      </c>
      <c r="G423" s="256"/>
      <c r="H423" s="256"/>
      <c r="I423" s="256"/>
      <c r="J423" s="257"/>
      <c r="K423" s="258"/>
      <c r="L423" s="267"/>
      <c r="M423" s="268"/>
      <c r="N423" s="259" t="str" cm="1">
        <f t="array" ref="N423">IF($L423&gt;0, INDEX(Clean,1+AK423,$D$1), "")</f>
        <v/>
      </c>
      <c r="O423" s="260"/>
      <c r="P423" s="260"/>
      <c r="Q423" s="261"/>
      <c r="R423" s="264">
        <f t="shared" si="594"/>
        <v>0</v>
      </c>
      <c r="S423" s="259" t="str" cm="1">
        <f t="array" ref="S423">IF($L423&gt;0, INDEX(Clean,1+AL423,$D$1), "")</f>
        <v/>
      </c>
      <c r="T423" s="260"/>
      <c r="U423" s="260"/>
      <c r="V423" s="261"/>
      <c r="W423" s="267"/>
      <c r="X423" s="267"/>
      <c r="Y423" s="257"/>
      <c r="Z423" s="264">
        <f t="shared" si="595"/>
        <v>0</v>
      </c>
      <c r="AA423" s="269"/>
      <c r="AB423" s="266"/>
      <c r="AC423" s="254"/>
      <c r="AD423" s="255" t="str">
        <f>IF(ISBLANK(AC423), "", VLOOKUP(AC423, Z!$A$2:$C$4127, 3, FALSE))</f>
        <v/>
      </c>
      <c r="AE423" s="270"/>
      <c r="AF423" s="265">
        <f t="shared" si="596"/>
        <v>0</v>
      </c>
      <c r="AG423" s="246"/>
      <c r="AH423" s="228">
        <f t="shared" si="619"/>
        <v>1</v>
      </c>
      <c r="AI423" s="228">
        <f t="shared" si="620"/>
        <v>1</v>
      </c>
      <c r="AJ423" s="228">
        <f t="shared" si="621"/>
        <v>0</v>
      </c>
      <c r="AK423" s="228">
        <v>0</v>
      </c>
      <c r="AL423" s="228">
        <v>0</v>
      </c>
      <c r="AM423" s="228">
        <f t="shared" si="597"/>
        <v>-100</v>
      </c>
      <c r="AN423" s="228" cm="1">
        <f t="array" ref="AN423">IF(ISBLANK(G423), 1, IFERROR(MATCH(G423, INDEX(Kat,,1), 0), IFERROR(MATCH(Kat, INDEX(Use,,2), 0), MATCH(Kat, INDEX(Use,,3), 0))))</f>
        <v>1</v>
      </c>
      <c r="AO423" s="246"/>
      <c r="AP423" s="228" cm="1">
        <f t="array" ref="AP423">IF(W423&gt;0, INDEX(Kat, AN423,4), 0)</f>
        <v>0</v>
      </c>
      <c r="AQ423" s="228">
        <f t="shared" si="622"/>
        <v>0</v>
      </c>
      <c r="AR423" s="228" cm="1">
        <f t="array" ref="AR423">IF(X423&gt;0, INDEX(Kat, $AN423, 4+AQ423), 0)</f>
        <v>0</v>
      </c>
      <c r="AS423" s="228" cm="1">
        <f t="array" ref="AS423">IF(X423&gt;0, INDEX(Kat, $AN423, 9+AQ423), 0)</f>
        <v>0</v>
      </c>
      <c r="AT423" s="246"/>
      <c r="AU423" s="262"/>
      <c r="AV423" s="262"/>
      <c r="AW423" s="263"/>
      <c r="AX423" s="263"/>
      <c r="AY423" s="263"/>
      <c r="AZ423" s="263"/>
      <c r="BA423" s="263"/>
      <c r="BB423" s="263"/>
      <c r="BC423" s="263"/>
      <c r="BD423" s="263"/>
      <c r="BE423" s="263"/>
      <c r="BF423" s="263"/>
      <c r="BG423" s="263"/>
      <c r="BH423" s="246"/>
      <c r="BI423" s="228" cm="1">
        <f t="array" ref="BI423">INDEX(Use, $AH423, 4)</f>
        <v>7</v>
      </c>
      <c r="BJ423" s="228">
        <f t="shared" si="598"/>
        <v>32</v>
      </c>
      <c r="BK423" s="228">
        <f t="shared" si="624"/>
        <v>13</v>
      </c>
      <c r="BL423" s="228">
        <f t="shared" si="625"/>
        <v>0</v>
      </c>
      <c r="BM423" s="233" cm="1">
        <f t="array" ref="BM423">L423/IF($M423&gt;0, INDEX($AY$22:$BE$76, $M423+20, $AH423), 1)</f>
        <v>0</v>
      </c>
      <c r="BN423" s="229">
        <f t="shared" si="599"/>
        <v>0</v>
      </c>
      <c r="BO423" s="228">
        <v>35</v>
      </c>
      <c r="BP423" s="229">
        <f t="shared" si="600"/>
        <v>48</v>
      </c>
      <c r="BQ423" s="234">
        <f t="shared" si="601"/>
        <v>3.0748170731707316</v>
      </c>
      <c r="BR423" s="234" cm="1">
        <f t="array" ref="BR423">$BM423 * SUMPRODUCT(INDEX($AV$76:$AX$81,,$AI423),INDEX($AY$76:$BE$81,,$AH423), N($AU$76:$AU$81&gt;$AM423)) / BQ423 / 1000</f>
        <v>0</v>
      </c>
      <c r="BS423" s="231">
        <f t="shared" si="626"/>
        <v>30</v>
      </c>
      <c r="BT423" s="229">
        <f t="shared" si="602"/>
        <v>43</v>
      </c>
      <c r="BU423" s="234">
        <f t="shared" si="603"/>
        <v>3.5018750000000001</v>
      </c>
      <c r="BV423" s="234" cm="1">
        <f t="array" ref="BV423">$BM423 * IF($AH423&lt;=2,
SUMPRODUCT(INDEX($AV$71:$AX$75,,$AI423), INDEX($AY$71:$BE$75,,$AH423), 1 / ($BF$71:$BF$75*BU423 + (1-$BF$71:$BF$75)*BQ423), N($AU$71:$AU$75&gt;$AM423)),
SUMPRODUCT(INDEX($AV$66:$AX$75,,$AI423), INDEX($AY$66:$BE$75,,$AH423), 1 / ($BG$66:$BG$75*BU423 + (1-$BG$66:$BG$75)*BQ423), N($AU$66:$AU$75&gt;$AM423))
) / 1000</f>
        <v>0</v>
      </c>
      <c r="BW423" s="231">
        <f t="shared" si="627"/>
        <v>25</v>
      </c>
      <c r="BX423" s="229">
        <f t="shared" si="604"/>
        <v>38</v>
      </c>
      <c r="BY423" s="234">
        <f t="shared" si="605"/>
        <v>4.0666935483870965</v>
      </c>
      <c r="BZ423" s="234" cm="1">
        <f t="array" ref="BZ423">$BM423 * IF($AH423&lt;=2,
SUMPRODUCT(INDEX($AV$66:$AX$70,,$AI423), INDEX($AY$66:$BE$70,,$AH423), 1 / ($BF$66:$BF$70*BY423 + (1-$BF$66:$BF$70)*BU423), N($AU$66:$AU$70&gt;$AM423)),
SUMPRODUCT(INDEX($AV$56:$AX$65,,$AI423), INDEX($AY$56:$BE$65,,$AH423), 1 / ($BG$56:$BG$65*BY423 + (1-$BG$56:$BG$65)*BU423), N($AU$56:$AU$65&gt;$AM423))
) / 1000</f>
        <v>0</v>
      </c>
      <c r="CA423" s="231">
        <f t="shared" si="628"/>
        <v>20</v>
      </c>
      <c r="CB423" s="229">
        <f t="shared" si="606"/>
        <v>33</v>
      </c>
      <c r="CC423" s="234">
        <f t="shared" si="607"/>
        <v>4.8487499999999999</v>
      </c>
      <c r="CD423" s="234" cm="1">
        <f t="array" ref="CD423">$BM423 * IF($AH423&lt;=2,
SUMPRODUCT(INDEX($AV$61:$AX$65,,$AI423), INDEX($AY$61:$BE$65,,$AH423), 1 / ($BF$61:$BF$65*CC423 + (1-$BF$61:$BF$65)*BY423), N($AU$61:$AU$65&gt;$AM423)),
SUMPRODUCT(INDEX($AV$46:$AX$55,,$AI423), INDEX($AY$46:$BE$55,,$AH423), 1 / ($BG$46:$BG$55*CC423 + (1-$BG$46:$BG$55)*BY423), N($AU$46:$AU$55&gt;$AM423))
) / 1000</f>
        <v>0</v>
      </c>
      <c r="CE423" s="234" cm="1">
        <f t="array" ref="CE423">$BM423 * IF($AH423&lt;=2,
SUMPRODUCT(INDEX($AV$22:$AX$60,,$AI423), INDEX($AY$22:$BE$60,,$AH423), 1 / ($BF$22:$BF$60*CC423), N($AU$22:$AU$60&gt;$AM423)),
SUMPRODUCT(INDEX($AV$22:$AX$45,,$AI423), INDEX($AY$22:$BE$45,,$AH423), 1 / ($BG$22:$BG$45*CC423), N($AU$22:$AU$45&gt;$AM423))
) / 1000</f>
        <v>0</v>
      </c>
      <c r="CF423" s="229">
        <f t="shared" si="608"/>
        <v>0</v>
      </c>
      <c r="CG423" s="246"/>
      <c r="CH423" s="229">
        <f t="shared" si="609"/>
        <v>0</v>
      </c>
      <c r="CI423" s="228">
        <v>35</v>
      </c>
      <c r="CJ423" s="229">
        <f t="shared" si="610"/>
        <v>48</v>
      </c>
      <c r="CK423" s="234">
        <f t="shared" si="611"/>
        <v>3.0748170731707316</v>
      </c>
      <c r="CL423" s="234" cm="1">
        <f t="array" ref="CL423">$BM423 * SUMPRODUCT(INDEX($AV$76:$AX$81,,$AI423),INDEX($AY$76:$BE$81,,$AH423), N($AU$76:$AU$81&gt;$AM423)) / CK423 / 1000</f>
        <v>0</v>
      </c>
      <c r="CM423" s="231">
        <f t="shared" si="629"/>
        <v>30</v>
      </c>
      <c r="CN423" s="229">
        <f t="shared" si="612"/>
        <v>43</v>
      </c>
      <c r="CO423" s="234">
        <f t="shared" si="613"/>
        <v>3.5018750000000001</v>
      </c>
      <c r="CP423" s="234" cm="1">
        <f t="array" ref="CP423">$BM423 * IF($AH423&lt;=2,
SUMPRODUCT(INDEX($AV$71:$AX$75,,$AI423), INDEX($AY$71:$BE$75,,$AH423), 1 / ($BF$71:$BF$75*CO423 + (1-$BF$71:$BF$75)*CK423), N($AU$71:$AU$75&gt;$AM423)),
SUMPRODUCT(INDEX($AV$66:$AX$75,,$AI423), INDEX($AY$66:$BE$75,,$AH423), 1 / ($BG$66:$BG$75*CO423 + (1-$BG$66:$BG$75)*CK423), N($AU$66:$AU$75&gt;$AM423))
) / 1000</f>
        <v>0</v>
      </c>
      <c r="CQ423" s="231">
        <f t="shared" si="630"/>
        <v>25</v>
      </c>
      <c r="CR423" s="229">
        <f t="shared" si="614"/>
        <v>38</v>
      </c>
      <c r="CS423" s="234">
        <f t="shared" si="615"/>
        <v>4.0666935483870965</v>
      </c>
      <c r="CT423" s="234" cm="1">
        <f t="array" ref="CT423">$BM423 * IF($AH423&lt;=2,
SUMPRODUCT(INDEX($AV$66:$AX$70,,$AI423), INDEX($AY$66:$BE$70,,$AH423), 1 / ($BF$66:$BF$70*CS423 + (1-$BF$66:$BF$70)*CO423), N($AU$66:$AU$70&gt;$AM423)),
SUMPRODUCT(INDEX($AV$56:$AX$65,,$AI423), INDEX($AY$56:$BE$65,,$AH423), 1 / ($BG$56:$BG$65*CS423 + (1-$BG$56:$BG$65)*CO423), N($AU$56:$AU$65&gt;$AM423))
) / 1000</f>
        <v>0</v>
      </c>
      <c r="CU423" s="231">
        <f t="shared" si="631"/>
        <v>20</v>
      </c>
      <c r="CV423" s="229">
        <f t="shared" si="616"/>
        <v>33</v>
      </c>
      <c r="CW423" s="234">
        <f t="shared" si="617"/>
        <v>4.8487499999999999</v>
      </c>
      <c r="CX423" s="234" cm="1">
        <f t="array" ref="CX423">$BM423 * IF($AH423&lt;=2,
SUMPRODUCT(INDEX($AV$61:$AX$65,,$AI423), INDEX($AY$61:$BE$65,,$AH423), 1 / ($BF$61:$BF$65*CW423 + (1-$BF$61:$BF$65)*CS423), N($AU$61:$AU$65&gt;$AM423)),
SUMPRODUCT(INDEX($AV$46:$AX$55,,$AI423), INDEX($AY$46:$BE$55,,$AH423), 1 / ($BG$46:$BG$55*CW423 + (1-$BG$46:$BG$55)*CS423), N($AU$46:$AU$55&gt;$AM423))
) / 1000</f>
        <v>0</v>
      </c>
      <c r="CY423" s="234" cm="1">
        <f t="array" ref="CY423">$BM423 * IF($AH423&lt;=2,
SUMPRODUCT(INDEX($AV$22:$AX$60,,$AI423), INDEX($AY$22:$BE$60,,$AH423), 1 / ($BF$22:$BF$60*CW423), N($AU$22:$AU$60&gt;$AM423)),
SUMPRODUCT(INDEX($AV$22:$AX$45,,$AI423), INDEX($AY$22:$BE$45,,$AH423), 1 / ($BG$22:$BG$45*CW423), N($AU$22:$AU$45&gt;$AM423))
) / 1000</f>
        <v>0</v>
      </c>
      <c r="CZ423" s="229">
        <f t="shared" si="618"/>
        <v>0</v>
      </c>
      <c r="DA423" s="246"/>
    </row>
    <row r="424" spans="1:105" s="75" customFormat="1" ht="14.25" customHeight="1" x14ac:dyDescent="0.2">
      <c r="A424" s="230" t="b">
        <f t="shared" si="623"/>
        <v>0</v>
      </c>
      <c r="B424" s="253">
        <v>403</v>
      </c>
      <c r="C424" s="266"/>
      <c r="D424" s="266"/>
      <c r="E424" s="254"/>
      <c r="F424" s="255" t="str">
        <f>IF(ISBLANK(E424), "", VLOOKUP(E424, Z!$A$2:$C$4127, 3, FALSE))</f>
        <v/>
      </c>
      <c r="G424" s="256"/>
      <c r="H424" s="256"/>
      <c r="I424" s="256"/>
      <c r="J424" s="257"/>
      <c r="K424" s="258"/>
      <c r="L424" s="267"/>
      <c r="M424" s="268"/>
      <c r="N424" s="259" t="str" cm="1">
        <f t="array" ref="N424">IF($L424&gt;0, INDEX(Clean,1+AK424,$D$1), "")</f>
        <v/>
      </c>
      <c r="O424" s="260"/>
      <c r="P424" s="260"/>
      <c r="Q424" s="261"/>
      <c r="R424" s="264">
        <f t="shared" si="594"/>
        <v>0</v>
      </c>
      <c r="S424" s="259" t="str" cm="1">
        <f t="array" ref="S424">IF($L424&gt;0, INDEX(Clean,1+AL424,$D$1), "")</f>
        <v/>
      </c>
      <c r="T424" s="260"/>
      <c r="U424" s="260"/>
      <c r="V424" s="261"/>
      <c r="W424" s="267"/>
      <c r="X424" s="267"/>
      <c r="Y424" s="257"/>
      <c r="Z424" s="264">
        <f t="shared" si="595"/>
        <v>0</v>
      </c>
      <c r="AA424" s="269"/>
      <c r="AB424" s="266"/>
      <c r="AC424" s="254"/>
      <c r="AD424" s="255" t="str">
        <f>IF(ISBLANK(AC424), "", VLOOKUP(AC424, Z!$A$2:$C$4127, 3, FALSE))</f>
        <v/>
      </c>
      <c r="AE424" s="270"/>
      <c r="AF424" s="265">
        <f t="shared" si="596"/>
        <v>0</v>
      </c>
      <c r="AG424" s="246"/>
      <c r="AH424" s="228">
        <f t="shared" si="619"/>
        <v>1</v>
      </c>
      <c r="AI424" s="228">
        <f t="shared" si="620"/>
        <v>1</v>
      </c>
      <c r="AJ424" s="228">
        <f t="shared" si="621"/>
        <v>0</v>
      </c>
      <c r="AK424" s="228">
        <v>0</v>
      </c>
      <c r="AL424" s="228">
        <v>0</v>
      </c>
      <c r="AM424" s="228">
        <f t="shared" si="597"/>
        <v>-100</v>
      </c>
      <c r="AN424" s="228" cm="1">
        <f t="array" ref="AN424">IF(ISBLANK(G424), 1, IFERROR(MATCH(G424, INDEX(Kat,,1), 0), IFERROR(MATCH(Kat, INDEX(Use,,2), 0), MATCH(Kat, INDEX(Use,,3), 0))))</f>
        <v>1</v>
      </c>
      <c r="AO424" s="246"/>
      <c r="AP424" s="228" cm="1">
        <f t="array" ref="AP424">IF(W424&gt;0, INDEX(Kat, AN424,4), 0)</f>
        <v>0</v>
      </c>
      <c r="AQ424" s="228">
        <f t="shared" si="622"/>
        <v>0</v>
      </c>
      <c r="AR424" s="228" cm="1">
        <f t="array" ref="AR424">IF(X424&gt;0, INDEX(Kat, $AN424, 4+AQ424), 0)</f>
        <v>0</v>
      </c>
      <c r="AS424" s="228" cm="1">
        <f t="array" ref="AS424">IF(X424&gt;0, INDEX(Kat, $AN424, 9+AQ424), 0)</f>
        <v>0</v>
      </c>
      <c r="AT424" s="246"/>
      <c r="AU424" s="262"/>
      <c r="AV424" s="262"/>
      <c r="AW424" s="263"/>
      <c r="AX424" s="263"/>
      <c r="AY424" s="263"/>
      <c r="AZ424" s="263"/>
      <c r="BA424" s="263"/>
      <c r="BB424" s="263"/>
      <c r="BC424" s="263"/>
      <c r="BD424" s="263"/>
      <c r="BE424" s="263"/>
      <c r="BF424" s="263"/>
      <c r="BG424" s="263"/>
      <c r="BH424" s="246"/>
      <c r="BI424" s="228" cm="1">
        <f t="array" ref="BI424">INDEX(Use, $AH424, 4)</f>
        <v>7</v>
      </c>
      <c r="BJ424" s="228">
        <f t="shared" si="598"/>
        <v>32</v>
      </c>
      <c r="BK424" s="228">
        <f t="shared" si="624"/>
        <v>13</v>
      </c>
      <c r="BL424" s="228">
        <f t="shared" si="625"/>
        <v>0</v>
      </c>
      <c r="BM424" s="233" cm="1">
        <f t="array" ref="BM424">L424/IF($M424&gt;0, INDEX($AY$22:$BE$76, $M424+20, $AH424), 1)</f>
        <v>0</v>
      </c>
      <c r="BN424" s="229">
        <f t="shared" si="599"/>
        <v>0</v>
      </c>
      <c r="BO424" s="228">
        <v>35</v>
      </c>
      <c r="BP424" s="229">
        <f t="shared" si="600"/>
        <v>48</v>
      </c>
      <c r="BQ424" s="234">
        <f t="shared" si="601"/>
        <v>3.0748170731707316</v>
      </c>
      <c r="BR424" s="234" cm="1">
        <f t="array" ref="BR424">$BM424 * SUMPRODUCT(INDEX($AV$76:$AX$81,,$AI424),INDEX($AY$76:$BE$81,,$AH424), N($AU$76:$AU$81&gt;$AM424)) / BQ424 / 1000</f>
        <v>0</v>
      </c>
      <c r="BS424" s="231">
        <f t="shared" si="626"/>
        <v>30</v>
      </c>
      <c r="BT424" s="229">
        <f t="shared" si="602"/>
        <v>43</v>
      </c>
      <c r="BU424" s="234">
        <f t="shared" si="603"/>
        <v>3.5018750000000001</v>
      </c>
      <c r="BV424" s="234" cm="1">
        <f t="array" ref="BV424">$BM424 * IF($AH424&lt;=2,
SUMPRODUCT(INDEX($AV$71:$AX$75,,$AI424), INDEX($AY$71:$BE$75,,$AH424), 1 / ($BF$71:$BF$75*BU424 + (1-$BF$71:$BF$75)*BQ424), N($AU$71:$AU$75&gt;$AM424)),
SUMPRODUCT(INDEX($AV$66:$AX$75,,$AI424), INDEX($AY$66:$BE$75,,$AH424), 1 / ($BG$66:$BG$75*BU424 + (1-$BG$66:$BG$75)*BQ424), N($AU$66:$AU$75&gt;$AM424))
) / 1000</f>
        <v>0</v>
      </c>
      <c r="BW424" s="231">
        <f t="shared" si="627"/>
        <v>25</v>
      </c>
      <c r="BX424" s="229">
        <f t="shared" si="604"/>
        <v>38</v>
      </c>
      <c r="BY424" s="234">
        <f t="shared" si="605"/>
        <v>4.0666935483870965</v>
      </c>
      <c r="BZ424" s="234" cm="1">
        <f t="array" ref="BZ424">$BM424 * IF($AH424&lt;=2,
SUMPRODUCT(INDEX($AV$66:$AX$70,,$AI424), INDEX($AY$66:$BE$70,,$AH424), 1 / ($BF$66:$BF$70*BY424 + (1-$BF$66:$BF$70)*BU424), N($AU$66:$AU$70&gt;$AM424)),
SUMPRODUCT(INDEX($AV$56:$AX$65,,$AI424), INDEX($AY$56:$BE$65,,$AH424), 1 / ($BG$56:$BG$65*BY424 + (1-$BG$56:$BG$65)*BU424), N($AU$56:$AU$65&gt;$AM424))
) / 1000</f>
        <v>0</v>
      </c>
      <c r="CA424" s="231">
        <f t="shared" si="628"/>
        <v>20</v>
      </c>
      <c r="CB424" s="229">
        <f t="shared" si="606"/>
        <v>33</v>
      </c>
      <c r="CC424" s="234">
        <f t="shared" si="607"/>
        <v>4.8487499999999999</v>
      </c>
      <c r="CD424" s="234" cm="1">
        <f t="array" ref="CD424">$BM424 * IF($AH424&lt;=2,
SUMPRODUCT(INDEX($AV$61:$AX$65,,$AI424), INDEX($AY$61:$BE$65,,$AH424), 1 / ($BF$61:$BF$65*CC424 + (1-$BF$61:$BF$65)*BY424), N($AU$61:$AU$65&gt;$AM424)),
SUMPRODUCT(INDEX($AV$46:$AX$55,,$AI424), INDEX($AY$46:$BE$55,,$AH424), 1 / ($BG$46:$BG$55*CC424 + (1-$BG$46:$BG$55)*BY424), N($AU$46:$AU$55&gt;$AM424))
) / 1000</f>
        <v>0</v>
      </c>
      <c r="CE424" s="234" cm="1">
        <f t="array" ref="CE424">$BM424 * IF($AH424&lt;=2,
SUMPRODUCT(INDEX($AV$22:$AX$60,,$AI424), INDEX($AY$22:$BE$60,,$AH424), 1 / ($BF$22:$BF$60*CC424), N($AU$22:$AU$60&gt;$AM424)),
SUMPRODUCT(INDEX($AV$22:$AX$45,,$AI424), INDEX($AY$22:$BE$45,,$AH424), 1 / ($BG$22:$BG$45*CC424), N($AU$22:$AU$45&gt;$AM424))
) / 1000</f>
        <v>0</v>
      </c>
      <c r="CF424" s="229">
        <f t="shared" si="608"/>
        <v>0</v>
      </c>
      <c r="CG424" s="246"/>
      <c r="CH424" s="229">
        <f t="shared" si="609"/>
        <v>0</v>
      </c>
      <c r="CI424" s="228">
        <v>35</v>
      </c>
      <c r="CJ424" s="229">
        <f t="shared" si="610"/>
        <v>48</v>
      </c>
      <c r="CK424" s="234">
        <f t="shared" si="611"/>
        <v>3.0748170731707316</v>
      </c>
      <c r="CL424" s="234" cm="1">
        <f t="array" ref="CL424">$BM424 * SUMPRODUCT(INDEX($AV$76:$AX$81,,$AI424),INDEX($AY$76:$BE$81,,$AH424), N($AU$76:$AU$81&gt;$AM424)) / CK424 / 1000</f>
        <v>0</v>
      </c>
      <c r="CM424" s="231">
        <f t="shared" si="629"/>
        <v>30</v>
      </c>
      <c r="CN424" s="229">
        <f t="shared" si="612"/>
        <v>43</v>
      </c>
      <c r="CO424" s="234">
        <f t="shared" si="613"/>
        <v>3.5018750000000001</v>
      </c>
      <c r="CP424" s="234" cm="1">
        <f t="array" ref="CP424">$BM424 * IF($AH424&lt;=2,
SUMPRODUCT(INDEX($AV$71:$AX$75,,$AI424), INDEX($AY$71:$BE$75,,$AH424), 1 / ($BF$71:$BF$75*CO424 + (1-$BF$71:$BF$75)*CK424), N($AU$71:$AU$75&gt;$AM424)),
SUMPRODUCT(INDEX($AV$66:$AX$75,,$AI424), INDEX($AY$66:$BE$75,,$AH424), 1 / ($BG$66:$BG$75*CO424 + (1-$BG$66:$BG$75)*CK424), N($AU$66:$AU$75&gt;$AM424))
) / 1000</f>
        <v>0</v>
      </c>
      <c r="CQ424" s="231">
        <f t="shared" si="630"/>
        <v>25</v>
      </c>
      <c r="CR424" s="229">
        <f t="shared" si="614"/>
        <v>38</v>
      </c>
      <c r="CS424" s="234">
        <f t="shared" si="615"/>
        <v>4.0666935483870965</v>
      </c>
      <c r="CT424" s="234" cm="1">
        <f t="array" ref="CT424">$BM424 * IF($AH424&lt;=2,
SUMPRODUCT(INDEX($AV$66:$AX$70,,$AI424), INDEX($AY$66:$BE$70,,$AH424), 1 / ($BF$66:$BF$70*CS424 + (1-$BF$66:$BF$70)*CO424), N($AU$66:$AU$70&gt;$AM424)),
SUMPRODUCT(INDEX($AV$56:$AX$65,,$AI424), INDEX($AY$56:$BE$65,,$AH424), 1 / ($BG$56:$BG$65*CS424 + (1-$BG$56:$BG$65)*CO424), N($AU$56:$AU$65&gt;$AM424))
) / 1000</f>
        <v>0</v>
      </c>
      <c r="CU424" s="231">
        <f t="shared" si="631"/>
        <v>20</v>
      </c>
      <c r="CV424" s="229">
        <f t="shared" si="616"/>
        <v>33</v>
      </c>
      <c r="CW424" s="234">
        <f t="shared" si="617"/>
        <v>4.8487499999999999</v>
      </c>
      <c r="CX424" s="234" cm="1">
        <f t="array" ref="CX424">$BM424 * IF($AH424&lt;=2,
SUMPRODUCT(INDEX($AV$61:$AX$65,,$AI424), INDEX($AY$61:$BE$65,,$AH424), 1 / ($BF$61:$BF$65*CW424 + (1-$BF$61:$BF$65)*CS424), N($AU$61:$AU$65&gt;$AM424)),
SUMPRODUCT(INDEX($AV$46:$AX$55,,$AI424), INDEX($AY$46:$BE$55,,$AH424), 1 / ($BG$46:$BG$55*CW424 + (1-$BG$46:$BG$55)*CS424), N($AU$46:$AU$55&gt;$AM424))
) / 1000</f>
        <v>0</v>
      </c>
      <c r="CY424" s="234" cm="1">
        <f t="array" ref="CY424">$BM424 * IF($AH424&lt;=2,
SUMPRODUCT(INDEX($AV$22:$AX$60,,$AI424), INDEX($AY$22:$BE$60,,$AH424), 1 / ($BF$22:$BF$60*CW424), N($AU$22:$AU$60&gt;$AM424)),
SUMPRODUCT(INDEX($AV$22:$AX$45,,$AI424), INDEX($AY$22:$BE$45,,$AH424), 1 / ($BG$22:$BG$45*CW424), N($AU$22:$AU$45&gt;$AM424))
) / 1000</f>
        <v>0</v>
      </c>
      <c r="CZ424" s="229">
        <f t="shared" si="618"/>
        <v>0</v>
      </c>
      <c r="DA424" s="246"/>
    </row>
    <row r="425" spans="1:105" s="75" customFormat="1" ht="14.25" customHeight="1" x14ac:dyDescent="0.2">
      <c r="A425" s="230" t="b">
        <f t="shared" si="623"/>
        <v>0</v>
      </c>
      <c r="B425" s="253">
        <v>404</v>
      </c>
      <c r="C425" s="266"/>
      <c r="D425" s="266"/>
      <c r="E425" s="254"/>
      <c r="F425" s="255" t="str">
        <f>IF(ISBLANK(E425), "", VLOOKUP(E425, Z!$A$2:$C$4127, 3, FALSE))</f>
        <v/>
      </c>
      <c r="G425" s="256"/>
      <c r="H425" s="256"/>
      <c r="I425" s="256"/>
      <c r="J425" s="257"/>
      <c r="K425" s="258"/>
      <c r="L425" s="267"/>
      <c r="M425" s="268"/>
      <c r="N425" s="259" t="str" cm="1">
        <f t="array" ref="N425">IF($L425&gt;0, INDEX(Clean,1+AK425,$D$1), "")</f>
        <v/>
      </c>
      <c r="O425" s="260"/>
      <c r="P425" s="260"/>
      <c r="Q425" s="261"/>
      <c r="R425" s="264">
        <f t="shared" si="594"/>
        <v>0</v>
      </c>
      <c r="S425" s="259" t="str" cm="1">
        <f t="array" ref="S425">IF($L425&gt;0, INDEX(Clean,1+AL425,$D$1), "")</f>
        <v/>
      </c>
      <c r="T425" s="260"/>
      <c r="U425" s="260"/>
      <c r="V425" s="261"/>
      <c r="W425" s="267"/>
      <c r="X425" s="267"/>
      <c r="Y425" s="257"/>
      <c r="Z425" s="264">
        <f t="shared" si="595"/>
        <v>0</v>
      </c>
      <c r="AA425" s="269"/>
      <c r="AB425" s="266"/>
      <c r="AC425" s="254"/>
      <c r="AD425" s="255" t="str">
        <f>IF(ISBLANK(AC425), "", VLOOKUP(AC425, Z!$A$2:$C$4127, 3, FALSE))</f>
        <v/>
      </c>
      <c r="AE425" s="270"/>
      <c r="AF425" s="265">
        <f t="shared" si="596"/>
        <v>0</v>
      </c>
      <c r="AG425" s="246"/>
      <c r="AH425" s="228">
        <f t="shared" si="619"/>
        <v>1</v>
      </c>
      <c r="AI425" s="228">
        <f t="shared" si="620"/>
        <v>1</v>
      </c>
      <c r="AJ425" s="228">
        <f t="shared" si="621"/>
        <v>0</v>
      </c>
      <c r="AK425" s="228">
        <v>0</v>
      </c>
      <c r="AL425" s="228">
        <v>0</v>
      </c>
      <c r="AM425" s="228">
        <f t="shared" si="597"/>
        <v>-100</v>
      </c>
      <c r="AN425" s="228" cm="1">
        <f t="array" ref="AN425">IF(ISBLANK(G425), 1, IFERROR(MATCH(G425, INDEX(Kat,,1), 0), IFERROR(MATCH(Kat, INDEX(Use,,2), 0), MATCH(Kat, INDEX(Use,,3), 0))))</f>
        <v>1</v>
      </c>
      <c r="AO425" s="246"/>
      <c r="AP425" s="228" cm="1">
        <f t="array" ref="AP425">IF(W425&gt;0, INDEX(Kat, AN425,4), 0)</f>
        <v>0</v>
      </c>
      <c r="AQ425" s="228">
        <f t="shared" si="622"/>
        <v>0</v>
      </c>
      <c r="AR425" s="228" cm="1">
        <f t="array" ref="AR425">IF(X425&gt;0, INDEX(Kat, $AN425, 4+AQ425), 0)</f>
        <v>0</v>
      </c>
      <c r="AS425" s="228" cm="1">
        <f t="array" ref="AS425">IF(X425&gt;0, INDEX(Kat, $AN425, 9+AQ425), 0)</f>
        <v>0</v>
      </c>
      <c r="AT425" s="246"/>
      <c r="AU425" s="262"/>
      <c r="AV425" s="262"/>
      <c r="AW425" s="263"/>
      <c r="AX425" s="263"/>
      <c r="AY425" s="263"/>
      <c r="AZ425" s="263"/>
      <c r="BA425" s="263"/>
      <c r="BB425" s="263"/>
      <c r="BC425" s="263"/>
      <c r="BD425" s="263"/>
      <c r="BE425" s="263"/>
      <c r="BF425" s="263"/>
      <c r="BG425" s="263"/>
      <c r="BH425" s="246"/>
      <c r="BI425" s="228" cm="1">
        <f t="array" ref="BI425">INDEX(Use, $AH425, 4)</f>
        <v>7</v>
      </c>
      <c r="BJ425" s="228">
        <f t="shared" si="598"/>
        <v>32</v>
      </c>
      <c r="BK425" s="228">
        <f t="shared" si="624"/>
        <v>13</v>
      </c>
      <c r="BL425" s="228">
        <f t="shared" si="625"/>
        <v>0</v>
      </c>
      <c r="BM425" s="233" cm="1">
        <f t="array" ref="BM425">L425/IF($M425&gt;0, INDEX($AY$22:$BE$76, $M425+20, $AH425), 1)</f>
        <v>0</v>
      </c>
      <c r="BN425" s="229">
        <f t="shared" si="599"/>
        <v>0</v>
      </c>
      <c r="BO425" s="228">
        <v>35</v>
      </c>
      <c r="BP425" s="229">
        <f t="shared" si="600"/>
        <v>48</v>
      </c>
      <c r="BQ425" s="234">
        <f t="shared" si="601"/>
        <v>3.0748170731707316</v>
      </c>
      <c r="BR425" s="234" cm="1">
        <f t="array" ref="BR425">$BM425 * SUMPRODUCT(INDEX($AV$76:$AX$81,,$AI425),INDEX($AY$76:$BE$81,,$AH425), N($AU$76:$AU$81&gt;$AM425)) / BQ425 / 1000</f>
        <v>0</v>
      </c>
      <c r="BS425" s="231">
        <f t="shared" si="626"/>
        <v>30</v>
      </c>
      <c r="BT425" s="229">
        <f t="shared" si="602"/>
        <v>43</v>
      </c>
      <c r="BU425" s="234">
        <f t="shared" si="603"/>
        <v>3.5018750000000001</v>
      </c>
      <c r="BV425" s="234" cm="1">
        <f t="array" ref="BV425">$BM425 * IF($AH425&lt;=2,
SUMPRODUCT(INDEX($AV$71:$AX$75,,$AI425), INDEX($AY$71:$BE$75,,$AH425), 1 / ($BF$71:$BF$75*BU425 + (1-$BF$71:$BF$75)*BQ425), N($AU$71:$AU$75&gt;$AM425)),
SUMPRODUCT(INDEX($AV$66:$AX$75,,$AI425), INDEX($AY$66:$BE$75,,$AH425), 1 / ($BG$66:$BG$75*BU425 + (1-$BG$66:$BG$75)*BQ425), N($AU$66:$AU$75&gt;$AM425))
) / 1000</f>
        <v>0</v>
      </c>
      <c r="BW425" s="231">
        <f t="shared" si="627"/>
        <v>25</v>
      </c>
      <c r="BX425" s="229">
        <f t="shared" si="604"/>
        <v>38</v>
      </c>
      <c r="BY425" s="234">
        <f t="shared" si="605"/>
        <v>4.0666935483870965</v>
      </c>
      <c r="BZ425" s="234" cm="1">
        <f t="array" ref="BZ425">$BM425 * IF($AH425&lt;=2,
SUMPRODUCT(INDEX($AV$66:$AX$70,,$AI425), INDEX($AY$66:$BE$70,,$AH425), 1 / ($BF$66:$BF$70*BY425 + (1-$BF$66:$BF$70)*BU425), N($AU$66:$AU$70&gt;$AM425)),
SUMPRODUCT(INDEX($AV$56:$AX$65,,$AI425), INDEX($AY$56:$BE$65,,$AH425), 1 / ($BG$56:$BG$65*BY425 + (1-$BG$56:$BG$65)*BU425), N($AU$56:$AU$65&gt;$AM425))
) / 1000</f>
        <v>0</v>
      </c>
      <c r="CA425" s="231">
        <f t="shared" si="628"/>
        <v>20</v>
      </c>
      <c r="CB425" s="229">
        <f t="shared" si="606"/>
        <v>33</v>
      </c>
      <c r="CC425" s="234">
        <f t="shared" si="607"/>
        <v>4.8487499999999999</v>
      </c>
      <c r="CD425" s="234" cm="1">
        <f t="array" ref="CD425">$BM425 * IF($AH425&lt;=2,
SUMPRODUCT(INDEX($AV$61:$AX$65,,$AI425), INDEX($AY$61:$BE$65,,$AH425), 1 / ($BF$61:$BF$65*CC425 + (1-$BF$61:$BF$65)*BY425), N($AU$61:$AU$65&gt;$AM425)),
SUMPRODUCT(INDEX($AV$46:$AX$55,,$AI425), INDEX($AY$46:$BE$55,,$AH425), 1 / ($BG$46:$BG$55*CC425 + (1-$BG$46:$BG$55)*BY425), N($AU$46:$AU$55&gt;$AM425))
) / 1000</f>
        <v>0</v>
      </c>
      <c r="CE425" s="234" cm="1">
        <f t="array" ref="CE425">$BM425 * IF($AH425&lt;=2,
SUMPRODUCT(INDEX($AV$22:$AX$60,,$AI425), INDEX($AY$22:$BE$60,,$AH425), 1 / ($BF$22:$BF$60*CC425), N($AU$22:$AU$60&gt;$AM425)),
SUMPRODUCT(INDEX($AV$22:$AX$45,,$AI425), INDEX($AY$22:$BE$45,,$AH425), 1 / ($BG$22:$BG$45*CC425), N($AU$22:$AU$45&gt;$AM425))
) / 1000</f>
        <v>0</v>
      </c>
      <c r="CF425" s="229">
        <f t="shared" si="608"/>
        <v>0</v>
      </c>
      <c r="CG425" s="246"/>
      <c r="CH425" s="229">
        <f t="shared" si="609"/>
        <v>0</v>
      </c>
      <c r="CI425" s="228">
        <v>35</v>
      </c>
      <c r="CJ425" s="229">
        <f t="shared" si="610"/>
        <v>48</v>
      </c>
      <c r="CK425" s="234">
        <f t="shared" si="611"/>
        <v>3.0748170731707316</v>
      </c>
      <c r="CL425" s="234" cm="1">
        <f t="array" ref="CL425">$BM425 * SUMPRODUCT(INDEX($AV$76:$AX$81,,$AI425),INDEX($AY$76:$BE$81,,$AH425), N($AU$76:$AU$81&gt;$AM425)) / CK425 / 1000</f>
        <v>0</v>
      </c>
      <c r="CM425" s="231">
        <f t="shared" si="629"/>
        <v>30</v>
      </c>
      <c r="CN425" s="229">
        <f t="shared" si="612"/>
        <v>43</v>
      </c>
      <c r="CO425" s="234">
        <f t="shared" si="613"/>
        <v>3.5018750000000001</v>
      </c>
      <c r="CP425" s="234" cm="1">
        <f t="array" ref="CP425">$BM425 * IF($AH425&lt;=2,
SUMPRODUCT(INDEX($AV$71:$AX$75,,$AI425), INDEX($AY$71:$BE$75,,$AH425), 1 / ($BF$71:$BF$75*CO425 + (1-$BF$71:$BF$75)*CK425), N($AU$71:$AU$75&gt;$AM425)),
SUMPRODUCT(INDEX($AV$66:$AX$75,,$AI425), INDEX($AY$66:$BE$75,,$AH425), 1 / ($BG$66:$BG$75*CO425 + (1-$BG$66:$BG$75)*CK425), N($AU$66:$AU$75&gt;$AM425))
) / 1000</f>
        <v>0</v>
      </c>
      <c r="CQ425" s="231">
        <f t="shared" si="630"/>
        <v>25</v>
      </c>
      <c r="CR425" s="229">
        <f t="shared" si="614"/>
        <v>38</v>
      </c>
      <c r="CS425" s="234">
        <f t="shared" si="615"/>
        <v>4.0666935483870965</v>
      </c>
      <c r="CT425" s="234" cm="1">
        <f t="array" ref="CT425">$BM425 * IF($AH425&lt;=2,
SUMPRODUCT(INDEX($AV$66:$AX$70,,$AI425), INDEX($AY$66:$BE$70,,$AH425), 1 / ($BF$66:$BF$70*CS425 + (1-$BF$66:$BF$70)*CO425), N($AU$66:$AU$70&gt;$AM425)),
SUMPRODUCT(INDEX($AV$56:$AX$65,,$AI425), INDEX($AY$56:$BE$65,,$AH425), 1 / ($BG$56:$BG$65*CS425 + (1-$BG$56:$BG$65)*CO425), N($AU$56:$AU$65&gt;$AM425))
) / 1000</f>
        <v>0</v>
      </c>
      <c r="CU425" s="231">
        <f t="shared" si="631"/>
        <v>20</v>
      </c>
      <c r="CV425" s="229">
        <f t="shared" si="616"/>
        <v>33</v>
      </c>
      <c r="CW425" s="234">
        <f t="shared" si="617"/>
        <v>4.8487499999999999</v>
      </c>
      <c r="CX425" s="234" cm="1">
        <f t="array" ref="CX425">$BM425 * IF($AH425&lt;=2,
SUMPRODUCT(INDEX($AV$61:$AX$65,,$AI425), INDEX($AY$61:$BE$65,,$AH425), 1 / ($BF$61:$BF$65*CW425 + (1-$BF$61:$BF$65)*CS425), N($AU$61:$AU$65&gt;$AM425)),
SUMPRODUCT(INDEX($AV$46:$AX$55,,$AI425), INDEX($AY$46:$BE$55,,$AH425), 1 / ($BG$46:$BG$55*CW425 + (1-$BG$46:$BG$55)*CS425), N($AU$46:$AU$55&gt;$AM425))
) / 1000</f>
        <v>0</v>
      </c>
      <c r="CY425" s="234" cm="1">
        <f t="array" ref="CY425">$BM425 * IF($AH425&lt;=2,
SUMPRODUCT(INDEX($AV$22:$AX$60,,$AI425), INDEX($AY$22:$BE$60,,$AH425), 1 / ($BF$22:$BF$60*CW425), N($AU$22:$AU$60&gt;$AM425)),
SUMPRODUCT(INDEX($AV$22:$AX$45,,$AI425), INDEX($AY$22:$BE$45,,$AH425), 1 / ($BG$22:$BG$45*CW425), N($AU$22:$AU$45&gt;$AM425))
) / 1000</f>
        <v>0</v>
      </c>
      <c r="CZ425" s="229">
        <f t="shared" si="618"/>
        <v>0</v>
      </c>
      <c r="DA425" s="246"/>
    </row>
    <row r="426" spans="1:105" s="75" customFormat="1" ht="14.25" customHeight="1" x14ac:dyDescent="0.2">
      <c r="A426" s="230" t="b">
        <f t="shared" si="623"/>
        <v>0</v>
      </c>
      <c r="B426" s="253">
        <v>405</v>
      </c>
      <c r="C426" s="266"/>
      <c r="D426" s="266"/>
      <c r="E426" s="254"/>
      <c r="F426" s="255" t="str">
        <f>IF(ISBLANK(E426), "", VLOOKUP(E426, Z!$A$2:$C$4127, 3, FALSE))</f>
        <v/>
      </c>
      <c r="G426" s="256"/>
      <c r="H426" s="256"/>
      <c r="I426" s="256"/>
      <c r="J426" s="257"/>
      <c r="K426" s="258"/>
      <c r="L426" s="267"/>
      <c r="M426" s="268"/>
      <c r="N426" s="259" t="str" cm="1">
        <f t="array" ref="N426">IF($L426&gt;0, INDEX(Clean,1+AK426,$D$1), "")</f>
        <v/>
      </c>
      <c r="O426" s="260"/>
      <c r="P426" s="260"/>
      <c r="Q426" s="261"/>
      <c r="R426" s="264">
        <f t="shared" si="594"/>
        <v>0</v>
      </c>
      <c r="S426" s="259" t="str" cm="1">
        <f t="array" ref="S426">IF($L426&gt;0, INDEX(Clean,1+AL426,$D$1), "")</f>
        <v/>
      </c>
      <c r="T426" s="260"/>
      <c r="U426" s="260"/>
      <c r="V426" s="261"/>
      <c r="W426" s="267"/>
      <c r="X426" s="267"/>
      <c r="Y426" s="257"/>
      <c r="Z426" s="264">
        <f t="shared" si="595"/>
        <v>0</v>
      </c>
      <c r="AA426" s="269"/>
      <c r="AB426" s="266"/>
      <c r="AC426" s="254"/>
      <c r="AD426" s="255" t="str">
        <f>IF(ISBLANK(AC426), "", VLOOKUP(AC426, Z!$A$2:$C$4127, 3, FALSE))</f>
        <v/>
      </c>
      <c r="AE426" s="270"/>
      <c r="AF426" s="265">
        <f t="shared" si="596"/>
        <v>0</v>
      </c>
      <c r="AG426" s="246"/>
      <c r="AH426" s="228">
        <f t="shared" si="619"/>
        <v>1</v>
      </c>
      <c r="AI426" s="228">
        <f t="shared" si="620"/>
        <v>1</v>
      </c>
      <c r="AJ426" s="228">
        <f t="shared" si="621"/>
        <v>0</v>
      </c>
      <c r="AK426" s="228">
        <v>0</v>
      </c>
      <c r="AL426" s="228">
        <v>0</v>
      </c>
      <c r="AM426" s="228">
        <f t="shared" si="597"/>
        <v>-100</v>
      </c>
      <c r="AN426" s="228" cm="1">
        <f t="array" ref="AN426">IF(ISBLANK(G426), 1, IFERROR(MATCH(G426, INDEX(Kat,,1), 0), IFERROR(MATCH(Kat, INDEX(Use,,2), 0), MATCH(Kat, INDEX(Use,,3), 0))))</f>
        <v>1</v>
      </c>
      <c r="AO426" s="246"/>
      <c r="AP426" s="228" cm="1">
        <f t="array" ref="AP426">IF(W426&gt;0, INDEX(Kat, AN426,4), 0)</f>
        <v>0</v>
      </c>
      <c r="AQ426" s="228">
        <f t="shared" si="622"/>
        <v>0</v>
      </c>
      <c r="AR426" s="228" cm="1">
        <f t="array" ref="AR426">IF(X426&gt;0, INDEX(Kat, $AN426, 4+AQ426), 0)</f>
        <v>0</v>
      </c>
      <c r="AS426" s="228" cm="1">
        <f t="array" ref="AS426">IF(X426&gt;0, INDEX(Kat, $AN426, 9+AQ426), 0)</f>
        <v>0</v>
      </c>
      <c r="AT426" s="246"/>
      <c r="AU426" s="262"/>
      <c r="AV426" s="262"/>
      <c r="AW426" s="263"/>
      <c r="AX426" s="263"/>
      <c r="AY426" s="263"/>
      <c r="AZ426" s="263"/>
      <c r="BA426" s="263"/>
      <c r="BB426" s="263"/>
      <c r="BC426" s="263"/>
      <c r="BD426" s="263"/>
      <c r="BE426" s="263"/>
      <c r="BF426" s="263"/>
      <c r="BG426" s="263"/>
      <c r="BH426" s="246"/>
      <c r="BI426" s="228" cm="1">
        <f t="array" ref="BI426">INDEX(Use, $AH426, 4)</f>
        <v>7</v>
      </c>
      <c r="BJ426" s="228">
        <f t="shared" si="598"/>
        <v>32</v>
      </c>
      <c r="BK426" s="228">
        <f t="shared" si="624"/>
        <v>13</v>
      </c>
      <c r="BL426" s="228">
        <f t="shared" si="625"/>
        <v>0</v>
      </c>
      <c r="BM426" s="233" cm="1">
        <f t="array" ref="BM426">L426/IF($M426&gt;0, INDEX($AY$22:$BE$76, $M426+20, $AH426), 1)</f>
        <v>0</v>
      </c>
      <c r="BN426" s="229">
        <f t="shared" si="599"/>
        <v>0</v>
      </c>
      <c r="BO426" s="228">
        <v>35</v>
      </c>
      <c r="BP426" s="229">
        <f t="shared" si="600"/>
        <v>48</v>
      </c>
      <c r="BQ426" s="234">
        <f t="shared" si="601"/>
        <v>3.0748170731707316</v>
      </c>
      <c r="BR426" s="234" cm="1">
        <f t="array" ref="BR426">$BM426 * SUMPRODUCT(INDEX($AV$76:$AX$81,,$AI426),INDEX($AY$76:$BE$81,,$AH426), N($AU$76:$AU$81&gt;$AM426)) / BQ426 / 1000</f>
        <v>0</v>
      </c>
      <c r="BS426" s="231">
        <f t="shared" si="626"/>
        <v>30</v>
      </c>
      <c r="BT426" s="229">
        <f t="shared" si="602"/>
        <v>43</v>
      </c>
      <c r="BU426" s="234">
        <f t="shared" si="603"/>
        <v>3.5018750000000001</v>
      </c>
      <c r="BV426" s="234" cm="1">
        <f t="array" ref="BV426">$BM426 * IF($AH426&lt;=2,
SUMPRODUCT(INDEX($AV$71:$AX$75,,$AI426), INDEX($AY$71:$BE$75,,$AH426), 1 / ($BF$71:$BF$75*BU426 + (1-$BF$71:$BF$75)*BQ426), N($AU$71:$AU$75&gt;$AM426)),
SUMPRODUCT(INDEX($AV$66:$AX$75,,$AI426), INDEX($AY$66:$BE$75,,$AH426), 1 / ($BG$66:$BG$75*BU426 + (1-$BG$66:$BG$75)*BQ426), N($AU$66:$AU$75&gt;$AM426))
) / 1000</f>
        <v>0</v>
      </c>
      <c r="BW426" s="231">
        <f t="shared" si="627"/>
        <v>25</v>
      </c>
      <c r="BX426" s="229">
        <f t="shared" si="604"/>
        <v>38</v>
      </c>
      <c r="BY426" s="234">
        <f t="shared" si="605"/>
        <v>4.0666935483870965</v>
      </c>
      <c r="BZ426" s="234" cm="1">
        <f t="array" ref="BZ426">$BM426 * IF($AH426&lt;=2,
SUMPRODUCT(INDEX($AV$66:$AX$70,,$AI426), INDEX($AY$66:$BE$70,,$AH426), 1 / ($BF$66:$BF$70*BY426 + (1-$BF$66:$BF$70)*BU426), N($AU$66:$AU$70&gt;$AM426)),
SUMPRODUCT(INDEX($AV$56:$AX$65,,$AI426), INDEX($AY$56:$BE$65,,$AH426), 1 / ($BG$56:$BG$65*BY426 + (1-$BG$56:$BG$65)*BU426), N($AU$56:$AU$65&gt;$AM426))
) / 1000</f>
        <v>0</v>
      </c>
      <c r="CA426" s="231">
        <f t="shared" si="628"/>
        <v>20</v>
      </c>
      <c r="CB426" s="229">
        <f t="shared" si="606"/>
        <v>33</v>
      </c>
      <c r="CC426" s="234">
        <f t="shared" si="607"/>
        <v>4.8487499999999999</v>
      </c>
      <c r="CD426" s="234" cm="1">
        <f t="array" ref="CD426">$BM426 * IF($AH426&lt;=2,
SUMPRODUCT(INDEX($AV$61:$AX$65,,$AI426), INDEX($AY$61:$BE$65,,$AH426), 1 / ($BF$61:$BF$65*CC426 + (1-$BF$61:$BF$65)*BY426), N($AU$61:$AU$65&gt;$AM426)),
SUMPRODUCT(INDEX($AV$46:$AX$55,,$AI426), INDEX($AY$46:$BE$55,,$AH426), 1 / ($BG$46:$BG$55*CC426 + (1-$BG$46:$BG$55)*BY426), N($AU$46:$AU$55&gt;$AM426))
) / 1000</f>
        <v>0</v>
      </c>
      <c r="CE426" s="234" cm="1">
        <f t="array" ref="CE426">$BM426 * IF($AH426&lt;=2,
SUMPRODUCT(INDEX($AV$22:$AX$60,,$AI426), INDEX($AY$22:$BE$60,,$AH426), 1 / ($BF$22:$BF$60*CC426), N($AU$22:$AU$60&gt;$AM426)),
SUMPRODUCT(INDEX($AV$22:$AX$45,,$AI426), INDEX($AY$22:$BE$45,,$AH426), 1 / ($BG$22:$BG$45*CC426), N($AU$22:$AU$45&gt;$AM426))
) / 1000</f>
        <v>0</v>
      </c>
      <c r="CF426" s="229">
        <f t="shared" si="608"/>
        <v>0</v>
      </c>
      <c r="CG426" s="246"/>
      <c r="CH426" s="229">
        <f t="shared" si="609"/>
        <v>0</v>
      </c>
      <c r="CI426" s="228">
        <v>35</v>
      </c>
      <c r="CJ426" s="229">
        <f t="shared" si="610"/>
        <v>48</v>
      </c>
      <c r="CK426" s="234">
        <f t="shared" si="611"/>
        <v>3.0748170731707316</v>
      </c>
      <c r="CL426" s="234" cm="1">
        <f t="array" ref="CL426">$BM426 * SUMPRODUCT(INDEX($AV$76:$AX$81,,$AI426),INDEX($AY$76:$BE$81,,$AH426), N($AU$76:$AU$81&gt;$AM426)) / CK426 / 1000</f>
        <v>0</v>
      </c>
      <c r="CM426" s="231">
        <f t="shared" si="629"/>
        <v>30</v>
      </c>
      <c r="CN426" s="229">
        <f t="shared" si="612"/>
        <v>43</v>
      </c>
      <c r="CO426" s="234">
        <f t="shared" si="613"/>
        <v>3.5018750000000001</v>
      </c>
      <c r="CP426" s="234" cm="1">
        <f t="array" ref="CP426">$BM426 * IF($AH426&lt;=2,
SUMPRODUCT(INDEX($AV$71:$AX$75,,$AI426), INDEX($AY$71:$BE$75,,$AH426), 1 / ($BF$71:$BF$75*CO426 + (1-$BF$71:$BF$75)*CK426), N($AU$71:$AU$75&gt;$AM426)),
SUMPRODUCT(INDEX($AV$66:$AX$75,,$AI426), INDEX($AY$66:$BE$75,,$AH426), 1 / ($BG$66:$BG$75*CO426 + (1-$BG$66:$BG$75)*CK426), N($AU$66:$AU$75&gt;$AM426))
) / 1000</f>
        <v>0</v>
      </c>
      <c r="CQ426" s="231">
        <f t="shared" si="630"/>
        <v>25</v>
      </c>
      <c r="CR426" s="229">
        <f t="shared" si="614"/>
        <v>38</v>
      </c>
      <c r="CS426" s="234">
        <f t="shared" si="615"/>
        <v>4.0666935483870965</v>
      </c>
      <c r="CT426" s="234" cm="1">
        <f t="array" ref="CT426">$BM426 * IF($AH426&lt;=2,
SUMPRODUCT(INDEX($AV$66:$AX$70,,$AI426), INDEX($AY$66:$BE$70,,$AH426), 1 / ($BF$66:$BF$70*CS426 + (1-$BF$66:$BF$70)*CO426), N($AU$66:$AU$70&gt;$AM426)),
SUMPRODUCT(INDEX($AV$56:$AX$65,,$AI426), INDEX($AY$56:$BE$65,,$AH426), 1 / ($BG$56:$BG$65*CS426 + (1-$BG$56:$BG$65)*CO426), N($AU$56:$AU$65&gt;$AM426))
) / 1000</f>
        <v>0</v>
      </c>
      <c r="CU426" s="231">
        <f t="shared" si="631"/>
        <v>20</v>
      </c>
      <c r="CV426" s="229">
        <f t="shared" si="616"/>
        <v>33</v>
      </c>
      <c r="CW426" s="234">
        <f t="shared" si="617"/>
        <v>4.8487499999999999</v>
      </c>
      <c r="CX426" s="234" cm="1">
        <f t="array" ref="CX426">$BM426 * IF($AH426&lt;=2,
SUMPRODUCT(INDEX($AV$61:$AX$65,,$AI426), INDEX($AY$61:$BE$65,,$AH426), 1 / ($BF$61:$BF$65*CW426 + (1-$BF$61:$BF$65)*CS426), N($AU$61:$AU$65&gt;$AM426)),
SUMPRODUCT(INDEX($AV$46:$AX$55,,$AI426), INDEX($AY$46:$BE$55,,$AH426), 1 / ($BG$46:$BG$55*CW426 + (1-$BG$46:$BG$55)*CS426), N($AU$46:$AU$55&gt;$AM426))
) / 1000</f>
        <v>0</v>
      </c>
      <c r="CY426" s="234" cm="1">
        <f t="array" ref="CY426">$BM426 * IF($AH426&lt;=2,
SUMPRODUCT(INDEX($AV$22:$AX$60,,$AI426), INDEX($AY$22:$BE$60,,$AH426), 1 / ($BF$22:$BF$60*CW426), N($AU$22:$AU$60&gt;$AM426)),
SUMPRODUCT(INDEX($AV$22:$AX$45,,$AI426), INDEX($AY$22:$BE$45,,$AH426), 1 / ($BG$22:$BG$45*CW426), N($AU$22:$AU$45&gt;$AM426))
) / 1000</f>
        <v>0</v>
      </c>
      <c r="CZ426" s="229">
        <f t="shared" si="618"/>
        <v>0</v>
      </c>
      <c r="DA426" s="246"/>
    </row>
    <row r="427" spans="1:105" s="75" customFormat="1" ht="14.25" customHeight="1" x14ac:dyDescent="0.2">
      <c r="A427" s="230" t="b">
        <f t="shared" si="623"/>
        <v>0</v>
      </c>
      <c r="B427" s="253">
        <v>406</v>
      </c>
      <c r="C427" s="266"/>
      <c r="D427" s="266"/>
      <c r="E427" s="254"/>
      <c r="F427" s="255" t="str">
        <f>IF(ISBLANK(E427), "", VLOOKUP(E427, Z!$A$2:$C$4127, 3, FALSE))</f>
        <v/>
      </c>
      <c r="G427" s="256"/>
      <c r="H427" s="256"/>
      <c r="I427" s="256"/>
      <c r="J427" s="257"/>
      <c r="K427" s="258"/>
      <c r="L427" s="267"/>
      <c r="M427" s="268"/>
      <c r="N427" s="259" t="str" cm="1">
        <f t="array" ref="N427">IF($L427&gt;0, INDEX(Clean,1+AK427,$D$1), "")</f>
        <v/>
      </c>
      <c r="O427" s="260"/>
      <c r="P427" s="260"/>
      <c r="Q427" s="261"/>
      <c r="R427" s="264">
        <f t="shared" si="594"/>
        <v>0</v>
      </c>
      <c r="S427" s="259" t="str" cm="1">
        <f t="array" ref="S427">IF($L427&gt;0, INDEX(Clean,1+AL427,$D$1), "")</f>
        <v/>
      </c>
      <c r="T427" s="260"/>
      <c r="U427" s="260"/>
      <c r="V427" s="261"/>
      <c r="W427" s="267"/>
      <c r="X427" s="267"/>
      <c r="Y427" s="257"/>
      <c r="Z427" s="264">
        <f t="shared" si="595"/>
        <v>0</v>
      </c>
      <c r="AA427" s="269"/>
      <c r="AB427" s="266"/>
      <c r="AC427" s="254"/>
      <c r="AD427" s="255" t="str">
        <f>IF(ISBLANK(AC427), "", VLOOKUP(AC427, Z!$A$2:$C$4127, 3, FALSE))</f>
        <v/>
      </c>
      <c r="AE427" s="270"/>
      <c r="AF427" s="265">
        <f t="shared" si="596"/>
        <v>0</v>
      </c>
      <c r="AG427" s="246"/>
      <c r="AH427" s="228">
        <f t="shared" si="619"/>
        <v>1</v>
      </c>
      <c r="AI427" s="228">
        <f t="shared" si="620"/>
        <v>1</v>
      </c>
      <c r="AJ427" s="228">
        <f t="shared" si="621"/>
        <v>0</v>
      </c>
      <c r="AK427" s="228">
        <v>0</v>
      </c>
      <c r="AL427" s="228">
        <v>0</v>
      </c>
      <c r="AM427" s="228">
        <f t="shared" si="597"/>
        <v>-100</v>
      </c>
      <c r="AN427" s="228" cm="1">
        <f t="array" ref="AN427">IF(ISBLANK(G427), 1, IFERROR(MATCH(G427, INDEX(Kat,,1), 0), IFERROR(MATCH(Kat, INDEX(Use,,2), 0), MATCH(Kat, INDEX(Use,,3), 0))))</f>
        <v>1</v>
      </c>
      <c r="AO427" s="246"/>
      <c r="AP427" s="228" cm="1">
        <f t="array" ref="AP427">IF(W427&gt;0, INDEX(Kat, AN427,4), 0)</f>
        <v>0</v>
      </c>
      <c r="AQ427" s="228">
        <f t="shared" si="622"/>
        <v>0</v>
      </c>
      <c r="AR427" s="228" cm="1">
        <f t="array" ref="AR427">IF(X427&gt;0, INDEX(Kat, $AN427, 4+AQ427), 0)</f>
        <v>0</v>
      </c>
      <c r="AS427" s="228" cm="1">
        <f t="array" ref="AS427">IF(X427&gt;0, INDEX(Kat, $AN427, 9+AQ427), 0)</f>
        <v>0</v>
      </c>
      <c r="AT427" s="246"/>
      <c r="AU427" s="262"/>
      <c r="AV427" s="262"/>
      <c r="AW427" s="263"/>
      <c r="AX427" s="263"/>
      <c r="AY427" s="263"/>
      <c r="AZ427" s="263"/>
      <c r="BA427" s="263"/>
      <c r="BB427" s="263"/>
      <c r="BC427" s="263"/>
      <c r="BD427" s="263"/>
      <c r="BE427" s="263"/>
      <c r="BF427" s="263"/>
      <c r="BG427" s="263"/>
      <c r="BH427" s="246"/>
      <c r="BI427" s="228" cm="1">
        <f t="array" ref="BI427">INDEX(Use, $AH427, 4)</f>
        <v>7</v>
      </c>
      <c r="BJ427" s="228">
        <f t="shared" si="598"/>
        <v>32</v>
      </c>
      <c r="BK427" s="228">
        <f t="shared" si="624"/>
        <v>13</v>
      </c>
      <c r="BL427" s="228">
        <f t="shared" si="625"/>
        <v>0</v>
      </c>
      <c r="BM427" s="233" cm="1">
        <f t="array" ref="BM427">L427/IF($M427&gt;0, INDEX($AY$22:$BE$76, $M427+20, $AH427), 1)</f>
        <v>0</v>
      </c>
      <c r="BN427" s="229">
        <f t="shared" si="599"/>
        <v>0</v>
      </c>
      <c r="BO427" s="228">
        <v>35</v>
      </c>
      <c r="BP427" s="229">
        <f t="shared" si="600"/>
        <v>48</v>
      </c>
      <c r="BQ427" s="234">
        <f t="shared" si="601"/>
        <v>3.0748170731707316</v>
      </c>
      <c r="BR427" s="234" cm="1">
        <f t="array" ref="BR427">$BM427 * SUMPRODUCT(INDEX($AV$76:$AX$81,,$AI427),INDEX($AY$76:$BE$81,,$AH427), N($AU$76:$AU$81&gt;$AM427)) / BQ427 / 1000</f>
        <v>0</v>
      </c>
      <c r="BS427" s="231">
        <f t="shared" si="626"/>
        <v>30</v>
      </c>
      <c r="BT427" s="229">
        <f t="shared" si="602"/>
        <v>43</v>
      </c>
      <c r="BU427" s="234">
        <f t="shared" si="603"/>
        <v>3.5018750000000001</v>
      </c>
      <c r="BV427" s="234" cm="1">
        <f t="array" ref="BV427">$BM427 * IF($AH427&lt;=2,
SUMPRODUCT(INDEX($AV$71:$AX$75,,$AI427), INDEX($AY$71:$BE$75,,$AH427), 1 / ($BF$71:$BF$75*BU427 + (1-$BF$71:$BF$75)*BQ427), N($AU$71:$AU$75&gt;$AM427)),
SUMPRODUCT(INDEX($AV$66:$AX$75,,$AI427), INDEX($AY$66:$BE$75,,$AH427), 1 / ($BG$66:$BG$75*BU427 + (1-$BG$66:$BG$75)*BQ427), N($AU$66:$AU$75&gt;$AM427))
) / 1000</f>
        <v>0</v>
      </c>
      <c r="BW427" s="231">
        <f t="shared" si="627"/>
        <v>25</v>
      </c>
      <c r="BX427" s="229">
        <f t="shared" si="604"/>
        <v>38</v>
      </c>
      <c r="BY427" s="234">
        <f t="shared" si="605"/>
        <v>4.0666935483870965</v>
      </c>
      <c r="BZ427" s="234" cm="1">
        <f t="array" ref="BZ427">$BM427 * IF($AH427&lt;=2,
SUMPRODUCT(INDEX($AV$66:$AX$70,,$AI427), INDEX($AY$66:$BE$70,,$AH427), 1 / ($BF$66:$BF$70*BY427 + (1-$BF$66:$BF$70)*BU427), N($AU$66:$AU$70&gt;$AM427)),
SUMPRODUCT(INDEX($AV$56:$AX$65,,$AI427), INDEX($AY$56:$BE$65,,$AH427), 1 / ($BG$56:$BG$65*BY427 + (1-$BG$56:$BG$65)*BU427), N($AU$56:$AU$65&gt;$AM427))
) / 1000</f>
        <v>0</v>
      </c>
      <c r="CA427" s="231">
        <f t="shared" si="628"/>
        <v>20</v>
      </c>
      <c r="CB427" s="229">
        <f t="shared" si="606"/>
        <v>33</v>
      </c>
      <c r="CC427" s="234">
        <f t="shared" si="607"/>
        <v>4.8487499999999999</v>
      </c>
      <c r="CD427" s="234" cm="1">
        <f t="array" ref="CD427">$BM427 * IF($AH427&lt;=2,
SUMPRODUCT(INDEX($AV$61:$AX$65,,$AI427), INDEX($AY$61:$BE$65,,$AH427), 1 / ($BF$61:$BF$65*CC427 + (1-$BF$61:$BF$65)*BY427), N($AU$61:$AU$65&gt;$AM427)),
SUMPRODUCT(INDEX($AV$46:$AX$55,,$AI427), INDEX($AY$46:$BE$55,,$AH427), 1 / ($BG$46:$BG$55*CC427 + (1-$BG$46:$BG$55)*BY427), N($AU$46:$AU$55&gt;$AM427))
) / 1000</f>
        <v>0</v>
      </c>
      <c r="CE427" s="234" cm="1">
        <f t="array" ref="CE427">$BM427 * IF($AH427&lt;=2,
SUMPRODUCT(INDEX($AV$22:$AX$60,,$AI427), INDEX($AY$22:$BE$60,,$AH427), 1 / ($BF$22:$BF$60*CC427), N($AU$22:$AU$60&gt;$AM427)),
SUMPRODUCT(INDEX($AV$22:$AX$45,,$AI427), INDEX($AY$22:$BE$45,,$AH427), 1 / ($BG$22:$BG$45*CC427), N($AU$22:$AU$45&gt;$AM427))
) / 1000</f>
        <v>0</v>
      </c>
      <c r="CF427" s="229">
        <f t="shared" si="608"/>
        <v>0</v>
      </c>
      <c r="CG427" s="246"/>
      <c r="CH427" s="229">
        <f t="shared" si="609"/>
        <v>0</v>
      </c>
      <c r="CI427" s="228">
        <v>35</v>
      </c>
      <c r="CJ427" s="229">
        <f t="shared" si="610"/>
        <v>48</v>
      </c>
      <c r="CK427" s="234">
        <f t="shared" si="611"/>
        <v>3.0748170731707316</v>
      </c>
      <c r="CL427" s="234" cm="1">
        <f t="array" ref="CL427">$BM427 * SUMPRODUCT(INDEX($AV$76:$AX$81,,$AI427),INDEX($AY$76:$BE$81,,$AH427), N($AU$76:$AU$81&gt;$AM427)) / CK427 / 1000</f>
        <v>0</v>
      </c>
      <c r="CM427" s="231">
        <f t="shared" si="629"/>
        <v>30</v>
      </c>
      <c r="CN427" s="229">
        <f t="shared" si="612"/>
        <v>43</v>
      </c>
      <c r="CO427" s="234">
        <f t="shared" si="613"/>
        <v>3.5018750000000001</v>
      </c>
      <c r="CP427" s="234" cm="1">
        <f t="array" ref="CP427">$BM427 * IF($AH427&lt;=2,
SUMPRODUCT(INDEX($AV$71:$AX$75,,$AI427), INDEX($AY$71:$BE$75,,$AH427), 1 / ($BF$71:$BF$75*CO427 + (1-$BF$71:$BF$75)*CK427), N($AU$71:$AU$75&gt;$AM427)),
SUMPRODUCT(INDEX($AV$66:$AX$75,,$AI427), INDEX($AY$66:$BE$75,,$AH427), 1 / ($BG$66:$BG$75*CO427 + (1-$BG$66:$BG$75)*CK427), N($AU$66:$AU$75&gt;$AM427))
) / 1000</f>
        <v>0</v>
      </c>
      <c r="CQ427" s="231">
        <f t="shared" si="630"/>
        <v>25</v>
      </c>
      <c r="CR427" s="229">
        <f t="shared" si="614"/>
        <v>38</v>
      </c>
      <c r="CS427" s="234">
        <f t="shared" si="615"/>
        <v>4.0666935483870965</v>
      </c>
      <c r="CT427" s="234" cm="1">
        <f t="array" ref="CT427">$BM427 * IF($AH427&lt;=2,
SUMPRODUCT(INDEX($AV$66:$AX$70,,$AI427), INDEX($AY$66:$BE$70,,$AH427), 1 / ($BF$66:$BF$70*CS427 + (1-$BF$66:$BF$70)*CO427), N($AU$66:$AU$70&gt;$AM427)),
SUMPRODUCT(INDEX($AV$56:$AX$65,,$AI427), INDEX($AY$56:$BE$65,,$AH427), 1 / ($BG$56:$BG$65*CS427 + (1-$BG$56:$BG$65)*CO427), N($AU$56:$AU$65&gt;$AM427))
) / 1000</f>
        <v>0</v>
      </c>
      <c r="CU427" s="231">
        <f t="shared" si="631"/>
        <v>20</v>
      </c>
      <c r="CV427" s="229">
        <f t="shared" si="616"/>
        <v>33</v>
      </c>
      <c r="CW427" s="234">
        <f t="shared" si="617"/>
        <v>4.8487499999999999</v>
      </c>
      <c r="CX427" s="234" cm="1">
        <f t="array" ref="CX427">$BM427 * IF($AH427&lt;=2,
SUMPRODUCT(INDEX($AV$61:$AX$65,,$AI427), INDEX($AY$61:$BE$65,,$AH427), 1 / ($BF$61:$BF$65*CW427 + (1-$BF$61:$BF$65)*CS427), N($AU$61:$AU$65&gt;$AM427)),
SUMPRODUCT(INDEX($AV$46:$AX$55,,$AI427), INDEX($AY$46:$BE$55,,$AH427), 1 / ($BG$46:$BG$55*CW427 + (1-$BG$46:$BG$55)*CS427), N($AU$46:$AU$55&gt;$AM427))
) / 1000</f>
        <v>0</v>
      </c>
      <c r="CY427" s="234" cm="1">
        <f t="array" ref="CY427">$BM427 * IF($AH427&lt;=2,
SUMPRODUCT(INDEX($AV$22:$AX$60,,$AI427), INDEX($AY$22:$BE$60,,$AH427), 1 / ($BF$22:$BF$60*CW427), N($AU$22:$AU$60&gt;$AM427)),
SUMPRODUCT(INDEX($AV$22:$AX$45,,$AI427), INDEX($AY$22:$BE$45,,$AH427), 1 / ($BG$22:$BG$45*CW427), N($AU$22:$AU$45&gt;$AM427))
) / 1000</f>
        <v>0</v>
      </c>
      <c r="CZ427" s="229">
        <f t="shared" si="618"/>
        <v>0</v>
      </c>
      <c r="DA427" s="246"/>
    </row>
    <row r="428" spans="1:105" s="75" customFormat="1" ht="14.25" customHeight="1" x14ac:dyDescent="0.2">
      <c r="A428" s="230" t="b">
        <f t="shared" si="623"/>
        <v>0</v>
      </c>
      <c r="B428" s="253">
        <v>407</v>
      </c>
      <c r="C428" s="266"/>
      <c r="D428" s="266"/>
      <c r="E428" s="254"/>
      <c r="F428" s="255" t="str">
        <f>IF(ISBLANK(E428), "", VLOOKUP(E428, Z!$A$2:$C$4127, 3, FALSE))</f>
        <v/>
      </c>
      <c r="G428" s="256"/>
      <c r="H428" s="256"/>
      <c r="I428" s="256"/>
      <c r="J428" s="257"/>
      <c r="K428" s="258"/>
      <c r="L428" s="267"/>
      <c r="M428" s="268"/>
      <c r="N428" s="259" t="str" cm="1">
        <f t="array" ref="N428">IF($L428&gt;0, INDEX(Clean,1+AK428,$D$1), "")</f>
        <v/>
      </c>
      <c r="O428" s="260"/>
      <c r="P428" s="260"/>
      <c r="Q428" s="261"/>
      <c r="R428" s="264">
        <f t="shared" si="594"/>
        <v>0</v>
      </c>
      <c r="S428" s="259" t="str" cm="1">
        <f t="array" ref="S428">IF($L428&gt;0, INDEX(Clean,1+AL428,$D$1), "")</f>
        <v/>
      </c>
      <c r="T428" s="260"/>
      <c r="U428" s="260"/>
      <c r="V428" s="261"/>
      <c r="W428" s="267"/>
      <c r="X428" s="267"/>
      <c r="Y428" s="257"/>
      <c r="Z428" s="264">
        <f t="shared" si="595"/>
        <v>0</v>
      </c>
      <c r="AA428" s="269"/>
      <c r="AB428" s="266"/>
      <c r="AC428" s="254"/>
      <c r="AD428" s="255" t="str">
        <f>IF(ISBLANK(AC428), "", VLOOKUP(AC428, Z!$A$2:$C$4127, 3, FALSE))</f>
        <v/>
      </c>
      <c r="AE428" s="270"/>
      <c r="AF428" s="265">
        <f t="shared" si="596"/>
        <v>0</v>
      </c>
      <c r="AG428" s="246"/>
      <c r="AH428" s="228">
        <f t="shared" si="619"/>
        <v>1</v>
      </c>
      <c r="AI428" s="228">
        <f t="shared" si="620"/>
        <v>1</v>
      </c>
      <c r="AJ428" s="228">
        <f t="shared" si="621"/>
        <v>0</v>
      </c>
      <c r="AK428" s="228">
        <v>0</v>
      </c>
      <c r="AL428" s="228">
        <v>0</v>
      </c>
      <c r="AM428" s="228">
        <f t="shared" si="597"/>
        <v>-100</v>
      </c>
      <c r="AN428" s="228" cm="1">
        <f t="array" ref="AN428">IF(ISBLANK(G428), 1, IFERROR(MATCH(G428, INDEX(Kat,,1), 0), IFERROR(MATCH(Kat, INDEX(Use,,2), 0), MATCH(Kat, INDEX(Use,,3), 0))))</f>
        <v>1</v>
      </c>
      <c r="AO428" s="246"/>
      <c r="AP428" s="228" cm="1">
        <f t="array" ref="AP428">IF(W428&gt;0, INDEX(Kat, AN428,4), 0)</f>
        <v>0</v>
      </c>
      <c r="AQ428" s="228">
        <f t="shared" si="622"/>
        <v>0</v>
      </c>
      <c r="AR428" s="228" cm="1">
        <f t="array" ref="AR428">IF(X428&gt;0, INDEX(Kat, $AN428, 4+AQ428), 0)</f>
        <v>0</v>
      </c>
      <c r="AS428" s="228" cm="1">
        <f t="array" ref="AS428">IF(X428&gt;0, INDEX(Kat, $AN428, 9+AQ428), 0)</f>
        <v>0</v>
      </c>
      <c r="AT428" s="246"/>
      <c r="AU428" s="262"/>
      <c r="AV428" s="262"/>
      <c r="AW428" s="263"/>
      <c r="AX428" s="263"/>
      <c r="AY428" s="263"/>
      <c r="AZ428" s="263"/>
      <c r="BA428" s="263"/>
      <c r="BB428" s="263"/>
      <c r="BC428" s="263"/>
      <c r="BD428" s="263"/>
      <c r="BE428" s="263"/>
      <c r="BF428" s="263"/>
      <c r="BG428" s="263"/>
      <c r="BH428" s="246"/>
      <c r="BI428" s="228" cm="1">
        <f t="array" ref="BI428">INDEX(Use, $AH428, 4)</f>
        <v>7</v>
      </c>
      <c r="BJ428" s="228">
        <f t="shared" si="598"/>
        <v>32</v>
      </c>
      <c r="BK428" s="228">
        <f t="shared" si="624"/>
        <v>13</v>
      </c>
      <c r="BL428" s="228">
        <f t="shared" si="625"/>
        <v>0</v>
      </c>
      <c r="BM428" s="233" cm="1">
        <f t="array" ref="BM428">L428/IF($M428&gt;0, INDEX($AY$22:$BE$76, $M428+20, $AH428), 1)</f>
        <v>0</v>
      </c>
      <c r="BN428" s="229">
        <f t="shared" si="599"/>
        <v>0</v>
      </c>
      <c r="BO428" s="228">
        <v>35</v>
      </c>
      <c r="BP428" s="229">
        <f t="shared" si="600"/>
        <v>48</v>
      </c>
      <c r="BQ428" s="234">
        <f t="shared" si="601"/>
        <v>3.0748170731707316</v>
      </c>
      <c r="BR428" s="234" cm="1">
        <f t="array" ref="BR428">$BM428 * SUMPRODUCT(INDEX($AV$76:$AX$81,,$AI428),INDEX($AY$76:$BE$81,,$AH428), N($AU$76:$AU$81&gt;$AM428)) / BQ428 / 1000</f>
        <v>0</v>
      </c>
      <c r="BS428" s="231">
        <f t="shared" si="626"/>
        <v>30</v>
      </c>
      <c r="BT428" s="229">
        <f t="shared" si="602"/>
        <v>43</v>
      </c>
      <c r="BU428" s="234">
        <f t="shared" si="603"/>
        <v>3.5018750000000001</v>
      </c>
      <c r="BV428" s="234" cm="1">
        <f t="array" ref="BV428">$BM428 * IF($AH428&lt;=2,
SUMPRODUCT(INDEX($AV$71:$AX$75,,$AI428), INDEX($AY$71:$BE$75,,$AH428), 1 / ($BF$71:$BF$75*BU428 + (1-$BF$71:$BF$75)*BQ428), N($AU$71:$AU$75&gt;$AM428)),
SUMPRODUCT(INDEX($AV$66:$AX$75,,$AI428), INDEX($AY$66:$BE$75,,$AH428), 1 / ($BG$66:$BG$75*BU428 + (1-$BG$66:$BG$75)*BQ428), N($AU$66:$AU$75&gt;$AM428))
) / 1000</f>
        <v>0</v>
      </c>
      <c r="BW428" s="231">
        <f t="shared" si="627"/>
        <v>25</v>
      </c>
      <c r="BX428" s="229">
        <f t="shared" si="604"/>
        <v>38</v>
      </c>
      <c r="BY428" s="234">
        <f t="shared" si="605"/>
        <v>4.0666935483870965</v>
      </c>
      <c r="BZ428" s="234" cm="1">
        <f t="array" ref="BZ428">$BM428 * IF($AH428&lt;=2,
SUMPRODUCT(INDEX($AV$66:$AX$70,,$AI428), INDEX($AY$66:$BE$70,,$AH428), 1 / ($BF$66:$BF$70*BY428 + (1-$BF$66:$BF$70)*BU428), N($AU$66:$AU$70&gt;$AM428)),
SUMPRODUCT(INDEX($AV$56:$AX$65,,$AI428), INDEX($AY$56:$BE$65,,$AH428), 1 / ($BG$56:$BG$65*BY428 + (1-$BG$56:$BG$65)*BU428), N($AU$56:$AU$65&gt;$AM428))
) / 1000</f>
        <v>0</v>
      </c>
      <c r="CA428" s="231">
        <f t="shared" si="628"/>
        <v>20</v>
      </c>
      <c r="CB428" s="229">
        <f t="shared" si="606"/>
        <v>33</v>
      </c>
      <c r="CC428" s="234">
        <f t="shared" si="607"/>
        <v>4.8487499999999999</v>
      </c>
      <c r="CD428" s="234" cm="1">
        <f t="array" ref="CD428">$BM428 * IF($AH428&lt;=2,
SUMPRODUCT(INDEX($AV$61:$AX$65,,$AI428), INDEX($AY$61:$BE$65,,$AH428), 1 / ($BF$61:$BF$65*CC428 + (1-$BF$61:$BF$65)*BY428), N($AU$61:$AU$65&gt;$AM428)),
SUMPRODUCT(INDEX($AV$46:$AX$55,,$AI428), INDEX($AY$46:$BE$55,,$AH428), 1 / ($BG$46:$BG$55*CC428 + (1-$BG$46:$BG$55)*BY428), N($AU$46:$AU$55&gt;$AM428))
) / 1000</f>
        <v>0</v>
      </c>
      <c r="CE428" s="234" cm="1">
        <f t="array" ref="CE428">$BM428 * IF($AH428&lt;=2,
SUMPRODUCT(INDEX($AV$22:$AX$60,,$AI428), INDEX($AY$22:$BE$60,,$AH428), 1 / ($BF$22:$BF$60*CC428), N($AU$22:$AU$60&gt;$AM428)),
SUMPRODUCT(INDEX($AV$22:$AX$45,,$AI428), INDEX($AY$22:$BE$45,,$AH428), 1 / ($BG$22:$BG$45*CC428), N($AU$22:$AU$45&gt;$AM428))
) / 1000</f>
        <v>0</v>
      </c>
      <c r="CF428" s="229">
        <f t="shared" si="608"/>
        <v>0</v>
      </c>
      <c r="CG428" s="246"/>
      <c r="CH428" s="229">
        <f t="shared" si="609"/>
        <v>0</v>
      </c>
      <c r="CI428" s="228">
        <v>35</v>
      </c>
      <c r="CJ428" s="229">
        <f t="shared" si="610"/>
        <v>48</v>
      </c>
      <c r="CK428" s="234">
        <f t="shared" si="611"/>
        <v>3.0748170731707316</v>
      </c>
      <c r="CL428" s="234" cm="1">
        <f t="array" ref="CL428">$BM428 * SUMPRODUCT(INDEX($AV$76:$AX$81,,$AI428),INDEX($AY$76:$BE$81,,$AH428), N($AU$76:$AU$81&gt;$AM428)) / CK428 / 1000</f>
        <v>0</v>
      </c>
      <c r="CM428" s="231">
        <f t="shared" si="629"/>
        <v>30</v>
      </c>
      <c r="CN428" s="229">
        <f t="shared" si="612"/>
        <v>43</v>
      </c>
      <c r="CO428" s="234">
        <f t="shared" si="613"/>
        <v>3.5018750000000001</v>
      </c>
      <c r="CP428" s="234" cm="1">
        <f t="array" ref="CP428">$BM428 * IF($AH428&lt;=2,
SUMPRODUCT(INDEX($AV$71:$AX$75,,$AI428), INDEX($AY$71:$BE$75,,$AH428), 1 / ($BF$71:$BF$75*CO428 + (1-$BF$71:$BF$75)*CK428), N($AU$71:$AU$75&gt;$AM428)),
SUMPRODUCT(INDEX($AV$66:$AX$75,,$AI428), INDEX($AY$66:$BE$75,,$AH428), 1 / ($BG$66:$BG$75*CO428 + (1-$BG$66:$BG$75)*CK428), N($AU$66:$AU$75&gt;$AM428))
) / 1000</f>
        <v>0</v>
      </c>
      <c r="CQ428" s="231">
        <f t="shared" si="630"/>
        <v>25</v>
      </c>
      <c r="CR428" s="229">
        <f t="shared" si="614"/>
        <v>38</v>
      </c>
      <c r="CS428" s="234">
        <f t="shared" si="615"/>
        <v>4.0666935483870965</v>
      </c>
      <c r="CT428" s="234" cm="1">
        <f t="array" ref="CT428">$BM428 * IF($AH428&lt;=2,
SUMPRODUCT(INDEX($AV$66:$AX$70,,$AI428), INDEX($AY$66:$BE$70,,$AH428), 1 / ($BF$66:$BF$70*CS428 + (1-$BF$66:$BF$70)*CO428), N($AU$66:$AU$70&gt;$AM428)),
SUMPRODUCT(INDEX($AV$56:$AX$65,,$AI428), INDEX($AY$56:$BE$65,,$AH428), 1 / ($BG$56:$BG$65*CS428 + (1-$BG$56:$BG$65)*CO428), N($AU$56:$AU$65&gt;$AM428))
) / 1000</f>
        <v>0</v>
      </c>
      <c r="CU428" s="231">
        <f t="shared" si="631"/>
        <v>20</v>
      </c>
      <c r="CV428" s="229">
        <f t="shared" si="616"/>
        <v>33</v>
      </c>
      <c r="CW428" s="234">
        <f t="shared" si="617"/>
        <v>4.8487499999999999</v>
      </c>
      <c r="CX428" s="234" cm="1">
        <f t="array" ref="CX428">$BM428 * IF($AH428&lt;=2,
SUMPRODUCT(INDEX($AV$61:$AX$65,,$AI428), INDEX($AY$61:$BE$65,,$AH428), 1 / ($BF$61:$BF$65*CW428 + (1-$BF$61:$BF$65)*CS428), N($AU$61:$AU$65&gt;$AM428)),
SUMPRODUCT(INDEX($AV$46:$AX$55,,$AI428), INDEX($AY$46:$BE$55,,$AH428), 1 / ($BG$46:$BG$55*CW428 + (1-$BG$46:$BG$55)*CS428), N($AU$46:$AU$55&gt;$AM428))
) / 1000</f>
        <v>0</v>
      </c>
      <c r="CY428" s="234" cm="1">
        <f t="array" ref="CY428">$BM428 * IF($AH428&lt;=2,
SUMPRODUCT(INDEX($AV$22:$AX$60,,$AI428), INDEX($AY$22:$BE$60,,$AH428), 1 / ($BF$22:$BF$60*CW428), N($AU$22:$AU$60&gt;$AM428)),
SUMPRODUCT(INDEX($AV$22:$AX$45,,$AI428), INDEX($AY$22:$BE$45,,$AH428), 1 / ($BG$22:$BG$45*CW428), N($AU$22:$AU$45&gt;$AM428))
) / 1000</f>
        <v>0</v>
      </c>
      <c r="CZ428" s="229">
        <f t="shared" si="618"/>
        <v>0</v>
      </c>
      <c r="DA428" s="246"/>
    </row>
    <row r="429" spans="1:105" s="75" customFormat="1" ht="14.25" customHeight="1" x14ac:dyDescent="0.2">
      <c r="A429" s="230" t="b">
        <f t="shared" si="623"/>
        <v>0</v>
      </c>
      <c r="B429" s="253">
        <v>408</v>
      </c>
      <c r="C429" s="266"/>
      <c r="D429" s="266"/>
      <c r="E429" s="254"/>
      <c r="F429" s="255" t="str">
        <f>IF(ISBLANK(E429), "", VLOOKUP(E429, Z!$A$2:$C$4127, 3, FALSE))</f>
        <v/>
      </c>
      <c r="G429" s="256"/>
      <c r="H429" s="256"/>
      <c r="I429" s="256"/>
      <c r="J429" s="257"/>
      <c r="K429" s="258"/>
      <c r="L429" s="267"/>
      <c r="M429" s="268"/>
      <c r="N429" s="259" t="str" cm="1">
        <f t="array" ref="N429">IF($L429&gt;0, INDEX(Clean,1+AK429,$D$1), "")</f>
        <v/>
      </c>
      <c r="O429" s="260"/>
      <c r="P429" s="260"/>
      <c r="Q429" s="261"/>
      <c r="R429" s="264">
        <f t="shared" si="594"/>
        <v>0</v>
      </c>
      <c r="S429" s="259" t="str" cm="1">
        <f t="array" ref="S429">IF($L429&gt;0, INDEX(Clean,1+AL429,$D$1), "")</f>
        <v/>
      </c>
      <c r="T429" s="260"/>
      <c r="U429" s="260"/>
      <c r="V429" s="261"/>
      <c r="W429" s="267"/>
      <c r="X429" s="267"/>
      <c r="Y429" s="257"/>
      <c r="Z429" s="264">
        <f t="shared" si="595"/>
        <v>0</v>
      </c>
      <c r="AA429" s="269"/>
      <c r="AB429" s="266"/>
      <c r="AC429" s="254"/>
      <c r="AD429" s="255" t="str">
        <f>IF(ISBLANK(AC429), "", VLOOKUP(AC429, Z!$A$2:$C$4127, 3, FALSE))</f>
        <v/>
      </c>
      <c r="AE429" s="270"/>
      <c r="AF429" s="265">
        <f t="shared" si="596"/>
        <v>0</v>
      </c>
      <c r="AG429" s="246"/>
      <c r="AH429" s="228">
        <f t="shared" si="619"/>
        <v>1</v>
      </c>
      <c r="AI429" s="228">
        <f t="shared" si="620"/>
        <v>1</v>
      </c>
      <c r="AJ429" s="228">
        <f t="shared" si="621"/>
        <v>0</v>
      </c>
      <c r="AK429" s="228">
        <v>0</v>
      </c>
      <c r="AL429" s="228">
        <v>0</v>
      </c>
      <c r="AM429" s="228">
        <f t="shared" si="597"/>
        <v>-100</v>
      </c>
      <c r="AN429" s="228" cm="1">
        <f t="array" ref="AN429">IF(ISBLANK(G429), 1, IFERROR(MATCH(G429, INDEX(Kat,,1), 0), IFERROR(MATCH(Kat, INDEX(Use,,2), 0), MATCH(Kat, INDEX(Use,,3), 0))))</f>
        <v>1</v>
      </c>
      <c r="AO429" s="246"/>
      <c r="AP429" s="228" cm="1">
        <f t="array" ref="AP429">IF(W429&gt;0, INDEX(Kat, AN429,4), 0)</f>
        <v>0</v>
      </c>
      <c r="AQ429" s="228">
        <f t="shared" si="622"/>
        <v>0</v>
      </c>
      <c r="AR429" s="228" cm="1">
        <f t="array" ref="AR429">IF(X429&gt;0, INDEX(Kat, $AN429, 4+AQ429), 0)</f>
        <v>0</v>
      </c>
      <c r="AS429" s="228" cm="1">
        <f t="array" ref="AS429">IF(X429&gt;0, INDEX(Kat, $AN429, 9+AQ429), 0)</f>
        <v>0</v>
      </c>
      <c r="AT429" s="246"/>
      <c r="AU429" s="262"/>
      <c r="AV429" s="262"/>
      <c r="AW429" s="263"/>
      <c r="AX429" s="263"/>
      <c r="AY429" s="263"/>
      <c r="AZ429" s="263"/>
      <c r="BA429" s="263"/>
      <c r="BB429" s="263"/>
      <c r="BC429" s="263"/>
      <c r="BD429" s="263"/>
      <c r="BE429" s="263"/>
      <c r="BF429" s="263"/>
      <c r="BG429" s="263"/>
      <c r="BH429" s="246"/>
      <c r="BI429" s="228" cm="1">
        <f t="array" ref="BI429">INDEX(Use, $AH429, 4)</f>
        <v>7</v>
      </c>
      <c r="BJ429" s="228">
        <f t="shared" si="598"/>
        <v>32</v>
      </c>
      <c r="BK429" s="228">
        <f t="shared" si="624"/>
        <v>13</v>
      </c>
      <c r="BL429" s="228">
        <f t="shared" si="625"/>
        <v>0</v>
      </c>
      <c r="BM429" s="233" cm="1">
        <f t="array" ref="BM429">L429/IF($M429&gt;0, INDEX($AY$22:$BE$76, $M429+20, $AH429), 1)</f>
        <v>0</v>
      </c>
      <c r="BN429" s="229">
        <f t="shared" si="599"/>
        <v>0</v>
      </c>
      <c r="BO429" s="228">
        <v>35</v>
      </c>
      <c r="BP429" s="229">
        <f t="shared" si="600"/>
        <v>48</v>
      </c>
      <c r="BQ429" s="234">
        <f t="shared" si="601"/>
        <v>3.0748170731707316</v>
      </c>
      <c r="BR429" s="234" cm="1">
        <f t="array" ref="BR429">$BM429 * SUMPRODUCT(INDEX($AV$76:$AX$81,,$AI429),INDEX($AY$76:$BE$81,,$AH429), N($AU$76:$AU$81&gt;$AM429)) / BQ429 / 1000</f>
        <v>0</v>
      </c>
      <c r="BS429" s="231">
        <f t="shared" si="626"/>
        <v>30</v>
      </c>
      <c r="BT429" s="229">
        <f t="shared" si="602"/>
        <v>43</v>
      </c>
      <c r="BU429" s="234">
        <f t="shared" si="603"/>
        <v>3.5018750000000001</v>
      </c>
      <c r="BV429" s="234" cm="1">
        <f t="array" ref="BV429">$BM429 * IF($AH429&lt;=2,
SUMPRODUCT(INDEX($AV$71:$AX$75,,$AI429), INDEX($AY$71:$BE$75,,$AH429), 1 / ($BF$71:$BF$75*BU429 + (1-$BF$71:$BF$75)*BQ429), N($AU$71:$AU$75&gt;$AM429)),
SUMPRODUCT(INDEX($AV$66:$AX$75,,$AI429), INDEX($AY$66:$BE$75,,$AH429), 1 / ($BG$66:$BG$75*BU429 + (1-$BG$66:$BG$75)*BQ429), N($AU$66:$AU$75&gt;$AM429))
) / 1000</f>
        <v>0</v>
      </c>
      <c r="BW429" s="231">
        <f t="shared" si="627"/>
        <v>25</v>
      </c>
      <c r="BX429" s="229">
        <f t="shared" si="604"/>
        <v>38</v>
      </c>
      <c r="BY429" s="234">
        <f t="shared" si="605"/>
        <v>4.0666935483870965</v>
      </c>
      <c r="BZ429" s="234" cm="1">
        <f t="array" ref="BZ429">$BM429 * IF($AH429&lt;=2,
SUMPRODUCT(INDEX($AV$66:$AX$70,,$AI429), INDEX($AY$66:$BE$70,,$AH429), 1 / ($BF$66:$BF$70*BY429 + (1-$BF$66:$BF$70)*BU429), N($AU$66:$AU$70&gt;$AM429)),
SUMPRODUCT(INDEX($AV$56:$AX$65,,$AI429), INDEX($AY$56:$BE$65,,$AH429), 1 / ($BG$56:$BG$65*BY429 + (1-$BG$56:$BG$65)*BU429), N($AU$56:$AU$65&gt;$AM429))
) / 1000</f>
        <v>0</v>
      </c>
      <c r="CA429" s="231">
        <f t="shared" si="628"/>
        <v>20</v>
      </c>
      <c r="CB429" s="229">
        <f t="shared" si="606"/>
        <v>33</v>
      </c>
      <c r="CC429" s="234">
        <f t="shared" si="607"/>
        <v>4.8487499999999999</v>
      </c>
      <c r="CD429" s="234" cm="1">
        <f t="array" ref="CD429">$BM429 * IF($AH429&lt;=2,
SUMPRODUCT(INDEX($AV$61:$AX$65,,$AI429), INDEX($AY$61:$BE$65,,$AH429), 1 / ($BF$61:$BF$65*CC429 + (1-$BF$61:$BF$65)*BY429), N($AU$61:$AU$65&gt;$AM429)),
SUMPRODUCT(INDEX($AV$46:$AX$55,,$AI429), INDEX($AY$46:$BE$55,,$AH429), 1 / ($BG$46:$BG$55*CC429 + (1-$BG$46:$BG$55)*BY429), N($AU$46:$AU$55&gt;$AM429))
) / 1000</f>
        <v>0</v>
      </c>
      <c r="CE429" s="234" cm="1">
        <f t="array" ref="CE429">$BM429 * IF($AH429&lt;=2,
SUMPRODUCT(INDEX($AV$22:$AX$60,,$AI429), INDEX($AY$22:$BE$60,,$AH429), 1 / ($BF$22:$BF$60*CC429), N($AU$22:$AU$60&gt;$AM429)),
SUMPRODUCT(INDEX($AV$22:$AX$45,,$AI429), INDEX($AY$22:$BE$45,,$AH429), 1 / ($BG$22:$BG$45*CC429), N($AU$22:$AU$45&gt;$AM429))
) / 1000</f>
        <v>0</v>
      </c>
      <c r="CF429" s="229">
        <f t="shared" si="608"/>
        <v>0</v>
      </c>
      <c r="CG429" s="246"/>
      <c r="CH429" s="229">
        <f t="shared" si="609"/>
        <v>0</v>
      </c>
      <c r="CI429" s="228">
        <v>35</v>
      </c>
      <c r="CJ429" s="229">
        <f t="shared" si="610"/>
        <v>48</v>
      </c>
      <c r="CK429" s="234">
        <f t="shared" si="611"/>
        <v>3.0748170731707316</v>
      </c>
      <c r="CL429" s="234" cm="1">
        <f t="array" ref="CL429">$BM429 * SUMPRODUCT(INDEX($AV$76:$AX$81,,$AI429),INDEX($AY$76:$BE$81,,$AH429), N($AU$76:$AU$81&gt;$AM429)) / CK429 / 1000</f>
        <v>0</v>
      </c>
      <c r="CM429" s="231">
        <f t="shared" si="629"/>
        <v>30</v>
      </c>
      <c r="CN429" s="229">
        <f t="shared" si="612"/>
        <v>43</v>
      </c>
      <c r="CO429" s="234">
        <f t="shared" si="613"/>
        <v>3.5018750000000001</v>
      </c>
      <c r="CP429" s="234" cm="1">
        <f t="array" ref="CP429">$BM429 * IF($AH429&lt;=2,
SUMPRODUCT(INDEX($AV$71:$AX$75,,$AI429), INDEX($AY$71:$BE$75,,$AH429), 1 / ($BF$71:$BF$75*CO429 + (1-$BF$71:$BF$75)*CK429), N($AU$71:$AU$75&gt;$AM429)),
SUMPRODUCT(INDEX($AV$66:$AX$75,,$AI429), INDEX($AY$66:$BE$75,,$AH429), 1 / ($BG$66:$BG$75*CO429 + (1-$BG$66:$BG$75)*CK429), N($AU$66:$AU$75&gt;$AM429))
) / 1000</f>
        <v>0</v>
      </c>
      <c r="CQ429" s="231">
        <f t="shared" si="630"/>
        <v>25</v>
      </c>
      <c r="CR429" s="229">
        <f t="shared" si="614"/>
        <v>38</v>
      </c>
      <c r="CS429" s="234">
        <f t="shared" si="615"/>
        <v>4.0666935483870965</v>
      </c>
      <c r="CT429" s="234" cm="1">
        <f t="array" ref="CT429">$BM429 * IF($AH429&lt;=2,
SUMPRODUCT(INDEX($AV$66:$AX$70,,$AI429), INDEX($AY$66:$BE$70,,$AH429), 1 / ($BF$66:$BF$70*CS429 + (1-$BF$66:$BF$70)*CO429), N($AU$66:$AU$70&gt;$AM429)),
SUMPRODUCT(INDEX($AV$56:$AX$65,,$AI429), INDEX($AY$56:$BE$65,,$AH429), 1 / ($BG$56:$BG$65*CS429 + (1-$BG$56:$BG$65)*CO429), N($AU$56:$AU$65&gt;$AM429))
) / 1000</f>
        <v>0</v>
      </c>
      <c r="CU429" s="231">
        <f t="shared" si="631"/>
        <v>20</v>
      </c>
      <c r="CV429" s="229">
        <f t="shared" si="616"/>
        <v>33</v>
      </c>
      <c r="CW429" s="234">
        <f t="shared" si="617"/>
        <v>4.8487499999999999</v>
      </c>
      <c r="CX429" s="234" cm="1">
        <f t="array" ref="CX429">$BM429 * IF($AH429&lt;=2,
SUMPRODUCT(INDEX($AV$61:$AX$65,,$AI429), INDEX($AY$61:$BE$65,,$AH429), 1 / ($BF$61:$BF$65*CW429 + (1-$BF$61:$BF$65)*CS429), N($AU$61:$AU$65&gt;$AM429)),
SUMPRODUCT(INDEX($AV$46:$AX$55,,$AI429), INDEX($AY$46:$BE$55,,$AH429), 1 / ($BG$46:$BG$55*CW429 + (1-$BG$46:$BG$55)*CS429), N($AU$46:$AU$55&gt;$AM429))
) / 1000</f>
        <v>0</v>
      </c>
      <c r="CY429" s="234" cm="1">
        <f t="array" ref="CY429">$BM429 * IF($AH429&lt;=2,
SUMPRODUCT(INDEX($AV$22:$AX$60,,$AI429), INDEX($AY$22:$BE$60,,$AH429), 1 / ($BF$22:$BF$60*CW429), N($AU$22:$AU$60&gt;$AM429)),
SUMPRODUCT(INDEX($AV$22:$AX$45,,$AI429), INDEX($AY$22:$BE$45,,$AH429), 1 / ($BG$22:$BG$45*CW429), N($AU$22:$AU$45&gt;$AM429))
) / 1000</f>
        <v>0</v>
      </c>
      <c r="CZ429" s="229">
        <f t="shared" si="618"/>
        <v>0</v>
      </c>
      <c r="DA429" s="246"/>
    </row>
    <row r="430" spans="1:105" s="75" customFormat="1" ht="14.25" customHeight="1" x14ac:dyDescent="0.2">
      <c r="A430" s="230" t="b">
        <f t="shared" si="623"/>
        <v>0</v>
      </c>
      <c r="B430" s="253">
        <v>409</v>
      </c>
      <c r="C430" s="266"/>
      <c r="D430" s="266"/>
      <c r="E430" s="254"/>
      <c r="F430" s="255" t="str">
        <f>IF(ISBLANK(E430), "", VLOOKUP(E430, Z!$A$2:$C$4127, 3, FALSE))</f>
        <v/>
      </c>
      <c r="G430" s="256"/>
      <c r="H430" s="256"/>
      <c r="I430" s="256"/>
      <c r="J430" s="257"/>
      <c r="K430" s="258"/>
      <c r="L430" s="267"/>
      <c r="M430" s="268"/>
      <c r="N430" s="259" t="str" cm="1">
        <f t="array" ref="N430">IF($L430&gt;0, INDEX(Clean,1+AK430,$D$1), "")</f>
        <v/>
      </c>
      <c r="O430" s="260"/>
      <c r="P430" s="260"/>
      <c r="Q430" s="261"/>
      <c r="R430" s="264">
        <f t="shared" si="594"/>
        <v>0</v>
      </c>
      <c r="S430" s="259" t="str" cm="1">
        <f t="array" ref="S430">IF($L430&gt;0, INDEX(Clean,1+AL430,$D$1), "")</f>
        <v/>
      </c>
      <c r="T430" s="260"/>
      <c r="U430" s="260"/>
      <c r="V430" s="261"/>
      <c r="W430" s="267"/>
      <c r="X430" s="267"/>
      <c r="Y430" s="257"/>
      <c r="Z430" s="264">
        <f t="shared" si="595"/>
        <v>0</v>
      </c>
      <c r="AA430" s="269"/>
      <c r="AB430" s="266"/>
      <c r="AC430" s="254"/>
      <c r="AD430" s="255" t="str">
        <f>IF(ISBLANK(AC430), "", VLOOKUP(AC430, Z!$A$2:$C$4127, 3, FALSE))</f>
        <v/>
      </c>
      <c r="AE430" s="270"/>
      <c r="AF430" s="265">
        <f t="shared" si="596"/>
        <v>0</v>
      </c>
      <c r="AG430" s="246"/>
      <c r="AH430" s="228">
        <f t="shared" si="619"/>
        <v>1</v>
      </c>
      <c r="AI430" s="228">
        <f t="shared" si="620"/>
        <v>1</v>
      </c>
      <c r="AJ430" s="228">
        <f t="shared" si="621"/>
        <v>0</v>
      </c>
      <c r="AK430" s="228">
        <v>0</v>
      </c>
      <c r="AL430" s="228">
        <v>0</v>
      </c>
      <c r="AM430" s="228">
        <f t="shared" si="597"/>
        <v>-100</v>
      </c>
      <c r="AN430" s="228" cm="1">
        <f t="array" ref="AN430">IF(ISBLANK(G430), 1, IFERROR(MATCH(G430, INDEX(Kat,,1), 0), IFERROR(MATCH(Kat, INDEX(Use,,2), 0), MATCH(Kat, INDEX(Use,,3), 0))))</f>
        <v>1</v>
      </c>
      <c r="AO430" s="246"/>
      <c r="AP430" s="228" cm="1">
        <f t="array" ref="AP430">IF(W430&gt;0, INDEX(Kat, AN430,4), 0)</f>
        <v>0</v>
      </c>
      <c r="AQ430" s="228">
        <f t="shared" si="622"/>
        <v>0</v>
      </c>
      <c r="AR430" s="228" cm="1">
        <f t="array" ref="AR430">IF(X430&gt;0, INDEX(Kat, $AN430, 4+AQ430), 0)</f>
        <v>0</v>
      </c>
      <c r="AS430" s="228" cm="1">
        <f t="array" ref="AS430">IF(X430&gt;0, INDEX(Kat, $AN430, 9+AQ430), 0)</f>
        <v>0</v>
      </c>
      <c r="AT430" s="246"/>
      <c r="AU430" s="262"/>
      <c r="AV430" s="262"/>
      <c r="AW430" s="263"/>
      <c r="AX430" s="263"/>
      <c r="AY430" s="263"/>
      <c r="AZ430" s="263"/>
      <c r="BA430" s="263"/>
      <c r="BB430" s="263"/>
      <c r="BC430" s="263"/>
      <c r="BD430" s="263"/>
      <c r="BE430" s="263"/>
      <c r="BF430" s="263"/>
      <c r="BG430" s="263"/>
      <c r="BH430" s="246"/>
      <c r="BI430" s="228" cm="1">
        <f t="array" ref="BI430">INDEX(Use, $AH430, 4)</f>
        <v>7</v>
      </c>
      <c r="BJ430" s="228">
        <f t="shared" si="598"/>
        <v>32</v>
      </c>
      <c r="BK430" s="228">
        <f t="shared" si="624"/>
        <v>13</v>
      </c>
      <c r="BL430" s="228">
        <f t="shared" si="625"/>
        <v>0</v>
      </c>
      <c r="BM430" s="233" cm="1">
        <f t="array" ref="BM430">L430/IF($M430&gt;0, INDEX($AY$22:$BE$76, $M430+20, $AH430), 1)</f>
        <v>0</v>
      </c>
      <c r="BN430" s="229">
        <f t="shared" si="599"/>
        <v>0</v>
      </c>
      <c r="BO430" s="228">
        <v>35</v>
      </c>
      <c r="BP430" s="229">
        <f t="shared" si="600"/>
        <v>48</v>
      </c>
      <c r="BQ430" s="234">
        <f t="shared" si="601"/>
        <v>3.0748170731707316</v>
      </c>
      <c r="BR430" s="234" cm="1">
        <f t="array" ref="BR430">$BM430 * SUMPRODUCT(INDEX($AV$76:$AX$81,,$AI430),INDEX($AY$76:$BE$81,,$AH430), N($AU$76:$AU$81&gt;$AM430)) / BQ430 / 1000</f>
        <v>0</v>
      </c>
      <c r="BS430" s="231">
        <f t="shared" si="626"/>
        <v>30</v>
      </c>
      <c r="BT430" s="229">
        <f t="shared" si="602"/>
        <v>43</v>
      </c>
      <c r="BU430" s="234">
        <f t="shared" si="603"/>
        <v>3.5018750000000001</v>
      </c>
      <c r="BV430" s="234" cm="1">
        <f t="array" ref="BV430">$BM430 * IF($AH430&lt;=2,
SUMPRODUCT(INDEX($AV$71:$AX$75,,$AI430), INDEX($AY$71:$BE$75,,$AH430), 1 / ($BF$71:$BF$75*BU430 + (1-$BF$71:$BF$75)*BQ430), N($AU$71:$AU$75&gt;$AM430)),
SUMPRODUCT(INDEX($AV$66:$AX$75,,$AI430), INDEX($AY$66:$BE$75,,$AH430), 1 / ($BG$66:$BG$75*BU430 + (1-$BG$66:$BG$75)*BQ430), N($AU$66:$AU$75&gt;$AM430))
) / 1000</f>
        <v>0</v>
      </c>
      <c r="BW430" s="231">
        <f t="shared" si="627"/>
        <v>25</v>
      </c>
      <c r="BX430" s="229">
        <f t="shared" si="604"/>
        <v>38</v>
      </c>
      <c r="BY430" s="234">
        <f t="shared" si="605"/>
        <v>4.0666935483870965</v>
      </c>
      <c r="BZ430" s="234" cm="1">
        <f t="array" ref="BZ430">$BM430 * IF($AH430&lt;=2,
SUMPRODUCT(INDEX($AV$66:$AX$70,,$AI430), INDEX($AY$66:$BE$70,,$AH430), 1 / ($BF$66:$BF$70*BY430 + (1-$BF$66:$BF$70)*BU430), N($AU$66:$AU$70&gt;$AM430)),
SUMPRODUCT(INDEX($AV$56:$AX$65,,$AI430), INDEX($AY$56:$BE$65,,$AH430), 1 / ($BG$56:$BG$65*BY430 + (1-$BG$56:$BG$65)*BU430), N($AU$56:$AU$65&gt;$AM430))
) / 1000</f>
        <v>0</v>
      </c>
      <c r="CA430" s="231">
        <f t="shared" si="628"/>
        <v>20</v>
      </c>
      <c r="CB430" s="229">
        <f t="shared" si="606"/>
        <v>33</v>
      </c>
      <c r="CC430" s="234">
        <f t="shared" si="607"/>
        <v>4.8487499999999999</v>
      </c>
      <c r="CD430" s="234" cm="1">
        <f t="array" ref="CD430">$BM430 * IF($AH430&lt;=2,
SUMPRODUCT(INDEX($AV$61:$AX$65,,$AI430), INDEX($AY$61:$BE$65,,$AH430), 1 / ($BF$61:$BF$65*CC430 + (1-$BF$61:$BF$65)*BY430), N($AU$61:$AU$65&gt;$AM430)),
SUMPRODUCT(INDEX($AV$46:$AX$55,,$AI430), INDEX($AY$46:$BE$55,,$AH430), 1 / ($BG$46:$BG$55*CC430 + (1-$BG$46:$BG$55)*BY430), N($AU$46:$AU$55&gt;$AM430))
) / 1000</f>
        <v>0</v>
      </c>
      <c r="CE430" s="234" cm="1">
        <f t="array" ref="CE430">$BM430 * IF($AH430&lt;=2,
SUMPRODUCT(INDEX($AV$22:$AX$60,,$AI430), INDEX($AY$22:$BE$60,,$AH430), 1 / ($BF$22:$BF$60*CC430), N($AU$22:$AU$60&gt;$AM430)),
SUMPRODUCT(INDEX($AV$22:$AX$45,,$AI430), INDEX($AY$22:$BE$45,,$AH430), 1 / ($BG$22:$BG$45*CC430), N($AU$22:$AU$45&gt;$AM430))
) / 1000</f>
        <v>0</v>
      </c>
      <c r="CF430" s="229">
        <f t="shared" si="608"/>
        <v>0</v>
      </c>
      <c r="CG430" s="246"/>
      <c r="CH430" s="229">
        <f t="shared" si="609"/>
        <v>0</v>
      </c>
      <c r="CI430" s="228">
        <v>35</v>
      </c>
      <c r="CJ430" s="229">
        <f t="shared" si="610"/>
        <v>48</v>
      </c>
      <c r="CK430" s="234">
        <f t="shared" si="611"/>
        <v>3.0748170731707316</v>
      </c>
      <c r="CL430" s="234" cm="1">
        <f t="array" ref="CL430">$BM430 * SUMPRODUCT(INDEX($AV$76:$AX$81,,$AI430),INDEX($AY$76:$BE$81,,$AH430), N($AU$76:$AU$81&gt;$AM430)) / CK430 / 1000</f>
        <v>0</v>
      </c>
      <c r="CM430" s="231">
        <f t="shared" si="629"/>
        <v>30</v>
      </c>
      <c r="CN430" s="229">
        <f t="shared" si="612"/>
        <v>43</v>
      </c>
      <c r="CO430" s="234">
        <f t="shared" si="613"/>
        <v>3.5018750000000001</v>
      </c>
      <c r="CP430" s="234" cm="1">
        <f t="array" ref="CP430">$BM430 * IF($AH430&lt;=2,
SUMPRODUCT(INDEX($AV$71:$AX$75,,$AI430), INDEX($AY$71:$BE$75,,$AH430), 1 / ($BF$71:$BF$75*CO430 + (1-$BF$71:$BF$75)*CK430), N($AU$71:$AU$75&gt;$AM430)),
SUMPRODUCT(INDEX($AV$66:$AX$75,,$AI430), INDEX($AY$66:$BE$75,,$AH430), 1 / ($BG$66:$BG$75*CO430 + (1-$BG$66:$BG$75)*CK430), N($AU$66:$AU$75&gt;$AM430))
) / 1000</f>
        <v>0</v>
      </c>
      <c r="CQ430" s="231">
        <f t="shared" si="630"/>
        <v>25</v>
      </c>
      <c r="CR430" s="229">
        <f t="shared" si="614"/>
        <v>38</v>
      </c>
      <c r="CS430" s="234">
        <f t="shared" si="615"/>
        <v>4.0666935483870965</v>
      </c>
      <c r="CT430" s="234" cm="1">
        <f t="array" ref="CT430">$BM430 * IF($AH430&lt;=2,
SUMPRODUCT(INDEX($AV$66:$AX$70,,$AI430), INDEX($AY$66:$BE$70,,$AH430), 1 / ($BF$66:$BF$70*CS430 + (1-$BF$66:$BF$70)*CO430), N($AU$66:$AU$70&gt;$AM430)),
SUMPRODUCT(INDEX($AV$56:$AX$65,,$AI430), INDEX($AY$56:$BE$65,,$AH430), 1 / ($BG$56:$BG$65*CS430 + (1-$BG$56:$BG$65)*CO430), N($AU$56:$AU$65&gt;$AM430))
) / 1000</f>
        <v>0</v>
      </c>
      <c r="CU430" s="231">
        <f t="shared" si="631"/>
        <v>20</v>
      </c>
      <c r="CV430" s="229">
        <f t="shared" si="616"/>
        <v>33</v>
      </c>
      <c r="CW430" s="234">
        <f t="shared" si="617"/>
        <v>4.8487499999999999</v>
      </c>
      <c r="CX430" s="234" cm="1">
        <f t="array" ref="CX430">$BM430 * IF($AH430&lt;=2,
SUMPRODUCT(INDEX($AV$61:$AX$65,,$AI430), INDEX($AY$61:$BE$65,,$AH430), 1 / ($BF$61:$BF$65*CW430 + (1-$BF$61:$BF$65)*CS430), N($AU$61:$AU$65&gt;$AM430)),
SUMPRODUCT(INDEX($AV$46:$AX$55,,$AI430), INDEX($AY$46:$BE$55,,$AH430), 1 / ($BG$46:$BG$55*CW430 + (1-$BG$46:$BG$55)*CS430), N($AU$46:$AU$55&gt;$AM430))
) / 1000</f>
        <v>0</v>
      </c>
      <c r="CY430" s="234" cm="1">
        <f t="array" ref="CY430">$BM430 * IF($AH430&lt;=2,
SUMPRODUCT(INDEX($AV$22:$AX$60,,$AI430), INDEX($AY$22:$BE$60,,$AH430), 1 / ($BF$22:$BF$60*CW430), N($AU$22:$AU$60&gt;$AM430)),
SUMPRODUCT(INDEX($AV$22:$AX$45,,$AI430), INDEX($AY$22:$BE$45,,$AH430), 1 / ($BG$22:$BG$45*CW430), N($AU$22:$AU$45&gt;$AM430))
) / 1000</f>
        <v>0</v>
      </c>
      <c r="CZ430" s="229">
        <f t="shared" si="618"/>
        <v>0</v>
      </c>
      <c r="DA430" s="246"/>
    </row>
    <row r="431" spans="1:105" s="75" customFormat="1" ht="14.25" customHeight="1" x14ac:dyDescent="0.2">
      <c r="A431" s="230" t="b">
        <f t="shared" si="623"/>
        <v>0</v>
      </c>
      <c r="B431" s="253">
        <v>410</v>
      </c>
      <c r="C431" s="266"/>
      <c r="D431" s="266"/>
      <c r="E431" s="254"/>
      <c r="F431" s="255" t="str">
        <f>IF(ISBLANK(E431), "", VLOOKUP(E431, Z!$A$2:$C$4127, 3, FALSE))</f>
        <v/>
      </c>
      <c r="G431" s="256"/>
      <c r="H431" s="256"/>
      <c r="I431" s="256"/>
      <c r="J431" s="257"/>
      <c r="K431" s="258"/>
      <c r="L431" s="267"/>
      <c r="M431" s="268"/>
      <c r="N431" s="259" t="str" cm="1">
        <f t="array" ref="N431">IF($L431&gt;0, INDEX(Clean,1+AK431,$D$1), "")</f>
        <v/>
      </c>
      <c r="O431" s="260"/>
      <c r="P431" s="260"/>
      <c r="Q431" s="261"/>
      <c r="R431" s="264">
        <f t="shared" si="594"/>
        <v>0</v>
      </c>
      <c r="S431" s="259" t="str" cm="1">
        <f t="array" ref="S431">IF($L431&gt;0, INDEX(Clean,1+AL431,$D$1), "")</f>
        <v/>
      </c>
      <c r="T431" s="260"/>
      <c r="U431" s="260"/>
      <c r="V431" s="261"/>
      <c r="W431" s="267"/>
      <c r="X431" s="267"/>
      <c r="Y431" s="257"/>
      <c r="Z431" s="264">
        <f t="shared" si="595"/>
        <v>0</v>
      </c>
      <c r="AA431" s="269"/>
      <c r="AB431" s="266"/>
      <c r="AC431" s="254"/>
      <c r="AD431" s="255" t="str">
        <f>IF(ISBLANK(AC431), "", VLOOKUP(AC431, Z!$A$2:$C$4127, 3, FALSE))</f>
        <v/>
      </c>
      <c r="AE431" s="270"/>
      <c r="AF431" s="265">
        <f t="shared" si="596"/>
        <v>0</v>
      </c>
      <c r="AG431" s="246"/>
      <c r="AH431" s="228">
        <f t="shared" si="619"/>
        <v>1</v>
      </c>
      <c r="AI431" s="228">
        <f t="shared" si="620"/>
        <v>1</v>
      </c>
      <c r="AJ431" s="228">
        <f t="shared" si="621"/>
        <v>0</v>
      </c>
      <c r="AK431" s="228">
        <v>0</v>
      </c>
      <c r="AL431" s="228">
        <v>0</v>
      </c>
      <c r="AM431" s="228">
        <f t="shared" si="597"/>
        <v>-100</v>
      </c>
      <c r="AN431" s="228" cm="1">
        <f t="array" ref="AN431">IF(ISBLANK(G431), 1, IFERROR(MATCH(G431, INDEX(Kat,,1), 0), IFERROR(MATCH(Kat, INDEX(Use,,2), 0), MATCH(Kat, INDEX(Use,,3), 0))))</f>
        <v>1</v>
      </c>
      <c r="AO431" s="246"/>
      <c r="AP431" s="228" cm="1">
        <f t="array" ref="AP431">IF(W431&gt;0, INDEX(Kat, AN431,4), 0)</f>
        <v>0</v>
      </c>
      <c r="AQ431" s="228">
        <f t="shared" si="622"/>
        <v>0</v>
      </c>
      <c r="AR431" s="228" cm="1">
        <f t="array" ref="AR431">IF(X431&gt;0, INDEX(Kat, $AN431, 4+AQ431), 0)</f>
        <v>0</v>
      </c>
      <c r="AS431" s="228" cm="1">
        <f t="array" ref="AS431">IF(X431&gt;0, INDEX(Kat, $AN431, 9+AQ431), 0)</f>
        <v>0</v>
      </c>
      <c r="AT431" s="246"/>
      <c r="AU431" s="262"/>
      <c r="AV431" s="262"/>
      <c r="AW431" s="263"/>
      <c r="AX431" s="263"/>
      <c r="AY431" s="263"/>
      <c r="AZ431" s="263"/>
      <c r="BA431" s="263"/>
      <c r="BB431" s="263"/>
      <c r="BC431" s="263"/>
      <c r="BD431" s="263"/>
      <c r="BE431" s="263"/>
      <c r="BF431" s="263"/>
      <c r="BG431" s="263"/>
      <c r="BH431" s="246"/>
      <c r="BI431" s="228" cm="1">
        <f t="array" ref="BI431">INDEX(Use, $AH431, 4)</f>
        <v>7</v>
      </c>
      <c r="BJ431" s="228">
        <f t="shared" si="598"/>
        <v>32</v>
      </c>
      <c r="BK431" s="228">
        <f t="shared" si="624"/>
        <v>13</v>
      </c>
      <c r="BL431" s="228">
        <f t="shared" si="625"/>
        <v>0</v>
      </c>
      <c r="BM431" s="233" cm="1">
        <f t="array" ref="BM431">L431/IF($M431&gt;0, INDEX($AY$22:$BE$76, $M431+20, $AH431), 1)</f>
        <v>0</v>
      </c>
      <c r="BN431" s="229">
        <f t="shared" si="599"/>
        <v>0</v>
      </c>
      <c r="BO431" s="228">
        <v>35</v>
      </c>
      <c r="BP431" s="229">
        <f t="shared" si="600"/>
        <v>48</v>
      </c>
      <c r="BQ431" s="234">
        <f t="shared" si="601"/>
        <v>3.0748170731707316</v>
      </c>
      <c r="BR431" s="234" cm="1">
        <f t="array" ref="BR431">$BM431 * SUMPRODUCT(INDEX($AV$76:$AX$81,,$AI431),INDEX($AY$76:$BE$81,,$AH431), N($AU$76:$AU$81&gt;$AM431)) / BQ431 / 1000</f>
        <v>0</v>
      </c>
      <c r="BS431" s="231">
        <f t="shared" si="626"/>
        <v>30</v>
      </c>
      <c r="BT431" s="229">
        <f t="shared" si="602"/>
        <v>43</v>
      </c>
      <c r="BU431" s="234">
        <f t="shared" si="603"/>
        <v>3.5018750000000001</v>
      </c>
      <c r="BV431" s="234" cm="1">
        <f t="array" ref="BV431">$BM431 * IF($AH431&lt;=2,
SUMPRODUCT(INDEX($AV$71:$AX$75,,$AI431), INDEX($AY$71:$BE$75,,$AH431), 1 / ($BF$71:$BF$75*BU431 + (1-$BF$71:$BF$75)*BQ431), N($AU$71:$AU$75&gt;$AM431)),
SUMPRODUCT(INDEX($AV$66:$AX$75,,$AI431), INDEX($AY$66:$BE$75,,$AH431), 1 / ($BG$66:$BG$75*BU431 + (1-$BG$66:$BG$75)*BQ431), N($AU$66:$AU$75&gt;$AM431))
) / 1000</f>
        <v>0</v>
      </c>
      <c r="BW431" s="231">
        <f t="shared" si="627"/>
        <v>25</v>
      </c>
      <c r="BX431" s="229">
        <f t="shared" si="604"/>
        <v>38</v>
      </c>
      <c r="BY431" s="234">
        <f t="shared" si="605"/>
        <v>4.0666935483870965</v>
      </c>
      <c r="BZ431" s="234" cm="1">
        <f t="array" ref="BZ431">$BM431 * IF($AH431&lt;=2,
SUMPRODUCT(INDEX($AV$66:$AX$70,,$AI431), INDEX($AY$66:$BE$70,,$AH431), 1 / ($BF$66:$BF$70*BY431 + (1-$BF$66:$BF$70)*BU431), N($AU$66:$AU$70&gt;$AM431)),
SUMPRODUCT(INDEX($AV$56:$AX$65,,$AI431), INDEX($AY$56:$BE$65,,$AH431), 1 / ($BG$56:$BG$65*BY431 + (1-$BG$56:$BG$65)*BU431), N($AU$56:$AU$65&gt;$AM431))
) / 1000</f>
        <v>0</v>
      </c>
      <c r="CA431" s="231">
        <f t="shared" si="628"/>
        <v>20</v>
      </c>
      <c r="CB431" s="229">
        <f t="shared" si="606"/>
        <v>33</v>
      </c>
      <c r="CC431" s="234">
        <f t="shared" si="607"/>
        <v>4.8487499999999999</v>
      </c>
      <c r="CD431" s="234" cm="1">
        <f t="array" ref="CD431">$BM431 * IF($AH431&lt;=2,
SUMPRODUCT(INDEX($AV$61:$AX$65,,$AI431), INDEX($AY$61:$BE$65,,$AH431), 1 / ($BF$61:$BF$65*CC431 + (1-$BF$61:$BF$65)*BY431), N($AU$61:$AU$65&gt;$AM431)),
SUMPRODUCT(INDEX($AV$46:$AX$55,,$AI431), INDEX($AY$46:$BE$55,,$AH431), 1 / ($BG$46:$BG$55*CC431 + (1-$BG$46:$BG$55)*BY431), N($AU$46:$AU$55&gt;$AM431))
) / 1000</f>
        <v>0</v>
      </c>
      <c r="CE431" s="234" cm="1">
        <f t="array" ref="CE431">$BM431 * IF($AH431&lt;=2,
SUMPRODUCT(INDEX($AV$22:$AX$60,,$AI431), INDEX($AY$22:$BE$60,,$AH431), 1 / ($BF$22:$BF$60*CC431), N($AU$22:$AU$60&gt;$AM431)),
SUMPRODUCT(INDEX($AV$22:$AX$45,,$AI431), INDEX($AY$22:$BE$45,,$AH431), 1 / ($BG$22:$BG$45*CC431), N($AU$22:$AU$45&gt;$AM431))
) / 1000</f>
        <v>0</v>
      </c>
      <c r="CF431" s="229">
        <f t="shared" si="608"/>
        <v>0</v>
      </c>
      <c r="CG431" s="246"/>
      <c r="CH431" s="229">
        <f t="shared" si="609"/>
        <v>0</v>
      </c>
      <c r="CI431" s="228">
        <v>35</v>
      </c>
      <c r="CJ431" s="229">
        <f t="shared" si="610"/>
        <v>48</v>
      </c>
      <c r="CK431" s="234">
        <f t="shared" si="611"/>
        <v>3.0748170731707316</v>
      </c>
      <c r="CL431" s="234" cm="1">
        <f t="array" ref="CL431">$BM431 * SUMPRODUCT(INDEX($AV$76:$AX$81,,$AI431),INDEX($AY$76:$BE$81,,$AH431), N($AU$76:$AU$81&gt;$AM431)) / CK431 / 1000</f>
        <v>0</v>
      </c>
      <c r="CM431" s="231">
        <f t="shared" si="629"/>
        <v>30</v>
      </c>
      <c r="CN431" s="229">
        <f t="shared" si="612"/>
        <v>43</v>
      </c>
      <c r="CO431" s="234">
        <f t="shared" si="613"/>
        <v>3.5018750000000001</v>
      </c>
      <c r="CP431" s="234" cm="1">
        <f t="array" ref="CP431">$BM431 * IF($AH431&lt;=2,
SUMPRODUCT(INDEX($AV$71:$AX$75,,$AI431), INDEX($AY$71:$BE$75,,$AH431), 1 / ($BF$71:$BF$75*CO431 + (1-$BF$71:$BF$75)*CK431), N($AU$71:$AU$75&gt;$AM431)),
SUMPRODUCT(INDEX($AV$66:$AX$75,,$AI431), INDEX($AY$66:$BE$75,,$AH431), 1 / ($BG$66:$BG$75*CO431 + (1-$BG$66:$BG$75)*CK431), N($AU$66:$AU$75&gt;$AM431))
) / 1000</f>
        <v>0</v>
      </c>
      <c r="CQ431" s="231">
        <f t="shared" si="630"/>
        <v>25</v>
      </c>
      <c r="CR431" s="229">
        <f t="shared" si="614"/>
        <v>38</v>
      </c>
      <c r="CS431" s="234">
        <f t="shared" si="615"/>
        <v>4.0666935483870965</v>
      </c>
      <c r="CT431" s="234" cm="1">
        <f t="array" ref="CT431">$BM431 * IF($AH431&lt;=2,
SUMPRODUCT(INDEX($AV$66:$AX$70,,$AI431), INDEX($AY$66:$BE$70,,$AH431), 1 / ($BF$66:$BF$70*CS431 + (1-$BF$66:$BF$70)*CO431), N($AU$66:$AU$70&gt;$AM431)),
SUMPRODUCT(INDEX($AV$56:$AX$65,,$AI431), INDEX($AY$56:$BE$65,,$AH431), 1 / ($BG$56:$BG$65*CS431 + (1-$BG$56:$BG$65)*CO431), N($AU$56:$AU$65&gt;$AM431))
) / 1000</f>
        <v>0</v>
      </c>
      <c r="CU431" s="231">
        <f t="shared" si="631"/>
        <v>20</v>
      </c>
      <c r="CV431" s="229">
        <f t="shared" si="616"/>
        <v>33</v>
      </c>
      <c r="CW431" s="234">
        <f t="shared" si="617"/>
        <v>4.8487499999999999</v>
      </c>
      <c r="CX431" s="234" cm="1">
        <f t="array" ref="CX431">$BM431 * IF($AH431&lt;=2,
SUMPRODUCT(INDEX($AV$61:$AX$65,,$AI431), INDEX($AY$61:$BE$65,,$AH431), 1 / ($BF$61:$BF$65*CW431 + (1-$BF$61:$BF$65)*CS431), N($AU$61:$AU$65&gt;$AM431)),
SUMPRODUCT(INDEX($AV$46:$AX$55,,$AI431), INDEX($AY$46:$BE$55,,$AH431), 1 / ($BG$46:$BG$55*CW431 + (1-$BG$46:$BG$55)*CS431), N($AU$46:$AU$55&gt;$AM431))
) / 1000</f>
        <v>0</v>
      </c>
      <c r="CY431" s="234" cm="1">
        <f t="array" ref="CY431">$BM431 * IF($AH431&lt;=2,
SUMPRODUCT(INDEX($AV$22:$AX$60,,$AI431), INDEX($AY$22:$BE$60,,$AH431), 1 / ($BF$22:$BF$60*CW431), N($AU$22:$AU$60&gt;$AM431)),
SUMPRODUCT(INDEX($AV$22:$AX$45,,$AI431), INDEX($AY$22:$BE$45,,$AH431), 1 / ($BG$22:$BG$45*CW431), N($AU$22:$AU$45&gt;$AM431))
) / 1000</f>
        <v>0</v>
      </c>
      <c r="CZ431" s="229">
        <f t="shared" si="618"/>
        <v>0</v>
      </c>
      <c r="DA431" s="246"/>
    </row>
    <row r="432" spans="1:105" s="75" customFormat="1" ht="14.25" customHeight="1" x14ac:dyDescent="0.2">
      <c r="A432" s="230" t="b">
        <f t="shared" si="623"/>
        <v>0</v>
      </c>
      <c r="B432" s="253">
        <v>411</v>
      </c>
      <c r="C432" s="266"/>
      <c r="D432" s="266"/>
      <c r="E432" s="254"/>
      <c r="F432" s="255" t="str">
        <f>IF(ISBLANK(E432), "", VLOOKUP(E432, Z!$A$2:$C$4127, 3, FALSE))</f>
        <v/>
      </c>
      <c r="G432" s="256"/>
      <c r="H432" s="256"/>
      <c r="I432" s="256"/>
      <c r="J432" s="257"/>
      <c r="K432" s="258"/>
      <c r="L432" s="267"/>
      <c r="M432" s="268"/>
      <c r="N432" s="259" t="str" cm="1">
        <f t="array" ref="N432">IF($L432&gt;0, INDEX(Clean,1+AK432,$D$1), "")</f>
        <v/>
      </c>
      <c r="O432" s="260"/>
      <c r="P432" s="260"/>
      <c r="Q432" s="261"/>
      <c r="R432" s="264">
        <f t="shared" si="594"/>
        <v>0</v>
      </c>
      <c r="S432" s="259" t="str" cm="1">
        <f t="array" ref="S432">IF($L432&gt;0, INDEX(Clean,1+AL432,$D$1), "")</f>
        <v/>
      </c>
      <c r="T432" s="260"/>
      <c r="U432" s="260"/>
      <c r="V432" s="261"/>
      <c r="W432" s="267"/>
      <c r="X432" s="267"/>
      <c r="Y432" s="257"/>
      <c r="Z432" s="264">
        <f t="shared" si="595"/>
        <v>0</v>
      </c>
      <c r="AA432" s="269"/>
      <c r="AB432" s="266"/>
      <c r="AC432" s="254"/>
      <c r="AD432" s="255" t="str">
        <f>IF(ISBLANK(AC432), "", VLOOKUP(AC432, Z!$A$2:$C$4127, 3, FALSE))</f>
        <v/>
      </c>
      <c r="AE432" s="270"/>
      <c r="AF432" s="265">
        <f t="shared" si="596"/>
        <v>0</v>
      </c>
      <c r="AG432" s="246"/>
      <c r="AH432" s="228">
        <f t="shared" si="619"/>
        <v>1</v>
      </c>
      <c r="AI432" s="228">
        <f t="shared" si="620"/>
        <v>1</v>
      </c>
      <c r="AJ432" s="228">
        <f t="shared" si="621"/>
        <v>0</v>
      </c>
      <c r="AK432" s="228">
        <v>0</v>
      </c>
      <c r="AL432" s="228">
        <v>0</v>
      </c>
      <c r="AM432" s="228">
        <f t="shared" si="597"/>
        <v>-100</v>
      </c>
      <c r="AN432" s="228" cm="1">
        <f t="array" ref="AN432">IF(ISBLANK(G432), 1, IFERROR(MATCH(G432, INDEX(Kat,,1), 0), IFERROR(MATCH(Kat, INDEX(Use,,2), 0), MATCH(Kat, INDEX(Use,,3), 0))))</f>
        <v>1</v>
      </c>
      <c r="AO432" s="246"/>
      <c r="AP432" s="228" cm="1">
        <f t="array" ref="AP432">IF(W432&gt;0, INDEX(Kat, AN432,4), 0)</f>
        <v>0</v>
      </c>
      <c r="AQ432" s="228">
        <f t="shared" si="622"/>
        <v>0</v>
      </c>
      <c r="AR432" s="228" cm="1">
        <f t="array" ref="AR432">IF(X432&gt;0, INDEX(Kat, $AN432, 4+AQ432), 0)</f>
        <v>0</v>
      </c>
      <c r="AS432" s="228" cm="1">
        <f t="array" ref="AS432">IF(X432&gt;0, INDEX(Kat, $AN432, 9+AQ432), 0)</f>
        <v>0</v>
      </c>
      <c r="AT432" s="246"/>
      <c r="AU432" s="262"/>
      <c r="AV432" s="262"/>
      <c r="AW432" s="263"/>
      <c r="AX432" s="263"/>
      <c r="AY432" s="263"/>
      <c r="AZ432" s="263"/>
      <c r="BA432" s="263"/>
      <c r="BB432" s="263"/>
      <c r="BC432" s="263"/>
      <c r="BD432" s="263"/>
      <c r="BE432" s="263"/>
      <c r="BF432" s="263"/>
      <c r="BG432" s="263"/>
      <c r="BH432" s="246"/>
      <c r="BI432" s="228" cm="1">
        <f t="array" ref="BI432">INDEX(Use, $AH432, 4)</f>
        <v>7</v>
      </c>
      <c r="BJ432" s="228">
        <f t="shared" si="598"/>
        <v>32</v>
      </c>
      <c r="BK432" s="228">
        <f t="shared" si="624"/>
        <v>13</v>
      </c>
      <c r="BL432" s="228">
        <f t="shared" si="625"/>
        <v>0</v>
      </c>
      <c r="BM432" s="233" cm="1">
        <f t="array" ref="BM432">L432/IF($M432&gt;0, INDEX($AY$22:$BE$76, $M432+20, $AH432), 1)</f>
        <v>0</v>
      </c>
      <c r="BN432" s="229">
        <f t="shared" si="599"/>
        <v>0</v>
      </c>
      <c r="BO432" s="228">
        <v>35</v>
      </c>
      <c r="BP432" s="229">
        <f t="shared" si="600"/>
        <v>48</v>
      </c>
      <c r="BQ432" s="234">
        <f t="shared" si="601"/>
        <v>3.0748170731707316</v>
      </c>
      <c r="BR432" s="234" cm="1">
        <f t="array" ref="BR432">$BM432 * SUMPRODUCT(INDEX($AV$76:$AX$81,,$AI432),INDEX($AY$76:$BE$81,,$AH432), N($AU$76:$AU$81&gt;$AM432)) / BQ432 / 1000</f>
        <v>0</v>
      </c>
      <c r="BS432" s="231">
        <f t="shared" si="626"/>
        <v>30</v>
      </c>
      <c r="BT432" s="229">
        <f t="shared" si="602"/>
        <v>43</v>
      </c>
      <c r="BU432" s="234">
        <f t="shared" si="603"/>
        <v>3.5018750000000001</v>
      </c>
      <c r="BV432" s="234" cm="1">
        <f t="array" ref="BV432">$BM432 * IF($AH432&lt;=2,
SUMPRODUCT(INDEX($AV$71:$AX$75,,$AI432), INDEX($AY$71:$BE$75,,$AH432), 1 / ($BF$71:$BF$75*BU432 + (1-$BF$71:$BF$75)*BQ432), N($AU$71:$AU$75&gt;$AM432)),
SUMPRODUCT(INDEX($AV$66:$AX$75,,$AI432), INDEX($AY$66:$BE$75,,$AH432), 1 / ($BG$66:$BG$75*BU432 + (1-$BG$66:$BG$75)*BQ432), N($AU$66:$AU$75&gt;$AM432))
) / 1000</f>
        <v>0</v>
      </c>
      <c r="BW432" s="231">
        <f t="shared" si="627"/>
        <v>25</v>
      </c>
      <c r="BX432" s="229">
        <f t="shared" si="604"/>
        <v>38</v>
      </c>
      <c r="BY432" s="234">
        <f t="shared" si="605"/>
        <v>4.0666935483870965</v>
      </c>
      <c r="BZ432" s="234" cm="1">
        <f t="array" ref="BZ432">$BM432 * IF($AH432&lt;=2,
SUMPRODUCT(INDEX($AV$66:$AX$70,,$AI432), INDEX($AY$66:$BE$70,,$AH432), 1 / ($BF$66:$BF$70*BY432 + (1-$BF$66:$BF$70)*BU432), N($AU$66:$AU$70&gt;$AM432)),
SUMPRODUCT(INDEX($AV$56:$AX$65,,$AI432), INDEX($AY$56:$BE$65,,$AH432), 1 / ($BG$56:$BG$65*BY432 + (1-$BG$56:$BG$65)*BU432), N($AU$56:$AU$65&gt;$AM432))
) / 1000</f>
        <v>0</v>
      </c>
      <c r="CA432" s="231">
        <f t="shared" si="628"/>
        <v>20</v>
      </c>
      <c r="CB432" s="229">
        <f t="shared" si="606"/>
        <v>33</v>
      </c>
      <c r="CC432" s="234">
        <f t="shared" si="607"/>
        <v>4.8487499999999999</v>
      </c>
      <c r="CD432" s="234" cm="1">
        <f t="array" ref="CD432">$BM432 * IF($AH432&lt;=2,
SUMPRODUCT(INDEX($AV$61:$AX$65,,$AI432), INDEX($AY$61:$BE$65,,$AH432), 1 / ($BF$61:$BF$65*CC432 + (1-$BF$61:$BF$65)*BY432), N($AU$61:$AU$65&gt;$AM432)),
SUMPRODUCT(INDEX($AV$46:$AX$55,,$AI432), INDEX($AY$46:$BE$55,,$AH432), 1 / ($BG$46:$BG$55*CC432 + (1-$BG$46:$BG$55)*BY432), N($AU$46:$AU$55&gt;$AM432))
) / 1000</f>
        <v>0</v>
      </c>
      <c r="CE432" s="234" cm="1">
        <f t="array" ref="CE432">$BM432 * IF($AH432&lt;=2,
SUMPRODUCT(INDEX($AV$22:$AX$60,,$AI432), INDEX($AY$22:$BE$60,,$AH432), 1 / ($BF$22:$BF$60*CC432), N($AU$22:$AU$60&gt;$AM432)),
SUMPRODUCT(INDEX($AV$22:$AX$45,,$AI432), INDEX($AY$22:$BE$45,,$AH432), 1 / ($BG$22:$BG$45*CC432), N($AU$22:$AU$45&gt;$AM432))
) / 1000</f>
        <v>0</v>
      </c>
      <c r="CF432" s="229">
        <f t="shared" si="608"/>
        <v>0</v>
      </c>
      <c r="CG432" s="246"/>
      <c r="CH432" s="229">
        <f t="shared" si="609"/>
        <v>0</v>
      </c>
      <c r="CI432" s="228">
        <v>35</v>
      </c>
      <c r="CJ432" s="229">
        <f t="shared" si="610"/>
        <v>48</v>
      </c>
      <c r="CK432" s="234">
        <f t="shared" si="611"/>
        <v>3.0748170731707316</v>
      </c>
      <c r="CL432" s="234" cm="1">
        <f t="array" ref="CL432">$BM432 * SUMPRODUCT(INDEX($AV$76:$AX$81,,$AI432),INDEX($AY$76:$BE$81,,$AH432), N($AU$76:$AU$81&gt;$AM432)) / CK432 / 1000</f>
        <v>0</v>
      </c>
      <c r="CM432" s="231">
        <f t="shared" si="629"/>
        <v>30</v>
      </c>
      <c r="CN432" s="229">
        <f t="shared" si="612"/>
        <v>43</v>
      </c>
      <c r="CO432" s="234">
        <f t="shared" si="613"/>
        <v>3.5018750000000001</v>
      </c>
      <c r="CP432" s="234" cm="1">
        <f t="array" ref="CP432">$BM432 * IF($AH432&lt;=2,
SUMPRODUCT(INDEX($AV$71:$AX$75,,$AI432), INDEX($AY$71:$BE$75,,$AH432), 1 / ($BF$71:$BF$75*CO432 + (1-$BF$71:$BF$75)*CK432), N($AU$71:$AU$75&gt;$AM432)),
SUMPRODUCT(INDEX($AV$66:$AX$75,,$AI432), INDEX($AY$66:$BE$75,,$AH432), 1 / ($BG$66:$BG$75*CO432 + (1-$BG$66:$BG$75)*CK432), N($AU$66:$AU$75&gt;$AM432))
) / 1000</f>
        <v>0</v>
      </c>
      <c r="CQ432" s="231">
        <f t="shared" si="630"/>
        <v>25</v>
      </c>
      <c r="CR432" s="229">
        <f t="shared" si="614"/>
        <v>38</v>
      </c>
      <c r="CS432" s="234">
        <f t="shared" si="615"/>
        <v>4.0666935483870965</v>
      </c>
      <c r="CT432" s="234" cm="1">
        <f t="array" ref="CT432">$BM432 * IF($AH432&lt;=2,
SUMPRODUCT(INDEX($AV$66:$AX$70,,$AI432), INDEX($AY$66:$BE$70,,$AH432), 1 / ($BF$66:$BF$70*CS432 + (1-$BF$66:$BF$70)*CO432), N($AU$66:$AU$70&gt;$AM432)),
SUMPRODUCT(INDEX($AV$56:$AX$65,,$AI432), INDEX($AY$56:$BE$65,,$AH432), 1 / ($BG$56:$BG$65*CS432 + (1-$BG$56:$BG$65)*CO432), N($AU$56:$AU$65&gt;$AM432))
) / 1000</f>
        <v>0</v>
      </c>
      <c r="CU432" s="231">
        <f t="shared" si="631"/>
        <v>20</v>
      </c>
      <c r="CV432" s="229">
        <f t="shared" si="616"/>
        <v>33</v>
      </c>
      <c r="CW432" s="234">
        <f t="shared" si="617"/>
        <v>4.8487499999999999</v>
      </c>
      <c r="CX432" s="234" cm="1">
        <f t="array" ref="CX432">$BM432 * IF($AH432&lt;=2,
SUMPRODUCT(INDEX($AV$61:$AX$65,,$AI432), INDEX($AY$61:$BE$65,,$AH432), 1 / ($BF$61:$BF$65*CW432 + (1-$BF$61:$BF$65)*CS432), N($AU$61:$AU$65&gt;$AM432)),
SUMPRODUCT(INDEX($AV$46:$AX$55,,$AI432), INDEX($AY$46:$BE$55,,$AH432), 1 / ($BG$46:$BG$55*CW432 + (1-$BG$46:$BG$55)*CS432), N($AU$46:$AU$55&gt;$AM432))
) / 1000</f>
        <v>0</v>
      </c>
      <c r="CY432" s="234" cm="1">
        <f t="array" ref="CY432">$BM432 * IF($AH432&lt;=2,
SUMPRODUCT(INDEX($AV$22:$AX$60,,$AI432), INDEX($AY$22:$BE$60,,$AH432), 1 / ($BF$22:$BF$60*CW432), N($AU$22:$AU$60&gt;$AM432)),
SUMPRODUCT(INDEX($AV$22:$AX$45,,$AI432), INDEX($AY$22:$BE$45,,$AH432), 1 / ($BG$22:$BG$45*CW432), N($AU$22:$AU$45&gt;$AM432))
) / 1000</f>
        <v>0</v>
      </c>
      <c r="CZ432" s="229">
        <f t="shared" si="618"/>
        <v>0</v>
      </c>
      <c r="DA432" s="246"/>
    </row>
    <row r="433" spans="1:105" s="75" customFormat="1" ht="14.25" customHeight="1" x14ac:dyDescent="0.2">
      <c r="A433" s="230" t="b">
        <f t="shared" si="623"/>
        <v>0</v>
      </c>
      <c r="B433" s="253">
        <v>412</v>
      </c>
      <c r="C433" s="266"/>
      <c r="D433" s="266"/>
      <c r="E433" s="254"/>
      <c r="F433" s="255" t="str">
        <f>IF(ISBLANK(E433), "", VLOOKUP(E433, Z!$A$2:$C$4127, 3, FALSE))</f>
        <v/>
      </c>
      <c r="G433" s="256"/>
      <c r="H433" s="256"/>
      <c r="I433" s="256"/>
      <c r="J433" s="257"/>
      <c r="K433" s="258"/>
      <c r="L433" s="267"/>
      <c r="M433" s="268"/>
      <c r="N433" s="259" t="str" cm="1">
        <f t="array" ref="N433">IF($L433&gt;0, INDEX(Clean,1+AK433,$D$1), "")</f>
        <v/>
      </c>
      <c r="O433" s="260"/>
      <c r="P433" s="260"/>
      <c r="Q433" s="261"/>
      <c r="R433" s="264">
        <f t="shared" si="594"/>
        <v>0</v>
      </c>
      <c r="S433" s="259" t="str" cm="1">
        <f t="array" ref="S433">IF($L433&gt;0, INDEX(Clean,1+AL433,$D$1), "")</f>
        <v/>
      </c>
      <c r="T433" s="260"/>
      <c r="U433" s="260"/>
      <c r="V433" s="261"/>
      <c r="W433" s="267"/>
      <c r="X433" s="267"/>
      <c r="Y433" s="257"/>
      <c r="Z433" s="264">
        <f t="shared" si="595"/>
        <v>0</v>
      </c>
      <c r="AA433" s="269"/>
      <c r="AB433" s="266"/>
      <c r="AC433" s="254"/>
      <c r="AD433" s="255" t="str">
        <f>IF(ISBLANK(AC433), "", VLOOKUP(AC433, Z!$A$2:$C$4127, 3, FALSE))</f>
        <v/>
      </c>
      <c r="AE433" s="270"/>
      <c r="AF433" s="265">
        <f t="shared" si="596"/>
        <v>0</v>
      </c>
      <c r="AG433" s="246"/>
      <c r="AH433" s="228">
        <f t="shared" si="619"/>
        <v>1</v>
      </c>
      <c r="AI433" s="228">
        <f t="shared" si="620"/>
        <v>1</v>
      </c>
      <c r="AJ433" s="228">
        <f t="shared" si="621"/>
        <v>0</v>
      </c>
      <c r="AK433" s="228">
        <v>0</v>
      </c>
      <c r="AL433" s="228">
        <v>0</v>
      </c>
      <c r="AM433" s="228">
        <f t="shared" si="597"/>
        <v>-100</v>
      </c>
      <c r="AN433" s="228" cm="1">
        <f t="array" ref="AN433">IF(ISBLANK(G433), 1, IFERROR(MATCH(G433, INDEX(Kat,,1), 0), IFERROR(MATCH(Kat, INDEX(Use,,2), 0), MATCH(Kat, INDEX(Use,,3), 0))))</f>
        <v>1</v>
      </c>
      <c r="AO433" s="246"/>
      <c r="AP433" s="228" cm="1">
        <f t="array" ref="AP433">IF(W433&gt;0, INDEX(Kat, AN433,4), 0)</f>
        <v>0</v>
      </c>
      <c r="AQ433" s="228">
        <f t="shared" si="622"/>
        <v>0</v>
      </c>
      <c r="AR433" s="228" cm="1">
        <f t="array" ref="AR433">IF(X433&gt;0, INDEX(Kat, $AN433, 4+AQ433), 0)</f>
        <v>0</v>
      </c>
      <c r="AS433" s="228" cm="1">
        <f t="array" ref="AS433">IF(X433&gt;0, INDEX(Kat, $AN433, 9+AQ433), 0)</f>
        <v>0</v>
      </c>
      <c r="AT433" s="246"/>
      <c r="AU433" s="262"/>
      <c r="AV433" s="262"/>
      <c r="AW433" s="263"/>
      <c r="AX433" s="263"/>
      <c r="AY433" s="263"/>
      <c r="AZ433" s="263"/>
      <c r="BA433" s="263"/>
      <c r="BB433" s="263"/>
      <c r="BC433" s="263"/>
      <c r="BD433" s="263"/>
      <c r="BE433" s="263"/>
      <c r="BF433" s="263"/>
      <c r="BG433" s="263"/>
      <c r="BH433" s="246"/>
      <c r="BI433" s="228" cm="1">
        <f t="array" ref="BI433">INDEX(Use, $AH433, 4)</f>
        <v>7</v>
      </c>
      <c r="BJ433" s="228">
        <f t="shared" si="598"/>
        <v>32</v>
      </c>
      <c r="BK433" s="228">
        <f t="shared" si="624"/>
        <v>13</v>
      </c>
      <c r="BL433" s="228">
        <f t="shared" si="625"/>
        <v>0</v>
      </c>
      <c r="BM433" s="233" cm="1">
        <f t="array" ref="BM433">L433/IF($M433&gt;0, INDEX($AY$22:$BE$76, $M433+20, $AH433), 1)</f>
        <v>0</v>
      </c>
      <c r="BN433" s="229">
        <f t="shared" si="599"/>
        <v>0</v>
      </c>
      <c r="BO433" s="228">
        <v>35</v>
      </c>
      <c r="BP433" s="229">
        <f t="shared" si="600"/>
        <v>48</v>
      </c>
      <c r="BQ433" s="234">
        <f t="shared" si="601"/>
        <v>3.0748170731707316</v>
      </c>
      <c r="BR433" s="234" cm="1">
        <f t="array" ref="BR433">$BM433 * SUMPRODUCT(INDEX($AV$76:$AX$81,,$AI433),INDEX($AY$76:$BE$81,,$AH433), N($AU$76:$AU$81&gt;$AM433)) / BQ433 / 1000</f>
        <v>0</v>
      </c>
      <c r="BS433" s="231">
        <f t="shared" si="626"/>
        <v>30</v>
      </c>
      <c r="BT433" s="229">
        <f t="shared" si="602"/>
        <v>43</v>
      </c>
      <c r="BU433" s="234">
        <f t="shared" si="603"/>
        <v>3.5018750000000001</v>
      </c>
      <c r="BV433" s="234" cm="1">
        <f t="array" ref="BV433">$BM433 * IF($AH433&lt;=2,
SUMPRODUCT(INDEX($AV$71:$AX$75,,$AI433), INDEX($AY$71:$BE$75,,$AH433), 1 / ($BF$71:$BF$75*BU433 + (1-$BF$71:$BF$75)*BQ433), N($AU$71:$AU$75&gt;$AM433)),
SUMPRODUCT(INDEX($AV$66:$AX$75,,$AI433), INDEX($AY$66:$BE$75,,$AH433), 1 / ($BG$66:$BG$75*BU433 + (1-$BG$66:$BG$75)*BQ433), N($AU$66:$AU$75&gt;$AM433))
) / 1000</f>
        <v>0</v>
      </c>
      <c r="BW433" s="231">
        <f t="shared" si="627"/>
        <v>25</v>
      </c>
      <c r="BX433" s="229">
        <f t="shared" si="604"/>
        <v>38</v>
      </c>
      <c r="BY433" s="234">
        <f t="shared" si="605"/>
        <v>4.0666935483870965</v>
      </c>
      <c r="BZ433" s="234" cm="1">
        <f t="array" ref="BZ433">$BM433 * IF($AH433&lt;=2,
SUMPRODUCT(INDEX($AV$66:$AX$70,,$AI433), INDEX($AY$66:$BE$70,,$AH433), 1 / ($BF$66:$BF$70*BY433 + (1-$BF$66:$BF$70)*BU433), N($AU$66:$AU$70&gt;$AM433)),
SUMPRODUCT(INDEX($AV$56:$AX$65,,$AI433), INDEX($AY$56:$BE$65,,$AH433), 1 / ($BG$56:$BG$65*BY433 + (1-$BG$56:$BG$65)*BU433), N($AU$56:$AU$65&gt;$AM433))
) / 1000</f>
        <v>0</v>
      </c>
      <c r="CA433" s="231">
        <f t="shared" si="628"/>
        <v>20</v>
      </c>
      <c r="CB433" s="229">
        <f t="shared" si="606"/>
        <v>33</v>
      </c>
      <c r="CC433" s="234">
        <f t="shared" si="607"/>
        <v>4.8487499999999999</v>
      </c>
      <c r="CD433" s="234" cm="1">
        <f t="array" ref="CD433">$BM433 * IF($AH433&lt;=2,
SUMPRODUCT(INDEX($AV$61:$AX$65,,$AI433), INDEX($AY$61:$BE$65,,$AH433), 1 / ($BF$61:$BF$65*CC433 + (1-$BF$61:$BF$65)*BY433), N($AU$61:$AU$65&gt;$AM433)),
SUMPRODUCT(INDEX($AV$46:$AX$55,,$AI433), INDEX($AY$46:$BE$55,,$AH433), 1 / ($BG$46:$BG$55*CC433 + (1-$BG$46:$BG$55)*BY433), N($AU$46:$AU$55&gt;$AM433))
) / 1000</f>
        <v>0</v>
      </c>
      <c r="CE433" s="234" cm="1">
        <f t="array" ref="CE433">$BM433 * IF($AH433&lt;=2,
SUMPRODUCT(INDEX($AV$22:$AX$60,,$AI433), INDEX($AY$22:$BE$60,,$AH433), 1 / ($BF$22:$BF$60*CC433), N($AU$22:$AU$60&gt;$AM433)),
SUMPRODUCT(INDEX($AV$22:$AX$45,,$AI433), INDEX($AY$22:$BE$45,,$AH433), 1 / ($BG$22:$BG$45*CC433), N($AU$22:$AU$45&gt;$AM433))
) / 1000</f>
        <v>0</v>
      </c>
      <c r="CF433" s="229">
        <f t="shared" si="608"/>
        <v>0</v>
      </c>
      <c r="CG433" s="246"/>
      <c r="CH433" s="229">
        <f t="shared" si="609"/>
        <v>0</v>
      </c>
      <c r="CI433" s="228">
        <v>35</v>
      </c>
      <c r="CJ433" s="229">
        <f t="shared" si="610"/>
        <v>48</v>
      </c>
      <c r="CK433" s="234">
        <f t="shared" si="611"/>
        <v>3.0748170731707316</v>
      </c>
      <c r="CL433" s="234" cm="1">
        <f t="array" ref="CL433">$BM433 * SUMPRODUCT(INDEX($AV$76:$AX$81,,$AI433),INDEX($AY$76:$BE$81,,$AH433), N($AU$76:$AU$81&gt;$AM433)) / CK433 / 1000</f>
        <v>0</v>
      </c>
      <c r="CM433" s="231">
        <f t="shared" si="629"/>
        <v>30</v>
      </c>
      <c r="CN433" s="229">
        <f t="shared" si="612"/>
        <v>43</v>
      </c>
      <c r="CO433" s="234">
        <f t="shared" si="613"/>
        <v>3.5018750000000001</v>
      </c>
      <c r="CP433" s="234" cm="1">
        <f t="array" ref="CP433">$BM433 * IF($AH433&lt;=2,
SUMPRODUCT(INDEX($AV$71:$AX$75,,$AI433), INDEX($AY$71:$BE$75,,$AH433), 1 / ($BF$71:$BF$75*CO433 + (1-$BF$71:$BF$75)*CK433), N($AU$71:$AU$75&gt;$AM433)),
SUMPRODUCT(INDEX($AV$66:$AX$75,,$AI433), INDEX($AY$66:$BE$75,,$AH433), 1 / ($BG$66:$BG$75*CO433 + (1-$BG$66:$BG$75)*CK433), N($AU$66:$AU$75&gt;$AM433))
) / 1000</f>
        <v>0</v>
      </c>
      <c r="CQ433" s="231">
        <f t="shared" si="630"/>
        <v>25</v>
      </c>
      <c r="CR433" s="229">
        <f t="shared" si="614"/>
        <v>38</v>
      </c>
      <c r="CS433" s="234">
        <f t="shared" si="615"/>
        <v>4.0666935483870965</v>
      </c>
      <c r="CT433" s="234" cm="1">
        <f t="array" ref="CT433">$BM433 * IF($AH433&lt;=2,
SUMPRODUCT(INDEX($AV$66:$AX$70,,$AI433), INDEX($AY$66:$BE$70,,$AH433), 1 / ($BF$66:$BF$70*CS433 + (1-$BF$66:$BF$70)*CO433), N($AU$66:$AU$70&gt;$AM433)),
SUMPRODUCT(INDEX($AV$56:$AX$65,,$AI433), INDEX($AY$56:$BE$65,,$AH433), 1 / ($BG$56:$BG$65*CS433 + (1-$BG$56:$BG$65)*CO433), N($AU$56:$AU$65&gt;$AM433))
) / 1000</f>
        <v>0</v>
      </c>
      <c r="CU433" s="231">
        <f t="shared" si="631"/>
        <v>20</v>
      </c>
      <c r="CV433" s="229">
        <f t="shared" si="616"/>
        <v>33</v>
      </c>
      <c r="CW433" s="234">
        <f t="shared" si="617"/>
        <v>4.8487499999999999</v>
      </c>
      <c r="CX433" s="234" cm="1">
        <f t="array" ref="CX433">$BM433 * IF($AH433&lt;=2,
SUMPRODUCT(INDEX($AV$61:$AX$65,,$AI433), INDEX($AY$61:$BE$65,,$AH433), 1 / ($BF$61:$BF$65*CW433 + (1-$BF$61:$BF$65)*CS433), N($AU$61:$AU$65&gt;$AM433)),
SUMPRODUCT(INDEX($AV$46:$AX$55,,$AI433), INDEX($AY$46:$BE$55,,$AH433), 1 / ($BG$46:$BG$55*CW433 + (1-$BG$46:$BG$55)*CS433), N($AU$46:$AU$55&gt;$AM433))
) / 1000</f>
        <v>0</v>
      </c>
      <c r="CY433" s="234" cm="1">
        <f t="array" ref="CY433">$BM433 * IF($AH433&lt;=2,
SUMPRODUCT(INDEX($AV$22:$AX$60,,$AI433), INDEX($AY$22:$BE$60,,$AH433), 1 / ($BF$22:$BF$60*CW433), N($AU$22:$AU$60&gt;$AM433)),
SUMPRODUCT(INDEX($AV$22:$AX$45,,$AI433), INDEX($AY$22:$BE$45,,$AH433), 1 / ($BG$22:$BG$45*CW433), N($AU$22:$AU$45&gt;$AM433))
) / 1000</f>
        <v>0</v>
      </c>
      <c r="CZ433" s="229">
        <f t="shared" si="618"/>
        <v>0</v>
      </c>
      <c r="DA433" s="246"/>
    </row>
    <row r="434" spans="1:105" s="75" customFormat="1" ht="14.25" customHeight="1" x14ac:dyDescent="0.2">
      <c r="A434" s="230" t="b">
        <f t="shared" si="623"/>
        <v>0</v>
      </c>
      <c r="B434" s="253">
        <v>413</v>
      </c>
      <c r="C434" s="266"/>
      <c r="D434" s="266"/>
      <c r="E434" s="254"/>
      <c r="F434" s="255" t="str">
        <f>IF(ISBLANK(E434), "", VLOOKUP(E434, Z!$A$2:$C$4127, 3, FALSE))</f>
        <v/>
      </c>
      <c r="G434" s="256"/>
      <c r="H434" s="256"/>
      <c r="I434" s="256"/>
      <c r="J434" s="257"/>
      <c r="K434" s="258"/>
      <c r="L434" s="267"/>
      <c r="M434" s="268"/>
      <c r="N434" s="259" t="str" cm="1">
        <f t="array" ref="N434">IF($L434&gt;0, INDEX(Clean,1+AK434,$D$1), "")</f>
        <v/>
      </c>
      <c r="O434" s="260"/>
      <c r="P434" s="260"/>
      <c r="Q434" s="261"/>
      <c r="R434" s="264">
        <f t="shared" si="594"/>
        <v>0</v>
      </c>
      <c r="S434" s="259" t="str" cm="1">
        <f t="array" ref="S434">IF($L434&gt;0, INDEX(Clean,1+AL434,$D$1), "")</f>
        <v/>
      </c>
      <c r="T434" s="260"/>
      <c r="U434" s="260"/>
      <c r="V434" s="261"/>
      <c r="W434" s="267"/>
      <c r="X434" s="267"/>
      <c r="Y434" s="257"/>
      <c r="Z434" s="264">
        <f t="shared" si="595"/>
        <v>0</v>
      </c>
      <c r="AA434" s="269"/>
      <c r="AB434" s="266"/>
      <c r="AC434" s="254"/>
      <c r="AD434" s="255" t="str">
        <f>IF(ISBLANK(AC434), "", VLOOKUP(AC434, Z!$A$2:$C$4127, 3, FALSE))</f>
        <v/>
      </c>
      <c r="AE434" s="270"/>
      <c r="AF434" s="265">
        <f t="shared" si="596"/>
        <v>0</v>
      </c>
      <c r="AG434" s="246"/>
      <c r="AH434" s="228">
        <f t="shared" si="619"/>
        <v>1</v>
      </c>
      <c r="AI434" s="228">
        <f t="shared" si="620"/>
        <v>1</v>
      </c>
      <c r="AJ434" s="228">
        <f t="shared" si="621"/>
        <v>0</v>
      </c>
      <c r="AK434" s="228">
        <v>0</v>
      </c>
      <c r="AL434" s="228">
        <v>0</v>
      </c>
      <c r="AM434" s="228">
        <f t="shared" si="597"/>
        <v>-100</v>
      </c>
      <c r="AN434" s="228" cm="1">
        <f t="array" ref="AN434">IF(ISBLANK(G434), 1, IFERROR(MATCH(G434, INDEX(Kat,,1), 0), IFERROR(MATCH(Kat, INDEX(Use,,2), 0), MATCH(Kat, INDEX(Use,,3), 0))))</f>
        <v>1</v>
      </c>
      <c r="AO434" s="246"/>
      <c r="AP434" s="228" cm="1">
        <f t="array" ref="AP434">IF(W434&gt;0, INDEX(Kat, AN434,4), 0)</f>
        <v>0</v>
      </c>
      <c r="AQ434" s="228">
        <f t="shared" si="622"/>
        <v>0</v>
      </c>
      <c r="AR434" s="228" cm="1">
        <f t="array" ref="AR434">IF(X434&gt;0, INDEX(Kat, $AN434, 4+AQ434), 0)</f>
        <v>0</v>
      </c>
      <c r="AS434" s="228" cm="1">
        <f t="array" ref="AS434">IF(X434&gt;0, INDEX(Kat, $AN434, 9+AQ434), 0)</f>
        <v>0</v>
      </c>
      <c r="AT434" s="246"/>
      <c r="AU434" s="262"/>
      <c r="AV434" s="262"/>
      <c r="AW434" s="263"/>
      <c r="AX434" s="263"/>
      <c r="AY434" s="263"/>
      <c r="AZ434" s="263"/>
      <c r="BA434" s="263"/>
      <c r="BB434" s="263"/>
      <c r="BC434" s="263"/>
      <c r="BD434" s="263"/>
      <c r="BE434" s="263"/>
      <c r="BF434" s="263"/>
      <c r="BG434" s="263"/>
      <c r="BH434" s="246"/>
      <c r="BI434" s="228" cm="1">
        <f t="array" ref="BI434">INDEX(Use, $AH434, 4)</f>
        <v>7</v>
      </c>
      <c r="BJ434" s="228">
        <f t="shared" si="598"/>
        <v>32</v>
      </c>
      <c r="BK434" s="228">
        <f t="shared" si="624"/>
        <v>13</v>
      </c>
      <c r="BL434" s="228">
        <f t="shared" si="625"/>
        <v>0</v>
      </c>
      <c r="BM434" s="233" cm="1">
        <f t="array" ref="BM434">L434/IF($M434&gt;0, INDEX($AY$22:$BE$76, $M434+20, $AH434), 1)</f>
        <v>0</v>
      </c>
      <c r="BN434" s="229">
        <f t="shared" si="599"/>
        <v>0</v>
      </c>
      <c r="BO434" s="228">
        <v>35</v>
      </c>
      <c r="BP434" s="229">
        <f t="shared" si="600"/>
        <v>48</v>
      </c>
      <c r="BQ434" s="234">
        <f t="shared" si="601"/>
        <v>3.0748170731707316</v>
      </c>
      <c r="BR434" s="234" cm="1">
        <f t="array" ref="BR434">$BM434 * SUMPRODUCT(INDEX($AV$76:$AX$81,,$AI434),INDEX($AY$76:$BE$81,,$AH434), N($AU$76:$AU$81&gt;$AM434)) / BQ434 / 1000</f>
        <v>0</v>
      </c>
      <c r="BS434" s="231">
        <f t="shared" si="626"/>
        <v>30</v>
      </c>
      <c r="BT434" s="229">
        <f t="shared" si="602"/>
        <v>43</v>
      </c>
      <c r="BU434" s="234">
        <f t="shared" si="603"/>
        <v>3.5018750000000001</v>
      </c>
      <c r="BV434" s="234" cm="1">
        <f t="array" ref="BV434">$BM434 * IF($AH434&lt;=2,
SUMPRODUCT(INDEX($AV$71:$AX$75,,$AI434), INDEX($AY$71:$BE$75,,$AH434), 1 / ($BF$71:$BF$75*BU434 + (1-$BF$71:$BF$75)*BQ434), N($AU$71:$AU$75&gt;$AM434)),
SUMPRODUCT(INDEX($AV$66:$AX$75,,$AI434), INDEX($AY$66:$BE$75,,$AH434), 1 / ($BG$66:$BG$75*BU434 + (1-$BG$66:$BG$75)*BQ434), N($AU$66:$AU$75&gt;$AM434))
) / 1000</f>
        <v>0</v>
      </c>
      <c r="BW434" s="231">
        <f t="shared" si="627"/>
        <v>25</v>
      </c>
      <c r="BX434" s="229">
        <f t="shared" si="604"/>
        <v>38</v>
      </c>
      <c r="BY434" s="234">
        <f t="shared" si="605"/>
        <v>4.0666935483870965</v>
      </c>
      <c r="BZ434" s="234" cm="1">
        <f t="array" ref="BZ434">$BM434 * IF($AH434&lt;=2,
SUMPRODUCT(INDEX($AV$66:$AX$70,,$AI434), INDEX($AY$66:$BE$70,,$AH434), 1 / ($BF$66:$BF$70*BY434 + (1-$BF$66:$BF$70)*BU434), N($AU$66:$AU$70&gt;$AM434)),
SUMPRODUCT(INDEX($AV$56:$AX$65,,$AI434), INDEX($AY$56:$BE$65,,$AH434), 1 / ($BG$56:$BG$65*BY434 + (1-$BG$56:$BG$65)*BU434), N($AU$56:$AU$65&gt;$AM434))
) / 1000</f>
        <v>0</v>
      </c>
      <c r="CA434" s="231">
        <f t="shared" si="628"/>
        <v>20</v>
      </c>
      <c r="CB434" s="229">
        <f t="shared" si="606"/>
        <v>33</v>
      </c>
      <c r="CC434" s="234">
        <f t="shared" si="607"/>
        <v>4.8487499999999999</v>
      </c>
      <c r="CD434" s="234" cm="1">
        <f t="array" ref="CD434">$BM434 * IF($AH434&lt;=2,
SUMPRODUCT(INDEX($AV$61:$AX$65,,$AI434), INDEX($AY$61:$BE$65,,$AH434), 1 / ($BF$61:$BF$65*CC434 + (1-$BF$61:$BF$65)*BY434), N($AU$61:$AU$65&gt;$AM434)),
SUMPRODUCT(INDEX($AV$46:$AX$55,,$AI434), INDEX($AY$46:$BE$55,,$AH434), 1 / ($BG$46:$BG$55*CC434 + (1-$BG$46:$BG$55)*BY434), N($AU$46:$AU$55&gt;$AM434))
) / 1000</f>
        <v>0</v>
      </c>
      <c r="CE434" s="234" cm="1">
        <f t="array" ref="CE434">$BM434 * IF($AH434&lt;=2,
SUMPRODUCT(INDEX($AV$22:$AX$60,,$AI434), INDEX($AY$22:$BE$60,,$AH434), 1 / ($BF$22:$BF$60*CC434), N($AU$22:$AU$60&gt;$AM434)),
SUMPRODUCT(INDEX($AV$22:$AX$45,,$AI434), INDEX($AY$22:$BE$45,,$AH434), 1 / ($BG$22:$BG$45*CC434), N($AU$22:$AU$45&gt;$AM434))
) / 1000</f>
        <v>0</v>
      </c>
      <c r="CF434" s="229">
        <f t="shared" si="608"/>
        <v>0</v>
      </c>
      <c r="CG434" s="246"/>
      <c r="CH434" s="229">
        <f t="shared" si="609"/>
        <v>0</v>
      </c>
      <c r="CI434" s="228">
        <v>35</v>
      </c>
      <c r="CJ434" s="229">
        <f t="shared" si="610"/>
        <v>48</v>
      </c>
      <c r="CK434" s="234">
        <f t="shared" si="611"/>
        <v>3.0748170731707316</v>
      </c>
      <c r="CL434" s="234" cm="1">
        <f t="array" ref="CL434">$BM434 * SUMPRODUCT(INDEX($AV$76:$AX$81,,$AI434),INDEX($AY$76:$BE$81,,$AH434), N($AU$76:$AU$81&gt;$AM434)) / CK434 / 1000</f>
        <v>0</v>
      </c>
      <c r="CM434" s="231">
        <f t="shared" si="629"/>
        <v>30</v>
      </c>
      <c r="CN434" s="229">
        <f t="shared" si="612"/>
        <v>43</v>
      </c>
      <c r="CO434" s="234">
        <f t="shared" si="613"/>
        <v>3.5018750000000001</v>
      </c>
      <c r="CP434" s="234" cm="1">
        <f t="array" ref="CP434">$BM434 * IF($AH434&lt;=2,
SUMPRODUCT(INDEX($AV$71:$AX$75,,$AI434), INDEX($AY$71:$BE$75,,$AH434), 1 / ($BF$71:$BF$75*CO434 + (1-$BF$71:$BF$75)*CK434), N($AU$71:$AU$75&gt;$AM434)),
SUMPRODUCT(INDEX($AV$66:$AX$75,,$AI434), INDEX($AY$66:$BE$75,,$AH434), 1 / ($BG$66:$BG$75*CO434 + (1-$BG$66:$BG$75)*CK434), N($AU$66:$AU$75&gt;$AM434))
) / 1000</f>
        <v>0</v>
      </c>
      <c r="CQ434" s="231">
        <f t="shared" si="630"/>
        <v>25</v>
      </c>
      <c r="CR434" s="229">
        <f t="shared" si="614"/>
        <v>38</v>
      </c>
      <c r="CS434" s="234">
        <f t="shared" si="615"/>
        <v>4.0666935483870965</v>
      </c>
      <c r="CT434" s="234" cm="1">
        <f t="array" ref="CT434">$BM434 * IF($AH434&lt;=2,
SUMPRODUCT(INDEX($AV$66:$AX$70,,$AI434), INDEX($AY$66:$BE$70,,$AH434), 1 / ($BF$66:$BF$70*CS434 + (1-$BF$66:$BF$70)*CO434), N($AU$66:$AU$70&gt;$AM434)),
SUMPRODUCT(INDEX($AV$56:$AX$65,,$AI434), INDEX($AY$56:$BE$65,,$AH434), 1 / ($BG$56:$BG$65*CS434 + (1-$BG$56:$BG$65)*CO434), N($AU$56:$AU$65&gt;$AM434))
) / 1000</f>
        <v>0</v>
      </c>
      <c r="CU434" s="231">
        <f t="shared" si="631"/>
        <v>20</v>
      </c>
      <c r="CV434" s="229">
        <f t="shared" si="616"/>
        <v>33</v>
      </c>
      <c r="CW434" s="234">
        <f t="shared" si="617"/>
        <v>4.8487499999999999</v>
      </c>
      <c r="CX434" s="234" cm="1">
        <f t="array" ref="CX434">$BM434 * IF($AH434&lt;=2,
SUMPRODUCT(INDEX($AV$61:$AX$65,,$AI434), INDEX($AY$61:$BE$65,,$AH434), 1 / ($BF$61:$BF$65*CW434 + (1-$BF$61:$BF$65)*CS434), N($AU$61:$AU$65&gt;$AM434)),
SUMPRODUCT(INDEX($AV$46:$AX$55,,$AI434), INDEX($AY$46:$BE$55,,$AH434), 1 / ($BG$46:$BG$55*CW434 + (1-$BG$46:$BG$55)*CS434), N($AU$46:$AU$55&gt;$AM434))
) / 1000</f>
        <v>0</v>
      </c>
      <c r="CY434" s="234" cm="1">
        <f t="array" ref="CY434">$BM434 * IF($AH434&lt;=2,
SUMPRODUCT(INDEX($AV$22:$AX$60,,$AI434), INDEX($AY$22:$BE$60,,$AH434), 1 / ($BF$22:$BF$60*CW434), N($AU$22:$AU$60&gt;$AM434)),
SUMPRODUCT(INDEX($AV$22:$AX$45,,$AI434), INDEX($AY$22:$BE$45,,$AH434), 1 / ($BG$22:$BG$45*CW434), N($AU$22:$AU$45&gt;$AM434))
) / 1000</f>
        <v>0</v>
      </c>
      <c r="CZ434" s="229">
        <f t="shared" si="618"/>
        <v>0</v>
      </c>
      <c r="DA434" s="246"/>
    </row>
    <row r="435" spans="1:105" s="75" customFormat="1" ht="14.25" customHeight="1" x14ac:dyDescent="0.2">
      <c r="A435" s="230" t="b">
        <f t="shared" si="623"/>
        <v>0</v>
      </c>
      <c r="B435" s="253">
        <v>414</v>
      </c>
      <c r="C435" s="266"/>
      <c r="D435" s="266"/>
      <c r="E435" s="254"/>
      <c r="F435" s="255" t="str">
        <f>IF(ISBLANK(E435), "", VLOOKUP(E435, Z!$A$2:$C$4127, 3, FALSE))</f>
        <v/>
      </c>
      <c r="G435" s="256"/>
      <c r="H435" s="256"/>
      <c r="I435" s="256"/>
      <c r="J435" s="257"/>
      <c r="K435" s="258"/>
      <c r="L435" s="267"/>
      <c r="M435" s="268"/>
      <c r="N435" s="259" t="str" cm="1">
        <f t="array" ref="N435">IF($L435&gt;0, INDEX(Clean,1+AK435,$D$1), "")</f>
        <v/>
      </c>
      <c r="O435" s="260"/>
      <c r="P435" s="260"/>
      <c r="Q435" s="261"/>
      <c r="R435" s="264">
        <f t="shared" si="594"/>
        <v>0</v>
      </c>
      <c r="S435" s="259" t="str" cm="1">
        <f t="array" ref="S435">IF($L435&gt;0, INDEX(Clean,1+AL435,$D$1), "")</f>
        <v/>
      </c>
      <c r="T435" s="260"/>
      <c r="U435" s="260"/>
      <c r="V435" s="261"/>
      <c r="W435" s="267"/>
      <c r="X435" s="267"/>
      <c r="Y435" s="257"/>
      <c r="Z435" s="264">
        <f t="shared" si="595"/>
        <v>0</v>
      </c>
      <c r="AA435" s="269"/>
      <c r="AB435" s="266"/>
      <c r="AC435" s="254"/>
      <c r="AD435" s="255" t="str">
        <f>IF(ISBLANK(AC435), "", VLOOKUP(AC435, Z!$A$2:$C$4127, 3, FALSE))</f>
        <v/>
      </c>
      <c r="AE435" s="270"/>
      <c r="AF435" s="265">
        <f t="shared" si="596"/>
        <v>0</v>
      </c>
      <c r="AG435" s="246"/>
      <c r="AH435" s="228">
        <f t="shared" si="619"/>
        <v>1</v>
      </c>
      <c r="AI435" s="228">
        <f t="shared" si="620"/>
        <v>1</v>
      </c>
      <c r="AJ435" s="228">
        <f t="shared" si="621"/>
        <v>0</v>
      </c>
      <c r="AK435" s="228">
        <v>0</v>
      </c>
      <c r="AL435" s="228">
        <v>0</v>
      </c>
      <c r="AM435" s="228">
        <f t="shared" si="597"/>
        <v>-100</v>
      </c>
      <c r="AN435" s="228" cm="1">
        <f t="array" ref="AN435">IF(ISBLANK(G435), 1, IFERROR(MATCH(G435, INDEX(Kat,,1), 0), IFERROR(MATCH(Kat, INDEX(Use,,2), 0), MATCH(Kat, INDEX(Use,,3), 0))))</f>
        <v>1</v>
      </c>
      <c r="AO435" s="246"/>
      <c r="AP435" s="228" cm="1">
        <f t="array" ref="AP435">IF(W435&gt;0, INDEX(Kat, AN435,4), 0)</f>
        <v>0</v>
      </c>
      <c r="AQ435" s="228">
        <f t="shared" si="622"/>
        <v>0</v>
      </c>
      <c r="AR435" s="228" cm="1">
        <f t="array" ref="AR435">IF(X435&gt;0, INDEX(Kat, $AN435, 4+AQ435), 0)</f>
        <v>0</v>
      </c>
      <c r="AS435" s="228" cm="1">
        <f t="array" ref="AS435">IF(X435&gt;0, INDEX(Kat, $AN435, 9+AQ435), 0)</f>
        <v>0</v>
      </c>
      <c r="AT435" s="246"/>
      <c r="AU435" s="262"/>
      <c r="AV435" s="262"/>
      <c r="AW435" s="263"/>
      <c r="AX435" s="263"/>
      <c r="AY435" s="263"/>
      <c r="AZ435" s="263"/>
      <c r="BA435" s="263"/>
      <c r="BB435" s="263"/>
      <c r="BC435" s="263"/>
      <c r="BD435" s="263"/>
      <c r="BE435" s="263"/>
      <c r="BF435" s="263"/>
      <c r="BG435" s="263"/>
      <c r="BH435" s="246"/>
      <c r="BI435" s="228" cm="1">
        <f t="array" ref="BI435">INDEX(Use, $AH435, 4)</f>
        <v>7</v>
      </c>
      <c r="BJ435" s="228">
        <f t="shared" si="598"/>
        <v>32</v>
      </c>
      <c r="BK435" s="228">
        <f t="shared" si="624"/>
        <v>13</v>
      </c>
      <c r="BL435" s="228">
        <f t="shared" si="625"/>
        <v>0</v>
      </c>
      <c r="BM435" s="233" cm="1">
        <f t="array" ref="BM435">L435/IF($M435&gt;0, INDEX($AY$22:$BE$76, $M435+20, $AH435), 1)</f>
        <v>0</v>
      </c>
      <c r="BN435" s="229">
        <f t="shared" si="599"/>
        <v>0</v>
      </c>
      <c r="BO435" s="228">
        <v>35</v>
      </c>
      <c r="BP435" s="229">
        <f t="shared" si="600"/>
        <v>48</v>
      </c>
      <c r="BQ435" s="234">
        <f t="shared" si="601"/>
        <v>3.0748170731707316</v>
      </c>
      <c r="BR435" s="234" cm="1">
        <f t="array" ref="BR435">$BM435 * SUMPRODUCT(INDEX($AV$76:$AX$81,,$AI435),INDEX($AY$76:$BE$81,,$AH435), N($AU$76:$AU$81&gt;$AM435)) / BQ435 / 1000</f>
        <v>0</v>
      </c>
      <c r="BS435" s="231">
        <f t="shared" si="626"/>
        <v>30</v>
      </c>
      <c r="BT435" s="229">
        <f t="shared" si="602"/>
        <v>43</v>
      </c>
      <c r="BU435" s="234">
        <f t="shared" si="603"/>
        <v>3.5018750000000001</v>
      </c>
      <c r="BV435" s="234" cm="1">
        <f t="array" ref="BV435">$BM435 * IF($AH435&lt;=2,
SUMPRODUCT(INDEX($AV$71:$AX$75,,$AI435), INDEX($AY$71:$BE$75,,$AH435), 1 / ($BF$71:$BF$75*BU435 + (1-$BF$71:$BF$75)*BQ435), N($AU$71:$AU$75&gt;$AM435)),
SUMPRODUCT(INDEX($AV$66:$AX$75,,$AI435), INDEX($AY$66:$BE$75,,$AH435), 1 / ($BG$66:$BG$75*BU435 + (1-$BG$66:$BG$75)*BQ435), N($AU$66:$AU$75&gt;$AM435))
) / 1000</f>
        <v>0</v>
      </c>
      <c r="BW435" s="231">
        <f t="shared" si="627"/>
        <v>25</v>
      </c>
      <c r="BX435" s="229">
        <f t="shared" si="604"/>
        <v>38</v>
      </c>
      <c r="BY435" s="234">
        <f t="shared" si="605"/>
        <v>4.0666935483870965</v>
      </c>
      <c r="BZ435" s="234" cm="1">
        <f t="array" ref="BZ435">$BM435 * IF($AH435&lt;=2,
SUMPRODUCT(INDEX($AV$66:$AX$70,,$AI435), INDEX($AY$66:$BE$70,,$AH435), 1 / ($BF$66:$BF$70*BY435 + (1-$BF$66:$BF$70)*BU435), N($AU$66:$AU$70&gt;$AM435)),
SUMPRODUCT(INDEX($AV$56:$AX$65,,$AI435), INDEX($AY$56:$BE$65,,$AH435), 1 / ($BG$56:$BG$65*BY435 + (1-$BG$56:$BG$65)*BU435), N($AU$56:$AU$65&gt;$AM435))
) / 1000</f>
        <v>0</v>
      </c>
      <c r="CA435" s="231">
        <f t="shared" si="628"/>
        <v>20</v>
      </c>
      <c r="CB435" s="229">
        <f t="shared" si="606"/>
        <v>33</v>
      </c>
      <c r="CC435" s="234">
        <f t="shared" si="607"/>
        <v>4.8487499999999999</v>
      </c>
      <c r="CD435" s="234" cm="1">
        <f t="array" ref="CD435">$BM435 * IF($AH435&lt;=2,
SUMPRODUCT(INDEX($AV$61:$AX$65,,$AI435), INDEX($AY$61:$BE$65,,$AH435), 1 / ($BF$61:$BF$65*CC435 + (1-$BF$61:$BF$65)*BY435), N($AU$61:$AU$65&gt;$AM435)),
SUMPRODUCT(INDEX($AV$46:$AX$55,,$AI435), INDEX($AY$46:$BE$55,,$AH435), 1 / ($BG$46:$BG$55*CC435 + (1-$BG$46:$BG$55)*BY435), N($AU$46:$AU$55&gt;$AM435))
) / 1000</f>
        <v>0</v>
      </c>
      <c r="CE435" s="234" cm="1">
        <f t="array" ref="CE435">$BM435 * IF($AH435&lt;=2,
SUMPRODUCT(INDEX($AV$22:$AX$60,,$AI435), INDEX($AY$22:$BE$60,,$AH435), 1 / ($BF$22:$BF$60*CC435), N($AU$22:$AU$60&gt;$AM435)),
SUMPRODUCT(INDEX($AV$22:$AX$45,,$AI435), INDEX($AY$22:$BE$45,,$AH435), 1 / ($BG$22:$BG$45*CC435), N($AU$22:$AU$45&gt;$AM435))
) / 1000</f>
        <v>0</v>
      </c>
      <c r="CF435" s="229">
        <f t="shared" si="608"/>
        <v>0</v>
      </c>
      <c r="CG435" s="246"/>
      <c r="CH435" s="229">
        <f t="shared" si="609"/>
        <v>0</v>
      </c>
      <c r="CI435" s="228">
        <v>35</v>
      </c>
      <c r="CJ435" s="229">
        <f t="shared" si="610"/>
        <v>48</v>
      </c>
      <c r="CK435" s="234">
        <f t="shared" si="611"/>
        <v>3.0748170731707316</v>
      </c>
      <c r="CL435" s="234" cm="1">
        <f t="array" ref="CL435">$BM435 * SUMPRODUCT(INDEX($AV$76:$AX$81,,$AI435),INDEX($AY$76:$BE$81,,$AH435), N($AU$76:$AU$81&gt;$AM435)) / CK435 / 1000</f>
        <v>0</v>
      </c>
      <c r="CM435" s="231">
        <f t="shared" si="629"/>
        <v>30</v>
      </c>
      <c r="CN435" s="229">
        <f t="shared" si="612"/>
        <v>43</v>
      </c>
      <c r="CO435" s="234">
        <f t="shared" si="613"/>
        <v>3.5018750000000001</v>
      </c>
      <c r="CP435" s="234" cm="1">
        <f t="array" ref="CP435">$BM435 * IF($AH435&lt;=2,
SUMPRODUCT(INDEX($AV$71:$AX$75,,$AI435), INDEX($AY$71:$BE$75,,$AH435), 1 / ($BF$71:$BF$75*CO435 + (1-$BF$71:$BF$75)*CK435), N($AU$71:$AU$75&gt;$AM435)),
SUMPRODUCT(INDEX($AV$66:$AX$75,,$AI435), INDEX($AY$66:$BE$75,,$AH435), 1 / ($BG$66:$BG$75*CO435 + (1-$BG$66:$BG$75)*CK435), N($AU$66:$AU$75&gt;$AM435))
) / 1000</f>
        <v>0</v>
      </c>
      <c r="CQ435" s="231">
        <f t="shared" si="630"/>
        <v>25</v>
      </c>
      <c r="CR435" s="229">
        <f t="shared" si="614"/>
        <v>38</v>
      </c>
      <c r="CS435" s="234">
        <f t="shared" si="615"/>
        <v>4.0666935483870965</v>
      </c>
      <c r="CT435" s="234" cm="1">
        <f t="array" ref="CT435">$BM435 * IF($AH435&lt;=2,
SUMPRODUCT(INDEX($AV$66:$AX$70,,$AI435), INDEX($AY$66:$BE$70,,$AH435), 1 / ($BF$66:$BF$70*CS435 + (1-$BF$66:$BF$70)*CO435), N($AU$66:$AU$70&gt;$AM435)),
SUMPRODUCT(INDEX($AV$56:$AX$65,,$AI435), INDEX($AY$56:$BE$65,,$AH435), 1 / ($BG$56:$BG$65*CS435 + (1-$BG$56:$BG$65)*CO435), N($AU$56:$AU$65&gt;$AM435))
) / 1000</f>
        <v>0</v>
      </c>
      <c r="CU435" s="231">
        <f t="shared" si="631"/>
        <v>20</v>
      </c>
      <c r="CV435" s="229">
        <f t="shared" si="616"/>
        <v>33</v>
      </c>
      <c r="CW435" s="234">
        <f t="shared" si="617"/>
        <v>4.8487499999999999</v>
      </c>
      <c r="CX435" s="234" cm="1">
        <f t="array" ref="CX435">$BM435 * IF($AH435&lt;=2,
SUMPRODUCT(INDEX($AV$61:$AX$65,,$AI435), INDEX($AY$61:$BE$65,,$AH435), 1 / ($BF$61:$BF$65*CW435 + (1-$BF$61:$BF$65)*CS435), N($AU$61:$AU$65&gt;$AM435)),
SUMPRODUCT(INDEX($AV$46:$AX$55,,$AI435), INDEX($AY$46:$BE$55,,$AH435), 1 / ($BG$46:$BG$55*CW435 + (1-$BG$46:$BG$55)*CS435), N($AU$46:$AU$55&gt;$AM435))
) / 1000</f>
        <v>0</v>
      </c>
      <c r="CY435" s="234" cm="1">
        <f t="array" ref="CY435">$BM435 * IF($AH435&lt;=2,
SUMPRODUCT(INDEX($AV$22:$AX$60,,$AI435), INDEX($AY$22:$BE$60,,$AH435), 1 / ($BF$22:$BF$60*CW435), N($AU$22:$AU$60&gt;$AM435)),
SUMPRODUCT(INDEX($AV$22:$AX$45,,$AI435), INDEX($AY$22:$BE$45,,$AH435), 1 / ($BG$22:$BG$45*CW435), N($AU$22:$AU$45&gt;$AM435))
) / 1000</f>
        <v>0</v>
      </c>
      <c r="CZ435" s="229">
        <f t="shared" si="618"/>
        <v>0</v>
      </c>
      <c r="DA435" s="246"/>
    </row>
    <row r="436" spans="1:105" s="75" customFormat="1" ht="14.25" customHeight="1" x14ac:dyDescent="0.2">
      <c r="A436" s="230" t="b">
        <f t="shared" si="623"/>
        <v>0</v>
      </c>
      <c r="B436" s="253">
        <v>415</v>
      </c>
      <c r="C436" s="266"/>
      <c r="D436" s="266"/>
      <c r="E436" s="254"/>
      <c r="F436" s="255" t="str">
        <f>IF(ISBLANK(E436), "", VLOOKUP(E436, Z!$A$2:$C$4127, 3, FALSE))</f>
        <v/>
      </c>
      <c r="G436" s="256"/>
      <c r="H436" s="256"/>
      <c r="I436" s="256"/>
      <c r="J436" s="257"/>
      <c r="K436" s="258"/>
      <c r="L436" s="267"/>
      <c r="M436" s="268"/>
      <c r="N436" s="259" t="str" cm="1">
        <f t="array" ref="N436">IF($L436&gt;0, INDEX(Clean,1+AK436,$D$1), "")</f>
        <v/>
      </c>
      <c r="O436" s="260"/>
      <c r="P436" s="260"/>
      <c r="Q436" s="261"/>
      <c r="R436" s="264">
        <f t="shared" si="594"/>
        <v>0</v>
      </c>
      <c r="S436" s="259" t="str" cm="1">
        <f t="array" ref="S436">IF($L436&gt;0, INDEX(Clean,1+AL436,$D$1), "")</f>
        <v/>
      </c>
      <c r="T436" s="260"/>
      <c r="U436" s="260"/>
      <c r="V436" s="261"/>
      <c r="W436" s="267"/>
      <c r="X436" s="267"/>
      <c r="Y436" s="257"/>
      <c r="Z436" s="264">
        <f t="shared" si="595"/>
        <v>0</v>
      </c>
      <c r="AA436" s="269"/>
      <c r="AB436" s="266"/>
      <c r="AC436" s="254"/>
      <c r="AD436" s="255" t="str">
        <f>IF(ISBLANK(AC436), "", VLOOKUP(AC436, Z!$A$2:$C$4127, 3, FALSE))</f>
        <v/>
      </c>
      <c r="AE436" s="270"/>
      <c r="AF436" s="265">
        <f t="shared" si="596"/>
        <v>0</v>
      </c>
      <c r="AG436" s="246"/>
      <c r="AH436" s="228">
        <f t="shared" si="619"/>
        <v>1</v>
      </c>
      <c r="AI436" s="228">
        <f t="shared" si="620"/>
        <v>1</v>
      </c>
      <c r="AJ436" s="228">
        <f t="shared" si="621"/>
        <v>0</v>
      </c>
      <c r="AK436" s="228">
        <v>0</v>
      </c>
      <c r="AL436" s="228">
        <v>0</v>
      </c>
      <c r="AM436" s="228">
        <f t="shared" si="597"/>
        <v>-100</v>
      </c>
      <c r="AN436" s="228" cm="1">
        <f t="array" ref="AN436">IF(ISBLANK(G436), 1, IFERROR(MATCH(G436, INDEX(Kat,,1), 0), IFERROR(MATCH(Kat, INDEX(Use,,2), 0), MATCH(Kat, INDEX(Use,,3), 0))))</f>
        <v>1</v>
      </c>
      <c r="AO436" s="246"/>
      <c r="AP436" s="228" cm="1">
        <f t="array" ref="AP436">IF(W436&gt;0, INDEX(Kat, AN436,4), 0)</f>
        <v>0</v>
      </c>
      <c r="AQ436" s="228">
        <f t="shared" si="622"/>
        <v>0</v>
      </c>
      <c r="AR436" s="228" cm="1">
        <f t="array" ref="AR436">IF(X436&gt;0, INDEX(Kat, $AN436, 4+AQ436), 0)</f>
        <v>0</v>
      </c>
      <c r="AS436" s="228" cm="1">
        <f t="array" ref="AS436">IF(X436&gt;0, INDEX(Kat, $AN436, 9+AQ436), 0)</f>
        <v>0</v>
      </c>
      <c r="AT436" s="246"/>
      <c r="AU436" s="262"/>
      <c r="AV436" s="262"/>
      <c r="AW436" s="263"/>
      <c r="AX436" s="263"/>
      <c r="AY436" s="263"/>
      <c r="AZ436" s="263"/>
      <c r="BA436" s="263"/>
      <c r="BB436" s="263"/>
      <c r="BC436" s="263"/>
      <c r="BD436" s="263"/>
      <c r="BE436" s="263"/>
      <c r="BF436" s="263"/>
      <c r="BG436" s="263"/>
      <c r="BH436" s="246"/>
      <c r="BI436" s="228" cm="1">
        <f t="array" ref="BI436">INDEX(Use, $AH436, 4)</f>
        <v>7</v>
      </c>
      <c r="BJ436" s="228">
        <f t="shared" si="598"/>
        <v>32</v>
      </c>
      <c r="BK436" s="228">
        <f t="shared" si="624"/>
        <v>13</v>
      </c>
      <c r="BL436" s="228">
        <f t="shared" si="625"/>
        <v>0</v>
      </c>
      <c r="BM436" s="233" cm="1">
        <f t="array" ref="BM436">L436/IF($M436&gt;0, INDEX($AY$22:$BE$76, $M436+20, $AH436), 1)</f>
        <v>0</v>
      </c>
      <c r="BN436" s="229">
        <f t="shared" si="599"/>
        <v>0</v>
      </c>
      <c r="BO436" s="228">
        <v>35</v>
      </c>
      <c r="BP436" s="229">
        <f t="shared" si="600"/>
        <v>48</v>
      </c>
      <c r="BQ436" s="234">
        <f t="shared" si="601"/>
        <v>3.0748170731707316</v>
      </c>
      <c r="BR436" s="234" cm="1">
        <f t="array" ref="BR436">$BM436 * SUMPRODUCT(INDEX($AV$76:$AX$81,,$AI436),INDEX($AY$76:$BE$81,,$AH436), N($AU$76:$AU$81&gt;$AM436)) / BQ436 / 1000</f>
        <v>0</v>
      </c>
      <c r="BS436" s="231">
        <f t="shared" si="626"/>
        <v>30</v>
      </c>
      <c r="BT436" s="229">
        <f t="shared" si="602"/>
        <v>43</v>
      </c>
      <c r="BU436" s="234">
        <f t="shared" si="603"/>
        <v>3.5018750000000001</v>
      </c>
      <c r="BV436" s="234" cm="1">
        <f t="array" ref="BV436">$BM436 * IF($AH436&lt;=2,
SUMPRODUCT(INDEX($AV$71:$AX$75,,$AI436), INDEX($AY$71:$BE$75,,$AH436), 1 / ($BF$71:$BF$75*BU436 + (1-$BF$71:$BF$75)*BQ436), N($AU$71:$AU$75&gt;$AM436)),
SUMPRODUCT(INDEX($AV$66:$AX$75,,$AI436), INDEX($AY$66:$BE$75,,$AH436), 1 / ($BG$66:$BG$75*BU436 + (1-$BG$66:$BG$75)*BQ436), N($AU$66:$AU$75&gt;$AM436))
) / 1000</f>
        <v>0</v>
      </c>
      <c r="BW436" s="231">
        <f t="shared" si="627"/>
        <v>25</v>
      </c>
      <c r="BX436" s="229">
        <f t="shared" si="604"/>
        <v>38</v>
      </c>
      <c r="BY436" s="234">
        <f t="shared" si="605"/>
        <v>4.0666935483870965</v>
      </c>
      <c r="BZ436" s="234" cm="1">
        <f t="array" ref="BZ436">$BM436 * IF($AH436&lt;=2,
SUMPRODUCT(INDEX($AV$66:$AX$70,,$AI436), INDEX($AY$66:$BE$70,,$AH436), 1 / ($BF$66:$BF$70*BY436 + (1-$BF$66:$BF$70)*BU436), N($AU$66:$AU$70&gt;$AM436)),
SUMPRODUCT(INDEX($AV$56:$AX$65,,$AI436), INDEX($AY$56:$BE$65,,$AH436), 1 / ($BG$56:$BG$65*BY436 + (1-$BG$56:$BG$65)*BU436), N($AU$56:$AU$65&gt;$AM436))
) / 1000</f>
        <v>0</v>
      </c>
      <c r="CA436" s="231">
        <f t="shared" si="628"/>
        <v>20</v>
      </c>
      <c r="CB436" s="229">
        <f t="shared" si="606"/>
        <v>33</v>
      </c>
      <c r="CC436" s="234">
        <f t="shared" si="607"/>
        <v>4.8487499999999999</v>
      </c>
      <c r="CD436" s="234" cm="1">
        <f t="array" ref="CD436">$BM436 * IF($AH436&lt;=2,
SUMPRODUCT(INDEX($AV$61:$AX$65,,$AI436), INDEX($AY$61:$BE$65,,$AH436), 1 / ($BF$61:$BF$65*CC436 + (1-$BF$61:$BF$65)*BY436), N($AU$61:$AU$65&gt;$AM436)),
SUMPRODUCT(INDEX($AV$46:$AX$55,,$AI436), INDEX($AY$46:$BE$55,,$AH436), 1 / ($BG$46:$BG$55*CC436 + (1-$BG$46:$BG$55)*BY436), N($AU$46:$AU$55&gt;$AM436))
) / 1000</f>
        <v>0</v>
      </c>
      <c r="CE436" s="234" cm="1">
        <f t="array" ref="CE436">$BM436 * IF($AH436&lt;=2,
SUMPRODUCT(INDEX($AV$22:$AX$60,,$AI436), INDEX($AY$22:$BE$60,,$AH436), 1 / ($BF$22:$BF$60*CC436), N($AU$22:$AU$60&gt;$AM436)),
SUMPRODUCT(INDEX($AV$22:$AX$45,,$AI436), INDEX($AY$22:$BE$45,,$AH436), 1 / ($BG$22:$BG$45*CC436), N($AU$22:$AU$45&gt;$AM436))
) / 1000</f>
        <v>0</v>
      </c>
      <c r="CF436" s="229">
        <f t="shared" si="608"/>
        <v>0</v>
      </c>
      <c r="CG436" s="246"/>
      <c r="CH436" s="229">
        <f t="shared" si="609"/>
        <v>0</v>
      </c>
      <c r="CI436" s="228">
        <v>35</v>
      </c>
      <c r="CJ436" s="229">
        <f t="shared" si="610"/>
        <v>48</v>
      </c>
      <c r="CK436" s="234">
        <f t="shared" si="611"/>
        <v>3.0748170731707316</v>
      </c>
      <c r="CL436" s="234" cm="1">
        <f t="array" ref="CL436">$BM436 * SUMPRODUCT(INDEX($AV$76:$AX$81,,$AI436),INDEX($AY$76:$BE$81,,$AH436), N($AU$76:$AU$81&gt;$AM436)) / CK436 / 1000</f>
        <v>0</v>
      </c>
      <c r="CM436" s="231">
        <f t="shared" si="629"/>
        <v>30</v>
      </c>
      <c r="CN436" s="229">
        <f t="shared" si="612"/>
        <v>43</v>
      </c>
      <c r="CO436" s="234">
        <f t="shared" si="613"/>
        <v>3.5018750000000001</v>
      </c>
      <c r="CP436" s="234" cm="1">
        <f t="array" ref="CP436">$BM436 * IF($AH436&lt;=2,
SUMPRODUCT(INDEX($AV$71:$AX$75,,$AI436), INDEX($AY$71:$BE$75,,$AH436), 1 / ($BF$71:$BF$75*CO436 + (1-$BF$71:$BF$75)*CK436), N($AU$71:$AU$75&gt;$AM436)),
SUMPRODUCT(INDEX($AV$66:$AX$75,,$AI436), INDEX($AY$66:$BE$75,,$AH436), 1 / ($BG$66:$BG$75*CO436 + (1-$BG$66:$BG$75)*CK436), N($AU$66:$AU$75&gt;$AM436))
) / 1000</f>
        <v>0</v>
      </c>
      <c r="CQ436" s="231">
        <f t="shared" si="630"/>
        <v>25</v>
      </c>
      <c r="CR436" s="229">
        <f t="shared" si="614"/>
        <v>38</v>
      </c>
      <c r="CS436" s="234">
        <f t="shared" si="615"/>
        <v>4.0666935483870965</v>
      </c>
      <c r="CT436" s="234" cm="1">
        <f t="array" ref="CT436">$BM436 * IF($AH436&lt;=2,
SUMPRODUCT(INDEX($AV$66:$AX$70,,$AI436), INDEX($AY$66:$BE$70,,$AH436), 1 / ($BF$66:$BF$70*CS436 + (1-$BF$66:$BF$70)*CO436), N($AU$66:$AU$70&gt;$AM436)),
SUMPRODUCT(INDEX($AV$56:$AX$65,,$AI436), INDEX($AY$56:$BE$65,,$AH436), 1 / ($BG$56:$BG$65*CS436 + (1-$BG$56:$BG$65)*CO436), N($AU$56:$AU$65&gt;$AM436))
) / 1000</f>
        <v>0</v>
      </c>
      <c r="CU436" s="231">
        <f t="shared" si="631"/>
        <v>20</v>
      </c>
      <c r="CV436" s="229">
        <f t="shared" si="616"/>
        <v>33</v>
      </c>
      <c r="CW436" s="234">
        <f t="shared" si="617"/>
        <v>4.8487499999999999</v>
      </c>
      <c r="CX436" s="234" cm="1">
        <f t="array" ref="CX436">$BM436 * IF($AH436&lt;=2,
SUMPRODUCT(INDEX($AV$61:$AX$65,,$AI436), INDEX($AY$61:$BE$65,,$AH436), 1 / ($BF$61:$BF$65*CW436 + (1-$BF$61:$BF$65)*CS436), N($AU$61:$AU$65&gt;$AM436)),
SUMPRODUCT(INDEX($AV$46:$AX$55,,$AI436), INDEX($AY$46:$BE$55,,$AH436), 1 / ($BG$46:$BG$55*CW436 + (1-$BG$46:$BG$55)*CS436), N($AU$46:$AU$55&gt;$AM436))
) / 1000</f>
        <v>0</v>
      </c>
      <c r="CY436" s="234" cm="1">
        <f t="array" ref="CY436">$BM436 * IF($AH436&lt;=2,
SUMPRODUCT(INDEX($AV$22:$AX$60,,$AI436), INDEX($AY$22:$BE$60,,$AH436), 1 / ($BF$22:$BF$60*CW436), N($AU$22:$AU$60&gt;$AM436)),
SUMPRODUCT(INDEX($AV$22:$AX$45,,$AI436), INDEX($AY$22:$BE$45,,$AH436), 1 / ($BG$22:$BG$45*CW436), N($AU$22:$AU$45&gt;$AM436))
) / 1000</f>
        <v>0</v>
      </c>
      <c r="CZ436" s="229">
        <f t="shared" si="618"/>
        <v>0</v>
      </c>
      <c r="DA436" s="246"/>
    </row>
    <row r="437" spans="1:105" s="75" customFormat="1" ht="14.25" customHeight="1" x14ac:dyDescent="0.2">
      <c r="A437" s="230" t="b">
        <f t="shared" si="623"/>
        <v>0</v>
      </c>
      <c r="B437" s="253">
        <v>416</v>
      </c>
      <c r="C437" s="266"/>
      <c r="D437" s="266"/>
      <c r="E437" s="254"/>
      <c r="F437" s="255" t="str">
        <f>IF(ISBLANK(E437), "", VLOOKUP(E437, Z!$A$2:$C$4127, 3, FALSE))</f>
        <v/>
      </c>
      <c r="G437" s="256"/>
      <c r="H437" s="256"/>
      <c r="I437" s="256"/>
      <c r="J437" s="257"/>
      <c r="K437" s="258"/>
      <c r="L437" s="267"/>
      <c r="M437" s="268"/>
      <c r="N437" s="259" t="str" cm="1">
        <f t="array" ref="N437">IF($L437&gt;0, INDEX(Clean,1+AK437,$D$1), "")</f>
        <v/>
      </c>
      <c r="O437" s="260"/>
      <c r="P437" s="260"/>
      <c r="Q437" s="261"/>
      <c r="R437" s="264">
        <f t="shared" si="594"/>
        <v>0</v>
      </c>
      <c r="S437" s="259" t="str" cm="1">
        <f t="array" ref="S437">IF($L437&gt;0, INDEX(Clean,1+AL437,$D$1), "")</f>
        <v/>
      </c>
      <c r="T437" s="260"/>
      <c r="U437" s="260"/>
      <c r="V437" s="261"/>
      <c r="W437" s="267"/>
      <c r="X437" s="267"/>
      <c r="Y437" s="257"/>
      <c r="Z437" s="264">
        <f t="shared" si="595"/>
        <v>0</v>
      </c>
      <c r="AA437" s="269"/>
      <c r="AB437" s="266"/>
      <c r="AC437" s="254"/>
      <c r="AD437" s="255" t="str">
        <f>IF(ISBLANK(AC437), "", VLOOKUP(AC437, Z!$A$2:$C$4127, 3, FALSE))</f>
        <v/>
      </c>
      <c r="AE437" s="270"/>
      <c r="AF437" s="265">
        <f t="shared" si="596"/>
        <v>0</v>
      </c>
      <c r="AG437" s="246"/>
      <c r="AH437" s="228">
        <f t="shared" si="619"/>
        <v>1</v>
      </c>
      <c r="AI437" s="228">
        <f t="shared" si="620"/>
        <v>1</v>
      </c>
      <c r="AJ437" s="228">
        <f t="shared" si="621"/>
        <v>0</v>
      </c>
      <c r="AK437" s="228">
        <v>0</v>
      </c>
      <c r="AL437" s="228">
        <v>0</v>
      </c>
      <c r="AM437" s="228">
        <f t="shared" si="597"/>
        <v>-100</v>
      </c>
      <c r="AN437" s="228" cm="1">
        <f t="array" ref="AN437">IF(ISBLANK(G437), 1, IFERROR(MATCH(G437, INDEX(Kat,,1), 0), IFERROR(MATCH(Kat, INDEX(Use,,2), 0), MATCH(Kat, INDEX(Use,,3), 0))))</f>
        <v>1</v>
      </c>
      <c r="AO437" s="246"/>
      <c r="AP437" s="228" cm="1">
        <f t="array" ref="AP437">IF(W437&gt;0, INDEX(Kat, AN437,4), 0)</f>
        <v>0</v>
      </c>
      <c r="AQ437" s="228">
        <f t="shared" si="622"/>
        <v>0</v>
      </c>
      <c r="AR437" s="228" cm="1">
        <f t="array" ref="AR437">IF(X437&gt;0, INDEX(Kat, $AN437, 4+AQ437), 0)</f>
        <v>0</v>
      </c>
      <c r="AS437" s="228" cm="1">
        <f t="array" ref="AS437">IF(X437&gt;0, INDEX(Kat, $AN437, 9+AQ437), 0)</f>
        <v>0</v>
      </c>
      <c r="AT437" s="246"/>
      <c r="AU437" s="262"/>
      <c r="AV437" s="262"/>
      <c r="AW437" s="263"/>
      <c r="AX437" s="263"/>
      <c r="AY437" s="263"/>
      <c r="AZ437" s="263"/>
      <c r="BA437" s="263"/>
      <c r="BB437" s="263"/>
      <c r="BC437" s="263"/>
      <c r="BD437" s="263"/>
      <c r="BE437" s="263"/>
      <c r="BF437" s="263"/>
      <c r="BG437" s="263"/>
      <c r="BH437" s="246"/>
      <c r="BI437" s="228" cm="1">
        <f t="array" ref="BI437">INDEX(Use, $AH437, 4)</f>
        <v>7</v>
      </c>
      <c r="BJ437" s="228">
        <f t="shared" si="598"/>
        <v>32</v>
      </c>
      <c r="BK437" s="228">
        <f t="shared" si="624"/>
        <v>13</v>
      </c>
      <c r="BL437" s="228">
        <f t="shared" si="625"/>
        <v>0</v>
      </c>
      <c r="BM437" s="233" cm="1">
        <f t="array" ref="BM437">L437/IF($M437&gt;0, INDEX($AY$22:$BE$76, $M437+20, $AH437), 1)</f>
        <v>0</v>
      </c>
      <c r="BN437" s="229">
        <f t="shared" si="599"/>
        <v>0</v>
      </c>
      <c r="BO437" s="228">
        <v>35</v>
      </c>
      <c r="BP437" s="229">
        <f t="shared" si="600"/>
        <v>48</v>
      </c>
      <c r="BQ437" s="234">
        <f t="shared" si="601"/>
        <v>3.0748170731707316</v>
      </c>
      <c r="BR437" s="234" cm="1">
        <f t="array" ref="BR437">$BM437 * SUMPRODUCT(INDEX($AV$76:$AX$81,,$AI437),INDEX($AY$76:$BE$81,,$AH437), N($AU$76:$AU$81&gt;$AM437)) / BQ437 / 1000</f>
        <v>0</v>
      </c>
      <c r="BS437" s="231">
        <f t="shared" si="626"/>
        <v>30</v>
      </c>
      <c r="BT437" s="229">
        <f t="shared" si="602"/>
        <v>43</v>
      </c>
      <c r="BU437" s="234">
        <f t="shared" si="603"/>
        <v>3.5018750000000001</v>
      </c>
      <c r="BV437" s="234" cm="1">
        <f t="array" ref="BV437">$BM437 * IF($AH437&lt;=2,
SUMPRODUCT(INDEX($AV$71:$AX$75,,$AI437), INDEX($AY$71:$BE$75,,$AH437), 1 / ($BF$71:$BF$75*BU437 + (1-$BF$71:$BF$75)*BQ437), N($AU$71:$AU$75&gt;$AM437)),
SUMPRODUCT(INDEX($AV$66:$AX$75,,$AI437), INDEX($AY$66:$BE$75,,$AH437), 1 / ($BG$66:$BG$75*BU437 + (1-$BG$66:$BG$75)*BQ437), N($AU$66:$AU$75&gt;$AM437))
) / 1000</f>
        <v>0</v>
      </c>
      <c r="BW437" s="231">
        <f t="shared" si="627"/>
        <v>25</v>
      </c>
      <c r="BX437" s="229">
        <f t="shared" si="604"/>
        <v>38</v>
      </c>
      <c r="BY437" s="234">
        <f t="shared" si="605"/>
        <v>4.0666935483870965</v>
      </c>
      <c r="BZ437" s="234" cm="1">
        <f t="array" ref="BZ437">$BM437 * IF($AH437&lt;=2,
SUMPRODUCT(INDEX($AV$66:$AX$70,,$AI437), INDEX($AY$66:$BE$70,,$AH437), 1 / ($BF$66:$BF$70*BY437 + (1-$BF$66:$BF$70)*BU437), N($AU$66:$AU$70&gt;$AM437)),
SUMPRODUCT(INDEX($AV$56:$AX$65,,$AI437), INDEX($AY$56:$BE$65,,$AH437), 1 / ($BG$56:$BG$65*BY437 + (1-$BG$56:$BG$65)*BU437), N($AU$56:$AU$65&gt;$AM437))
) / 1000</f>
        <v>0</v>
      </c>
      <c r="CA437" s="231">
        <f t="shared" si="628"/>
        <v>20</v>
      </c>
      <c r="CB437" s="229">
        <f t="shared" si="606"/>
        <v>33</v>
      </c>
      <c r="CC437" s="234">
        <f t="shared" si="607"/>
        <v>4.8487499999999999</v>
      </c>
      <c r="CD437" s="234" cm="1">
        <f t="array" ref="CD437">$BM437 * IF($AH437&lt;=2,
SUMPRODUCT(INDEX($AV$61:$AX$65,,$AI437), INDEX($AY$61:$BE$65,,$AH437), 1 / ($BF$61:$BF$65*CC437 + (1-$BF$61:$BF$65)*BY437), N($AU$61:$AU$65&gt;$AM437)),
SUMPRODUCT(INDEX($AV$46:$AX$55,,$AI437), INDEX($AY$46:$BE$55,,$AH437), 1 / ($BG$46:$BG$55*CC437 + (1-$BG$46:$BG$55)*BY437), N($AU$46:$AU$55&gt;$AM437))
) / 1000</f>
        <v>0</v>
      </c>
      <c r="CE437" s="234" cm="1">
        <f t="array" ref="CE437">$BM437 * IF($AH437&lt;=2,
SUMPRODUCT(INDEX($AV$22:$AX$60,,$AI437), INDEX($AY$22:$BE$60,,$AH437), 1 / ($BF$22:$BF$60*CC437), N($AU$22:$AU$60&gt;$AM437)),
SUMPRODUCT(INDEX($AV$22:$AX$45,,$AI437), INDEX($AY$22:$BE$45,,$AH437), 1 / ($BG$22:$BG$45*CC437), N($AU$22:$AU$45&gt;$AM437))
) / 1000</f>
        <v>0</v>
      </c>
      <c r="CF437" s="229">
        <f t="shared" si="608"/>
        <v>0</v>
      </c>
      <c r="CG437" s="246"/>
      <c r="CH437" s="229">
        <f t="shared" si="609"/>
        <v>0</v>
      </c>
      <c r="CI437" s="228">
        <v>35</v>
      </c>
      <c r="CJ437" s="229">
        <f t="shared" si="610"/>
        <v>48</v>
      </c>
      <c r="CK437" s="234">
        <f t="shared" si="611"/>
        <v>3.0748170731707316</v>
      </c>
      <c r="CL437" s="234" cm="1">
        <f t="array" ref="CL437">$BM437 * SUMPRODUCT(INDEX($AV$76:$AX$81,,$AI437),INDEX($AY$76:$BE$81,,$AH437), N($AU$76:$AU$81&gt;$AM437)) / CK437 / 1000</f>
        <v>0</v>
      </c>
      <c r="CM437" s="231">
        <f t="shared" si="629"/>
        <v>30</v>
      </c>
      <c r="CN437" s="229">
        <f t="shared" si="612"/>
        <v>43</v>
      </c>
      <c r="CO437" s="234">
        <f t="shared" si="613"/>
        <v>3.5018750000000001</v>
      </c>
      <c r="CP437" s="234" cm="1">
        <f t="array" ref="CP437">$BM437 * IF($AH437&lt;=2,
SUMPRODUCT(INDEX($AV$71:$AX$75,,$AI437), INDEX($AY$71:$BE$75,,$AH437), 1 / ($BF$71:$BF$75*CO437 + (1-$BF$71:$BF$75)*CK437), N($AU$71:$AU$75&gt;$AM437)),
SUMPRODUCT(INDEX($AV$66:$AX$75,,$AI437), INDEX($AY$66:$BE$75,,$AH437), 1 / ($BG$66:$BG$75*CO437 + (1-$BG$66:$BG$75)*CK437), N($AU$66:$AU$75&gt;$AM437))
) / 1000</f>
        <v>0</v>
      </c>
      <c r="CQ437" s="231">
        <f t="shared" si="630"/>
        <v>25</v>
      </c>
      <c r="CR437" s="229">
        <f t="shared" si="614"/>
        <v>38</v>
      </c>
      <c r="CS437" s="234">
        <f t="shared" si="615"/>
        <v>4.0666935483870965</v>
      </c>
      <c r="CT437" s="234" cm="1">
        <f t="array" ref="CT437">$BM437 * IF($AH437&lt;=2,
SUMPRODUCT(INDEX($AV$66:$AX$70,,$AI437), INDEX($AY$66:$BE$70,,$AH437), 1 / ($BF$66:$BF$70*CS437 + (1-$BF$66:$BF$70)*CO437), N($AU$66:$AU$70&gt;$AM437)),
SUMPRODUCT(INDEX($AV$56:$AX$65,,$AI437), INDEX($AY$56:$BE$65,,$AH437), 1 / ($BG$56:$BG$65*CS437 + (1-$BG$56:$BG$65)*CO437), N($AU$56:$AU$65&gt;$AM437))
) / 1000</f>
        <v>0</v>
      </c>
      <c r="CU437" s="231">
        <f t="shared" si="631"/>
        <v>20</v>
      </c>
      <c r="CV437" s="229">
        <f t="shared" si="616"/>
        <v>33</v>
      </c>
      <c r="CW437" s="234">
        <f t="shared" si="617"/>
        <v>4.8487499999999999</v>
      </c>
      <c r="CX437" s="234" cm="1">
        <f t="array" ref="CX437">$BM437 * IF($AH437&lt;=2,
SUMPRODUCT(INDEX($AV$61:$AX$65,,$AI437), INDEX($AY$61:$BE$65,,$AH437), 1 / ($BF$61:$BF$65*CW437 + (1-$BF$61:$BF$65)*CS437), N($AU$61:$AU$65&gt;$AM437)),
SUMPRODUCT(INDEX($AV$46:$AX$55,,$AI437), INDEX($AY$46:$BE$55,,$AH437), 1 / ($BG$46:$BG$55*CW437 + (1-$BG$46:$BG$55)*CS437), N($AU$46:$AU$55&gt;$AM437))
) / 1000</f>
        <v>0</v>
      </c>
      <c r="CY437" s="234" cm="1">
        <f t="array" ref="CY437">$BM437 * IF($AH437&lt;=2,
SUMPRODUCT(INDEX($AV$22:$AX$60,,$AI437), INDEX($AY$22:$BE$60,,$AH437), 1 / ($BF$22:$BF$60*CW437), N($AU$22:$AU$60&gt;$AM437)),
SUMPRODUCT(INDEX($AV$22:$AX$45,,$AI437), INDEX($AY$22:$BE$45,,$AH437), 1 / ($BG$22:$BG$45*CW437), N($AU$22:$AU$45&gt;$AM437))
) / 1000</f>
        <v>0</v>
      </c>
      <c r="CZ437" s="229">
        <f t="shared" si="618"/>
        <v>0</v>
      </c>
      <c r="DA437" s="246"/>
    </row>
    <row r="438" spans="1:105" s="75" customFormat="1" ht="14.25" customHeight="1" x14ac:dyDescent="0.2">
      <c r="A438" s="230" t="b">
        <f t="shared" si="623"/>
        <v>0</v>
      </c>
      <c r="B438" s="253">
        <v>417</v>
      </c>
      <c r="C438" s="266"/>
      <c r="D438" s="266"/>
      <c r="E438" s="254"/>
      <c r="F438" s="255" t="str">
        <f>IF(ISBLANK(E438), "", VLOOKUP(E438, Z!$A$2:$C$4127, 3, FALSE))</f>
        <v/>
      </c>
      <c r="G438" s="256"/>
      <c r="H438" s="256"/>
      <c r="I438" s="256"/>
      <c r="J438" s="257"/>
      <c r="K438" s="258"/>
      <c r="L438" s="267"/>
      <c r="M438" s="268"/>
      <c r="N438" s="259" t="str" cm="1">
        <f t="array" ref="N438">IF($L438&gt;0, INDEX(Clean,1+AK438,$D$1), "")</f>
        <v/>
      </c>
      <c r="O438" s="260"/>
      <c r="P438" s="260"/>
      <c r="Q438" s="261"/>
      <c r="R438" s="264">
        <f t="shared" si="594"/>
        <v>0</v>
      </c>
      <c r="S438" s="259" t="str" cm="1">
        <f t="array" ref="S438">IF($L438&gt;0, INDEX(Clean,1+AL438,$D$1), "")</f>
        <v/>
      </c>
      <c r="T438" s="260"/>
      <c r="U438" s="260"/>
      <c r="V438" s="261"/>
      <c r="W438" s="267"/>
      <c r="X438" s="267"/>
      <c r="Y438" s="257"/>
      <c r="Z438" s="264">
        <f t="shared" si="595"/>
        <v>0</v>
      </c>
      <c r="AA438" s="269"/>
      <c r="AB438" s="266"/>
      <c r="AC438" s="254"/>
      <c r="AD438" s="255" t="str">
        <f>IF(ISBLANK(AC438), "", VLOOKUP(AC438, Z!$A$2:$C$4127, 3, FALSE))</f>
        <v/>
      </c>
      <c r="AE438" s="270"/>
      <c r="AF438" s="265">
        <f t="shared" si="596"/>
        <v>0</v>
      </c>
      <c r="AG438" s="246"/>
      <c r="AH438" s="228">
        <f t="shared" si="619"/>
        <v>1</v>
      </c>
      <c r="AI438" s="228">
        <f t="shared" si="620"/>
        <v>1</v>
      </c>
      <c r="AJ438" s="228">
        <f t="shared" si="621"/>
        <v>0</v>
      </c>
      <c r="AK438" s="228">
        <v>0</v>
      </c>
      <c r="AL438" s="228">
        <v>0</v>
      </c>
      <c r="AM438" s="228">
        <f t="shared" si="597"/>
        <v>-100</v>
      </c>
      <c r="AN438" s="228" cm="1">
        <f t="array" ref="AN438">IF(ISBLANK(G438), 1, IFERROR(MATCH(G438, INDEX(Kat,,1), 0), IFERROR(MATCH(Kat, INDEX(Use,,2), 0), MATCH(Kat, INDEX(Use,,3), 0))))</f>
        <v>1</v>
      </c>
      <c r="AO438" s="246"/>
      <c r="AP438" s="228" cm="1">
        <f t="array" ref="AP438">IF(W438&gt;0, INDEX(Kat, AN438,4), 0)</f>
        <v>0</v>
      </c>
      <c r="AQ438" s="228">
        <f t="shared" si="622"/>
        <v>0</v>
      </c>
      <c r="AR438" s="228" cm="1">
        <f t="array" ref="AR438">IF(X438&gt;0, INDEX(Kat, $AN438, 4+AQ438), 0)</f>
        <v>0</v>
      </c>
      <c r="AS438" s="228" cm="1">
        <f t="array" ref="AS438">IF(X438&gt;0, INDEX(Kat, $AN438, 9+AQ438), 0)</f>
        <v>0</v>
      </c>
      <c r="AT438" s="246"/>
      <c r="AU438" s="262"/>
      <c r="AV438" s="262"/>
      <c r="AW438" s="263"/>
      <c r="AX438" s="263"/>
      <c r="AY438" s="263"/>
      <c r="AZ438" s="263"/>
      <c r="BA438" s="263"/>
      <c r="BB438" s="263"/>
      <c r="BC438" s="263"/>
      <c r="BD438" s="263"/>
      <c r="BE438" s="263"/>
      <c r="BF438" s="263"/>
      <c r="BG438" s="263"/>
      <c r="BH438" s="246"/>
      <c r="BI438" s="228" cm="1">
        <f t="array" ref="BI438">INDEX(Use, $AH438, 4)</f>
        <v>7</v>
      </c>
      <c r="BJ438" s="228">
        <f t="shared" si="598"/>
        <v>32</v>
      </c>
      <c r="BK438" s="228">
        <f t="shared" si="624"/>
        <v>13</v>
      </c>
      <c r="BL438" s="228">
        <f t="shared" si="625"/>
        <v>0</v>
      </c>
      <c r="BM438" s="233" cm="1">
        <f t="array" ref="BM438">L438/IF($M438&gt;0, INDEX($AY$22:$BE$76, $M438+20, $AH438), 1)</f>
        <v>0</v>
      </c>
      <c r="BN438" s="229">
        <f t="shared" si="599"/>
        <v>0</v>
      </c>
      <c r="BO438" s="228">
        <v>35</v>
      </c>
      <c r="BP438" s="229">
        <f t="shared" si="600"/>
        <v>48</v>
      </c>
      <c r="BQ438" s="234">
        <f t="shared" si="601"/>
        <v>3.0748170731707316</v>
      </c>
      <c r="BR438" s="234" cm="1">
        <f t="array" ref="BR438">$BM438 * SUMPRODUCT(INDEX($AV$76:$AX$81,,$AI438),INDEX($AY$76:$BE$81,,$AH438), N($AU$76:$AU$81&gt;$AM438)) / BQ438 / 1000</f>
        <v>0</v>
      </c>
      <c r="BS438" s="231">
        <f t="shared" si="626"/>
        <v>30</v>
      </c>
      <c r="BT438" s="229">
        <f t="shared" si="602"/>
        <v>43</v>
      </c>
      <c r="BU438" s="234">
        <f t="shared" si="603"/>
        <v>3.5018750000000001</v>
      </c>
      <c r="BV438" s="234" cm="1">
        <f t="array" ref="BV438">$BM438 * IF($AH438&lt;=2,
SUMPRODUCT(INDEX($AV$71:$AX$75,,$AI438), INDEX($AY$71:$BE$75,,$AH438), 1 / ($BF$71:$BF$75*BU438 + (1-$BF$71:$BF$75)*BQ438), N($AU$71:$AU$75&gt;$AM438)),
SUMPRODUCT(INDEX($AV$66:$AX$75,,$AI438), INDEX($AY$66:$BE$75,,$AH438), 1 / ($BG$66:$BG$75*BU438 + (1-$BG$66:$BG$75)*BQ438), N($AU$66:$AU$75&gt;$AM438))
) / 1000</f>
        <v>0</v>
      </c>
      <c r="BW438" s="231">
        <f t="shared" si="627"/>
        <v>25</v>
      </c>
      <c r="BX438" s="229">
        <f t="shared" si="604"/>
        <v>38</v>
      </c>
      <c r="BY438" s="234">
        <f t="shared" si="605"/>
        <v>4.0666935483870965</v>
      </c>
      <c r="BZ438" s="234" cm="1">
        <f t="array" ref="BZ438">$BM438 * IF($AH438&lt;=2,
SUMPRODUCT(INDEX($AV$66:$AX$70,,$AI438), INDEX($AY$66:$BE$70,,$AH438), 1 / ($BF$66:$BF$70*BY438 + (1-$BF$66:$BF$70)*BU438), N($AU$66:$AU$70&gt;$AM438)),
SUMPRODUCT(INDEX($AV$56:$AX$65,,$AI438), INDEX($AY$56:$BE$65,,$AH438), 1 / ($BG$56:$BG$65*BY438 + (1-$BG$56:$BG$65)*BU438), N($AU$56:$AU$65&gt;$AM438))
) / 1000</f>
        <v>0</v>
      </c>
      <c r="CA438" s="231">
        <f t="shared" si="628"/>
        <v>20</v>
      </c>
      <c r="CB438" s="229">
        <f t="shared" si="606"/>
        <v>33</v>
      </c>
      <c r="CC438" s="234">
        <f t="shared" si="607"/>
        <v>4.8487499999999999</v>
      </c>
      <c r="CD438" s="234" cm="1">
        <f t="array" ref="CD438">$BM438 * IF($AH438&lt;=2,
SUMPRODUCT(INDEX($AV$61:$AX$65,,$AI438), INDEX($AY$61:$BE$65,,$AH438), 1 / ($BF$61:$BF$65*CC438 + (1-$BF$61:$BF$65)*BY438), N($AU$61:$AU$65&gt;$AM438)),
SUMPRODUCT(INDEX($AV$46:$AX$55,,$AI438), INDEX($AY$46:$BE$55,,$AH438), 1 / ($BG$46:$BG$55*CC438 + (1-$BG$46:$BG$55)*BY438), N($AU$46:$AU$55&gt;$AM438))
) / 1000</f>
        <v>0</v>
      </c>
      <c r="CE438" s="234" cm="1">
        <f t="array" ref="CE438">$BM438 * IF($AH438&lt;=2,
SUMPRODUCT(INDEX($AV$22:$AX$60,,$AI438), INDEX($AY$22:$BE$60,,$AH438), 1 / ($BF$22:$BF$60*CC438), N($AU$22:$AU$60&gt;$AM438)),
SUMPRODUCT(INDEX($AV$22:$AX$45,,$AI438), INDEX($AY$22:$BE$45,,$AH438), 1 / ($BG$22:$BG$45*CC438), N($AU$22:$AU$45&gt;$AM438))
) / 1000</f>
        <v>0</v>
      </c>
      <c r="CF438" s="229">
        <f t="shared" si="608"/>
        <v>0</v>
      </c>
      <c r="CG438" s="246"/>
      <c r="CH438" s="229">
        <f t="shared" si="609"/>
        <v>0</v>
      </c>
      <c r="CI438" s="228">
        <v>35</v>
      </c>
      <c r="CJ438" s="229">
        <f t="shared" si="610"/>
        <v>48</v>
      </c>
      <c r="CK438" s="234">
        <f t="shared" si="611"/>
        <v>3.0748170731707316</v>
      </c>
      <c r="CL438" s="234" cm="1">
        <f t="array" ref="CL438">$BM438 * SUMPRODUCT(INDEX($AV$76:$AX$81,,$AI438),INDEX($AY$76:$BE$81,,$AH438), N($AU$76:$AU$81&gt;$AM438)) / CK438 / 1000</f>
        <v>0</v>
      </c>
      <c r="CM438" s="231">
        <f t="shared" si="629"/>
        <v>30</v>
      </c>
      <c r="CN438" s="229">
        <f t="shared" si="612"/>
        <v>43</v>
      </c>
      <c r="CO438" s="234">
        <f t="shared" si="613"/>
        <v>3.5018750000000001</v>
      </c>
      <c r="CP438" s="234" cm="1">
        <f t="array" ref="CP438">$BM438 * IF($AH438&lt;=2,
SUMPRODUCT(INDEX($AV$71:$AX$75,,$AI438), INDEX($AY$71:$BE$75,,$AH438), 1 / ($BF$71:$BF$75*CO438 + (1-$BF$71:$BF$75)*CK438), N($AU$71:$AU$75&gt;$AM438)),
SUMPRODUCT(INDEX($AV$66:$AX$75,,$AI438), INDEX($AY$66:$BE$75,,$AH438), 1 / ($BG$66:$BG$75*CO438 + (1-$BG$66:$BG$75)*CK438), N($AU$66:$AU$75&gt;$AM438))
) / 1000</f>
        <v>0</v>
      </c>
      <c r="CQ438" s="231">
        <f t="shared" si="630"/>
        <v>25</v>
      </c>
      <c r="CR438" s="229">
        <f t="shared" si="614"/>
        <v>38</v>
      </c>
      <c r="CS438" s="234">
        <f t="shared" si="615"/>
        <v>4.0666935483870965</v>
      </c>
      <c r="CT438" s="234" cm="1">
        <f t="array" ref="CT438">$BM438 * IF($AH438&lt;=2,
SUMPRODUCT(INDEX($AV$66:$AX$70,,$AI438), INDEX($AY$66:$BE$70,,$AH438), 1 / ($BF$66:$BF$70*CS438 + (1-$BF$66:$BF$70)*CO438), N($AU$66:$AU$70&gt;$AM438)),
SUMPRODUCT(INDEX($AV$56:$AX$65,,$AI438), INDEX($AY$56:$BE$65,,$AH438), 1 / ($BG$56:$BG$65*CS438 + (1-$BG$56:$BG$65)*CO438), N($AU$56:$AU$65&gt;$AM438))
) / 1000</f>
        <v>0</v>
      </c>
      <c r="CU438" s="231">
        <f t="shared" si="631"/>
        <v>20</v>
      </c>
      <c r="CV438" s="229">
        <f t="shared" si="616"/>
        <v>33</v>
      </c>
      <c r="CW438" s="234">
        <f t="shared" si="617"/>
        <v>4.8487499999999999</v>
      </c>
      <c r="CX438" s="234" cm="1">
        <f t="array" ref="CX438">$BM438 * IF($AH438&lt;=2,
SUMPRODUCT(INDEX($AV$61:$AX$65,,$AI438), INDEX($AY$61:$BE$65,,$AH438), 1 / ($BF$61:$BF$65*CW438 + (1-$BF$61:$BF$65)*CS438), N($AU$61:$AU$65&gt;$AM438)),
SUMPRODUCT(INDEX($AV$46:$AX$55,,$AI438), INDEX($AY$46:$BE$55,,$AH438), 1 / ($BG$46:$BG$55*CW438 + (1-$BG$46:$BG$55)*CS438), N($AU$46:$AU$55&gt;$AM438))
) / 1000</f>
        <v>0</v>
      </c>
      <c r="CY438" s="234" cm="1">
        <f t="array" ref="CY438">$BM438 * IF($AH438&lt;=2,
SUMPRODUCT(INDEX($AV$22:$AX$60,,$AI438), INDEX($AY$22:$BE$60,,$AH438), 1 / ($BF$22:$BF$60*CW438), N($AU$22:$AU$60&gt;$AM438)),
SUMPRODUCT(INDEX($AV$22:$AX$45,,$AI438), INDEX($AY$22:$BE$45,,$AH438), 1 / ($BG$22:$BG$45*CW438), N($AU$22:$AU$45&gt;$AM438))
) / 1000</f>
        <v>0</v>
      </c>
      <c r="CZ438" s="229">
        <f t="shared" si="618"/>
        <v>0</v>
      </c>
      <c r="DA438" s="246"/>
    </row>
    <row r="439" spans="1:105" s="75" customFormat="1" ht="14.25" customHeight="1" x14ac:dyDescent="0.2">
      <c r="A439" s="230" t="b">
        <f t="shared" si="623"/>
        <v>0</v>
      </c>
      <c r="B439" s="253">
        <v>418</v>
      </c>
      <c r="C439" s="266"/>
      <c r="D439" s="266"/>
      <c r="E439" s="254"/>
      <c r="F439" s="255" t="str">
        <f>IF(ISBLANK(E439), "", VLOOKUP(E439, Z!$A$2:$C$4127, 3, FALSE))</f>
        <v/>
      </c>
      <c r="G439" s="256"/>
      <c r="H439" s="256"/>
      <c r="I439" s="256"/>
      <c r="J439" s="257"/>
      <c r="K439" s="258"/>
      <c r="L439" s="267"/>
      <c r="M439" s="268"/>
      <c r="N439" s="259" t="str" cm="1">
        <f t="array" ref="N439">IF($L439&gt;0, INDEX(Clean,1+AK439,$D$1), "")</f>
        <v/>
      </c>
      <c r="O439" s="260"/>
      <c r="P439" s="260"/>
      <c r="Q439" s="261"/>
      <c r="R439" s="264">
        <f t="shared" si="594"/>
        <v>0</v>
      </c>
      <c r="S439" s="259" t="str" cm="1">
        <f t="array" ref="S439">IF($L439&gt;0, INDEX(Clean,1+AL439,$D$1), "")</f>
        <v/>
      </c>
      <c r="T439" s="260"/>
      <c r="U439" s="260"/>
      <c r="V439" s="261"/>
      <c r="W439" s="267"/>
      <c r="X439" s="267"/>
      <c r="Y439" s="257"/>
      <c r="Z439" s="264">
        <f t="shared" si="595"/>
        <v>0</v>
      </c>
      <c r="AA439" s="269"/>
      <c r="AB439" s="266"/>
      <c r="AC439" s="254"/>
      <c r="AD439" s="255" t="str">
        <f>IF(ISBLANK(AC439), "", VLOOKUP(AC439, Z!$A$2:$C$4127, 3, FALSE))</f>
        <v/>
      </c>
      <c r="AE439" s="270"/>
      <c r="AF439" s="265">
        <f t="shared" si="596"/>
        <v>0</v>
      </c>
      <c r="AG439" s="246"/>
      <c r="AH439" s="228">
        <f t="shared" si="619"/>
        <v>1</v>
      </c>
      <c r="AI439" s="228">
        <f t="shared" si="620"/>
        <v>1</v>
      </c>
      <c r="AJ439" s="228">
        <f t="shared" si="621"/>
        <v>0</v>
      </c>
      <c r="AK439" s="228">
        <v>0</v>
      </c>
      <c r="AL439" s="228">
        <v>0</v>
      </c>
      <c r="AM439" s="228">
        <f t="shared" si="597"/>
        <v>-100</v>
      </c>
      <c r="AN439" s="228" cm="1">
        <f t="array" ref="AN439">IF(ISBLANK(G439), 1, IFERROR(MATCH(G439, INDEX(Kat,,1), 0), IFERROR(MATCH(Kat, INDEX(Use,,2), 0), MATCH(Kat, INDEX(Use,,3), 0))))</f>
        <v>1</v>
      </c>
      <c r="AO439" s="246"/>
      <c r="AP439" s="228" cm="1">
        <f t="array" ref="AP439">IF(W439&gt;0, INDEX(Kat, AN439,4), 0)</f>
        <v>0</v>
      </c>
      <c r="AQ439" s="228">
        <f t="shared" si="622"/>
        <v>0</v>
      </c>
      <c r="AR439" s="228" cm="1">
        <f t="array" ref="AR439">IF(X439&gt;0, INDEX(Kat, $AN439, 4+AQ439), 0)</f>
        <v>0</v>
      </c>
      <c r="AS439" s="228" cm="1">
        <f t="array" ref="AS439">IF(X439&gt;0, INDEX(Kat, $AN439, 9+AQ439), 0)</f>
        <v>0</v>
      </c>
      <c r="AT439" s="246"/>
      <c r="AU439" s="262"/>
      <c r="AV439" s="262"/>
      <c r="AW439" s="263"/>
      <c r="AX439" s="263"/>
      <c r="AY439" s="263"/>
      <c r="AZ439" s="263"/>
      <c r="BA439" s="263"/>
      <c r="BB439" s="263"/>
      <c r="BC439" s="263"/>
      <c r="BD439" s="263"/>
      <c r="BE439" s="263"/>
      <c r="BF439" s="263"/>
      <c r="BG439" s="263"/>
      <c r="BH439" s="246"/>
      <c r="BI439" s="228" cm="1">
        <f t="array" ref="BI439">INDEX(Use, $AH439, 4)</f>
        <v>7</v>
      </c>
      <c r="BJ439" s="228">
        <f t="shared" si="598"/>
        <v>32</v>
      </c>
      <c r="BK439" s="228">
        <f t="shared" si="624"/>
        <v>13</v>
      </c>
      <c r="BL439" s="228">
        <f t="shared" si="625"/>
        <v>0</v>
      </c>
      <c r="BM439" s="233" cm="1">
        <f t="array" ref="BM439">L439/IF($M439&gt;0, INDEX($AY$22:$BE$76, $M439+20, $AH439), 1)</f>
        <v>0</v>
      </c>
      <c r="BN439" s="229">
        <f t="shared" si="599"/>
        <v>0</v>
      </c>
      <c r="BO439" s="228">
        <v>35</v>
      </c>
      <c r="BP439" s="229">
        <f t="shared" si="600"/>
        <v>48</v>
      </c>
      <c r="BQ439" s="234">
        <f t="shared" si="601"/>
        <v>3.0748170731707316</v>
      </c>
      <c r="BR439" s="234" cm="1">
        <f t="array" ref="BR439">$BM439 * SUMPRODUCT(INDEX($AV$76:$AX$81,,$AI439),INDEX($AY$76:$BE$81,,$AH439), N($AU$76:$AU$81&gt;$AM439)) / BQ439 / 1000</f>
        <v>0</v>
      </c>
      <c r="BS439" s="231">
        <f t="shared" si="626"/>
        <v>30</v>
      </c>
      <c r="BT439" s="229">
        <f t="shared" si="602"/>
        <v>43</v>
      </c>
      <c r="BU439" s="234">
        <f t="shared" si="603"/>
        <v>3.5018750000000001</v>
      </c>
      <c r="BV439" s="234" cm="1">
        <f t="array" ref="BV439">$BM439 * IF($AH439&lt;=2,
SUMPRODUCT(INDEX($AV$71:$AX$75,,$AI439), INDEX($AY$71:$BE$75,,$AH439), 1 / ($BF$71:$BF$75*BU439 + (1-$BF$71:$BF$75)*BQ439), N($AU$71:$AU$75&gt;$AM439)),
SUMPRODUCT(INDEX($AV$66:$AX$75,,$AI439), INDEX($AY$66:$BE$75,,$AH439), 1 / ($BG$66:$BG$75*BU439 + (1-$BG$66:$BG$75)*BQ439), N($AU$66:$AU$75&gt;$AM439))
) / 1000</f>
        <v>0</v>
      </c>
      <c r="BW439" s="231">
        <f t="shared" si="627"/>
        <v>25</v>
      </c>
      <c r="BX439" s="229">
        <f t="shared" si="604"/>
        <v>38</v>
      </c>
      <c r="BY439" s="234">
        <f t="shared" si="605"/>
        <v>4.0666935483870965</v>
      </c>
      <c r="BZ439" s="234" cm="1">
        <f t="array" ref="BZ439">$BM439 * IF($AH439&lt;=2,
SUMPRODUCT(INDEX($AV$66:$AX$70,,$AI439), INDEX($AY$66:$BE$70,,$AH439), 1 / ($BF$66:$BF$70*BY439 + (1-$BF$66:$BF$70)*BU439), N($AU$66:$AU$70&gt;$AM439)),
SUMPRODUCT(INDEX($AV$56:$AX$65,,$AI439), INDEX($AY$56:$BE$65,,$AH439), 1 / ($BG$56:$BG$65*BY439 + (1-$BG$56:$BG$65)*BU439), N($AU$56:$AU$65&gt;$AM439))
) / 1000</f>
        <v>0</v>
      </c>
      <c r="CA439" s="231">
        <f t="shared" si="628"/>
        <v>20</v>
      </c>
      <c r="CB439" s="229">
        <f t="shared" si="606"/>
        <v>33</v>
      </c>
      <c r="CC439" s="234">
        <f t="shared" si="607"/>
        <v>4.8487499999999999</v>
      </c>
      <c r="CD439" s="234" cm="1">
        <f t="array" ref="CD439">$BM439 * IF($AH439&lt;=2,
SUMPRODUCT(INDEX($AV$61:$AX$65,,$AI439), INDEX($AY$61:$BE$65,,$AH439), 1 / ($BF$61:$BF$65*CC439 + (1-$BF$61:$BF$65)*BY439), N($AU$61:$AU$65&gt;$AM439)),
SUMPRODUCT(INDEX($AV$46:$AX$55,,$AI439), INDEX($AY$46:$BE$55,,$AH439), 1 / ($BG$46:$BG$55*CC439 + (1-$BG$46:$BG$55)*BY439), N($AU$46:$AU$55&gt;$AM439))
) / 1000</f>
        <v>0</v>
      </c>
      <c r="CE439" s="234" cm="1">
        <f t="array" ref="CE439">$BM439 * IF($AH439&lt;=2,
SUMPRODUCT(INDEX($AV$22:$AX$60,,$AI439), INDEX($AY$22:$BE$60,,$AH439), 1 / ($BF$22:$BF$60*CC439), N($AU$22:$AU$60&gt;$AM439)),
SUMPRODUCT(INDEX($AV$22:$AX$45,,$AI439), INDEX($AY$22:$BE$45,,$AH439), 1 / ($BG$22:$BG$45*CC439), N($AU$22:$AU$45&gt;$AM439))
) / 1000</f>
        <v>0</v>
      </c>
      <c r="CF439" s="229">
        <f t="shared" si="608"/>
        <v>0</v>
      </c>
      <c r="CG439" s="246"/>
      <c r="CH439" s="229">
        <f t="shared" si="609"/>
        <v>0</v>
      </c>
      <c r="CI439" s="228">
        <v>35</v>
      </c>
      <c r="CJ439" s="229">
        <f t="shared" si="610"/>
        <v>48</v>
      </c>
      <c r="CK439" s="234">
        <f t="shared" si="611"/>
        <v>3.0748170731707316</v>
      </c>
      <c r="CL439" s="234" cm="1">
        <f t="array" ref="CL439">$BM439 * SUMPRODUCT(INDEX($AV$76:$AX$81,,$AI439),INDEX($AY$76:$BE$81,,$AH439), N($AU$76:$AU$81&gt;$AM439)) / CK439 / 1000</f>
        <v>0</v>
      </c>
      <c r="CM439" s="231">
        <f t="shared" si="629"/>
        <v>30</v>
      </c>
      <c r="CN439" s="229">
        <f t="shared" si="612"/>
        <v>43</v>
      </c>
      <c r="CO439" s="234">
        <f t="shared" si="613"/>
        <v>3.5018750000000001</v>
      </c>
      <c r="CP439" s="234" cm="1">
        <f t="array" ref="CP439">$BM439 * IF($AH439&lt;=2,
SUMPRODUCT(INDEX($AV$71:$AX$75,,$AI439), INDEX($AY$71:$BE$75,,$AH439), 1 / ($BF$71:$BF$75*CO439 + (1-$BF$71:$BF$75)*CK439), N($AU$71:$AU$75&gt;$AM439)),
SUMPRODUCT(INDEX($AV$66:$AX$75,,$AI439), INDEX($AY$66:$BE$75,,$AH439), 1 / ($BG$66:$BG$75*CO439 + (1-$BG$66:$BG$75)*CK439), N($AU$66:$AU$75&gt;$AM439))
) / 1000</f>
        <v>0</v>
      </c>
      <c r="CQ439" s="231">
        <f t="shared" si="630"/>
        <v>25</v>
      </c>
      <c r="CR439" s="229">
        <f t="shared" si="614"/>
        <v>38</v>
      </c>
      <c r="CS439" s="234">
        <f t="shared" si="615"/>
        <v>4.0666935483870965</v>
      </c>
      <c r="CT439" s="234" cm="1">
        <f t="array" ref="CT439">$BM439 * IF($AH439&lt;=2,
SUMPRODUCT(INDEX($AV$66:$AX$70,,$AI439), INDEX($AY$66:$BE$70,,$AH439), 1 / ($BF$66:$BF$70*CS439 + (1-$BF$66:$BF$70)*CO439), N($AU$66:$AU$70&gt;$AM439)),
SUMPRODUCT(INDEX($AV$56:$AX$65,,$AI439), INDEX($AY$56:$BE$65,,$AH439), 1 / ($BG$56:$BG$65*CS439 + (1-$BG$56:$BG$65)*CO439), N($AU$56:$AU$65&gt;$AM439))
) / 1000</f>
        <v>0</v>
      </c>
      <c r="CU439" s="231">
        <f t="shared" si="631"/>
        <v>20</v>
      </c>
      <c r="CV439" s="229">
        <f t="shared" si="616"/>
        <v>33</v>
      </c>
      <c r="CW439" s="234">
        <f t="shared" si="617"/>
        <v>4.8487499999999999</v>
      </c>
      <c r="CX439" s="234" cm="1">
        <f t="array" ref="CX439">$BM439 * IF($AH439&lt;=2,
SUMPRODUCT(INDEX($AV$61:$AX$65,,$AI439), INDEX($AY$61:$BE$65,,$AH439), 1 / ($BF$61:$BF$65*CW439 + (1-$BF$61:$BF$65)*CS439), N($AU$61:$AU$65&gt;$AM439)),
SUMPRODUCT(INDEX($AV$46:$AX$55,,$AI439), INDEX($AY$46:$BE$55,,$AH439), 1 / ($BG$46:$BG$55*CW439 + (1-$BG$46:$BG$55)*CS439), N($AU$46:$AU$55&gt;$AM439))
) / 1000</f>
        <v>0</v>
      </c>
      <c r="CY439" s="234" cm="1">
        <f t="array" ref="CY439">$BM439 * IF($AH439&lt;=2,
SUMPRODUCT(INDEX($AV$22:$AX$60,,$AI439), INDEX($AY$22:$BE$60,,$AH439), 1 / ($BF$22:$BF$60*CW439), N($AU$22:$AU$60&gt;$AM439)),
SUMPRODUCT(INDEX($AV$22:$AX$45,,$AI439), INDEX($AY$22:$BE$45,,$AH439), 1 / ($BG$22:$BG$45*CW439), N($AU$22:$AU$45&gt;$AM439))
) / 1000</f>
        <v>0</v>
      </c>
      <c r="CZ439" s="229">
        <f t="shared" si="618"/>
        <v>0</v>
      </c>
      <c r="DA439" s="246"/>
    </row>
    <row r="440" spans="1:105" s="75" customFormat="1" ht="14.25" customHeight="1" x14ac:dyDescent="0.2">
      <c r="A440" s="230" t="b">
        <f t="shared" si="623"/>
        <v>0</v>
      </c>
      <c r="B440" s="253">
        <v>419</v>
      </c>
      <c r="C440" s="266"/>
      <c r="D440" s="266"/>
      <c r="E440" s="254"/>
      <c r="F440" s="255" t="str">
        <f>IF(ISBLANK(E440), "", VLOOKUP(E440, Z!$A$2:$C$4127, 3, FALSE))</f>
        <v/>
      </c>
      <c r="G440" s="256"/>
      <c r="H440" s="256"/>
      <c r="I440" s="256"/>
      <c r="J440" s="257"/>
      <c r="K440" s="258"/>
      <c r="L440" s="267"/>
      <c r="M440" s="268"/>
      <c r="N440" s="259" t="str" cm="1">
        <f t="array" ref="N440">IF($L440&gt;0, INDEX(Clean,1+AK440,$D$1), "")</f>
        <v/>
      </c>
      <c r="O440" s="260"/>
      <c r="P440" s="260"/>
      <c r="Q440" s="261"/>
      <c r="R440" s="264">
        <f t="shared" si="594"/>
        <v>0</v>
      </c>
      <c r="S440" s="259" t="str" cm="1">
        <f t="array" ref="S440">IF($L440&gt;0, INDEX(Clean,1+AL440,$D$1), "")</f>
        <v/>
      </c>
      <c r="T440" s="260"/>
      <c r="U440" s="260"/>
      <c r="V440" s="261"/>
      <c r="W440" s="267"/>
      <c r="X440" s="267"/>
      <c r="Y440" s="257"/>
      <c r="Z440" s="264">
        <f t="shared" si="595"/>
        <v>0</v>
      </c>
      <c r="AA440" s="269"/>
      <c r="AB440" s="266"/>
      <c r="AC440" s="254"/>
      <c r="AD440" s="255" t="str">
        <f>IF(ISBLANK(AC440), "", VLOOKUP(AC440, Z!$A$2:$C$4127, 3, FALSE))</f>
        <v/>
      </c>
      <c r="AE440" s="270"/>
      <c r="AF440" s="265">
        <f t="shared" si="596"/>
        <v>0</v>
      </c>
      <c r="AG440" s="246"/>
      <c r="AH440" s="228">
        <f t="shared" si="619"/>
        <v>1</v>
      </c>
      <c r="AI440" s="228">
        <f t="shared" si="620"/>
        <v>1</v>
      </c>
      <c r="AJ440" s="228">
        <f t="shared" si="621"/>
        <v>0</v>
      </c>
      <c r="AK440" s="228">
        <v>0</v>
      </c>
      <c r="AL440" s="228">
        <v>0</v>
      </c>
      <c r="AM440" s="228">
        <f t="shared" si="597"/>
        <v>-100</v>
      </c>
      <c r="AN440" s="228" cm="1">
        <f t="array" ref="AN440">IF(ISBLANK(G440), 1, IFERROR(MATCH(G440, INDEX(Kat,,1), 0), IFERROR(MATCH(Kat, INDEX(Use,,2), 0), MATCH(Kat, INDEX(Use,,3), 0))))</f>
        <v>1</v>
      </c>
      <c r="AO440" s="246"/>
      <c r="AP440" s="228" cm="1">
        <f t="array" ref="AP440">IF(W440&gt;0, INDEX(Kat, AN440,4), 0)</f>
        <v>0</v>
      </c>
      <c r="AQ440" s="228">
        <f t="shared" si="622"/>
        <v>0</v>
      </c>
      <c r="AR440" s="228" cm="1">
        <f t="array" ref="AR440">IF(X440&gt;0, INDEX(Kat, $AN440, 4+AQ440), 0)</f>
        <v>0</v>
      </c>
      <c r="AS440" s="228" cm="1">
        <f t="array" ref="AS440">IF(X440&gt;0, INDEX(Kat, $AN440, 9+AQ440), 0)</f>
        <v>0</v>
      </c>
      <c r="AT440" s="246"/>
      <c r="AU440" s="262"/>
      <c r="AV440" s="262"/>
      <c r="AW440" s="263"/>
      <c r="AX440" s="263"/>
      <c r="AY440" s="263"/>
      <c r="AZ440" s="263"/>
      <c r="BA440" s="263"/>
      <c r="BB440" s="263"/>
      <c r="BC440" s="263"/>
      <c r="BD440" s="263"/>
      <c r="BE440" s="263"/>
      <c r="BF440" s="263"/>
      <c r="BG440" s="263"/>
      <c r="BH440" s="246"/>
      <c r="BI440" s="228" cm="1">
        <f t="array" ref="BI440">INDEX(Use, $AH440, 4)</f>
        <v>7</v>
      </c>
      <c r="BJ440" s="228">
        <f t="shared" si="598"/>
        <v>32</v>
      </c>
      <c r="BK440" s="228">
        <f t="shared" si="624"/>
        <v>13</v>
      </c>
      <c r="BL440" s="228">
        <f t="shared" si="625"/>
        <v>0</v>
      </c>
      <c r="BM440" s="233" cm="1">
        <f t="array" ref="BM440">L440/IF($M440&gt;0, INDEX($AY$22:$BE$76, $M440+20, $AH440), 1)</f>
        <v>0</v>
      </c>
      <c r="BN440" s="229">
        <f t="shared" si="599"/>
        <v>0</v>
      </c>
      <c r="BO440" s="228">
        <v>35</v>
      </c>
      <c r="BP440" s="229">
        <f t="shared" si="600"/>
        <v>48</v>
      </c>
      <c r="BQ440" s="234">
        <f t="shared" si="601"/>
        <v>3.0748170731707316</v>
      </c>
      <c r="BR440" s="234" cm="1">
        <f t="array" ref="BR440">$BM440 * SUMPRODUCT(INDEX($AV$76:$AX$81,,$AI440),INDEX($AY$76:$BE$81,,$AH440), N($AU$76:$AU$81&gt;$AM440)) / BQ440 / 1000</f>
        <v>0</v>
      </c>
      <c r="BS440" s="231">
        <f t="shared" si="626"/>
        <v>30</v>
      </c>
      <c r="BT440" s="229">
        <f t="shared" si="602"/>
        <v>43</v>
      </c>
      <c r="BU440" s="234">
        <f t="shared" si="603"/>
        <v>3.5018750000000001</v>
      </c>
      <c r="BV440" s="234" cm="1">
        <f t="array" ref="BV440">$BM440 * IF($AH440&lt;=2,
SUMPRODUCT(INDEX($AV$71:$AX$75,,$AI440), INDEX($AY$71:$BE$75,,$AH440), 1 / ($BF$71:$BF$75*BU440 + (1-$BF$71:$BF$75)*BQ440), N($AU$71:$AU$75&gt;$AM440)),
SUMPRODUCT(INDEX($AV$66:$AX$75,,$AI440), INDEX($AY$66:$BE$75,,$AH440), 1 / ($BG$66:$BG$75*BU440 + (1-$BG$66:$BG$75)*BQ440), N($AU$66:$AU$75&gt;$AM440))
) / 1000</f>
        <v>0</v>
      </c>
      <c r="BW440" s="231">
        <f t="shared" si="627"/>
        <v>25</v>
      </c>
      <c r="BX440" s="229">
        <f t="shared" si="604"/>
        <v>38</v>
      </c>
      <c r="BY440" s="234">
        <f t="shared" si="605"/>
        <v>4.0666935483870965</v>
      </c>
      <c r="BZ440" s="234" cm="1">
        <f t="array" ref="BZ440">$BM440 * IF($AH440&lt;=2,
SUMPRODUCT(INDEX($AV$66:$AX$70,,$AI440), INDEX($AY$66:$BE$70,,$AH440), 1 / ($BF$66:$BF$70*BY440 + (1-$BF$66:$BF$70)*BU440), N($AU$66:$AU$70&gt;$AM440)),
SUMPRODUCT(INDEX($AV$56:$AX$65,,$AI440), INDEX($AY$56:$BE$65,,$AH440), 1 / ($BG$56:$BG$65*BY440 + (1-$BG$56:$BG$65)*BU440), N($AU$56:$AU$65&gt;$AM440))
) / 1000</f>
        <v>0</v>
      </c>
      <c r="CA440" s="231">
        <f t="shared" si="628"/>
        <v>20</v>
      </c>
      <c r="CB440" s="229">
        <f t="shared" si="606"/>
        <v>33</v>
      </c>
      <c r="CC440" s="234">
        <f t="shared" si="607"/>
        <v>4.8487499999999999</v>
      </c>
      <c r="CD440" s="234" cm="1">
        <f t="array" ref="CD440">$BM440 * IF($AH440&lt;=2,
SUMPRODUCT(INDEX($AV$61:$AX$65,,$AI440), INDEX($AY$61:$BE$65,,$AH440), 1 / ($BF$61:$BF$65*CC440 + (1-$BF$61:$BF$65)*BY440), N($AU$61:$AU$65&gt;$AM440)),
SUMPRODUCT(INDEX($AV$46:$AX$55,,$AI440), INDEX($AY$46:$BE$55,,$AH440), 1 / ($BG$46:$BG$55*CC440 + (1-$BG$46:$BG$55)*BY440), N($AU$46:$AU$55&gt;$AM440))
) / 1000</f>
        <v>0</v>
      </c>
      <c r="CE440" s="234" cm="1">
        <f t="array" ref="CE440">$BM440 * IF($AH440&lt;=2,
SUMPRODUCT(INDEX($AV$22:$AX$60,,$AI440), INDEX($AY$22:$BE$60,,$AH440), 1 / ($BF$22:$BF$60*CC440), N($AU$22:$AU$60&gt;$AM440)),
SUMPRODUCT(INDEX($AV$22:$AX$45,,$AI440), INDEX($AY$22:$BE$45,,$AH440), 1 / ($BG$22:$BG$45*CC440), N($AU$22:$AU$45&gt;$AM440))
) / 1000</f>
        <v>0</v>
      </c>
      <c r="CF440" s="229">
        <f t="shared" si="608"/>
        <v>0</v>
      </c>
      <c r="CG440" s="246"/>
      <c r="CH440" s="229">
        <f t="shared" si="609"/>
        <v>0</v>
      </c>
      <c r="CI440" s="228">
        <v>35</v>
      </c>
      <c r="CJ440" s="229">
        <f t="shared" si="610"/>
        <v>48</v>
      </c>
      <c r="CK440" s="234">
        <f t="shared" si="611"/>
        <v>3.0748170731707316</v>
      </c>
      <c r="CL440" s="234" cm="1">
        <f t="array" ref="CL440">$BM440 * SUMPRODUCT(INDEX($AV$76:$AX$81,,$AI440),INDEX($AY$76:$BE$81,,$AH440), N($AU$76:$AU$81&gt;$AM440)) / CK440 / 1000</f>
        <v>0</v>
      </c>
      <c r="CM440" s="231">
        <f t="shared" si="629"/>
        <v>30</v>
      </c>
      <c r="CN440" s="229">
        <f t="shared" si="612"/>
        <v>43</v>
      </c>
      <c r="CO440" s="234">
        <f t="shared" si="613"/>
        <v>3.5018750000000001</v>
      </c>
      <c r="CP440" s="234" cm="1">
        <f t="array" ref="CP440">$BM440 * IF($AH440&lt;=2,
SUMPRODUCT(INDEX($AV$71:$AX$75,,$AI440), INDEX($AY$71:$BE$75,,$AH440), 1 / ($BF$71:$BF$75*CO440 + (1-$BF$71:$BF$75)*CK440), N($AU$71:$AU$75&gt;$AM440)),
SUMPRODUCT(INDEX($AV$66:$AX$75,,$AI440), INDEX($AY$66:$BE$75,,$AH440), 1 / ($BG$66:$BG$75*CO440 + (1-$BG$66:$BG$75)*CK440), N($AU$66:$AU$75&gt;$AM440))
) / 1000</f>
        <v>0</v>
      </c>
      <c r="CQ440" s="231">
        <f t="shared" si="630"/>
        <v>25</v>
      </c>
      <c r="CR440" s="229">
        <f t="shared" si="614"/>
        <v>38</v>
      </c>
      <c r="CS440" s="234">
        <f t="shared" si="615"/>
        <v>4.0666935483870965</v>
      </c>
      <c r="CT440" s="234" cm="1">
        <f t="array" ref="CT440">$BM440 * IF($AH440&lt;=2,
SUMPRODUCT(INDEX($AV$66:$AX$70,,$AI440), INDEX($AY$66:$BE$70,,$AH440), 1 / ($BF$66:$BF$70*CS440 + (1-$BF$66:$BF$70)*CO440), N($AU$66:$AU$70&gt;$AM440)),
SUMPRODUCT(INDEX($AV$56:$AX$65,,$AI440), INDEX($AY$56:$BE$65,,$AH440), 1 / ($BG$56:$BG$65*CS440 + (1-$BG$56:$BG$65)*CO440), N($AU$56:$AU$65&gt;$AM440))
) / 1000</f>
        <v>0</v>
      </c>
      <c r="CU440" s="231">
        <f t="shared" si="631"/>
        <v>20</v>
      </c>
      <c r="CV440" s="229">
        <f t="shared" si="616"/>
        <v>33</v>
      </c>
      <c r="CW440" s="234">
        <f t="shared" si="617"/>
        <v>4.8487499999999999</v>
      </c>
      <c r="CX440" s="234" cm="1">
        <f t="array" ref="CX440">$BM440 * IF($AH440&lt;=2,
SUMPRODUCT(INDEX($AV$61:$AX$65,,$AI440), INDEX($AY$61:$BE$65,,$AH440), 1 / ($BF$61:$BF$65*CW440 + (1-$BF$61:$BF$65)*CS440), N($AU$61:$AU$65&gt;$AM440)),
SUMPRODUCT(INDEX($AV$46:$AX$55,,$AI440), INDEX($AY$46:$BE$55,,$AH440), 1 / ($BG$46:$BG$55*CW440 + (1-$BG$46:$BG$55)*CS440), N($AU$46:$AU$55&gt;$AM440))
) / 1000</f>
        <v>0</v>
      </c>
      <c r="CY440" s="234" cm="1">
        <f t="array" ref="CY440">$BM440 * IF($AH440&lt;=2,
SUMPRODUCT(INDEX($AV$22:$AX$60,,$AI440), INDEX($AY$22:$BE$60,,$AH440), 1 / ($BF$22:$BF$60*CW440), N($AU$22:$AU$60&gt;$AM440)),
SUMPRODUCT(INDEX($AV$22:$AX$45,,$AI440), INDEX($AY$22:$BE$45,,$AH440), 1 / ($BG$22:$BG$45*CW440), N($AU$22:$AU$45&gt;$AM440))
) / 1000</f>
        <v>0</v>
      </c>
      <c r="CZ440" s="229">
        <f t="shared" si="618"/>
        <v>0</v>
      </c>
      <c r="DA440" s="246"/>
    </row>
    <row r="441" spans="1:105" s="75" customFormat="1" ht="14.25" customHeight="1" x14ac:dyDescent="0.2">
      <c r="A441" s="230" t="b">
        <f t="shared" si="623"/>
        <v>0</v>
      </c>
      <c r="B441" s="253">
        <v>420</v>
      </c>
      <c r="C441" s="266"/>
      <c r="D441" s="266"/>
      <c r="E441" s="254"/>
      <c r="F441" s="255" t="str">
        <f>IF(ISBLANK(E441), "", VLOOKUP(E441, Z!$A$2:$C$4127, 3, FALSE))</f>
        <v/>
      </c>
      <c r="G441" s="256"/>
      <c r="H441" s="256"/>
      <c r="I441" s="256"/>
      <c r="J441" s="257"/>
      <c r="K441" s="258"/>
      <c r="L441" s="267"/>
      <c r="M441" s="268"/>
      <c r="N441" s="259" t="str" cm="1">
        <f t="array" ref="N441">IF($L441&gt;0, INDEX(Clean,1+AK441,$D$1), "")</f>
        <v/>
      </c>
      <c r="O441" s="260"/>
      <c r="P441" s="260"/>
      <c r="Q441" s="261"/>
      <c r="R441" s="264">
        <f t="shared" si="594"/>
        <v>0</v>
      </c>
      <c r="S441" s="259" t="str" cm="1">
        <f t="array" ref="S441">IF($L441&gt;0, INDEX(Clean,1+AL441,$D$1), "")</f>
        <v/>
      </c>
      <c r="T441" s="260"/>
      <c r="U441" s="260"/>
      <c r="V441" s="261"/>
      <c r="W441" s="267"/>
      <c r="X441" s="267"/>
      <c r="Y441" s="257"/>
      <c r="Z441" s="264">
        <f t="shared" si="595"/>
        <v>0</v>
      </c>
      <c r="AA441" s="269"/>
      <c r="AB441" s="266"/>
      <c r="AC441" s="254"/>
      <c r="AD441" s="255" t="str">
        <f>IF(ISBLANK(AC441), "", VLOOKUP(AC441, Z!$A$2:$C$4127, 3, FALSE))</f>
        <v/>
      </c>
      <c r="AE441" s="270"/>
      <c r="AF441" s="265">
        <f t="shared" si="596"/>
        <v>0</v>
      </c>
      <c r="AG441" s="246"/>
      <c r="AH441" s="228">
        <f t="shared" si="619"/>
        <v>1</v>
      </c>
      <c r="AI441" s="228">
        <f t="shared" si="620"/>
        <v>1</v>
      </c>
      <c r="AJ441" s="228">
        <f t="shared" si="621"/>
        <v>0</v>
      </c>
      <c r="AK441" s="228">
        <v>0</v>
      </c>
      <c r="AL441" s="228">
        <v>0</v>
      </c>
      <c r="AM441" s="228">
        <f t="shared" si="597"/>
        <v>-100</v>
      </c>
      <c r="AN441" s="228" cm="1">
        <f t="array" ref="AN441">IF(ISBLANK(G441), 1, IFERROR(MATCH(G441, INDEX(Kat,,1), 0), IFERROR(MATCH(Kat, INDEX(Use,,2), 0), MATCH(Kat, INDEX(Use,,3), 0))))</f>
        <v>1</v>
      </c>
      <c r="AO441" s="246"/>
      <c r="AP441" s="228" cm="1">
        <f t="array" ref="AP441">IF(W441&gt;0, INDEX(Kat, AN441,4), 0)</f>
        <v>0</v>
      </c>
      <c r="AQ441" s="228">
        <f t="shared" si="622"/>
        <v>0</v>
      </c>
      <c r="AR441" s="228" cm="1">
        <f t="array" ref="AR441">IF(X441&gt;0, INDEX(Kat, $AN441, 4+AQ441), 0)</f>
        <v>0</v>
      </c>
      <c r="AS441" s="228" cm="1">
        <f t="array" ref="AS441">IF(X441&gt;0, INDEX(Kat, $AN441, 9+AQ441), 0)</f>
        <v>0</v>
      </c>
      <c r="AT441" s="246"/>
      <c r="AU441" s="262"/>
      <c r="AV441" s="262"/>
      <c r="AW441" s="263"/>
      <c r="AX441" s="263"/>
      <c r="AY441" s="263"/>
      <c r="AZ441" s="263"/>
      <c r="BA441" s="263"/>
      <c r="BB441" s="263"/>
      <c r="BC441" s="263"/>
      <c r="BD441" s="263"/>
      <c r="BE441" s="263"/>
      <c r="BF441" s="263"/>
      <c r="BG441" s="263"/>
      <c r="BH441" s="246"/>
      <c r="BI441" s="228" cm="1">
        <f t="array" ref="BI441">INDEX(Use, $AH441, 4)</f>
        <v>7</v>
      </c>
      <c r="BJ441" s="228">
        <f t="shared" si="598"/>
        <v>32</v>
      </c>
      <c r="BK441" s="228">
        <f t="shared" si="624"/>
        <v>13</v>
      </c>
      <c r="BL441" s="228">
        <f t="shared" si="625"/>
        <v>0</v>
      </c>
      <c r="BM441" s="233" cm="1">
        <f t="array" ref="BM441">L441/IF($M441&gt;0, INDEX($AY$22:$BE$76, $M441+20, $AH441), 1)</f>
        <v>0</v>
      </c>
      <c r="BN441" s="229">
        <f t="shared" si="599"/>
        <v>0</v>
      </c>
      <c r="BO441" s="228">
        <v>35</v>
      </c>
      <c r="BP441" s="229">
        <f t="shared" si="600"/>
        <v>48</v>
      </c>
      <c r="BQ441" s="234">
        <f t="shared" si="601"/>
        <v>3.0748170731707316</v>
      </c>
      <c r="BR441" s="234" cm="1">
        <f t="array" ref="BR441">$BM441 * SUMPRODUCT(INDEX($AV$76:$AX$81,,$AI441),INDEX($AY$76:$BE$81,,$AH441), N($AU$76:$AU$81&gt;$AM441)) / BQ441 / 1000</f>
        <v>0</v>
      </c>
      <c r="BS441" s="231">
        <f t="shared" si="626"/>
        <v>30</v>
      </c>
      <c r="BT441" s="229">
        <f t="shared" si="602"/>
        <v>43</v>
      </c>
      <c r="BU441" s="234">
        <f t="shared" si="603"/>
        <v>3.5018750000000001</v>
      </c>
      <c r="BV441" s="234" cm="1">
        <f t="array" ref="BV441">$BM441 * IF($AH441&lt;=2,
SUMPRODUCT(INDEX($AV$71:$AX$75,,$AI441), INDEX($AY$71:$BE$75,,$AH441), 1 / ($BF$71:$BF$75*BU441 + (1-$BF$71:$BF$75)*BQ441), N($AU$71:$AU$75&gt;$AM441)),
SUMPRODUCT(INDEX($AV$66:$AX$75,,$AI441), INDEX($AY$66:$BE$75,,$AH441), 1 / ($BG$66:$BG$75*BU441 + (1-$BG$66:$BG$75)*BQ441), N($AU$66:$AU$75&gt;$AM441))
) / 1000</f>
        <v>0</v>
      </c>
      <c r="BW441" s="231">
        <f t="shared" si="627"/>
        <v>25</v>
      </c>
      <c r="BX441" s="229">
        <f t="shared" si="604"/>
        <v>38</v>
      </c>
      <c r="BY441" s="234">
        <f t="shared" si="605"/>
        <v>4.0666935483870965</v>
      </c>
      <c r="BZ441" s="234" cm="1">
        <f t="array" ref="BZ441">$BM441 * IF($AH441&lt;=2,
SUMPRODUCT(INDEX($AV$66:$AX$70,,$AI441), INDEX($AY$66:$BE$70,,$AH441), 1 / ($BF$66:$BF$70*BY441 + (1-$BF$66:$BF$70)*BU441), N($AU$66:$AU$70&gt;$AM441)),
SUMPRODUCT(INDEX($AV$56:$AX$65,,$AI441), INDEX($AY$56:$BE$65,,$AH441), 1 / ($BG$56:$BG$65*BY441 + (1-$BG$56:$BG$65)*BU441), N($AU$56:$AU$65&gt;$AM441))
) / 1000</f>
        <v>0</v>
      </c>
      <c r="CA441" s="231">
        <f t="shared" si="628"/>
        <v>20</v>
      </c>
      <c r="CB441" s="229">
        <f t="shared" si="606"/>
        <v>33</v>
      </c>
      <c r="CC441" s="234">
        <f t="shared" si="607"/>
        <v>4.8487499999999999</v>
      </c>
      <c r="CD441" s="234" cm="1">
        <f t="array" ref="CD441">$BM441 * IF($AH441&lt;=2,
SUMPRODUCT(INDEX($AV$61:$AX$65,,$AI441), INDEX($AY$61:$BE$65,,$AH441), 1 / ($BF$61:$BF$65*CC441 + (1-$BF$61:$BF$65)*BY441), N($AU$61:$AU$65&gt;$AM441)),
SUMPRODUCT(INDEX($AV$46:$AX$55,,$AI441), INDEX($AY$46:$BE$55,,$AH441), 1 / ($BG$46:$BG$55*CC441 + (1-$BG$46:$BG$55)*BY441), N($AU$46:$AU$55&gt;$AM441))
) / 1000</f>
        <v>0</v>
      </c>
      <c r="CE441" s="234" cm="1">
        <f t="array" ref="CE441">$BM441 * IF($AH441&lt;=2,
SUMPRODUCT(INDEX($AV$22:$AX$60,,$AI441), INDEX($AY$22:$BE$60,,$AH441), 1 / ($BF$22:$BF$60*CC441), N($AU$22:$AU$60&gt;$AM441)),
SUMPRODUCT(INDEX($AV$22:$AX$45,,$AI441), INDEX($AY$22:$BE$45,,$AH441), 1 / ($BG$22:$BG$45*CC441), N($AU$22:$AU$45&gt;$AM441))
) / 1000</f>
        <v>0</v>
      </c>
      <c r="CF441" s="229">
        <f t="shared" si="608"/>
        <v>0</v>
      </c>
      <c r="CG441" s="246"/>
      <c r="CH441" s="229">
        <f t="shared" si="609"/>
        <v>0</v>
      </c>
      <c r="CI441" s="228">
        <v>35</v>
      </c>
      <c r="CJ441" s="229">
        <f t="shared" si="610"/>
        <v>48</v>
      </c>
      <c r="CK441" s="234">
        <f t="shared" si="611"/>
        <v>3.0748170731707316</v>
      </c>
      <c r="CL441" s="234" cm="1">
        <f t="array" ref="CL441">$BM441 * SUMPRODUCT(INDEX($AV$76:$AX$81,,$AI441),INDEX($AY$76:$BE$81,,$AH441), N($AU$76:$AU$81&gt;$AM441)) / CK441 / 1000</f>
        <v>0</v>
      </c>
      <c r="CM441" s="231">
        <f t="shared" si="629"/>
        <v>30</v>
      </c>
      <c r="CN441" s="229">
        <f t="shared" si="612"/>
        <v>43</v>
      </c>
      <c r="CO441" s="234">
        <f t="shared" si="613"/>
        <v>3.5018750000000001</v>
      </c>
      <c r="CP441" s="234" cm="1">
        <f t="array" ref="CP441">$BM441 * IF($AH441&lt;=2,
SUMPRODUCT(INDEX($AV$71:$AX$75,,$AI441), INDEX($AY$71:$BE$75,,$AH441), 1 / ($BF$71:$BF$75*CO441 + (1-$BF$71:$BF$75)*CK441), N($AU$71:$AU$75&gt;$AM441)),
SUMPRODUCT(INDEX($AV$66:$AX$75,,$AI441), INDEX($AY$66:$BE$75,,$AH441), 1 / ($BG$66:$BG$75*CO441 + (1-$BG$66:$BG$75)*CK441), N($AU$66:$AU$75&gt;$AM441))
) / 1000</f>
        <v>0</v>
      </c>
      <c r="CQ441" s="231">
        <f t="shared" si="630"/>
        <v>25</v>
      </c>
      <c r="CR441" s="229">
        <f t="shared" si="614"/>
        <v>38</v>
      </c>
      <c r="CS441" s="234">
        <f t="shared" si="615"/>
        <v>4.0666935483870965</v>
      </c>
      <c r="CT441" s="234" cm="1">
        <f t="array" ref="CT441">$BM441 * IF($AH441&lt;=2,
SUMPRODUCT(INDEX($AV$66:$AX$70,,$AI441), INDEX($AY$66:$BE$70,,$AH441), 1 / ($BF$66:$BF$70*CS441 + (1-$BF$66:$BF$70)*CO441), N($AU$66:$AU$70&gt;$AM441)),
SUMPRODUCT(INDEX($AV$56:$AX$65,,$AI441), INDEX($AY$56:$BE$65,,$AH441), 1 / ($BG$56:$BG$65*CS441 + (1-$BG$56:$BG$65)*CO441), N($AU$56:$AU$65&gt;$AM441))
) / 1000</f>
        <v>0</v>
      </c>
      <c r="CU441" s="231">
        <f t="shared" si="631"/>
        <v>20</v>
      </c>
      <c r="CV441" s="229">
        <f t="shared" si="616"/>
        <v>33</v>
      </c>
      <c r="CW441" s="234">
        <f t="shared" si="617"/>
        <v>4.8487499999999999</v>
      </c>
      <c r="CX441" s="234" cm="1">
        <f t="array" ref="CX441">$BM441 * IF($AH441&lt;=2,
SUMPRODUCT(INDEX($AV$61:$AX$65,,$AI441), INDEX($AY$61:$BE$65,,$AH441), 1 / ($BF$61:$BF$65*CW441 + (1-$BF$61:$BF$65)*CS441), N($AU$61:$AU$65&gt;$AM441)),
SUMPRODUCT(INDEX($AV$46:$AX$55,,$AI441), INDEX($AY$46:$BE$55,,$AH441), 1 / ($BG$46:$BG$55*CW441 + (1-$BG$46:$BG$55)*CS441), N($AU$46:$AU$55&gt;$AM441))
) / 1000</f>
        <v>0</v>
      </c>
      <c r="CY441" s="234" cm="1">
        <f t="array" ref="CY441">$BM441 * IF($AH441&lt;=2,
SUMPRODUCT(INDEX($AV$22:$AX$60,,$AI441), INDEX($AY$22:$BE$60,,$AH441), 1 / ($BF$22:$BF$60*CW441), N($AU$22:$AU$60&gt;$AM441)),
SUMPRODUCT(INDEX($AV$22:$AX$45,,$AI441), INDEX($AY$22:$BE$45,,$AH441), 1 / ($BG$22:$BG$45*CW441), N($AU$22:$AU$45&gt;$AM441))
) / 1000</f>
        <v>0</v>
      </c>
      <c r="CZ441" s="229">
        <f t="shared" si="618"/>
        <v>0</v>
      </c>
      <c r="DA441" s="246"/>
    </row>
    <row r="442" spans="1:105" s="75" customFormat="1" ht="14.25" customHeight="1" x14ac:dyDescent="0.2">
      <c r="A442" s="230" t="b">
        <f t="shared" si="623"/>
        <v>0</v>
      </c>
      <c r="B442" s="253">
        <v>421</v>
      </c>
      <c r="C442" s="266"/>
      <c r="D442" s="266"/>
      <c r="E442" s="254"/>
      <c r="F442" s="255" t="str">
        <f>IF(ISBLANK(E442), "", VLOOKUP(E442, Z!$A$2:$C$4127, 3, FALSE))</f>
        <v/>
      </c>
      <c r="G442" s="256"/>
      <c r="H442" s="256"/>
      <c r="I442" s="256"/>
      <c r="J442" s="257"/>
      <c r="K442" s="258"/>
      <c r="L442" s="267"/>
      <c r="M442" s="268"/>
      <c r="N442" s="259" t="str" cm="1">
        <f t="array" ref="N442">IF($L442&gt;0, INDEX(Clean,1+AK442,$D$1), "")</f>
        <v/>
      </c>
      <c r="O442" s="260"/>
      <c r="P442" s="260"/>
      <c r="Q442" s="261"/>
      <c r="R442" s="264">
        <f t="shared" ref="R442:R505" si="632">CF442*1000</f>
        <v>0</v>
      </c>
      <c r="S442" s="259" t="str" cm="1">
        <f t="array" ref="S442">IF($L442&gt;0, INDEX(Clean,1+AL442,$D$1), "")</f>
        <v/>
      </c>
      <c r="T442" s="260"/>
      <c r="U442" s="260"/>
      <c r="V442" s="261"/>
      <c r="W442" s="267"/>
      <c r="X442" s="267"/>
      <c r="Y442" s="257"/>
      <c r="Z442" s="264">
        <f t="shared" ref="Z442:Z505" si="633">(CZ442 - IF(W442&gt;0, CZ442*(W442/7)*AP442, 0) - IF(X442&gt;0, CZ442*(X442*AR442*AS442), 0))*1000</f>
        <v>0</v>
      </c>
      <c r="AA442" s="269"/>
      <c r="AB442" s="266"/>
      <c r="AC442" s="254"/>
      <c r="AD442" s="255" t="str">
        <f>IF(ISBLANK(AC442), "", VLOOKUP(AC442, Z!$A$2:$C$4127, 3, FALSE))</f>
        <v/>
      </c>
      <c r="AE442" s="270"/>
      <c r="AF442" s="265">
        <f t="shared" ref="AF442:AF505" si="634">0.75*AO$22*(R442-Z442)</f>
        <v>0</v>
      </c>
      <c r="AG442" s="246"/>
      <c r="AH442" s="228">
        <f t="shared" si="619"/>
        <v>1</v>
      </c>
      <c r="AI442" s="228">
        <f t="shared" si="620"/>
        <v>1</v>
      </c>
      <c r="AJ442" s="228">
        <f t="shared" si="621"/>
        <v>0</v>
      </c>
      <c r="AK442" s="228">
        <v>0</v>
      </c>
      <c r="AL442" s="228">
        <v>0</v>
      </c>
      <c r="AM442" s="228">
        <f t="shared" ref="AM442:AM505" si="635">IF(AND(K442="x", AH442=5), 11, IF(AND(K442="x", AH442=6), 19, -100))</f>
        <v>-100</v>
      </c>
      <c r="AN442" s="228" cm="1">
        <f t="array" ref="AN442">IF(ISBLANK(G442), 1, IFERROR(MATCH(G442, INDEX(Kat,,1), 0), IFERROR(MATCH(Kat, INDEX(Use,,2), 0), MATCH(Kat, INDEX(Use,,3), 0))))</f>
        <v>1</v>
      </c>
      <c r="AO442" s="246"/>
      <c r="AP442" s="228" cm="1">
        <f t="array" ref="AP442">IF(W442&gt;0, INDEX(Kat, AN442,4), 0)</f>
        <v>0</v>
      </c>
      <c r="AQ442" s="228">
        <f t="shared" si="622"/>
        <v>0</v>
      </c>
      <c r="AR442" s="228" cm="1">
        <f t="array" ref="AR442">IF(X442&gt;0, INDEX(Kat, $AN442, 4+AQ442), 0)</f>
        <v>0</v>
      </c>
      <c r="AS442" s="228" cm="1">
        <f t="array" ref="AS442">IF(X442&gt;0, INDEX(Kat, $AN442, 9+AQ442), 0)</f>
        <v>0</v>
      </c>
      <c r="AT442" s="246"/>
      <c r="AU442" s="262"/>
      <c r="AV442" s="262"/>
      <c r="AW442" s="263"/>
      <c r="AX442" s="263"/>
      <c r="AY442" s="263"/>
      <c r="AZ442" s="263"/>
      <c r="BA442" s="263"/>
      <c r="BB442" s="263"/>
      <c r="BC442" s="263"/>
      <c r="BD442" s="263"/>
      <c r="BE442" s="263"/>
      <c r="BF442" s="263"/>
      <c r="BG442" s="263"/>
      <c r="BH442" s="246"/>
      <c r="BI442" s="228" cm="1">
        <f t="array" ref="BI442">INDEX(Use, $AH442, 4)</f>
        <v>7</v>
      </c>
      <c r="BJ442" s="228">
        <f t="shared" ref="BJ442:BJ505" si="636">MAX(25, BI442+25)</f>
        <v>32</v>
      </c>
      <c r="BK442" s="228">
        <f t="shared" si="624"/>
        <v>13</v>
      </c>
      <c r="BL442" s="228">
        <f t="shared" si="625"/>
        <v>0</v>
      </c>
      <c r="BM442" s="233" cm="1">
        <f t="array" ref="BM442">L442/IF($M442&gt;0, INDEX($AY$22:$BE$76, $M442+20, $AH442), 1)</f>
        <v>0</v>
      </c>
      <c r="BN442" s="229">
        <f t="shared" ref="BN442:BN505" si="637">Q442 /  IF(AH442&lt;=2, 0.7 + 0.3 * (P442-20)/(35-20), 0.4 + 0.6 * (P442-5)/(35-5))</f>
        <v>0</v>
      </c>
      <c r="BO442" s="228">
        <v>35</v>
      </c>
      <c r="BP442" s="229">
        <f t="shared" ref="BP442:BP505" si="638">MAX($O442, MAX($BJ442, $BO442 + $BK442 + $BL442 + 0.35*$AK442*$BK442 + BN442))</f>
        <v>48</v>
      </c>
      <c r="BQ442" s="234">
        <f t="shared" ref="BQ442:BQ505" si="639">0.45*($BI442+273.15)/(BP442-$BI442)</f>
        <v>3.0748170731707316</v>
      </c>
      <c r="BR442" s="234" cm="1">
        <f t="array" ref="BR442">$BM442 * SUMPRODUCT(INDEX($AV$76:$AX$81,,$AI442),INDEX($AY$76:$BE$81,,$AH442), N($AU$76:$AU$81&gt;$AM442)) / BQ442 / 1000</f>
        <v>0</v>
      </c>
      <c r="BS442" s="231">
        <f t="shared" si="626"/>
        <v>30</v>
      </c>
      <c r="BT442" s="229">
        <f t="shared" ref="BT442:BT505" si="640">MAX($O442, MAX($BJ442, BS442 + $BK442 + $BL442 + IF($AH442&lt;=2, (BS442-20)/(35-20), 0.6+0.4*(BS442-5)/(35-5))*0.35*$AK442*$BK442) + IF($AH442&lt;=2,0.9,0.8)*$BN442)</f>
        <v>43</v>
      </c>
      <c r="BU442" s="234">
        <f t="shared" ref="BU442:BU505" si="641">0.45*($BI442+273.15)/(BT442-$BI442)</f>
        <v>3.5018750000000001</v>
      </c>
      <c r="BV442" s="234" cm="1">
        <f t="array" ref="BV442">$BM442 * IF($AH442&lt;=2,
SUMPRODUCT(INDEX($AV$71:$AX$75,,$AI442), INDEX($AY$71:$BE$75,,$AH442), 1 / ($BF$71:$BF$75*BU442 + (1-$BF$71:$BF$75)*BQ442), N($AU$71:$AU$75&gt;$AM442)),
SUMPRODUCT(INDEX($AV$66:$AX$75,,$AI442), INDEX($AY$66:$BE$75,,$AH442), 1 / ($BG$66:$BG$75*BU442 + (1-$BG$66:$BG$75)*BQ442), N($AU$66:$AU$75&gt;$AM442))
) / 1000</f>
        <v>0</v>
      </c>
      <c r="BW442" s="231">
        <f t="shared" si="627"/>
        <v>25</v>
      </c>
      <c r="BX442" s="229">
        <f t="shared" ref="BX442:BX505" si="642">MAX($O442, MAX($BJ442, BW442 + $BK442 + $BL442 + IF($AH442&lt;=2, (BW442-20)/(35-20), 0.6+0.4*(BW442-5)/(35-5))*0.35*$AK442*$BK442) + IF($AH442&lt;=2,0.8,0.6)*$BN442)</f>
        <v>38</v>
      </c>
      <c r="BY442" s="234">
        <f t="shared" ref="BY442:BY505" si="643">0.45*($BI442+273.15)/(BX442-$BI442)</f>
        <v>4.0666935483870965</v>
      </c>
      <c r="BZ442" s="234" cm="1">
        <f t="array" ref="BZ442">$BM442 * IF($AH442&lt;=2,
SUMPRODUCT(INDEX($AV$66:$AX$70,,$AI442), INDEX($AY$66:$BE$70,,$AH442), 1 / ($BF$66:$BF$70*BY442 + (1-$BF$66:$BF$70)*BU442), N($AU$66:$AU$70&gt;$AM442)),
SUMPRODUCT(INDEX($AV$56:$AX$65,,$AI442), INDEX($AY$56:$BE$65,,$AH442), 1 / ($BG$56:$BG$65*BY442 + (1-$BG$56:$BG$65)*BU442), N($AU$56:$AU$65&gt;$AM442))
) / 1000</f>
        <v>0</v>
      </c>
      <c r="CA442" s="231">
        <f t="shared" si="628"/>
        <v>20</v>
      </c>
      <c r="CB442" s="229">
        <f t="shared" ref="CB442:CB505" si="644">MAX($O442, MAX($BJ442, CA442 + $BK442 + $BL442 + IF($AH442&lt;=2, (CA442-20)/(35-20), 0.6+0.4*(CA442-5)/(35-5))*0.35*$AK442*$BK442) + IF($AH442&lt;=2,0.7,0.4)*$BN442)</f>
        <v>33</v>
      </c>
      <c r="CC442" s="234">
        <f t="shared" ref="CC442:CC505" si="645">0.45*($BI442+273.15)/(CB442-$BI442)</f>
        <v>4.8487499999999999</v>
      </c>
      <c r="CD442" s="234" cm="1">
        <f t="array" ref="CD442">$BM442 * IF($AH442&lt;=2,
SUMPRODUCT(INDEX($AV$61:$AX$65,,$AI442), INDEX($AY$61:$BE$65,,$AH442), 1 / ($BF$61:$BF$65*CC442 + (1-$BF$61:$BF$65)*BY442), N($AU$61:$AU$65&gt;$AM442)),
SUMPRODUCT(INDEX($AV$46:$AX$55,,$AI442), INDEX($AY$46:$BE$55,,$AH442), 1 / ($BG$46:$BG$55*CC442 + (1-$BG$46:$BG$55)*BY442), N($AU$46:$AU$55&gt;$AM442))
) / 1000</f>
        <v>0</v>
      </c>
      <c r="CE442" s="234" cm="1">
        <f t="array" ref="CE442">$BM442 * IF($AH442&lt;=2,
SUMPRODUCT(INDEX($AV$22:$AX$60,,$AI442), INDEX($AY$22:$BE$60,,$AH442), 1 / ($BF$22:$BF$60*CC442), N($AU$22:$AU$60&gt;$AM442)),
SUMPRODUCT(INDEX($AV$22:$AX$45,,$AI442), INDEX($AY$22:$BE$45,,$AH442), 1 / ($BG$22:$BG$45*CC442), N($AU$22:$AU$45&gt;$AM442))
) / 1000</f>
        <v>0</v>
      </c>
      <c r="CF442" s="229">
        <f t="shared" ref="CF442:CF505" si="646">BR442+BV442+BZ442+CD442+CE442</f>
        <v>0</v>
      </c>
      <c r="CG442" s="246"/>
      <c r="CH442" s="229">
        <f t="shared" ref="CH442:CH505" si="647">V442 /  IF(AH442&lt;=2, 0.7 + 0.3 * (U442-20)/(35-20), 0.4 + 0.6 * (U442-5)/(35-5))</f>
        <v>0</v>
      </c>
      <c r="CI442" s="228">
        <v>35</v>
      </c>
      <c r="CJ442" s="229">
        <f t="shared" ref="CJ442:CJ505" si="648">MAX($T442, MAX($BJ442, $BO442 + $BK442 + $BL442 + 0.35*$AL442*$BK442 + CH442))</f>
        <v>48</v>
      </c>
      <c r="CK442" s="234">
        <f t="shared" ref="CK442:CK505" si="649">0.45*($BI442+273.15)/(CJ442-$BI442)</f>
        <v>3.0748170731707316</v>
      </c>
      <c r="CL442" s="234" cm="1">
        <f t="array" ref="CL442">$BM442 * SUMPRODUCT(INDEX($AV$76:$AX$81,,$AI442),INDEX($AY$76:$BE$81,,$AH442), N($AU$76:$AU$81&gt;$AM442)) / CK442 / 1000</f>
        <v>0</v>
      </c>
      <c r="CM442" s="231">
        <f t="shared" si="629"/>
        <v>30</v>
      </c>
      <c r="CN442" s="229">
        <f t="shared" ref="CN442:CN505" si="650">MAX($T442, MAX($BJ442, CM442 + $BK442 + $BL442 + IF($AH442&lt;=2, (CM442-20)/(35-20), 0.6+0.4*(CM442-5)/(35-5))*0.35*$AL442*$BK442) + IF($AH442&lt;=2,0.9,0.8)*$CH442)</f>
        <v>43</v>
      </c>
      <c r="CO442" s="234">
        <f t="shared" ref="CO442:CO505" si="651">0.45*($BI442+273.15)/(CN442-$BI442)</f>
        <v>3.5018750000000001</v>
      </c>
      <c r="CP442" s="234" cm="1">
        <f t="array" ref="CP442">$BM442 * IF($AH442&lt;=2,
SUMPRODUCT(INDEX($AV$71:$AX$75,,$AI442), INDEX($AY$71:$BE$75,,$AH442), 1 / ($BF$71:$BF$75*CO442 + (1-$BF$71:$BF$75)*CK442), N($AU$71:$AU$75&gt;$AM442)),
SUMPRODUCT(INDEX($AV$66:$AX$75,,$AI442), INDEX($AY$66:$BE$75,,$AH442), 1 / ($BG$66:$BG$75*CO442 + (1-$BG$66:$BG$75)*CK442), N($AU$66:$AU$75&gt;$AM442))
) / 1000</f>
        <v>0</v>
      </c>
      <c r="CQ442" s="231">
        <f t="shared" si="630"/>
        <v>25</v>
      </c>
      <c r="CR442" s="229">
        <f t="shared" ref="CR442:CR505" si="652">MAX($T442, MAX($BJ442, CQ442 + $BK442 + $BL442 + IF($AH442&lt;=2, (CQ442-20)/(35-20), 0.6+0.4*(CQ442-5)/(35-5))*0.35*$AL442*$BK442) + IF($AH442&lt;=2,0.8,0.6)*$CH442)</f>
        <v>38</v>
      </c>
      <c r="CS442" s="234">
        <f t="shared" ref="CS442:CS505" si="653">0.45*($BI442+273.15)/(CR442-$BI442)</f>
        <v>4.0666935483870965</v>
      </c>
      <c r="CT442" s="234" cm="1">
        <f t="array" ref="CT442">$BM442 * IF($AH442&lt;=2,
SUMPRODUCT(INDEX($AV$66:$AX$70,,$AI442), INDEX($AY$66:$BE$70,,$AH442), 1 / ($BF$66:$BF$70*CS442 + (1-$BF$66:$BF$70)*CO442), N($AU$66:$AU$70&gt;$AM442)),
SUMPRODUCT(INDEX($AV$56:$AX$65,,$AI442), INDEX($AY$56:$BE$65,,$AH442), 1 / ($BG$56:$BG$65*CS442 + (1-$BG$56:$BG$65)*CO442), N($AU$56:$AU$65&gt;$AM442))
) / 1000</f>
        <v>0</v>
      </c>
      <c r="CU442" s="231">
        <f t="shared" si="631"/>
        <v>20</v>
      </c>
      <c r="CV442" s="229">
        <f t="shared" ref="CV442:CV505" si="654">MAX($T442, MAX($BJ442, CU442 + $BK442 + $BL442 + IF($AH442&lt;=2, (CU442-20)/(35-20), 0.6+0.4*(CU442-5)/(35-5))*0.35*$AL442*$BK442) + IF($AH442&lt;=2,0.7,0.4)*$CH442)</f>
        <v>33</v>
      </c>
      <c r="CW442" s="234">
        <f t="shared" ref="CW442:CW505" si="655">0.45*($BI442+273.15)/(CV442-$BI442)</f>
        <v>4.8487499999999999</v>
      </c>
      <c r="CX442" s="234" cm="1">
        <f t="array" ref="CX442">$BM442 * IF($AH442&lt;=2,
SUMPRODUCT(INDEX($AV$61:$AX$65,,$AI442), INDEX($AY$61:$BE$65,,$AH442), 1 / ($BF$61:$BF$65*CW442 + (1-$BF$61:$BF$65)*CS442), N($AU$61:$AU$65&gt;$AM442)),
SUMPRODUCT(INDEX($AV$46:$AX$55,,$AI442), INDEX($AY$46:$BE$55,,$AH442), 1 / ($BG$46:$BG$55*CW442 + (1-$BG$46:$BG$55)*CS442), N($AU$46:$AU$55&gt;$AM442))
) / 1000</f>
        <v>0</v>
      </c>
      <c r="CY442" s="234" cm="1">
        <f t="array" ref="CY442">$BM442 * IF($AH442&lt;=2,
SUMPRODUCT(INDEX($AV$22:$AX$60,,$AI442), INDEX($AY$22:$BE$60,,$AH442), 1 / ($BF$22:$BF$60*CW442), N($AU$22:$AU$60&gt;$AM442)),
SUMPRODUCT(INDEX($AV$22:$AX$45,,$AI442), INDEX($AY$22:$BE$45,,$AH442), 1 / ($BG$22:$BG$45*CW442), N($AU$22:$AU$45&gt;$AM442))
) / 1000</f>
        <v>0</v>
      </c>
      <c r="CZ442" s="229">
        <f t="shared" ref="CZ442:CZ505" si="656">CL442+CP442+CT442+CX442+CY442</f>
        <v>0</v>
      </c>
      <c r="DA442" s="246"/>
    </row>
    <row r="443" spans="1:105" s="75" customFormat="1" ht="14.25" customHeight="1" x14ac:dyDescent="0.2">
      <c r="A443" s="230" t="b">
        <f t="shared" si="623"/>
        <v>0</v>
      </c>
      <c r="B443" s="253">
        <v>422</v>
      </c>
      <c r="C443" s="266"/>
      <c r="D443" s="266"/>
      <c r="E443" s="254"/>
      <c r="F443" s="255" t="str">
        <f>IF(ISBLANK(E443), "", VLOOKUP(E443, Z!$A$2:$C$4127, 3, FALSE))</f>
        <v/>
      </c>
      <c r="G443" s="256"/>
      <c r="H443" s="256"/>
      <c r="I443" s="256"/>
      <c r="J443" s="257"/>
      <c r="K443" s="258"/>
      <c r="L443" s="267"/>
      <c r="M443" s="268"/>
      <c r="N443" s="259" t="str" cm="1">
        <f t="array" ref="N443">IF($L443&gt;0, INDEX(Clean,1+AK443,$D$1), "")</f>
        <v/>
      </c>
      <c r="O443" s="260"/>
      <c r="P443" s="260"/>
      <c r="Q443" s="261"/>
      <c r="R443" s="264">
        <f t="shared" si="632"/>
        <v>0</v>
      </c>
      <c r="S443" s="259" t="str" cm="1">
        <f t="array" ref="S443">IF($L443&gt;0, INDEX(Clean,1+AL443,$D$1), "")</f>
        <v/>
      </c>
      <c r="T443" s="260"/>
      <c r="U443" s="260"/>
      <c r="V443" s="261"/>
      <c r="W443" s="267"/>
      <c r="X443" s="267"/>
      <c r="Y443" s="257"/>
      <c r="Z443" s="264">
        <f t="shared" si="633"/>
        <v>0</v>
      </c>
      <c r="AA443" s="269"/>
      <c r="AB443" s="266"/>
      <c r="AC443" s="254"/>
      <c r="AD443" s="255" t="str">
        <f>IF(ISBLANK(AC443), "", VLOOKUP(AC443, Z!$A$2:$C$4127, 3, FALSE))</f>
        <v/>
      </c>
      <c r="AE443" s="270"/>
      <c r="AF443" s="265">
        <f t="shared" si="634"/>
        <v>0</v>
      </c>
      <c r="AG443" s="246"/>
      <c r="AH443" s="228">
        <f t="shared" ref="AH443:AH506" si="657">IF(ISBLANK(I443), 1, IFERROR(MATCH(I443, INDEX(Use,,1), 0), IFERROR(MATCH(I443, INDEX(Use,,2), 0), MATCH(I443, INDEX(Use,,3), 0))))</f>
        <v>1</v>
      </c>
      <c r="AI443" s="228">
        <f t="shared" ref="AI443:AI506" si="658">IF(ISBLANK(H443), 1, IFERROR(MATCH(H443, INDEX(Loc,,1), 0), IFERROR(MATCH(H443, INDEX(Loc,,2), 0), MATCH(H443, INDEX(Loc,,3), 0))))</f>
        <v>1</v>
      </c>
      <c r="AJ443" s="228">
        <f t="shared" ref="AJ443:AJ506" si="659">_xlfn.IFNA(IF(IFERROR(MATCH(J443, INDEX(Medium,,1), 0), IFERROR(MATCH(J443, INDEX(Medium,,2), 0), MATCH(J443, INDEX(Medium,,3), 0))) = 2, 1, 0), 0)</f>
        <v>0</v>
      </c>
      <c r="AK443" s="228">
        <v>0</v>
      </c>
      <c r="AL443" s="228">
        <v>0</v>
      </c>
      <c r="AM443" s="228">
        <f t="shared" si="635"/>
        <v>-100</v>
      </c>
      <c r="AN443" s="228" cm="1">
        <f t="array" ref="AN443">IF(ISBLANK(G443), 1, IFERROR(MATCH(G443, INDEX(Kat,,1), 0), IFERROR(MATCH(Kat, INDEX(Use,,2), 0), MATCH(Kat, INDEX(Use,,3), 0))))</f>
        <v>1</v>
      </c>
      <c r="AO443" s="246"/>
      <c r="AP443" s="228" cm="1">
        <f t="array" ref="AP443">IF(W443&gt;0, INDEX(Kat, AN443,4), 0)</f>
        <v>0</v>
      </c>
      <c r="AQ443" s="228">
        <f t="shared" ref="AQ443:AQ506" si="660">IF(ISBLANK(Y443), 0, IFERROR(MATCH(Y443, INDEX(Month,,1), 0), IFERROR(MATCH(Y443, INDEX(Month,,2), 0), MATCH(Y443, INDEX(Month,,3), 0))))</f>
        <v>0</v>
      </c>
      <c r="AR443" s="228" cm="1">
        <f t="array" ref="AR443">IF(X443&gt;0, INDEX(Kat, $AN443, 4+AQ443), 0)</f>
        <v>0</v>
      </c>
      <c r="AS443" s="228" cm="1">
        <f t="array" ref="AS443">IF(X443&gt;0, INDEX(Kat, $AN443, 9+AQ443), 0)</f>
        <v>0</v>
      </c>
      <c r="AT443" s="246"/>
      <c r="AU443" s="262"/>
      <c r="AV443" s="262"/>
      <c r="AW443" s="263"/>
      <c r="AX443" s="263"/>
      <c r="AY443" s="263"/>
      <c r="AZ443" s="263"/>
      <c r="BA443" s="263"/>
      <c r="BB443" s="263"/>
      <c r="BC443" s="263"/>
      <c r="BD443" s="263"/>
      <c r="BE443" s="263"/>
      <c r="BF443" s="263"/>
      <c r="BG443" s="263"/>
      <c r="BH443" s="246"/>
      <c r="BI443" s="228" cm="1">
        <f t="array" ref="BI443">INDEX(Use, $AH443, 4)</f>
        <v>7</v>
      </c>
      <c r="BJ443" s="228">
        <f t="shared" si="636"/>
        <v>32</v>
      </c>
      <c r="BK443" s="228">
        <f t="shared" si="624"/>
        <v>13</v>
      </c>
      <c r="BL443" s="228">
        <f t="shared" si="625"/>
        <v>0</v>
      </c>
      <c r="BM443" s="233" cm="1">
        <f t="array" ref="BM443">L443/IF($M443&gt;0, INDEX($AY$22:$BE$76, $M443+20, $AH443), 1)</f>
        <v>0</v>
      </c>
      <c r="BN443" s="229">
        <f t="shared" si="637"/>
        <v>0</v>
      </c>
      <c r="BO443" s="228">
        <v>35</v>
      </c>
      <c r="BP443" s="229">
        <f t="shared" si="638"/>
        <v>48</v>
      </c>
      <c r="BQ443" s="234">
        <f t="shared" si="639"/>
        <v>3.0748170731707316</v>
      </c>
      <c r="BR443" s="234" cm="1">
        <f t="array" ref="BR443">$BM443 * SUMPRODUCT(INDEX($AV$76:$AX$81,,$AI443),INDEX($AY$76:$BE$81,,$AH443), N($AU$76:$AU$81&gt;$AM443)) / BQ443 / 1000</f>
        <v>0</v>
      </c>
      <c r="BS443" s="231">
        <f t="shared" si="626"/>
        <v>30</v>
      </c>
      <c r="BT443" s="229">
        <f t="shared" si="640"/>
        <v>43</v>
      </c>
      <c r="BU443" s="234">
        <f t="shared" si="641"/>
        <v>3.5018750000000001</v>
      </c>
      <c r="BV443" s="234" cm="1">
        <f t="array" ref="BV443">$BM443 * IF($AH443&lt;=2,
SUMPRODUCT(INDEX($AV$71:$AX$75,,$AI443), INDEX($AY$71:$BE$75,,$AH443), 1 / ($BF$71:$BF$75*BU443 + (1-$BF$71:$BF$75)*BQ443), N($AU$71:$AU$75&gt;$AM443)),
SUMPRODUCT(INDEX($AV$66:$AX$75,,$AI443), INDEX($AY$66:$BE$75,,$AH443), 1 / ($BG$66:$BG$75*BU443 + (1-$BG$66:$BG$75)*BQ443), N($AU$66:$AU$75&gt;$AM443))
) / 1000</f>
        <v>0</v>
      </c>
      <c r="BW443" s="231">
        <f t="shared" si="627"/>
        <v>25</v>
      </c>
      <c r="BX443" s="229">
        <f t="shared" si="642"/>
        <v>38</v>
      </c>
      <c r="BY443" s="234">
        <f t="shared" si="643"/>
        <v>4.0666935483870965</v>
      </c>
      <c r="BZ443" s="234" cm="1">
        <f t="array" ref="BZ443">$BM443 * IF($AH443&lt;=2,
SUMPRODUCT(INDEX($AV$66:$AX$70,,$AI443), INDEX($AY$66:$BE$70,,$AH443), 1 / ($BF$66:$BF$70*BY443 + (1-$BF$66:$BF$70)*BU443), N($AU$66:$AU$70&gt;$AM443)),
SUMPRODUCT(INDEX($AV$56:$AX$65,,$AI443), INDEX($AY$56:$BE$65,,$AH443), 1 / ($BG$56:$BG$65*BY443 + (1-$BG$56:$BG$65)*BU443), N($AU$56:$AU$65&gt;$AM443))
) / 1000</f>
        <v>0</v>
      </c>
      <c r="CA443" s="231">
        <f t="shared" si="628"/>
        <v>20</v>
      </c>
      <c r="CB443" s="229">
        <f t="shared" si="644"/>
        <v>33</v>
      </c>
      <c r="CC443" s="234">
        <f t="shared" si="645"/>
        <v>4.8487499999999999</v>
      </c>
      <c r="CD443" s="234" cm="1">
        <f t="array" ref="CD443">$BM443 * IF($AH443&lt;=2,
SUMPRODUCT(INDEX($AV$61:$AX$65,,$AI443), INDEX($AY$61:$BE$65,,$AH443), 1 / ($BF$61:$BF$65*CC443 + (1-$BF$61:$BF$65)*BY443), N($AU$61:$AU$65&gt;$AM443)),
SUMPRODUCT(INDEX($AV$46:$AX$55,,$AI443), INDEX($AY$46:$BE$55,,$AH443), 1 / ($BG$46:$BG$55*CC443 + (1-$BG$46:$BG$55)*BY443), N($AU$46:$AU$55&gt;$AM443))
) / 1000</f>
        <v>0</v>
      </c>
      <c r="CE443" s="234" cm="1">
        <f t="array" ref="CE443">$BM443 * IF($AH443&lt;=2,
SUMPRODUCT(INDEX($AV$22:$AX$60,,$AI443), INDEX($AY$22:$BE$60,,$AH443), 1 / ($BF$22:$BF$60*CC443), N($AU$22:$AU$60&gt;$AM443)),
SUMPRODUCT(INDEX($AV$22:$AX$45,,$AI443), INDEX($AY$22:$BE$45,,$AH443), 1 / ($BG$22:$BG$45*CC443), N($AU$22:$AU$45&gt;$AM443))
) / 1000</f>
        <v>0</v>
      </c>
      <c r="CF443" s="229">
        <f t="shared" si="646"/>
        <v>0</v>
      </c>
      <c r="CG443" s="246"/>
      <c r="CH443" s="229">
        <f t="shared" si="647"/>
        <v>0</v>
      </c>
      <c r="CI443" s="228">
        <v>35</v>
      </c>
      <c r="CJ443" s="229">
        <f t="shared" si="648"/>
        <v>48</v>
      </c>
      <c r="CK443" s="234">
        <f t="shared" si="649"/>
        <v>3.0748170731707316</v>
      </c>
      <c r="CL443" s="234" cm="1">
        <f t="array" ref="CL443">$BM443 * SUMPRODUCT(INDEX($AV$76:$AX$81,,$AI443),INDEX($AY$76:$BE$81,,$AH443), N($AU$76:$AU$81&gt;$AM443)) / CK443 / 1000</f>
        <v>0</v>
      </c>
      <c r="CM443" s="231">
        <f t="shared" si="629"/>
        <v>30</v>
      </c>
      <c r="CN443" s="229">
        <f t="shared" si="650"/>
        <v>43</v>
      </c>
      <c r="CO443" s="234">
        <f t="shared" si="651"/>
        <v>3.5018750000000001</v>
      </c>
      <c r="CP443" s="234" cm="1">
        <f t="array" ref="CP443">$BM443 * IF($AH443&lt;=2,
SUMPRODUCT(INDEX($AV$71:$AX$75,,$AI443), INDEX($AY$71:$BE$75,,$AH443), 1 / ($BF$71:$BF$75*CO443 + (1-$BF$71:$BF$75)*CK443), N($AU$71:$AU$75&gt;$AM443)),
SUMPRODUCT(INDEX($AV$66:$AX$75,,$AI443), INDEX($AY$66:$BE$75,,$AH443), 1 / ($BG$66:$BG$75*CO443 + (1-$BG$66:$BG$75)*CK443), N($AU$66:$AU$75&gt;$AM443))
) / 1000</f>
        <v>0</v>
      </c>
      <c r="CQ443" s="231">
        <f t="shared" si="630"/>
        <v>25</v>
      </c>
      <c r="CR443" s="229">
        <f t="shared" si="652"/>
        <v>38</v>
      </c>
      <c r="CS443" s="234">
        <f t="shared" si="653"/>
        <v>4.0666935483870965</v>
      </c>
      <c r="CT443" s="234" cm="1">
        <f t="array" ref="CT443">$BM443 * IF($AH443&lt;=2,
SUMPRODUCT(INDEX($AV$66:$AX$70,,$AI443), INDEX($AY$66:$BE$70,,$AH443), 1 / ($BF$66:$BF$70*CS443 + (1-$BF$66:$BF$70)*CO443), N($AU$66:$AU$70&gt;$AM443)),
SUMPRODUCT(INDEX($AV$56:$AX$65,,$AI443), INDEX($AY$56:$BE$65,,$AH443), 1 / ($BG$56:$BG$65*CS443 + (1-$BG$56:$BG$65)*CO443), N($AU$56:$AU$65&gt;$AM443))
) / 1000</f>
        <v>0</v>
      </c>
      <c r="CU443" s="231">
        <f t="shared" si="631"/>
        <v>20</v>
      </c>
      <c r="CV443" s="229">
        <f t="shared" si="654"/>
        <v>33</v>
      </c>
      <c r="CW443" s="234">
        <f t="shared" si="655"/>
        <v>4.8487499999999999</v>
      </c>
      <c r="CX443" s="234" cm="1">
        <f t="array" ref="CX443">$BM443 * IF($AH443&lt;=2,
SUMPRODUCT(INDEX($AV$61:$AX$65,,$AI443), INDEX($AY$61:$BE$65,,$AH443), 1 / ($BF$61:$BF$65*CW443 + (1-$BF$61:$BF$65)*CS443), N($AU$61:$AU$65&gt;$AM443)),
SUMPRODUCT(INDEX($AV$46:$AX$55,,$AI443), INDEX($AY$46:$BE$55,,$AH443), 1 / ($BG$46:$BG$55*CW443 + (1-$BG$46:$BG$55)*CS443), N($AU$46:$AU$55&gt;$AM443))
) / 1000</f>
        <v>0</v>
      </c>
      <c r="CY443" s="234" cm="1">
        <f t="array" ref="CY443">$BM443 * IF($AH443&lt;=2,
SUMPRODUCT(INDEX($AV$22:$AX$60,,$AI443), INDEX($AY$22:$BE$60,,$AH443), 1 / ($BF$22:$BF$60*CW443), N($AU$22:$AU$60&gt;$AM443)),
SUMPRODUCT(INDEX($AV$22:$AX$45,,$AI443), INDEX($AY$22:$BE$45,,$AH443), 1 / ($BG$22:$BG$45*CW443), N($AU$22:$AU$45&gt;$AM443))
) / 1000</f>
        <v>0</v>
      </c>
      <c r="CZ443" s="229">
        <f t="shared" si="656"/>
        <v>0</v>
      </c>
      <c r="DA443" s="246"/>
    </row>
    <row r="444" spans="1:105" s="75" customFormat="1" ht="14.25" customHeight="1" x14ac:dyDescent="0.2">
      <c r="A444" s="230" t="b">
        <f t="shared" si="623"/>
        <v>0</v>
      </c>
      <c r="B444" s="253">
        <v>423</v>
      </c>
      <c r="C444" s="266"/>
      <c r="D444" s="266"/>
      <c r="E444" s="254"/>
      <c r="F444" s="255" t="str">
        <f>IF(ISBLANK(E444), "", VLOOKUP(E444, Z!$A$2:$C$4127, 3, FALSE))</f>
        <v/>
      </c>
      <c r="G444" s="256"/>
      <c r="H444" s="256"/>
      <c r="I444" s="256"/>
      <c r="J444" s="257"/>
      <c r="K444" s="258"/>
      <c r="L444" s="267"/>
      <c r="M444" s="268"/>
      <c r="N444" s="259" t="str" cm="1">
        <f t="array" ref="N444">IF($L444&gt;0, INDEX(Clean,1+AK444,$D$1), "")</f>
        <v/>
      </c>
      <c r="O444" s="260"/>
      <c r="P444" s="260"/>
      <c r="Q444" s="261"/>
      <c r="R444" s="264">
        <f t="shared" si="632"/>
        <v>0</v>
      </c>
      <c r="S444" s="259" t="str" cm="1">
        <f t="array" ref="S444">IF($L444&gt;0, INDEX(Clean,1+AL444,$D$1), "")</f>
        <v/>
      </c>
      <c r="T444" s="260"/>
      <c r="U444" s="260"/>
      <c r="V444" s="261"/>
      <c r="W444" s="267"/>
      <c r="X444" s="267"/>
      <c r="Y444" s="257"/>
      <c r="Z444" s="264">
        <f t="shared" si="633"/>
        <v>0</v>
      </c>
      <c r="AA444" s="269"/>
      <c r="AB444" s="266"/>
      <c r="AC444" s="254"/>
      <c r="AD444" s="255" t="str">
        <f>IF(ISBLANK(AC444), "", VLOOKUP(AC444, Z!$A$2:$C$4127, 3, FALSE))</f>
        <v/>
      </c>
      <c r="AE444" s="270"/>
      <c r="AF444" s="265">
        <f t="shared" si="634"/>
        <v>0</v>
      </c>
      <c r="AG444" s="246"/>
      <c r="AH444" s="228">
        <f t="shared" si="657"/>
        <v>1</v>
      </c>
      <c r="AI444" s="228">
        <f t="shared" si="658"/>
        <v>1</v>
      </c>
      <c r="AJ444" s="228">
        <f t="shared" si="659"/>
        <v>0</v>
      </c>
      <c r="AK444" s="228">
        <v>0</v>
      </c>
      <c r="AL444" s="228">
        <v>0</v>
      </c>
      <c r="AM444" s="228">
        <f t="shared" si="635"/>
        <v>-100</v>
      </c>
      <c r="AN444" s="228" cm="1">
        <f t="array" ref="AN444">IF(ISBLANK(G444), 1, IFERROR(MATCH(G444, INDEX(Kat,,1), 0), IFERROR(MATCH(Kat, INDEX(Use,,2), 0), MATCH(Kat, INDEX(Use,,3), 0))))</f>
        <v>1</v>
      </c>
      <c r="AO444" s="246"/>
      <c r="AP444" s="228" cm="1">
        <f t="array" ref="AP444">IF(W444&gt;0, INDEX(Kat, AN444,4), 0)</f>
        <v>0</v>
      </c>
      <c r="AQ444" s="228">
        <f t="shared" si="660"/>
        <v>0</v>
      </c>
      <c r="AR444" s="228" cm="1">
        <f t="array" ref="AR444">IF(X444&gt;0, INDEX(Kat, $AN444, 4+AQ444), 0)</f>
        <v>0</v>
      </c>
      <c r="AS444" s="228" cm="1">
        <f t="array" ref="AS444">IF(X444&gt;0, INDEX(Kat, $AN444, 9+AQ444), 0)</f>
        <v>0</v>
      </c>
      <c r="AT444" s="246"/>
      <c r="AU444" s="262"/>
      <c r="AV444" s="262"/>
      <c r="AW444" s="263"/>
      <c r="AX444" s="263"/>
      <c r="AY444" s="263"/>
      <c r="AZ444" s="263"/>
      <c r="BA444" s="263"/>
      <c r="BB444" s="263"/>
      <c r="BC444" s="263"/>
      <c r="BD444" s="263"/>
      <c r="BE444" s="263"/>
      <c r="BF444" s="263"/>
      <c r="BG444" s="263"/>
      <c r="BH444" s="246"/>
      <c r="BI444" s="228" cm="1">
        <f t="array" ref="BI444">INDEX(Use, $AH444, 4)</f>
        <v>7</v>
      </c>
      <c r="BJ444" s="228">
        <f t="shared" si="636"/>
        <v>32</v>
      </c>
      <c r="BK444" s="228">
        <f t="shared" si="624"/>
        <v>13</v>
      </c>
      <c r="BL444" s="228">
        <f t="shared" si="625"/>
        <v>0</v>
      </c>
      <c r="BM444" s="233" cm="1">
        <f t="array" ref="BM444">L444/IF($M444&gt;0, INDEX($AY$22:$BE$76, $M444+20, $AH444), 1)</f>
        <v>0</v>
      </c>
      <c r="BN444" s="229">
        <f t="shared" si="637"/>
        <v>0</v>
      </c>
      <c r="BO444" s="228">
        <v>35</v>
      </c>
      <c r="BP444" s="229">
        <f t="shared" si="638"/>
        <v>48</v>
      </c>
      <c r="BQ444" s="234">
        <f t="shared" si="639"/>
        <v>3.0748170731707316</v>
      </c>
      <c r="BR444" s="234" cm="1">
        <f t="array" ref="BR444">$BM444 * SUMPRODUCT(INDEX($AV$76:$AX$81,,$AI444),INDEX($AY$76:$BE$81,,$AH444), N($AU$76:$AU$81&gt;$AM444)) / BQ444 / 1000</f>
        <v>0</v>
      </c>
      <c r="BS444" s="231">
        <f t="shared" si="626"/>
        <v>30</v>
      </c>
      <c r="BT444" s="229">
        <f t="shared" si="640"/>
        <v>43</v>
      </c>
      <c r="BU444" s="234">
        <f t="shared" si="641"/>
        <v>3.5018750000000001</v>
      </c>
      <c r="BV444" s="234" cm="1">
        <f t="array" ref="BV444">$BM444 * IF($AH444&lt;=2,
SUMPRODUCT(INDEX($AV$71:$AX$75,,$AI444), INDEX($AY$71:$BE$75,,$AH444), 1 / ($BF$71:$BF$75*BU444 + (1-$BF$71:$BF$75)*BQ444), N($AU$71:$AU$75&gt;$AM444)),
SUMPRODUCT(INDEX($AV$66:$AX$75,,$AI444), INDEX($AY$66:$BE$75,,$AH444), 1 / ($BG$66:$BG$75*BU444 + (1-$BG$66:$BG$75)*BQ444), N($AU$66:$AU$75&gt;$AM444))
) / 1000</f>
        <v>0</v>
      </c>
      <c r="BW444" s="231">
        <f t="shared" si="627"/>
        <v>25</v>
      </c>
      <c r="BX444" s="229">
        <f t="shared" si="642"/>
        <v>38</v>
      </c>
      <c r="BY444" s="234">
        <f t="shared" si="643"/>
        <v>4.0666935483870965</v>
      </c>
      <c r="BZ444" s="234" cm="1">
        <f t="array" ref="BZ444">$BM444 * IF($AH444&lt;=2,
SUMPRODUCT(INDEX($AV$66:$AX$70,,$AI444), INDEX($AY$66:$BE$70,,$AH444), 1 / ($BF$66:$BF$70*BY444 + (1-$BF$66:$BF$70)*BU444), N($AU$66:$AU$70&gt;$AM444)),
SUMPRODUCT(INDEX($AV$56:$AX$65,,$AI444), INDEX($AY$56:$BE$65,,$AH444), 1 / ($BG$56:$BG$65*BY444 + (1-$BG$56:$BG$65)*BU444), N($AU$56:$AU$65&gt;$AM444))
) / 1000</f>
        <v>0</v>
      </c>
      <c r="CA444" s="231">
        <f t="shared" si="628"/>
        <v>20</v>
      </c>
      <c r="CB444" s="229">
        <f t="shared" si="644"/>
        <v>33</v>
      </c>
      <c r="CC444" s="234">
        <f t="shared" si="645"/>
        <v>4.8487499999999999</v>
      </c>
      <c r="CD444" s="234" cm="1">
        <f t="array" ref="CD444">$BM444 * IF($AH444&lt;=2,
SUMPRODUCT(INDEX($AV$61:$AX$65,,$AI444), INDEX($AY$61:$BE$65,,$AH444), 1 / ($BF$61:$BF$65*CC444 + (1-$BF$61:$BF$65)*BY444), N($AU$61:$AU$65&gt;$AM444)),
SUMPRODUCT(INDEX($AV$46:$AX$55,,$AI444), INDEX($AY$46:$BE$55,,$AH444), 1 / ($BG$46:$BG$55*CC444 + (1-$BG$46:$BG$55)*BY444), N($AU$46:$AU$55&gt;$AM444))
) / 1000</f>
        <v>0</v>
      </c>
      <c r="CE444" s="234" cm="1">
        <f t="array" ref="CE444">$BM444 * IF($AH444&lt;=2,
SUMPRODUCT(INDEX($AV$22:$AX$60,,$AI444), INDEX($AY$22:$BE$60,,$AH444), 1 / ($BF$22:$BF$60*CC444), N($AU$22:$AU$60&gt;$AM444)),
SUMPRODUCT(INDEX($AV$22:$AX$45,,$AI444), INDEX($AY$22:$BE$45,,$AH444), 1 / ($BG$22:$BG$45*CC444), N($AU$22:$AU$45&gt;$AM444))
) / 1000</f>
        <v>0</v>
      </c>
      <c r="CF444" s="229">
        <f t="shared" si="646"/>
        <v>0</v>
      </c>
      <c r="CG444" s="246"/>
      <c r="CH444" s="229">
        <f t="shared" si="647"/>
        <v>0</v>
      </c>
      <c r="CI444" s="228">
        <v>35</v>
      </c>
      <c r="CJ444" s="229">
        <f t="shared" si="648"/>
        <v>48</v>
      </c>
      <c r="CK444" s="234">
        <f t="shared" si="649"/>
        <v>3.0748170731707316</v>
      </c>
      <c r="CL444" s="234" cm="1">
        <f t="array" ref="CL444">$BM444 * SUMPRODUCT(INDEX($AV$76:$AX$81,,$AI444),INDEX($AY$76:$BE$81,,$AH444), N($AU$76:$AU$81&gt;$AM444)) / CK444 / 1000</f>
        <v>0</v>
      </c>
      <c r="CM444" s="231">
        <f t="shared" si="629"/>
        <v>30</v>
      </c>
      <c r="CN444" s="229">
        <f t="shared" si="650"/>
        <v>43</v>
      </c>
      <c r="CO444" s="234">
        <f t="shared" si="651"/>
        <v>3.5018750000000001</v>
      </c>
      <c r="CP444" s="234" cm="1">
        <f t="array" ref="CP444">$BM444 * IF($AH444&lt;=2,
SUMPRODUCT(INDEX($AV$71:$AX$75,,$AI444), INDEX($AY$71:$BE$75,,$AH444), 1 / ($BF$71:$BF$75*CO444 + (1-$BF$71:$BF$75)*CK444), N($AU$71:$AU$75&gt;$AM444)),
SUMPRODUCT(INDEX($AV$66:$AX$75,,$AI444), INDEX($AY$66:$BE$75,,$AH444), 1 / ($BG$66:$BG$75*CO444 + (1-$BG$66:$BG$75)*CK444), N($AU$66:$AU$75&gt;$AM444))
) / 1000</f>
        <v>0</v>
      </c>
      <c r="CQ444" s="231">
        <f t="shared" si="630"/>
        <v>25</v>
      </c>
      <c r="CR444" s="229">
        <f t="shared" si="652"/>
        <v>38</v>
      </c>
      <c r="CS444" s="234">
        <f t="shared" si="653"/>
        <v>4.0666935483870965</v>
      </c>
      <c r="CT444" s="234" cm="1">
        <f t="array" ref="CT444">$BM444 * IF($AH444&lt;=2,
SUMPRODUCT(INDEX($AV$66:$AX$70,,$AI444), INDEX($AY$66:$BE$70,,$AH444), 1 / ($BF$66:$BF$70*CS444 + (1-$BF$66:$BF$70)*CO444), N($AU$66:$AU$70&gt;$AM444)),
SUMPRODUCT(INDEX($AV$56:$AX$65,,$AI444), INDEX($AY$56:$BE$65,,$AH444), 1 / ($BG$56:$BG$65*CS444 + (1-$BG$56:$BG$65)*CO444), N($AU$56:$AU$65&gt;$AM444))
) / 1000</f>
        <v>0</v>
      </c>
      <c r="CU444" s="231">
        <f t="shared" si="631"/>
        <v>20</v>
      </c>
      <c r="CV444" s="229">
        <f t="shared" si="654"/>
        <v>33</v>
      </c>
      <c r="CW444" s="234">
        <f t="shared" si="655"/>
        <v>4.8487499999999999</v>
      </c>
      <c r="CX444" s="234" cm="1">
        <f t="array" ref="CX444">$BM444 * IF($AH444&lt;=2,
SUMPRODUCT(INDEX($AV$61:$AX$65,,$AI444), INDEX($AY$61:$BE$65,,$AH444), 1 / ($BF$61:$BF$65*CW444 + (1-$BF$61:$BF$65)*CS444), N($AU$61:$AU$65&gt;$AM444)),
SUMPRODUCT(INDEX($AV$46:$AX$55,,$AI444), INDEX($AY$46:$BE$55,,$AH444), 1 / ($BG$46:$BG$55*CW444 + (1-$BG$46:$BG$55)*CS444), N($AU$46:$AU$55&gt;$AM444))
) / 1000</f>
        <v>0</v>
      </c>
      <c r="CY444" s="234" cm="1">
        <f t="array" ref="CY444">$BM444 * IF($AH444&lt;=2,
SUMPRODUCT(INDEX($AV$22:$AX$60,,$AI444), INDEX($AY$22:$BE$60,,$AH444), 1 / ($BF$22:$BF$60*CW444), N($AU$22:$AU$60&gt;$AM444)),
SUMPRODUCT(INDEX($AV$22:$AX$45,,$AI444), INDEX($AY$22:$BE$45,,$AH444), 1 / ($BG$22:$BG$45*CW444), N($AU$22:$AU$45&gt;$AM444))
) / 1000</f>
        <v>0</v>
      </c>
      <c r="CZ444" s="229">
        <f t="shared" si="656"/>
        <v>0</v>
      </c>
      <c r="DA444" s="246"/>
    </row>
    <row r="445" spans="1:105" s="75" customFormat="1" ht="14.25" customHeight="1" x14ac:dyDescent="0.2">
      <c r="A445" s="230" t="b">
        <f t="shared" si="623"/>
        <v>0</v>
      </c>
      <c r="B445" s="253">
        <v>424</v>
      </c>
      <c r="C445" s="266"/>
      <c r="D445" s="266"/>
      <c r="E445" s="254"/>
      <c r="F445" s="255" t="str">
        <f>IF(ISBLANK(E445), "", VLOOKUP(E445, Z!$A$2:$C$4127, 3, FALSE))</f>
        <v/>
      </c>
      <c r="G445" s="256"/>
      <c r="H445" s="256"/>
      <c r="I445" s="256"/>
      <c r="J445" s="257"/>
      <c r="K445" s="258"/>
      <c r="L445" s="267"/>
      <c r="M445" s="268"/>
      <c r="N445" s="259" t="str" cm="1">
        <f t="array" ref="N445">IF($L445&gt;0, INDEX(Clean,1+AK445,$D$1), "")</f>
        <v/>
      </c>
      <c r="O445" s="260"/>
      <c r="P445" s="260"/>
      <c r="Q445" s="261"/>
      <c r="R445" s="264">
        <f t="shared" si="632"/>
        <v>0</v>
      </c>
      <c r="S445" s="259" t="str" cm="1">
        <f t="array" ref="S445">IF($L445&gt;0, INDEX(Clean,1+AL445,$D$1), "")</f>
        <v/>
      </c>
      <c r="T445" s="260"/>
      <c r="U445" s="260"/>
      <c r="V445" s="261"/>
      <c r="W445" s="267"/>
      <c r="X445" s="267"/>
      <c r="Y445" s="257"/>
      <c r="Z445" s="264">
        <f t="shared" si="633"/>
        <v>0</v>
      </c>
      <c r="AA445" s="269"/>
      <c r="AB445" s="266"/>
      <c r="AC445" s="254"/>
      <c r="AD445" s="255" t="str">
        <f>IF(ISBLANK(AC445), "", VLOOKUP(AC445, Z!$A$2:$C$4127, 3, FALSE))</f>
        <v/>
      </c>
      <c r="AE445" s="270"/>
      <c r="AF445" s="265">
        <f t="shared" si="634"/>
        <v>0</v>
      </c>
      <c r="AG445" s="246"/>
      <c r="AH445" s="228">
        <f t="shared" si="657"/>
        <v>1</v>
      </c>
      <c r="AI445" s="228">
        <f t="shared" si="658"/>
        <v>1</v>
      </c>
      <c r="AJ445" s="228">
        <f t="shared" si="659"/>
        <v>0</v>
      </c>
      <c r="AK445" s="228">
        <v>0</v>
      </c>
      <c r="AL445" s="228">
        <v>0</v>
      </c>
      <c r="AM445" s="228">
        <f t="shared" si="635"/>
        <v>-100</v>
      </c>
      <c r="AN445" s="228" cm="1">
        <f t="array" ref="AN445">IF(ISBLANK(G445), 1, IFERROR(MATCH(G445, INDEX(Kat,,1), 0), IFERROR(MATCH(Kat, INDEX(Use,,2), 0), MATCH(Kat, INDEX(Use,,3), 0))))</f>
        <v>1</v>
      </c>
      <c r="AO445" s="246"/>
      <c r="AP445" s="228" cm="1">
        <f t="array" ref="AP445">IF(W445&gt;0, INDEX(Kat, AN445,4), 0)</f>
        <v>0</v>
      </c>
      <c r="AQ445" s="228">
        <f t="shared" si="660"/>
        <v>0</v>
      </c>
      <c r="AR445" s="228" cm="1">
        <f t="array" ref="AR445">IF(X445&gt;0, INDEX(Kat, $AN445, 4+AQ445), 0)</f>
        <v>0</v>
      </c>
      <c r="AS445" s="228" cm="1">
        <f t="array" ref="AS445">IF(X445&gt;0, INDEX(Kat, $AN445, 9+AQ445), 0)</f>
        <v>0</v>
      </c>
      <c r="AT445" s="246"/>
      <c r="AU445" s="262"/>
      <c r="AV445" s="262"/>
      <c r="AW445" s="263"/>
      <c r="AX445" s="263"/>
      <c r="AY445" s="263"/>
      <c r="AZ445" s="263"/>
      <c r="BA445" s="263"/>
      <c r="BB445" s="263"/>
      <c r="BC445" s="263"/>
      <c r="BD445" s="263"/>
      <c r="BE445" s="263"/>
      <c r="BF445" s="263"/>
      <c r="BG445" s="263"/>
      <c r="BH445" s="246"/>
      <c r="BI445" s="228" cm="1">
        <f t="array" ref="BI445">INDEX(Use, $AH445, 4)</f>
        <v>7</v>
      </c>
      <c r="BJ445" s="228">
        <f t="shared" si="636"/>
        <v>32</v>
      </c>
      <c r="BK445" s="228">
        <f t="shared" si="624"/>
        <v>13</v>
      </c>
      <c r="BL445" s="228">
        <f t="shared" si="625"/>
        <v>0</v>
      </c>
      <c r="BM445" s="233" cm="1">
        <f t="array" ref="BM445">L445/IF($M445&gt;0, INDEX($AY$22:$BE$76, $M445+20, $AH445), 1)</f>
        <v>0</v>
      </c>
      <c r="BN445" s="229">
        <f t="shared" si="637"/>
        <v>0</v>
      </c>
      <c r="BO445" s="228">
        <v>35</v>
      </c>
      <c r="BP445" s="229">
        <f t="shared" si="638"/>
        <v>48</v>
      </c>
      <c r="BQ445" s="234">
        <f t="shared" si="639"/>
        <v>3.0748170731707316</v>
      </c>
      <c r="BR445" s="234" cm="1">
        <f t="array" ref="BR445">$BM445 * SUMPRODUCT(INDEX($AV$76:$AX$81,,$AI445),INDEX($AY$76:$BE$81,,$AH445), N($AU$76:$AU$81&gt;$AM445)) / BQ445 / 1000</f>
        <v>0</v>
      </c>
      <c r="BS445" s="231">
        <f t="shared" si="626"/>
        <v>30</v>
      </c>
      <c r="BT445" s="229">
        <f t="shared" si="640"/>
        <v>43</v>
      </c>
      <c r="BU445" s="234">
        <f t="shared" si="641"/>
        <v>3.5018750000000001</v>
      </c>
      <c r="BV445" s="234" cm="1">
        <f t="array" ref="BV445">$BM445 * IF($AH445&lt;=2,
SUMPRODUCT(INDEX($AV$71:$AX$75,,$AI445), INDEX($AY$71:$BE$75,,$AH445), 1 / ($BF$71:$BF$75*BU445 + (1-$BF$71:$BF$75)*BQ445), N($AU$71:$AU$75&gt;$AM445)),
SUMPRODUCT(INDEX($AV$66:$AX$75,,$AI445), INDEX($AY$66:$BE$75,,$AH445), 1 / ($BG$66:$BG$75*BU445 + (1-$BG$66:$BG$75)*BQ445), N($AU$66:$AU$75&gt;$AM445))
) / 1000</f>
        <v>0</v>
      </c>
      <c r="BW445" s="231">
        <f t="shared" si="627"/>
        <v>25</v>
      </c>
      <c r="BX445" s="229">
        <f t="shared" si="642"/>
        <v>38</v>
      </c>
      <c r="BY445" s="234">
        <f t="shared" si="643"/>
        <v>4.0666935483870965</v>
      </c>
      <c r="BZ445" s="234" cm="1">
        <f t="array" ref="BZ445">$BM445 * IF($AH445&lt;=2,
SUMPRODUCT(INDEX($AV$66:$AX$70,,$AI445), INDEX($AY$66:$BE$70,,$AH445), 1 / ($BF$66:$BF$70*BY445 + (1-$BF$66:$BF$70)*BU445), N($AU$66:$AU$70&gt;$AM445)),
SUMPRODUCT(INDEX($AV$56:$AX$65,,$AI445), INDEX($AY$56:$BE$65,,$AH445), 1 / ($BG$56:$BG$65*BY445 + (1-$BG$56:$BG$65)*BU445), N($AU$56:$AU$65&gt;$AM445))
) / 1000</f>
        <v>0</v>
      </c>
      <c r="CA445" s="231">
        <f t="shared" si="628"/>
        <v>20</v>
      </c>
      <c r="CB445" s="229">
        <f t="shared" si="644"/>
        <v>33</v>
      </c>
      <c r="CC445" s="234">
        <f t="shared" si="645"/>
        <v>4.8487499999999999</v>
      </c>
      <c r="CD445" s="234" cm="1">
        <f t="array" ref="CD445">$BM445 * IF($AH445&lt;=2,
SUMPRODUCT(INDEX($AV$61:$AX$65,,$AI445), INDEX($AY$61:$BE$65,,$AH445), 1 / ($BF$61:$BF$65*CC445 + (1-$BF$61:$BF$65)*BY445), N($AU$61:$AU$65&gt;$AM445)),
SUMPRODUCT(INDEX($AV$46:$AX$55,,$AI445), INDEX($AY$46:$BE$55,,$AH445), 1 / ($BG$46:$BG$55*CC445 + (1-$BG$46:$BG$55)*BY445), N($AU$46:$AU$55&gt;$AM445))
) / 1000</f>
        <v>0</v>
      </c>
      <c r="CE445" s="234" cm="1">
        <f t="array" ref="CE445">$BM445 * IF($AH445&lt;=2,
SUMPRODUCT(INDEX($AV$22:$AX$60,,$AI445), INDEX($AY$22:$BE$60,,$AH445), 1 / ($BF$22:$BF$60*CC445), N($AU$22:$AU$60&gt;$AM445)),
SUMPRODUCT(INDEX($AV$22:$AX$45,,$AI445), INDEX($AY$22:$BE$45,,$AH445), 1 / ($BG$22:$BG$45*CC445), N($AU$22:$AU$45&gt;$AM445))
) / 1000</f>
        <v>0</v>
      </c>
      <c r="CF445" s="229">
        <f t="shared" si="646"/>
        <v>0</v>
      </c>
      <c r="CG445" s="246"/>
      <c r="CH445" s="229">
        <f t="shared" si="647"/>
        <v>0</v>
      </c>
      <c r="CI445" s="228">
        <v>35</v>
      </c>
      <c r="CJ445" s="229">
        <f t="shared" si="648"/>
        <v>48</v>
      </c>
      <c r="CK445" s="234">
        <f t="shared" si="649"/>
        <v>3.0748170731707316</v>
      </c>
      <c r="CL445" s="234" cm="1">
        <f t="array" ref="CL445">$BM445 * SUMPRODUCT(INDEX($AV$76:$AX$81,,$AI445),INDEX($AY$76:$BE$81,,$AH445), N($AU$76:$AU$81&gt;$AM445)) / CK445 / 1000</f>
        <v>0</v>
      </c>
      <c r="CM445" s="231">
        <f t="shared" si="629"/>
        <v>30</v>
      </c>
      <c r="CN445" s="229">
        <f t="shared" si="650"/>
        <v>43</v>
      </c>
      <c r="CO445" s="234">
        <f t="shared" si="651"/>
        <v>3.5018750000000001</v>
      </c>
      <c r="CP445" s="234" cm="1">
        <f t="array" ref="CP445">$BM445 * IF($AH445&lt;=2,
SUMPRODUCT(INDEX($AV$71:$AX$75,,$AI445), INDEX($AY$71:$BE$75,,$AH445), 1 / ($BF$71:$BF$75*CO445 + (1-$BF$71:$BF$75)*CK445), N($AU$71:$AU$75&gt;$AM445)),
SUMPRODUCT(INDEX($AV$66:$AX$75,,$AI445), INDEX($AY$66:$BE$75,,$AH445), 1 / ($BG$66:$BG$75*CO445 + (1-$BG$66:$BG$75)*CK445), N($AU$66:$AU$75&gt;$AM445))
) / 1000</f>
        <v>0</v>
      </c>
      <c r="CQ445" s="231">
        <f t="shared" si="630"/>
        <v>25</v>
      </c>
      <c r="CR445" s="229">
        <f t="shared" si="652"/>
        <v>38</v>
      </c>
      <c r="CS445" s="234">
        <f t="shared" si="653"/>
        <v>4.0666935483870965</v>
      </c>
      <c r="CT445" s="234" cm="1">
        <f t="array" ref="CT445">$BM445 * IF($AH445&lt;=2,
SUMPRODUCT(INDEX($AV$66:$AX$70,,$AI445), INDEX($AY$66:$BE$70,,$AH445), 1 / ($BF$66:$BF$70*CS445 + (1-$BF$66:$BF$70)*CO445), N($AU$66:$AU$70&gt;$AM445)),
SUMPRODUCT(INDEX($AV$56:$AX$65,,$AI445), INDEX($AY$56:$BE$65,,$AH445), 1 / ($BG$56:$BG$65*CS445 + (1-$BG$56:$BG$65)*CO445), N($AU$56:$AU$65&gt;$AM445))
) / 1000</f>
        <v>0</v>
      </c>
      <c r="CU445" s="231">
        <f t="shared" si="631"/>
        <v>20</v>
      </c>
      <c r="CV445" s="229">
        <f t="shared" si="654"/>
        <v>33</v>
      </c>
      <c r="CW445" s="234">
        <f t="shared" si="655"/>
        <v>4.8487499999999999</v>
      </c>
      <c r="CX445" s="234" cm="1">
        <f t="array" ref="CX445">$BM445 * IF($AH445&lt;=2,
SUMPRODUCT(INDEX($AV$61:$AX$65,,$AI445), INDEX($AY$61:$BE$65,,$AH445), 1 / ($BF$61:$BF$65*CW445 + (1-$BF$61:$BF$65)*CS445), N($AU$61:$AU$65&gt;$AM445)),
SUMPRODUCT(INDEX($AV$46:$AX$55,,$AI445), INDEX($AY$46:$BE$55,,$AH445), 1 / ($BG$46:$BG$55*CW445 + (1-$BG$46:$BG$55)*CS445), N($AU$46:$AU$55&gt;$AM445))
) / 1000</f>
        <v>0</v>
      </c>
      <c r="CY445" s="234" cm="1">
        <f t="array" ref="CY445">$BM445 * IF($AH445&lt;=2,
SUMPRODUCT(INDEX($AV$22:$AX$60,,$AI445), INDEX($AY$22:$BE$60,,$AH445), 1 / ($BF$22:$BF$60*CW445), N($AU$22:$AU$60&gt;$AM445)),
SUMPRODUCT(INDEX($AV$22:$AX$45,,$AI445), INDEX($AY$22:$BE$45,,$AH445), 1 / ($BG$22:$BG$45*CW445), N($AU$22:$AU$45&gt;$AM445))
) / 1000</f>
        <v>0</v>
      </c>
      <c r="CZ445" s="229">
        <f t="shared" si="656"/>
        <v>0</v>
      </c>
      <c r="DA445" s="246"/>
    </row>
    <row r="446" spans="1:105" s="75" customFormat="1" ht="14.25" customHeight="1" x14ac:dyDescent="0.2">
      <c r="A446" s="230" t="b">
        <f t="shared" si="623"/>
        <v>0</v>
      </c>
      <c r="B446" s="253">
        <v>425</v>
      </c>
      <c r="C446" s="266"/>
      <c r="D446" s="266"/>
      <c r="E446" s="254"/>
      <c r="F446" s="255" t="str">
        <f>IF(ISBLANK(E446), "", VLOOKUP(E446, Z!$A$2:$C$4127, 3, FALSE))</f>
        <v/>
      </c>
      <c r="G446" s="256"/>
      <c r="H446" s="256"/>
      <c r="I446" s="256"/>
      <c r="J446" s="257"/>
      <c r="K446" s="258"/>
      <c r="L446" s="267"/>
      <c r="M446" s="268"/>
      <c r="N446" s="259" t="str" cm="1">
        <f t="array" ref="N446">IF($L446&gt;0, INDEX(Clean,1+AK446,$D$1), "")</f>
        <v/>
      </c>
      <c r="O446" s="260"/>
      <c r="P446" s="260"/>
      <c r="Q446" s="261"/>
      <c r="R446" s="264">
        <f t="shared" si="632"/>
        <v>0</v>
      </c>
      <c r="S446" s="259" t="str" cm="1">
        <f t="array" ref="S446">IF($L446&gt;0, INDEX(Clean,1+AL446,$D$1), "")</f>
        <v/>
      </c>
      <c r="T446" s="260"/>
      <c r="U446" s="260"/>
      <c r="V446" s="261"/>
      <c r="W446" s="267"/>
      <c r="X446" s="267"/>
      <c r="Y446" s="257"/>
      <c r="Z446" s="264">
        <f t="shared" si="633"/>
        <v>0</v>
      </c>
      <c r="AA446" s="269"/>
      <c r="AB446" s="266"/>
      <c r="AC446" s="254"/>
      <c r="AD446" s="255" t="str">
        <f>IF(ISBLANK(AC446), "", VLOOKUP(AC446, Z!$A$2:$C$4127, 3, FALSE))</f>
        <v/>
      </c>
      <c r="AE446" s="270"/>
      <c r="AF446" s="265">
        <f t="shared" si="634"/>
        <v>0</v>
      </c>
      <c r="AG446" s="246"/>
      <c r="AH446" s="228">
        <f t="shared" si="657"/>
        <v>1</v>
      </c>
      <c r="AI446" s="228">
        <f t="shared" si="658"/>
        <v>1</v>
      </c>
      <c r="AJ446" s="228">
        <f t="shared" si="659"/>
        <v>0</v>
      </c>
      <c r="AK446" s="228">
        <v>0</v>
      </c>
      <c r="AL446" s="228">
        <v>0</v>
      </c>
      <c r="AM446" s="228">
        <f t="shared" si="635"/>
        <v>-100</v>
      </c>
      <c r="AN446" s="228" cm="1">
        <f t="array" ref="AN446">IF(ISBLANK(G446), 1, IFERROR(MATCH(G446, INDEX(Kat,,1), 0), IFERROR(MATCH(Kat, INDEX(Use,,2), 0), MATCH(Kat, INDEX(Use,,3), 0))))</f>
        <v>1</v>
      </c>
      <c r="AO446" s="246"/>
      <c r="AP446" s="228" cm="1">
        <f t="array" ref="AP446">IF(W446&gt;0, INDEX(Kat, AN446,4), 0)</f>
        <v>0</v>
      </c>
      <c r="AQ446" s="228">
        <f t="shared" si="660"/>
        <v>0</v>
      </c>
      <c r="AR446" s="228" cm="1">
        <f t="array" ref="AR446">IF(X446&gt;0, INDEX(Kat, $AN446, 4+AQ446), 0)</f>
        <v>0</v>
      </c>
      <c r="AS446" s="228" cm="1">
        <f t="array" ref="AS446">IF(X446&gt;0, INDEX(Kat, $AN446, 9+AQ446), 0)</f>
        <v>0</v>
      </c>
      <c r="AT446" s="246"/>
      <c r="AU446" s="262"/>
      <c r="AV446" s="262"/>
      <c r="AW446" s="263"/>
      <c r="AX446" s="263"/>
      <c r="AY446" s="263"/>
      <c r="AZ446" s="263"/>
      <c r="BA446" s="263"/>
      <c r="BB446" s="263"/>
      <c r="BC446" s="263"/>
      <c r="BD446" s="263"/>
      <c r="BE446" s="263"/>
      <c r="BF446" s="263"/>
      <c r="BG446" s="263"/>
      <c r="BH446" s="246"/>
      <c r="BI446" s="228" cm="1">
        <f t="array" ref="BI446">INDEX(Use, $AH446, 4)</f>
        <v>7</v>
      </c>
      <c r="BJ446" s="228">
        <f t="shared" si="636"/>
        <v>32</v>
      </c>
      <c r="BK446" s="228">
        <f t="shared" si="624"/>
        <v>13</v>
      </c>
      <c r="BL446" s="228">
        <f t="shared" si="625"/>
        <v>0</v>
      </c>
      <c r="BM446" s="233" cm="1">
        <f t="array" ref="BM446">L446/IF($M446&gt;0, INDEX($AY$22:$BE$76, $M446+20, $AH446), 1)</f>
        <v>0</v>
      </c>
      <c r="BN446" s="229">
        <f t="shared" si="637"/>
        <v>0</v>
      </c>
      <c r="BO446" s="228">
        <v>35</v>
      </c>
      <c r="BP446" s="229">
        <f t="shared" si="638"/>
        <v>48</v>
      </c>
      <c r="BQ446" s="234">
        <f t="shared" si="639"/>
        <v>3.0748170731707316</v>
      </c>
      <c r="BR446" s="234" cm="1">
        <f t="array" ref="BR446">$BM446 * SUMPRODUCT(INDEX($AV$76:$AX$81,,$AI446),INDEX($AY$76:$BE$81,,$AH446), N($AU$76:$AU$81&gt;$AM446)) / BQ446 / 1000</f>
        <v>0</v>
      </c>
      <c r="BS446" s="231">
        <f t="shared" si="626"/>
        <v>30</v>
      </c>
      <c r="BT446" s="229">
        <f t="shared" si="640"/>
        <v>43</v>
      </c>
      <c r="BU446" s="234">
        <f t="shared" si="641"/>
        <v>3.5018750000000001</v>
      </c>
      <c r="BV446" s="234" cm="1">
        <f t="array" ref="BV446">$BM446 * IF($AH446&lt;=2,
SUMPRODUCT(INDEX($AV$71:$AX$75,,$AI446), INDEX($AY$71:$BE$75,,$AH446), 1 / ($BF$71:$BF$75*BU446 + (1-$BF$71:$BF$75)*BQ446), N($AU$71:$AU$75&gt;$AM446)),
SUMPRODUCT(INDEX($AV$66:$AX$75,,$AI446), INDEX($AY$66:$BE$75,,$AH446), 1 / ($BG$66:$BG$75*BU446 + (1-$BG$66:$BG$75)*BQ446), N($AU$66:$AU$75&gt;$AM446))
) / 1000</f>
        <v>0</v>
      </c>
      <c r="BW446" s="231">
        <f t="shared" si="627"/>
        <v>25</v>
      </c>
      <c r="BX446" s="229">
        <f t="shared" si="642"/>
        <v>38</v>
      </c>
      <c r="BY446" s="234">
        <f t="shared" si="643"/>
        <v>4.0666935483870965</v>
      </c>
      <c r="BZ446" s="234" cm="1">
        <f t="array" ref="BZ446">$BM446 * IF($AH446&lt;=2,
SUMPRODUCT(INDEX($AV$66:$AX$70,,$AI446), INDEX($AY$66:$BE$70,,$AH446), 1 / ($BF$66:$BF$70*BY446 + (1-$BF$66:$BF$70)*BU446), N($AU$66:$AU$70&gt;$AM446)),
SUMPRODUCT(INDEX($AV$56:$AX$65,,$AI446), INDEX($AY$56:$BE$65,,$AH446), 1 / ($BG$56:$BG$65*BY446 + (1-$BG$56:$BG$65)*BU446), N($AU$56:$AU$65&gt;$AM446))
) / 1000</f>
        <v>0</v>
      </c>
      <c r="CA446" s="231">
        <f t="shared" si="628"/>
        <v>20</v>
      </c>
      <c r="CB446" s="229">
        <f t="shared" si="644"/>
        <v>33</v>
      </c>
      <c r="CC446" s="234">
        <f t="shared" si="645"/>
        <v>4.8487499999999999</v>
      </c>
      <c r="CD446" s="234" cm="1">
        <f t="array" ref="CD446">$BM446 * IF($AH446&lt;=2,
SUMPRODUCT(INDEX($AV$61:$AX$65,,$AI446), INDEX($AY$61:$BE$65,,$AH446), 1 / ($BF$61:$BF$65*CC446 + (1-$BF$61:$BF$65)*BY446), N($AU$61:$AU$65&gt;$AM446)),
SUMPRODUCT(INDEX($AV$46:$AX$55,,$AI446), INDEX($AY$46:$BE$55,,$AH446), 1 / ($BG$46:$BG$55*CC446 + (1-$BG$46:$BG$55)*BY446), N($AU$46:$AU$55&gt;$AM446))
) / 1000</f>
        <v>0</v>
      </c>
      <c r="CE446" s="234" cm="1">
        <f t="array" ref="CE446">$BM446 * IF($AH446&lt;=2,
SUMPRODUCT(INDEX($AV$22:$AX$60,,$AI446), INDEX($AY$22:$BE$60,,$AH446), 1 / ($BF$22:$BF$60*CC446), N($AU$22:$AU$60&gt;$AM446)),
SUMPRODUCT(INDEX($AV$22:$AX$45,,$AI446), INDEX($AY$22:$BE$45,,$AH446), 1 / ($BG$22:$BG$45*CC446), N($AU$22:$AU$45&gt;$AM446))
) / 1000</f>
        <v>0</v>
      </c>
      <c r="CF446" s="229">
        <f t="shared" si="646"/>
        <v>0</v>
      </c>
      <c r="CG446" s="246"/>
      <c r="CH446" s="229">
        <f t="shared" si="647"/>
        <v>0</v>
      </c>
      <c r="CI446" s="228">
        <v>35</v>
      </c>
      <c r="CJ446" s="229">
        <f t="shared" si="648"/>
        <v>48</v>
      </c>
      <c r="CK446" s="234">
        <f t="shared" si="649"/>
        <v>3.0748170731707316</v>
      </c>
      <c r="CL446" s="234" cm="1">
        <f t="array" ref="CL446">$BM446 * SUMPRODUCT(INDEX($AV$76:$AX$81,,$AI446),INDEX($AY$76:$BE$81,,$AH446), N($AU$76:$AU$81&gt;$AM446)) / CK446 / 1000</f>
        <v>0</v>
      </c>
      <c r="CM446" s="231">
        <f t="shared" si="629"/>
        <v>30</v>
      </c>
      <c r="CN446" s="229">
        <f t="shared" si="650"/>
        <v>43</v>
      </c>
      <c r="CO446" s="234">
        <f t="shared" si="651"/>
        <v>3.5018750000000001</v>
      </c>
      <c r="CP446" s="234" cm="1">
        <f t="array" ref="CP446">$BM446 * IF($AH446&lt;=2,
SUMPRODUCT(INDEX($AV$71:$AX$75,,$AI446), INDEX($AY$71:$BE$75,,$AH446), 1 / ($BF$71:$BF$75*CO446 + (1-$BF$71:$BF$75)*CK446), N($AU$71:$AU$75&gt;$AM446)),
SUMPRODUCT(INDEX($AV$66:$AX$75,,$AI446), INDEX($AY$66:$BE$75,,$AH446), 1 / ($BG$66:$BG$75*CO446 + (1-$BG$66:$BG$75)*CK446), N($AU$66:$AU$75&gt;$AM446))
) / 1000</f>
        <v>0</v>
      </c>
      <c r="CQ446" s="231">
        <f t="shared" si="630"/>
        <v>25</v>
      </c>
      <c r="CR446" s="229">
        <f t="shared" si="652"/>
        <v>38</v>
      </c>
      <c r="CS446" s="234">
        <f t="shared" si="653"/>
        <v>4.0666935483870965</v>
      </c>
      <c r="CT446" s="234" cm="1">
        <f t="array" ref="CT446">$BM446 * IF($AH446&lt;=2,
SUMPRODUCT(INDEX($AV$66:$AX$70,,$AI446), INDEX($AY$66:$BE$70,,$AH446), 1 / ($BF$66:$BF$70*CS446 + (1-$BF$66:$BF$70)*CO446), N($AU$66:$AU$70&gt;$AM446)),
SUMPRODUCT(INDEX($AV$56:$AX$65,,$AI446), INDEX($AY$56:$BE$65,,$AH446), 1 / ($BG$56:$BG$65*CS446 + (1-$BG$56:$BG$65)*CO446), N($AU$56:$AU$65&gt;$AM446))
) / 1000</f>
        <v>0</v>
      </c>
      <c r="CU446" s="231">
        <f t="shared" si="631"/>
        <v>20</v>
      </c>
      <c r="CV446" s="229">
        <f t="shared" si="654"/>
        <v>33</v>
      </c>
      <c r="CW446" s="234">
        <f t="shared" si="655"/>
        <v>4.8487499999999999</v>
      </c>
      <c r="CX446" s="234" cm="1">
        <f t="array" ref="CX446">$BM446 * IF($AH446&lt;=2,
SUMPRODUCT(INDEX($AV$61:$AX$65,,$AI446), INDEX($AY$61:$BE$65,,$AH446), 1 / ($BF$61:$BF$65*CW446 + (1-$BF$61:$BF$65)*CS446), N($AU$61:$AU$65&gt;$AM446)),
SUMPRODUCT(INDEX($AV$46:$AX$55,,$AI446), INDEX($AY$46:$BE$55,,$AH446), 1 / ($BG$46:$BG$55*CW446 + (1-$BG$46:$BG$55)*CS446), N($AU$46:$AU$55&gt;$AM446))
) / 1000</f>
        <v>0</v>
      </c>
      <c r="CY446" s="234" cm="1">
        <f t="array" ref="CY446">$BM446 * IF($AH446&lt;=2,
SUMPRODUCT(INDEX($AV$22:$AX$60,,$AI446), INDEX($AY$22:$BE$60,,$AH446), 1 / ($BF$22:$BF$60*CW446), N($AU$22:$AU$60&gt;$AM446)),
SUMPRODUCT(INDEX($AV$22:$AX$45,,$AI446), INDEX($AY$22:$BE$45,,$AH446), 1 / ($BG$22:$BG$45*CW446), N($AU$22:$AU$45&gt;$AM446))
) / 1000</f>
        <v>0</v>
      </c>
      <c r="CZ446" s="229">
        <f t="shared" si="656"/>
        <v>0</v>
      </c>
      <c r="DA446" s="246"/>
    </row>
    <row r="447" spans="1:105" s="75" customFormat="1" ht="14.25" customHeight="1" x14ac:dyDescent="0.2">
      <c r="A447" s="230" t="b">
        <f t="shared" si="623"/>
        <v>0</v>
      </c>
      <c r="B447" s="253">
        <v>426</v>
      </c>
      <c r="C447" s="266"/>
      <c r="D447" s="266"/>
      <c r="E447" s="254"/>
      <c r="F447" s="255" t="str">
        <f>IF(ISBLANK(E447), "", VLOOKUP(E447, Z!$A$2:$C$4127, 3, FALSE))</f>
        <v/>
      </c>
      <c r="G447" s="256"/>
      <c r="H447" s="256"/>
      <c r="I447" s="256"/>
      <c r="J447" s="257"/>
      <c r="K447" s="258"/>
      <c r="L447" s="267"/>
      <c r="M447" s="268"/>
      <c r="N447" s="259" t="str" cm="1">
        <f t="array" ref="N447">IF($L447&gt;0, INDEX(Clean,1+AK447,$D$1), "")</f>
        <v/>
      </c>
      <c r="O447" s="260"/>
      <c r="P447" s="260"/>
      <c r="Q447" s="261"/>
      <c r="R447" s="264">
        <f t="shared" si="632"/>
        <v>0</v>
      </c>
      <c r="S447" s="259" t="str" cm="1">
        <f t="array" ref="S447">IF($L447&gt;0, INDEX(Clean,1+AL447,$D$1), "")</f>
        <v/>
      </c>
      <c r="T447" s="260"/>
      <c r="U447" s="260"/>
      <c r="V447" s="261"/>
      <c r="W447" s="267"/>
      <c r="X447" s="267"/>
      <c r="Y447" s="257"/>
      <c r="Z447" s="264">
        <f t="shared" si="633"/>
        <v>0</v>
      </c>
      <c r="AA447" s="269"/>
      <c r="AB447" s="266"/>
      <c r="AC447" s="254"/>
      <c r="AD447" s="255" t="str">
        <f>IF(ISBLANK(AC447), "", VLOOKUP(AC447, Z!$A$2:$C$4127, 3, FALSE))</f>
        <v/>
      </c>
      <c r="AE447" s="270"/>
      <c r="AF447" s="265">
        <f t="shared" si="634"/>
        <v>0</v>
      </c>
      <c r="AG447" s="246"/>
      <c r="AH447" s="228">
        <f t="shared" si="657"/>
        <v>1</v>
      </c>
      <c r="AI447" s="228">
        <f t="shared" si="658"/>
        <v>1</v>
      </c>
      <c r="AJ447" s="228">
        <f t="shared" si="659"/>
        <v>0</v>
      </c>
      <c r="AK447" s="228">
        <v>0</v>
      </c>
      <c r="AL447" s="228">
        <v>0</v>
      </c>
      <c r="AM447" s="228">
        <f t="shared" si="635"/>
        <v>-100</v>
      </c>
      <c r="AN447" s="228" cm="1">
        <f t="array" ref="AN447">IF(ISBLANK(G447), 1, IFERROR(MATCH(G447, INDEX(Kat,,1), 0), IFERROR(MATCH(Kat, INDEX(Use,,2), 0), MATCH(Kat, INDEX(Use,,3), 0))))</f>
        <v>1</v>
      </c>
      <c r="AO447" s="246"/>
      <c r="AP447" s="228" cm="1">
        <f t="array" ref="AP447">IF(W447&gt;0, INDEX(Kat, AN447,4), 0)</f>
        <v>0</v>
      </c>
      <c r="AQ447" s="228">
        <f t="shared" si="660"/>
        <v>0</v>
      </c>
      <c r="AR447" s="228" cm="1">
        <f t="array" ref="AR447">IF(X447&gt;0, INDEX(Kat, $AN447, 4+AQ447), 0)</f>
        <v>0</v>
      </c>
      <c r="AS447" s="228" cm="1">
        <f t="array" ref="AS447">IF(X447&gt;0, INDEX(Kat, $AN447, 9+AQ447), 0)</f>
        <v>0</v>
      </c>
      <c r="AT447" s="246"/>
      <c r="AU447" s="262"/>
      <c r="AV447" s="262"/>
      <c r="AW447" s="263"/>
      <c r="AX447" s="263"/>
      <c r="AY447" s="263"/>
      <c r="AZ447" s="263"/>
      <c r="BA447" s="263"/>
      <c r="BB447" s="263"/>
      <c r="BC447" s="263"/>
      <c r="BD447" s="263"/>
      <c r="BE447" s="263"/>
      <c r="BF447" s="263"/>
      <c r="BG447" s="263"/>
      <c r="BH447" s="246"/>
      <c r="BI447" s="228" cm="1">
        <f t="array" ref="BI447">INDEX(Use, $AH447, 4)</f>
        <v>7</v>
      </c>
      <c r="BJ447" s="228">
        <f t="shared" si="636"/>
        <v>32</v>
      </c>
      <c r="BK447" s="228">
        <f t="shared" si="624"/>
        <v>13</v>
      </c>
      <c r="BL447" s="228">
        <f t="shared" si="625"/>
        <v>0</v>
      </c>
      <c r="BM447" s="233" cm="1">
        <f t="array" ref="BM447">L447/IF($M447&gt;0, INDEX($AY$22:$BE$76, $M447+20, $AH447), 1)</f>
        <v>0</v>
      </c>
      <c r="BN447" s="229">
        <f t="shared" si="637"/>
        <v>0</v>
      </c>
      <c r="BO447" s="228">
        <v>35</v>
      </c>
      <c r="BP447" s="229">
        <f t="shared" si="638"/>
        <v>48</v>
      </c>
      <c r="BQ447" s="234">
        <f t="shared" si="639"/>
        <v>3.0748170731707316</v>
      </c>
      <c r="BR447" s="234" cm="1">
        <f t="array" ref="BR447">$BM447 * SUMPRODUCT(INDEX($AV$76:$AX$81,,$AI447),INDEX($AY$76:$BE$81,,$AH447), N($AU$76:$AU$81&gt;$AM447)) / BQ447 / 1000</f>
        <v>0</v>
      </c>
      <c r="BS447" s="231">
        <f t="shared" si="626"/>
        <v>30</v>
      </c>
      <c r="BT447" s="229">
        <f t="shared" si="640"/>
        <v>43</v>
      </c>
      <c r="BU447" s="234">
        <f t="shared" si="641"/>
        <v>3.5018750000000001</v>
      </c>
      <c r="BV447" s="234" cm="1">
        <f t="array" ref="BV447">$BM447 * IF($AH447&lt;=2,
SUMPRODUCT(INDEX($AV$71:$AX$75,,$AI447), INDEX($AY$71:$BE$75,,$AH447), 1 / ($BF$71:$BF$75*BU447 + (1-$BF$71:$BF$75)*BQ447), N($AU$71:$AU$75&gt;$AM447)),
SUMPRODUCT(INDEX($AV$66:$AX$75,,$AI447), INDEX($AY$66:$BE$75,,$AH447), 1 / ($BG$66:$BG$75*BU447 + (1-$BG$66:$BG$75)*BQ447), N($AU$66:$AU$75&gt;$AM447))
) / 1000</f>
        <v>0</v>
      </c>
      <c r="BW447" s="231">
        <f t="shared" si="627"/>
        <v>25</v>
      </c>
      <c r="BX447" s="229">
        <f t="shared" si="642"/>
        <v>38</v>
      </c>
      <c r="BY447" s="234">
        <f t="shared" si="643"/>
        <v>4.0666935483870965</v>
      </c>
      <c r="BZ447" s="234" cm="1">
        <f t="array" ref="BZ447">$BM447 * IF($AH447&lt;=2,
SUMPRODUCT(INDEX($AV$66:$AX$70,,$AI447), INDEX($AY$66:$BE$70,,$AH447), 1 / ($BF$66:$BF$70*BY447 + (1-$BF$66:$BF$70)*BU447), N($AU$66:$AU$70&gt;$AM447)),
SUMPRODUCT(INDEX($AV$56:$AX$65,,$AI447), INDEX($AY$56:$BE$65,,$AH447), 1 / ($BG$56:$BG$65*BY447 + (1-$BG$56:$BG$65)*BU447), N($AU$56:$AU$65&gt;$AM447))
) / 1000</f>
        <v>0</v>
      </c>
      <c r="CA447" s="231">
        <f t="shared" si="628"/>
        <v>20</v>
      </c>
      <c r="CB447" s="229">
        <f t="shared" si="644"/>
        <v>33</v>
      </c>
      <c r="CC447" s="234">
        <f t="shared" si="645"/>
        <v>4.8487499999999999</v>
      </c>
      <c r="CD447" s="234" cm="1">
        <f t="array" ref="CD447">$BM447 * IF($AH447&lt;=2,
SUMPRODUCT(INDEX($AV$61:$AX$65,,$AI447), INDEX($AY$61:$BE$65,,$AH447), 1 / ($BF$61:$BF$65*CC447 + (1-$BF$61:$BF$65)*BY447), N($AU$61:$AU$65&gt;$AM447)),
SUMPRODUCT(INDEX($AV$46:$AX$55,,$AI447), INDEX($AY$46:$BE$55,,$AH447), 1 / ($BG$46:$BG$55*CC447 + (1-$BG$46:$BG$55)*BY447), N($AU$46:$AU$55&gt;$AM447))
) / 1000</f>
        <v>0</v>
      </c>
      <c r="CE447" s="234" cm="1">
        <f t="array" ref="CE447">$BM447 * IF($AH447&lt;=2,
SUMPRODUCT(INDEX($AV$22:$AX$60,,$AI447), INDEX($AY$22:$BE$60,,$AH447), 1 / ($BF$22:$BF$60*CC447), N($AU$22:$AU$60&gt;$AM447)),
SUMPRODUCT(INDEX($AV$22:$AX$45,,$AI447), INDEX($AY$22:$BE$45,,$AH447), 1 / ($BG$22:$BG$45*CC447), N($AU$22:$AU$45&gt;$AM447))
) / 1000</f>
        <v>0</v>
      </c>
      <c r="CF447" s="229">
        <f t="shared" si="646"/>
        <v>0</v>
      </c>
      <c r="CG447" s="246"/>
      <c r="CH447" s="229">
        <f t="shared" si="647"/>
        <v>0</v>
      </c>
      <c r="CI447" s="228">
        <v>35</v>
      </c>
      <c r="CJ447" s="229">
        <f t="shared" si="648"/>
        <v>48</v>
      </c>
      <c r="CK447" s="234">
        <f t="shared" si="649"/>
        <v>3.0748170731707316</v>
      </c>
      <c r="CL447" s="234" cm="1">
        <f t="array" ref="CL447">$BM447 * SUMPRODUCT(INDEX($AV$76:$AX$81,,$AI447),INDEX($AY$76:$BE$81,,$AH447), N($AU$76:$AU$81&gt;$AM447)) / CK447 / 1000</f>
        <v>0</v>
      </c>
      <c r="CM447" s="231">
        <f t="shared" si="629"/>
        <v>30</v>
      </c>
      <c r="CN447" s="229">
        <f t="shared" si="650"/>
        <v>43</v>
      </c>
      <c r="CO447" s="234">
        <f t="shared" si="651"/>
        <v>3.5018750000000001</v>
      </c>
      <c r="CP447" s="234" cm="1">
        <f t="array" ref="CP447">$BM447 * IF($AH447&lt;=2,
SUMPRODUCT(INDEX($AV$71:$AX$75,,$AI447), INDEX($AY$71:$BE$75,,$AH447), 1 / ($BF$71:$BF$75*CO447 + (1-$BF$71:$BF$75)*CK447), N($AU$71:$AU$75&gt;$AM447)),
SUMPRODUCT(INDEX($AV$66:$AX$75,,$AI447), INDEX($AY$66:$BE$75,,$AH447), 1 / ($BG$66:$BG$75*CO447 + (1-$BG$66:$BG$75)*CK447), N($AU$66:$AU$75&gt;$AM447))
) / 1000</f>
        <v>0</v>
      </c>
      <c r="CQ447" s="231">
        <f t="shared" si="630"/>
        <v>25</v>
      </c>
      <c r="CR447" s="229">
        <f t="shared" si="652"/>
        <v>38</v>
      </c>
      <c r="CS447" s="234">
        <f t="shared" si="653"/>
        <v>4.0666935483870965</v>
      </c>
      <c r="CT447" s="234" cm="1">
        <f t="array" ref="CT447">$BM447 * IF($AH447&lt;=2,
SUMPRODUCT(INDEX($AV$66:$AX$70,,$AI447), INDEX($AY$66:$BE$70,,$AH447), 1 / ($BF$66:$BF$70*CS447 + (1-$BF$66:$BF$70)*CO447), N($AU$66:$AU$70&gt;$AM447)),
SUMPRODUCT(INDEX($AV$56:$AX$65,,$AI447), INDEX($AY$56:$BE$65,,$AH447), 1 / ($BG$56:$BG$65*CS447 + (1-$BG$56:$BG$65)*CO447), N($AU$56:$AU$65&gt;$AM447))
) / 1000</f>
        <v>0</v>
      </c>
      <c r="CU447" s="231">
        <f t="shared" si="631"/>
        <v>20</v>
      </c>
      <c r="CV447" s="229">
        <f t="shared" si="654"/>
        <v>33</v>
      </c>
      <c r="CW447" s="234">
        <f t="shared" si="655"/>
        <v>4.8487499999999999</v>
      </c>
      <c r="CX447" s="234" cm="1">
        <f t="array" ref="CX447">$BM447 * IF($AH447&lt;=2,
SUMPRODUCT(INDEX($AV$61:$AX$65,,$AI447), INDEX($AY$61:$BE$65,,$AH447), 1 / ($BF$61:$BF$65*CW447 + (1-$BF$61:$BF$65)*CS447), N($AU$61:$AU$65&gt;$AM447)),
SUMPRODUCT(INDEX($AV$46:$AX$55,,$AI447), INDEX($AY$46:$BE$55,,$AH447), 1 / ($BG$46:$BG$55*CW447 + (1-$BG$46:$BG$55)*CS447), N($AU$46:$AU$55&gt;$AM447))
) / 1000</f>
        <v>0</v>
      </c>
      <c r="CY447" s="234" cm="1">
        <f t="array" ref="CY447">$BM447 * IF($AH447&lt;=2,
SUMPRODUCT(INDEX($AV$22:$AX$60,,$AI447), INDEX($AY$22:$BE$60,,$AH447), 1 / ($BF$22:$BF$60*CW447), N($AU$22:$AU$60&gt;$AM447)),
SUMPRODUCT(INDEX($AV$22:$AX$45,,$AI447), INDEX($AY$22:$BE$45,,$AH447), 1 / ($BG$22:$BG$45*CW447), N($AU$22:$AU$45&gt;$AM447))
) / 1000</f>
        <v>0</v>
      </c>
      <c r="CZ447" s="229">
        <f t="shared" si="656"/>
        <v>0</v>
      </c>
      <c r="DA447" s="246"/>
    </row>
    <row r="448" spans="1:105" s="75" customFormat="1" ht="14.25" customHeight="1" x14ac:dyDescent="0.2">
      <c r="A448" s="230" t="b">
        <f t="shared" si="623"/>
        <v>0</v>
      </c>
      <c r="B448" s="253">
        <v>427</v>
      </c>
      <c r="C448" s="266"/>
      <c r="D448" s="266"/>
      <c r="E448" s="254"/>
      <c r="F448" s="255" t="str">
        <f>IF(ISBLANK(E448), "", VLOOKUP(E448, Z!$A$2:$C$4127, 3, FALSE))</f>
        <v/>
      </c>
      <c r="G448" s="256"/>
      <c r="H448" s="256"/>
      <c r="I448" s="256"/>
      <c r="J448" s="257"/>
      <c r="K448" s="258"/>
      <c r="L448" s="267"/>
      <c r="M448" s="268"/>
      <c r="N448" s="259" t="str" cm="1">
        <f t="array" ref="N448">IF($L448&gt;0, INDEX(Clean,1+AK448,$D$1), "")</f>
        <v/>
      </c>
      <c r="O448" s="260"/>
      <c r="P448" s="260"/>
      <c r="Q448" s="261"/>
      <c r="R448" s="264">
        <f t="shared" si="632"/>
        <v>0</v>
      </c>
      <c r="S448" s="259" t="str" cm="1">
        <f t="array" ref="S448">IF($L448&gt;0, INDEX(Clean,1+AL448,$D$1), "")</f>
        <v/>
      </c>
      <c r="T448" s="260"/>
      <c r="U448" s="260"/>
      <c r="V448" s="261"/>
      <c r="W448" s="267"/>
      <c r="X448" s="267"/>
      <c r="Y448" s="257"/>
      <c r="Z448" s="264">
        <f t="shared" si="633"/>
        <v>0</v>
      </c>
      <c r="AA448" s="269"/>
      <c r="AB448" s="266"/>
      <c r="AC448" s="254"/>
      <c r="AD448" s="255" t="str">
        <f>IF(ISBLANK(AC448), "", VLOOKUP(AC448, Z!$A$2:$C$4127, 3, FALSE))</f>
        <v/>
      </c>
      <c r="AE448" s="270"/>
      <c r="AF448" s="265">
        <f t="shared" si="634"/>
        <v>0</v>
      </c>
      <c r="AG448" s="246"/>
      <c r="AH448" s="228">
        <f t="shared" si="657"/>
        <v>1</v>
      </c>
      <c r="AI448" s="228">
        <f t="shared" si="658"/>
        <v>1</v>
      </c>
      <c r="AJ448" s="228">
        <f t="shared" si="659"/>
        <v>0</v>
      </c>
      <c r="AK448" s="228">
        <v>0</v>
      </c>
      <c r="AL448" s="228">
        <v>0</v>
      </c>
      <c r="AM448" s="228">
        <f t="shared" si="635"/>
        <v>-100</v>
      </c>
      <c r="AN448" s="228" cm="1">
        <f t="array" ref="AN448">IF(ISBLANK(G448), 1, IFERROR(MATCH(G448, INDEX(Kat,,1), 0), IFERROR(MATCH(Kat, INDEX(Use,,2), 0), MATCH(Kat, INDEX(Use,,3), 0))))</f>
        <v>1</v>
      </c>
      <c r="AO448" s="246"/>
      <c r="AP448" s="228" cm="1">
        <f t="array" ref="AP448">IF(W448&gt;0, INDEX(Kat, AN448,4), 0)</f>
        <v>0</v>
      </c>
      <c r="AQ448" s="228">
        <f t="shared" si="660"/>
        <v>0</v>
      </c>
      <c r="AR448" s="228" cm="1">
        <f t="array" ref="AR448">IF(X448&gt;0, INDEX(Kat, $AN448, 4+AQ448), 0)</f>
        <v>0</v>
      </c>
      <c r="AS448" s="228" cm="1">
        <f t="array" ref="AS448">IF(X448&gt;0, INDEX(Kat, $AN448, 9+AQ448), 0)</f>
        <v>0</v>
      </c>
      <c r="AT448" s="246"/>
      <c r="AU448" s="262"/>
      <c r="AV448" s="262"/>
      <c r="AW448" s="263"/>
      <c r="AX448" s="263"/>
      <c r="AY448" s="263"/>
      <c r="AZ448" s="263"/>
      <c r="BA448" s="263"/>
      <c r="BB448" s="263"/>
      <c r="BC448" s="263"/>
      <c r="BD448" s="263"/>
      <c r="BE448" s="263"/>
      <c r="BF448" s="263"/>
      <c r="BG448" s="263"/>
      <c r="BH448" s="246"/>
      <c r="BI448" s="228" cm="1">
        <f t="array" ref="BI448">INDEX(Use, $AH448, 4)</f>
        <v>7</v>
      </c>
      <c r="BJ448" s="228">
        <f t="shared" si="636"/>
        <v>32</v>
      </c>
      <c r="BK448" s="228">
        <f t="shared" si="624"/>
        <v>13</v>
      </c>
      <c r="BL448" s="228">
        <f t="shared" si="625"/>
        <v>0</v>
      </c>
      <c r="BM448" s="233" cm="1">
        <f t="array" ref="BM448">L448/IF($M448&gt;0, INDEX($AY$22:$BE$76, $M448+20, $AH448), 1)</f>
        <v>0</v>
      </c>
      <c r="BN448" s="229">
        <f t="shared" si="637"/>
        <v>0</v>
      </c>
      <c r="BO448" s="228">
        <v>35</v>
      </c>
      <c r="BP448" s="229">
        <f t="shared" si="638"/>
        <v>48</v>
      </c>
      <c r="BQ448" s="234">
        <f t="shared" si="639"/>
        <v>3.0748170731707316</v>
      </c>
      <c r="BR448" s="234" cm="1">
        <f t="array" ref="BR448">$BM448 * SUMPRODUCT(INDEX($AV$76:$AX$81,,$AI448),INDEX($AY$76:$BE$81,,$AH448), N($AU$76:$AU$81&gt;$AM448)) / BQ448 / 1000</f>
        <v>0</v>
      </c>
      <c r="BS448" s="231">
        <f t="shared" si="626"/>
        <v>30</v>
      </c>
      <c r="BT448" s="229">
        <f t="shared" si="640"/>
        <v>43</v>
      </c>
      <c r="BU448" s="234">
        <f t="shared" si="641"/>
        <v>3.5018750000000001</v>
      </c>
      <c r="BV448" s="234" cm="1">
        <f t="array" ref="BV448">$BM448 * IF($AH448&lt;=2,
SUMPRODUCT(INDEX($AV$71:$AX$75,,$AI448), INDEX($AY$71:$BE$75,,$AH448), 1 / ($BF$71:$BF$75*BU448 + (1-$BF$71:$BF$75)*BQ448), N($AU$71:$AU$75&gt;$AM448)),
SUMPRODUCT(INDEX($AV$66:$AX$75,,$AI448), INDEX($AY$66:$BE$75,,$AH448), 1 / ($BG$66:$BG$75*BU448 + (1-$BG$66:$BG$75)*BQ448), N($AU$66:$AU$75&gt;$AM448))
) / 1000</f>
        <v>0</v>
      </c>
      <c r="BW448" s="231">
        <f t="shared" si="627"/>
        <v>25</v>
      </c>
      <c r="BX448" s="229">
        <f t="shared" si="642"/>
        <v>38</v>
      </c>
      <c r="BY448" s="234">
        <f t="shared" si="643"/>
        <v>4.0666935483870965</v>
      </c>
      <c r="BZ448" s="234" cm="1">
        <f t="array" ref="BZ448">$BM448 * IF($AH448&lt;=2,
SUMPRODUCT(INDEX($AV$66:$AX$70,,$AI448), INDEX($AY$66:$BE$70,,$AH448), 1 / ($BF$66:$BF$70*BY448 + (1-$BF$66:$BF$70)*BU448), N($AU$66:$AU$70&gt;$AM448)),
SUMPRODUCT(INDEX($AV$56:$AX$65,,$AI448), INDEX($AY$56:$BE$65,,$AH448), 1 / ($BG$56:$BG$65*BY448 + (1-$BG$56:$BG$65)*BU448), N($AU$56:$AU$65&gt;$AM448))
) / 1000</f>
        <v>0</v>
      </c>
      <c r="CA448" s="231">
        <f t="shared" si="628"/>
        <v>20</v>
      </c>
      <c r="CB448" s="229">
        <f t="shared" si="644"/>
        <v>33</v>
      </c>
      <c r="CC448" s="234">
        <f t="shared" si="645"/>
        <v>4.8487499999999999</v>
      </c>
      <c r="CD448" s="234" cm="1">
        <f t="array" ref="CD448">$BM448 * IF($AH448&lt;=2,
SUMPRODUCT(INDEX($AV$61:$AX$65,,$AI448), INDEX($AY$61:$BE$65,,$AH448), 1 / ($BF$61:$BF$65*CC448 + (1-$BF$61:$BF$65)*BY448), N($AU$61:$AU$65&gt;$AM448)),
SUMPRODUCT(INDEX($AV$46:$AX$55,,$AI448), INDEX($AY$46:$BE$55,,$AH448), 1 / ($BG$46:$BG$55*CC448 + (1-$BG$46:$BG$55)*BY448), N($AU$46:$AU$55&gt;$AM448))
) / 1000</f>
        <v>0</v>
      </c>
      <c r="CE448" s="234" cm="1">
        <f t="array" ref="CE448">$BM448 * IF($AH448&lt;=2,
SUMPRODUCT(INDEX($AV$22:$AX$60,,$AI448), INDEX($AY$22:$BE$60,,$AH448), 1 / ($BF$22:$BF$60*CC448), N($AU$22:$AU$60&gt;$AM448)),
SUMPRODUCT(INDEX($AV$22:$AX$45,,$AI448), INDEX($AY$22:$BE$45,,$AH448), 1 / ($BG$22:$BG$45*CC448), N($AU$22:$AU$45&gt;$AM448))
) / 1000</f>
        <v>0</v>
      </c>
      <c r="CF448" s="229">
        <f t="shared" si="646"/>
        <v>0</v>
      </c>
      <c r="CG448" s="246"/>
      <c r="CH448" s="229">
        <f t="shared" si="647"/>
        <v>0</v>
      </c>
      <c r="CI448" s="228">
        <v>35</v>
      </c>
      <c r="CJ448" s="229">
        <f t="shared" si="648"/>
        <v>48</v>
      </c>
      <c r="CK448" s="234">
        <f t="shared" si="649"/>
        <v>3.0748170731707316</v>
      </c>
      <c r="CL448" s="234" cm="1">
        <f t="array" ref="CL448">$BM448 * SUMPRODUCT(INDEX($AV$76:$AX$81,,$AI448),INDEX($AY$76:$BE$81,,$AH448), N($AU$76:$AU$81&gt;$AM448)) / CK448 / 1000</f>
        <v>0</v>
      </c>
      <c r="CM448" s="231">
        <f t="shared" si="629"/>
        <v>30</v>
      </c>
      <c r="CN448" s="229">
        <f t="shared" si="650"/>
        <v>43</v>
      </c>
      <c r="CO448" s="234">
        <f t="shared" si="651"/>
        <v>3.5018750000000001</v>
      </c>
      <c r="CP448" s="234" cm="1">
        <f t="array" ref="CP448">$BM448 * IF($AH448&lt;=2,
SUMPRODUCT(INDEX($AV$71:$AX$75,,$AI448), INDEX($AY$71:$BE$75,,$AH448), 1 / ($BF$71:$BF$75*CO448 + (1-$BF$71:$BF$75)*CK448), N($AU$71:$AU$75&gt;$AM448)),
SUMPRODUCT(INDEX($AV$66:$AX$75,,$AI448), INDEX($AY$66:$BE$75,,$AH448), 1 / ($BG$66:$BG$75*CO448 + (1-$BG$66:$BG$75)*CK448), N($AU$66:$AU$75&gt;$AM448))
) / 1000</f>
        <v>0</v>
      </c>
      <c r="CQ448" s="231">
        <f t="shared" si="630"/>
        <v>25</v>
      </c>
      <c r="CR448" s="229">
        <f t="shared" si="652"/>
        <v>38</v>
      </c>
      <c r="CS448" s="234">
        <f t="shared" si="653"/>
        <v>4.0666935483870965</v>
      </c>
      <c r="CT448" s="234" cm="1">
        <f t="array" ref="CT448">$BM448 * IF($AH448&lt;=2,
SUMPRODUCT(INDEX($AV$66:$AX$70,,$AI448), INDEX($AY$66:$BE$70,,$AH448), 1 / ($BF$66:$BF$70*CS448 + (1-$BF$66:$BF$70)*CO448), N($AU$66:$AU$70&gt;$AM448)),
SUMPRODUCT(INDEX($AV$56:$AX$65,,$AI448), INDEX($AY$56:$BE$65,,$AH448), 1 / ($BG$56:$BG$65*CS448 + (1-$BG$56:$BG$65)*CO448), N($AU$56:$AU$65&gt;$AM448))
) / 1000</f>
        <v>0</v>
      </c>
      <c r="CU448" s="231">
        <f t="shared" si="631"/>
        <v>20</v>
      </c>
      <c r="CV448" s="229">
        <f t="shared" si="654"/>
        <v>33</v>
      </c>
      <c r="CW448" s="234">
        <f t="shared" si="655"/>
        <v>4.8487499999999999</v>
      </c>
      <c r="CX448" s="234" cm="1">
        <f t="array" ref="CX448">$BM448 * IF($AH448&lt;=2,
SUMPRODUCT(INDEX($AV$61:$AX$65,,$AI448), INDEX($AY$61:$BE$65,,$AH448), 1 / ($BF$61:$BF$65*CW448 + (1-$BF$61:$BF$65)*CS448), N($AU$61:$AU$65&gt;$AM448)),
SUMPRODUCT(INDEX($AV$46:$AX$55,,$AI448), INDEX($AY$46:$BE$55,,$AH448), 1 / ($BG$46:$BG$55*CW448 + (1-$BG$46:$BG$55)*CS448), N($AU$46:$AU$55&gt;$AM448))
) / 1000</f>
        <v>0</v>
      </c>
      <c r="CY448" s="234" cm="1">
        <f t="array" ref="CY448">$BM448 * IF($AH448&lt;=2,
SUMPRODUCT(INDEX($AV$22:$AX$60,,$AI448), INDEX($AY$22:$BE$60,,$AH448), 1 / ($BF$22:$BF$60*CW448), N($AU$22:$AU$60&gt;$AM448)),
SUMPRODUCT(INDEX($AV$22:$AX$45,,$AI448), INDEX($AY$22:$BE$45,,$AH448), 1 / ($BG$22:$BG$45*CW448), N($AU$22:$AU$45&gt;$AM448))
) / 1000</f>
        <v>0</v>
      </c>
      <c r="CZ448" s="229">
        <f t="shared" si="656"/>
        <v>0</v>
      </c>
      <c r="DA448" s="246"/>
    </row>
    <row r="449" spans="1:105" s="75" customFormat="1" ht="14.25" customHeight="1" x14ac:dyDescent="0.2">
      <c r="A449" s="230" t="b">
        <f t="shared" si="623"/>
        <v>0</v>
      </c>
      <c r="B449" s="253">
        <v>428</v>
      </c>
      <c r="C449" s="266"/>
      <c r="D449" s="266"/>
      <c r="E449" s="254"/>
      <c r="F449" s="255" t="str">
        <f>IF(ISBLANK(E449), "", VLOOKUP(E449, Z!$A$2:$C$4127, 3, FALSE))</f>
        <v/>
      </c>
      <c r="G449" s="256"/>
      <c r="H449" s="256"/>
      <c r="I449" s="256"/>
      <c r="J449" s="257"/>
      <c r="K449" s="258"/>
      <c r="L449" s="267"/>
      <c r="M449" s="268"/>
      <c r="N449" s="259" t="str" cm="1">
        <f t="array" ref="N449">IF($L449&gt;0, INDEX(Clean,1+AK449,$D$1), "")</f>
        <v/>
      </c>
      <c r="O449" s="260"/>
      <c r="P449" s="260"/>
      <c r="Q449" s="261"/>
      <c r="R449" s="264">
        <f t="shared" si="632"/>
        <v>0</v>
      </c>
      <c r="S449" s="259" t="str" cm="1">
        <f t="array" ref="S449">IF($L449&gt;0, INDEX(Clean,1+AL449,$D$1), "")</f>
        <v/>
      </c>
      <c r="T449" s="260"/>
      <c r="U449" s="260"/>
      <c r="V449" s="261"/>
      <c r="W449" s="267"/>
      <c r="X449" s="267"/>
      <c r="Y449" s="257"/>
      <c r="Z449" s="264">
        <f t="shared" si="633"/>
        <v>0</v>
      </c>
      <c r="AA449" s="269"/>
      <c r="AB449" s="266"/>
      <c r="AC449" s="254"/>
      <c r="AD449" s="255" t="str">
        <f>IF(ISBLANK(AC449), "", VLOOKUP(AC449, Z!$A$2:$C$4127, 3, FALSE))</f>
        <v/>
      </c>
      <c r="AE449" s="270"/>
      <c r="AF449" s="265">
        <f t="shared" si="634"/>
        <v>0</v>
      </c>
      <c r="AG449" s="246"/>
      <c r="AH449" s="228">
        <f t="shared" si="657"/>
        <v>1</v>
      </c>
      <c r="AI449" s="228">
        <f t="shared" si="658"/>
        <v>1</v>
      </c>
      <c r="AJ449" s="228">
        <f t="shared" si="659"/>
        <v>0</v>
      </c>
      <c r="AK449" s="228">
        <v>0</v>
      </c>
      <c r="AL449" s="228">
        <v>0</v>
      </c>
      <c r="AM449" s="228">
        <f t="shared" si="635"/>
        <v>-100</v>
      </c>
      <c r="AN449" s="228" cm="1">
        <f t="array" ref="AN449">IF(ISBLANK(G449), 1, IFERROR(MATCH(G449, INDEX(Kat,,1), 0), IFERROR(MATCH(Kat, INDEX(Use,,2), 0), MATCH(Kat, INDEX(Use,,3), 0))))</f>
        <v>1</v>
      </c>
      <c r="AO449" s="246"/>
      <c r="AP449" s="228" cm="1">
        <f t="array" ref="AP449">IF(W449&gt;0, INDEX(Kat, AN449,4), 0)</f>
        <v>0</v>
      </c>
      <c r="AQ449" s="228">
        <f t="shared" si="660"/>
        <v>0</v>
      </c>
      <c r="AR449" s="228" cm="1">
        <f t="array" ref="AR449">IF(X449&gt;0, INDEX(Kat, $AN449, 4+AQ449), 0)</f>
        <v>0</v>
      </c>
      <c r="AS449" s="228" cm="1">
        <f t="array" ref="AS449">IF(X449&gt;0, INDEX(Kat, $AN449, 9+AQ449), 0)</f>
        <v>0</v>
      </c>
      <c r="AT449" s="246"/>
      <c r="AU449" s="262"/>
      <c r="AV449" s="262"/>
      <c r="AW449" s="263"/>
      <c r="AX449" s="263"/>
      <c r="AY449" s="263"/>
      <c r="AZ449" s="263"/>
      <c r="BA449" s="263"/>
      <c r="BB449" s="263"/>
      <c r="BC449" s="263"/>
      <c r="BD449" s="263"/>
      <c r="BE449" s="263"/>
      <c r="BF449" s="263"/>
      <c r="BG449" s="263"/>
      <c r="BH449" s="246"/>
      <c r="BI449" s="228" cm="1">
        <f t="array" ref="BI449">INDEX(Use, $AH449, 4)</f>
        <v>7</v>
      </c>
      <c r="BJ449" s="228">
        <f t="shared" si="636"/>
        <v>32</v>
      </c>
      <c r="BK449" s="228">
        <f t="shared" si="624"/>
        <v>13</v>
      </c>
      <c r="BL449" s="228">
        <f t="shared" si="625"/>
        <v>0</v>
      </c>
      <c r="BM449" s="233" cm="1">
        <f t="array" ref="BM449">L449/IF($M449&gt;0, INDEX($AY$22:$BE$76, $M449+20, $AH449), 1)</f>
        <v>0</v>
      </c>
      <c r="BN449" s="229">
        <f t="shared" si="637"/>
        <v>0</v>
      </c>
      <c r="BO449" s="228">
        <v>35</v>
      </c>
      <c r="BP449" s="229">
        <f t="shared" si="638"/>
        <v>48</v>
      </c>
      <c r="BQ449" s="234">
        <f t="shared" si="639"/>
        <v>3.0748170731707316</v>
      </c>
      <c r="BR449" s="234" cm="1">
        <f t="array" ref="BR449">$BM449 * SUMPRODUCT(INDEX($AV$76:$AX$81,,$AI449),INDEX($AY$76:$BE$81,,$AH449), N($AU$76:$AU$81&gt;$AM449)) / BQ449 / 1000</f>
        <v>0</v>
      </c>
      <c r="BS449" s="231">
        <f t="shared" si="626"/>
        <v>30</v>
      </c>
      <c r="BT449" s="229">
        <f t="shared" si="640"/>
        <v>43</v>
      </c>
      <c r="BU449" s="234">
        <f t="shared" si="641"/>
        <v>3.5018750000000001</v>
      </c>
      <c r="BV449" s="234" cm="1">
        <f t="array" ref="BV449">$BM449 * IF($AH449&lt;=2,
SUMPRODUCT(INDEX($AV$71:$AX$75,,$AI449), INDEX($AY$71:$BE$75,,$AH449), 1 / ($BF$71:$BF$75*BU449 + (1-$BF$71:$BF$75)*BQ449), N($AU$71:$AU$75&gt;$AM449)),
SUMPRODUCT(INDEX($AV$66:$AX$75,,$AI449), INDEX($AY$66:$BE$75,,$AH449), 1 / ($BG$66:$BG$75*BU449 + (1-$BG$66:$BG$75)*BQ449), N($AU$66:$AU$75&gt;$AM449))
) / 1000</f>
        <v>0</v>
      </c>
      <c r="BW449" s="231">
        <f t="shared" si="627"/>
        <v>25</v>
      </c>
      <c r="BX449" s="229">
        <f t="shared" si="642"/>
        <v>38</v>
      </c>
      <c r="BY449" s="234">
        <f t="shared" si="643"/>
        <v>4.0666935483870965</v>
      </c>
      <c r="BZ449" s="234" cm="1">
        <f t="array" ref="BZ449">$BM449 * IF($AH449&lt;=2,
SUMPRODUCT(INDEX($AV$66:$AX$70,,$AI449), INDEX($AY$66:$BE$70,,$AH449), 1 / ($BF$66:$BF$70*BY449 + (1-$BF$66:$BF$70)*BU449), N($AU$66:$AU$70&gt;$AM449)),
SUMPRODUCT(INDEX($AV$56:$AX$65,,$AI449), INDEX($AY$56:$BE$65,,$AH449), 1 / ($BG$56:$BG$65*BY449 + (1-$BG$56:$BG$65)*BU449), N($AU$56:$AU$65&gt;$AM449))
) / 1000</f>
        <v>0</v>
      </c>
      <c r="CA449" s="231">
        <f t="shared" si="628"/>
        <v>20</v>
      </c>
      <c r="CB449" s="229">
        <f t="shared" si="644"/>
        <v>33</v>
      </c>
      <c r="CC449" s="234">
        <f t="shared" si="645"/>
        <v>4.8487499999999999</v>
      </c>
      <c r="CD449" s="234" cm="1">
        <f t="array" ref="CD449">$BM449 * IF($AH449&lt;=2,
SUMPRODUCT(INDEX($AV$61:$AX$65,,$AI449), INDEX($AY$61:$BE$65,,$AH449), 1 / ($BF$61:$BF$65*CC449 + (1-$BF$61:$BF$65)*BY449), N($AU$61:$AU$65&gt;$AM449)),
SUMPRODUCT(INDEX($AV$46:$AX$55,,$AI449), INDEX($AY$46:$BE$55,,$AH449), 1 / ($BG$46:$BG$55*CC449 + (1-$BG$46:$BG$55)*BY449), N($AU$46:$AU$55&gt;$AM449))
) / 1000</f>
        <v>0</v>
      </c>
      <c r="CE449" s="234" cm="1">
        <f t="array" ref="CE449">$BM449 * IF($AH449&lt;=2,
SUMPRODUCT(INDEX($AV$22:$AX$60,,$AI449), INDEX($AY$22:$BE$60,,$AH449), 1 / ($BF$22:$BF$60*CC449), N($AU$22:$AU$60&gt;$AM449)),
SUMPRODUCT(INDEX($AV$22:$AX$45,,$AI449), INDEX($AY$22:$BE$45,,$AH449), 1 / ($BG$22:$BG$45*CC449), N($AU$22:$AU$45&gt;$AM449))
) / 1000</f>
        <v>0</v>
      </c>
      <c r="CF449" s="229">
        <f t="shared" si="646"/>
        <v>0</v>
      </c>
      <c r="CG449" s="246"/>
      <c r="CH449" s="229">
        <f t="shared" si="647"/>
        <v>0</v>
      </c>
      <c r="CI449" s="228">
        <v>35</v>
      </c>
      <c r="CJ449" s="229">
        <f t="shared" si="648"/>
        <v>48</v>
      </c>
      <c r="CK449" s="234">
        <f t="shared" si="649"/>
        <v>3.0748170731707316</v>
      </c>
      <c r="CL449" s="234" cm="1">
        <f t="array" ref="CL449">$BM449 * SUMPRODUCT(INDEX($AV$76:$AX$81,,$AI449),INDEX($AY$76:$BE$81,,$AH449), N($AU$76:$AU$81&gt;$AM449)) / CK449 / 1000</f>
        <v>0</v>
      </c>
      <c r="CM449" s="231">
        <f t="shared" si="629"/>
        <v>30</v>
      </c>
      <c r="CN449" s="229">
        <f t="shared" si="650"/>
        <v>43</v>
      </c>
      <c r="CO449" s="234">
        <f t="shared" si="651"/>
        <v>3.5018750000000001</v>
      </c>
      <c r="CP449" s="234" cm="1">
        <f t="array" ref="CP449">$BM449 * IF($AH449&lt;=2,
SUMPRODUCT(INDEX($AV$71:$AX$75,,$AI449), INDEX($AY$71:$BE$75,,$AH449), 1 / ($BF$71:$BF$75*CO449 + (1-$BF$71:$BF$75)*CK449), N($AU$71:$AU$75&gt;$AM449)),
SUMPRODUCT(INDEX($AV$66:$AX$75,,$AI449), INDEX($AY$66:$BE$75,,$AH449), 1 / ($BG$66:$BG$75*CO449 + (1-$BG$66:$BG$75)*CK449), N($AU$66:$AU$75&gt;$AM449))
) / 1000</f>
        <v>0</v>
      </c>
      <c r="CQ449" s="231">
        <f t="shared" si="630"/>
        <v>25</v>
      </c>
      <c r="CR449" s="229">
        <f t="shared" si="652"/>
        <v>38</v>
      </c>
      <c r="CS449" s="234">
        <f t="shared" si="653"/>
        <v>4.0666935483870965</v>
      </c>
      <c r="CT449" s="234" cm="1">
        <f t="array" ref="CT449">$BM449 * IF($AH449&lt;=2,
SUMPRODUCT(INDEX($AV$66:$AX$70,,$AI449), INDEX($AY$66:$BE$70,,$AH449), 1 / ($BF$66:$BF$70*CS449 + (1-$BF$66:$BF$70)*CO449), N($AU$66:$AU$70&gt;$AM449)),
SUMPRODUCT(INDEX($AV$56:$AX$65,,$AI449), INDEX($AY$56:$BE$65,,$AH449), 1 / ($BG$56:$BG$65*CS449 + (1-$BG$56:$BG$65)*CO449), N($AU$56:$AU$65&gt;$AM449))
) / 1000</f>
        <v>0</v>
      </c>
      <c r="CU449" s="231">
        <f t="shared" si="631"/>
        <v>20</v>
      </c>
      <c r="CV449" s="229">
        <f t="shared" si="654"/>
        <v>33</v>
      </c>
      <c r="CW449" s="234">
        <f t="shared" si="655"/>
        <v>4.8487499999999999</v>
      </c>
      <c r="CX449" s="234" cm="1">
        <f t="array" ref="CX449">$BM449 * IF($AH449&lt;=2,
SUMPRODUCT(INDEX($AV$61:$AX$65,,$AI449), INDEX($AY$61:$BE$65,,$AH449), 1 / ($BF$61:$BF$65*CW449 + (1-$BF$61:$BF$65)*CS449), N($AU$61:$AU$65&gt;$AM449)),
SUMPRODUCT(INDEX($AV$46:$AX$55,,$AI449), INDEX($AY$46:$BE$55,,$AH449), 1 / ($BG$46:$BG$55*CW449 + (1-$BG$46:$BG$55)*CS449), N($AU$46:$AU$55&gt;$AM449))
) / 1000</f>
        <v>0</v>
      </c>
      <c r="CY449" s="234" cm="1">
        <f t="array" ref="CY449">$BM449 * IF($AH449&lt;=2,
SUMPRODUCT(INDEX($AV$22:$AX$60,,$AI449), INDEX($AY$22:$BE$60,,$AH449), 1 / ($BF$22:$BF$60*CW449), N($AU$22:$AU$60&gt;$AM449)),
SUMPRODUCT(INDEX($AV$22:$AX$45,,$AI449), INDEX($AY$22:$BE$45,,$AH449), 1 / ($BG$22:$BG$45*CW449), N($AU$22:$AU$45&gt;$AM449))
) / 1000</f>
        <v>0</v>
      </c>
      <c r="CZ449" s="229">
        <f t="shared" si="656"/>
        <v>0</v>
      </c>
      <c r="DA449" s="246"/>
    </row>
    <row r="450" spans="1:105" s="75" customFormat="1" ht="14.25" customHeight="1" x14ac:dyDescent="0.2">
      <c r="A450" s="230" t="b">
        <f t="shared" si="623"/>
        <v>0</v>
      </c>
      <c r="B450" s="253">
        <v>429</v>
      </c>
      <c r="C450" s="266"/>
      <c r="D450" s="266"/>
      <c r="E450" s="254"/>
      <c r="F450" s="255" t="str">
        <f>IF(ISBLANK(E450), "", VLOOKUP(E450, Z!$A$2:$C$4127, 3, FALSE))</f>
        <v/>
      </c>
      <c r="G450" s="256"/>
      <c r="H450" s="256"/>
      <c r="I450" s="256"/>
      <c r="J450" s="257"/>
      <c r="K450" s="258"/>
      <c r="L450" s="267"/>
      <c r="M450" s="268"/>
      <c r="N450" s="259" t="str" cm="1">
        <f t="array" ref="N450">IF($L450&gt;0, INDEX(Clean,1+AK450,$D$1), "")</f>
        <v/>
      </c>
      <c r="O450" s="260"/>
      <c r="P450" s="260"/>
      <c r="Q450" s="261"/>
      <c r="R450" s="264">
        <f t="shared" si="632"/>
        <v>0</v>
      </c>
      <c r="S450" s="259" t="str" cm="1">
        <f t="array" ref="S450">IF($L450&gt;0, INDEX(Clean,1+AL450,$D$1), "")</f>
        <v/>
      </c>
      <c r="T450" s="260"/>
      <c r="U450" s="260"/>
      <c r="V450" s="261"/>
      <c r="W450" s="267"/>
      <c r="X450" s="267"/>
      <c r="Y450" s="257"/>
      <c r="Z450" s="264">
        <f t="shared" si="633"/>
        <v>0</v>
      </c>
      <c r="AA450" s="269"/>
      <c r="AB450" s="266"/>
      <c r="AC450" s="254"/>
      <c r="AD450" s="255" t="str">
        <f>IF(ISBLANK(AC450), "", VLOOKUP(AC450, Z!$A$2:$C$4127, 3, FALSE))</f>
        <v/>
      </c>
      <c r="AE450" s="270"/>
      <c r="AF450" s="265">
        <f t="shared" si="634"/>
        <v>0</v>
      </c>
      <c r="AG450" s="246"/>
      <c r="AH450" s="228">
        <f t="shared" si="657"/>
        <v>1</v>
      </c>
      <c r="AI450" s="228">
        <f t="shared" si="658"/>
        <v>1</v>
      </c>
      <c r="AJ450" s="228">
        <f t="shared" si="659"/>
        <v>0</v>
      </c>
      <c r="AK450" s="228">
        <v>0</v>
      </c>
      <c r="AL450" s="228">
        <v>0</v>
      </c>
      <c r="AM450" s="228">
        <f t="shared" si="635"/>
        <v>-100</v>
      </c>
      <c r="AN450" s="228" cm="1">
        <f t="array" ref="AN450">IF(ISBLANK(G450), 1, IFERROR(MATCH(G450, INDEX(Kat,,1), 0), IFERROR(MATCH(Kat, INDEX(Use,,2), 0), MATCH(Kat, INDEX(Use,,3), 0))))</f>
        <v>1</v>
      </c>
      <c r="AO450" s="246"/>
      <c r="AP450" s="228" cm="1">
        <f t="array" ref="AP450">IF(W450&gt;0, INDEX(Kat, AN450,4), 0)</f>
        <v>0</v>
      </c>
      <c r="AQ450" s="228">
        <f t="shared" si="660"/>
        <v>0</v>
      </c>
      <c r="AR450" s="228" cm="1">
        <f t="array" ref="AR450">IF(X450&gt;0, INDEX(Kat, $AN450, 4+AQ450), 0)</f>
        <v>0</v>
      </c>
      <c r="AS450" s="228" cm="1">
        <f t="array" ref="AS450">IF(X450&gt;0, INDEX(Kat, $AN450, 9+AQ450), 0)</f>
        <v>0</v>
      </c>
      <c r="AT450" s="246"/>
      <c r="AU450" s="262"/>
      <c r="AV450" s="262"/>
      <c r="AW450" s="263"/>
      <c r="AX450" s="263"/>
      <c r="AY450" s="263"/>
      <c r="AZ450" s="263"/>
      <c r="BA450" s="263"/>
      <c r="BB450" s="263"/>
      <c r="BC450" s="263"/>
      <c r="BD450" s="263"/>
      <c r="BE450" s="263"/>
      <c r="BF450" s="263"/>
      <c r="BG450" s="263"/>
      <c r="BH450" s="246"/>
      <c r="BI450" s="228" cm="1">
        <f t="array" ref="BI450">INDEX(Use, $AH450, 4)</f>
        <v>7</v>
      </c>
      <c r="BJ450" s="228">
        <f t="shared" si="636"/>
        <v>32</v>
      </c>
      <c r="BK450" s="228">
        <f t="shared" si="624"/>
        <v>13</v>
      </c>
      <c r="BL450" s="228">
        <f t="shared" si="625"/>
        <v>0</v>
      </c>
      <c r="BM450" s="233" cm="1">
        <f t="array" ref="BM450">L450/IF($M450&gt;0, INDEX($AY$22:$BE$76, $M450+20, $AH450), 1)</f>
        <v>0</v>
      </c>
      <c r="BN450" s="229">
        <f t="shared" si="637"/>
        <v>0</v>
      </c>
      <c r="BO450" s="228">
        <v>35</v>
      </c>
      <c r="BP450" s="229">
        <f t="shared" si="638"/>
        <v>48</v>
      </c>
      <c r="BQ450" s="234">
        <f t="shared" si="639"/>
        <v>3.0748170731707316</v>
      </c>
      <c r="BR450" s="234" cm="1">
        <f t="array" ref="BR450">$BM450 * SUMPRODUCT(INDEX($AV$76:$AX$81,,$AI450),INDEX($AY$76:$BE$81,,$AH450), N($AU$76:$AU$81&gt;$AM450)) / BQ450 / 1000</f>
        <v>0</v>
      </c>
      <c r="BS450" s="231">
        <f t="shared" si="626"/>
        <v>30</v>
      </c>
      <c r="BT450" s="229">
        <f t="shared" si="640"/>
        <v>43</v>
      </c>
      <c r="BU450" s="234">
        <f t="shared" si="641"/>
        <v>3.5018750000000001</v>
      </c>
      <c r="BV450" s="234" cm="1">
        <f t="array" ref="BV450">$BM450 * IF($AH450&lt;=2,
SUMPRODUCT(INDEX($AV$71:$AX$75,,$AI450), INDEX($AY$71:$BE$75,,$AH450), 1 / ($BF$71:$BF$75*BU450 + (1-$BF$71:$BF$75)*BQ450), N($AU$71:$AU$75&gt;$AM450)),
SUMPRODUCT(INDEX($AV$66:$AX$75,,$AI450), INDEX($AY$66:$BE$75,,$AH450), 1 / ($BG$66:$BG$75*BU450 + (1-$BG$66:$BG$75)*BQ450), N($AU$66:$AU$75&gt;$AM450))
) / 1000</f>
        <v>0</v>
      </c>
      <c r="BW450" s="231">
        <f t="shared" si="627"/>
        <v>25</v>
      </c>
      <c r="BX450" s="229">
        <f t="shared" si="642"/>
        <v>38</v>
      </c>
      <c r="BY450" s="234">
        <f t="shared" si="643"/>
        <v>4.0666935483870965</v>
      </c>
      <c r="BZ450" s="234" cm="1">
        <f t="array" ref="BZ450">$BM450 * IF($AH450&lt;=2,
SUMPRODUCT(INDEX($AV$66:$AX$70,,$AI450), INDEX($AY$66:$BE$70,,$AH450), 1 / ($BF$66:$BF$70*BY450 + (1-$BF$66:$BF$70)*BU450), N($AU$66:$AU$70&gt;$AM450)),
SUMPRODUCT(INDEX($AV$56:$AX$65,,$AI450), INDEX($AY$56:$BE$65,,$AH450), 1 / ($BG$56:$BG$65*BY450 + (1-$BG$56:$BG$65)*BU450), N($AU$56:$AU$65&gt;$AM450))
) / 1000</f>
        <v>0</v>
      </c>
      <c r="CA450" s="231">
        <f t="shared" si="628"/>
        <v>20</v>
      </c>
      <c r="CB450" s="229">
        <f t="shared" si="644"/>
        <v>33</v>
      </c>
      <c r="CC450" s="234">
        <f t="shared" si="645"/>
        <v>4.8487499999999999</v>
      </c>
      <c r="CD450" s="234" cm="1">
        <f t="array" ref="CD450">$BM450 * IF($AH450&lt;=2,
SUMPRODUCT(INDEX($AV$61:$AX$65,,$AI450), INDEX($AY$61:$BE$65,,$AH450), 1 / ($BF$61:$BF$65*CC450 + (1-$BF$61:$BF$65)*BY450), N($AU$61:$AU$65&gt;$AM450)),
SUMPRODUCT(INDEX($AV$46:$AX$55,,$AI450), INDEX($AY$46:$BE$55,,$AH450), 1 / ($BG$46:$BG$55*CC450 + (1-$BG$46:$BG$55)*BY450), N($AU$46:$AU$55&gt;$AM450))
) / 1000</f>
        <v>0</v>
      </c>
      <c r="CE450" s="234" cm="1">
        <f t="array" ref="CE450">$BM450 * IF($AH450&lt;=2,
SUMPRODUCT(INDEX($AV$22:$AX$60,,$AI450), INDEX($AY$22:$BE$60,,$AH450), 1 / ($BF$22:$BF$60*CC450), N($AU$22:$AU$60&gt;$AM450)),
SUMPRODUCT(INDEX($AV$22:$AX$45,,$AI450), INDEX($AY$22:$BE$45,,$AH450), 1 / ($BG$22:$BG$45*CC450), N($AU$22:$AU$45&gt;$AM450))
) / 1000</f>
        <v>0</v>
      </c>
      <c r="CF450" s="229">
        <f t="shared" si="646"/>
        <v>0</v>
      </c>
      <c r="CG450" s="246"/>
      <c r="CH450" s="229">
        <f t="shared" si="647"/>
        <v>0</v>
      </c>
      <c r="CI450" s="228">
        <v>35</v>
      </c>
      <c r="CJ450" s="229">
        <f t="shared" si="648"/>
        <v>48</v>
      </c>
      <c r="CK450" s="234">
        <f t="shared" si="649"/>
        <v>3.0748170731707316</v>
      </c>
      <c r="CL450" s="234" cm="1">
        <f t="array" ref="CL450">$BM450 * SUMPRODUCT(INDEX($AV$76:$AX$81,,$AI450),INDEX($AY$76:$BE$81,,$AH450), N($AU$76:$AU$81&gt;$AM450)) / CK450 / 1000</f>
        <v>0</v>
      </c>
      <c r="CM450" s="231">
        <f t="shared" si="629"/>
        <v>30</v>
      </c>
      <c r="CN450" s="229">
        <f t="shared" si="650"/>
        <v>43</v>
      </c>
      <c r="CO450" s="234">
        <f t="shared" si="651"/>
        <v>3.5018750000000001</v>
      </c>
      <c r="CP450" s="234" cm="1">
        <f t="array" ref="CP450">$BM450 * IF($AH450&lt;=2,
SUMPRODUCT(INDEX($AV$71:$AX$75,,$AI450), INDEX($AY$71:$BE$75,,$AH450), 1 / ($BF$71:$BF$75*CO450 + (1-$BF$71:$BF$75)*CK450), N($AU$71:$AU$75&gt;$AM450)),
SUMPRODUCT(INDEX($AV$66:$AX$75,,$AI450), INDEX($AY$66:$BE$75,,$AH450), 1 / ($BG$66:$BG$75*CO450 + (1-$BG$66:$BG$75)*CK450), N($AU$66:$AU$75&gt;$AM450))
) / 1000</f>
        <v>0</v>
      </c>
      <c r="CQ450" s="231">
        <f t="shared" si="630"/>
        <v>25</v>
      </c>
      <c r="CR450" s="229">
        <f t="shared" si="652"/>
        <v>38</v>
      </c>
      <c r="CS450" s="234">
        <f t="shared" si="653"/>
        <v>4.0666935483870965</v>
      </c>
      <c r="CT450" s="234" cm="1">
        <f t="array" ref="CT450">$BM450 * IF($AH450&lt;=2,
SUMPRODUCT(INDEX($AV$66:$AX$70,,$AI450), INDEX($AY$66:$BE$70,,$AH450), 1 / ($BF$66:$BF$70*CS450 + (1-$BF$66:$BF$70)*CO450), N($AU$66:$AU$70&gt;$AM450)),
SUMPRODUCT(INDEX($AV$56:$AX$65,,$AI450), INDEX($AY$56:$BE$65,,$AH450), 1 / ($BG$56:$BG$65*CS450 + (1-$BG$56:$BG$65)*CO450), N($AU$56:$AU$65&gt;$AM450))
) / 1000</f>
        <v>0</v>
      </c>
      <c r="CU450" s="231">
        <f t="shared" si="631"/>
        <v>20</v>
      </c>
      <c r="CV450" s="229">
        <f t="shared" si="654"/>
        <v>33</v>
      </c>
      <c r="CW450" s="234">
        <f t="shared" si="655"/>
        <v>4.8487499999999999</v>
      </c>
      <c r="CX450" s="234" cm="1">
        <f t="array" ref="CX450">$BM450 * IF($AH450&lt;=2,
SUMPRODUCT(INDEX($AV$61:$AX$65,,$AI450), INDEX($AY$61:$BE$65,,$AH450), 1 / ($BF$61:$BF$65*CW450 + (1-$BF$61:$BF$65)*CS450), N($AU$61:$AU$65&gt;$AM450)),
SUMPRODUCT(INDEX($AV$46:$AX$55,,$AI450), INDEX($AY$46:$BE$55,,$AH450), 1 / ($BG$46:$BG$55*CW450 + (1-$BG$46:$BG$55)*CS450), N($AU$46:$AU$55&gt;$AM450))
) / 1000</f>
        <v>0</v>
      </c>
      <c r="CY450" s="234" cm="1">
        <f t="array" ref="CY450">$BM450 * IF($AH450&lt;=2,
SUMPRODUCT(INDEX($AV$22:$AX$60,,$AI450), INDEX($AY$22:$BE$60,,$AH450), 1 / ($BF$22:$BF$60*CW450), N($AU$22:$AU$60&gt;$AM450)),
SUMPRODUCT(INDEX($AV$22:$AX$45,,$AI450), INDEX($AY$22:$BE$45,,$AH450), 1 / ($BG$22:$BG$45*CW450), N($AU$22:$AU$45&gt;$AM450))
) / 1000</f>
        <v>0</v>
      </c>
      <c r="CZ450" s="229">
        <f t="shared" si="656"/>
        <v>0</v>
      </c>
      <c r="DA450" s="246"/>
    </row>
    <row r="451" spans="1:105" s="75" customFormat="1" ht="14.25" customHeight="1" x14ac:dyDescent="0.2">
      <c r="A451" s="230" t="b">
        <f t="shared" si="623"/>
        <v>0</v>
      </c>
      <c r="B451" s="253">
        <v>430</v>
      </c>
      <c r="C451" s="266"/>
      <c r="D451" s="266"/>
      <c r="E451" s="254"/>
      <c r="F451" s="255" t="str">
        <f>IF(ISBLANK(E451), "", VLOOKUP(E451, Z!$A$2:$C$4127, 3, FALSE))</f>
        <v/>
      </c>
      <c r="G451" s="256"/>
      <c r="H451" s="256"/>
      <c r="I451" s="256"/>
      <c r="J451" s="257"/>
      <c r="K451" s="258"/>
      <c r="L451" s="267"/>
      <c r="M451" s="268"/>
      <c r="N451" s="259" t="str" cm="1">
        <f t="array" ref="N451">IF($L451&gt;0, INDEX(Clean,1+AK451,$D$1), "")</f>
        <v/>
      </c>
      <c r="O451" s="260"/>
      <c r="P451" s="260"/>
      <c r="Q451" s="261"/>
      <c r="R451" s="264">
        <f t="shared" si="632"/>
        <v>0</v>
      </c>
      <c r="S451" s="259" t="str" cm="1">
        <f t="array" ref="S451">IF($L451&gt;0, INDEX(Clean,1+AL451,$D$1), "")</f>
        <v/>
      </c>
      <c r="T451" s="260"/>
      <c r="U451" s="260"/>
      <c r="V451" s="261"/>
      <c r="W451" s="267"/>
      <c r="X451" s="267"/>
      <c r="Y451" s="257"/>
      <c r="Z451" s="264">
        <f t="shared" si="633"/>
        <v>0</v>
      </c>
      <c r="AA451" s="269"/>
      <c r="AB451" s="266"/>
      <c r="AC451" s="254"/>
      <c r="AD451" s="255" t="str">
        <f>IF(ISBLANK(AC451), "", VLOOKUP(AC451, Z!$A$2:$C$4127, 3, FALSE))</f>
        <v/>
      </c>
      <c r="AE451" s="270"/>
      <c r="AF451" s="265">
        <f t="shared" si="634"/>
        <v>0</v>
      </c>
      <c r="AG451" s="246"/>
      <c r="AH451" s="228">
        <f t="shared" si="657"/>
        <v>1</v>
      </c>
      <c r="AI451" s="228">
        <f t="shared" si="658"/>
        <v>1</v>
      </c>
      <c r="AJ451" s="228">
        <f t="shared" si="659"/>
        <v>0</v>
      </c>
      <c r="AK451" s="228">
        <v>0</v>
      </c>
      <c r="AL451" s="228">
        <v>0</v>
      </c>
      <c r="AM451" s="228">
        <f t="shared" si="635"/>
        <v>-100</v>
      </c>
      <c r="AN451" s="228" cm="1">
        <f t="array" ref="AN451">IF(ISBLANK(G451), 1, IFERROR(MATCH(G451, INDEX(Kat,,1), 0), IFERROR(MATCH(Kat, INDEX(Use,,2), 0), MATCH(Kat, INDEX(Use,,3), 0))))</f>
        <v>1</v>
      </c>
      <c r="AO451" s="246"/>
      <c r="AP451" s="228" cm="1">
        <f t="array" ref="AP451">IF(W451&gt;0, INDEX(Kat, AN451,4), 0)</f>
        <v>0</v>
      </c>
      <c r="AQ451" s="228">
        <f t="shared" si="660"/>
        <v>0</v>
      </c>
      <c r="AR451" s="228" cm="1">
        <f t="array" ref="AR451">IF(X451&gt;0, INDEX(Kat, $AN451, 4+AQ451), 0)</f>
        <v>0</v>
      </c>
      <c r="AS451" s="228" cm="1">
        <f t="array" ref="AS451">IF(X451&gt;0, INDEX(Kat, $AN451, 9+AQ451), 0)</f>
        <v>0</v>
      </c>
      <c r="AT451" s="246"/>
      <c r="AU451" s="262"/>
      <c r="AV451" s="262"/>
      <c r="AW451" s="263"/>
      <c r="AX451" s="263"/>
      <c r="AY451" s="263"/>
      <c r="AZ451" s="263"/>
      <c r="BA451" s="263"/>
      <c r="BB451" s="263"/>
      <c r="BC451" s="263"/>
      <c r="BD451" s="263"/>
      <c r="BE451" s="263"/>
      <c r="BF451" s="263"/>
      <c r="BG451" s="263"/>
      <c r="BH451" s="246"/>
      <c r="BI451" s="228" cm="1">
        <f t="array" ref="BI451">INDEX(Use, $AH451, 4)</f>
        <v>7</v>
      </c>
      <c r="BJ451" s="228">
        <f t="shared" si="636"/>
        <v>32</v>
      </c>
      <c r="BK451" s="228">
        <f t="shared" si="624"/>
        <v>13</v>
      </c>
      <c r="BL451" s="228">
        <f t="shared" si="625"/>
        <v>0</v>
      </c>
      <c r="BM451" s="233" cm="1">
        <f t="array" ref="BM451">L451/IF($M451&gt;0, INDEX($AY$22:$BE$76, $M451+20, $AH451), 1)</f>
        <v>0</v>
      </c>
      <c r="BN451" s="229">
        <f t="shared" si="637"/>
        <v>0</v>
      </c>
      <c r="BO451" s="228">
        <v>35</v>
      </c>
      <c r="BP451" s="229">
        <f t="shared" si="638"/>
        <v>48</v>
      </c>
      <c r="BQ451" s="234">
        <f t="shared" si="639"/>
        <v>3.0748170731707316</v>
      </c>
      <c r="BR451" s="234" cm="1">
        <f t="array" ref="BR451">$BM451 * SUMPRODUCT(INDEX($AV$76:$AX$81,,$AI451),INDEX($AY$76:$BE$81,,$AH451), N($AU$76:$AU$81&gt;$AM451)) / BQ451 / 1000</f>
        <v>0</v>
      </c>
      <c r="BS451" s="231">
        <f t="shared" si="626"/>
        <v>30</v>
      </c>
      <c r="BT451" s="229">
        <f t="shared" si="640"/>
        <v>43</v>
      </c>
      <c r="BU451" s="234">
        <f t="shared" si="641"/>
        <v>3.5018750000000001</v>
      </c>
      <c r="BV451" s="234" cm="1">
        <f t="array" ref="BV451">$BM451 * IF($AH451&lt;=2,
SUMPRODUCT(INDEX($AV$71:$AX$75,,$AI451), INDEX($AY$71:$BE$75,,$AH451), 1 / ($BF$71:$BF$75*BU451 + (1-$BF$71:$BF$75)*BQ451), N($AU$71:$AU$75&gt;$AM451)),
SUMPRODUCT(INDEX($AV$66:$AX$75,,$AI451), INDEX($AY$66:$BE$75,,$AH451), 1 / ($BG$66:$BG$75*BU451 + (1-$BG$66:$BG$75)*BQ451), N($AU$66:$AU$75&gt;$AM451))
) / 1000</f>
        <v>0</v>
      </c>
      <c r="BW451" s="231">
        <f t="shared" si="627"/>
        <v>25</v>
      </c>
      <c r="BX451" s="229">
        <f t="shared" si="642"/>
        <v>38</v>
      </c>
      <c r="BY451" s="234">
        <f t="shared" si="643"/>
        <v>4.0666935483870965</v>
      </c>
      <c r="BZ451" s="234" cm="1">
        <f t="array" ref="BZ451">$BM451 * IF($AH451&lt;=2,
SUMPRODUCT(INDEX($AV$66:$AX$70,,$AI451), INDEX($AY$66:$BE$70,,$AH451), 1 / ($BF$66:$BF$70*BY451 + (1-$BF$66:$BF$70)*BU451), N($AU$66:$AU$70&gt;$AM451)),
SUMPRODUCT(INDEX($AV$56:$AX$65,,$AI451), INDEX($AY$56:$BE$65,,$AH451), 1 / ($BG$56:$BG$65*BY451 + (1-$BG$56:$BG$65)*BU451), N($AU$56:$AU$65&gt;$AM451))
) / 1000</f>
        <v>0</v>
      </c>
      <c r="CA451" s="231">
        <f t="shared" si="628"/>
        <v>20</v>
      </c>
      <c r="CB451" s="229">
        <f t="shared" si="644"/>
        <v>33</v>
      </c>
      <c r="CC451" s="234">
        <f t="shared" si="645"/>
        <v>4.8487499999999999</v>
      </c>
      <c r="CD451" s="234" cm="1">
        <f t="array" ref="CD451">$BM451 * IF($AH451&lt;=2,
SUMPRODUCT(INDEX($AV$61:$AX$65,,$AI451), INDEX($AY$61:$BE$65,,$AH451), 1 / ($BF$61:$BF$65*CC451 + (1-$BF$61:$BF$65)*BY451), N($AU$61:$AU$65&gt;$AM451)),
SUMPRODUCT(INDEX($AV$46:$AX$55,,$AI451), INDEX($AY$46:$BE$55,,$AH451), 1 / ($BG$46:$BG$55*CC451 + (1-$BG$46:$BG$55)*BY451), N($AU$46:$AU$55&gt;$AM451))
) / 1000</f>
        <v>0</v>
      </c>
      <c r="CE451" s="234" cm="1">
        <f t="array" ref="CE451">$BM451 * IF($AH451&lt;=2,
SUMPRODUCT(INDEX($AV$22:$AX$60,,$AI451), INDEX($AY$22:$BE$60,,$AH451), 1 / ($BF$22:$BF$60*CC451), N($AU$22:$AU$60&gt;$AM451)),
SUMPRODUCT(INDEX($AV$22:$AX$45,,$AI451), INDEX($AY$22:$BE$45,,$AH451), 1 / ($BG$22:$BG$45*CC451), N($AU$22:$AU$45&gt;$AM451))
) / 1000</f>
        <v>0</v>
      </c>
      <c r="CF451" s="229">
        <f t="shared" si="646"/>
        <v>0</v>
      </c>
      <c r="CG451" s="246"/>
      <c r="CH451" s="229">
        <f t="shared" si="647"/>
        <v>0</v>
      </c>
      <c r="CI451" s="228">
        <v>35</v>
      </c>
      <c r="CJ451" s="229">
        <f t="shared" si="648"/>
        <v>48</v>
      </c>
      <c r="CK451" s="234">
        <f t="shared" si="649"/>
        <v>3.0748170731707316</v>
      </c>
      <c r="CL451" s="234" cm="1">
        <f t="array" ref="CL451">$BM451 * SUMPRODUCT(INDEX($AV$76:$AX$81,,$AI451),INDEX($AY$76:$BE$81,,$AH451), N($AU$76:$AU$81&gt;$AM451)) / CK451 / 1000</f>
        <v>0</v>
      </c>
      <c r="CM451" s="231">
        <f t="shared" si="629"/>
        <v>30</v>
      </c>
      <c r="CN451" s="229">
        <f t="shared" si="650"/>
        <v>43</v>
      </c>
      <c r="CO451" s="234">
        <f t="shared" si="651"/>
        <v>3.5018750000000001</v>
      </c>
      <c r="CP451" s="234" cm="1">
        <f t="array" ref="CP451">$BM451 * IF($AH451&lt;=2,
SUMPRODUCT(INDEX($AV$71:$AX$75,,$AI451), INDEX($AY$71:$BE$75,,$AH451), 1 / ($BF$71:$BF$75*CO451 + (1-$BF$71:$BF$75)*CK451), N($AU$71:$AU$75&gt;$AM451)),
SUMPRODUCT(INDEX($AV$66:$AX$75,,$AI451), INDEX($AY$66:$BE$75,,$AH451), 1 / ($BG$66:$BG$75*CO451 + (1-$BG$66:$BG$75)*CK451), N($AU$66:$AU$75&gt;$AM451))
) / 1000</f>
        <v>0</v>
      </c>
      <c r="CQ451" s="231">
        <f t="shared" si="630"/>
        <v>25</v>
      </c>
      <c r="CR451" s="229">
        <f t="shared" si="652"/>
        <v>38</v>
      </c>
      <c r="CS451" s="234">
        <f t="shared" si="653"/>
        <v>4.0666935483870965</v>
      </c>
      <c r="CT451" s="234" cm="1">
        <f t="array" ref="CT451">$BM451 * IF($AH451&lt;=2,
SUMPRODUCT(INDEX($AV$66:$AX$70,,$AI451), INDEX($AY$66:$BE$70,,$AH451), 1 / ($BF$66:$BF$70*CS451 + (1-$BF$66:$BF$70)*CO451), N($AU$66:$AU$70&gt;$AM451)),
SUMPRODUCT(INDEX($AV$56:$AX$65,,$AI451), INDEX($AY$56:$BE$65,,$AH451), 1 / ($BG$56:$BG$65*CS451 + (1-$BG$56:$BG$65)*CO451), N($AU$56:$AU$65&gt;$AM451))
) / 1000</f>
        <v>0</v>
      </c>
      <c r="CU451" s="231">
        <f t="shared" si="631"/>
        <v>20</v>
      </c>
      <c r="CV451" s="229">
        <f t="shared" si="654"/>
        <v>33</v>
      </c>
      <c r="CW451" s="234">
        <f t="shared" si="655"/>
        <v>4.8487499999999999</v>
      </c>
      <c r="CX451" s="234" cm="1">
        <f t="array" ref="CX451">$BM451 * IF($AH451&lt;=2,
SUMPRODUCT(INDEX($AV$61:$AX$65,,$AI451), INDEX($AY$61:$BE$65,,$AH451), 1 / ($BF$61:$BF$65*CW451 + (1-$BF$61:$BF$65)*CS451), N($AU$61:$AU$65&gt;$AM451)),
SUMPRODUCT(INDEX($AV$46:$AX$55,,$AI451), INDEX($AY$46:$BE$55,,$AH451), 1 / ($BG$46:$BG$55*CW451 + (1-$BG$46:$BG$55)*CS451), N($AU$46:$AU$55&gt;$AM451))
) / 1000</f>
        <v>0</v>
      </c>
      <c r="CY451" s="234" cm="1">
        <f t="array" ref="CY451">$BM451 * IF($AH451&lt;=2,
SUMPRODUCT(INDEX($AV$22:$AX$60,,$AI451), INDEX($AY$22:$BE$60,,$AH451), 1 / ($BF$22:$BF$60*CW451), N($AU$22:$AU$60&gt;$AM451)),
SUMPRODUCT(INDEX($AV$22:$AX$45,,$AI451), INDEX($AY$22:$BE$45,,$AH451), 1 / ($BG$22:$BG$45*CW451), N($AU$22:$AU$45&gt;$AM451))
) / 1000</f>
        <v>0</v>
      </c>
      <c r="CZ451" s="229">
        <f t="shared" si="656"/>
        <v>0</v>
      </c>
      <c r="DA451" s="246"/>
    </row>
    <row r="452" spans="1:105" s="75" customFormat="1" ht="14.25" customHeight="1" x14ac:dyDescent="0.2">
      <c r="A452" s="230" t="b">
        <f t="shared" si="623"/>
        <v>0</v>
      </c>
      <c r="B452" s="253">
        <v>431</v>
      </c>
      <c r="C452" s="266"/>
      <c r="D452" s="266"/>
      <c r="E452" s="254"/>
      <c r="F452" s="255" t="str">
        <f>IF(ISBLANK(E452), "", VLOOKUP(E452, Z!$A$2:$C$4127, 3, FALSE))</f>
        <v/>
      </c>
      <c r="G452" s="256"/>
      <c r="H452" s="256"/>
      <c r="I452" s="256"/>
      <c r="J452" s="257"/>
      <c r="K452" s="258"/>
      <c r="L452" s="267"/>
      <c r="M452" s="268"/>
      <c r="N452" s="259" t="str" cm="1">
        <f t="array" ref="N452">IF($L452&gt;0, INDEX(Clean,1+AK452,$D$1), "")</f>
        <v/>
      </c>
      <c r="O452" s="260"/>
      <c r="P452" s="260"/>
      <c r="Q452" s="261"/>
      <c r="R452" s="264">
        <f t="shared" si="632"/>
        <v>0</v>
      </c>
      <c r="S452" s="259" t="str" cm="1">
        <f t="array" ref="S452">IF($L452&gt;0, INDEX(Clean,1+AL452,$D$1), "")</f>
        <v/>
      </c>
      <c r="T452" s="260"/>
      <c r="U452" s="260"/>
      <c r="V452" s="261"/>
      <c r="W452" s="267"/>
      <c r="X452" s="267"/>
      <c r="Y452" s="257"/>
      <c r="Z452" s="264">
        <f t="shared" si="633"/>
        <v>0</v>
      </c>
      <c r="AA452" s="269"/>
      <c r="AB452" s="266"/>
      <c r="AC452" s="254"/>
      <c r="AD452" s="255" t="str">
        <f>IF(ISBLANK(AC452), "", VLOOKUP(AC452, Z!$A$2:$C$4127, 3, FALSE))</f>
        <v/>
      </c>
      <c r="AE452" s="270"/>
      <c r="AF452" s="265">
        <f t="shared" si="634"/>
        <v>0</v>
      </c>
      <c r="AG452" s="246"/>
      <c r="AH452" s="228">
        <f t="shared" si="657"/>
        <v>1</v>
      </c>
      <c r="AI452" s="228">
        <f t="shared" si="658"/>
        <v>1</v>
      </c>
      <c r="AJ452" s="228">
        <f t="shared" si="659"/>
        <v>0</v>
      </c>
      <c r="AK452" s="228">
        <v>0</v>
      </c>
      <c r="AL452" s="228">
        <v>0</v>
      </c>
      <c r="AM452" s="228">
        <f t="shared" si="635"/>
        <v>-100</v>
      </c>
      <c r="AN452" s="228" cm="1">
        <f t="array" ref="AN452">IF(ISBLANK(G452), 1, IFERROR(MATCH(G452, INDEX(Kat,,1), 0), IFERROR(MATCH(Kat, INDEX(Use,,2), 0), MATCH(Kat, INDEX(Use,,3), 0))))</f>
        <v>1</v>
      </c>
      <c r="AO452" s="246"/>
      <c r="AP452" s="228" cm="1">
        <f t="array" ref="AP452">IF(W452&gt;0, INDEX(Kat, AN452,4), 0)</f>
        <v>0</v>
      </c>
      <c r="AQ452" s="228">
        <f t="shared" si="660"/>
        <v>0</v>
      </c>
      <c r="AR452" s="228" cm="1">
        <f t="array" ref="AR452">IF(X452&gt;0, INDEX(Kat, $AN452, 4+AQ452), 0)</f>
        <v>0</v>
      </c>
      <c r="AS452" s="228" cm="1">
        <f t="array" ref="AS452">IF(X452&gt;0, INDEX(Kat, $AN452, 9+AQ452), 0)</f>
        <v>0</v>
      </c>
      <c r="AT452" s="246"/>
      <c r="AU452" s="262"/>
      <c r="AV452" s="262"/>
      <c r="AW452" s="263"/>
      <c r="AX452" s="263"/>
      <c r="AY452" s="263"/>
      <c r="AZ452" s="263"/>
      <c r="BA452" s="263"/>
      <c r="BB452" s="263"/>
      <c r="BC452" s="263"/>
      <c r="BD452" s="263"/>
      <c r="BE452" s="263"/>
      <c r="BF452" s="263"/>
      <c r="BG452" s="263"/>
      <c r="BH452" s="246"/>
      <c r="BI452" s="228" cm="1">
        <f t="array" ref="BI452">INDEX(Use, $AH452, 4)</f>
        <v>7</v>
      </c>
      <c r="BJ452" s="228">
        <f t="shared" si="636"/>
        <v>32</v>
      </c>
      <c r="BK452" s="228">
        <f t="shared" si="624"/>
        <v>13</v>
      </c>
      <c r="BL452" s="228">
        <f t="shared" si="625"/>
        <v>0</v>
      </c>
      <c r="BM452" s="233" cm="1">
        <f t="array" ref="BM452">L452/IF($M452&gt;0, INDEX($AY$22:$BE$76, $M452+20, $AH452), 1)</f>
        <v>0</v>
      </c>
      <c r="BN452" s="229">
        <f t="shared" si="637"/>
        <v>0</v>
      </c>
      <c r="BO452" s="228">
        <v>35</v>
      </c>
      <c r="BP452" s="229">
        <f t="shared" si="638"/>
        <v>48</v>
      </c>
      <c r="BQ452" s="234">
        <f t="shared" si="639"/>
        <v>3.0748170731707316</v>
      </c>
      <c r="BR452" s="234" cm="1">
        <f t="array" ref="BR452">$BM452 * SUMPRODUCT(INDEX($AV$76:$AX$81,,$AI452),INDEX($AY$76:$BE$81,,$AH452), N($AU$76:$AU$81&gt;$AM452)) / BQ452 / 1000</f>
        <v>0</v>
      </c>
      <c r="BS452" s="231">
        <f t="shared" si="626"/>
        <v>30</v>
      </c>
      <c r="BT452" s="229">
        <f t="shared" si="640"/>
        <v>43</v>
      </c>
      <c r="BU452" s="234">
        <f t="shared" si="641"/>
        <v>3.5018750000000001</v>
      </c>
      <c r="BV452" s="234" cm="1">
        <f t="array" ref="BV452">$BM452 * IF($AH452&lt;=2,
SUMPRODUCT(INDEX($AV$71:$AX$75,,$AI452), INDEX($AY$71:$BE$75,,$AH452), 1 / ($BF$71:$BF$75*BU452 + (1-$BF$71:$BF$75)*BQ452), N($AU$71:$AU$75&gt;$AM452)),
SUMPRODUCT(INDEX($AV$66:$AX$75,,$AI452), INDEX($AY$66:$BE$75,,$AH452), 1 / ($BG$66:$BG$75*BU452 + (1-$BG$66:$BG$75)*BQ452), N($AU$66:$AU$75&gt;$AM452))
) / 1000</f>
        <v>0</v>
      </c>
      <c r="BW452" s="231">
        <f t="shared" si="627"/>
        <v>25</v>
      </c>
      <c r="BX452" s="229">
        <f t="shared" si="642"/>
        <v>38</v>
      </c>
      <c r="BY452" s="234">
        <f t="shared" si="643"/>
        <v>4.0666935483870965</v>
      </c>
      <c r="BZ452" s="234" cm="1">
        <f t="array" ref="BZ452">$BM452 * IF($AH452&lt;=2,
SUMPRODUCT(INDEX($AV$66:$AX$70,,$AI452), INDEX($AY$66:$BE$70,,$AH452), 1 / ($BF$66:$BF$70*BY452 + (1-$BF$66:$BF$70)*BU452), N($AU$66:$AU$70&gt;$AM452)),
SUMPRODUCT(INDEX($AV$56:$AX$65,,$AI452), INDEX($AY$56:$BE$65,,$AH452), 1 / ($BG$56:$BG$65*BY452 + (1-$BG$56:$BG$65)*BU452), N($AU$56:$AU$65&gt;$AM452))
) / 1000</f>
        <v>0</v>
      </c>
      <c r="CA452" s="231">
        <f t="shared" si="628"/>
        <v>20</v>
      </c>
      <c r="CB452" s="229">
        <f t="shared" si="644"/>
        <v>33</v>
      </c>
      <c r="CC452" s="234">
        <f t="shared" si="645"/>
        <v>4.8487499999999999</v>
      </c>
      <c r="CD452" s="234" cm="1">
        <f t="array" ref="CD452">$BM452 * IF($AH452&lt;=2,
SUMPRODUCT(INDEX($AV$61:$AX$65,,$AI452), INDEX($AY$61:$BE$65,,$AH452), 1 / ($BF$61:$BF$65*CC452 + (1-$BF$61:$BF$65)*BY452), N($AU$61:$AU$65&gt;$AM452)),
SUMPRODUCT(INDEX($AV$46:$AX$55,,$AI452), INDEX($AY$46:$BE$55,,$AH452), 1 / ($BG$46:$BG$55*CC452 + (1-$BG$46:$BG$55)*BY452), N($AU$46:$AU$55&gt;$AM452))
) / 1000</f>
        <v>0</v>
      </c>
      <c r="CE452" s="234" cm="1">
        <f t="array" ref="CE452">$BM452 * IF($AH452&lt;=2,
SUMPRODUCT(INDEX($AV$22:$AX$60,,$AI452), INDEX($AY$22:$BE$60,,$AH452), 1 / ($BF$22:$BF$60*CC452), N($AU$22:$AU$60&gt;$AM452)),
SUMPRODUCT(INDEX($AV$22:$AX$45,,$AI452), INDEX($AY$22:$BE$45,,$AH452), 1 / ($BG$22:$BG$45*CC452), N($AU$22:$AU$45&gt;$AM452))
) / 1000</f>
        <v>0</v>
      </c>
      <c r="CF452" s="229">
        <f t="shared" si="646"/>
        <v>0</v>
      </c>
      <c r="CG452" s="246"/>
      <c r="CH452" s="229">
        <f t="shared" si="647"/>
        <v>0</v>
      </c>
      <c r="CI452" s="228">
        <v>35</v>
      </c>
      <c r="CJ452" s="229">
        <f t="shared" si="648"/>
        <v>48</v>
      </c>
      <c r="CK452" s="234">
        <f t="shared" si="649"/>
        <v>3.0748170731707316</v>
      </c>
      <c r="CL452" s="234" cm="1">
        <f t="array" ref="CL452">$BM452 * SUMPRODUCT(INDEX($AV$76:$AX$81,,$AI452),INDEX($AY$76:$BE$81,,$AH452), N($AU$76:$AU$81&gt;$AM452)) / CK452 / 1000</f>
        <v>0</v>
      </c>
      <c r="CM452" s="231">
        <f t="shared" si="629"/>
        <v>30</v>
      </c>
      <c r="CN452" s="229">
        <f t="shared" si="650"/>
        <v>43</v>
      </c>
      <c r="CO452" s="234">
        <f t="shared" si="651"/>
        <v>3.5018750000000001</v>
      </c>
      <c r="CP452" s="234" cm="1">
        <f t="array" ref="CP452">$BM452 * IF($AH452&lt;=2,
SUMPRODUCT(INDEX($AV$71:$AX$75,,$AI452), INDEX($AY$71:$BE$75,,$AH452), 1 / ($BF$71:$BF$75*CO452 + (1-$BF$71:$BF$75)*CK452), N($AU$71:$AU$75&gt;$AM452)),
SUMPRODUCT(INDEX($AV$66:$AX$75,,$AI452), INDEX($AY$66:$BE$75,,$AH452), 1 / ($BG$66:$BG$75*CO452 + (1-$BG$66:$BG$75)*CK452), N($AU$66:$AU$75&gt;$AM452))
) / 1000</f>
        <v>0</v>
      </c>
      <c r="CQ452" s="231">
        <f t="shared" si="630"/>
        <v>25</v>
      </c>
      <c r="CR452" s="229">
        <f t="shared" si="652"/>
        <v>38</v>
      </c>
      <c r="CS452" s="234">
        <f t="shared" si="653"/>
        <v>4.0666935483870965</v>
      </c>
      <c r="CT452" s="234" cm="1">
        <f t="array" ref="CT452">$BM452 * IF($AH452&lt;=2,
SUMPRODUCT(INDEX($AV$66:$AX$70,,$AI452), INDEX($AY$66:$BE$70,,$AH452), 1 / ($BF$66:$BF$70*CS452 + (1-$BF$66:$BF$70)*CO452), N($AU$66:$AU$70&gt;$AM452)),
SUMPRODUCT(INDEX($AV$56:$AX$65,,$AI452), INDEX($AY$56:$BE$65,,$AH452), 1 / ($BG$56:$BG$65*CS452 + (1-$BG$56:$BG$65)*CO452), N($AU$56:$AU$65&gt;$AM452))
) / 1000</f>
        <v>0</v>
      </c>
      <c r="CU452" s="231">
        <f t="shared" si="631"/>
        <v>20</v>
      </c>
      <c r="CV452" s="229">
        <f t="shared" si="654"/>
        <v>33</v>
      </c>
      <c r="CW452" s="234">
        <f t="shared" si="655"/>
        <v>4.8487499999999999</v>
      </c>
      <c r="CX452" s="234" cm="1">
        <f t="array" ref="CX452">$BM452 * IF($AH452&lt;=2,
SUMPRODUCT(INDEX($AV$61:$AX$65,,$AI452), INDEX($AY$61:$BE$65,,$AH452), 1 / ($BF$61:$BF$65*CW452 + (1-$BF$61:$BF$65)*CS452), N($AU$61:$AU$65&gt;$AM452)),
SUMPRODUCT(INDEX($AV$46:$AX$55,,$AI452), INDEX($AY$46:$BE$55,,$AH452), 1 / ($BG$46:$BG$55*CW452 + (1-$BG$46:$BG$55)*CS452), N($AU$46:$AU$55&gt;$AM452))
) / 1000</f>
        <v>0</v>
      </c>
      <c r="CY452" s="234" cm="1">
        <f t="array" ref="CY452">$BM452 * IF($AH452&lt;=2,
SUMPRODUCT(INDEX($AV$22:$AX$60,,$AI452), INDEX($AY$22:$BE$60,,$AH452), 1 / ($BF$22:$BF$60*CW452), N($AU$22:$AU$60&gt;$AM452)),
SUMPRODUCT(INDEX($AV$22:$AX$45,,$AI452), INDEX($AY$22:$BE$45,,$AH452), 1 / ($BG$22:$BG$45*CW452), N($AU$22:$AU$45&gt;$AM452))
) / 1000</f>
        <v>0</v>
      </c>
      <c r="CZ452" s="229">
        <f t="shared" si="656"/>
        <v>0</v>
      </c>
      <c r="DA452" s="246"/>
    </row>
    <row r="453" spans="1:105" s="75" customFormat="1" ht="14.25" customHeight="1" x14ac:dyDescent="0.2">
      <c r="A453" s="230" t="b">
        <f t="shared" si="623"/>
        <v>0</v>
      </c>
      <c r="B453" s="253">
        <v>432</v>
      </c>
      <c r="C453" s="266"/>
      <c r="D453" s="266"/>
      <c r="E453" s="254"/>
      <c r="F453" s="255" t="str">
        <f>IF(ISBLANK(E453), "", VLOOKUP(E453, Z!$A$2:$C$4127, 3, FALSE))</f>
        <v/>
      </c>
      <c r="G453" s="256"/>
      <c r="H453" s="256"/>
      <c r="I453" s="256"/>
      <c r="J453" s="257"/>
      <c r="K453" s="258"/>
      <c r="L453" s="267"/>
      <c r="M453" s="268"/>
      <c r="N453" s="259" t="str" cm="1">
        <f t="array" ref="N453">IF($L453&gt;0, INDEX(Clean,1+AK453,$D$1), "")</f>
        <v/>
      </c>
      <c r="O453" s="260"/>
      <c r="P453" s="260"/>
      <c r="Q453" s="261"/>
      <c r="R453" s="264">
        <f t="shared" si="632"/>
        <v>0</v>
      </c>
      <c r="S453" s="259" t="str" cm="1">
        <f t="array" ref="S453">IF($L453&gt;0, INDEX(Clean,1+AL453,$D$1), "")</f>
        <v/>
      </c>
      <c r="T453" s="260"/>
      <c r="U453" s="260"/>
      <c r="V453" s="261"/>
      <c r="W453" s="267"/>
      <c r="X453" s="267"/>
      <c r="Y453" s="257"/>
      <c r="Z453" s="264">
        <f t="shared" si="633"/>
        <v>0</v>
      </c>
      <c r="AA453" s="269"/>
      <c r="AB453" s="266"/>
      <c r="AC453" s="254"/>
      <c r="AD453" s="255" t="str">
        <f>IF(ISBLANK(AC453), "", VLOOKUP(AC453, Z!$A$2:$C$4127, 3, FALSE))</f>
        <v/>
      </c>
      <c r="AE453" s="270"/>
      <c r="AF453" s="265">
        <f t="shared" si="634"/>
        <v>0</v>
      </c>
      <c r="AG453" s="246"/>
      <c r="AH453" s="228">
        <f t="shared" si="657"/>
        <v>1</v>
      </c>
      <c r="AI453" s="228">
        <f t="shared" si="658"/>
        <v>1</v>
      </c>
      <c r="AJ453" s="228">
        <f t="shared" si="659"/>
        <v>0</v>
      </c>
      <c r="AK453" s="228">
        <v>0</v>
      </c>
      <c r="AL453" s="228">
        <v>0</v>
      </c>
      <c r="AM453" s="228">
        <f t="shared" si="635"/>
        <v>-100</v>
      </c>
      <c r="AN453" s="228" cm="1">
        <f t="array" ref="AN453">IF(ISBLANK(G453), 1, IFERROR(MATCH(G453, INDEX(Kat,,1), 0), IFERROR(MATCH(Kat, INDEX(Use,,2), 0), MATCH(Kat, INDEX(Use,,3), 0))))</f>
        <v>1</v>
      </c>
      <c r="AO453" s="246"/>
      <c r="AP453" s="228" cm="1">
        <f t="array" ref="AP453">IF(W453&gt;0, INDEX(Kat, AN453,4), 0)</f>
        <v>0</v>
      </c>
      <c r="AQ453" s="228">
        <f t="shared" si="660"/>
        <v>0</v>
      </c>
      <c r="AR453" s="228" cm="1">
        <f t="array" ref="AR453">IF(X453&gt;0, INDEX(Kat, $AN453, 4+AQ453), 0)</f>
        <v>0</v>
      </c>
      <c r="AS453" s="228" cm="1">
        <f t="array" ref="AS453">IF(X453&gt;0, INDEX(Kat, $AN453, 9+AQ453), 0)</f>
        <v>0</v>
      </c>
      <c r="AT453" s="246"/>
      <c r="AU453" s="262"/>
      <c r="AV453" s="262"/>
      <c r="AW453" s="263"/>
      <c r="AX453" s="263"/>
      <c r="AY453" s="263"/>
      <c r="AZ453" s="263"/>
      <c r="BA453" s="263"/>
      <c r="BB453" s="263"/>
      <c r="BC453" s="263"/>
      <c r="BD453" s="263"/>
      <c r="BE453" s="263"/>
      <c r="BF453" s="263"/>
      <c r="BG453" s="263"/>
      <c r="BH453" s="246"/>
      <c r="BI453" s="228" cm="1">
        <f t="array" ref="BI453">INDEX(Use, $AH453, 4)</f>
        <v>7</v>
      </c>
      <c r="BJ453" s="228">
        <f t="shared" si="636"/>
        <v>32</v>
      </c>
      <c r="BK453" s="228">
        <f t="shared" si="624"/>
        <v>13</v>
      </c>
      <c r="BL453" s="228">
        <f t="shared" si="625"/>
        <v>0</v>
      </c>
      <c r="BM453" s="233" cm="1">
        <f t="array" ref="BM453">L453/IF($M453&gt;0, INDEX($AY$22:$BE$76, $M453+20, $AH453), 1)</f>
        <v>0</v>
      </c>
      <c r="BN453" s="229">
        <f t="shared" si="637"/>
        <v>0</v>
      </c>
      <c r="BO453" s="228">
        <v>35</v>
      </c>
      <c r="BP453" s="229">
        <f t="shared" si="638"/>
        <v>48</v>
      </c>
      <c r="BQ453" s="234">
        <f t="shared" si="639"/>
        <v>3.0748170731707316</v>
      </c>
      <c r="BR453" s="234" cm="1">
        <f t="array" ref="BR453">$BM453 * SUMPRODUCT(INDEX($AV$76:$AX$81,,$AI453),INDEX($AY$76:$BE$81,,$AH453), N($AU$76:$AU$81&gt;$AM453)) / BQ453 / 1000</f>
        <v>0</v>
      </c>
      <c r="BS453" s="231">
        <f t="shared" si="626"/>
        <v>30</v>
      </c>
      <c r="BT453" s="229">
        <f t="shared" si="640"/>
        <v>43</v>
      </c>
      <c r="BU453" s="234">
        <f t="shared" si="641"/>
        <v>3.5018750000000001</v>
      </c>
      <c r="BV453" s="234" cm="1">
        <f t="array" ref="BV453">$BM453 * IF($AH453&lt;=2,
SUMPRODUCT(INDEX($AV$71:$AX$75,,$AI453), INDEX($AY$71:$BE$75,,$AH453), 1 / ($BF$71:$BF$75*BU453 + (1-$BF$71:$BF$75)*BQ453), N($AU$71:$AU$75&gt;$AM453)),
SUMPRODUCT(INDEX($AV$66:$AX$75,,$AI453), INDEX($AY$66:$BE$75,,$AH453), 1 / ($BG$66:$BG$75*BU453 + (1-$BG$66:$BG$75)*BQ453), N($AU$66:$AU$75&gt;$AM453))
) / 1000</f>
        <v>0</v>
      </c>
      <c r="BW453" s="231">
        <f t="shared" si="627"/>
        <v>25</v>
      </c>
      <c r="BX453" s="229">
        <f t="shared" si="642"/>
        <v>38</v>
      </c>
      <c r="BY453" s="234">
        <f t="shared" si="643"/>
        <v>4.0666935483870965</v>
      </c>
      <c r="BZ453" s="234" cm="1">
        <f t="array" ref="BZ453">$BM453 * IF($AH453&lt;=2,
SUMPRODUCT(INDEX($AV$66:$AX$70,,$AI453), INDEX($AY$66:$BE$70,,$AH453), 1 / ($BF$66:$BF$70*BY453 + (1-$BF$66:$BF$70)*BU453), N($AU$66:$AU$70&gt;$AM453)),
SUMPRODUCT(INDEX($AV$56:$AX$65,,$AI453), INDEX($AY$56:$BE$65,,$AH453), 1 / ($BG$56:$BG$65*BY453 + (1-$BG$56:$BG$65)*BU453), N($AU$56:$AU$65&gt;$AM453))
) / 1000</f>
        <v>0</v>
      </c>
      <c r="CA453" s="231">
        <f t="shared" si="628"/>
        <v>20</v>
      </c>
      <c r="CB453" s="229">
        <f t="shared" si="644"/>
        <v>33</v>
      </c>
      <c r="CC453" s="234">
        <f t="shared" si="645"/>
        <v>4.8487499999999999</v>
      </c>
      <c r="CD453" s="234" cm="1">
        <f t="array" ref="CD453">$BM453 * IF($AH453&lt;=2,
SUMPRODUCT(INDEX($AV$61:$AX$65,,$AI453), INDEX($AY$61:$BE$65,,$AH453), 1 / ($BF$61:$BF$65*CC453 + (1-$BF$61:$BF$65)*BY453), N($AU$61:$AU$65&gt;$AM453)),
SUMPRODUCT(INDEX($AV$46:$AX$55,,$AI453), INDEX($AY$46:$BE$55,,$AH453), 1 / ($BG$46:$BG$55*CC453 + (1-$BG$46:$BG$55)*BY453), N($AU$46:$AU$55&gt;$AM453))
) / 1000</f>
        <v>0</v>
      </c>
      <c r="CE453" s="234" cm="1">
        <f t="array" ref="CE453">$BM453 * IF($AH453&lt;=2,
SUMPRODUCT(INDEX($AV$22:$AX$60,,$AI453), INDEX($AY$22:$BE$60,,$AH453), 1 / ($BF$22:$BF$60*CC453), N($AU$22:$AU$60&gt;$AM453)),
SUMPRODUCT(INDEX($AV$22:$AX$45,,$AI453), INDEX($AY$22:$BE$45,,$AH453), 1 / ($BG$22:$BG$45*CC453), N($AU$22:$AU$45&gt;$AM453))
) / 1000</f>
        <v>0</v>
      </c>
      <c r="CF453" s="229">
        <f t="shared" si="646"/>
        <v>0</v>
      </c>
      <c r="CG453" s="246"/>
      <c r="CH453" s="229">
        <f t="shared" si="647"/>
        <v>0</v>
      </c>
      <c r="CI453" s="228">
        <v>35</v>
      </c>
      <c r="CJ453" s="229">
        <f t="shared" si="648"/>
        <v>48</v>
      </c>
      <c r="CK453" s="234">
        <f t="shared" si="649"/>
        <v>3.0748170731707316</v>
      </c>
      <c r="CL453" s="234" cm="1">
        <f t="array" ref="CL453">$BM453 * SUMPRODUCT(INDEX($AV$76:$AX$81,,$AI453),INDEX($AY$76:$BE$81,,$AH453), N($AU$76:$AU$81&gt;$AM453)) / CK453 / 1000</f>
        <v>0</v>
      </c>
      <c r="CM453" s="231">
        <f t="shared" si="629"/>
        <v>30</v>
      </c>
      <c r="CN453" s="229">
        <f t="shared" si="650"/>
        <v>43</v>
      </c>
      <c r="CO453" s="234">
        <f t="shared" si="651"/>
        <v>3.5018750000000001</v>
      </c>
      <c r="CP453" s="234" cm="1">
        <f t="array" ref="CP453">$BM453 * IF($AH453&lt;=2,
SUMPRODUCT(INDEX($AV$71:$AX$75,,$AI453), INDEX($AY$71:$BE$75,,$AH453), 1 / ($BF$71:$BF$75*CO453 + (1-$BF$71:$BF$75)*CK453), N($AU$71:$AU$75&gt;$AM453)),
SUMPRODUCT(INDEX($AV$66:$AX$75,,$AI453), INDEX($AY$66:$BE$75,,$AH453), 1 / ($BG$66:$BG$75*CO453 + (1-$BG$66:$BG$75)*CK453), N($AU$66:$AU$75&gt;$AM453))
) / 1000</f>
        <v>0</v>
      </c>
      <c r="CQ453" s="231">
        <f t="shared" si="630"/>
        <v>25</v>
      </c>
      <c r="CR453" s="229">
        <f t="shared" si="652"/>
        <v>38</v>
      </c>
      <c r="CS453" s="234">
        <f t="shared" si="653"/>
        <v>4.0666935483870965</v>
      </c>
      <c r="CT453" s="234" cm="1">
        <f t="array" ref="CT453">$BM453 * IF($AH453&lt;=2,
SUMPRODUCT(INDEX($AV$66:$AX$70,,$AI453), INDEX($AY$66:$BE$70,,$AH453), 1 / ($BF$66:$BF$70*CS453 + (1-$BF$66:$BF$70)*CO453), N($AU$66:$AU$70&gt;$AM453)),
SUMPRODUCT(INDEX($AV$56:$AX$65,,$AI453), INDEX($AY$56:$BE$65,,$AH453), 1 / ($BG$56:$BG$65*CS453 + (1-$BG$56:$BG$65)*CO453), N($AU$56:$AU$65&gt;$AM453))
) / 1000</f>
        <v>0</v>
      </c>
      <c r="CU453" s="231">
        <f t="shared" si="631"/>
        <v>20</v>
      </c>
      <c r="CV453" s="229">
        <f t="shared" si="654"/>
        <v>33</v>
      </c>
      <c r="CW453" s="234">
        <f t="shared" si="655"/>
        <v>4.8487499999999999</v>
      </c>
      <c r="CX453" s="234" cm="1">
        <f t="array" ref="CX453">$BM453 * IF($AH453&lt;=2,
SUMPRODUCT(INDEX($AV$61:$AX$65,,$AI453), INDEX($AY$61:$BE$65,,$AH453), 1 / ($BF$61:$BF$65*CW453 + (1-$BF$61:$BF$65)*CS453), N($AU$61:$AU$65&gt;$AM453)),
SUMPRODUCT(INDEX($AV$46:$AX$55,,$AI453), INDEX($AY$46:$BE$55,,$AH453), 1 / ($BG$46:$BG$55*CW453 + (1-$BG$46:$BG$55)*CS453), N($AU$46:$AU$55&gt;$AM453))
) / 1000</f>
        <v>0</v>
      </c>
      <c r="CY453" s="234" cm="1">
        <f t="array" ref="CY453">$BM453 * IF($AH453&lt;=2,
SUMPRODUCT(INDEX($AV$22:$AX$60,,$AI453), INDEX($AY$22:$BE$60,,$AH453), 1 / ($BF$22:$BF$60*CW453), N($AU$22:$AU$60&gt;$AM453)),
SUMPRODUCT(INDEX($AV$22:$AX$45,,$AI453), INDEX($AY$22:$BE$45,,$AH453), 1 / ($BG$22:$BG$45*CW453), N($AU$22:$AU$45&gt;$AM453))
) / 1000</f>
        <v>0</v>
      </c>
      <c r="CZ453" s="229">
        <f t="shared" si="656"/>
        <v>0</v>
      </c>
      <c r="DA453" s="246"/>
    </row>
    <row r="454" spans="1:105" s="75" customFormat="1" ht="14.25" customHeight="1" x14ac:dyDescent="0.2">
      <c r="A454" s="230" t="b">
        <f t="shared" si="623"/>
        <v>0</v>
      </c>
      <c r="B454" s="253">
        <v>433</v>
      </c>
      <c r="C454" s="266"/>
      <c r="D454" s="266"/>
      <c r="E454" s="254"/>
      <c r="F454" s="255" t="str">
        <f>IF(ISBLANK(E454), "", VLOOKUP(E454, Z!$A$2:$C$4127, 3, FALSE))</f>
        <v/>
      </c>
      <c r="G454" s="256"/>
      <c r="H454" s="256"/>
      <c r="I454" s="256"/>
      <c r="J454" s="257"/>
      <c r="K454" s="258"/>
      <c r="L454" s="267"/>
      <c r="M454" s="268"/>
      <c r="N454" s="259" t="str" cm="1">
        <f t="array" ref="N454">IF($L454&gt;0, INDEX(Clean,1+AK454,$D$1), "")</f>
        <v/>
      </c>
      <c r="O454" s="260"/>
      <c r="P454" s="260"/>
      <c r="Q454" s="261"/>
      <c r="R454" s="264">
        <f t="shared" si="632"/>
        <v>0</v>
      </c>
      <c r="S454" s="259" t="str" cm="1">
        <f t="array" ref="S454">IF($L454&gt;0, INDEX(Clean,1+AL454,$D$1), "")</f>
        <v/>
      </c>
      <c r="T454" s="260"/>
      <c r="U454" s="260"/>
      <c r="V454" s="261"/>
      <c r="W454" s="267"/>
      <c r="X454" s="267"/>
      <c r="Y454" s="257"/>
      <c r="Z454" s="264">
        <f t="shared" si="633"/>
        <v>0</v>
      </c>
      <c r="AA454" s="269"/>
      <c r="AB454" s="266"/>
      <c r="AC454" s="254"/>
      <c r="AD454" s="255" t="str">
        <f>IF(ISBLANK(AC454), "", VLOOKUP(AC454, Z!$A$2:$C$4127, 3, FALSE))</f>
        <v/>
      </c>
      <c r="AE454" s="270"/>
      <c r="AF454" s="265">
        <f t="shared" si="634"/>
        <v>0</v>
      </c>
      <c r="AG454" s="246"/>
      <c r="AH454" s="228">
        <f t="shared" si="657"/>
        <v>1</v>
      </c>
      <c r="AI454" s="228">
        <f t="shared" si="658"/>
        <v>1</v>
      </c>
      <c r="AJ454" s="228">
        <f t="shared" si="659"/>
        <v>0</v>
      </c>
      <c r="AK454" s="228">
        <v>0</v>
      </c>
      <c r="AL454" s="228">
        <v>0</v>
      </c>
      <c r="AM454" s="228">
        <f t="shared" si="635"/>
        <v>-100</v>
      </c>
      <c r="AN454" s="228" cm="1">
        <f t="array" ref="AN454">IF(ISBLANK(G454), 1, IFERROR(MATCH(G454, INDEX(Kat,,1), 0), IFERROR(MATCH(Kat, INDEX(Use,,2), 0), MATCH(Kat, INDEX(Use,,3), 0))))</f>
        <v>1</v>
      </c>
      <c r="AO454" s="246"/>
      <c r="AP454" s="228" cm="1">
        <f t="array" ref="AP454">IF(W454&gt;0, INDEX(Kat, AN454,4), 0)</f>
        <v>0</v>
      </c>
      <c r="AQ454" s="228">
        <f t="shared" si="660"/>
        <v>0</v>
      </c>
      <c r="AR454" s="228" cm="1">
        <f t="array" ref="AR454">IF(X454&gt;0, INDEX(Kat, $AN454, 4+AQ454), 0)</f>
        <v>0</v>
      </c>
      <c r="AS454" s="228" cm="1">
        <f t="array" ref="AS454">IF(X454&gt;0, INDEX(Kat, $AN454, 9+AQ454), 0)</f>
        <v>0</v>
      </c>
      <c r="AT454" s="246"/>
      <c r="AU454" s="262"/>
      <c r="AV454" s="262"/>
      <c r="AW454" s="263"/>
      <c r="AX454" s="263"/>
      <c r="AY454" s="263"/>
      <c r="AZ454" s="263"/>
      <c r="BA454" s="263"/>
      <c r="BB454" s="263"/>
      <c r="BC454" s="263"/>
      <c r="BD454" s="263"/>
      <c r="BE454" s="263"/>
      <c r="BF454" s="263"/>
      <c r="BG454" s="263"/>
      <c r="BH454" s="246"/>
      <c r="BI454" s="228" cm="1">
        <f t="array" ref="BI454">INDEX(Use, $AH454, 4)</f>
        <v>7</v>
      </c>
      <c r="BJ454" s="228">
        <f t="shared" si="636"/>
        <v>32</v>
      </c>
      <c r="BK454" s="228">
        <f t="shared" si="624"/>
        <v>13</v>
      </c>
      <c r="BL454" s="228">
        <f t="shared" si="625"/>
        <v>0</v>
      </c>
      <c r="BM454" s="233" cm="1">
        <f t="array" ref="BM454">L454/IF($M454&gt;0, INDEX($AY$22:$BE$76, $M454+20, $AH454), 1)</f>
        <v>0</v>
      </c>
      <c r="BN454" s="229">
        <f t="shared" si="637"/>
        <v>0</v>
      </c>
      <c r="BO454" s="228">
        <v>35</v>
      </c>
      <c r="BP454" s="229">
        <f t="shared" si="638"/>
        <v>48</v>
      </c>
      <c r="BQ454" s="234">
        <f t="shared" si="639"/>
        <v>3.0748170731707316</v>
      </c>
      <c r="BR454" s="234" cm="1">
        <f t="array" ref="BR454">$BM454 * SUMPRODUCT(INDEX($AV$76:$AX$81,,$AI454),INDEX($AY$76:$BE$81,,$AH454), N($AU$76:$AU$81&gt;$AM454)) / BQ454 / 1000</f>
        <v>0</v>
      </c>
      <c r="BS454" s="231">
        <f t="shared" si="626"/>
        <v>30</v>
      </c>
      <c r="BT454" s="229">
        <f t="shared" si="640"/>
        <v>43</v>
      </c>
      <c r="BU454" s="234">
        <f t="shared" si="641"/>
        <v>3.5018750000000001</v>
      </c>
      <c r="BV454" s="234" cm="1">
        <f t="array" ref="BV454">$BM454 * IF($AH454&lt;=2,
SUMPRODUCT(INDEX($AV$71:$AX$75,,$AI454), INDEX($AY$71:$BE$75,,$AH454), 1 / ($BF$71:$BF$75*BU454 + (1-$BF$71:$BF$75)*BQ454), N($AU$71:$AU$75&gt;$AM454)),
SUMPRODUCT(INDEX($AV$66:$AX$75,,$AI454), INDEX($AY$66:$BE$75,,$AH454), 1 / ($BG$66:$BG$75*BU454 + (1-$BG$66:$BG$75)*BQ454), N($AU$66:$AU$75&gt;$AM454))
) / 1000</f>
        <v>0</v>
      </c>
      <c r="BW454" s="231">
        <f t="shared" si="627"/>
        <v>25</v>
      </c>
      <c r="BX454" s="229">
        <f t="shared" si="642"/>
        <v>38</v>
      </c>
      <c r="BY454" s="234">
        <f t="shared" si="643"/>
        <v>4.0666935483870965</v>
      </c>
      <c r="BZ454" s="234" cm="1">
        <f t="array" ref="BZ454">$BM454 * IF($AH454&lt;=2,
SUMPRODUCT(INDEX($AV$66:$AX$70,,$AI454), INDEX($AY$66:$BE$70,,$AH454), 1 / ($BF$66:$BF$70*BY454 + (1-$BF$66:$BF$70)*BU454), N($AU$66:$AU$70&gt;$AM454)),
SUMPRODUCT(INDEX($AV$56:$AX$65,,$AI454), INDEX($AY$56:$BE$65,,$AH454), 1 / ($BG$56:$BG$65*BY454 + (1-$BG$56:$BG$65)*BU454), N($AU$56:$AU$65&gt;$AM454))
) / 1000</f>
        <v>0</v>
      </c>
      <c r="CA454" s="231">
        <f t="shared" si="628"/>
        <v>20</v>
      </c>
      <c r="CB454" s="229">
        <f t="shared" si="644"/>
        <v>33</v>
      </c>
      <c r="CC454" s="234">
        <f t="shared" si="645"/>
        <v>4.8487499999999999</v>
      </c>
      <c r="CD454" s="234" cm="1">
        <f t="array" ref="CD454">$BM454 * IF($AH454&lt;=2,
SUMPRODUCT(INDEX($AV$61:$AX$65,,$AI454), INDEX($AY$61:$BE$65,,$AH454), 1 / ($BF$61:$BF$65*CC454 + (1-$BF$61:$BF$65)*BY454), N($AU$61:$AU$65&gt;$AM454)),
SUMPRODUCT(INDEX($AV$46:$AX$55,,$AI454), INDEX($AY$46:$BE$55,,$AH454), 1 / ($BG$46:$BG$55*CC454 + (1-$BG$46:$BG$55)*BY454), N($AU$46:$AU$55&gt;$AM454))
) / 1000</f>
        <v>0</v>
      </c>
      <c r="CE454" s="234" cm="1">
        <f t="array" ref="CE454">$BM454 * IF($AH454&lt;=2,
SUMPRODUCT(INDEX($AV$22:$AX$60,,$AI454), INDEX($AY$22:$BE$60,,$AH454), 1 / ($BF$22:$BF$60*CC454), N($AU$22:$AU$60&gt;$AM454)),
SUMPRODUCT(INDEX($AV$22:$AX$45,,$AI454), INDEX($AY$22:$BE$45,,$AH454), 1 / ($BG$22:$BG$45*CC454), N($AU$22:$AU$45&gt;$AM454))
) / 1000</f>
        <v>0</v>
      </c>
      <c r="CF454" s="229">
        <f t="shared" si="646"/>
        <v>0</v>
      </c>
      <c r="CG454" s="246"/>
      <c r="CH454" s="229">
        <f t="shared" si="647"/>
        <v>0</v>
      </c>
      <c r="CI454" s="228">
        <v>35</v>
      </c>
      <c r="CJ454" s="229">
        <f t="shared" si="648"/>
        <v>48</v>
      </c>
      <c r="CK454" s="234">
        <f t="shared" si="649"/>
        <v>3.0748170731707316</v>
      </c>
      <c r="CL454" s="234" cm="1">
        <f t="array" ref="CL454">$BM454 * SUMPRODUCT(INDEX($AV$76:$AX$81,,$AI454),INDEX($AY$76:$BE$81,,$AH454), N($AU$76:$AU$81&gt;$AM454)) / CK454 / 1000</f>
        <v>0</v>
      </c>
      <c r="CM454" s="231">
        <f t="shared" si="629"/>
        <v>30</v>
      </c>
      <c r="CN454" s="229">
        <f t="shared" si="650"/>
        <v>43</v>
      </c>
      <c r="CO454" s="234">
        <f t="shared" si="651"/>
        <v>3.5018750000000001</v>
      </c>
      <c r="CP454" s="234" cm="1">
        <f t="array" ref="CP454">$BM454 * IF($AH454&lt;=2,
SUMPRODUCT(INDEX($AV$71:$AX$75,,$AI454), INDEX($AY$71:$BE$75,,$AH454), 1 / ($BF$71:$BF$75*CO454 + (1-$BF$71:$BF$75)*CK454), N($AU$71:$AU$75&gt;$AM454)),
SUMPRODUCT(INDEX($AV$66:$AX$75,,$AI454), INDEX($AY$66:$BE$75,,$AH454), 1 / ($BG$66:$BG$75*CO454 + (1-$BG$66:$BG$75)*CK454), N($AU$66:$AU$75&gt;$AM454))
) / 1000</f>
        <v>0</v>
      </c>
      <c r="CQ454" s="231">
        <f t="shared" si="630"/>
        <v>25</v>
      </c>
      <c r="CR454" s="229">
        <f t="shared" si="652"/>
        <v>38</v>
      </c>
      <c r="CS454" s="234">
        <f t="shared" si="653"/>
        <v>4.0666935483870965</v>
      </c>
      <c r="CT454" s="234" cm="1">
        <f t="array" ref="CT454">$BM454 * IF($AH454&lt;=2,
SUMPRODUCT(INDEX($AV$66:$AX$70,,$AI454), INDEX($AY$66:$BE$70,,$AH454), 1 / ($BF$66:$BF$70*CS454 + (1-$BF$66:$BF$70)*CO454), N($AU$66:$AU$70&gt;$AM454)),
SUMPRODUCT(INDEX($AV$56:$AX$65,,$AI454), INDEX($AY$56:$BE$65,,$AH454), 1 / ($BG$56:$BG$65*CS454 + (1-$BG$56:$BG$65)*CO454), N($AU$56:$AU$65&gt;$AM454))
) / 1000</f>
        <v>0</v>
      </c>
      <c r="CU454" s="231">
        <f t="shared" si="631"/>
        <v>20</v>
      </c>
      <c r="CV454" s="229">
        <f t="shared" si="654"/>
        <v>33</v>
      </c>
      <c r="CW454" s="234">
        <f t="shared" si="655"/>
        <v>4.8487499999999999</v>
      </c>
      <c r="CX454" s="234" cm="1">
        <f t="array" ref="CX454">$BM454 * IF($AH454&lt;=2,
SUMPRODUCT(INDEX($AV$61:$AX$65,,$AI454), INDEX($AY$61:$BE$65,,$AH454), 1 / ($BF$61:$BF$65*CW454 + (1-$BF$61:$BF$65)*CS454), N($AU$61:$AU$65&gt;$AM454)),
SUMPRODUCT(INDEX($AV$46:$AX$55,,$AI454), INDEX($AY$46:$BE$55,,$AH454), 1 / ($BG$46:$BG$55*CW454 + (1-$BG$46:$BG$55)*CS454), N($AU$46:$AU$55&gt;$AM454))
) / 1000</f>
        <v>0</v>
      </c>
      <c r="CY454" s="234" cm="1">
        <f t="array" ref="CY454">$BM454 * IF($AH454&lt;=2,
SUMPRODUCT(INDEX($AV$22:$AX$60,,$AI454), INDEX($AY$22:$BE$60,,$AH454), 1 / ($BF$22:$BF$60*CW454), N($AU$22:$AU$60&gt;$AM454)),
SUMPRODUCT(INDEX($AV$22:$AX$45,,$AI454), INDEX($AY$22:$BE$45,,$AH454), 1 / ($BG$22:$BG$45*CW454), N($AU$22:$AU$45&gt;$AM454))
) / 1000</f>
        <v>0</v>
      </c>
      <c r="CZ454" s="229">
        <f t="shared" si="656"/>
        <v>0</v>
      </c>
      <c r="DA454" s="246"/>
    </row>
    <row r="455" spans="1:105" s="75" customFormat="1" ht="14.25" customHeight="1" x14ac:dyDescent="0.2">
      <c r="A455" s="230" t="b">
        <f t="shared" si="623"/>
        <v>0</v>
      </c>
      <c r="B455" s="253">
        <v>434</v>
      </c>
      <c r="C455" s="266"/>
      <c r="D455" s="266"/>
      <c r="E455" s="254"/>
      <c r="F455" s="255" t="str">
        <f>IF(ISBLANK(E455), "", VLOOKUP(E455, Z!$A$2:$C$4127, 3, FALSE))</f>
        <v/>
      </c>
      <c r="G455" s="256"/>
      <c r="H455" s="256"/>
      <c r="I455" s="256"/>
      <c r="J455" s="257"/>
      <c r="K455" s="258"/>
      <c r="L455" s="267"/>
      <c r="M455" s="268"/>
      <c r="N455" s="259" t="str" cm="1">
        <f t="array" ref="N455">IF($L455&gt;0, INDEX(Clean,1+AK455,$D$1), "")</f>
        <v/>
      </c>
      <c r="O455" s="260"/>
      <c r="P455" s="260"/>
      <c r="Q455" s="261"/>
      <c r="R455" s="264">
        <f t="shared" si="632"/>
        <v>0</v>
      </c>
      <c r="S455" s="259" t="str" cm="1">
        <f t="array" ref="S455">IF($L455&gt;0, INDEX(Clean,1+AL455,$D$1), "")</f>
        <v/>
      </c>
      <c r="T455" s="260"/>
      <c r="U455" s="260"/>
      <c r="V455" s="261"/>
      <c r="W455" s="267"/>
      <c r="X455" s="267"/>
      <c r="Y455" s="257"/>
      <c r="Z455" s="264">
        <f t="shared" si="633"/>
        <v>0</v>
      </c>
      <c r="AA455" s="269"/>
      <c r="AB455" s="266"/>
      <c r="AC455" s="254"/>
      <c r="AD455" s="255" t="str">
        <f>IF(ISBLANK(AC455), "", VLOOKUP(AC455, Z!$A$2:$C$4127, 3, FALSE))</f>
        <v/>
      </c>
      <c r="AE455" s="270"/>
      <c r="AF455" s="265">
        <f t="shared" si="634"/>
        <v>0</v>
      </c>
      <c r="AG455" s="246"/>
      <c r="AH455" s="228">
        <f t="shared" si="657"/>
        <v>1</v>
      </c>
      <c r="AI455" s="228">
        <f t="shared" si="658"/>
        <v>1</v>
      </c>
      <c r="AJ455" s="228">
        <f t="shared" si="659"/>
        <v>0</v>
      </c>
      <c r="AK455" s="228">
        <v>0</v>
      </c>
      <c r="AL455" s="228">
        <v>0</v>
      </c>
      <c r="AM455" s="228">
        <f t="shared" si="635"/>
        <v>-100</v>
      </c>
      <c r="AN455" s="228" cm="1">
        <f t="array" ref="AN455">IF(ISBLANK(G455), 1, IFERROR(MATCH(G455, INDEX(Kat,,1), 0), IFERROR(MATCH(Kat, INDEX(Use,,2), 0), MATCH(Kat, INDEX(Use,,3), 0))))</f>
        <v>1</v>
      </c>
      <c r="AO455" s="246"/>
      <c r="AP455" s="228" cm="1">
        <f t="array" ref="AP455">IF(W455&gt;0, INDEX(Kat, AN455,4), 0)</f>
        <v>0</v>
      </c>
      <c r="AQ455" s="228">
        <f t="shared" si="660"/>
        <v>0</v>
      </c>
      <c r="AR455" s="228" cm="1">
        <f t="array" ref="AR455">IF(X455&gt;0, INDEX(Kat, $AN455, 4+AQ455), 0)</f>
        <v>0</v>
      </c>
      <c r="AS455" s="228" cm="1">
        <f t="array" ref="AS455">IF(X455&gt;0, INDEX(Kat, $AN455, 9+AQ455), 0)</f>
        <v>0</v>
      </c>
      <c r="AT455" s="246"/>
      <c r="AU455" s="262"/>
      <c r="AV455" s="262"/>
      <c r="AW455" s="263"/>
      <c r="AX455" s="263"/>
      <c r="AY455" s="263"/>
      <c r="AZ455" s="263"/>
      <c r="BA455" s="263"/>
      <c r="BB455" s="263"/>
      <c r="BC455" s="263"/>
      <c r="BD455" s="263"/>
      <c r="BE455" s="263"/>
      <c r="BF455" s="263"/>
      <c r="BG455" s="263"/>
      <c r="BH455" s="246"/>
      <c r="BI455" s="228" cm="1">
        <f t="array" ref="BI455">INDEX(Use, $AH455, 4)</f>
        <v>7</v>
      </c>
      <c r="BJ455" s="228">
        <f t="shared" si="636"/>
        <v>32</v>
      </c>
      <c r="BK455" s="228">
        <f t="shared" si="624"/>
        <v>13</v>
      </c>
      <c r="BL455" s="228">
        <f t="shared" si="625"/>
        <v>0</v>
      </c>
      <c r="BM455" s="233" cm="1">
        <f t="array" ref="BM455">L455/IF($M455&gt;0, INDEX($AY$22:$BE$76, $M455+20, $AH455), 1)</f>
        <v>0</v>
      </c>
      <c r="BN455" s="229">
        <f t="shared" si="637"/>
        <v>0</v>
      </c>
      <c r="BO455" s="228">
        <v>35</v>
      </c>
      <c r="BP455" s="229">
        <f t="shared" si="638"/>
        <v>48</v>
      </c>
      <c r="BQ455" s="234">
        <f t="shared" si="639"/>
        <v>3.0748170731707316</v>
      </c>
      <c r="BR455" s="234" cm="1">
        <f t="array" ref="BR455">$BM455 * SUMPRODUCT(INDEX($AV$76:$AX$81,,$AI455),INDEX($AY$76:$BE$81,,$AH455), N($AU$76:$AU$81&gt;$AM455)) / BQ455 / 1000</f>
        <v>0</v>
      </c>
      <c r="BS455" s="231">
        <f t="shared" si="626"/>
        <v>30</v>
      </c>
      <c r="BT455" s="229">
        <f t="shared" si="640"/>
        <v>43</v>
      </c>
      <c r="BU455" s="234">
        <f t="shared" si="641"/>
        <v>3.5018750000000001</v>
      </c>
      <c r="BV455" s="234" cm="1">
        <f t="array" ref="BV455">$BM455 * IF($AH455&lt;=2,
SUMPRODUCT(INDEX($AV$71:$AX$75,,$AI455), INDEX($AY$71:$BE$75,,$AH455), 1 / ($BF$71:$BF$75*BU455 + (1-$BF$71:$BF$75)*BQ455), N($AU$71:$AU$75&gt;$AM455)),
SUMPRODUCT(INDEX($AV$66:$AX$75,,$AI455), INDEX($AY$66:$BE$75,,$AH455), 1 / ($BG$66:$BG$75*BU455 + (1-$BG$66:$BG$75)*BQ455), N($AU$66:$AU$75&gt;$AM455))
) / 1000</f>
        <v>0</v>
      </c>
      <c r="BW455" s="231">
        <f t="shared" si="627"/>
        <v>25</v>
      </c>
      <c r="BX455" s="229">
        <f t="shared" si="642"/>
        <v>38</v>
      </c>
      <c r="BY455" s="234">
        <f t="shared" si="643"/>
        <v>4.0666935483870965</v>
      </c>
      <c r="BZ455" s="234" cm="1">
        <f t="array" ref="BZ455">$BM455 * IF($AH455&lt;=2,
SUMPRODUCT(INDEX($AV$66:$AX$70,,$AI455), INDEX($AY$66:$BE$70,,$AH455), 1 / ($BF$66:$BF$70*BY455 + (1-$BF$66:$BF$70)*BU455), N($AU$66:$AU$70&gt;$AM455)),
SUMPRODUCT(INDEX($AV$56:$AX$65,,$AI455), INDEX($AY$56:$BE$65,,$AH455), 1 / ($BG$56:$BG$65*BY455 + (1-$BG$56:$BG$65)*BU455), N($AU$56:$AU$65&gt;$AM455))
) / 1000</f>
        <v>0</v>
      </c>
      <c r="CA455" s="231">
        <f t="shared" si="628"/>
        <v>20</v>
      </c>
      <c r="CB455" s="229">
        <f t="shared" si="644"/>
        <v>33</v>
      </c>
      <c r="CC455" s="234">
        <f t="shared" si="645"/>
        <v>4.8487499999999999</v>
      </c>
      <c r="CD455" s="234" cm="1">
        <f t="array" ref="CD455">$BM455 * IF($AH455&lt;=2,
SUMPRODUCT(INDEX($AV$61:$AX$65,,$AI455), INDEX($AY$61:$BE$65,,$AH455), 1 / ($BF$61:$BF$65*CC455 + (1-$BF$61:$BF$65)*BY455), N($AU$61:$AU$65&gt;$AM455)),
SUMPRODUCT(INDEX($AV$46:$AX$55,,$AI455), INDEX($AY$46:$BE$55,,$AH455), 1 / ($BG$46:$BG$55*CC455 + (1-$BG$46:$BG$55)*BY455), N($AU$46:$AU$55&gt;$AM455))
) / 1000</f>
        <v>0</v>
      </c>
      <c r="CE455" s="234" cm="1">
        <f t="array" ref="CE455">$BM455 * IF($AH455&lt;=2,
SUMPRODUCT(INDEX($AV$22:$AX$60,,$AI455), INDEX($AY$22:$BE$60,,$AH455), 1 / ($BF$22:$BF$60*CC455), N($AU$22:$AU$60&gt;$AM455)),
SUMPRODUCT(INDEX($AV$22:$AX$45,,$AI455), INDEX($AY$22:$BE$45,,$AH455), 1 / ($BG$22:$BG$45*CC455), N($AU$22:$AU$45&gt;$AM455))
) / 1000</f>
        <v>0</v>
      </c>
      <c r="CF455" s="229">
        <f t="shared" si="646"/>
        <v>0</v>
      </c>
      <c r="CG455" s="246"/>
      <c r="CH455" s="229">
        <f t="shared" si="647"/>
        <v>0</v>
      </c>
      <c r="CI455" s="228">
        <v>35</v>
      </c>
      <c r="CJ455" s="229">
        <f t="shared" si="648"/>
        <v>48</v>
      </c>
      <c r="CK455" s="234">
        <f t="shared" si="649"/>
        <v>3.0748170731707316</v>
      </c>
      <c r="CL455" s="234" cm="1">
        <f t="array" ref="CL455">$BM455 * SUMPRODUCT(INDEX($AV$76:$AX$81,,$AI455),INDEX($AY$76:$BE$81,,$AH455), N($AU$76:$AU$81&gt;$AM455)) / CK455 / 1000</f>
        <v>0</v>
      </c>
      <c r="CM455" s="231">
        <f t="shared" si="629"/>
        <v>30</v>
      </c>
      <c r="CN455" s="229">
        <f t="shared" si="650"/>
        <v>43</v>
      </c>
      <c r="CO455" s="234">
        <f t="shared" si="651"/>
        <v>3.5018750000000001</v>
      </c>
      <c r="CP455" s="234" cm="1">
        <f t="array" ref="CP455">$BM455 * IF($AH455&lt;=2,
SUMPRODUCT(INDEX($AV$71:$AX$75,,$AI455), INDEX($AY$71:$BE$75,,$AH455), 1 / ($BF$71:$BF$75*CO455 + (1-$BF$71:$BF$75)*CK455), N($AU$71:$AU$75&gt;$AM455)),
SUMPRODUCT(INDEX($AV$66:$AX$75,,$AI455), INDEX($AY$66:$BE$75,,$AH455), 1 / ($BG$66:$BG$75*CO455 + (1-$BG$66:$BG$75)*CK455), N($AU$66:$AU$75&gt;$AM455))
) / 1000</f>
        <v>0</v>
      </c>
      <c r="CQ455" s="231">
        <f t="shared" si="630"/>
        <v>25</v>
      </c>
      <c r="CR455" s="229">
        <f t="shared" si="652"/>
        <v>38</v>
      </c>
      <c r="CS455" s="234">
        <f t="shared" si="653"/>
        <v>4.0666935483870965</v>
      </c>
      <c r="CT455" s="234" cm="1">
        <f t="array" ref="CT455">$BM455 * IF($AH455&lt;=2,
SUMPRODUCT(INDEX($AV$66:$AX$70,,$AI455), INDEX($AY$66:$BE$70,,$AH455), 1 / ($BF$66:$BF$70*CS455 + (1-$BF$66:$BF$70)*CO455), N($AU$66:$AU$70&gt;$AM455)),
SUMPRODUCT(INDEX($AV$56:$AX$65,,$AI455), INDEX($AY$56:$BE$65,,$AH455), 1 / ($BG$56:$BG$65*CS455 + (1-$BG$56:$BG$65)*CO455), N($AU$56:$AU$65&gt;$AM455))
) / 1000</f>
        <v>0</v>
      </c>
      <c r="CU455" s="231">
        <f t="shared" si="631"/>
        <v>20</v>
      </c>
      <c r="CV455" s="229">
        <f t="shared" si="654"/>
        <v>33</v>
      </c>
      <c r="CW455" s="234">
        <f t="shared" si="655"/>
        <v>4.8487499999999999</v>
      </c>
      <c r="CX455" s="234" cm="1">
        <f t="array" ref="CX455">$BM455 * IF($AH455&lt;=2,
SUMPRODUCT(INDEX($AV$61:$AX$65,,$AI455), INDEX($AY$61:$BE$65,,$AH455), 1 / ($BF$61:$BF$65*CW455 + (1-$BF$61:$BF$65)*CS455), N($AU$61:$AU$65&gt;$AM455)),
SUMPRODUCT(INDEX($AV$46:$AX$55,,$AI455), INDEX($AY$46:$BE$55,,$AH455), 1 / ($BG$46:$BG$55*CW455 + (1-$BG$46:$BG$55)*CS455), N($AU$46:$AU$55&gt;$AM455))
) / 1000</f>
        <v>0</v>
      </c>
      <c r="CY455" s="234" cm="1">
        <f t="array" ref="CY455">$BM455 * IF($AH455&lt;=2,
SUMPRODUCT(INDEX($AV$22:$AX$60,,$AI455), INDEX($AY$22:$BE$60,,$AH455), 1 / ($BF$22:$BF$60*CW455), N($AU$22:$AU$60&gt;$AM455)),
SUMPRODUCT(INDEX($AV$22:$AX$45,,$AI455), INDEX($AY$22:$BE$45,,$AH455), 1 / ($BG$22:$BG$45*CW455), N($AU$22:$AU$45&gt;$AM455))
) / 1000</f>
        <v>0</v>
      </c>
      <c r="CZ455" s="229">
        <f t="shared" si="656"/>
        <v>0</v>
      </c>
      <c r="DA455" s="246"/>
    </row>
    <row r="456" spans="1:105" s="75" customFormat="1" ht="14.25" customHeight="1" x14ac:dyDescent="0.2">
      <c r="A456" s="230" t="b">
        <f t="shared" si="623"/>
        <v>0</v>
      </c>
      <c r="B456" s="253">
        <v>435</v>
      </c>
      <c r="C456" s="266"/>
      <c r="D456" s="266"/>
      <c r="E456" s="254"/>
      <c r="F456" s="255" t="str">
        <f>IF(ISBLANK(E456), "", VLOOKUP(E456, Z!$A$2:$C$4127, 3, FALSE))</f>
        <v/>
      </c>
      <c r="G456" s="256"/>
      <c r="H456" s="256"/>
      <c r="I456" s="256"/>
      <c r="J456" s="257"/>
      <c r="K456" s="258"/>
      <c r="L456" s="267"/>
      <c r="M456" s="268"/>
      <c r="N456" s="259" t="str" cm="1">
        <f t="array" ref="N456">IF($L456&gt;0, INDEX(Clean,1+AK456,$D$1), "")</f>
        <v/>
      </c>
      <c r="O456" s="260"/>
      <c r="P456" s="260"/>
      <c r="Q456" s="261"/>
      <c r="R456" s="264">
        <f t="shared" si="632"/>
        <v>0</v>
      </c>
      <c r="S456" s="259" t="str" cm="1">
        <f t="array" ref="S456">IF($L456&gt;0, INDEX(Clean,1+AL456,$D$1), "")</f>
        <v/>
      </c>
      <c r="T456" s="260"/>
      <c r="U456" s="260"/>
      <c r="V456" s="261"/>
      <c r="W456" s="267"/>
      <c r="X456" s="267"/>
      <c r="Y456" s="257"/>
      <c r="Z456" s="264">
        <f t="shared" si="633"/>
        <v>0</v>
      </c>
      <c r="AA456" s="269"/>
      <c r="AB456" s="266"/>
      <c r="AC456" s="254"/>
      <c r="AD456" s="255" t="str">
        <f>IF(ISBLANK(AC456), "", VLOOKUP(AC456, Z!$A$2:$C$4127, 3, FALSE))</f>
        <v/>
      </c>
      <c r="AE456" s="270"/>
      <c r="AF456" s="265">
        <f t="shared" si="634"/>
        <v>0</v>
      </c>
      <c r="AG456" s="246"/>
      <c r="AH456" s="228">
        <f t="shared" si="657"/>
        <v>1</v>
      </c>
      <c r="AI456" s="228">
        <f t="shared" si="658"/>
        <v>1</v>
      </c>
      <c r="AJ456" s="228">
        <f t="shared" si="659"/>
        <v>0</v>
      </c>
      <c r="AK456" s="228">
        <v>0</v>
      </c>
      <c r="AL456" s="228">
        <v>0</v>
      </c>
      <c r="AM456" s="228">
        <f t="shared" si="635"/>
        <v>-100</v>
      </c>
      <c r="AN456" s="228" cm="1">
        <f t="array" ref="AN456">IF(ISBLANK(G456), 1, IFERROR(MATCH(G456, INDEX(Kat,,1), 0), IFERROR(MATCH(Kat, INDEX(Use,,2), 0), MATCH(Kat, INDEX(Use,,3), 0))))</f>
        <v>1</v>
      </c>
      <c r="AO456" s="246"/>
      <c r="AP456" s="228" cm="1">
        <f t="array" ref="AP456">IF(W456&gt;0, INDEX(Kat, AN456,4), 0)</f>
        <v>0</v>
      </c>
      <c r="AQ456" s="228">
        <f t="shared" si="660"/>
        <v>0</v>
      </c>
      <c r="AR456" s="228" cm="1">
        <f t="array" ref="AR456">IF(X456&gt;0, INDEX(Kat, $AN456, 4+AQ456), 0)</f>
        <v>0</v>
      </c>
      <c r="AS456" s="228" cm="1">
        <f t="array" ref="AS456">IF(X456&gt;0, INDEX(Kat, $AN456, 9+AQ456), 0)</f>
        <v>0</v>
      </c>
      <c r="AT456" s="246"/>
      <c r="AU456" s="262"/>
      <c r="AV456" s="262"/>
      <c r="AW456" s="263"/>
      <c r="AX456" s="263"/>
      <c r="AY456" s="263"/>
      <c r="AZ456" s="263"/>
      <c r="BA456" s="263"/>
      <c r="BB456" s="263"/>
      <c r="BC456" s="263"/>
      <c r="BD456" s="263"/>
      <c r="BE456" s="263"/>
      <c r="BF456" s="263"/>
      <c r="BG456" s="263"/>
      <c r="BH456" s="246"/>
      <c r="BI456" s="228" cm="1">
        <f t="array" ref="BI456">INDEX(Use, $AH456, 4)</f>
        <v>7</v>
      </c>
      <c r="BJ456" s="228">
        <f t="shared" si="636"/>
        <v>32</v>
      </c>
      <c r="BK456" s="228">
        <f t="shared" si="624"/>
        <v>13</v>
      </c>
      <c r="BL456" s="228">
        <f t="shared" si="625"/>
        <v>0</v>
      </c>
      <c r="BM456" s="233" cm="1">
        <f t="array" ref="BM456">L456/IF($M456&gt;0, INDEX($AY$22:$BE$76, $M456+20, $AH456), 1)</f>
        <v>0</v>
      </c>
      <c r="BN456" s="229">
        <f t="shared" si="637"/>
        <v>0</v>
      </c>
      <c r="BO456" s="228">
        <v>35</v>
      </c>
      <c r="BP456" s="229">
        <f t="shared" si="638"/>
        <v>48</v>
      </c>
      <c r="BQ456" s="234">
        <f t="shared" si="639"/>
        <v>3.0748170731707316</v>
      </c>
      <c r="BR456" s="234" cm="1">
        <f t="array" ref="BR456">$BM456 * SUMPRODUCT(INDEX($AV$76:$AX$81,,$AI456),INDEX($AY$76:$BE$81,,$AH456), N($AU$76:$AU$81&gt;$AM456)) / BQ456 / 1000</f>
        <v>0</v>
      </c>
      <c r="BS456" s="231">
        <f t="shared" si="626"/>
        <v>30</v>
      </c>
      <c r="BT456" s="229">
        <f t="shared" si="640"/>
        <v>43</v>
      </c>
      <c r="BU456" s="234">
        <f t="shared" si="641"/>
        <v>3.5018750000000001</v>
      </c>
      <c r="BV456" s="234" cm="1">
        <f t="array" ref="BV456">$BM456 * IF($AH456&lt;=2,
SUMPRODUCT(INDEX($AV$71:$AX$75,,$AI456), INDEX($AY$71:$BE$75,,$AH456), 1 / ($BF$71:$BF$75*BU456 + (1-$BF$71:$BF$75)*BQ456), N($AU$71:$AU$75&gt;$AM456)),
SUMPRODUCT(INDEX($AV$66:$AX$75,,$AI456), INDEX($AY$66:$BE$75,,$AH456), 1 / ($BG$66:$BG$75*BU456 + (1-$BG$66:$BG$75)*BQ456), N($AU$66:$AU$75&gt;$AM456))
) / 1000</f>
        <v>0</v>
      </c>
      <c r="BW456" s="231">
        <f t="shared" si="627"/>
        <v>25</v>
      </c>
      <c r="BX456" s="229">
        <f t="shared" si="642"/>
        <v>38</v>
      </c>
      <c r="BY456" s="234">
        <f t="shared" si="643"/>
        <v>4.0666935483870965</v>
      </c>
      <c r="BZ456" s="234" cm="1">
        <f t="array" ref="BZ456">$BM456 * IF($AH456&lt;=2,
SUMPRODUCT(INDEX($AV$66:$AX$70,,$AI456), INDEX($AY$66:$BE$70,,$AH456), 1 / ($BF$66:$BF$70*BY456 + (1-$BF$66:$BF$70)*BU456), N($AU$66:$AU$70&gt;$AM456)),
SUMPRODUCT(INDEX($AV$56:$AX$65,,$AI456), INDEX($AY$56:$BE$65,,$AH456), 1 / ($BG$56:$BG$65*BY456 + (1-$BG$56:$BG$65)*BU456), N($AU$56:$AU$65&gt;$AM456))
) / 1000</f>
        <v>0</v>
      </c>
      <c r="CA456" s="231">
        <f t="shared" si="628"/>
        <v>20</v>
      </c>
      <c r="CB456" s="229">
        <f t="shared" si="644"/>
        <v>33</v>
      </c>
      <c r="CC456" s="234">
        <f t="shared" si="645"/>
        <v>4.8487499999999999</v>
      </c>
      <c r="CD456" s="234" cm="1">
        <f t="array" ref="CD456">$BM456 * IF($AH456&lt;=2,
SUMPRODUCT(INDEX($AV$61:$AX$65,,$AI456), INDEX($AY$61:$BE$65,,$AH456), 1 / ($BF$61:$BF$65*CC456 + (1-$BF$61:$BF$65)*BY456), N($AU$61:$AU$65&gt;$AM456)),
SUMPRODUCT(INDEX($AV$46:$AX$55,,$AI456), INDEX($AY$46:$BE$55,,$AH456), 1 / ($BG$46:$BG$55*CC456 + (1-$BG$46:$BG$55)*BY456), N($AU$46:$AU$55&gt;$AM456))
) / 1000</f>
        <v>0</v>
      </c>
      <c r="CE456" s="234" cm="1">
        <f t="array" ref="CE456">$BM456 * IF($AH456&lt;=2,
SUMPRODUCT(INDEX($AV$22:$AX$60,,$AI456), INDEX($AY$22:$BE$60,,$AH456), 1 / ($BF$22:$BF$60*CC456), N($AU$22:$AU$60&gt;$AM456)),
SUMPRODUCT(INDEX($AV$22:$AX$45,,$AI456), INDEX($AY$22:$BE$45,,$AH456), 1 / ($BG$22:$BG$45*CC456), N($AU$22:$AU$45&gt;$AM456))
) / 1000</f>
        <v>0</v>
      </c>
      <c r="CF456" s="229">
        <f t="shared" si="646"/>
        <v>0</v>
      </c>
      <c r="CG456" s="246"/>
      <c r="CH456" s="229">
        <f t="shared" si="647"/>
        <v>0</v>
      </c>
      <c r="CI456" s="228">
        <v>35</v>
      </c>
      <c r="CJ456" s="229">
        <f t="shared" si="648"/>
        <v>48</v>
      </c>
      <c r="CK456" s="234">
        <f t="shared" si="649"/>
        <v>3.0748170731707316</v>
      </c>
      <c r="CL456" s="234" cm="1">
        <f t="array" ref="CL456">$BM456 * SUMPRODUCT(INDEX($AV$76:$AX$81,,$AI456),INDEX($AY$76:$BE$81,,$AH456), N($AU$76:$AU$81&gt;$AM456)) / CK456 / 1000</f>
        <v>0</v>
      </c>
      <c r="CM456" s="231">
        <f t="shared" si="629"/>
        <v>30</v>
      </c>
      <c r="CN456" s="229">
        <f t="shared" si="650"/>
        <v>43</v>
      </c>
      <c r="CO456" s="234">
        <f t="shared" si="651"/>
        <v>3.5018750000000001</v>
      </c>
      <c r="CP456" s="234" cm="1">
        <f t="array" ref="CP456">$BM456 * IF($AH456&lt;=2,
SUMPRODUCT(INDEX($AV$71:$AX$75,,$AI456), INDEX($AY$71:$BE$75,,$AH456), 1 / ($BF$71:$BF$75*CO456 + (1-$BF$71:$BF$75)*CK456), N($AU$71:$AU$75&gt;$AM456)),
SUMPRODUCT(INDEX($AV$66:$AX$75,,$AI456), INDEX($AY$66:$BE$75,,$AH456), 1 / ($BG$66:$BG$75*CO456 + (1-$BG$66:$BG$75)*CK456), N($AU$66:$AU$75&gt;$AM456))
) / 1000</f>
        <v>0</v>
      </c>
      <c r="CQ456" s="231">
        <f t="shared" si="630"/>
        <v>25</v>
      </c>
      <c r="CR456" s="229">
        <f t="shared" si="652"/>
        <v>38</v>
      </c>
      <c r="CS456" s="234">
        <f t="shared" si="653"/>
        <v>4.0666935483870965</v>
      </c>
      <c r="CT456" s="234" cm="1">
        <f t="array" ref="CT456">$BM456 * IF($AH456&lt;=2,
SUMPRODUCT(INDEX($AV$66:$AX$70,,$AI456), INDEX($AY$66:$BE$70,,$AH456), 1 / ($BF$66:$BF$70*CS456 + (1-$BF$66:$BF$70)*CO456), N($AU$66:$AU$70&gt;$AM456)),
SUMPRODUCT(INDEX($AV$56:$AX$65,,$AI456), INDEX($AY$56:$BE$65,,$AH456), 1 / ($BG$56:$BG$65*CS456 + (1-$BG$56:$BG$65)*CO456), N($AU$56:$AU$65&gt;$AM456))
) / 1000</f>
        <v>0</v>
      </c>
      <c r="CU456" s="231">
        <f t="shared" si="631"/>
        <v>20</v>
      </c>
      <c r="CV456" s="229">
        <f t="shared" si="654"/>
        <v>33</v>
      </c>
      <c r="CW456" s="234">
        <f t="shared" si="655"/>
        <v>4.8487499999999999</v>
      </c>
      <c r="CX456" s="234" cm="1">
        <f t="array" ref="CX456">$BM456 * IF($AH456&lt;=2,
SUMPRODUCT(INDEX($AV$61:$AX$65,,$AI456), INDEX($AY$61:$BE$65,,$AH456), 1 / ($BF$61:$BF$65*CW456 + (1-$BF$61:$BF$65)*CS456), N($AU$61:$AU$65&gt;$AM456)),
SUMPRODUCT(INDEX($AV$46:$AX$55,,$AI456), INDEX($AY$46:$BE$55,,$AH456), 1 / ($BG$46:$BG$55*CW456 + (1-$BG$46:$BG$55)*CS456), N($AU$46:$AU$55&gt;$AM456))
) / 1000</f>
        <v>0</v>
      </c>
      <c r="CY456" s="234" cm="1">
        <f t="array" ref="CY456">$BM456 * IF($AH456&lt;=2,
SUMPRODUCT(INDEX($AV$22:$AX$60,,$AI456), INDEX($AY$22:$BE$60,,$AH456), 1 / ($BF$22:$BF$60*CW456), N($AU$22:$AU$60&gt;$AM456)),
SUMPRODUCT(INDEX($AV$22:$AX$45,,$AI456), INDEX($AY$22:$BE$45,,$AH456), 1 / ($BG$22:$BG$45*CW456), N($AU$22:$AU$45&gt;$AM456))
) / 1000</f>
        <v>0</v>
      </c>
      <c r="CZ456" s="229">
        <f t="shared" si="656"/>
        <v>0</v>
      </c>
      <c r="DA456" s="246"/>
    </row>
    <row r="457" spans="1:105" s="75" customFormat="1" ht="14.25" customHeight="1" x14ac:dyDescent="0.2">
      <c r="A457" s="230" t="b">
        <f t="shared" si="623"/>
        <v>0</v>
      </c>
      <c r="B457" s="253">
        <v>436</v>
      </c>
      <c r="C457" s="266"/>
      <c r="D457" s="266"/>
      <c r="E457" s="254"/>
      <c r="F457" s="255" t="str">
        <f>IF(ISBLANK(E457), "", VLOOKUP(E457, Z!$A$2:$C$4127, 3, FALSE))</f>
        <v/>
      </c>
      <c r="G457" s="256"/>
      <c r="H457" s="256"/>
      <c r="I457" s="256"/>
      <c r="J457" s="257"/>
      <c r="K457" s="258"/>
      <c r="L457" s="267"/>
      <c r="M457" s="268"/>
      <c r="N457" s="259" t="str" cm="1">
        <f t="array" ref="N457">IF($L457&gt;0, INDEX(Clean,1+AK457,$D$1), "")</f>
        <v/>
      </c>
      <c r="O457" s="260"/>
      <c r="P457" s="260"/>
      <c r="Q457" s="261"/>
      <c r="R457" s="264">
        <f t="shared" si="632"/>
        <v>0</v>
      </c>
      <c r="S457" s="259" t="str" cm="1">
        <f t="array" ref="S457">IF($L457&gt;0, INDEX(Clean,1+AL457,$D$1), "")</f>
        <v/>
      </c>
      <c r="T457" s="260"/>
      <c r="U457" s="260"/>
      <c r="V457" s="261"/>
      <c r="W457" s="267"/>
      <c r="X457" s="267"/>
      <c r="Y457" s="257"/>
      <c r="Z457" s="264">
        <f t="shared" si="633"/>
        <v>0</v>
      </c>
      <c r="AA457" s="269"/>
      <c r="AB457" s="266"/>
      <c r="AC457" s="254"/>
      <c r="AD457" s="255" t="str">
        <f>IF(ISBLANK(AC457), "", VLOOKUP(AC457, Z!$A$2:$C$4127, 3, FALSE))</f>
        <v/>
      </c>
      <c r="AE457" s="270"/>
      <c r="AF457" s="265">
        <f t="shared" si="634"/>
        <v>0</v>
      </c>
      <c r="AG457" s="246"/>
      <c r="AH457" s="228">
        <f t="shared" si="657"/>
        <v>1</v>
      </c>
      <c r="AI457" s="228">
        <f t="shared" si="658"/>
        <v>1</v>
      </c>
      <c r="AJ457" s="228">
        <f t="shared" si="659"/>
        <v>0</v>
      </c>
      <c r="AK457" s="228">
        <v>0</v>
      </c>
      <c r="AL457" s="228">
        <v>0</v>
      </c>
      <c r="AM457" s="228">
        <f t="shared" si="635"/>
        <v>-100</v>
      </c>
      <c r="AN457" s="228" cm="1">
        <f t="array" ref="AN457">IF(ISBLANK(G457), 1, IFERROR(MATCH(G457, INDEX(Kat,,1), 0), IFERROR(MATCH(Kat, INDEX(Use,,2), 0), MATCH(Kat, INDEX(Use,,3), 0))))</f>
        <v>1</v>
      </c>
      <c r="AO457" s="246"/>
      <c r="AP457" s="228" cm="1">
        <f t="array" ref="AP457">IF(W457&gt;0, INDEX(Kat, AN457,4), 0)</f>
        <v>0</v>
      </c>
      <c r="AQ457" s="228">
        <f t="shared" si="660"/>
        <v>0</v>
      </c>
      <c r="AR457" s="228" cm="1">
        <f t="array" ref="AR457">IF(X457&gt;0, INDEX(Kat, $AN457, 4+AQ457), 0)</f>
        <v>0</v>
      </c>
      <c r="AS457" s="228" cm="1">
        <f t="array" ref="AS457">IF(X457&gt;0, INDEX(Kat, $AN457, 9+AQ457), 0)</f>
        <v>0</v>
      </c>
      <c r="AT457" s="246"/>
      <c r="AU457" s="262"/>
      <c r="AV457" s="262"/>
      <c r="AW457" s="263"/>
      <c r="AX457" s="263"/>
      <c r="AY457" s="263"/>
      <c r="AZ457" s="263"/>
      <c r="BA457" s="263"/>
      <c r="BB457" s="263"/>
      <c r="BC457" s="263"/>
      <c r="BD457" s="263"/>
      <c r="BE457" s="263"/>
      <c r="BF457" s="263"/>
      <c r="BG457" s="263"/>
      <c r="BH457" s="246"/>
      <c r="BI457" s="228" cm="1">
        <f t="array" ref="BI457">INDEX(Use, $AH457, 4)</f>
        <v>7</v>
      </c>
      <c r="BJ457" s="228">
        <f t="shared" si="636"/>
        <v>32</v>
      </c>
      <c r="BK457" s="228">
        <f t="shared" si="624"/>
        <v>13</v>
      </c>
      <c r="BL457" s="228">
        <f t="shared" si="625"/>
        <v>0</v>
      </c>
      <c r="BM457" s="233" cm="1">
        <f t="array" ref="BM457">L457/IF($M457&gt;0, INDEX($AY$22:$BE$76, $M457+20, $AH457), 1)</f>
        <v>0</v>
      </c>
      <c r="BN457" s="229">
        <f t="shared" si="637"/>
        <v>0</v>
      </c>
      <c r="BO457" s="228">
        <v>35</v>
      </c>
      <c r="BP457" s="229">
        <f t="shared" si="638"/>
        <v>48</v>
      </c>
      <c r="BQ457" s="234">
        <f t="shared" si="639"/>
        <v>3.0748170731707316</v>
      </c>
      <c r="BR457" s="234" cm="1">
        <f t="array" ref="BR457">$BM457 * SUMPRODUCT(INDEX($AV$76:$AX$81,,$AI457),INDEX($AY$76:$BE$81,,$AH457), N($AU$76:$AU$81&gt;$AM457)) / BQ457 / 1000</f>
        <v>0</v>
      </c>
      <c r="BS457" s="231">
        <f t="shared" si="626"/>
        <v>30</v>
      </c>
      <c r="BT457" s="229">
        <f t="shared" si="640"/>
        <v>43</v>
      </c>
      <c r="BU457" s="234">
        <f t="shared" si="641"/>
        <v>3.5018750000000001</v>
      </c>
      <c r="BV457" s="234" cm="1">
        <f t="array" ref="BV457">$BM457 * IF($AH457&lt;=2,
SUMPRODUCT(INDEX($AV$71:$AX$75,,$AI457), INDEX($AY$71:$BE$75,,$AH457), 1 / ($BF$71:$BF$75*BU457 + (1-$BF$71:$BF$75)*BQ457), N($AU$71:$AU$75&gt;$AM457)),
SUMPRODUCT(INDEX($AV$66:$AX$75,,$AI457), INDEX($AY$66:$BE$75,,$AH457), 1 / ($BG$66:$BG$75*BU457 + (1-$BG$66:$BG$75)*BQ457), N($AU$66:$AU$75&gt;$AM457))
) / 1000</f>
        <v>0</v>
      </c>
      <c r="BW457" s="231">
        <f t="shared" si="627"/>
        <v>25</v>
      </c>
      <c r="BX457" s="229">
        <f t="shared" si="642"/>
        <v>38</v>
      </c>
      <c r="BY457" s="234">
        <f t="shared" si="643"/>
        <v>4.0666935483870965</v>
      </c>
      <c r="BZ457" s="234" cm="1">
        <f t="array" ref="BZ457">$BM457 * IF($AH457&lt;=2,
SUMPRODUCT(INDEX($AV$66:$AX$70,,$AI457), INDEX($AY$66:$BE$70,,$AH457), 1 / ($BF$66:$BF$70*BY457 + (1-$BF$66:$BF$70)*BU457), N($AU$66:$AU$70&gt;$AM457)),
SUMPRODUCT(INDEX($AV$56:$AX$65,,$AI457), INDEX($AY$56:$BE$65,,$AH457), 1 / ($BG$56:$BG$65*BY457 + (1-$BG$56:$BG$65)*BU457), N($AU$56:$AU$65&gt;$AM457))
) / 1000</f>
        <v>0</v>
      </c>
      <c r="CA457" s="231">
        <f t="shared" si="628"/>
        <v>20</v>
      </c>
      <c r="CB457" s="229">
        <f t="shared" si="644"/>
        <v>33</v>
      </c>
      <c r="CC457" s="234">
        <f t="shared" si="645"/>
        <v>4.8487499999999999</v>
      </c>
      <c r="CD457" s="234" cm="1">
        <f t="array" ref="CD457">$BM457 * IF($AH457&lt;=2,
SUMPRODUCT(INDEX($AV$61:$AX$65,,$AI457), INDEX($AY$61:$BE$65,,$AH457), 1 / ($BF$61:$BF$65*CC457 + (1-$BF$61:$BF$65)*BY457), N($AU$61:$AU$65&gt;$AM457)),
SUMPRODUCT(INDEX($AV$46:$AX$55,,$AI457), INDEX($AY$46:$BE$55,,$AH457), 1 / ($BG$46:$BG$55*CC457 + (1-$BG$46:$BG$55)*BY457), N($AU$46:$AU$55&gt;$AM457))
) / 1000</f>
        <v>0</v>
      </c>
      <c r="CE457" s="234" cm="1">
        <f t="array" ref="CE457">$BM457 * IF($AH457&lt;=2,
SUMPRODUCT(INDEX($AV$22:$AX$60,,$AI457), INDEX($AY$22:$BE$60,,$AH457), 1 / ($BF$22:$BF$60*CC457), N($AU$22:$AU$60&gt;$AM457)),
SUMPRODUCT(INDEX($AV$22:$AX$45,,$AI457), INDEX($AY$22:$BE$45,,$AH457), 1 / ($BG$22:$BG$45*CC457), N($AU$22:$AU$45&gt;$AM457))
) / 1000</f>
        <v>0</v>
      </c>
      <c r="CF457" s="229">
        <f t="shared" si="646"/>
        <v>0</v>
      </c>
      <c r="CG457" s="246"/>
      <c r="CH457" s="229">
        <f t="shared" si="647"/>
        <v>0</v>
      </c>
      <c r="CI457" s="228">
        <v>35</v>
      </c>
      <c r="CJ457" s="229">
        <f t="shared" si="648"/>
        <v>48</v>
      </c>
      <c r="CK457" s="234">
        <f t="shared" si="649"/>
        <v>3.0748170731707316</v>
      </c>
      <c r="CL457" s="234" cm="1">
        <f t="array" ref="CL457">$BM457 * SUMPRODUCT(INDEX($AV$76:$AX$81,,$AI457),INDEX($AY$76:$BE$81,,$AH457), N($AU$76:$AU$81&gt;$AM457)) / CK457 / 1000</f>
        <v>0</v>
      </c>
      <c r="CM457" s="231">
        <f t="shared" si="629"/>
        <v>30</v>
      </c>
      <c r="CN457" s="229">
        <f t="shared" si="650"/>
        <v>43</v>
      </c>
      <c r="CO457" s="234">
        <f t="shared" si="651"/>
        <v>3.5018750000000001</v>
      </c>
      <c r="CP457" s="234" cm="1">
        <f t="array" ref="CP457">$BM457 * IF($AH457&lt;=2,
SUMPRODUCT(INDEX($AV$71:$AX$75,,$AI457), INDEX($AY$71:$BE$75,,$AH457), 1 / ($BF$71:$BF$75*CO457 + (1-$BF$71:$BF$75)*CK457), N($AU$71:$AU$75&gt;$AM457)),
SUMPRODUCT(INDEX($AV$66:$AX$75,,$AI457), INDEX($AY$66:$BE$75,,$AH457), 1 / ($BG$66:$BG$75*CO457 + (1-$BG$66:$BG$75)*CK457), N($AU$66:$AU$75&gt;$AM457))
) / 1000</f>
        <v>0</v>
      </c>
      <c r="CQ457" s="231">
        <f t="shared" si="630"/>
        <v>25</v>
      </c>
      <c r="CR457" s="229">
        <f t="shared" si="652"/>
        <v>38</v>
      </c>
      <c r="CS457" s="234">
        <f t="shared" si="653"/>
        <v>4.0666935483870965</v>
      </c>
      <c r="CT457" s="234" cm="1">
        <f t="array" ref="CT457">$BM457 * IF($AH457&lt;=2,
SUMPRODUCT(INDEX($AV$66:$AX$70,,$AI457), INDEX($AY$66:$BE$70,,$AH457), 1 / ($BF$66:$BF$70*CS457 + (1-$BF$66:$BF$70)*CO457), N($AU$66:$AU$70&gt;$AM457)),
SUMPRODUCT(INDEX($AV$56:$AX$65,,$AI457), INDEX($AY$56:$BE$65,,$AH457), 1 / ($BG$56:$BG$65*CS457 + (1-$BG$56:$BG$65)*CO457), N($AU$56:$AU$65&gt;$AM457))
) / 1000</f>
        <v>0</v>
      </c>
      <c r="CU457" s="231">
        <f t="shared" si="631"/>
        <v>20</v>
      </c>
      <c r="CV457" s="229">
        <f t="shared" si="654"/>
        <v>33</v>
      </c>
      <c r="CW457" s="234">
        <f t="shared" si="655"/>
        <v>4.8487499999999999</v>
      </c>
      <c r="CX457" s="234" cm="1">
        <f t="array" ref="CX457">$BM457 * IF($AH457&lt;=2,
SUMPRODUCT(INDEX($AV$61:$AX$65,,$AI457), INDEX($AY$61:$BE$65,,$AH457), 1 / ($BF$61:$BF$65*CW457 + (1-$BF$61:$BF$65)*CS457), N($AU$61:$AU$65&gt;$AM457)),
SUMPRODUCT(INDEX($AV$46:$AX$55,,$AI457), INDEX($AY$46:$BE$55,,$AH457), 1 / ($BG$46:$BG$55*CW457 + (1-$BG$46:$BG$55)*CS457), N($AU$46:$AU$55&gt;$AM457))
) / 1000</f>
        <v>0</v>
      </c>
      <c r="CY457" s="234" cm="1">
        <f t="array" ref="CY457">$BM457 * IF($AH457&lt;=2,
SUMPRODUCT(INDEX($AV$22:$AX$60,,$AI457), INDEX($AY$22:$BE$60,,$AH457), 1 / ($BF$22:$BF$60*CW457), N($AU$22:$AU$60&gt;$AM457)),
SUMPRODUCT(INDEX($AV$22:$AX$45,,$AI457), INDEX($AY$22:$BE$45,,$AH457), 1 / ($BG$22:$BG$45*CW457), N($AU$22:$AU$45&gt;$AM457))
) / 1000</f>
        <v>0</v>
      </c>
      <c r="CZ457" s="229">
        <f t="shared" si="656"/>
        <v>0</v>
      </c>
      <c r="DA457" s="246"/>
    </row>
    <row r="458" spans="1:105" s="75" customFormat="1" ht="14.25" customHeight="1" x14ac:dyDescent="0.2">
      <c r="A458" s="230" t="b">
        <f t="shared" si="623"/>
        <v>0</v>
      </c>
      <c r="B458" s="253">
        <v>437</v>
      </c>
      <c r="C458" s="266"/>
      <c r="D458" s="266"/>
      <c r="E458" s="254"/>
      <c r="F458" s="255" t="str">
        <f>IF(ISBLANK(E458), "", VLOOKUP(E458, Z!$A$2:$C$4127, 3, FALSE))</f>
        <v/>
      </c>
      <c r="G458" s="256"/>
      <c r="H458" s="256"/>
      <c r="I458" s="256"/>
      <c r="J458" s="257"/>
      <c r="K458" s="258"/>
      <c r="L458" s="267"/>
      <c r="M458" s="268"/>
      <c r="N458" s="259" t="str" cm="1">
        <f t="array" ref="N458">IF($L458&gt;0, INDEX(Clean,1+AK458,$D$1), "")</f>
        <v/>
      </c>
      <c r="O458" s="260"/>
      <c r="P458" s="260"/>
      <c r="Q458" s="261"/>
      <c r="R458" s="264">
        <f t="shared" si="632"/>
        <v>0</v>
      </c>
      <c r="S458" s="259" t="str" cm="1">
        <f t="array" ref="S458">IF($L458&gt;0, INDEX(Clean,1+AL458,$D$1), "")</f>
        <v/>
      </c>
      <c r="T458" s="260"/>
      <c r="U458" s="260"/>
      <c r="V458" s="261"/>
      <c r="W458" s="267"/>
      <c r="X458" s="267"/>
      <c r="Y458" s="257"/>
      <c r="Z458" s="264">
        <f t="shared" si="633"/>
        <v>0</v>
      </c>
      <c r="AA458" s="269"/>
      <c r="AB458" s="266"/>
      <c r="AC458" s="254"/>
      <c r="AD458" s="255" t="str">
        <f>IF(ISBLANK(AC458), "", VLOOKUP(AC458, Z!$A$2:$C$4127, 3, FALSE))</f>
        <v/>
      </c>
      <c r="AE458" s="270"/>
      <c r="AF458" s="265">
        <f t="shared" si="634"/>
        <v>0</v>
      </c>
      <c r="AG458" s="246"/>
      <c r="AH458" s="228">
        <f t="shared" si="657"/>
        <v>1</v>
      </c>
      <c r="AI458" s="228">
        <f t="shared" si="658"/>
        <v>1</v>
      </c>
      <c r="AJ458" s="228">
        <f t="shared" si="659"/>
        <v>0</v>
      </c>
      <c r="AK458" s="228">
        <v>0</v>
      </c>
      <c r="AL458" s="228">
        <v>0</v>
      </c>
      <c r="AM458" s="228">
        <f t="shared" si="635"/>
        <v>-100</v>
      </c>
      <c r="AN458" s="228" cm="1">
        <f t="array" ref="AN458">IF(ISBLANK(G458), 1, IFERROR(MATCH(G458, INDEX(Kat,,1), 0), IFERROR(MATCH(Kat, INDEX(Use,,2), 0), MATCH(Kat, INDEX(Use,,3), 0))))</f>
        <v>1</v>
      </c>
      <c r="AO458" s="246"/>
      <c r="AP458" s="228" cm="1">
        <f t="array" ref="AP458">IF(W458&gt;0, INDEX(Kat, AN458,4), 0)</f>
        <v>0</v>
      </c>
      <c r="AQ458" s="228">
        <f t="shared" si="660"/>
        <v>0</v>
      </c>
      <c r="AR458" s="228" cm="1">
        <f t="array" ref="AR458">IF(X458&gt;0, INDEX(Kat, $AN458, 4+AQ458), 0)</f>
        <v>0</v>
      </c>
      <c r="AS458" s="228" cm="1">
        <f t="array" ref="AS458">IF(X458&gt;0, INDEX(Kat, $AN458, 9+AQ458), 0)</f>
        <v>0</v>
      </c>
      <c r="AT458" s="246"/>
      <c r="AU458" s="262"/>
      <c r="AV458" s="262"/>
      <c r="AW458" s="263"/>
      <c r="AX458" s="263"/>
      <c r="AY458" s="263"/>
      <c r="AZ458" s="263"/>
      <c r="BA458" s="263"/>
      <c r="BB458" s="263"/>
      <c r="BC458" s="263"/>
      <c r="BD458" s="263"/>
      <c r="BE458" s="263"/>
      <c r="BF458" s="263"/>
      <c r="BG458" s="263"/>
      <c r="BH458" s="246"/>
      <c r="BI458" s="228" cm="1">
        <f t="array" ref="BI458">INDEX(Use, $AH458, 4)</f>
        <v>7</v>
      </c>
      <c r="BJ458" s="228">
        <f t="shared" si="636"/>
        <v>32</v>
      </c>
      <c r="BK458" s="228">
        <f t="shared" si="624"/>
        <v>13</v>
      </c>
      <c r="BL458" s="228">
        <f t="shared" si="625"/>
        <v>0</v>
      </c>
      <c r="BM458" s="233" cm="1">
        <f t="array" ref="BM458">L458/IF($M458&gt;0, INDEX($AY$22:$BE$76, $M458+20, $AH458), 1)</f>
        <v>0</v>
      </c>
      <c r="BN458" s="229">
        <f t="shared" si="637"/>
        <v>0</v>
      </c>
      <c r="BO458" s="228">
        <v>35</v>
      </c>
      <c r="BP458" s="229">
        <f t="shared" si="638"/>
        <v>48</v>
      </c>
      <c r="BQ458" s="234">
        <f t="shared" si="639"/>
        <v>3.0748170731707316</v>
      </c>
      <c r="BR458" s="234" cm="1">
        <f t="array" ref="BR458">$BM458 * SUMPRODUCT(INDEX($AV$76:$AX$81,,$AI458),INDEX($AY$76:$BE$81,,$AH458), N($AU$76:$AU$81&gt;$AM458)) / BQ458 / 1000</f>
        <v>0</v>
      </c>
      <c r="BS458" s="231">
        <f t="shared" si="626"/>
        <v>30</v>
      </c>
      <c r="BT458" s="229">
        <f t="shared" si="640"/>
        <v>43</v>
      </c>
      <c r="BU458" s="234">
        <f t="shared" si="641"/>
        <v>3.5018750000000001</v>
      </c>
      <c r="BV458" s="234" cm="1">
        <f t="array" ref="BV458">$BM458 * IF($AH458&lt;=2,
SUMPRODUCT(INDEX($AV$71:$AX$75,,$AI458), INDEX($AY$71:$BE$75,,$AH458), 1 / ($BF$71:$BF$75*BU458 + (1-$BF$71:$BF$75)*BQ458), N($AU$71:$AU$75&gt;$AM458)),
SUMPRODUCT(INDEX($AV$66:$AX$75,,$AI458), INDEX($AY$66:$BE$75,,$AH458), 1 / ($BG$66:$BG$75*BU458 + (1-$BG$66:$BG$75)*BQ458), N($AU$66:$AU$75&gt;$AM458))
) / 1000</f>
        <v>0</v>
      </c>
      <c r="BW458" s="231">
        <f t="shared" si="627"/>
        <v>25</v>
      </c>
      <c r="BX458" s="229">
        <f t="shared" si="642"/>
        <v>38</v>
      </c>
      <c r="BY458" s="234">
        <f t="shared" si="643"/>
        <v>4.0666935483870965</v>
      </c>
      <c r="BZ458" s="234" cm="1">
        <f t="array" ref="BZ458">$BM458 * IF($AH458&lt;=2,
SUMPRODUCT(INDEX($AV$66:$AX$70,,$AI458), INDEX($AY$66:$BE$70,,$AH458), 1 / ($BF$66:$BF$70*BY458 + (1-$BF$66:$BF$70)*BU458), N($AU$66:$AU$70&gt;$AM458)),
SUMPRODUCT(INDEX($AV$56:$AX$65,,$AI458), INDEX($AY$56:$BE$65,,$AH458), 1 / ($BG$56:$BG$65*BY458 + (1-$BG$56:$BG$65)*BU458), N($AU$56:$AU$65&gt;$AM458))
) / 1000</f>
        <v>0</v>
      </c>
      <c r="CA458" s="231">
        <f t="shared" si="628"/>
        <v>20</v>
      </c>
      <c r="CB458" s="229">
        <f t="shared" si="644"/>
        <v>33</v>
      </c>
      <c r="CC458" s="234">
        <f t="shared" si="645"/>
        <v>4.8487499999999999</v>
      </c>
      <c r="CD458" s="234" cm="1">
        <f t="array" ref="CD458">$BM458 * IF($AH458&lt;=2,
SUMPRODUCT(INDEX($AV$61:$AX$65,,$AI458), INDEX($AY$61:$BE$65,,$AH458), 1 / ($BF$61:$BF$65*CC458 + (1-$BF$61:$BF$65)*BY458), N($AU$61:$AU$65&gt;$AM458)),
SUMPRODUCT(INDEX($AV$46:$AX$55,,$AI458), INDEX($AY$46:$BE$55,,$AH458), 1 / ($BG$46:$BG$55*CC458 + (1-$BG$46:$BG$55)*BY458), N($AU$46:$AU$55&gt;$AM458))
) / 1000</f>
        <v>0</v>
      </c>
      <c r="CE458" s="234" cm="1">
        <f t="array" ref="CE458">$BM458 * IF($AH458&lt;=2,
SUMPRODUCT(INDEX($AV$22:$AX$60,,$AI458), INDEX($AY$22:$BE$60,,$AH458), 1 / ($BF$22:$BF$60*CC458), N($AU$22:$AU$60&gt;$AM458)),
SUMPRODUCT(INDEX($AV$22:$AX$45,,$AI458), INDEX($AY$22:$BE$45,,$AH458), 1 / ($BG$22:$BG$45*CC458), N($AU$22:$AU$45&gt;$AM458))
) / 1000</f>
        <v>0</v>
      </c>
      <c r="CF458" s="229">
        <f t="shared" si="646"/>
        <v>0</v>
      </c>
      <c r="CG458" s="246"/>
      <c r="CH458" s="229">
        <f t="shared" si="647"/>
        <v>0</v>
      </c>
      <c r="CI458" s="228">
        <v>35</v>
      </c>
      <c r="CJ458" s="229">
        <f t="shared" si="648"/>
        <v>48</v>
      </c>
      <c r="CK458" s="234">
        <f t="shared" si="649"/>
        <v>3.0748170731707316</v>
      </c>
      <c r="CL458" s="234" cm="1">
        <f t="array" ref="CL458">$BM458 * SUMPRODUCT(INDEX($AV$76:$AX$81,,$AI458),INDEX($AY$76:$BE$81,,$AH458), N($AU$76:$AU$81&gt;$AM458)) / CK458 / 1000</f>
        <v>0</v>
      </c>
      <c r="CM458" s="231">
        <f t="shared" si="629"/>
        <v>30</v>
      </c>
      <c r="CN458" s="229">
        <f t="shared" si="650"/>
        <v>43</v>
      </c>
      <c r="CO458" s="234">
        <f t="shared" si="651"/>
        <v>3.5018750000000001</v>
      </c>
      <c r="CP458" s="234" cm="1">
        <f t="array" ref="CP458">$BM458 * IF($AH458&lt;=2,
SUMPRODUCT(INDEX($AV$71:$AX$75,,$AI458), INDEX($AY$71:$BE$75,,$AH458), 1 / ($BF$71:$BF$75*CO458 + (1-$BF$71:$BF$75)*CK458), N($AU$71:$AU$75&gt;$AM458)),
SUMPRODUCT(INDEX($AV$66:$AX$75,,$AI458), INDEX($AY$66:$BE$75,,$AH458), 1 / ($BG$66:$BG$75*CO458 + (1-$BG$66:$BG$75)*CK458), N($AU$66:$AU$75&gt;$AM458))
) / 1000</f>
        <v>0</v>
      </c>
      <c r="CQ458" s="231">
        <f t="shared" si="630"/>
        <v>25</v>
      </c>
      <c r="CR458" s="229">
        <f t="shared" si="652"/>
        <v>38</v>
      </c>
      <c r="CS458" s="234">
        <f t="shared" si="653"/>
        <v>4.0666935483870965</v>
      </c>
      <c r="CT458" s="234" cm="1">
        <f t="array" ref="CT458">$BM458 * IF($AH458&lt;=2,
SUMPRODUCT(INDEX($AV$66:$AX$70,,$AI458), INDEX($AY$66:$BE$70,,$AH458), 1 / ($BF$66:$BF$70*CS458 + (1-$BF$66:$BF$70)*CO458), N($AU$66:$AU$70&gt;$AM458)),
SUMPRODUCT(INDEX($AV$56:$AX$65,,$AI458), INDEX($AY$56:$BE$65,,$AH458), 1 / ($BG$56:$BG$65*CS458 + (1-$BG$56:$BG$65)*CO458), N($AU$56:$AU$65&gt;$AM458))
) / 1000</f>
        <v>0</v>
      </c>
      <c r="CU458" s="231">
        <f t="shared" si="631"/>
        <v>20</v>
      </c>
      <c r="CV458" s="229">
        <f t="shared" si="654"/>
        <v>33</v>
      </c>
      <c r="CW458" s="234">
        <f t="shared" si="655"/>
        <v>4.8487499999999999</v>
      </c>
      <c r="CX458" s="234" cm="1">
        <f t="array" ref="CX458">$BM458 * IF($AH458&lt;=2,
SUMPRODUCT(INDEX($AV$61:$AX$65,,$AI458), INDEX($AY$61:$BE$65,,$AH458), 1 / ($BF$61:$BF$65*CW458 + (1-$BF$61:$BF$65)*CS458), N($AU$61:$AU$65&gt;$AM458)),
SUMPRODUCT(INDEX($AV$46:$AX$55,,$AI458), INDEX($AY$46:$BE$55,,$AH458), 1 / ($BG$46:$BG$55*CW458 + (1-$BG$46:$BG$55)*CS458), N($AU$46:$AU$55&gt;$AM458))
) / 1000</f>
        <v>0</v>
      </c>
      <c r="CY458" s="234" cm="1">
        <f t="array" ref="CY458">$BM458 * IF($AH458&lt;=2,
SUMPRODUCT(INDEX($AV$22:$AX$60,,$AI458), INDEX($AY$22:$BE$60,,$AH458), 1 / ($BF$22:$BF$60*CW458), N($AU$22:$AU$60&gt;$AM458)),
SUMPRODUCT(INDEX($AV$22:$AX$45,,$AI458), INDEX($AY$22:$BE$45,,$AH458), 1 / ($BG$22:$BG$45*CW458), N($AU$22:$AU$45&gt;$AM458))
) / 1000</f>
        <v>0</v>
      </c>
      <c r="CZ458" s="229">
        <f t="shared" si="656"/>
        <v>0</v>
      </c>
      <c r="DA458" s="246"/>
    </row>
    <row r="459" spans="1:105" s="75" customFormat="1" ht="14.25" customHeight="1" x14ac:dyDescent="0.2">
      <c r="A459" s="230" t="b">
        <f t="shared" si="623"/>
        <v>0</v>
      </c>
      <c r="B459" s="253">
        <v>438</v>
      </c>
      <c r="C459" s="266"/>
      <c r="D459" s="266"/>
      <c r="E459" s="254"/>
      <c r="F459" s="255" t="str">
        <f>IF(ISBLANK(E459), "", VLOOKUP(E459, Z!$A$2:$C$4127, 3, FALSE))</f>
        <v/>
      </c>
      <c r="G459" s="256"/>
      <c r="H459" s="256"/>
      <c r="I459" s="256"/>
      <c r="J459" s="257"/>
      <c r="K459" s="258"/>
      <c r="L459" s="267"/>
      <c r="M459" s="268"/>
      <c r="N459" s="259" t="str" cm="1">
        <f t="array" ref="N459">IF($L459&gt;0, INDEX(Clean,1+AK459,$D$1), "")</f>
        <v/>
      </c>
      <c r="O459" s="260"/>
      <c r="P459" s="260"/>
      <c r="Q459" s="261"/>
      <c r="R459" s="264">
        <f t="shared" si="632"/>
        <v>0</v>
      </c>
      <c r="S459" s="259" t="str" cm="1">
        <f t="array" ref="S459">IF($L459&gt;0, INDEX(Clean,1+AL459,$D$1), "")</f>
        <v/>
      </c>
      <c r="T459" s="260"/>
      <c r="U459" s="260"/>
      <c r="V459" s="261"/>
      <c r="W459" s="267"/>
      <c r="X459" s="267"/>
      <c r="Y459" s="257"/>
      <c r="Z459" s="264">
        <f t="shared" si="633"/>
        <v>0</v>
      </c>
      <c r="AA459" s="269"/>
      <c r="AB459" s="266"/>
      <c r="AC459" s="254"/>
      <c r="AD459" s="255" t="str">
        <f>IF(ISBLANK(AC459), "", VLOOKUP(AC459, Z!$A$2:$C$4127, 3, FALSE))</f>
        <v/>
      </c>
      <c r="AE459" s="270"/>
      <c r="AF459" s="265">
        <f t="shared" si="634"/>
        <v>0</v>
      </c>
      <c r="AG459" s="246"/>
      <c r="AH459" s="228">
        <f t="shared" si="657"/>
        <v>1</v>
      </c>
      <c r="AI459" s="228">
        <f t="shared" si="658"/>
        <v>1</v>
      </c>
      <c r="AJ459" s="228">
        <f t="shared" si="659"/>
        <v>0</v>
      </c>
      <c r="AK459" s="228">
        <v>0</v>
      </c>
      <c r="AL459" s="228">
        <v>0</v>
      </c>
      <c r="AM459" s="228">
        <f t="shared" si="635"/>
        <v>-100</v>
      </c>
      <c r="AN459" s="228" cm="1">
        <f t="array" ref="AN459">IF(ISBLANK(G459), 1, IFERROR(MATCH(G459, INDEX(Kat,,1), 0), IFERROR(MATCH(Kat, INDEX(Use,,2), 0), MATCH(Kat, INDEX(Use,,3), 0))))</f>
        <v>1</v>
      </c>
      <c r="AO459" s="246"/>
      <c r="AP459" s="228" cm="1">
        <f t="array" ref="AP459">IF(W459&gt;0, INDEX(Kat, AN459,4), 0)</f>
        <v>0</v>
      </c>
      <c r="AQ459" s="228">
        <f t="shared" si="660"/>
        <v>0</v>
      </c>
      <c r="AR459" s="228" cm="1">
        <f t="array" ref="AR459">IF(X459&gt;0, INDEX(Kat, $AN459, 4+AQ459), 0)</f>
        <v>0</v>
      </c>
      <c r="AS459" s="228" cm="1">
        <f t="array" ref="AS459">IF(X459&gt;0, INDEX(Kat, $AN459, 9+AQ459), 0)</f>
        <v>0</v>
      </c>
      <c r="AT459" s="246"/>
      <c r="AU459" s="262"/>
      <c r="AV459" s="262"/>
      <c r="AW459" s="263"/>
      <c r="AX459" s="263"/>
      <c r="AY459" s="263"/>
      <c r="AZ459" s="263"/>
      <c r="BA459" s="263"/>
      <c r="BB459" s="263"/>
      <c r="BC459" s="263"/>
      <c r="BD459" s="263"/>
      <c r="BE459" s="263"/>
      <c r="BF459" s="263"/>
      <c r="BG459" s="263"/>
      <c r="BH459" s="246"/>
      <c r="BI459" s="228" cm="1">
        <f t="array" ref="BI459">INDEX(Use, $AH459, 4)</f>
        <v>7</v>
      </c>
      <c r="BJ459" s="228">
        <f t="shared" si="636"/>
        <v>32</v>
      </c>
      <c r="BK459" s="228">
        <f t="shared" si="624"/>
        <v>13</v>
      </c>
      <c r="BL459" s="228">
        <f t="shared" si="625"/>
        <v>0</v>
      </c>
      <c r="BM459" s="233" cm="1">
        <f t="array" ref="BM459">L459/IF($M459&gt;0, INDEX($AY$22:$BE$76, $M459+20, $AH459), 1)</f>
        <v>0</v>
      </c>
      <c r="BN459" s="229">
        <f t="shared" si="637"/>
        <v>0</v>
      </c>
      <c r="BO459" s="228">
        <v>35</v>
      </c>
      <c r="BP459" s="229">
        <f t="shared" si="638"/>
        <v>48</v>
      </c>
      <c r="BQ459" s="234">
        <f t="shared" si="639"/>
        <v>3.0748170731707316</v>
      </c>
      <c r="BR459" s="234" cm="1">
        <f t="array" ref="BR459">$BM459 * SUMPRODUCT(INDEX($AV$76:$AX$81,,$AI459),INDEX($AY$76:$BE$81,,$AH459), N($AU$76:$AU$81&gt;$AM459)) / BQ459 / 1000</f>
        <v>0</v>
      </c>
      <c r="BS459" s="231">
        <f t="shared" si="626"/>
        <v>30</v>
      </c>
      <c r="BT459" s="229">
        <f t="shared" si="640"/>
        <v>43</v>
      </c>
      <c r="BU459" s="234">
        <f t="shared" si="641"/>
        <v>3.5018750000000001</v>
      </c>
      <c r="BV459" s="234" cm="1">
        <f t="array" ref="BV459">$BM459 * IF($AH459&lt;=2,
SUMPRODUCT(INDEX($AV$71:$AX$75,,$AI459), INDEX($AY$71:$BE$75,,$AH459), 1 / ($BF$71:$BF$75*BU459 + (1-$BF$71:$BF$75)*BQ459), N($AU$71:$AU$75&gt;$AM459)),
SUMPRODUCT(INDEX($AV$66:$AX$75,,$AI459), INDEX($AY$66:$BE$75,,$AH459), 1 / ($BG$66:$BG$75*BU459 + (1-$BG$66:$BG$75)*BQ459), N($AU$66:$AU$75&gt;$AM459))
) / 1000</f>
        <v>0</v>
      </c>
      <c r="BW459" s="231">
        <f t="shared" si="627"/>
        <v>25</v>
      </c>
      <c r="BX459" s="229">
        <f t="shared" si="642"/>
        <v>38</v>
      </c>
      <c r="BY459" s="234">
        <f t="shared" si="643"/>
        <v>4.0666935483870965</v>
      </c>
      <c r="BZ459" s="234" cm="1">
        <f t="array" ref="BZ459">$BM459 * IF($AH459&lt;=2,
SUMPRODUCT(INDEX($AV$66:$AX$70,,$AI459), INDEX($AY$66:$BE$70,,$AH459), 1 / ($BF$66:$BF$70*BY459 + (1-$BF$66:$BF$70)*BU459), N($AU$66:$AU$70&gt;$AM459)),
SUMPRODUCT(INDEX($AV$56:$AX$65,,$AI459), INDEX($AY$56:$BE$65,,$AH459), 1 / ($BG$56:$BG$65*BY459 + (1-$BG$56:$BG$65)*BU459), N($AU$56:$AU$65&gt;$AM459))
) / 1000</f>
        <v>0</v>
      </c>
      <c r="CA459" s="231">
        <f t="shared" si="628"/>
        <v>20</v>
      </c>
      <c r="CB459" s="229">
        <f t="shared" si="644"/>
        <v>33</v>
      </c>
      <c r="CC459" s="234">
        <f t="shared" si="645"/>
        <v>4.8487499999999999</v>
      </c>
      <c r="CD459" s="234" cm="1">
        <f t="array" ref="CD459">$BM459 * IF($AH459&lt;=2,
SUMPRODUCT(INDEX($AV$61:$AX$65,,$AI459), INDEX($AY$61:$BE$65,,$AH459), 1 / ($BF$61:$BF$65*CC459 + (1-$BF$61:$BF$65)*BY459), N($AU$61:$AU$65&gt;$AM459)),
SUMPRODUCT(INDEX($AV$46:$AX$55,,$AI459), INDEX($AY$46:$BE$55,,$AH459), 1 / ($BG$46:$BG$55*CC459 + (1-$BG$46:$BG$55)*BY459), N($AU$46:$AU$55&gt;$AM459))
) / 1000</f>
        <v>0</v>
      </c>
      <c r="CE459" s="234" cm="1">
        <f t="array" ref="CE459">$BM459 * IF($AH459&lt;=2,
SUMPRODUCT(INDEX($AV$22:$AX$60,,$AI459), INDEX($AY$22:$BE$60,,$AH459), 1 / ($BF$22:$BF$60*CC459), N($AU$22:$AU$60&gt;$AM459)),
SUMPRODUCT(INDEX($AV$22:$AX$45,,$AI459), INDEX($AY$22:$BE$45,,$AH459), 1 / ($BG$22:$BG$45*CC459), N($AU$22:$AU$45&gt;$AM459))
) / 1000</f>
        <v>0</v>
      </c>
      <c r="CF459" s="229">
        <f t="shared" si="646"/>
        <v>0</v>
      </c>
      <c r="CG459" s="246"/>
      <c r="CH459" s="229">
        <f t="shared" si="647"/>
        <v>0</v>
      </c>
      <c r="CI459" s="228">
        <v>35</v>
      </c>
      <c r="CJ459" s="229">
        <f t="shared" si="648"/>
        <v>48</v>
      </c>
      <c r="CK459" s="234">
        <f t="shared" si="649"/>
        <v>3.0748170731707316</v>
      </c>
      <c r="CL459" s="234" cm="1">
        <f t="array" ref="CL459">$BM459 * SUMPRODUCT(INDEX($AV$76:$AX$81,,$AI459),INDEX($AY$76:$BE$81,,$AH459), N($AU$76:$AU$81&gt;$AM459)) / CK459 / 1000</f>
        <v>0</v>
      </c>
      <c r="CM459" s="231">
        <f t="shared" si="629"/>
        <v>30</v>
      </c>
      <c r="CN459" s="229">
        <f t="shared" si="650"/>
        <v>43</v>
      </c>
      <c r="CO459" s="234">
        <f t="shared" si="651"/>
        <v>3.5018750000000001</v>
      </c>
      <c r="CP459" s="234" cm="1">
        <f t="array" ref="CP459">$BM459 * IF($AH459&lt;=2,
SUMPRODUCT(INDEX($AV$71:$AX$75,,$AI459), INDEX($AY$71:$BE$75,,$AH459), 1 / ($BF$71:$BF$75*CO459 + (1-$BF$71:$BF$75)*CK459), N($AU$71:$AU$75&gt;$AM459)),
SUMPRODUCT(INDEX($AV$66:$AX$75,,$AI459), INDEX($AY$66:$BE$75,,$AH459), 1 / ($BG$66:$BG$75*CO459 + (1-$BG$66:$BG$75)*CK459), N($AU$66:$AU$75&gt;$AM459))
) / 1000</f>
        <v>0</v>
      </c>
      <c r="CQ459" s="231">
        <f t="shared" si="630"/>
        <v>25</v>
      </c>
      <c r="CR459" s="229">
        <f t="shared" si="652"/>
        <v>38</v>
      </c>
      <c r="CS459" s="234">
        <f t="shared" si="653"/>
        <v>4.0666935483870965</v>
      </c>
      <c r="CT459" s="234" cm="1">
        <f t="array" ref="CT459">$BM459 * IF($AH459&lt;=2,
SUMPRODUCT(INDEX($AV$66:$AX$70,,$AI459), INDEX($AY$66:$BE$70,,$AH459), 1 / ($BF$66:$BF$70*CS459 + (1-$BF$66:$BF$70)*CO459), N($AU$66:$AU$70&gt;$AM459)),
SUMPRODUCT(INDEX($AV$56:$AX$65,,$AI459), INDEX($AY$56:$BE$65,,$AH459), 1 / ($BG$56:$BG$65*CS459 + (1-$BG$56:$BG$65)*CO459), N($AU$56:$AU$65&gt;$AM459))
) / 1000</f>
        <v>0</v>
      </c>
      <c r="CU459" s="231">
        <f t="shared" si="631"/>
        <v>20</v>
      </c>
      <c r="CV459" s="229">
        <f t="shared" si="654"/>
        <v>33</v>
      </c>
      <c r="CW459" s="234">
        <f t="shared" si="655"/>
        <v>4.8487499999999999</v>
      </c>
      <c r="CX459" s="234" cm="1">
        <f t="array" ref="CX459">$BM459 * IF($AH459&lt;=2,
SUMPRODUCT(INDEX($AV$61:$AX$65,,$AI459), INDEX($AY$61:$BE$65,,$AH459), 1 / ($BF$61:$BF$65*CW459 + (1-$BF$61:$BF$65)*CS459), N($AU$61:$AU$65&gt;$AM459)),
SUMPRODUCT(INDEX($AV$46:$AX$55,,$AI459), INDEX($AY$46:$BE$55,,$AH459), 1 / ($BG$46:$BG$55*CW459 + (1-$BG$46:$BG$55)*CS459), N($AU$46:$AU$55&gt;$AM459))
) / 1000</f>
        <v>0</v>
      </c>
      <c r="CY459" s="234" cm="1">
        <f t="array" ref="CY459">$BM459 * IF($AH459&lt;=2,
SUMPRODUCT(INDEX($AV$22:$AX$60,,$AI459), INDEX($AY$22:$BE$60,,$AH459), 1 / ($BF$22:$BF$60*CW459), N($AU$22:$AU$60&gt;$AM459)),
SUMPRODUCT(INDEX($AV$22:$AX$45,,$AI459), INDEX($AY$22:$BE$45,,$AH459), 1 / ($BG$22:$BG$45*CW459), N($AU$22:$AU$45&gt;$AM459))
) / 1000</f>
        <v>0</v>
      </c>
      <c r="CZ459" s="229">
        <f t="shared" si="656"/>
        <v>0</v>
      </c>
      <c r="DA459" s="246"/>
    </row>
    <row r="460" spans="1:105" s="75" customFormat="1" ht="14.25" customHeight="1" x14ac:dyDescent="0.2">
      <c r="A460" s="230" t="b">
        <f t="shared" si="623"/>
        <v>0</v>
      </c>
      <c r="B460" s="253">
        <v>439</v>
      </c>
      <c r="C460" s="266"/>
      <c r="D460" s="266"/>
      <c r="E460" s="254"/>
      <c r="F460" s="255" t="str">
        <f>IF(ISBLANK(E460), "", VLOOKUP(E460, Z!$A$2:$C$4127, 3, FALSE))</f>
        <v/>
      </c>
      <c r="G460" s="256"/>
      <c r="H460" s="256"/>
      <c r="I460" s="256"/>
      <c r="J460" s="257"/>
      <c r="K460" s="258"/>
      <c r="L460" s="267"/>
      <c r="M460" s="268"/>
      <c r="N460" s="259" t="str" cm="1">
        <f t="array" ref="N460">IF($L460&gt;0, INDEX(Clean,1+AK460,$D$1), "")</f>
        <v/>
      </c>
      <c r="O460" s="260"/>
      <c r="P460" s="260"/>
      <c r="Q460" s="261"/>
      <c r="R460" s="264">
        <f t="shared" si="632"/>
        <v>0</v>
      </c>
      <c r="S460" s="259" t="str" cm="1">
        <f t="array" ref="S460">IF($L460&gt;0, INDEX(Clean,1+AL460,$D$1), "")</f>
        <v/>
      </c>
      <c r="T460" s="260"/>
      <c r="U460" s="260"/>
      <c r="V460" s="261"/>
      <c r="W460" s="267"/>
      <c r="X460" s="267"/>
      <c r="Y460" s="257"/>
      <c r="Z460" s="264">
        <f t="shared" si="633"/>
        <v>0</v>
      </c>
      <c r="AA460" s="269"/>
      <c r="AB460" s="266"/>
      <c r="AC460" s="254"/>
      <c r="AD460" s="255" t="str">
        <f>IF(ISBLANK(AC460), "", VLOOKUP(AC460, Z!$A$2:$C$4127, 3, FALSE))</f>
        <v/>
      </c>
      <c r="AE460" s="270"/>
      <c r="AF460" s="265">
        <f t="shared" si="634"/>
        <v>0</v>
      </c>
      <c r="AG460" s="246"/>
      <c r="AH460" s="228">
        <f t="shared" si="657"/>
        <v>1</v>
      </c>
      <c r="AI460" s="228">
        <f t="shared" si="658"/>
        <v>1</v>
      </c>
      <c r="AJ460" s="228">
        <f t="shared" si="659"/>
        <v>0</v>
      </c>
      <c r="AK460" s="228">
        <v>0</v>
      </c>
      <c r="AL460" s="228">
        <v>0</v>
      </c>
      <c r="AM460" s="228">
        <f t="shared" si="635"/>
        <v>-100</v>
      </c>
      <c r="AN460" s="228" cm="1">
        <f t="array" ref="AN460">IF(ISBLANK(G460), 1, IFERROR(MATCH(G460, INDEX(Kat,,1), 0), IFERROR(MATCH(Kat, INDEX(Use,,2), 0), MATCH(Kat, INDEX(Use,,3), 0))))</f>
        <v>1</v>
      </c>
      <c r="AO460" s="246"/>
      <c r="AP460" s="228" cm="1">
        <f t="array" ref="AP460">IF(W460&gt;0, INDEX(Kat, AN460,4), 0)</f>
        <v>0</v>
      </c>
      <c r="AQ460" s="228">
        <f t="shared" si="660"/>
        <v>0</v>
      </c>
      <c r="AR460" s="228" cm="1">
        <f t="array" ref="AR460">IF(X460&gt;0, INDEX(Kat, $AN460, 4+AQ460), 0)</f>
        <v>0</v>
      </c>
      <c r="AS460" s="228" cm="1">
        <f t="array" ref="AS460">IF(X460&gt;0, INDEX(Kat, $AN460, 9+AQ460), 0)</f>
        <v>0</v>
      </c>
      <c r="AT460" s="246"/>
      <c r="AU460" s="262"/>
      <c r="AV460" s="262"/>
      <c r="AW460" s="263"/>
      <c r="AX460" s="263"/>
      <c r="AY460" s="263"/>
      <c r="AZ460" s="263"/>
      <c r="BA460" s="263"/>
      <c r="BB460" s="263"/>
      <c r="BC460" s="263"/>
      <c r="BD460" s="263"/>
      <c r="BE460" s="263"/>
      <c r="BF460" s="263"/>
      <c r="BG460" s="263"/>
      <c r="BH460" s="246"/>
      <c r="BI460" s="228" cm="1">
        <f t="array" ref="BI460">INDEX(Use, $AH460, 4)</f>
        <v>7</v>
      </c>
      <c r="BJ460" s="228">
        <f t="shared" si="636"/>
        <v>32</v>
      </c>
      <c r="BK460" s="228">
        <f t="shared" si="624"/>
        <v>13</v>
      </c>
      <c r="BL460" s="228">
        <f t="shared" si="625"/>
        <v>0</v>
      </c>
      <c r="BM460" s="233" cm="1">
        <f t="array" ref="BM460">L460/IF($M460&gt;0, INDEX($AY$22:$BE$76, $M460+20, $AH460), 1)</f>
        <v>0</v>
      </c>
      <c r="BN460" s="229">
        <f t="shared" si="637"/>
        <v>0</v>
      </c>
      <c r="BO460" s="228">
        <v>35</v>
      </c>
      <c r="BP460" s="229">
        <f t="shared" si="638"/>
        <v>48</v>
      </c>
      <c r="BQ460" s="234">
        <f t="shared" si="639"/>
        <v>3.0748170731707316</v>
      </c>
      <c r="BR460" s="234" cm="1">
        <f t="array" ref="BR460">$BM460 * SUMPRODUCT(INDEX($AV$76:$AX$81,,$AI460),INDEX($AY$76:$BE$81,,$AH460), N($AU$76:$AU$81&gt;$AM460)) / BQ460 / 1000</f>
        <v>0</v>
      </c>
      <c r="BS460" s="231">
        <f t="shared" si="626"/>
        <v>30</v>
      </c>
      <c r="BT460" s="229">
        <f t="shared" si="640"/>
        <v>43</v>
      </c>
      <c r="BU460" s="234">
        <f t="shared" si="641"/>
        <v>3.5018750000000001</v>
      </c>
      <c r="BV460" s="234" cm="1">
        <f t="array" ref="BV460">$BM460 * IF($AH460&lt;=2,
SUMPRODUCT(INDEX($AV$71:$AX$75,,$AI460), INDEX($AY$71:$BE$75,,$AH460), 1 / ($BF$71:$BF$75*BU460 + (1-$BF$71:$BF$75)*BQ460), N($AU$71:$AU$75&gt;$AM460)),
SUMPRODUCT(INDEX($AV$66:$AX$75,,$AI460), INDEX($AY$66:$BE$75,,$AH460), 1 / ($BG$66:$BG$75*BU460 + (1-$BG$66:$BG$75)*BQ460), N($AU$66:$AU$75&gt;$AM460))
) / 1000</f>
        <v>0</v>
      </c>
      <c r="BW460" s="231">
        <f t="shared" si="627"/>
        <v>25</v>
      </c>
      <c r="BX460" s="229">
        <f t="shared" si="642"/>
        <v>38</v>
      </c>
      <c r="BY460" s="234">
        <f t="shared" si="643"/>
        <v>4.0666935483870965</v>
      </c>
      <c r="BZ460" s="234" cm="1">
        <f t="array" ref="BZ460">$BM460 * IF($AH460&lt;=2,
SUMPRODUCT(INDEX($AV$66:$AX$70,,$AI460), INDEX($AY$66:$BE$70,,$AH460), 1 / ($BF$66:$BF$70*BY460 + (1-$BF$66:$BF$70)*BU460), N($AU$66:$AU$70&gt;$AM460)),
SUMPRODUCT(INDEX($AV$56:$AX$65,,$AI460), INDEX($AY$56:$BE$65,,$AH460), 1 / ($BG$56:$BG$65*BY460 + (1-$BG$56:$BG$65)*BU460), N($AU$56:$AU$65&gt;$AM460))
) / 1000</f>
        <v>0</v>
      </c>
      <c r="CA460" s="231">
        <f t="shared" si="628"/>
        <v>20</v>
      </c>
      <c r="CB460" s="229">
        <f t="shared" si="644"/>
        <v>33</v>
      </c>
      <c r="CC460" s="234">
        <f t="shared" si="645"/>
        <v>4.8487499999999999</v>
      </c>
      <c r="CD460" s="234" cm="1">
        <f t="array" ref="CD460">$BM460 * IF($AH460&lt;=2,
SUMPRODUCT(INDEX($AV$61:$AX$65,,$AI460), INDEX($AY$61:$BE$65,,$AH460), 1 / ($BF$61:$BF$65*CC460 + (1-$BF$61:$BF$65)*BY460), N($AU$61:$AU$65&gt;$AM460)),
SUMPRODUCT(INDEX($AV$46:$AX$55,,$AI460), INDEX($AY$46:$BE$55,,$AH460), 1 / ($BG$46:$BG$55*CC460 + (1-$BG$46:$BG$55)*BY460), N($AU$46:$AU$55&gt;$AM460))
) / 1000</f>
        <v>0</v>
      </c>
      <c r="CE460" s="234" cm="1">
        <f t="array" ref="CE460">$BM460 * IF($AH460&lt;=2,
SUMPRODUCT(INDEX($AV$22:$AX$60,,$AI460), INDEX($AY$22:$BE$60,,$AH460), 1 / ($BF$22:$BF$60*CC460), N($AU$22:$AU$60&gt;$AM460)),
SUMPRODUCT(INDEX($AV$22:$AX$45,,$AI460), INDEX($AY$22:$BE$45,,$AH460), 1 / ($BG$22:$BG$45*CC460), N($AU$22:$AU$45&gt;$AM460))
) / 1000</f>
        <v>0</v>
      </c>
      <c r="CF460" s="229">
        <f t="shared" si="646"/>
        <v>0</v>
      </c>
      <c r="CG460" s="246"/>
      <c r="CH460" s="229">
        <f t="shared" si="647"/>
        <v>0</v>
      </c>
      <c r="CI460" s="228">
        <v>35</v>
      </c>
      <c r="CJ460" s="229">
        <f t="shared" si="648"/>
        <v>48</v>
      </c>
      <c r="CK460" s="234">
        <f t="shared" si="649"/>
        <v>3.0748170731707316</v>
      </c>
      <c r="CL460" s="234" cm="1">
        <f t="array" ref="CL460">$BM460 * SUMPRODUCT(INDEX($AV$76:$AX$81,,$AI460),INDEX($AY$76:$BE$81,,$AH460), N($AU$76:$AU$81&gt;$AM460)) / CK460 / 1000</f>
        <v>0</v>
      </c>
      <c r="CM460" s="231">
        <f t="shared" si="629"/>
        <v>30</v>
      </c>
      <c r="CN460" s="229">
        <f t="shared" si="650"/>
        <v>43</v>
      </c>
      <c r="CO460" s="234">
        <f t="shared" si="651"/>
        <v>3.5018750000000001</v>
      </c>
      <c r="CP460" s="234" cm="1">
        <f t="array" ref="CP460">$BM460 * IF($AH460&lt;=2,
SUMPRODUCT(INDEX($AV$71:$AX$75,,$AI460), INDEX($AY$71:$BE$75,,$AH460), 1 / ($BF$71:$BF$75*CO460 + (1-$BF$71:$BF$75)*CK460), N($AU$71:$AU$75&gt;$AM460)),
SUMPRODUCT(INDEX($AV$66:$AX$75,,$AI460), INDEX($AY$66:$BE$75,,$AH460), 1 / ($BG$66:$BG$75*CO460 + (1-$BG$66:$BG$75)*CK460), N($AU$66:$AU$75&gt;$AM460))
) / 1000</f>
        <v>0</v>
      </c>
      <c r="CQ460" s="231">
        <f t="shared" si="630"/>
        <v>25</v>
      </c>
      <c r="CR460" s="229">
        <f t="shared" si="652"/>
        <v>38</v>
      </c>
      <c r="CS460" s="234">
        <f t="shared" si="653"/>
        <v>4.0666935483870965</v>
      </c>
      <c r="CT460" s="234" cm="1">
        <f t="array" ref="CT460">$BM460 * IF($AH460&lt;=2,
SUMPRODUCT(INDEX($AV$66:$AX$70,,$AI460), INDEX($AY$66:$BE$70,,$AH460), 1 / ($BF$66:$BF$70*CS460 + (1-$BF$66:$BF$70)*CO460), N($AU$66:$AU$70&gt;$AM460)),
SUMPRODUCT(INDEX($AV$56:$AX$65,,$AI460), INDEX($AY$56:$BE$65,,$AH460), 1 / ($BG$56:$BG$65*CS460 + (1-$BG$56:$BG$65)*CO460), N($AU$56:$AU$65&gt;$AM460))
) / 1000</f>
        <v>0</v>
      </c>
      <c r="CU460" s="231">
        <f t="shared" si="631"/>
        <v>20</v>
      </c>
      <c r="CV460" s="229">
        <f t="shared" si="654"/>
        <v>33</v>
      </c>
      <c r="CW460" s="234">
        <f t="shared" si="655"/>
        <v>4.8487499999999999</v>
      </c>
      <c r="CX460" s="234" cm="1">
        <f t="array" ref="CX460">$BM460 * IF($AH460&lt;=2,
SUMPRODUCT(INDEX($AV$61:$AX$65,,$AI460), INDEX($AY$61:$BE$65,,$AH460), 1 / ($BF$61:$BF$65*CW460 + (1-$BF$61:$BF$65)*CS460), N($AU$61:$AU$65&gt;$AM460)),
SUMPRODUCT(INDEX($AV$46:$AX$55,,$AI460), INDEX($AY$46:$BE$55,,$AH460), 1 / ($BG$46:$BG$55*CW460 + (1-$BG$46:$BG$55)*CS460), N($AU$46:$AU$55&gt;$AM460))
) / 1000</f>
        <v>0</v>
      </c>
      <c r="CY460" s="234" cm="1">
        <f t="array" ref="CY460">$BM460 * IF($AH460&lt;=2,
SUMPRODUCT(INDEX($AV$22:$AX$60,,$AI460), INDEX($AY$22:$BE$60,,$AH460), 1 / ($BF$22:$BF$60*CW460), N($AU$22:$AU$60&gt;$AM460)),
SUMPRODUCT(INDEX($AV$22:$AX$45,,$AI460), INDEX($AY$22:$BE$45,,$AH460), 1 / ($BG$22:$BG$45*CW460), N($AU$22:$AU$45&gt;$AM460))
) / 1000</f>
        <v>0</v>
      </c>
      <c r="CZ460" s="229">
        <f t="shared" si="656"/>
        <v>0</v>
      </c>
      <c r="DA460" s="246"/>
    </row>
    <row r="461" spans="1:105" s="75" customFormat="1" ht="14.25" customHeight="1" x14ac:dyDescent="0.2">
      <c r="A461" s="230" t="b">
        <f t="shared" si="623"/>
        <v>0</v>
      </c>
      <c r="B461" s="253">
        <v>440</v>
      </c>
      <c r="C461" s="266"/>
      <c r="D461" s="266"/>
      <c r="E461" s="254"/>
      <c r="F461" s="255" t="str">
        <f>IF(ISBLANK(E461), "", VLOOKUP(E461, Z!$A$2:$C$4127, 3, FALSE))</f>
        <v/>
      </c>
      <c r="G461" s="256"/>
      <c r="H461" s="256"/>
      <c r="I461" s="256"/>
      <c r="J461" s="257"/>
      <c r="K461" s="258"/>
      <c r="L461" s="267"/>
      <c r="M461" s="268"/>
      <c r="N461" s="259" t="str" cm="1">
        <f t="array" ref="N461">IF($L461&gt;0, INDEX(Clean,1+AK461,$D$1), "")</f>
        <v/>
      </c>
      <c r="O461" s="260"/>
      <c r="P461" s="260"/>
      <c r="Q461" s="261"/>
      <c r="R461" s="264">
        <f t="shared" si="632"/>
        <v>0</v>
      </c>
      <c r="S461" s="259" t="str" cm="1">
        <f t="array" ref="S461">IF($L461&gt;0, INDEX(Clean,1+AL461,$D$1), "")</f>
        <v/>
      </c>
      <c r="T461" s="260"/>
      <c r="U461" s="260"/>
      <c r="V461" s="261"/>
      <c r="W461" s="267"/>
      <c r="X461" s="267"/>
      <c r="Y461" s="257"/>
      <c r="Z461" s="264">
        <f t="shared" si="633"/>
        <v>0</v>
      </c>
      <c r="AA461" s="269"/>
      <c r="AB461" s="266"/>
      <c r="AC461" s="254"/>
      <c r="AD461" s="255" t="str">
        <f>IF(ISBLANK(AC461), "", VLOOKUP(AC461, Z!$A$2:$C$4127, 3, FALSE))</f>
        <v/>
      </c>
      <c r="AE461" s="270"/>
      <c r="AF461" s="265">
        <f t="shared" si="634"/>
        <v>0</v>
      </c>
      <c r="AG461" s="246"/>
      <c r="AH461" s="228">
        <f t="shared" si="657"/>
        <v>1</v>
      </c>
      <c r="AI461" s="228">
        <f t="shared" si="658"/>
        <v>1</v>
      </c>
      <c r="AJ461" s="228">
        <f t="shared" si="659"/>
        <v>0</v>
      </c>
      <c r="AK461" s="228">
        <v>0</v>
      </c>
      <c r="AL461" s="228">
        <v>0</v>
      </c>
      <c r="AM461" s="228">
        <f t="shared" si="635"/>
        <v>-100</v>
      </c>
      <c r="AN461" s="228" cm="1">
        <f t="array" ref="AN461">IF(ISBLANK(G461), 1, IFERROR(MATCH(G461, INDEX(Kat,,1), 0), IFERROR(MATCH(Kat, INDEX(Use,,2), 0), MATCH(Kat, INDEX(Use,,3), 0))))</f>
        <v>1</v>
      </c>
      <c r="AO461" s="246"/>
      <c r="AP461" s="228" cm="1">
        <f t="array" ref="AP461">IF(W461&gt;0, INDEX(Kat, AN461,4), 0)</f>
        <v>0</v>
      </c>
      <c r="AQ461" s="228">
        <f t="shared" si="660"/>
        <v>0</v>
      </c>
      <c r="AR461" s="228" cm="1">
        <f t="array" ref="AR461">IF(X461&gt;0, INDEX(Kat, $AN461, 4+AQ461), 0)</f>
        <v>0</v>
      </c>
      <c r="AS461" s="228" cm="1">
        <f t="array" ref="AS461">IF(X461&gt;0, INDEX(Kat, $AN461, 9+AQ461), 0)</f>
        <v>0</v>
      </c>
      <c r="AT461" s="246"/>
      <c r="AU461" s="262"/>
      <c r="AV461" s="262"/>
      <c r="AW461" s="263"/>
      <c r="AX461" s="263"/>
      <c r="AY461" s="263"/>
      <c r="AZ461" s="263"/>
      <c r="BA461" s="263"/>
      <c r="BB461" s="263"/>
      <c r="BC461" s="263"/>
      <c r="BD461" s="263"/>
      <c r="BE461" s="263"/>
      <c r="BF461" s="263"/>
      <c r="BG461" s="263"/>
      <c r="BH461" s="246"/>
      <c r="BI461" s="228" cm="1">
        <f t="array" ref="BI461">INDEX(Use, $AH461, 4)</f>
        <v>7</v>
      </c>
      <c r="BJ461" s="228">
        <f t="shared" si="636"/>
        <v>32</v>
      </c>
      <c r="BK461" s="228">
        <f t="shared" si="624"/>
        <v>13</v>
      </c>
      <c r="BL461" s="228">
        <f t="shared" si="625"/>
        <v>0</v>
      </c>
      <c r="BM461" s="233" cm="1">
        <f t="array" ref="BM461">L461/IF($M461&gt;0, INDEX($AY$22:$BE$76, $M461+20, $AH461), 1)</f>
        <v>0</v>
      </c>
      <c r="BN461" s="229">
        <f t="shared" si="637"/>
        <v>0</v>
      </c>
      <c r="BO461" s="228">
        <v>35</v>
      </c>
      <c r="BP461" s="229">
        <f t="shared" si="638"/>
        <v>48</v>
      </c>
      <c r="BQ461" s="234">
        <f t="shared" si="639"/>
        <v>3.0748170731707316</v>
      </c>
      <c r="BR461" s="234" cm="1">
        <f t="array" ref="BR461">$BM461 * SUMPRODUCT(INDEX($AV$76:$AX$81,,$AI461),INDEX($AY$76:$BE$81,,$AH461), N($AU$76:$AU$81&gt;$AM461)) / BQ461 / 1000</f>
        <v>0</v>
      </c>
      <c r="BS461" s="231">
        <f t="shared" si="626"/>
        <v>30</v>
      </c>
      <c r="BT461" s="229">
        <f t="shared" si="640"/>
        <v>43</v>
      </c>
      <c r="BU461" s="234">
        <f t="shared" si="641"/>
        <v>3.5018750000000001</v>
      </c>
      <c r="BV461" s="234" cm="1">
        <f t="array" ref="BV461">$BM461 * IF($AH461&lt;=2,
SUMPRODUCT(INDEX($AV$71:$AX$75,,$AI461), INDEX($AY$71:$BE$75,,$AH461), 1 / ($BF$71:$BF$75*BU461 + (1-$BF$71:$BF$75)*BQ461), N($AU$71:$AU$75&gt;$AM461)),
SUMPRODUCT(INDEX($AV$66:$AX$75,,$AI461), INDEX($AY$66:$BE$75,,$AH461), 1 / ($BG$66:$BG$75*BU461 + (1-$BG$66:$BG$75)*BQ461), N($AU$66:$AU$75&gt;$AM461))
) / 1000</f>
        <v>0</v>
      </c>
      <c r="BW461" s="231">
        <f t="shared" si="627"/>
        <v>25</v>
      </c>
      <c r="BX461" s="229">
        <f t="shared" si="642"/>
        <v>38</v>
      </c>
      <c r="BY461" s="234">
        <f t="shared" si="643"/>
        <v>4.0666935483870965</v>
      </c>
      <c r="BZ461" s="234" cm="1">
        <f t="array" ref="BZ461">$BM461 * IF($AH461&lt;=2,
SUMPRODUCT(INDEX($AV$66:$AX$70,,$AI461), INDEX($AY$66:$BE$70,,$AH461), 1 / ($BF$66:$BF$70*BY461 + (1-$BF$66:$BF$70)*BU461), N($AU$66:$AU$70&gt;$AM461)),
SUMPRODUCT(INDEX($AV$56:$AX$65,,$AI461), INDEX($AY$56:$BE$65,,$AH461), 1 / ($BG$56:$BG$65*BY461 + (1-$BG$56:$BG$65)*BU461), N($AU$56:$AU$65&gt;$AM461))
) / 1000</f>
        <v>0</v>
      </c>
      <c r="CA461" s="231">
        <f t="shared" si="628"/>
        <v>20</v>
      </c>
      <c r="CB461" s="229">
        <f t="shared" si="644"/>
        <v>33</v>
      </c>
      <c r="CC461" s="234">
        <f t="shared" si="645"/>
        <v>4.8487499999999999</v>
      </c>
      <c r="CD461" s="234" cm="1">
        <f t="array" ref="CD461">$BM461 * IF($AH461&lt;=2,
SUMPRODUCT(INDEX($AV$61:$AX$65,,$AI461), INDEX($AY$61:$BE$65,,$AH461), 1 / ($BF$61:$BF$65*CC461 + (1-$BF$61:$BF$65)*BY461), N($AU$61:$AU$65&gt;$AM461)),
SUMPRODUCT(INDEX($AV$46:$AX$55,,$AI461), INDEX($AY$46:$BE$55,,$AH461), 1 / ($BG$46:$BG$55*CC461 + (1-$BG$46:$BG$55)*BY461), N($AU$46:$AU$55&gt;$AM461))
) / 1000</f>
        <v>0</v>
      </c>
      <c r="CE461" s="234" cm="1">
        <f t="array" ref="CE461">$BM461 * IF($AH461&lt;=2,
SUMPRODUCT(INDEX($AV$22:$AX$60,,$AI461), INDEX($AY$22:$BE$60,,$AH461), 1 / ($BF$22:$BF$60*CC461), N($AU$22:$AU$60&gt;$AM461)),
SUMPRODUCT(INDEX($AV$22:$AX$45,,$AI461), INDEX($AY$22:$BE$45,,$AH461), 1 / ($BG$22:$BG$45*CC461), N($AU$22:$AU$45&gt;$AM461))
) / 1000</f>
        <v>0</v>
      </c>
      <c r="CF461" s="229">
        <f t="shared" si="646"/>
        <v>0</v>
      </c>
      <c r="CG461" s="246"/>
      <c r="CH461" s="229">
        <f t="shared" si="647"/>
        <v>0</v>
      </c>
      <c r="CI461" s="228">
        <v>35</v>
      </c>
      <c r="CJ461" s="229">
        <f t="shared" si="648"/>
        <v>48</v>
      </c>
      <c r="CK461" s="234">
        <f t="shared" si="649"/>
        <v>3.0748170731707316</v>
      </c>
      <c r="CL461" s="234" cm="1">
        <f t="array" ref="CL461">$BM461 * SUMPRODUCT(INDEX($AV$76:$AX$81,,$AI461),INDEX($AY$76:$BE$81,,$AH461), N($AU$76:$AU$81&gt;$AM461)) / CK461 / 1000</f>
        <v>0</v>
      </c>
      <c r="CM461" s="231">
        <f t="shared" si="629"/>
        <v>30</v>
      </c>
      <c r="CN461" s="229">
        <f t="shared" si="650"/>
        <v>43</v>
      </c>
      <c r="CO461" s="234">
        <f t="shared" si="651"/>
        <v>3.5018750000000001</v>
      </c>
      <c r="CP461" s="234" cm="1">
        <f t="array" ref="CP461">$BM461 * IF($AH461&lt;=2,
SUMPRODUCT(INDEX($AV$71:$AX$75,,$AI461), INDEX($AY$71:$BE$75,,$AH461), 1 / ($BF$71:$BF$75*CO461 + (1-$BF$71:$BF$75)*CK461), N($AU$71:$AU$75&gt;$AM461)),
SUMPRODUCT(INDEX($AV$66:$AX$75,,$AI461), INDEX($AY$66:$BE$75,,$AH461), 1 / ($BG$66:$BG$75*CO461 + (1-$BG$66:$BG$75)*CK461), N($AU$66:$AU$75&gt;$AM461))
) / 1000</f>
        <v>0</v>
      </c>
      <c r="CQ461" s="231">
        <f t="shared" si="630"/>
        <v>25</v>
      </c>
      <c r="CR461" s="229">
        <f t="shared" si="652"/>
        <v>38</v>
      </c>
      <c r="CS461" s="234">
        <f t="shared" si="653"/>
        <v>4.0666935483870965</v>
      </c>
      <c r="CT461" s="234" cm="1">
        <f t="array" ref="CT461">$BM461 * IF($AH461&lt;=2,
SUMPRODUCT(INDEX($AV$66:$AX$70,,$AI461), INDEX($AY$66:$BE$70,,$AH461), 1 / ($BF$66:$BF$70*CS461 + (1-$BF$66:$BF$70)*CO461), N($AU$66:$AU$70&gt;$AM461)),
SUMPRODUCT(INDEX($AV$56:$AX$65,,$AI461), INDEX($AY$56:$BE$65,,$AH461), 1 / ($BG$56:$BG$65*CS461 + (1-$BG$56:$BG$65)*CO461), N($AU$56:$AU$65&gt;$AM461))
) / 1000</f>
        <v>0</v>
      </c>
      <c r="CU461" s="231">
        <f t="shared" si="631"/>
        <v>20</v>
      </c>
      <c r="CV461" s="229">
        <f t="shared" si="654"/>
        <v>33</v>
      </c>
      <c r="CW461" s="234">
        <f t="shared" si="655"/>
        <v>4.8487499999999999</v>
      </c>
      <c r="CX461" s="234" cm="1">
        <f t="array" ref="CX461">$BM461 * IF($AH461&lt;=2,
SUMPRODUCT(INDEX($AV$61:$AX$65,,$AI461), INDEX($AY$61:$BE$65,,$AH461), 1 / ($BF$61:$BF$65*CW461 + (1-$BF$61:$BF$65)*CS461), N($AU$61:$AU$65&gt;$AM461)),
SUMPRODUCT(INDEX($AV$46:$AX$55,,$AI461), INDEX($AY$46:$BE$55,,$AH461), 1 / ($BG$46:$BG$55*CW461 + (1-$BG$46:$BG$55)*CS461), N($AU$46:$AU$55&gt;$AM461))
) / 1000</f>
        <v>0</v>
      </c>
      <c r="CY461" s="234" cm="1">
        <f t="array" ref="CY461">$BM461 * IF($AH461&lt;=2,
SUMPRODUCT(INDEX($AV$22:$AX$60,,$AI461), INDEX($AY$22:$BE$60,,$AH461), 1 / ($BF$22:$BF$60*CW461), N($AU$22:$AU$60&gt;$AM461)),
SUMPRODUCT(INDEX($AV$22:$AX$45,,$AI461), INDEX($AY$22:$BE$45,,$AH461), 1 / ($BG$22:$BG$45*CW461), N($AU$22:$AU$45&gt;$AM461))
) / 1000</f>
        <v>0</v>
      </c>
      <c r="CZ461" s="229">
        <f t="shared" si="656"/>
        <v>0</v>
      </c>
      <c r="DA461" s="246"/>
    </row>
    <row r="462" spans="1:105" s="75" customFormat="1" ht="14.25" customHeight="1" x14ac:dyDescent="0.2">
      <c r="A462" s="230" t="b">
        <f t="shared" si="623"/>
        <v>0</v>
      </c>
      <c r="B462" s="253">
        <v>441</v>
      </c>
      <c r="C462" s="266"/>
      <c r="D462" s="266"/>
      <c r="E462" s="254"/>
      <c r="F462" s="255" t="str">
        <f>IF(ISBLANK(E462), "", VLOOKUP(E462, Z!$A$2:$C$4127, 3, FALSE))</f>
        <v/>
      </c>
      <c r="G462" s="256"/>
      <c r="H462" s="256"/>
      <c r="I462" s="256"/>
      <c r="J462" s="257"/>
      <c r="K462" s="258"/>
      <c r="L462" s="267"/>
      <c r="M462" s="268"/>
      <c r="N462" s="259" t="str" cm="1">
        <f t="array" ref="N462">IF($L462&gt;0, INDEX(Clean,1+AK462,$D$1), "")</f>
        <v/>
      </c>
      <c r="O462" s="260"/>
      <c r="P462" s="260"/>
      <c r="Q462" s="261"/>
      <c r="R462" s="264">
        <f t="shared" si="632"/>
        <v>0</v>
      </c>
      <c r="S462" s="259" t="str" cm="1">
        <f t="array" ref="S462">IF($L462&gt;0, INDEX(Clean,1+AL462,$D$1), "")</f>
        <v/>
      </c>
      <c r="T462" s="260"/>
      <c r="U462" s="260"/>
      <c r="V462" s="261"/>
      <c r="W462" s="267"/>
      <c r="X462" s="267"/>
      <c r="Y462" s="257"/>
      <c r="Z462" s="264">
        <f t="shared" si="633"/>
        <v>0</v>
      </c>
      <c r="AA462" s="269"/>
      <c r="AB462" s="266"/>
      <c r="AC462" s="254"/>
      <c r="AD462" s="255" t="str">
        <f>IF(ISBLANK(AC462), "", VLOOKUP(AC462, Z!$A$2:$C$4127, 3, FALSE))</f>
        <v/>
      </c>
      <c r="AE462" s="270"/>
      <c r="AF462" s="265">
        <f t="shared" si="634"/>
        <v>0</v>
      </c>
      <c r="AG462" s="246"/>
      <c r="AH462" s="228">
        <f t="shared" si="657"/>
        <v>1</v>
      </c>
      <c r="AI462" s="228">
        <f t="shared" si="658"/>
        <v>1</v>
      </c>
      <c r="AJ462" s="228">
        <f t="shared" si="659"/>
        <v>0</v>
      </c>
      <c r="AK462" s="228">
        <v>0</v>
      </c>
      <c r="AL462" s="228">
        <v>0</v>
      </c>
      <c r="AM462" s="228">
        <f t="shared" si="635"/>
        <v>-100</v>
      </c>
      <c r="AN462" s="228" cm="1">
        <f t="array" ref="AN462">IF(ISBLANK(G462), 1, IFERROR(MATCH(G462, INDEX(Kat,,1), 0), IFERROR(MATCH(Kat, INDEX(Use,,2), 0), MATCH(Kat, INDEX(Use,,3), 0))))</f>
        <v>1</v>
      </c>
      <c r="AO462" s="246"/>
      <c r="AP462" s="228" cm="1">
        <f t="array" ref="AP462">IF(W462&gt;0, INDEX(Kat, AN462,4), 0)</f>
        <v>0</v>
      </c>
      <c r="AQ462" s="228">
        <f t="shared" si="660"/>
        <v>0</v>
      </c>
      <c r="AR462" s="228" cm="1">
        <f t="array" ref="AR462">IF(X462&gt;0, INDEX(Kat, $AN462, 4+AQ462), 0)</f>
        <v>0</v>
      </c>
      <c r="AS462" s="228" cm="1">
        <f t="array" ref="AS462">IF(X462&gt;0, INDEX(Kat, $AN462, 9+AQ462), 0)</f>
        <v>0</v>
      </c>
      <c r="AT462" s="246"/>
      <c r="AU462" s="262"/>
      <c r="AV462" s="262"/>
      <c r="AW462" s="263"/>
      <c r="AX462" s="263"/>
      <c r="AY462" s="263"/>
      <c r="AZ462" s="263"/>
      <c r="BA462" s="263"/>
      <c r="BB462" s="263"/>
      <c r="BC462" s="263"/>
      <c r="BD462" s="263"/>
      <c r="BE462" s="263"/>
      <c r="BF462" s="263"/>
      <c r="BG462" s="263"/>
      <c r="BH462" s="246"/>
      <c r="BI462" s="228" cm="1">
        <f t="array" ref="BI462">INDEX(Use, $AH462, 4)</f>
        <v>7</v>
      </c>
      <c r="BJ462" s="228">
        <f t="shared" si="636"/>
        <v>32</v>
      </c>
      <c r="BK462" s="228">
        <f t="shared" si="624"/>
        <v>13</v>
      </c>
      <c r="BL462" s="228">
        <f t="shared" si="625"/>
        <v>0</v>
      </c>
      <c r="BM462" s="233" cm="1">
        <f t="array" ref="BM462">L462/IF($M462&gt;0, INDEX($AY$22:$BE$76, $M462+20, $AH462), 1)</f>
        <v>0</v>
      </c>
      <c r="BN462" s="229">
        <f t="shared" si="637"/>
        <v>0</v>
      </c>
      <c r="BO462" s="228">
        <v>35</v>
      </c>
      <c r="BP462" s="229">
        <f t="shared" si="638"/>
        <v>48</v>
      </c>
      <c r="BQ462" s="234">
        <f t="shared" si="639"/>
        <v>3.0748170731707316</v>
      </c>
      <c r="BR462" s="234" cm="1">
        <f t="array" ref="BR462">$BM462 * SUMPRODUCT(INDEX($AV$76:$AX$81,,$AI462),INDEX($AY$76:$BE$81,,$AH462), N($AU$76:$AU$81&gt;$AM462)) / BQ462 / 1000</f>
        <v>0</v>
      </c>
      <c r="BS462" s="231">
        <f t="shared" si="626"/>
        <v>30</v>
      </c>
      <c r="BT462" s="229">
        <f t="shared" si="640"/>
        <v>43</v>
      </c>
      <c r="BU462" s="234">
        <f t="shared" si="641"/>
        <v>3.5018750000000001</v>
      </c>
      <c r="BV462" s="234" cm="1">
        <f t="array" ref="BV462">$BM462 * IF($AH462&lt;=2,
SUMPRODUCT(INDEX($AV$71:$AX$75,,$AI462), INDEX($AY$71:$BE$75,,$AH462), 1 / ($BF$71:$BF$75*BU462 + (1-$BF$71:$BF$75)*BQ462), N($AU$71:$AU$75&gt;$AM462)),
SUMPRODUCT(INDEX($AV$66:$AX$75,,$AI462), INDEX($AY$66:$BE$75,,$AH462), 1 / ($BG$66:$BG$75*BU462 + (1-$BG$66:$BG$75)*BQ462), N($AU$66:$AU$75&gt;$AM462))
) / 1000</f>
        <v>0</v>
      </c>
      <c r="BW462" s="231">
        <f t="shared" si="627"/>
        <v>25</v>
      </c>
      <c r="BX462" s="229">
        <f t="shared" si="642"/>
        <v>38</v>
      </c>
      <c r="BY462" s="234">
        <f t="shared" si="643"/>
        <v>4.0666935483870965</v>
      </c>
      <c r="BZ462" s="234" cm="1">
        <f t="array" ref="BZ462">$BM462 * IF($AH462&lt;=2,
SUMPRODUCT(INDEX($AV$66:$AX$70,,$AI462), INDEX($AY$66:$BE$70,,$AH462), 1 / ($BF$66:$BF$70*BY462 + (1-$BF$66:$BF$70)*BU462), N($AU$66:$AU$70&gt;$AM462)),
SUMPRODUCT(INDEX($AV$56:$AX$65,,$AI462), INDEX($AY$56:$BE$65,,$AH462), 1 / ($BG$56:$BG$65*BY462 + (1-$BG$56:$BG$65)*BU462), N($AU$56:$AU$65&gt;$AM462))
) / 1000</f>
        <v>0</v>
      </c>
      <c r="CA462" s="231">
        <f t="shared" si="628"/>
        <v>20</v>
      </c>
      <c r="CB462" s="229">
        <f t="shared" si="644"/>
        <v>33</v>
      </c>
      <c r="CC462" s="234">
        <f t="shared" si="645"/>
        <v>4.8487499999999999</v>
      </c>
      <c r="CD462" s="234" cm="1">
        <f t="array" ref="CD462">$BM462 * IF($AH462&lt;=2,
SUMPRODUCT(INDEX($AV$61:$AX$65,,$AI462), INDEX($AY$61:$BE$65,,$AH462), 1 / ($BF$61:$BF$65*CC462 + (1-$BF$61:$BF$65)*BY462), N($AU$61:$AU$65&gt;$AM462)),
SUMPRODUCT(INDEX($AV$46:$AX$55,,$AI462), INDEX($AY$46:$BE$55,,$AH462), 1 / ($BG$46:$BG$55*CC462 + (1-$BG$46:$BG$55)*BY462), N($AU$46:$AU$55&gt;$AM462))
) / 1000</f>
        <v>0</v>
      </c>
      <c r="CE462" s="234" cm="1">
        <f t="array" ref="CE462">$BM462 * IF($AH462&lt;=2,
SUMPRODUCT(INDEX($AV$22:$AX$60,,$AI462), INDEX($AY$22:$BE$60,,$AH462), 1 / ($BF$22:$BF$60*CC462), N($AU$22:$AU$60&gt;$AM462)),
SUMPRODUCT(INDEX($AV$22:$AX$45,,$AI462), INDEX($AY$22:$BE$45,,$AH462), 1 / ($BG$22:$BG$45*CC462), N($AU$22:$AU$45&gt;$AM462))
) / 1000</f>
        <v>0</v>
      </c>
      <c r="CF462" s="229">
        <f t="shared" si="646"/>
        <v>0</v>
      </c>
      <c r="CG462" s="246"/>
      <c r="CH462" s="229">
        <f t="shared" si="647"/>
        <v>0</v>
      </c>
      <c r="CI462" s="228">
        <v>35</v>
      </c>
      <c r="CJ462" s="229">
        <f t="shared" si="648"/>
        <v>48</v>
      </c>
      <c r="CK462" s="234">
        <f t="shared" si="649"/>
        <v>3.0748170731707316</v>
      </c>
      <c r="CL462" s="234" cm="1">
        <f t="array" ref="CL462">$BM462 * SUMPRODUCT(INDEX($AV$76:$AX$81,,$AI462),INDEX($AY$76:$BE$81,,$AH462), N($AU$76:$AU$81&gt;$AM462)) / CK462 / 1000</f>
        <v>0</v>
      </c>
      <c r="CM462" s="231">
        <f t="shared" si="629"/>
        <v>30</v>
      </c>
      <c r="CN462" s="229">
        <f t="shared" si="650"/>
        <v>43</v>
      </c>
      <c r="CO462" s="234">
        <f t="shared" si="651"/>
        <v>3.5018750000000001</v>
      </c>
      <c r="CP462" s="234" cm="1">
        <f t="array" ref="CP462">$BM462 * IF($AH462&lt;=2,
SUMPRODUCT(INDEX($AV$71:$AX$75,,$AI462), INDEX($AY$71:$BE$75,,$AH462), 1 / ($BF$71:$BF$75*CO462 + (1-$BF$71:$BF$75)*CK462), N($AU$71:$AU$75&gt;$AM462)),
SUMPRODUCT(INDEX($AV$66:$AX$75,,$AI462), INDEX($AY$66:$BE$75,,$AH462), 1 / ($BG$66:$BG$75*CO462 + (1-$BG$66:$BG$75)*CK462), N($AU$66:$AU$75&gt;$AM462))
) / 1000</f>
        <v>0</v>
      </c>
      <c r="CQ462" s="231">
        <f t="shared" si="630"/>
        <v>25</v>
      </c>
      <c r="CR462" s="229">
        <f t="shared" si="652"/>
        <v>38</v>
      </c>
      <c r="CS462" s="234">
        <f t="shared" si="653"/>
        <v>4.0666935483870965</v>
      </c>
      <c r="CT462" s="234" cm="1">
        <f t="array" ref="CT462">$BM462 * IF($AH462&lt;=2,
SUMPRODUCT(INDEX($AV$66:$AX$70,,$AI462), INDEX($AY$66:$BE$70,,$AH462), 1 / ($BF$66:$BF$70*CS462 + (1-$BF$66:$BF$70)*CO462), N($AU$66:$AU$70&gt;$AM462)),
SUMPRODUCT(INDEX($AV$56:$AX$65,,$AI462), INDEX($AY$56:$BE$65,,$AH462), 1 / ($BG$56:$BG$65*CS462 + (1-$BG$56:$BG$65)*CO462), N($AU$56:$AU$65&gt;$AM462))
) / 1000</f>
        <v>0</v>
      </c>
      <c r="CU462" s="231">
        <f t="shared" si="631"/>
        <v>20</v>
      </c>
      <c r="CV462" s="229">
        <f t="shared" si="654"/>
        <v>33</v>
      </c>
      <c r="CW462" s="234">
        <f t="shared" si="655"/>
        <v>4.8487499999999999</v>
      </c>
      <c r="CX462" s="234" cm="1">
        <f t="array" ref="CX462">$BM462 * IF($AH462&lt;=2,
SUMPRODUCT(INDEX($AV$61:$AX$65,,$AI462), INDEX($AY$61:$BE$65,,$AH462), 1 / ($BF$61:$BF$65*CW462 + (1-$BF$61:$BF$65)*CS462), N($AU$61:$AU$65&gt;$AM462)),
SUMPRODUCT(INDEX($AV$46:$AX$55,,$AI462), INDEX($AY$46:$BE$55,,$AH462), 1 / ($BG$46:$BG$55*CW462 + (1-$BG$46:$BG$55)*CS462), N($AU$46:$AU$55&gt;$AM462))
) / 1000</f>
        <v>0</v>
      </c>
      <c r="CY462" s="234" cm="1">
        <f t="array" ref="CY462">$BM462 * IF($AH462&lt;=2,
SUMPRODUCT(INDEX($AV$22:$AX$60,,$AI462), INDEX($AY$22:$BE$60,,$AH462), 1 / ($BF$22:$BF$60*CW462), N($AU$22:$AU$60&gt;$AM462)),
SUMPRODUCT(INDEX($AV$22:$AX$45,,$AI462), INDEX($AY$22:$BE$45,,$AH462), 1 / ($BG$22:$BG$45*CW462), N($AU$22:$AU$45&gt;$AM462))
) / 1000</f>
        <v>0</v>
      </c>
      <c r="CZ462" s="229">
        <f t="shared" si="656"/>
        <v>0</v>
      </c>
      <c r="DA462" s="246"/>
    </row>
    <row r="463" spans="1:105" s="75" customFormat="1" ht="14.25" customHeight="1" x14ac:dyDescent="0.2">
      <c r="A463" s="230" t="b">
        <f t="shared" si="623"/>
        <v>0</v>
      </c>
      <c r="B463" s="253">
        <v>442</v>
      </c>
      <c r="C463" s="266"/>
      <c r="D463" s="266"/>
      <c r="E463" s="254"/>
      <c r="F463" s="255" t="str">
        <f>IF(ISBLANK(E463), "", VLOOKUP(E463, Z!$A$2:$C$4127, 3, FALSE))</f>
        <v/>
      </c>
      <c r="G463" s="256"/>
      <c r="H463" s="256"/>
      <c r="I463" s="256"/>
      <c r="J463" s="257"/>
      <c r="K463" s="258"/>
      <c r="L463" s="267"/>
      <c r="M463" s="268"/>
      <c r="N463" s="259" t="str" cm="1">
        <f t="array" ref="N463">IF($L463&gt;0, INDEX(Clean,1+AK463,$D$1), "")</f>
        <v/>
      </c>
      <c r="O463" s="260"/>
      <c r="P463" s="260"/>
      <c r="Q463" s="261"/>
      <c r="R463" s="264">
        <f t="shared" si="632"/>
        <v>0</v>
      </c>
      <c r="S463" s="259" t="str" cm="1">
        <f t="array" ref="S463">IF($L463&gt;0, INDEX(Clean,1+AL463,$D$1), "")</f>
        <v/>
      </c>
      <c r="T463" s="260"/>
      <c r="U463" s="260"/>
      <c r="V463" s="261"/>
      <c r="W463" s="267"/>
      <c r="X463" s="267"/>
      <c r="Y463" s="257"/>
      <c r="Z463" s="264">
        <f t="shared" si="633"/>
        <v>0</v>
      </c>
      <c r="AA463" s="269"/>
      <c r="AB463" s="266"/>
      <c r="AC463" s="254"/>
      <c r="AD463" s="255" t="str">
        <f>IF(ISBLANK(AC463), "", VLOOKUP(AC463, Z!$A$2:$C$4127, 3, FALSE))</f>
        <v/>
      </c>
      <c r="AE463" s="270"/>
      <c r="AF463" s="265">
        <f t="shared" si="634"/>
        <v>0</v>
      </c>
      <c r="AG463" s="246"/>
      <c r="AH463" s="228">
        <f t="shared" si="657"/>
        <v>1</v>
      </c>
      <c r="AI463" s="228">
        <f t="shared" si="658"/>
        <v>1</v>
      </c>
      <c r="AJ463" s="228">
        <f t="shared" si="659"/>
        <v>0</v>
      </c>
      <c r="AK463" s="228">
        <v>0</v>
      </c>
      <c r="AL463" s="228">
        <v>0</v>
      </c>
      <c r="AM463" s="228">
        <f t="shared" si="635"/>
        <v>-100</v>
      </c>
      <c r="AN463" s="228" cm="1">
        <f t="array" ref="AN463">IF(ISBLANK(G463), 1, IFERROR(MATCH(G463, INDEX(Kat,,1), 0), IFERROR(MATCH(Kat, INDEX(Use,,2), 0), MATCH(Kat, INDEX(Use,,3), 0))))</f>
        <v>1</v>
      </c>
      <c r="AO463" s="246"/>
      <c r="AP463" s="228" cm="1">
        <f t="array" ref="AP463">IF(W463&gt;0, INDEX(Kat, AN463,4), 0)</f>
        <v>0</v>
      </c>
      <c r="AQ463" s="228">
        <f t="shared" si="660"/>
        <v>0</v>
      </c>
      <c r="AR463" s="228" cm="1">
        <f t="array" ref="AR463">IF(X463&gt;0, INDEX(Kat, $AN463, 4+AQ463), 0)</f>
        <v>0</v>
      </c>
      <c r="AS463" s="228" cm="1">
        <f t="array" ref="AS463">IF(X463&gt;0, INDEX(Kat, $AN463, 9+AQ463), 0)</f>
        <v>0</v>
      </c>
      <c r="AT463" s="246"/>
      <c r="AU463" s="262"/>
      <c r="AV463" s="262"/>
      <c r="AW463" s="263"/>
      <c r="AX463" s="263"/>
      <c r="AY463" s="263"/>
      <c r="AZ463" s="263"/>
      <c r="BA463" s="263"/>
      <c r="BB463" s="263"/>
      <c r="BC463" s="263"/>
      <c r="BD463" s="263"/>
      <c r="BE463" s="263"/>
      <c r="BF463" s="263"/>
      <c r="BG463" s="263"/>
      <c r="BH463" s="246"/>
      <c r="BI463" s="228" cm="1">
        <f t="array" ref="BI463">INDEX(Use, $AH463, 4)</f>
        <v>7</v>
      </c>
      <c r="BJ463" s="228">
        <f t="shared" si="636"/>
        <v>32</v>
      </c>
      <c r="BK463" s="228">
        <f t="shared" si="624"/>
        <v>13</v>
      </c>
      <c r="BL463" s="228">
        <f t="shared" si="625"/>
        <v>0</v>
      </c>
      <c r="BM463" s="233" cm="1">
        <f t="array" ref="BM463">L463/IF($M463&gt;0, INDEX($AY$22:$BE$76, $M463+20, $AH463), 1)</f>
        <v>0</v>
      </c>
      <c r="BN463" s="229">
        <f t="shared" si="637"/>
        <v>0</v>
      </c>
      <c r="BO463" s="228">
        <v>35</v>
      </c>
      <c r="BP463" s="229">
        <f t="shared" si="638"/>
        <v>48</v>
      </c>
      <c r="BQ463" s="234">
        <f t="shared" si="639"/>
        <v>3.0748170731707316</v>
      </c>
      <c r="BR463" s="234" cm="1">
        <f t="array" ref="BR463">$BM463 * SUMPRODUCT(INDEX($AV$76:$AX$81,,$AI463),INDEX($AY$76:$BE$81,,$AH463), N($AU$76:$AU$81&gt;$AM463)) / BQ463 / 1000</f>
        <v>0</v>
      </c>
      <c r="BS463" s="231">
        <f t="shared" si="626"/>
        <v>30</v>
      </c>
      <c r="BT463" s="229">
        <f t="shared" si="640"/>
        <v>43</v>
      </c>
      <c r="BU463" s="234">
        <f t="shared" si="641"/>
        <v>3.5018750000000001</v>
      </c>
      <c r="BV463" s="234" cm="1">
        <f t="array" ref="BV463">$BM463 * IF($AH463&lt;=2,
SUMPRODUCT(INDEX($AV$71:$AX$75,,$AI463), INDEX($AY$71:$BE$75,,$AH463), 1 / ($BF$71:$BF$75*BU463 + (1-$BF$71:$BF$75)*BQ463), N($AU$71:$AU$75&gt;$AM463)),
SUMPRODUCT(INDEX($AV$66:$AX$75,,$AI463), INDEX($AY$66:$BE$75,,$AH463), 1 / ($BG$66:$BG$75*BU463 + (1-$BG$66:$BG$75)*BQ463), N($AU$66:$AU$75&gt;$AM463))
) / 1000</f>
        <v>0</v>
      </c>
      <c r="BW463" s="231">
        <f t="shared" si="627"/>
        <v>25</v>
      </c>
      <c r="BX463" s="229">
        <f t="shared" si="642"/>
        <v>38</v>
      </c>
      <c r="BY463" s="234">
        <f t="shared" si="643"/>
        <v>4.0666935483870965</v>
      </c>
      <c r="BZ463" s="234" cm="1">
        <f t="array" ref="BZ463">$BM463 * IF($AH463&lt;=2,
SUMPRODUCT(INDEX($AV$66:$AX$70,,$AI463), INDEX($AY$66:$BE$70,,$AH463), 1 / ($BF$66:$BF$70*BY463 + (1-$BF$66:$BF$70)*BU463), N($AU$66:$AU$70&gt;$AM463)),
SUMPRODUCT(INDEX($AV$56:$AX$65,,$AI463), INDEX($AY$56:$BE$65,,$AH463), 1 / ($BG$56:$BG$65*BY463 + (1-$BG$56:$BG$65)*BU463), N($AU$56:$AU$65&gt;$AM463))
) / 1000</f>
        <v>0</v>
      </c>
      <c r="CA463" s="231">
        <f t="shared" si="628"/>
        <v>20</v>
      </c>
      <c r="CB463" s="229">
        <f t="shared" si="644"/>
        <v>33</v>
      </c>
      <c r="CC463" s="234">
        <f t="shared" si="645"/>
        <v>4.8487499999999999</v>
      </c>
      <c r="CD463" s="234" cm="1">
        <f t="array" ref="CD463">$BM463 * IF($AH463&lt;=2,
SUMPRODUCT(INDEX($AV$61:$AX$65,,$AI463), INDEX($AY$61:$BE$65,,$AH463), 1 / ($BF$61:$BF$65*CC463 + (1-$BF$61:$BF$65)*BY463), N($AU$61:$AU$65&gt;$AM463)),
SUMPRODUCT(INDEX($AV$46:$AX$55,,$AI463), INDEX($AY$46:$BE$55,,$AH463), 1 / ($BG$46:$BG$55*CC463 + (1-$BG$46:$BG$55)*BY463), N($AU$46:$AU$55&gt;$AM463))
) / 1000</f>
        <v>0</v>
      </c>
      <c r="CE463" s="234" cm="1">
        <f t="array" ref="CE463">$BM463 * IF($AH463&lt;=2,
SUMPRODUCT(INDEX($AV$22:$AX$60,,$AI463), INDEX($AY$22:$BE$60,,$AH463), 1 / ($BF$22:$BF$60*CC463), N($AU$22:$AU$60&gt;$AM463)),
SUMPRODUCT(INDEX($AV$22:$AX$45,,$AI463), INDEX($AY$22:$BE$45,,$AH463), 1 / ($BG$22:$BG$45*CC463), N($AU$22:$AU$45&gt;$AM463))
) / 1000</f>
        <v>0</v>
      </c>
      <c r="CF463" s="229">
        <f t="shared" si="646"/>
        <v>0</v>
      </c>
      <c r="CG463" s="246"/>
      <c r="CH463" s="229">
        <f t="shared" si="647"/>
        <v>0</v>
      </c>
      <c r="CI463" s="228">
        <v>35</v>
      </c>
      <c r="CJ463" s="229">
        <f t="shared" si="648"/>
        <v>48</v>
      </c>
      <c r="CK463" s="234">
        <f t="shared" si="649"/>
        <v>3.0748170731707316</v>
      </c>
      <c r="CL463" s="234" cm="1">
        <f t="array" ref="CL463">$BM463 * SUMPRODUCT(INDEX($AV$76:$AX$81,,$AI463),INDEX($AY$76:$BE$81,,$AH463), N($AU$76:$AU$81&gt;$AM463)) / CK463 / 1000</f>
        <v>0</v>
      </c>
      <c r="CM463" s="231">
        <f t="shared" si="629"/>
        <v>30</v>
      </c>
      <c r="CN463" s="229">
        <f t="shared" si="650"/>
        <v>43</v>
      </c>
      <c r="CO463" s="234">
        <f t="shared" si="651"/>
        <v>3.5018750000000001</v>
      </c>
      <c r="CP463" s="234" cm="1">
        <f t="array" ref="CP463">$BM463 * IF($AH463&lt;=2,
SUMPRODUCT(INDEX($AV$71:$AX$75,,$AI463), INDEX($AY$71:$BE$75,,$AH463), 1 / ($BF$71:$BF$75*CO463 + (1-$BF$71:$BF$75)*CK463), N($AU$71:$AU$75&gt;$AM463)),
SUMPRODUCT(INDEX($AV$66:$AX$75,,$AI463), INDEX($AY$66:$BE$75,,$AH463), 1 / ($BG$66:$BG$75*CO463 + (1-$BG$66:$BG$75)*CK463), N($AU$66:$AU$75&gt;$AM463))
) / 1000</f>
        <v>0</v>
      </c>
      <c r="CQ463" s="231">
        <f t="shared" si="630"/>
        <v>25</v>
      </c>
      <c r="CR463" s="229">
        <f t="shared" si="652"/>
        <v>38</v>
      </c>
      <c r="CS463" s="234">
        <f t="shared" si="653"/>
        <v>4.0666935483870965</v>
      </c>
      <c r="CT463" s="234" cm="1">
        <f t="array" ref="CT463">$BM463 * IF($AH463&lt;=2,
SUMPRODUCT(INDEX($AV$66:$AX$70,,$AI463), INDEX($AY$66:$BE$70,,$AH463), 1 / ($BF$66:$BF$70*CS463 + (1-$BF$66:$BF$70)*CO463), N($AU$66:$AU$70&gt;$AM463)),
SUMPRODUCT(INDEX($AV$56:$AX$65,,$AI463), INDEX($AY$56:$BE$65,,$AH463), 1 / ($BG$56:$BG$65*CS463 + (1-$BG$56:$BG$65)*CO463), N($AU$56:$AU$65&gt;$AM463))
) / 1000</f>
        <v>0</v>
      </c>
      <c r="CU463" s="231">
        <f t="shared" si="631"/>
        <v>20</v>
      </c>
      <c r="CV463" s="229">
        <f t="shared" si="654"/>
        <v>33</v>
      </c>
      <c r="CW463" s="234">
        <f t="shared" si="655"/>
        <v>4.8487499999999999</v>
      </c>
      <c r="CX463" s="234" cm="1">
        <f t="array" ref="CX463">$BM463 * IF($AH463&lt;=2,
SUMPRODUCT(INDEX($AV$61:$AX$65,,$AI463), INDEX($AY$61:$BE$65,,$AH463), 1 / ($BF$61:$BF$65*CW463 + (1-$BF$61:$BF$65)*CS463), N($AU$61:$AU$65&gt;$AM463)),
SUMPRODUCT(INDEX($AV$46:$AX$55,,$AI463), INDEX($AY$46:$BE$55,,$AH463), 1 / ($BG$46:$BG$55*CW463 + (1-$BG$46:$BG$55)*CS463), N($AU$46:$AU$55&gt;$AM463))
) / 1000</f>
        <v>0</v>
      </c>
      <c r="CY463" s="234" cm="1">
        <f t="array" ref="CY463">$BM463 * IF($AH463&lt;=2,
SUMPRODUCT(INDEX($AV$22:$AX$60,,$AI463), INDEX($AY$22:$BE$60,,$AH463), 1 / ($BF$22:$BF$60*CW463), N($AU$22:$AU$60&gt;$AM463)),
SUMPRODUCT(INDEX($AV$22:$AX$45,,$AI463), INDEX($AY$22:$BE$45,,$AH463), 1 / ($BG$22:$BG$45*CW463), N($AU$22:$AU$45&gt;$AM463))
) / 1000</f>
        <v>0</v>
      </c>
      <c r="CZ463" s="229">
        <f t="shared" si="656"/>
        <v>0</v>
      </c>
      <c r="DA463" s="246"/>
    </row>
    <row r="464" spans="1:105" s="75" customFormat="1" ht="14.25" customHeight="1" x14ac:dyDescent="0.2">
      <c r="A464" s="230" t="b">
        <f t="shared" si="623"/>
        <v>0</v>
      </c>
      <c r="B464" s="253">
        <v>443</v>
      </c>
      <c r="C464" s="266"/>
      <c r="D464" s="266"/>
      <c r="E464" s="254"/>
      <c r="F464" s="255" t="str">
        <f>IF(ISBLANK(E464), "", VLOOKUP(E464, Z!$A$2:$C$4127, 3, FALSE))</f>
        <v/>
      </c>
      <c r="G464" s="256"/>
      <c r="H464" s="256"/>
      <c r="I464" s="256"/>
      <c r="J464" s="257"/>
      <c r="K464" s="258"/>
      <c r="L464" s="267"/>
      <c r="M464" s="268"/>
      <c r="N464" s="259" t="str" cm="1">
        <f t="array" ref="N464">IF($L464&gt;0, INDEX(Clean,1+AK464,$D$1), "")</f>
        <v/>
      </c>
      <c r="O464" s="260"/>
      <c r="P464" s="260"/>
      <c r="Q464" s="261"/>
      <c r="R464" s="264">
        <f t="shared" si="632"/>
        <v>0</v>
      </c>
      <c r="S464" s="259" t="str" cm="1">
        <f t="array" ref="S464">IF($L464&gt;0, INDEX(Clean,1+AL464,$D$1), "")</f>
        <v/>
      </c>
      <c r="T464" s="260"/>
      <c r="U464" s="260"/>
      <c r="V464" s="261"/>
      <c r="W464" s="267"/>
      <c r="X464" s="267"/>
      <c r="Y464" s="257"/>
      <c r="Z464" s="264">
        <f t="shared" si="633"/>
        <v>0</v>
      </c>
      <c r="AA464" s="269"/>
      <c r="AB464" s="266"/>
      <c r="AC464" s="254"/>
      <c r="AD464" s="255" t="str">
        <f>IF(ISBLANK(AC464), "", VLOOKUP(AC464, Z!$A$2:$C$4127, 3, FALSE))</f>
        <v/>
      </c>
      <c r="AE464" s="270"/>
      <c r="AF464" s="265">
        <f t="shared" si="634"/>
        <v>0</v>
      </c>
      <c r="AG464" s="246"/>
      <c r="AH464" s="228">
        <f t="shared" si="657"/>
        <v>1</v>
      </c>
      <c r="AI464" s="228">
        <f t="shared" si="658"/>
        <v>1</v>
      </c>
      <c r="AJ464" s="228">
        <f t="shared" si="659"/>
        <v>0</v>
      </c>
      <c r="AK464" s="228">
        <v>0</v>
      </c>
      <c r="AL464" s="228">
        <v>0</v>
      </c>
      <c r="AM464" s="228">
        <f t="shared" si="635"/>
        <v>-100</v>
      </c>
      <c r="AN464" s="228" cm="1">
        <f t="array" ref="AN464">IF(ISBLANK(G464), 1, IFERROR(MATCH(G464, INDEX(Kat,,1), 0), IFERROR(MATCH(Kat, INDEX(Use,,2), 0), MATCH(Kat, INDEX(Use,,3), 0))))</f>
        <v>1</v>
      </c>
      <c r="AO464" s="246"/>
      <c r="AP464" s="228" cm="1">
        <f t="array" ref="AP464">IF(W464&gt;0, INDEX(Kat, AN464,4), 0)</f>
        <v>0</v>
      </c>
      <c r="AQ464" s="228">
        <f t="shared" si="660"/>
        <v>0</v>
      </c>
      <c r="AR464" s="228" cm="1">
        <f t="array" ref="AR464">IF(X464&gt;0, INDEX(Kat, $AN464, 4+AQ464), 0)</f>
        <v>0</v>
      </c>
      <c r="AS464" s="228" cm="1">
        <f t="array" ref="AS464">IF(X464&gt;0, INDEX(Kat, $AN464, 9+AQ464), 0)</f>
        <v>0</v>
      </c>
      <c r="AT464" s="246"/>
      <c r="AU464" s="262"/>
      <c r="AV464" s="262"/>
      <c r="AW464" s="263"/>
      <c r="AX464" s="263"/>
      <c r="AY464" s="263"/>
      <c r="AZ464" s="263"/>
      <c r="BA464" s="263"/>
      <c r="BB464" s="263"/>
      <c r="BC464" s="263"/>
      <c r="BD464" s="263"/>
      <c r="BE464" s="263"/>
      <c r="BF464" s="263"/>
      <c r="BG464" s="263"/>
      <c r="BH464" s="246"/>
      <c r="BI464" s="228" cm="1">
        <f t="array" ref="BI464">INDEX(Use, $AH464, 4)</f>
        <v>7</v>
      </c>
      <c r="BJ464" s="228">
        <f t="shared" si="636"/>
        <v>32</v>
      </c>
      <c r="BK464" s="228">
        <f t="shared" si="624"/>
        <v>13</v>
      </c>
      <c r="BL464" s="228">
        <f t="shared" si="625"/>
        <v>0</v>
      </c>
      <c r="BM464" s="233" cm="1">
        <f t="array" ref="BM464">L464/IF($M464&gt;0, INDEX($AY$22:$BE$76, $M464+20, $AH464), 1)</f>
        <v>0</v>
      </c>
      <c r="BN464" s="229">
        <f t="shared" si="637"/>
        <v>0</v>
      </c>
      <c r="BO464" s="228">
        <v>35</v>
      </c>
      <c r="BP464" s="229">
        <f t="shared" si="638"/>
        <v>48</v>
      </c>
      <c r="BQ464" s="234">
        <f t="shared" si="639"/>
        <v>3.0748170731707316</v>
      </c>
      <c r="BR464" s="234" cm="1">
        <f t="array" ref="BR464">$BM464 * SUMPRODUCT(INDEX($AV$76:$AX$81,,$AI464),INDEX($AY$76:$BE$81,,$AH464), N($AU$76:$AU$81&gt;$AM464)) / BQ464 / 1000</f>
        <v>0</v>
      </c>
      <c r="BS464" s="231">
        <f t="shared" si="626"/>
        <v>30</v>
      </c>
      <c r="BT464" s="229">
        <f t="shared" si="640"/>
        <v>43</v>
      </c>
      <c r="BU464" s="234">
        <f t="shared" si="641"/>
        <v>3.5018750000000001</v>
      </c>
      <c r="BV464" s="234" cm="1">
        <f t="array" ref="BV464">$BM464 * IF($AH464&lt;=2,
SUMPRODUCT(INDEX($AV$71:$AX$75,,$AI464), INDEX($AY$71:$BE$75,,$AH464), 1 / ($BF$71:$BF$75*BU464 + (1-$BF$71:$BF$75)*BQ464), N($AU$71:$AU$75&gt;$AM464)),
SUMPRODUCT(INDEX($AV$66:$AX$75,,$AI464), INDEX($AY$66:$BE$75,,$AH464), 1 / ($BG$66:$BG$75*BU464 + (1-$BG$66:$BG$75)*BQ464), N($AU$66:$AU$75&gt;$AM464))
) / 1000</f>
        <v>0</v>
      </c>
      <c r="BW464" s="231">
        <f t="shared" si="627"/>
        <v>25</v>
      </c>
      <c r="BX464" s="229">
        <f t="shared" si="642"/>
        <v>38</v>
      </c>
      <c r="BY464" s="234">
        <f t="shared" si="643"/>
        <v>4.0666935483870965</v>
      </c>
      <c r="BZ464" s="234" cm="1">
        <f t="array" ref="BZ464">$BM464 * IF($AH464&lt;=2,
SUMPRODUCT(INDEX($AV$66:$AX$70,,$AI464), INDEX($AY$66:$BE$70,,$AH464), 1 / ($BF$66:$BF$70*BY464 + (1-$BF$66:$BF$70)*BU464), N($AU$66:$AU$70&gt;$AM464)),
SUMPRODUCT(INDEX($AV$56:$AX$65,,$AI464), INDEX($AY$56:$BE$65,,$AH464), 1 / ($BG$56:$BG$65*BY464 + (1-$BG$56:$BG$65)*BU464), N($AU$56:$AU$65&gt;$AM464))
) / 1000</f>
        <v>0</v>
      </c>
      <c r="CA464" s="231">
        <f t="shared" si="628"/>
        <v>20</v>
      </c>
      <c r="CB464" s="229">
        <f t="shared" si="644"/>
        <v>33</v>
      </c>
      <c r="CC464" s="234">
        <f t="shared" si="645"/>
        <v>4.8487499999999999</v>
      </c>
      <c r="CD464" s="234" cm="1">
        <f t="array" ref="CD464">$BM464 * IF($AH464&lt;=2,
SUMPRODUCT(INDEX($AV$61:$AX$65,,$AI464), INDEX($AY$61:$BE$65,,$AH464), 1 / ($BF$61:$BF$65*CC464 + (1-$BF$61:$BF$65)*BY464), N($AU$61:$AU$65&gt;$AM464)),
SUMPRODUCT(INDEX($AV$46:$AX$55,,$AI464), INDEX($AY$46:$BE$55,,$AH464), 1 / ($BG$46:$BG$55*CC464 + (1-$BG$46:$BG$55)*BY464), N($AU$46:$AU$55&gt;$AM464))
) / 1000</f>
        <v>0</v>
      </c>
      <c r="CE464" s="234" cm="1">
        <f t="array" ref="CE464">$BM464 * IF($AH464&lt;=2,
SUMPRODUCT(INDEX($AV$22:$AX$60,,$AI464), INDEX($AY$22:$BE$60,,$AH464), 1 / ($BF$22:$BF$60*CC464), N($AU$22:$AU$60&gt;$AM464)),
SUMPRODUCT(INDEX($AV$22:$AX$45,,$AI464), INDEX($AY$22:$BE$45,,$AH464), 1 / ($BG$22:$BG$45*CC464), N($AU$22:$AU$45&gt;$AM464))
) / 1000</f>
        <v>0</v>
      </c>
      <c r="CF464" s="229">
        <f t="shared" si="646"/>
        <v>0</v>
      </c>
      <c r="CG464" s="246"/>
      <c r="CH464" s="229">
        <f t="shared" si="647"/>
        <v>0</v>
      </c>
      <c r="CI464" s="228">
        <v>35</v>
      </c>
      <c r="CJ464" s="229">
        <f t="shared" si="648"/>
        <v>48</v>
      </c>
      <c r="CK464" s="234">
        <f t="shared" si="649"/>
        <v>3.0748170731707316</v>
      </c>
      <c r="CL464" s="234" cm="1">
        <f t="array" ref="CL464">$BM464 * SUMPRODUCT(INDEX($AV$76:$AX$81,,$AI464),INDEX($AY$76:$BE$81,,$AH464), N($AU$76:$AU$81&gt;$AM464)) / CK464 / 1000</f>
        <v>0</v>
      </c>
      <c r="CM464" s="231">
        <f t="shared" si="629"/>
        <v>30</v>
      </c>
      <c r="CN464" s="229">
        <f t="shared" si="650"/>
        <v>43</v>
      </c>
      <c r="CO464" s="234">
        <f t="shared" si="651"/>
        <v>3.5018750000000001</v>
      </c>
      <c r="CP464" s="234" cm="1">
        <f t="array" ref="CP464">$BM464 * IF($AH464&lt;=2,
SUMPRODUCT(INDEX($AV$71:$AX$75,,$AI464), INDEX($AY$71:$BE$75,,$AH464), 1 / ($BF$71:$BF$75*CO464 + (1-$BF$71:$BF$75)*CK464), N($AU$71:$AU$75&gt;$AM464)),
SUMPRODUCT(INDEX($AV$66:$AX$75,,$AI464), INDEX($AY$66:$BE$75,,$AH464), 1 / ($BG$66:$BG$75*CO464 + (1-$BG$66:$BG$75)*CK464), N($AU$66:$AU$75&gt;$AM464))
) / 1000</f>
        <v>0</v>
      </c>
      <c r="CQ464" s="231">
        <f t="shared" si="630"/>
        <v>25</v>
      </c>
      <c r="CR464" s="229">
        <f t="shared" si="652"/>
        <v>38</v>
      </c>
      <c r="CS464" s="234">
        <f t="shared" si="653"/>
        <v>4.0666935483870965</v>
      </c>
      <c r="CT464" s="234" cm="1">
        <f t="array" ref="CT464">$BM464 * IF($AH464&lt;=2,
SUMPRODUCT(INDEX($AV$66:$AX$70,,$AI464), INDEX($AY$66:$BE$70,,$AH464), 1 / ($BF$66:$BF$70*CS464 + (1-$BF$66:$BF$70)*CO464), N($AU$66:$AU$70&gt;$AM464)),
SUMPRODUCT(INDEX($AV$56:$AX$65,,$AI464), INDEX($AY$56:$BE$65,,$AH464), 1 / ($BG$56:$BG$65*CS464 + (1-$BG$56:$BG$65)*CO464), N($AU$56:$AU$65&gt;$AM464))
) / 1000</f>
        <v>0</v>
      </c>
      <c r="CU464" s="231">
        <f t="shared" si="631"/>
        <v>20</v>
      </c>
      <c r="CV464" s="229">
        <f t="shared" si="654"/>
        <v>33</v>
      </c>
      <c r="CW464" s="234">
        <f t="shared" si="655"/>
        <v>4.8487499999999999</v>
      </c>
      <c r="CX464" s="234" cm="1">
        <f t="array" ref="CX464">$BM464 * IF($AH464&lt;=2,
SUMPRODUCT(INDEX($AV$61:$AX$65,,$AI464), INDEX($AY$61:$BE$65,,$AH464), 1 / ($BF$61:$BF$65*CW464 + (1-$BF$61:$BF$65)*CS464), N($AU$61:$AU$65&gt;$AM464)),
SUMPRODUCT(INDEX($AV$46:$AX$55,,$AI464), INDEX($AY$46:$BE$55,,$AH464), 1 / ($BG$46:$BG$55*CW464 + (1-$BG$46:$BG$55)*CS464), N($AU$46:$AU$55&gt;$AM464))
) / 1000</f>
        <v>0</v>
      </c>
      <c r="CY464" s="234" cm="1">
        <f t="array" ref="CY464">$BM464 * IF($AH464&lt;=2,
SUMPRODUCT(INDEX($AV$22:$AX$60,,$AI464), INDEX($AY$22:$BE$60,,$AH464), 1 / ($BF$22:$BF$60*CW464), N($AU$22:$AU$60&gt;$AM464)),
SUMPRODUCT(INDEX($AV$22:$AX$45,,$AI464), INDEX($AY$22:$BE$45,,$AH464), 1 / ($BG$22:$BG$45*CW464), N($AU$22:$AU$45&gt;$AM464))
) / 1000</f>
        <v>0</v>
      </c>
      <c r="CZ464" s="229">
        <f t="shared" si="656"/>
        <v>0</v>
      </c>
      <c r="DA464" s="246"/>
    </row>
    <row r="465" spans="1:105" s="75" customFormat="1" ht="14.25" customHeight="1" x14ac:dyDescent="0.2">
      <c r="A465" s="230" t="b">
        <f t="shared" si="623"/>
        <v>0</v>
      </c>
      <c r="B465" s="253">
        <v>444</v>
      </c>
      <c r="C465" s="266"/>
      <c r="D465" s="266"/>
      <c r="E465" s="254"/>
      <c r="F465" s="255" t="str">
        <f>IF(ISBLANK(E465), "", VLOOKUP(E465, Z!$A$2:$C$4127, 3, FALSE))</f>
        <v/>
      </c>
      <c r="G465" s="256"/>
      <c r="H465" s="256"/>
      <c r="I465" s="256"/>
      <c r="J465" s="257"/>
      <c r="K465" s="258"/>
      <c r="L465" s="267"/>
      <c r="M465" s="268"/>
      <c r="N465" s="259" t="str" cm="1">
        <f t="array" ref="N465">IF($L465&gt;0, INDEX(Clean,1+AK465,$D$1), "")</f>
        <v/>
      </c>
      <c r="O465" s="260"/>
      <c r="P465" s="260"/>
      <c r="Q465" s="261"/>
      <c r="R465" s="264">
        <f t="shared" si="632"/>
        <v>0</v>
      </c>
      <c r="S465" s="259" t="str" cm="1">
        <f t="array" ref="S465">IF($L465&gt;0, INDEX(Clean,1+AL465,$D$1), "")</f>
        <v/>
      </c>
      <c r="T465" s="260"/>
      <c r="U465" s="260"/>
      <c r="V465" s="261"/>
      <c r="W465" s="267"/>
      <c r="X465" s="267"/>
      <c r="Y465" s="257"/>
      <c r="Z465" s="264">
        <f t="shared" si="633"/>
        <v>0</v>
      </c>
      <c r="AA465" s="269"/>
      <c r="AB465" s="266"/>
      <c r="AC465" s="254"/>
      <c r="AD465" s="255" t="str">
        <f>IF(ISBLANK(AC465), "", VLOOKUP(AC465, Z!$A$2:$C$4127, 3, FALSE))</f>
        <v/>
      </c>
      <c r="AE465" s="270"/>
      <c r="AF465" s="265">
        <f t="shared" si="634"/>
        <v>0</v>
      </c>
      <c r="AG465" s="246"/>
      <c r="AH465" s="228">
        <f t="shared" si="657"/>
        <v>1</v>
      </c>
      <c r="AI465" s="228">
        <f t="shared" si="658"/>
        <v>1</v>
      </c>
      <c r="AJ465" s="228">
        <f t="shared" si="659"/>
        <v>0</v>
      </c>
      <c r="AK465" s="228">
        <v>0</v>
      </c>
      <c r="AL465" s="228">
        <v>0</v>
      </c>
      <c r="AM465" s="228">
        <f t="shared" si="635"/>
        <v>-100</v>
      </c>
      <c r="AN465" s="228" cm="1">
        <f t="array" ref="AN465">IF(ISBLANK(G465), 1, IFERROR(MATCH(G465, INDEX(Kat,,1), 0), IFERROR(MATCH(Kat, INDEX(Use,,2), 0), MATCH(Kat, INDEX(Use,,3), 0))))</f>
        <v>1</v>
      </c>
      <c r="AO465" s="246"/>
      <c r="AP465" s="228" cm="1">
        <f t="array" ref="AP465">IF(W465&gt;0, INDEX(Kat, AN465,4), 0)</f>
        <v>0</v>
      </c>
      <c r="AQ465" s="228">
        <f t="shared" si="660"/>
        <v>0</v>
      </c>
      <c r="AR465" s="228" cm="1">
        <f t="array" ref="AR465">IF(X465&gt;0, INDEX(Kat, $AN465, 4+AQ465), 0)</f>
        <v>0</v>
      </c>
      <c r="AS465" s="228" cm="1">
        <f t="array" ref="AS465">IF(X465&gt;0, INDEX(Kat, $AN465, 9+AQ465), 0)</f>
        <v>0</v>
      </c>
      <c r="AT465" s="246"/>
      <c r="AU465" s="262"/>
      <c r="AV465" s="262"/>
      <c r="AW465" s="263"/>
      <c r="AX465" s="263"/>
      <c r="AY465" s="263"/>
      <c r="AZ465" s="263"/>
      <c r="BA465" s="263"/>
      <c r="BB465" s="263"/>
      <c r="BC465" s="263"/>
      <c r="BD465" s="263"/>
      <c r="BE465" s="263"/>
      <c r="BF465" s="263"/>
      <c r="BG465" s="263"/>
      <c r="BH465" s="246"/>
      <c r="BI465" s="228" cm="1">
        <f t="array" ref="BI465">INDEX(Use, $AH465, 4)</f>
        <v>7</v>
      </c>
      <c r="BJ465" s="228">
        <f t="shared" si="636"/>
        <v>32</v>
      </c>
      <c r="BK465" s="228">
        <f t="shared" si="624"/>
        <v>13</v>
      </c>
      <c r="BL465" s="228">
        <f t="shared" si="625"/>
        <v>0</v>
      </c>
      <c r="BM465" s="233" cm="1">
        <f t="array" ref="BM465">L465/IF($M465&gt;0, INDEX($AY$22:$BE$76, $M465+20, $AH465), 1)</f>
        <v>0</v>
      </c>
      <c r="BN465" s="229">
        <f t="shared" si="637"/>
        <v>0</v>
      </c>
      <c r="BO465" s="228">
        <v>35</v>
      </c>
      <c r="BP465" s="229">
        <f t="shared" si="638"/>
        <v>48</v>
      </c>
      <c r="BQ465" s="234">
        <f t="shared" si="639"/>
        <v>3.0748170731707316</v>
      </c>
      <c r="BR465" s="234" cm="1">
        <f t="array" ref="BR465">$BM465 * SUMPRODUCT(INDEX($AV$76:$AX$81,,$AI465),INDEX($AY$76:$BE$81,,$AH465), N($AU$76:$AU$81&gt;$AM465)) / BQ465 / 1000</f>
        <v>0</v>
      </c>
      <c r="BS465" s="231">
        <f t="shared" si="626"/>
        <v>30</v>
      </c>
      <c r="BT465" s="229">
        <f t="shared" si="640"/>
        <v>43</v>
      </c>
      <c r="BU465" s="234">
        <f t="shared" si="641"/>
        <v>3.5018750000000001</v>
      </c>
      <c r="BV465" s="234" cm="1">
        <f t="array" ref="BV465">$BM465 * IF($AH465&lt;=2,
SUMPRODUCT(INDEX($AV$71:$AX$75,,$AI465), INDEX($AY$71:$BE$75,,$AH465), 1 / ($BF$71:$BF$75*BU465 + (1-$BF$71:$BF$75)*BQ465), N($AU$71:$AU$75&gt;$AM465)),
SUMPRODUCT(INDEX($AV$66:$AX$75,,$AI465), INDEX($AY$66:$BE$75,,$AH465), 1 / ($BG$66:$BG$75*BU465 + (1-$BG$66:$BG$75)*BQ465), N($AU$66:$AU$75&gt;$AM465))
) / 1000</f>
        <v>0</v>
      </c>
      <c r="BW465" s="231">
        <f t="shared" si="627"/>
        <v>25</v>
      </c>
      <c r="BX465" s="229">
        <f t="shared" si="642"/>
        <v>38</v>
      </c>
      <c r="BY465" s="234">
        <f t="shared" si="643"/>
        <v>4.0666935483870965</v>
      </c>
      <c r="BZ465" s="234" cm="1">
        <f t="array" ref="BZ465">$BM465 * IF($AH465&lt;=2,
SUMPRODUCT(INDEX($AV$66:$AX$70,,$AI465), INDEX($AY$66:$BE$70,,$AH465), 1 / ($BF$66:$BF$70*BY465 + (1-$BF$66:$BF$70)*BU465), N($AU$66:$AU$70&gt;$AM465)),
SUMPRODUCT(INDEX($AV$56:$AX$65,,$AI465), INDEX($AY$56:$BE$65,,$AH465), 1 / ($BG$56:$BG$65*BY465 + (1-$BG$56:$BG$65)*BU465), N($AU$56:$AU$65&gt;$AM465))
) / 1000</f>
        <v>0</v>
      </c>
      <c r="CA465" s="231">
        <f t="shared" si="628"/>
        <v>20</v>
      </c>
      <c r="CB465" s="229">
        <f t="shared" si="644"/>
        <v>33</v>
      </c>
      <c r="CC465" s="234">
        <f t="shared" si="645"/>
        <v>4.8487499999999999</v>
      </c>
      <c r="CD465" s="234" cm="1">
        <f t="array" ref="CD465">$BM465 * IF($AH465&lt;=2,
SUMPRODUCT(INDEX($AV$61:$AX$65,,$AI465), INDEX($AY$61:$BE$65,,$AH465), 1 / ($BF$61:$BF$65*CC465 + (1-$BF$61:$BF$65)*BY465), N($AU$61:$AU$65&gt;$AM465)),
SUMPRODUCT(INDEX($AV$46:$AX$55,,$AI465), INDEX($AY$46:$BE$55,,$AH465), 1 / ($BG$46:$BG$55*CC465 + (1-$BG$46:$BG$55)*BY465), N($AU$46:$AU$55&gt;$AM465))
) / 1000</f>
        <v>0</v>
      </c>
      <c r="CE465" s="234" cm="1">
        <f t="array" ref="CE465">$BM465 * IF($AH465&lt;=2,
SUMPRODUCT(INDEX($AV$22:$AX$60,,$AI465), INDEX($AY$22:$BE$60,,$AH465), 1 / ($BF$22:$BF$60*CC465), N($AU$22:$AU$60&gt;$AM465)),
SUMPRODUCT(INDEX($AV$22:$AX$45,,$AI465), INDEX($AY$22:$BE$45,,$AH465), 1 / ($BG$22:$BG$45*CC465), N($AU$22:$AU$45&gt;$AM465))
) / 1000</f>
        <v>0</v>
      </c>
      <c r="CF465" s="229">
        <f t="shared" si="646"/>
        <v>0</v>
      </c>
      <c r="CG465" s="246"/>
      <c r="CH465" s="229">
        <f t="shared" si="647"/>
        <v>0</v>
      </c>
      <c r="CI465" s="228">
        <v>35</v>
      </c>
      <c r="CJ465" s="229">
        <f t="shared" si="648"/>
        <v>48</v>
      </c>
      <c r="CK465" s="234">
        <f t="shared" si="649"/>
        <v>3.0748170731707316</v>
      </c>
      <c r="CL465" s="234" cm="1">
        <f t="array" ref="CL465">$BM465 * SUMPRODUCT(INDEX($AV$76:$AX$81,,$AI465),INDEX($AY$76:$BE$81,,$AH465), N($AU$76:$AU$81&gt;$AM465)) / CK465 / 1000</f>
        <v>0</v>
      </c>
      <c r="CM465" s="231">
        <f t="shared" si="629"/>
        <v>30</v>
      </c>
      <c r="CN465" s="229">
        <f t="shared" si="650"/>
        <v>43</v>
      </c>
      <c r="CO465" s="234">
        <f t="shared" si="651"/>
        <v>3.5018750000000001</v>
      </c>
      <c r="CP465" s="234" cm="1">
        <f t="array" ref="CP465">$BM465 * IF($AH465&lt;=2,
SUMPRODUCT(INDEX($AV$71:$AX$75,,$AI465), INDEX($AY$71:$BE$75,,$AH465), 1 / ($BF$71:$BF$75*CO465 + (1-$BF$71:$BF$75)*CK465), N($AU$71:$AU$75&gt;$AM465)),
SUMPRODUCT(INDEX($AV$66:$AX$75,,$AI465), INDEX($AY$66:$BE$75,,$AH465), 1 / ($BG$66:$BG$75*CO465 + (1-$BG$66:$BG$75)*CK465), N($AU$66:$AU$75&gt;$AM465))
) / 1000</f>
        <v>0</v>
      </c>
      <c r="CQ465" s="231">
        <f t="shared" si="630"/>
        <v>25</v>
      </c>
      <c r="CR465" s="229">
        <f t="shared" si="652"/>
        <v>38</v>
      </c>
      <c r="CS465" s="234">
        <f t="shared" si="653"/>
        <v>4.0666935483870965</v>
      </c>
      <c r="CT465" s="234" cm="1">
        <f t="array" ref="CT465">$BM465 * IF($AH465&lt;=2,
SUMPRODUCT(INDEX($AV$66:$AX$70,,$AI465), INDEX($AY$66:$BE$70,,$AH465), 1 / ($BF$66:$BF$70*CS465 + (1-$BF$66:$BF$70)*CO465), N($AU$66:$AU$70&gt;$AM465)),
SUMPRODUCT(INDEX($AV$56:$AX$65,,$AI465), INDEX($AY$56:$BE$65,,$AH465), 1 / ($BG$56:$BG$65*CS465 + (1-$BG$56:$BG$65)*CO465), N($AU$56:$AU$65&gt;$AM465))
) / 1000</f>
        <v>0</v>
      </c>
      <c r="CU465" s="231">
        <f t="shared" si="631"/>
        <v>20</v>
      </c>
      <c r="CV465" s="229">
        <f t="shared" si="654"/>
        <v>33</v>
      </c>
      <c r="CW465" s="234">
        <f t="shared" si="655"/>
        <v>4.8487499999999999</v>
      </c>
      <c r="CX465" s="234" cm="1">
        <f t="array" ref="CX465">$BM465 * IF($AH465&lt;=2,
SUMPRODUCT(INDEX($AV$61:$AX$65,,$AI465), INDEX($AY$61:$BE$65,,$AH465), 1 / ($BF$61:$BF$65*CW465 + (1-$BF$61:$BF$65)*CS465), N($AU$61:$AU$65&gt;$AM465)),
SUMPRODUCT(INDEX($AV$46:$AX$55,,$AI465), INDEX($AY$46:$BE$55,,$AH465), 1 / ($BG$46:$BG$55*CW465 + (1-$BG$46:$BG$55)*CS465), N($AU$46:$AU$55&gt;$AM465))
) / 1000</f>
        <v>0</v>
      </c>
      <c r="CY465" s="234" cm="1">
        <f t="array" ref="CY465">$BM465 * IF($AH465&lt;=2,
SUMPRODUCT(INDEX($AV$22:$AX$60,,$AI465), INDEX($AY$22:$BE$60,,$AH465), 1 / ($BF$22:$BF$60*CW465), N($AU$22:$AU$60&gt;$AM465)),
SUMPRODUCT(INDEX($AV$22:$AX$45,,$AI465), INDEX($AY$22:$BE$45,,$AH465), 1 / ($BG$22:$BG$45*CW465), N($AU$22:$AU$45&gt;$AM465))
) / 1000</f>
        <v>0</v>
      </c>
      <c r="CZ465" s="229">
        <f t="shared" si="656"/>
        <v>0</v>
      </c>
      <c r="DA465" s="246"/>
    </row>
    <row r="466" spans="1:105" s="75" customFormat="1" ht="14.25" customHeight="1" x14ac:dyDescent="0.2">
      <c r="A466" s="230" t="b">
        <f t="shared" si="623"/>
        <v>0</v>
      </c>
      <c r="B466" s="253">
        <v>445</v>
      </c>
      <c r="C466" s="266"/>
      <c r="D466" s="266"/>
      <c r="E466" s="254"/>
      <c r="F466" s="255" t="str">
        <f>IF(ISBLANK(E466), "", VLOOKUP(E466, Z!$A$2:$C$4127, 3, FALSE))</f>
        <v/>
      </c>
      <c r="G466" s="256"/>
      <c r="H466" s="256"/>
      <c r="I466" s="256"/>
      <c r="J466" s="257"/>
      <c r="K466" s="258"/>
      <c r="L466" s="267"/>
      <c r="M466" s="268"/>
      <c r="N466" s="259" t="str" cm="1">
        <f t="array" ref="N466">IF($L466&gt;0, INDEX(Clean,1+AK466,$D$1), "")</f>
        <v/>
      </c>
      <c r="O466" s="260"/>
      <c r="P466" s="260"/>
      <c r="Q466" s="261"/>
      <c r="R466" s="264">
        <f t="shared" si="632"/>
        <v>0</v>
      </c>
      <c r="S466" s="259" t="str" cm="1">
        <f t="array" ref="S466">IF($L466&gt;0, INDEX(Clean,1+AL466,$D$1), "")</f>
        <v/>
      </c>
      <c r="T466" s="260"/>
      <c r="U466" s="260"/>
      <c r="V466" s="261"/>
      <c r="W466" s="267"/>
      <c r="X466" s="267"/>
      <c r="Y466" s="257"/>
      <c r="Z466" s="264">
        <f t="shared" si="633"/>
        <v>0</v>
      </c>
      <c r="AA466" s="269"/>
      <c r="AB466" s="266"/>
      <c r="AC466" s="254"/>
      <c r="AD466" s="255" t="str">
        <f>IF(ISBLANK(AC466), "", VLOOKUP(AC466, Z!$A$2:$C$4127, 3, FALSE))</f>
        <v/>
      </c>
      <c r="AE466" s="270"/>
      <c r="AF466" s="265">
        <f t="shared" si="634"/>
        <v>0</v>
      </c>
      <c r="AG466" s="246"/>
      <c r="AH466" s="228">
        <f t="shared" si="657"/>
        <v>1</v>
      </c>
      <c r="AI466" s="228">
        <f t="shared" si="658"/>
        <v>1</v>
      </c>
      <c r="AJ466" s="228">
        <f t="shared" si="659"/>
        <v>0</v>
      </c>
      <c r="AK466" s="228">
        <v>0</v>
      </c>
      <c r="AL466" s="228">
        <v>0</v>
      </c>
      <c r="AM466" s="228">
        <f t="shared" si="635"/>
        <v>-100</v>
      </c>
      <c r="AN466" s="228" cm="1">
        <f t="array" ref="AN466">IF(ISBLANK(G466), 1, IFERROR(MATCH(G466, INDEX(Kat,,1), 0), IFERROR(MATCH(Kat, INDEX(Use,,2), 0), MATCH(Kat, INDEX(Use,,3), 0))))</f>
        <v>1</v>
      </c>
      <c r="AO466" s="246"/>
      <c r="AP466" s="228" cm="1">
        <f t="array" ref="AP466">IF(W466&gt;0, INDEX(Kat, AN466,4), 0)</f>
        <v>0</v>
      </c>
      <c r="AQ466" s="228">
        <f t="shared" si="660"/>
        <v>0</v>
      </c>
      <c r="AR466" s="228" cm="1">
        <f t="array" ref="AR466">IF(X466&gt;0, INDEX(Kat, $AN466, 4+AQ466), 0)</f>
        <v>0</v>
      </c>
      <c r="AS466" s="228" cm="1">
        <f t="array" ref="AS466">IF(X466&gt;0, INDEX(Kat, $AN466, 9+AQ466), 0)</f>
        <v>0</v>
      </c>
      <c r="AT466" s="246"/>
      <c r="AU466" s="262"/>
      <c r="AV466" s="262"/>
      <c r="AW466" s="263"/>
      <c r="AX466" s="263"/>
      <c r="AY466" s="263"/>
      <c r="AZ466" s="263"/>
      <c r="BA466" s="263"/>
      <c r="BB466" s="263"/>
      <c r="BC466" s="263"/>
      <c r="BD466" s="263"/>
      <c r="BE466" s="263"/>
      <c r="BF466" s="263"/>
      <c r="BG466" s="263"/>
      <c r="BH466" s="246"/>
      <c r="BI466" s="228" cm="1">
        <f t="array" ref="BI466">INDEX(Use, $AH466, 4)</f>
        <v>7</v>
      </c>
      <c r="BJ466" s="228">
        <f t="shared" si="636"/>
        <v>32</v>
      </c>
      <c r="BK466" s="228">
        <f t="shared" si="624"/>
        <v>13</v>
      </c>
      <c r="BL466" s="228">
        <f t="shared" si="625"/>
        <v>0</v>
      </c>
      <c r="BM466" s="233" cm="1">
        <f t="array" ref="BM466">L466/IF($M466&gt;0, INDEX($AY$22:$BE$76, $M466+20, $AH466), 1)</f>
        <v>0</v>
      </c>
      <c r="BN466" s="229">
        <f t="shared" si="637"/>
        <v>0</v>
      </c>
      <c r="BO466" s="228">
        <v>35</v>
      </c>
      <c r="BP466" s="229">
        <f t="shared" si="638"/>
        <v>48</v>
      </c>
      <c r="BQ466" s="234">
        <f t="shared" si="639"/>
        <v>3.0748170731707316</v>
      </c>
      <c r="BR466" s="234" cm="1">
        <f t="array" ref="BR466">$BM466 * SUMPRODUCT(INDEX($AV$76:$AX$81,,$AI466),INDEX($AY$76:$BE$81,,$AH466), N($AU$76:$AU$81&gt;$AM466)) / BQ466 / 1000</f>
        <v>0</v>
      </c>
      <c r="BS466" s="231">
        <f t="shared" si="626"/>
        <v>30</v>
      </c>
      <c r="BT466" s="229">
        <f t="shared" si="640"/>
        <v>43</v>
      </c>
      <c r="BU466" s="234">
        <f t="shared" si="641"/>
        <v>3.5018750000000001</v>
      </c>
      <c r="BV466" s="234" cm="1">
        <f t="array" ref="BV466">$BM466 * IF($AH466&lt;=2,
SUMPRODUCT(INDEX($AV$71:$AX$75,,$AI466), INDEX($AY$71:$BE$75,,$AH466), 1 / ($BF$71:$BF$75*BU466 + (1-$BF$71:$BF$75)*BQ466), N($AU$71:$AU$75&gt;$AM466)),
SUMPRODUCT(INDEX($AV$66:$AX$75,,$AI466), INDEX($AY$66:$BE$75,,$AH466), 1 / ($BG$66:$BG$75*BU466 + (1-$BG$66:$BG$75)*BQ466), N($AU$66:$AU$75&gt;$AM466))
) / 1000</f>
        <v>0</v>
      </c>
      <c r="BW466" s="231">
        <f t="shared" si="627"/>
        <v>25</v>
      </c>
      <c r="BX466" s="229">
        <f t="shared" si="642"/>
        <v>38</v>
      </c>
      <c r="BY466" s="234">
        <f t="shared" si="643"/>
        <v>4.0666935483870965</v>
      </c>
      <c r="BZ466" s="234" cm="1">
        <f t="array" ref="BZ466">$BM466 * IF($AH466&lt;=2,
SUMPRODUCT(INDEX($AV$66:$AX$70,,$AI466), INDEX($AY$66:$BE$70,,$AH466), 1 / ($BF$66:$BF$70*BY466 + (1-$BF$66:$BF$70)*BU466), N($AU$66:$AU$70&gt;$AM466)),
SUMPRODUCT(INDEX($AV$56:$AX$65,,$AI466), INDEX($AY$56:$BE$65,,$AH466), 1 / ($BG$56:$BG$65*BY466 + (1-$BG$56:$BG$65)*BU466), N($AU$56:$AU$65&gt;$AM466))
) / 1000</f>
        <v>0</v>
      </c>
      <c r="CA466" s="231">
        <f t="shared" si="628"/>
        <v>20</v>
      </c>
      <c r="CB466" s="229">
        <f t="shared" si="644"/>
        <v>33</v>
      </c>
      <c r="CC466" s="234">
        <f t="shared" si="645"/>
        <v>4.8487499999999999</v>
      </c>
      <c r="CD466" s="234" cm="1">
        <f t="array" ref="CD466">$BM466 * IF($AH466&lt;=2,
SUMPRODUCT(INDEX($AV$61:$AX$65,,$AI466), INDEX($AY$61:$BE$65,,$AH466), 1 / ($BF$61:$BF$65*CC466 + (1-$BF$61:$BF$65)*BY466), N($AU$61:$AU$65&gt;$AM466)),
SUMPRODUCT(INDEX($AV$46:$AX$55,,$AI466), INDEX($AY$46:$BE$55,,$AH466), 1 / ($BG$46:$BG$55*CC466 + (1-$BG$46:$BG$55)*BY466), N($AU$46:$AU$55&gt;$AM466))
) / 1000</f>
        <v>0</v>
      </c>
      <c r="CE466" s="234" cm="1">
        <f t="array" ref="CE466">$BM466 * IF($AH466&lt;=2,
SUMPRODUCT(INDEX($AV$22:$AX$60,,$AI466), INDEX($AY$22:$BE$60,,$AH466), 1 / ($BF$22:$BF$60*CC466), N($AU$22:$AU$60&gt;$AM466)),
SUMPRODUCT(INDEX($AV$22:$AX$45,,$AI466), INDEX($AY$22:$BE$45,,$AH466), 1 / ($BG$22:$BG$45*CC466), N($AU$22:$AU$45&gt;$AM466))
) / 1000</f>
        <v>0</v>
      </c>
      <c r="CF466" s="229">
        <f t="shared" si="646"/>
        <v>0</v>
      </c>
      <c r="CG466" s="246"/>
      <c r="CH466" s="229">
        <f t="shared" si="647"/>
        <v>0</v>
      </c>
      <c r="CI466" s="228">
        <v>35</v>
      </c>
      <c r="CJ466" s="229">
        <f t="shared" si="648"/>
        <v>48</v>
      </c>
      <c r="CK466" s="234">
        <f t="shared" si="649"/>
        <v>3.0748170731707316</v>
      </c>
      <c r="CL466" s="234" cm="1">
        <f t="array" ref="CL466">$BM466 * SUMPRODUCT(INDEX($AV$76:$AX$81,,$AI466),INDEX($AY$76:$BE$81,,$AH466), N($AU$76:$AU$81&gt;$AM466)) / CK466 / 1000</f>
        <v>0</v>
      </c>
      <c r="CM466" s="231">
        <f t="shared" si="629"/>
        <v>30</v>
      </c>
      <c r="CN466" s="229">
        <f t="shared" si="650"/>
        <v>43</v>
      </c>
      <c r="CO466" s="234">
        <f t="shared" si="651"/>
        <v>3.5018750000000001</v>
      </c>
      <c r="CP466" s="234" cm="1">
        <f t="array" ref="CP466">$BM466 * IF($AH466&lt;=2,
SUMPRODUCT(INDEX($AV$71:$AX$75,,$AI466), INDEX($AY$71:$BE$75,,$AH466), 1 / ($BF$71:$BF$75*CO466 + (1-$BF$71:$BF$75)*CK466), N($AU$71:$AU$75&gt;$AM466)),
SUMPRODUCT(INDEX($AV$66:$AX$75,,$AI466), INDEX($AY$66:$BE$75,,$AH466), 1 / ($BG$66:$BG$75*CO466 + (1-$BG$66:$BG$75)*CK466), N($AU$66:$AU$75&gt;$AM466))
) / 1000</f>
        <v>0</v>
      </c>
      <c r="CQ466" s="231">
        <f t="shared" si="630"/>
        <v>25</v>
      </c>
      <c r="CR466" s="229">
        <f t="shared" si="652"/>
        <v>38</v>
      </c>
      <c r="CS466" s="234">
        <f t="shared" si="653"/>
        <v>4.0666935483870965</v>
      </c>
      <c r="CT466" s="234" cm="1">
        <f t="array" ref="CT466">$BM466 * IF($AH466&lt;=2,
SUMPRODUCT(INDEX($AV$66:$AX$70,,$AI466), INDEX($AY$66:$BE$70,,$AH466), 1 / ($BF$66:$BF$70*CS466 + (1-$BF$66:$BF$70)*CO466), N($AU$66:$AU$70&gt;$AM466)),
SUMPRODUCT(INDEX($AV$56:$AX$65,,$AI466), INDEX($AY$56:$BE$65,,$AH466), 1 / ($BG$56:$BG$65*CS466 + (1-$BG$56:$BG$65)*CO466), N($AU$56:$AU$65&gt;$AM466))
) / 1000</f>
        <v>0</v>
      </c>
      <c r="CU466" s="231">
        <f t="shared" si="631"/>
        <v>20</v>
      </c>
      <c r="CV466" s="229">
        <f t="shared" si="654"/>
        <v>33</v>
      </c>
      <c r="CW466" s="234">
        <f t="shared" si="655"/>
        <v>4.8487499999999999</v>
      </c>
      <c r="CX466" s="234" cm="1">
        <f t="array" ref="CX466">$BM466 * IF($AH466&lt;=2,
SUMPRODUCT(INDEX($AV$61:$AX$65,,$AI466), INDEX($AY$61:$BE$65,,$AH466), 1 / ($BF$61:$BF$65*CW466 + (1-$BF$61:$BF$65)*CS466), N($AU$61:$AU$65&gt;$AM466)),
SUMPRODUCT(INDEX($AV$46:$AX$55,,$AI466), INDEX($AY$46:$BE$55,,$AH466), 1 / ($BG$46:$BG$55*CW466 + (1-$BG$46:$BG$55)*CS466), N($AU$46:$AU$55&gt;$AM466))
) / 1000</f>
        <v>0</v>
      </c>
      <c r="CY466" s="234" cm="1">
        <f t="array" ref="CY466">$BM466 * IF($AH466&lt;=2,
SUMPRODUCT(INDEX($AV$22:$AX$60,,$AI466), INDEX($AY$22:$BE$60,,$AH466), 1 / ($BF$22:$BF$60*CW466), N($AU$22:$AU$60&gt;$AM466)),
SUMPRODUCT(INDEX($AV$22:$AX$45,,$AI466), INDEX($AY$22:$BE$45,,$AH466), 1 / ($BG$22:$BG$45*CW466), N($AU$22:$AU$45&gt;$AM466))
) / 1000</f>
        <v>0</v>
      </c>
      <c r="CZ466" s="229">
        <f t="shared" si="656"/>
        <v>0</v>
      </c>
      <c r="DA466" s="246"/>
    </row>
    <row r="467" spans="1:105" s="75" customFormat="1" ht="14.25" customHeight="1" x14ac:dyDescent="0.2">
      <c r="A467" s="230" t="b">
        <f t="shared" si="623"/>
        <v>0</v>
      </c>
      <c r="B467" s="253">
        <v>446</v>
      </c>
      <c r="C467" s="266"/>
      <c r="D467" s="266"/>
      <c r="E467" s="254"/>
      <c r="F467" s="255" t="str">
        <f>IF(ISBLANK(E467), "", VLOOKUP(E467, Z!$A$2:$C$4127, 3, FALSE))</f>
        <v/>
      </c>
      <c r="G467" s="256"/>
      <c r="H467" s="256"/>
      <c r="I467" s="256"/>
      <c r="J467" s="257"/>
      <c r="K467" s="258"/>
      <c r="L467" s="267"/>
      <c r="M467" s="268"/>
      <c r="N467" s="259" t="str" cm="1">
        <f t="array" ref="N467">IF($L467&gt;0, INDEX(Clean,1+AK467,$D$1), "")</f>
        <v/>
      </c>
      <c r="O467" s="260"/>
      <c r="P467" s="260"/>
      <c r="Q467" s="261"/>
      <c r="R467" s="264">
        <f t="shared" si="632"/>
        <v>0</v>
      </c>
      <c r="S467" s="259" t="str" cm="1">
        <f t="array" ref="S467">IF($L467&gt;0, INDEX(Clean,1+AL467,$D$1), "")</f>
        <v/>
      </c>
      <c r="T467" s="260"/>
      <c r="U467" s="260"/>
      <c r="V467" s="261"/>
      <c r="W467" s="267"/>
      <c r="X467" s="267"/>
      <c r="Y467" s="257"/>
      <c r="Z467" s="264">
        <f t="shared" si="633"/>
        <v>0</v>
      </c>
      <c r="AA467" s="269"/>
      <c r="AB467" s="266"/>
      <c r="AC467" s="254"/>
      <c r="AD467" s="255" t="str">
        <f>IF(ISBLANK(AC467), "", VLOOKUP(AC467, Z!$A$2:$C$4127, 3, FALSE))</f>
        <v/>
      </c>
      <c r="AE467" s="270"/>
      <c r="AF467" s="265">
        <f t="shared" si="634"/>
        <v>0</v>
      </c>
      <c r="AG467" s="246"/>
      <c r="AH467" s="228">
        <f t="shared" si="657"/>
        <v>1</v>
      </c>
      <c r="AI467" s="228">
        <f t="shared" si="658"/>
        <v>1</v>
      </c>
      <c r="AJ467" s="228">
        <f t="shared" si="659"/>
        <v>0</v>
      </c>
      <c r="AK467" s="228">
        <v>0</v>
      </c>
      <c r="AL467" s="228">
        <v>0</v>
      </c>
      <c r="AM467" s="228">
        <f t="shared" si="635"/>
        <v>-100</v>
      </c>
      <c r="AN467" s="228" cm="1">
        <f t="array" ref="AN467">IF(ISBLANK(G467), 1, IFERROR(MATCH(G467, INDEX(Kat,,1), 0), IFERROR(MATCH(Kat, INDEX(Use,,2), 0), MATCH(Kat, INDEX(Use,,3), 0))))</f>
        <v>1</v>
      </c>
      <c r="AO467" s="246"/>
      <c r="AP467" s="228" cm="1">
        <f t="array" ref="AP467">IF(W467&gt;0, INDEX(Kat, AN467,4), 0)</f>
        <v>0</v>
      </c>
      <c r="AQ467" s="228">
        <f t="shared" si="660"/>
        <v>0</v>
      </c>
      <c r="AR467" s="228" cm="1">
        <f t="array" ref="AR467">IF(X467&gt;0, INDEX(Kat, $AN467, 4+AQ467), 0)</f>
        <v>0</v>
      </c>
      <c r="AS467" s="228" cm="1">
        <f t="array" ref="AS467">IF(X467&gt;0, INDEX(Kat, $AN467, 9+AQ467), 0)</f>
        <v>0</v>
      </c>
      <c r="AT467" s="246"/>
      <c r="AU467" s="262"/>
      <c r="AV467" s="262"/>
      <c r="AW467" s="263"/>
      <c r="AX467" s="263"/>
      <c r="AY467" s="263"/>
      <c r="AZ467" s="263"/>
      <c r="BA467" s="263"/>
      <c r="BB467" s="263"/>
      <c r="BC467" s="263"/>
      <c r="BD467" s="263"/>
      <c r="BE467" s="263"/>
      <c r="BF467" s="263"/>
      <c r="BG467" s="263"/>
      <c r="BH467" s="246"/>
      <c r="BI467" s="228" cm="1">
        <f t="array" ref="BI467">INDEX(Use, $AH467, 4)</f>
        <v>7</v>
      </c>
      <c r="BJ467" s="228">
        <f t="shared" si="636"/>
        <v>32</v>
      </c>
      <c r="BK467" s="228">
        <f t="shared" si="624"/>
        <v>13</v>
      </c>
      <c r="BL467" s="228">
        <f t="shared" si="625"/>
        <v>0</v>
      </c>
      <c r="BM467" s="233" cm="1">
        <f t="array" ref="BM467">L467/IF($M467&gt;0, INDEX($AY$22:$BE$76, $M467+20, $AH467), 1)</f>
        <v>0</v>
      </c>
      <c r="BN467" s="229">
        <f t="shared" si="637"/>
        <v>0</v>
      </c>
      <c r="BO467" s="228">
        <v>35</v>
      </c>
      <c r="BP467" s="229">
        <f t="shared" si="638"/>
        <v>48</v>
      </c>
      <c r="BQ467" s="234">
        <f t="shared" si="639"/>
        <v>3.0748170731707316</v>
      </c>
      <c r="BR467" s="234" cm="1">
        <f t="array" ref="BR467">$BM467 * SUMPRODUCT(INDEX($AV$76:$AX$81,,$AI467),INDEX($AY$76:$BE$81,,$AH467), N($AU$76:$AU$81&gt;$AM467)) / BQ467 / 1000</f>
        <v>0</v>
      </c>
      <c r="BS467" s="231">
        <f t="shared" si="626"/>
        <v>30</v>
      </c>
      <c r="BT467" s="229">
        <f t="shared" si="640"/>
        <v>43</v>
      </c>
      <c r="BU467" s="234">
        <f t="shared" si="641"/>
        <v>3.5018750000000001</v>
      </c>
      <c r="BV467" s="234" cm="1">
        <f t="array" ref="BV467">$BM467 * IF($AH467&lt;=2,
SUMPRODUCT(INDEX($AV$71:$AX$75,,$AI467), INDEX($AY$71:$BE$75,,$AH467), 1 / ($BF$71:$BF$75*BU467 + (1-$BF$71:$BF$75)*BQ467), N($AU$71:$AU$75&gt;$AM467)),
SUMPRODUCT(INDEX($AV$66:$AX$75,,$AI467), INDEX($AY$66:$BE$75,,$AH467), 1 / ($BG$66:$BG$75*BU467 + (1-$BG$66:$BG$75)*BQ467), N($AU$66:$AU$75&gt;$AM467))
) / 1000</f>
        <v>0</v>
      </c>
      <c r="BW467" s="231">
        <f t="shared" si="627"/>
        <v>25</v>
      </c>
      <c r="BX467" s="229">
        <f t="shared" si="642"/>
        <v>38</v>
      </c>
      <c r="BY467" s="234">
        <f t="shared" si="643"/>
        <v>4.0666935483870965</v>
      </c>
      <c r="BZ467" s="234" cm="1">
        <f t="array" ref="BZ467">$BM467 * IF($AH467&lt;=2,
SUMPRODUCT(INDEX($AV$66:$AX$70,,$AI467), INDEX($AY$66:$BE$70,,$AH467), 1 / ($BF$66:$BF$70*BY467 + (1-$BF$66:$BF$70)*BU467), N($AU$66:$AU$70&gt;$AM467)),
SUMPRODUCT(INDEX($AV$56:$AX$65,,$AI467), INDEX($AY$56:$BE$65,,$AH467), 1 / ($BG$56:$BG$65*BY467 + (1-$BG$56:$BG$65)*BU467), N($AU$56:$AU$65&gt;$AM467))
) / 1000</f>
        <v>0</v>
      </c>
      <c r="CA467" s="231">
        <f t="shared" si="628"/>
        <v>20</v>
      </c>
      <c r="CB467" s="229">
        <f t="shared" si="644"/>
        <v>33</v>
      </c>
      <c r="CC467" s="234">
        <f t="shared" si="645"/>
        <v>4.8487499999999999</v>
      </c>
      <c r="CD467" s="234" cm="1">
        <f t="array" ref="CD467">$BM467 * IF($AH467&lt;=2,
SUMPRODUCT(INDEX($AV$61:$AX$65,,$AI467), INDEX($AY$61:$BE$65,,$AH467), 1 / ($BF$61:$BF$65*CC467 + (1-$BF$61:$BF$65)*BY467), N($AU$61:$AU$65&gt;$AM467)),
SUMPRODUCT(INDEX($AV$46:$AX$55,,$AI467), INDEX($AY$46:$BE$55,,$AH467), 1 / ($BG$46:$BG$55*CC467 + (1-$BG$46:$BG$55)*BY467), N($AU$46:$AU$55&gt;$AM467))
) / 1000</f>
        <v>0</v>
      </c>
      <c r="CE467" s="234" cm="1">
        <f t="array" ref="CE467">$BM467 * IF($AH467&lt;=2,
SUMPRODUCT(INDEX($AV$22:$AX$60,,$AI467), INDEX($AY$22:$BE$60,,$AH467), 1 / ($BF$22:$BF$60*CC467), N($AU$22:$AU$60&gt;$AM467)),
SUMPRODUCT(INDEX($AV$22:$AX$45,,$AI467), INDEX($AY$22:$BE$45,,$AH467), 1 / ($BG$22:$BG$45*CC467), N($AU$22:$AU$45&gt;$AM467))
) / 1000</f>
        <v>0</v>
      </c>
      <c r="CF467" s="229">
        <f t="shared" si="646"/>
        <v>0</v>
      </c>
      <c r="CG467" s="246"/>
      <c r="CH467" s="229">
        <f t="shared" si="647"/>
        <v>0</v>
      </c>
      <c r="CI467" s="228">
        <v>35</v>
      </c>
      <c r="CJ467" s="229">
        <f t="shared" si="648"/>
        <v>48</v>
      </c>
      <c r="CK467" s="234">
        <f t="shared" si="649"/>
        <v>3.0748170731707316</v>
      </c>
      <c r="CL467" s="234" cm="1">
        <f t="array" ref="CL467">$BM467 * SUMPRODUCT(INDEX($AV$76:$AX$81,,$AI467),INDEX($AY$76:$BE$81,,$AH467), N($AU$76:$AU$81&gt;$AM467)) / CK467 / 1000</f>
        <v>0</v>
      </c>
      <c r="CM467" s="231">
        <f t="shared" si="629"/>
        <v>30</v>
      </c>
      <c r="CN467" s="229">
        <f t="shared" si="650"/>
        <v>43</v>
      </c>
      <c r="CO467" s="234">
        <f t="shared" si="651"/>
        <v>3.5018750000000001</v>
      </c>
      <c r="CP467" s="234" cm="1">
        <f t="array" ref="CP467">$BM467 * IF($AH467&lt;=2,
SUMPRODUCT(INDEX($AV$71:$AX$75,,$AI467), INDEX($AY$71:$BE$75,,$AH467), 1 / ($BF$71:$BF$75*CO467 + (1-$BF$71:$BF$75)*CK467), N($AU$71:$AU$75&gt;$AM467)),
SUMPRODUCT(INDEX($AV$66:$AX$75,,$AI467), INDEX($AY$66:$BE$75,,$AH467), 1 / ($BG$66:$BG$75*CO467 + (1-$BG$66:$BG$75)*CK467), N($AU$66:$AU$75&gt;$AM467))
) / 1000</f>
        <v>0</v>
      </c>
      <c r="CQ467" s="231">
        <f t="shared" si="630"/>
        <v>25</v>
      </c>
      <c r="CR467" s="229">
        <f t="shared" si="652"/>
        <v>38</v>
      </c>
      <c r="CS467" s="234">
        <f t="shared" si="653"/>
        <v>4.0666935483870965</v>
      </c>
      <c r="CT467" s="234" cm="1">
        <f t="array" ref="CT467">$BM467 * IF($AH467&lt;=2,
SUMPRODUCT(INDEX($AV$66:$AX$70,,$AI467), INDEX($AY$66:$BE$70,,$AH467), 1 / ($BF$66:$BF$70*CS467 + (1-$BF$66:$BF$70)*CO467), N($AU$66:$AU$70&gt;$AM467)),
SUMPRODUCT(INDEX($AV$56:$AX$65,,$AI467), INDEX($AY$56:$BE$65,,$AH467), 1 / ($BG$56:$BG$65*CS467 + (1-$BG$56:$BG$65)*CO467), N($AU$56:$AU$65&gt;$AM467))
) / 1000</f>
        <v>0</v>
      </c>
      <c r="CU467" s="231">
        <f t="shared" si="631"/>
        <v>20</v>
      </c>
      <c r="CV467" s="229">
        <f t="shared" si="654"/>
        <v>33</v>
      </c>
      <c r="CW467" s="234">
        <f t="shared" si="655"/>
        <v>4.8487499999999999</v>
      </c>
      <c r="CX467" s="234" cm="1">
        <f t="array" ref="CX467">$BM467 * IF($AH467&lt;=2,
SUMPRODUCT(INDEX($AV$61:$AX$65,,$AI467), INDEX($AY$61:$BE$65,,$AH467), 1 / ($BF$61:$BF$65*CW467 + (1-$BF$61:$BF$65)*CS467), N($AU$61:$AU$65&gt;$AM467)),
SUMPRODUCT(INDEX($AV$46:$AX$55,,$AI467), INDEX($AY$46:$BE$55,,$AH467), 1 / ($BG$46:$BG$55*CW467 + (1-$BG$46:$BG$55)*CS467), N($AU$46:$AU$55&gt;$AM467))
) / 1000</f>
        <v>0</v>
      </c>
      <c r="CY467" s="234" cm="1">
        <f t="array" ref="CY467">$BM467 * IF($AH467&lt;=2,
SUMPRODUCT(INDEX($AV$22:$AX$60,,$AI467), INDEX($AY$22:$BE$60,,$AH467), 1 / ($BF$22:$BF$60*CW467), N($AU$22:$AU$60&gt;$AM467)),
SUMPRODUCT(INDEX($AV$22:$AX$45,,$AI467), INDEX($AY$22:$BE$45,,$AH467), 1 / ($BG$22:$BG$45*CW467), N($AU$22:$AU$45&gt;$AM467))
) / 1000</f>
        <v>0</v>
      </c>
      <c r="CZ467" s="229">
        <f t="shared" si="656"/>
        <v>0</v>
      </c>
      <c r="DA467" s="246"/>
    </row>
    <row r="468" spans="1:105" s="75" customFormat="1" ht="14.25" customHeight="1" x14ac:dyDescent="0.2">
      <c r="A468" s="230" t="b">
        <f t="shared" si="623"/>
        <v>0</v>
      </c>
      <c r="B468" s="253">
        <v>447</v>
      </c>
      <c r="C468" s="266"/>
      <c r="D468" s="266"/>
      <c r="E468" s="254"/>
      <c r="F468" s="255" t="str">
        <f>IF(ISBLANK(E468), "", VLOOKUP(E468, Z!$A$2:$C$4127, 3, FALSE))</f>
        <v/>
      </c>
      <c r="G468" s="256"/>
      <c r="H468" s="256"/>
      <c r="I468" s="256"/>
      <c r="J468" s="257"/>
      <c r="K468" s="258"/>
      <c r="L468" s="267"/>
      <c r="M468" s="268"/>
      <c r="N468" s="259" t="str" cm="1">
        <f t="array" ref="N468">IF($L468&gt;0, INDEX(Clean,1+AK468,$D$1), "")</f>
        <v/>
      </c>
      <c r="O468" s="260"/>
      <c r="P468" s="260"/>
      <c r="Q468" s="261"/>
      <c r="R468" s="264">
        <f t="shared" si="632"/>
        <v>0</v>
      </c>
      <c r="S468" s="259" t="str" cm="1">
        <f t="array" ref="S468">IF($L468&gt;0, INDEX(Clean,1+AL468,$D$1), "")</f>
        <v/>
      </c>
      <c r="T468" s="260"/>
      <c r="U468" s="260"/>
      <c r="V468" s="261"/>
      <c r="W468" s="267"/>
      <c r="X468" s="267"/>
      <c r="Y468" s="257"/>
      <c r="Z468" s="264">
        <f t="shared" si="633"/>
        <v>0</v>
      </c>
      <c r="AA468" s="269"/>
      <c r="AB468" s="266"/>
      <c r="AC468" s="254"/>
      <c r="AD468" s="255" t="str">
        <f>IF(ISBLANK(AC468), "", VLOOKUP(AC468, Z!$A$2:$C$4127, 3, FALSE))</f>
        <v/>
      </c>
      <c r="AE468" s="270"/>
      <c r="AF468" s="265">
        <f t="shared" si="634"/>
        <v>0</v>
      </c>
      <c r="AG468" s="246"/>
      <c r="AH468" s="228">
        <f t="shared" si="657"/>
        <v>1</v>
      </c>
      <c r="AI468" s="228">
        <f t="shared" si="658"/>
        <v>1</v>
      </c>
      <c r="AJ468" s="228">
        <f t="shared" si="659"/>
        <v>0</v>
      </c>
      <c r="AK468" s="228">
        <v>0</v>
      </c>
      <c r="AL468" s="228">
        <v>0</v>
      </c>
      <c r="AM468" s="228">
        <f t="shared" si="635"/>
        <v>-100</v>
      </c>
      <c r="AN468" s="228" cm="1">
        <f t="array" ref="AN468">IF(ISBLANK(G468), 1, IFERROR(MATCH(G468, INDEX(Kat,,1), 0), IFERROR(MATCH(Kat, INDEX(Use,,2), 0), MATCH(Kat, INDEX(Use,,3), 0))))</f>
        <v>1</v>
      </c>
      <c r="AO468" s="246"/>
      <c r="AP468" s="228" cm="1">
        <f t="array" ref="AP468">IF(W468&gt;0, INDEX(Kat, AN468,4), 0)</f>
        <v>0</v>
      </c>
      <c r="AQ468" s="228">
        <f t="shared" si="660"/>
        <v>0</v>
      </c>
      <c r="AR468" s="228" cm="1">
        <f t="array" ref="AR468">IF(X468&gt;0, INDEX(Kat, $AN468, 4+AQ468), 0)</f>
        <v>0</v>
      </c>
      <c r="AS468" s="228" cm="1">
        <f t="array" ref="AS468">IF(X468&gt;0, INDEX(Kat, $AN468, 9+AQ468), 0)</f>
        <v>0</v>
      </c>
      <c r="AT468" s="246"/>
      <c r="AU468" s="262"/>
      <c r="AV468" s="262"/>
      <c r="AW468" s="263"/>
      <c r="AX468" s="263"/>
      <c r="AY468" s="263"/>
      <c r="AZ468" s="263"/>
      <c r="BA468" s="263"/>
      <c r="BB468" s="263"/>
      <c r="BC468" s="263"/>
      <c r="BD468" s="263"/>
      <c r="BE468" s="263"/>
      <c r="BF468" s="263"/>
      <c r="BG468" s="263"/>
      <c r="BH468" s="246"/>
      <c r="BI468" s="228" cm="1">
        <f t="array" ref="BI468">INDEX(Use, $AH468, 4)</f>
        <v>7</v>
      </c>
      <c r="BJ468" s="228">
        <f t="shared" si="636"/>
        <v>32</v>
      </c>
      <c r="BK468" s="228">
        <f t="shared" si="624"/>
        <v>13</v>
      </c>
      <c r="BL468" s="228">
        <f t="shared" si="625"/>
        <v>0</v>
      </c>
      <c r="BM468" s="233" cm="1">
        <f t="array" ref="BM468">L468/IF($M468&gt;0, INDEX($AY$22:$BE$76, $M468+20, $AH468), 1)</f>
        <v>0</v>
      </c>
      <c r="BN468" s="229">
        <f t="shared" si="637"/>
        <v>0</v>
      </c>
      <c r="BO468" s="228">
        <v>35</v>
      </c>
      <c r="BP468" s="229">
        <f t="shared" si="638"/>
        <v>48</v>
      </c>
      <c r="BQ468" s="234">
        <f t="shared" si="639"/>
        <v>3.0748170731707316</v>
      </c>
      <c r="BR468" s="234" cm="1">
        <f t="array" ref="BR468">$BM468 * SUMPRODUCT(INDEX($AV$76:$AX$81,,$AI468),INDEX($AY$76:$BE$81,,$AH468), N($AU$76:$AU$81&gt;$AM468)) / BQ468 / 1000</f>
        <v>0</v>
      </c>
      <c r="BS468" s="231">
        <f t="shared" si="626"/>
        <v>30</v>
      </c>
      <c r="BT468" s="229">
        <f t="shared" si="640"/>
        <v>43</v>
      </c>
      <c r="BU468" s="234">
        <f t="shared" si="641"/>
        <v>3.5018750000000001</v>
      </c>
      <c r="BV468" s="234" cm="1">
        <f t="array" ref="BV468">$BM468 * IF($AH468&lt;=2,
SUMPRODUCT(INDEX($AV$71:$AX$75,,$AI468), INDEX($AY$71:$BE$75,,$AH468), 1 / ($BF$71:$BF$75*BU468 + (1-$BF$71:$BF$75)*BQ468), N($AU$71:$AU$75&gt;$AM468)),
SUMPRODUCT(INDEX($AV$66:$AX$75,,$AI468), INDEX($AY$66:$BE$75,,$AH468), 1 / ($BG$66:$BG$75*BU468 + (1-$BG$66:$BG$75)*BQ468), N($AU$66:$AU$75&gt;$AM468))
) / 1000</f>
        <v>0</v>
      </c>
      <c r="BW468" s="231">
        <f t="shared" si="627"/>
        <v>25</v>
      </c>
      <c r="BX468" s="229">
        <f t="shared" si="642"/>
        <v>38</v>
      </c>
      <c r="BY468" s="234">
        <f t="shared" si="643"/>
        <v>4.0666935483870965</v>
      </c>
      <c r="BZ468" s="234" cm="1">
        <f t="array" ref="BZ468">$BM468 * IF($AH468&lt;=2,
SUMPRODUCT(INDEX($AV$66:$AX$70,,$AI468), INDEX($AY$66:$BE$70,,$AH468), 1 / ($BF$66:$BF$70*BY468 + (1-$BF$66:$BF$70)*BU468), N($AU$66:$AU$70&gt;$AM468)),
SUMPRODUCT(INDEX($AV$56:$AX$65,,$AI468), INDEX($AY$56:$BE$65,,$AH468), 1 / ($BG$56:$BG$65*BY468 + (1-$BG$56:$BG$65)*BU468), N($AU$56:$AU$65&gt;$AM468))
) / 1000</f>
        <v>0</v>
      </c>
      <c r="CA468" s="231">
        <f t="shared" si="628"/>
        <v>20</v>
      </c>
      <c r="CB468" s="229">
        <f t="shared" si="644"/>
        <v>33</v>
      </c>
      <c r="CC468" s="234">
        <f t="shared" si="645"/>
        <v>4.8487499999999999</v>
      </c>
      <c r="CD468" s="234" cm="1">
        <f t="array" ref="CD468">$BM468 * IF($AH468&lt;=2,
SUMPRODUCT(INDEX($AV$61:$AX$65,,$AI468), INDEX($AY$61:$BE$65,,$AH468), 1 / ($BF$61:$BF$65*CC468 + (1-$BF$61:$BF$65)*BY468), N($AU$61:$AU$65&gt;$AM468)),
SUMPRODUCT(INDEX($AV$46:$AX$55,,$AI468), INDEX($AY$46:$BE$55,,$AH468), 1 / ($BG$46:$BG$55*CC468 + (1-$BG$46:$BG$55)*BY468), N($AU$46:$AU$55&gt;$AM468))
) / 1000</f>
        <v>0</v>
      </c>
      <c r="CE468" s="234" cm="1">
        <f t="array" ref="CE468">$BM468 * IF($AH468&lt;=2,
SUMPRODUCT(INDEX($AV$22:$AX$60,,$AI468), INDEX($AY$22:$BE$60,,$AH468), 1 / ($BF$22:$BF$60*CC468), N($AU$22:$AU$60&gt;$AM468)),
SUMPRODUCT(INDEX($AV$22:$AX$45,,$AI468), INDEX($AY$22:$BE$45,,$AH468), 1 / ($BG$22:$BG$45*CC468), N($AU$22:$AU$45&gt;$AM468))
) / 1000</f>
        <v>0</v>
      </c>
      <c r="CF468" s="229">
        <f t="shared" si="646"/>
        <v>0</v>
      </c>
      <c r="CG468" s="246"/>
      <c r="CH468" s="229">
        <f t="shared" si="647"/>
        <v>0</v>
      </c>
      <c r="CI468" s="228">
        <v>35</v>
      </c>
      <c r="CJ468" s="229">
        <f t="shared" si="648"/>
        <v>48</v>
      </c>
      <c r="CK468" s="234">
        <f t="shared" si="649"/>
        <v>3.0748170731707316</v>
      </c>
      <c r="CL468" s="234" cm="1">
        <f t="array" ref="CL468">$BM468 * SUMPRODUCT(INDEX($AV$76:$AX$81,,$AI468),INDEX($AY$76:$BE$81,,$AH468), N($AU$76:$AU$81&gt;$AM468)) / CK468 / 1000</f>
        <v>0</v>
      </c>
      <c r="CM468" s="231">
        <f t="shared" si="629"/>
        <v>30</v>
      </c>
      <c r="CN468" s="229">
        <f t="shared" si="650"/>
        <v>43</v>
      </c>
      <c r="CO468" s="234">
        <f t="shared" si="651"/>
        <v>3.5018750000000001</v>
      </c>
      <c r="CP468" s="234" cm="1">
        <f t="array" ref="CP468">$BM468 * IF($AH468&lt;=2,
SUMPRODUCT(INDEX($AV$71:$AX$75,,$AI468), INDEX($AY$71:$BE$75,,$AH468), 1 / ($BF$71:$BF$75*CO468 + (1-$BF$71:$BF$75)*CK468), N($AU$71:$AU$75&gt;$AM468)),
SUMPRODUCT(INDEX($AV$66:$AX$75,,$AI468), INDEX($AY$66:$BE$75,,$AH468), 1 / ($BG$66:$BG$75*CO468 + (1-$BG$66:$BG$75)*CK468), N($AU$66:$AU$75&gt;$AM468))
) / 1000</f>
        <v>0</v>
      </c>
      <c r="CQ468" s="231">
        <f t="shared" si="630"/>
        <v>25</v>
      </c>
      <c r="CR468" s="229">
        <f t="shared" si="652"/>
        <v>38</v>
      </c>
      <c r="CS468" s="234">
        <f t="shared" si="653"/>
        <v>4.0666935483870965</v>
      </c>
      <c r="CT468" s="234" cm="1">
        <f t="array" ref="CT468">$BM468 * IF($AH468&lt;=2,
SUMPRODUCT(INDEX($AV$66:$AX$70,,$AI468), INDEX($AY$66:$BE$70,,$AH468), 1 / ($BF$66:$BF$70*CS468 + (1-$BF$66:$BF$70)*CO468), N($AU$66:$AU$70&gt;$AM468)),
SUMPRODUCT(INDEX($AV$56:$AX$65,,$AI468), INDEX($AY$56:$BE$65,,$AH468), 1 / ($BG$56:$BG$65*CS468 + (1-$BG$56:$BG$65)*CO468), N($AU$56:$AU$65&gt;$AM468))
) / 1000</f>
        <v>0</v>
      </c>
      <c r="CU468" s="231">
        <f t="shared" si="631"/>
        <v>20</v>
      </c>
      <c r="CV468" s="229">
        <f t="shared" si="654"/>
        <v>33</v>
      </c>
      <c r="CW468" s="234">
        <f t="shared" si="655"/>
        <v>4.8487499999999999</v>
      </c>
      <c r="CX468" s="234" cm="1">
        <f t="array" ref="CX468">$BM468 * IF($AH468&lt;=2,
SUMPRODUCT(INDEX($AV$61:$AX$65,,$AI468), INDEX($AY$61:$BE$65,,$AH468), 1 / ($BF$61:$BF$65*CW468 + (1-$BF$61:$BF$65)*CS468), N($AU$61:$AU$65&gt;$AM468)),
SUMPRODUCT(INDEX($AV$46:$AX$55,,$AI468), INDEX($AY$46:$BE$55,,$AH468), 1 / ($BG$46:$BG$55*CW468 + (1-$BG$46:$BG$55)*CS468), N($AU$46:$AU$55&gt;$AM468))
) / 1000</f>
        <v>0</v>
      </c>
      <c r="CY468" s="234" cm="1">
        <f t="array" ref="CY468">$BM468 * IF($AH468&lt;=2,
SUMPRODUCT(INDEX($AV$22:$AX$60,,$AI468), INDEX($AY$22:$BE$60,,$AH468), 1 / ($BF$22:$BF$60*CW468), N($AU$22:$AU$60&gt;$AM468)),
SUMPRODUCT(INDEX($AV$22:$AX$45,,$AI468), INDEX($AY$22:$BE$45,,$AH468), 1 / ($BG$22:$BG$45*CW468), N($AU$22:$AU$45&gt;$AM468))
) / 1000</f>
        <v>0</v>
      </c>
      <c r="CZ468" s="229">
        <f t="shared" si="656"/>
        <v>0</v>
      </c>
      <c r="DA468" s="246"/>
    </row>
    <row r="469" spans="1:105" s="75" customFormat="1" ht="14.25" customHeight="1" x14ac:dyDescent="0.2">
      <c r="A469" s="230" t="b">
        <f t="shared" ref="A469:A532" si="661">IF(OR(AND($L469&gt;80, $AH469=1), AND($L469&gt;40, $AH469=3), AND($L469&gt;30, $AH469=4),), TRUE, FALSE)</f>
        <v>0</v>
      </c>
      <c r="B469" s="253">
        <v>448</v>
      </c>
      <c r="C469" s="266"/>
      <c r="D469" s="266"/>
      <c r="E469" s="254"/>
      <c r="F469" s="255" t="str">
        <f>IF(ISBLANK(E469), "", VLOOKUP(E469, Z!$A$2:$C$4127, 3, FALSE))</f>
        <v/>
      </c>
      <c r="G469" s="256"/>
      <c r="H469" s="256"/>
      <c r="I469" s="256"/>
      <c r="J469" s="257"/>
      <c r="K469" s="258"/>
      <c r="L469" s="267"/>
      <c r="M469" s="268"/>
      <c r="N469" s="259" t="str" cm="1">
        <f t="array" ref="N469">IF($L469&gt;0, INDEX(Clean,1+AK469,$D$1), "")</f>
        <v/>
      </c>
      <c r="O469" s="260"/>
      <c r="P469" s="260"/>
      <c r="Q469" s="261"/>
      <c r="R469" s="264">
        <f t="shared" si="632"/>
        <v>0</v>
      </c>
      <c r="S469" s="259" t="str" cm="1">
        <f t="array" ref="S469">IF($L469&gt;0, INDEX(Clean,1+AL469,$D$1), "")</f>
        <v/>
      </c>
      <c r="T469" s="260"/>
      <c r="U469" s="260"/>
      <c r="V469" s="261"/>
      <c r="W469" s="267"/>
      <c r="X469" s="267"/>
      <c r="Y469" s="257"/>
      <c r="Z469" s="264">
        <f t="shared" si="633"/>
        <v>0</v>
      </c>
      <c r="AA469" s="269"/>
      <c r="AB469" s="266"/>
      <c r="AC469" s="254"/>
      <c r="AD469" s="255" t="str">
        <f>IF(ISBLANK(AC469), "", VLOOKUP(AC469, Z!$A$2:$C$4127, 3, FALSE))</f>
        <v/>
      </c>
      <c r="AE469" s="270"/>
      <c r="AF469" s="265">
        <f t="shared" si="634"/>
        <v>0</v>
      </c>
      <c r="AG469" s="246"/>
      <c r="AH469" s="228">
        <f t="shared" si="657"/>
        <v>1</v>
      </c>
      <c r="AI469" s="228">
        <f t="shared" si="658"/>
        <v>1</v>
      </c>
      <c r="AJ469" s="228">
        <f t="shared" si="659"/>
        <v>0</v>
      </c>
      <c r="AK469" s="228">
        <v>0</v>
      </c>
      <c r="AL469" s="228">
        <v>0</v>
      </c>
      <c r="AM469" s="228">
        <f t="shared" si="635"/>
        <v>-100</v>
      </c>
      <c r="AN469" s="228" cm="1">
        <f t="array" ref="AN469">IF(ISBLANK(G469), 1, IFERROR(MATCH(G469, INDEX(Kat,,1), 0), IFERROR(MATCH(Kat, INDEX(Use,,2), 0), MATCH(Kat, INDEX(Use,,3), 0))))</f>
        <v>1</v>
      </c>
      <c r="AO469" s="246"/>
      <c r="AP469" s="228" cm="1">
        <f t="array" ref="AP469">IF(W469&gt;0, INDEX(Kat, AN469,4), 0)</f>
        <v>0</v>
      </c>
      <c r="AQ469" s="228">
        <f t="shared" si="660"/>
        <v>0</v>
      </c>
      <c r="AR469" s="228" cm="1">
        <f t="array" ref="AR469">IF(X469&gt;0, INDEX(Kat, $AN469, 4+AQ469), 0)</f>
        <v>0</v>
      </c>
      <c r="AS469" s="228" cm="1">
        <f t="array" ref="AS469">IF(X469&gt;0, INDEX(Kat, $AN469, 9+AQ469), 0)</f>
        <v>0</v>
      </c>
      <c r="AT469" s="246"/>
      <c r="AU469" s="262"/>
      <c r="AV469" s="262"/>
      <c r="AW469" s="263"/>
      <c r="AX469" s="263"/>
      <c r="AY469" s="263"/>
      <c r="AZ469" s="263"/>
      <c r="BA469" s="263"/>
      <c r="BB469" s="263"/>
      <c r="BC469" s="263"/>
      <c r="BD469" s="263"/>
      <c r="BE469" s="263"/>
      <c r="BF469" s="263"/>
      <c r="BG469" s="263"/>
      <c r="BH469" s="246"/>
      <c r="BI469" s="228" cm="1">
        <f t="array" ref="BI469">INDEX(Use, $AH469, 4)</f>
        <v>7</v>
      </c>
      <c r="BJ469" s="228">
        <f t="shared" si="636"/>
        <v>32</v>
      </c>
      <c r="BK469" s="228">
        <f t="shared" si="624"/>
        <v>13</v>
      </c>
      <c r="BL469" s="228">
        <f t="shared" si="625"/>
        <v>0</v>
      </c>
      <c r="BM469" s="233" cm="1">
        <f t="array" ref="BM469">L469/IF($M469&gt;0, INDEX($AY$22:$BE$76, $M469+20, $AH469), 1)</f>
        <v>0</v>
      </c>
      <c r="BN469" s="229">
        <f t="shared" si="637"/>
        <v>0</v>
      </c>
      <c r="BO469" s="228">
        <v>35</v>
      </c>
      <c r="BP469" s="229">
        <f t="shared" si="638"/>
        <v>48</v>
      </c>
      <c r="BQ469" s="234">
        <f t="shared" si="639"/>
        <v>3.0748170731707316</v>
      </c>
      <c r="BR469" s="234" cm="1">
        <f t="array" ref="BR469">$BM469 * SUMPRODUCT(INDEX($AV$76:$AX$81,,$AI469),INDEX($AY$76:$BE$81,,$AH469), N($AU$76:$AU$81&gt;$AM469)) / BQ469 / 1000</f>
        <v>0</v>
      </c>
      <c r="BS469" s="231">
        <f t="shared" si="626"/>
        <v>30</v>
      </c>
      <c r="BT469" s="229">
        <f t="shared" si="640"/>
        <v>43</v>
      </c>
      <c r="BU469" s="234">
        <f t="shared" si="641"/>
        <v>3.5018750000000001</v>
      </c>
      <c r="BV469" s="234" cm="1">
        <f t="array" ref="BV469">$BM469 * IF($AH469&lt;=2,
SUMPRODUCT(INDEX($AV$71:$AX$75,,$AI469), INDEX($AY$71:$BE$75,,$AH469), 1 / ($BF$71:$BF$75*BU469 + (1-$BF$71:$BF$75)*BQ469), N($AU$71:$AU$75&gt;$AM469)),
SUMPRODUCT(INDEX($AV$66:$AX$75,,$AI469), INDEX($AY$66:$BE$75,,$AH469), 1 / ($BG$66:$BG$75*BU469 + (1-$BG$66:$BG$75)*BQ469), N($AU$66:$AU$75&gt;$AM469))
) / 1000</f>
        <v>0</v>
      </c>
      <c r="BW469" s="231">
        <f t="shared" si="627"/>
        <v>25</v>
      </c>
      <c r="BX469" s="229">
        <f t="shared" si="642"/>
        <v>38</v>
      </c>
      <c r="BY469" s="234">
        <f t="shared" si="643"/>
        <v>4.0666935483870965</v>
      </c>
      <c r="BZ469" s="234" cm="1">
        <f t="array" ref="BZ469">$BM469 * IF($AH469&lt;=2,
SUMPRODUCT(INDEX($AV$66:$AX$70,,$AI469), INDEX($AY$66:$BE$70,,$AH469), 1 / ($BF$66:$BF$70*BY469 + (1-$BF$66:$BF$70)*BU469), N($AU$66:$AU$70&gt;$AM469)),
SUMPRODUCT(INDEX($AV$56:$AX$65,,$AI469), INDEX($AY$56:$BE$65,,$AH469), 1 / ($BG$56:$BG$65*BY469 + (1-$BG$56:$BG$65)*BU469), N($AU$56:$AU$65&gt;$AM469))
) / 1000</f>
        <v>0</v>
      </c>
      <c r="CA469" s="231">
        <f t="shared" si="628"/>
        <v>20</v>
      </c>
      <c r="CB469" s="229">
        <f t="shared" si="644"/>
        <v>33</v>
      </c>
      <c r="CC469" s="234">
        <f t="shared" si="645"/>
        <v>4.8487499999999999</v>
      </c>
      <c r="CD469" s="234" cm="1">
        <f t="array" ref="CD469">$BM469 * IF($AH469&lt;=2,
SUMPRODUCT(INDEX($AV$61:$AX$65,,$AI469), INDEX($AY$61:$BE$65,,$AH469), 1 / ($BF$61:$BF$65*CC469 + (1-$BF$61:$BF$65)*BY469), N($AU$61:$AU$65&gt;$AM469)),
SUMPRODUCT(INDEX($AV$46:$AX$55,,$AI469), INDEX($AY$46:$BE$55,,$AH469), 1 / ($BG$46:$BG$55*CC469 + (1-$BG$46:$BG$55)*BY469), N($AU$46:$AU$55&gt;$AM469))
) / 1000</f>
        <v>0</v>
      </c>
      <c r="CE469" s="234" cm="1">
        <f t="array" ref="CE469">$BM469 * IF($AH469&lt;=2,
SUMPRODUCT(INDEX($AV$22:$AX$60,,$AI469), INDEX($AY$22:$BE$60,,$AH469), 1 / ($BF$22:$BF$60*CC469), N($AU$22:$AU$60&gt;$AM469)),
SUMPRODUCT(INDEX($AV$22:$AX$45,,$AI469), INDEX($AY$22:$BE$45,,$AH469), 1 / ($BG$22:$BG$45*CC469), N($AU$22:$AU$45&gt;$AM469))
) / 1000</f>
        <v>0</v>
      </c>
      <c r="CF469" s="229">
        <f t="shared" si="646"/>
        <v>0</v>
      </c>
      <c r="CG469" s="246"/>
      <c r="CH469" s="229">
        <f t="shared" si="647"/>
        <v>0</v>
      </c>
      <c r="CI469" s="228">
        <v>35</v>
      </c>
      <c r="CJ469" s="229">
        <f t="shared" si="648"/>
        <v>48</v>
      </c>
      <c r="CK469" s="234">
        <f t="shared" si="649"/>
        <v>3.0748170731707316</v>
      </c>
      <c r="CL469" s="234" cm="1">
        <f t="array" ref="CL469">$BM469 * SUMPRODUCT(INDEX($AV$76:$AX$81,,$AI469),INDEX($AY$76:$BE$81,,$AH469), N($AU$76:$AU$81&gt;$AM469)) / CK469 / 1000</f>
        <v>0</v>
      </c>
      <c r="CM469" s="231">
        <f t="shared" si="629"/>
        <v>30</v>
      </c>
      <c r="CN469" s="229">
        <f t="shared" si="650"/>
        <v>43</v>
      </c>
      <c r="CO469" s="234">
        <f t="shared" si="651"/>
        <v>3.5018750000000001</v>
      </c>
      <c r="CP469" s="234" cm="1">
        <f t="array" ref="CP469">$BM469 * IF($AH469&lt;=2,
SUMPRODUCT(INDEX($AV$71:$AX$75,,$AI469), INDEX($AY$71:$BE$75,,$AH469), 1 / ($BF$71:$BF$75*CO469 + (1-$BF$71:$BF$75)*CK469), N($AU$71:$AU$75&gt;$AM469)),
SUMPRODUCT(INDEX($AV$66:$AX$75,,$AI469), INDEX($AY$66:$BE$75,,$AH469), 1 / ($BG$66:$BG$75*CO469 + (1-$BG$66:$BG$75)*CK469), N($AU$66:$AU$75&gt;$AM469))
) / 1000</f>
        <v>0</v>
      </c>
      <c r="CQ469" s="231">
        <f t="shared" si="630"/>
        <v>25</v>
      </c>
      <c r="CR469" s="229">
        <f t="shared" si="652"/>
        <v>38</v>
      </c>
      <c r="CS469" s="234">
        <f t="shared" si="653"/>
        <v>4.0666935483870965</v>
      </c>
      <c r="CT469" s="234" cm="1">
        <f t="array" ref="CT469">$BM469 * IF($AH469&lt;=2,
SUMPRODUCT(INDEX($AV$66:$AX$70,,$AI469), INDEX($AY$66:$BE$70,,$AH469), 1 / ($BF$66:$BF$70*CS469 + (1-$BF$66:$BF$70)*CO469), N($AU$66:$AU$70&gt;$AM469)),
SUMPRODUCT(INDEX($AV$56:$AX$65,,$AI469), INDEX($AY$56:$BE$65,,$AH469), 1 / ($BG$56:$BG$65*CS469 + (1-$BG$56:$BG$65)*CO469), N($AU$56:$AU$65&gt;$AM469))
) / 1000</f>
        <v>0</v>
      </c>
      <c r="CU469" s="231">
        <f t="shared" si="631"/>
        <v>20</v>
      </c>
      <c r="CV469" s="229">
        <f t="shared" si="654"/>
        <v>33</v>
      </c>
      <c r="CW469" s="234">
        <f t="shared" si="655"/>
        <v>4.8487499999999999</v>
      </c>
      <c r="CX469" s="234" cm="1">
        <f t="array" ref="CX469">$BM469 * IF($AH469&lt;=2,
SUMPRODUCT(INDEX($AV$61:$AX$65,,$AI469), INDEX($AY$61:$BE$65,,$AH469), 1 / ($BF$61:$BF$65*CW469 + (1-$BF$61:$BF$65)*CS469), N($AU$61:$AU$65&gt;$AM469)),
SUMPRODUCT(INDEX($AV$46:$AX$55,,$AI469), INDEX($AY$46:$BE$55,,$AH469), 1 / ($BG$46:$BG$55*CW469 + (1-$BG$46:$BG$55)*CS469), N($AU$46:$AU$55&gt;$AM469))
) / 1000</f>
        <v>0</v>
      </c>
      <c r="CY469" s="234" cm="1">
        <f t="array" ref="CY469">$BM469 * IF($AH469&lt;=2,
SUMPRODUCT(INDEX($AV$22:$AX$60,,$AI469), INDEX($AY$22:$BE$60,,$AH469), 1 / ($BF$22:$BF$60*CW469), N($AU$22:$AU$60&gt;$AM469)),
SUMPRODUCT(INDEX($AV$22:$AX$45,,$AI469), INDEX($AY$22:$BE$45,,$AH469), 1 / ($BG$22:$BG$45*CW469), N($AU$22:$AU$45&gt;$AM469))
) / 1000</f>
        <v>0</v>
      </c>
      <c r="CZ469" s="229">
        <f t="shared" si="656"/>
        <v>0</v>
      </c>
      <c r="DA469" s="246"/>
    </row>
    <row r="470" spans="1:105" s="75" customFormat="1" ht="14.25" customHeight="1" x14ac:dyDescent="0.2">
      <c r="A470" s="230" t="b">
        <f t="shared" si="661"/>
        <v>0</v>
      </c>
      <c r="B470" s="253">
        <v>449</v>
      </c>
      <c r="C470" s="266"/>
      <c r="D470" s="266"/>
      <c r="E470" s="254"/>
      <c r="F470" s="255" t="str">
        <f>IF(ISBLANK(E470), "", VLOOKUP(E470, Z!$A$2:$C$4127, 3, FALSE))</f>
        <v/>
      </c>
      <c r="G470" s="256"/>
      <c r="H470" s="256"/>
      <c r="I470" s="256"/>
      <c r="J470" s="257"/>
      <c r="K470" s="258"/>
      <c r="L470" s="267"/>
      <c r="M470" s="268"/>
      <c r="N470" s="259" t="str" cm="1">
        <f t="array" ref="N470">IF($L470&gt;0, INDEX(Clean,1+AK470,$D$1), "")</f>
        <v/>
      </c>
      <c r="O470" s="260"/>
      <c r="P470" s="260"/>
      <c r="Q470" s="261"/>
      <c r="R470" s="264">
        <f t="shared" si="632"/>
        <v>0</v>
      </c>
      <c r="S470" s="259" t="str" cm="1">
        <f t="array" ref="S470">IF($L470&gt;0, INDEX(Clean,1+AL470,$D$1), "")</f>
        <v/>
      </c>
      <c r="T470" s="260"/>
      <c r="U470" s="260"/>
      <c r="V470" s="261"/>
      <c r="W470" s="267"/>
      <c r="X470" s="267"/>
      <c r="Y470" s="257"/>
      <c r="Z470" s="264">
        <f t="shared" si="633"/>
        <v>0</v>
      </c>
      <c r="AA470" s="269"/>
      <c r="AB470" s="266"/>
      <c r="AC470" s="254"/>
      <c r="AD470" s="255" t="str">
        <f>IF(ISBLANK(AC470), "", VLOOKUP(AC470, Z!$A$2:$C$4127, 3, FALSE))</f>
        <v/>
      </c>
      <c r="AE470" s="270"/>
      <c r="AF470" s="265">
        <f t="shared" si="634"/>
        <v>0</v>
      </c>
      <c r="AG470" s="246"/>
      <c r="AH470" s="228">
        <f t="shared" si="657"/>
        <v>1</v>
      </c>
      <c r="AI470" s="228">
        <f t="shared" si="658"/>
        <v>1</v>
      </c>
      <c r="AJ470" s="228">
        <f t="shared" si="659"/>
        <v>0</v>
      </c>
      <c r="AK470" s="228">
        <v>0</v>
      </c>
      <c r="AL470" s="228">
        <v>0</v>
      </c>
      <c r="AM470" s="228">
        <f t="shared" si="635"/>
        <v>-100</v>
      </c>
      <c r="AN470" s="228" cm="1">
        <f t="array" ref="AN470">IF(ISBLANK(G470), 1, IFERROR(MATCH(G470, INDEX(Kat,,1), 0), IFERROR(MATCH(Kat, INDEX(Use,,2), 0), MATCH(Kat, INDEX(Use,,3), 0))))</f>
        <v>1</v>
      </c>
      <c r="AO470" s="246"/>
      <c r="AP470" s="228" cm="1">
        <f t="array" ref="AP470">IF(W470&gt;0, INDEX(Kat, AN470,4), 0)</f>
        <v>0</v>
      </c>
      <c r="AQ470" s="228">
        <f t="shared" si="660"/>
        <v>0</v>
      </c>
      <c r="AR470" s="228" cm="1">
        <f t="array" ref="AR470">IF(X470&gt;0, INDEX(Kat, $AN470, 4+AQ470), 0)</f>
        <v>0</v>
      </c>
      <c r="AS470" s="228" cm="1">
        <f t="array" ref="AS470">IF(X470&gt;0, INDEX(Kat, $AN470, 9+AQ470), 0)</f>
        <v>0</v>
      </c>
      <c r="AT470" s="246"/>
      <c r="AU470" s="262"/>
      <c r="AV470" s="262"/>
      <c r="AW470" s="263"/>
      <c r="AX470" s="263"/>
      <c r="AY470" s="263"/>
      <c r="AZ470" s="263"/>
      <c r="BA470" s="263"/>
      <c r="BB470" s="263"/>
      <c r="BC470" s="263"/>
      <c r="BD470" s="263"/>
      <c r="BE470" s="263"/>
      <c r="BF470" s="263"/>
      <c r="BG470" s="263"/>
      <c r="BH470" s="246"/>
      <c r="BI470" s="228" cm="1">
        <f t="array" ref="BI470">INDEX(Use, $AH470, 4)</f>
        <v>7</v>
      </c>
      <c r="BJ470" s="228">
        <f t="shared" si="636"/>
        <v>32</v>
      </c>
      <c r="BK470" s="228">
        <f t="shared" ref="BK470:BK533" si="662">IF($AJ470=1, 6, IF($AH470=4, 10, 13))</f>
        <v>13</v>
      </c>
      <c r="BL470" s="228">
        <f t="shared" ref="BL470:BL533" si="663">IF($AJ470=1, 9, 0)</f>
        <v>0</v>
      </c>
      <c r="BM470" s="233" cm="1">
        <f t="array" ref="BM470">L470/IF($M470&gt;0, INDEX($AY$22:$BE$76, $M470+20, $AH470), 1)</f>
        <v>0</v>
      </c>
      <c r="BN470" s="229">
        <f t="shared" si="637"/>
        <v>0</v>
      </c>
      <c r="BO470" s="228">
        <v>35</v>
      </c>
      <c r="BP470" s="229">
        <f t="shared" si="638"/>
        <v>48</v>
      </c>
      <c r="BQ470" s="234">
        <f t="shared" si="639"/>
        <v>3.0748170731707316</v>
      </c>
      <c r="BR470" s="234" cm="1">
        <f t="array" ref="BR470">$BM470 * SUMPRODUCT(INDEX($AV$76:$AX$81,,$AI470),INDEX($AY$76:$BE$81,,$AH470), N($AU$76:$AU$81&gt;$AM470)) / BQ470 / 1000</f>
        <v>0</v>
      </c>
      <c r="BS470" s="231">
        <f t="shared" ref="BS470:BS533" si="664">IF($AH470&lt;=2, 30, 25)</f>
        <v>30</v>
      </c>
      <c r="BT470" s="229">
        <f t="shared" si="640"/>
        <v>43</v>
      </c>
      <c r="BU470" s="234">
        <f t="shared" si="641"/>
        <v>3.5018750000000001</v>
      </c>
      <c r="BV470" s="234" cm="1">
        <f t="array" ref="BV470">$BM470 * IF($AH470&lt;=2,
SUMPRODUCT(INDEX($AV$71:$AX$75,,$AI470), INDEX($AY$71:$BE$75,,$AH470), 1 / ($BF$71:$BF$75*BU470 + (1-$BF$71:$BF$75)*BQ470), N($AU$71:$AU$75&gt;$AM470)),
SUMPRODUCT(INDEX($AV$66:$AX$75,,$AI470), INDEX($AY$66:$BE$75,,$AH470), 1 / ($BG$66:$BG$75*BU470 + (1-$BG$66:$BG$75)*BQ470), N($AU$66:$AU$75&gt;$AM470))
) / 1000</f>
        <v>0</v>
      </c>
      <c r="BW470" s="231">
        <f t="shared" ref="BW470:BW533" si="665">IF($AH470&lt;=2, 25, 15)</f>
        <v>25</v>
      </c>
      <c r="BX470" s="229">
        <f t="shared" si="642"/>
        <v>38</v>
      </c>
      <c r="BY470" s="234">
        <f t="shared" si="643"/>
        <v>4.0666935483870965</v>
      </c>
      <c r="BZ470" s="234" cm="1">
        <f t="array" ref="BZ470">$BM470 * IF($AH470&lt;=2,
SUMPRODUCT(INDEX($AV$66:$AX$70,,$AI470), INDEX($AY$66:$BE$70,,$AH470), 1 / ($BF$66:$BF$70*BY470 + (1-$BF$66:$BF$70)*BU470), N($AU$66:$AU$70&gt;$AM470)),
SUMPRODUCT(INDEX($AV$56:$AX$65,,$AI470), INDEX($AY$56:$BE$65,,$AH470), 1 / ($BG$56:$BG$65*BY470 + (1-$BG$56:$BG$65)*BU470), N($AU$56:$AU$65&gt;$AM470))
) / 1000</f>
        <v>0</v>
      </c>
      <c r="CA470" s="231">
        <f t="shared" ref="CA470:CA533" si="666">IF($AH470&lt;=2, 20, 5)</f>
        <v>20</v>
      </c>
      <c r="CB470" s="229">
        <f t="shared" si="644"/>
        <v>33</v>
      </c>
      <c r="CC470" s="234">
        <f t="shared" si="645"/>
        <v>4.8487499999999999</v>
      </c>
      <c r="CD470" s="234" cm="1">
        <f t="array" ref="CD470">$BM470 * IF($AH470&lt;=2,
SUMPRODUCT(INDEX($AV$61:$AX$65,,$AI470), INDEX($AY$61:$BE$65,,$AH470), 1 / ($BF$61:$BF$65*CC470 + (1-$BF$61:$BF$65)*BY470), N($AU$61:$AU$65&gt;$AM470)),
SUMPRODUCT(INDEX($AV$46:$AX$55,,$AI470), INDEX($AY$46:$BE$55,,$AH470), 1 / ($BG$46:$BG$55*CC470 + (1-$BG$46:$BG$55)*BY470), N($AU$46:$AU$55&gt;$AM470))
) / 1000</f>
        <v>0</v>
      </c>
      <c r="CE470" s="234" cm="1">
        <f t="array" ref="CE470">$BM470 * IF($AH470&lt;=2,
SUMPRODUCT(INDEX($AV$22:$AX$60,,$AI470), INDEX($AY$22:$BE$60,,$AH470), 1 / ($BF$22:$BF$60*CC470), N($AU$22:$AU$60&gt;$AM470)),
SUMPRODUCT(INDEX($AV$22:$AX$45,,$AI470), INDEX($AY$22:$BE$45,,$AH470), 1 / ($BG$22:$BG$45*CC470), N($AU$22:$AU$45&gt;$AM470))
) / 1000</f>
        <v>0</v>
      </c>
      <c r="CF470" s="229">
        <f t="shared" si="646"/>
        <v>0</v>
      </c>
      <c r="CG470" s="246"/>
      <c r="CH470" s="229">
        <f t="shared" si="647"/>
        <v>0</v>
      </c>
      <c r="CI470" s="228">
        <v>35</v>
      </c>
      <c r="CJ470" s="229">
        <f t="shared" si="648"/>
        <v>48</v>
      </c>
      <c r="CK470" s="234">
        <f t="shared" si="649"/>
        <v>3.0748170731707316</v>
      </c>
      <c r="CL470" s="234" cm="1">
        <f t="array" ref="CL470">$BM470 * SUMPRODUCT(INDEX($AV$76:$AX$81,,$AI470),INDEX($AY$76:$BE$81,,$AH470), N($AU$76:$AU$81&gt;$AM470)) / CK470 / 1000</f>
        <v>0</v>
      </c>
      <c r="CM470" s="231">
        <f t="shared" ref="CM470:CM533" si="667">IF($AH470&lt;=2, 30, 25)</f>
        <v>30</v>
      </c>
      <c r="CN470" s="229">
        <f t="shared" si="650"/>
        <v>43</v>
      </c>
      <c r="CO470" s="234">
        <f t="shared" si="651"/>
        <v>3.5018750000000001</v>
      </c>
      <c r="CP470" s="234" cm="1">
        <f t="array" ref="CP470">$BM470 * IF($AH470&lt;=2,
SUMPRODUCT(INDEX($AV$71:$AX$75,,$AI470), INDEX($AY$71:$BE$75,,$AH470), 1 / ($BF$71:$BF$75*CO470 + (1-$BF$71:$BF$75)*CK470), N($AU$71:$AU$75&gt;$AM470)),
SUMPRODUCT(INDEX($AV$66:$AX$75,,$AI470), INDEX($AY$66:$BE$75,,$AH470), 1 / ($BG$66:$BG$75*CO470 + (1-$BG$66:$BG$75)*CK470), N($AU$66:$AU$75&gt;$AM470))
) / 1000</f>
        <v>0</v>
      </c>
      <c r="CQ470" s="231">
        <f t="shared" ref="CQ470:CQ533" si="668">IF($AH470&lt;=2, 25, 15)</f>
        <v>25</v>
      </c>
      <c r="CR470" s="229">
        <f t="shared" si="652"/>
        <v>38</v>
      </c>
      <c r="CS470" s="234">
        <f t="shared" si="653"/>
        <v>4.0666935483870965</v>
      </c>
      <c r="CT470" s="234" cm="1">
        <f t="array" ref="CT470">$BM470 * IF($AH470&lt;=2,
SUMPRODUCT(INDEX($AV$66:$AX$70,,$AI470), INDEX($AY$66:$BE$70,,$AH470), 1 / ($BF$66:$BF$70*CS470 + (1-$BF$66:$BF$70)*CO470), N($AU$66:$AU$70&gt;$AM470)),
SUMPRODUCT(INDEX($AV$56:$AX$65,,$AI470), INDEX($AY$56:$BE$65,,$AH470), 1 / ($BG$56:$BG$65*CS470 + (1-$BG$56:$BG$65)*CO470), N($AU$56:$AU$65&gt;$AM470))
) / 1000</f>
        <v>0</v>
      </c>
      <c r="CU470" s="231">
        <f t="shared" ref="CU470:CU533" si="669">IF($AH470&lt;=2, 20, 5)</f>
        <v>20</v>
      </c>
      <c r="CV470" s="229">
        <f t="shared" si="654"/>
        <v>33</v>
      </c>
      <c r="CW470" s="234">
        <f t="shared" si="655"/>
        <v>4.8487499999999999</v>
      </c>
      <c r="CX470" s="234" cm="1">
        <f t="array" ref="CX470">$BM470 * IF($AH470&lt;=2,
SUMPRODUCT(INDEX($AV$61:$AX$65,,$AI470), INDEX($AY$61:$BE$65,,$AH470), 1 / ($BF$61:$BF$65*CW470 + (1-$BF$61:$BF$65)*CS470), N($AU$61:$AU$65&gt;$AM470)),
SUMPRODUCT(INDEX($AV$46:$AX$55,,$AI470), INDEX($AY$46:$BE$55,,$AH470), 1 / ($BG$46:$BG$55*CW470 + (1-$BG$46:$BG$55)*CS470), N($AU$46:$AU$55&gt;$AM470))
) / 1000</f>
        <v>0</v>
      </c>
      <c r="CY470" s="234" cm="1">
        <f t="array" ref="CY470">$BM470 * IF($AH470&lt;=2,
SUMPRODUCT(INDEX($AV$22:$AX$60,,$AI470), INDEX($AY$22:$BE$60,,$AH470), 1 / ($BF$22:$BF$60*CW470), N($AU$22:$AU$60&gt;$AM470)),
SUMPRODUCT(INDEX($AV$22:$AX$45,,$AI470), INDEX($AY$22:$BE$45,,$AH470), 1 / ($BG$22:$BG$45*CW470), N($AU$22:$AU$45&gt;$AM470))
) / 1000</f>
        <v>0</v>
      </c>
      <c r="CZ470" s="229">
        <f t="shared" si="656"/>
        <v>0</v>
      </c>
      <c r="DA470" s="246"/>
    </row>
    <row r="471" spans="1:105" s="75" customFormat="1" ht="14.25" customHeight="1" x14ac:dyDescent="0.2">
      <c r="A471" s="230" t="b">
        <f t="shared" si="661"/>
        <v>0</v>
      </c>
      <c r="B471" s="253">
        <v>450</v>
      </c>
      <c r="C471" s="266"/>
      <c r="D471" s="266"/>
      <c r="E471" s="254"/>
      <c r="F471" s="255" t="str">
        <f>IF(ISBLANK(E471), "", VLOOKUP(E471, Z!$A$2:$C$4127, 3, FALSE))</f>
        <v/>
      </c>
      <c r="G471" s="256"/>
      <c r="H471" s="256"/>
      <c r="I471" s="256"/>
      <c r="J471" s="257"/>
      <c r="K471" s="258"/>
      <c r="L471" s="267"/>
      <c r="M471" s="268"/>
      <c r="N471" s="259" t="str" cm="1">
        <f t="array" ref="N471">IF($L471&gt;0, INDEX(Clean,1+AK471,$D$1), "")</f>
        <v/>
      </c>
      <c r="O471" s="260"/>
      <c r="P471" s="260"/>
      <c r="Q471" s="261"/>
      <c r="R471" s="264">
        <f t="shared" si="632"/>
        <v>0</v>
      </c>
      <c r="S471" s="259" t="str" cm="1">
        <f t="array" ref="S471">IF($L471&gt;0, INDEX(Clean,1+AL471,$D$1), "")</f>
        <v/>
      </c>
      <c r="T471" s="260"/>
      <c r="U471" s="260"/>
      <c r="V471" s="261"/>
      <c r="W471" s="267"/>
      <c r="X471" s="267"/>
      <c r="Y471" s="257"/>
      <c r="Z471" s="264">
        <f t="shared" si="633"/>
        <v>0</v>
      </c>
      <c r="AA471" s="269"/>
      <c r="AB471" s="266"/>
      <c r="AC471" s="254"/>
      <c r="AD471" s="255" t="str">
        <f>IF(ISBLANK(AC471), "", VLOOKUP(AC471, Z!$A$2:$C$4127, 3, FALSE))</f>
        <v/>
      </c>
      <c r="AE471" s="270"/>
      <c r="AF471" s="265">
        <f t="shared" si="634"/>
        <v>0</v>
      </c>
      <c r="AG471" s="246"/>
      <c r="AH471" s="228">
        <f t="shared" si="657"/>
        <v>1</v>
      </c>
      <c r="AI471" s="228">
        <f t="shared" si="658"/>
        <v>1</v>
      </c>
      <c r="AJ471" s="228">
        <f t="shared" si="659"/>
        <v>0</v>
      </c>
      <c r="AK471" s="228">
        <v>0</v>
      </c>
      <c r="AL471" s="228">
        <v>0</v>
      </c>
      <c r="AM471" s="228">
        <f t="shared" si="635"/>
        <v>-100</v>
      </c>
      <c r="AN471" s="228" cm="1">
        <f t="array" ref="AN471">IF(ISBLANK(G471), 1, IFERROR(MATCH(G471, INDEX(Kat,,1), 0), IFERROR(MATCH(Kat, INDEX(Use,,2), 0), MATCH(Kat, INDEX(Use,,3), 0))))</f>
        <v>1</v>
      </c>
      <c r="AO471" s="246"/>
      <c r="AP471" s="228" cm="1">
        <f t="array" ref="AP471">IF(W471&gt;0, INDEX(Kat, AN471,4), 0)</f>
        <v>0</v>
      </c>
      <c r="AQ471" s="228">
        <f t="shared" si="660"/>
        <v>0</v>
      </c>
      <c r="AR471" s="228" cm="1">
        <f t="array" ref="AR471">IF(X471&gt;0, INDEX(Kat, $AN471, 4+AQ471), 0)</f>
        <v>0</v>
      </c>
      <c r="AS471" s="228" cm="1">
        <f t="array" ref="AS471">IF(X471&gt;0, INDEX(Kat, $AN471, 9+AQ471), 0)</f>
        <v>0</v>
      </c>
      <c r="AT471" s="246"/>
      <c r="AU471" s="262"/>
      <c r="AV471" s="262"/>
      <c r="AW471" s="263"/>
      <c r="AX471" s="263"/>
      <c r="AY471" s="263"/>
      <c r="AZ471" s="263"/>
      <c r="BA471" s="263"/>
      <c r="BB471" s="263"/>
      <c r="BC471" s="263"/>
      <c r="BD471" s="263"/>
      <c r="BE471" s="263"/>
      <c r="BF471" s="263"/>
      <c r="BG471" s="263"/>
      <c r="BH471" s="246"/>
      <c r="BI471" s="228" cm="1">
        <f t="array" ref="BI471">INDEX(Use, $AH471, 4)</f>
        <v>7</v>
      </c>
      <c r="BJ471" s="228">
        <f t="shared" si="636"/>
        <v>32</v>
      </c>
      <c r="BK471" s="228">
        <f t="shared" si="662"/>
        <v>13</v>
      </c>
      <c r="BL471" s="228">
        <f t="shared" si="663"/>
        <v>0</v>
      </c>
      <c r="BM471" s="233" cm="1">
        <f t="array" ref="BM471">L471/IF($M471&gt;0, INDEX($AY$22:$BE$76, $M471+20, $AH471), 1)</f>
        <v>0</v>
      </c>
      <c r="BN471" s="229">
        <f t="shared" si="637"/>
        <v>0</v>
      </c>
      <c r="BO471" s="228">
        <v>35</v>
      </c>
      <c r="BP471" s="229">
        <f t="shared" si="638"/>
        <v>48</v>
      </c>
      <c r="BQ471" s="234">
        <f t="shared" si="639"/>
        <v>3.0748170731707316</v>
      </c>
      <c r="BR471" s="234" cm="1">
        <f t="array" ref="BR471">$BM471 * SUMPRODUCT(INDEX($AV$76:$AX$81,,$AI471),INDEX($AY$76:$BE$81,,$AH471), N($AU$76:$AU$81&gt;$AM471)) / BQ471 / 1000</f>
        <v>0</v>
      </c>
      <c r="BS471" s="231">
        <f t="shared" si="664"/>
        <v>30</v>
      </c>
      <c r="BT471" s="229">
        <f t="shared" si="640"/>
        <v>43</v>
      </c>
      <c r="BU471" s="234">
        <f t="shared" si="641"/>
        <v>3.5018750000000001</v>
      </c>
      <c r="BV471" s="234" cm="1">
        <f t="array" ref="BV471">$BM471 * IF($AH471&lt;=2,
SUMPRODUCT(INDEX($AV$71:$AX$75,,$AI471), INDEX($AY$71:$BE$75,,$AH471), 1 / ($BF$71:$BF$75*BU471 + (1-$BF$71:$BF$75)*BQ471), N($AU$71:$AU$75&gt;$AM471)),
SUMPRODUCT(INDEX($AV$66:$AX$75,,$AI471), INDEX($AY$66:$BE$75,,$AH471), 1 / ($BG$66:$BG$75*BU471 + (1-$BG$66:$BG$75)*BQ471), N($AU$66:$AU$75&gt;$AM471))
) / 1000</f>
        <v>0</v>
      </c>
      <c r="BW471" s="231">
        <f t="shared" si="665"/>
        <v>25</v>
      </c>
      <c r="BX471" s="229">
        <f t="shared" si="642"/>
        <v>38</v>
      </c>
      <c r="BY471" s="234">
        <f t="shared" si="643"/>
        <v>4.0666935483870965</v>
      </c>
      <c r="BZ471" s="234" cm="1">
        <f t="array" ref="BZ471">$BM471 * IF($AH471&lt;=2,
SUMPRODUCT(INDEX($AV$66:$AX$70,,$AI471), INDEX($AY$66:$BE$70,,$AH471), 1 / ($BF$66:$BF$70*BY471 + (1-$BF$66:$BF$70)*BU471), N($AU$66:$AU$70&gt;$AM471)),
SUMPRODUCT(INDEX($AV$56:$AX$65,,$AI471), INDEX($AY$56:$BE$65,,$AH471), 1 / ($BG$56:$BG$65*BY471 + (1-$BG$56:$BG$65)*BU471), N($AU$56:$AU$65&gt;$AM471))
) / 1000</f>
        <v>0</v>
      </c>
      <c r="CA471" s="231">
        <f t="shared" si="666"/>
        <v>20</v>
      </c>
      <c r="CB471" s="229">
        <f t="shared" si="644"/>
        <v>33</v>
      </c>
      <c r="CC471" s="234">
        <f t="shared" si="645"/>
        <v>4.8487499999999999</v>
      </c>
      <c r="CD471" s="234" cm="1">
        <f t="array" ref="CD471">$BM471 * IF($AH471&lt;=2,
SUMPRODUCT(INDEX($AV$61:$AX$65,,$AI471), INDEX($AY$61:$BE$65,,$AH471), 1 / ($BF$61:$BF$65*CC471 + (1-$BF$61:$BF$65)*BY471), N($AU$61:$AU$65&gt;$AM471)),
SUMPRODUCT(INDEX($AV$46:$AX$55,,$AI471), INDEX($AY$46:$BE$55,,$AH471), 1 / ($BG$46:$BG$55*CC471 + (1-$BG$46:$BG$55)*BY471), N($AU$46:$AU$55&gt;$AM471))
) / 1000</f>
        <v>0</v>
      </c>
      <c r="CE471" s="234" cm="1">
        <f t="array" ref="CE471">$BM471 * IF($AH471&lt;=2,
SUMPRODUCT(INDEX($AV$22:$AX$60,,$AI471), INDEX($AY$22:$BE$60,,$AH471), 1 / ($BF$22:$BF$60*CC471), N($AU$22:$AU$60&gt;$AM471)),
SUMPRODUCT(INDEX($AV$22:$AX$45,,$AI471), INDEX($AY$22:$BE$45,,$AH471), 1 / ($BG$22:$BG$45*CC471), N($AU$22:$AU$45&gt;$AM471))
) / 1000</f>
        <v>0</v>
      </c>
      <c r="CF471" s="229">
        <f t="shared" si="646"/>
        <v>0</v>
      </c>
      <c r="CG471" s="246"/>
      <c r="CH471" s="229">
        <f t="shared" si="647"/>
        <v>0</v>
      </c>
      <c r="CI471" s="228">
        <v>35</v>
      </c>
      <c r="CJ471" s="229">
        <f t="shared" si="648"/>
        <v>48</v>
      </c>
      <c r="CK471" s="234">
        <f t="shared" si="649"/>
        <v>3.0748170731707316</v>
      </c>
      <c r="CL471" s="234" cm="1">
        <f t="array" ref="CL471">$BM471 * SUMPRODUCT(INDEX($AV$76:$AX$81,,$AI471),INDEX($AY$76:$BE$81,,$AH471), N($AU$76:$AU$81&gt;$AM471)) / CK471 / 1000</f>
        <v>0</v>
      </c>
      <c r="CM471" s="231">
        <f t="shared" si="667"/>
        <v>30</v>
      </c>
      <c r="CN471" s="229">
        <f t="shared" si="650"/>
        <v>43</v>
      </c>
      <c r="CO471" s="234">
        <f t="shared" si="651"/>
        <v>3.5018750000000001</v>
      </c>
      <c r="CP471" s="234" cm="1">
        <f t="array" ref="CP471">$BM471 * IF($AH471&lt;=2,
SUMPRODUCT(INDEX($AV$71:$AX$75,,$AI471), INDEX($AY$71:$BE$75,,$AH471), 1 / ($BF$71:$BF$75*CO471 + (1-$BF$71:$BF$75)*CK471), N($AU$71:$AU$75&gt;$AM471)),
SUMPRODUCT(INDEX($AV$66:$AX$75,,$AI471), INDEX($AY$66:$BE$75,,$AH471), 1 / ($BG$66:$BG$75*CO471 + (1-$BG$66:$BG$75)*CK471), N($AU$66:$AU$75&gt;$AM471))
) / 1000</f>
        <v>0</v>
      </c>
      <c r="CQ471" s="231">
        <f t="shared" si="668"/>
        <v>25</v>
      </c>
      <c r="CR471" s="229">
        <f t="shared" si="652"/>
        <v>38</v>
      </c>
      <c r="CS471" s="234">
        <f t="shared" si="653"/>
        <v>4.0666935483870965</v>
      </c>
      <c r="CT471" s="234" cm="1">
        <f t="array" ref="CT471">$BM471 * IF($AH471&lt;=2,
SUMPRODUCT(INDEX($AV$66:$AX$70,,$AI471), INDEX($AY$66:$BE$70,,$AH471), 1 / ($BF$66:$BF$70*CS471 + (1-$BF$66:$BF$70)*CO471), N($AU$66:$AU$70&gt;$AM471)),
SUMPRODUCT(INDEX($AV$56:$AX$65,,$AI471), INDEX($AY$56:$BE$65,,$AH471), 1 / ($BG$56:$BG$65*CS471 + (1-$BG$56:$BG$65)*CO471), N($AU$56:$AU$65&gt;$AM471))
) / 1000</f>
        <v>0</v>
      </c>
      <c r="CU471" s="231">
        <f t="shared" si="669"/>
        <v>20</v>
      </c>
      <c r="CV471" s="229">
        <f t="shared" si="654"/>
        <v>33</v>
      </c>
      <c r="CW471" s="234">
        <f t="shared" si="655"/>
        <v>4.8487499999999999</v>
      </c>
      <c r="CX471" s="234" cm="1">
        <f t="array" ref="CX471">$BM471 * IF($AH471&lt;=2,
SUMPRODUCT(INDEX($AV$61:$AX$65,,$AI471), INDEX($AY$61:$BE$65,,$AH471), 1 / ($BF$61:$BF$65*CW471 + (1-$BF$61:$BF$65)*CS471), N($AU$61:$AU$65&gt;$AM471)),
SUMPRODUCT(INDEX($AV$46:$AX$55,,$AI471), INDEX($AY$46:$BE$55,,$AH471), 1 / ($BG$46:$BG$55*CW471 + (1-$BG$46:$BG$55)*CS471), N($AU$46:$AU$55&gt;$AM471))
) / 1000</f>
        <v>0</v>
      </c>
      <c r="CY471" s="234" cm="1">
        <f t="array" ref="CY471">$BM471 * IF($AH471&lt;=2,
SUMPRODUCT(INDEX($AV$22:$AX$60,,$AI471), INDEX($AY$22:$BE$60,,$AH471), 1 / ($BF$22:$BF$60*CW471), N($AU$22:$AU$60&gt;$AM471)),
SUMPRODUCT(INDEX($AV$22:$AX$45,,$AI471), INDEX($AY$22:$BE$45,,$AH471), 1 / ($BG$22:$BG$45*CW471), N($AU$22:$AU$45&gt;$AM471))
) / 1000</f>
        <v>0</v>
      </c>
      <c r="CZ471" s="229">
        <f t="shared" si="656"/>
        <v>0</v>
      </c>
      <c r="DA471" s="246"/>
    </row>
    <row r="472" spans="1:105" s="75" customFormat="1" ht="14.25" customHeight="1" x14ac:dyDescent="0.2">
      <c r="A472" s="230" t="b">
        <f t="shared" si="661"/>
        <v>0</v>
      </c>
      <c r="B472" s="253">
        <v>451</v>
      </c>
      <c r="C472" s="266"/>
      <c r="D472" s="266"/>
      <c r="E472" s="254"/>
      <c r="F472" s="255" t="str">
        <f>IF(ISBLANK(E472), "", VLOOKUP(E472, Z!$A$2:$C$4127, 3, FALSE))</f>
        <v/>
      </c>
      <c r="G472" s="256"/>
      <c r="H472" s="256"/>
      <c r="I472" s="256"/>
      <c r="J472" s="257"/>
      <c r="K472" s="258"/>
      <c r="L472" s="267"/>
      <c r="M472" s="268"/>
      <c r="N472" s="259" t="str" cm="1">
        <f t="array" ref="N472">IF($L472&gt;0, INDEX(Clean,1+AK472,$D$1), "")</f>
        <v/>
      </c>
      <c r="O472" s="260"/>
      <c r="P472" s="260"/>
      <c r="Q472" s="261"/>
      <c r="R472" s="264">
        <f t="shared" si="632"/>
        <v>0</v>
      </c>
      <c r="S472" s="259" t="str" cm="1">
        <f t="array" ref="S472">IF($L472&gt;0, INDEX(Clean,1+AL472,$D$1), "")</f>
        <v/>
      </c>
      <c r="T472" s="260"/>
      <c r="U472" s="260"/>
      <c r="V472" s="261"/>
      <c r="W472" s="267"/>
      <c r="X472" s="267"/>
      <c r="Y472" s="257"/>
      <c r="Z472" s="264">
        <f t="shared" si="633"/>
        <v>0</v>
      </c>
      <c r="AA472" s="269"/>
      <c r="AB472" s="266"/>
      <c r="AC472" s="254"/>
      <c r="AD472" s="255" t="str">
        <f>IF(ISBLANK(AC472), "", VLOOKUP(AC472, Z!$A$2:$C$4127, 3, FALSE))</f>
        <v/>
      </c>
      <c r="AE472" s="270"/>
      <c r="AF472" s="265">
        <f t="shared" si="634"/>
        <v>0</v>
      </c>
      <c r="AG472" s="246"/>
      <c r="AH472" s="228">
        <f t="shared" si="657"/>
        <v>1</v>
      </c>
      <c r="AI472" s="228">
        <f t="shared" si="658"/>
        <v>1</v>
      </c>
      <c r="AJ472" s="228">
        <f t="shared" si="659"/>
        <v>0</v>
      </c>
      <c r="AK472" s="228">
        <v>0</v>
      </c>
      <c r="AL472" s="228">
        <v>0</v>
      </c>
      <c r="AM472" s="228">
        <f t="shared" si="635"/>
        <v>-100</v>
      </c>
      <c r="AN472" s="228" cm="1">
        <f t="array" ref="AN472">IF(ISBLANK(G472), 1, IFERROR(MATCH(G472, INDEX(Kat,,1), 0), IFERROR(MATCH(Kat, INDEX(Use,,2), 0), MATCH(Kat, INDEX(Use,,3), 0))))</f>
        <v>1</v>
      </c>
      <c r="AO472" s="246"/>
      <c r="AP472" s="228" cm="1">
        <f t="array" ref="AP472">IF(W472&gt;0, INDEX(Kat, AN472,4), 0)</f>
        <v>0</v>
      </c>
      <c r="AQ472" s="228">
        <f t="shared" si="660"/>
        <v>0</v>
      </c>
      <c r="AR472" s="228" cm="1">
        <f t="array" ref="AR472">IF(X472&gt;0, INDEX(Kat, $AN472, 4+AQ472), 0)</f>
        <v>0</v>
      </c>
      <c r="AS472" s="228" cm="1">
        <f t="array" ref="AS472">IF(X472&gt;0, INDEX(Kat, $AN472, 9+AQ472), 0)</f>
        <v>0</v>
      </c>
      <c r="AT472" s="246"/>
      <c r="AU472" s="262"/>
      <c r="AV472" s="262"/>
      <c r="AW472" s="263"/>
      <c r="AX472" s="263"/>
      <c r="AY472" s="263"/>
      <c r="AZ472" s="263"/>
      <c r="BA472" s="263"/>
      <c r="BB472" s="263"/>
      <c r="BC472" s="263"/>
      <c r="BD472" s="263"/>
      <c r="BE472" s="263"/>
      <c r="BF472" s="263"/>
      <c r="BG472" s="263"/>
      <c r="BH472" s="246"/>
      <c r="BI472" s="228" cm="1">
        <f t="array" ref="BI472">INDEX(Use, $AH472, 4)</f>
        <v>7</v>
      </c>
      <c r="BJ472" s="228">
        <f t="shared" si="636"/>
        <v>32</v>
      </c>
      <c r="BK472" s="228">
        <f t="shared" si="662"/>
        <v>13</v>
      </c>
      <c r="BL472" s="228">
        <f t="shared" si="663"/>
        <v>0</v>
      </c>
      <c r="BM472" s="233" cm="1">
        <f t="array" ref="BM472">L472/IF($M472&gt;0, INDEX($AY$22:$BE$76, $M472+20, $AH472), 1)</f>
        <v>0</v>
      </c>
      <c r="BN472" s="229">
        <f t="shared" si="637"/>
        <v>0</v>
      </c>
      <c r="BO472" s="228">
        <v>35</v>
      </c>
      <c r="BP472" s="229">
        <f t="shared" si="638"/>
        <v>48</v>
      </c>
      <c r="BQ472" s="234">
        <f t="shared" si="639"/>
        <v>3.0748170731707316</v>
      </c>
      <c r="BR472" s="234" cm="1">
        <f t="array" ref="BR472">$BM472 * SUMPRODUCT(INDEX($AV$76:$AX$81,,$AI472),INDEX($AY$76:$BE$81,,$AH472), N($AU$76:$AU$81&gt;$AM472)) / BQ472 / 1000</f>
        <v>0</v>
      </c>
      <c r="BS472" s="231">
        <f t="shared" si="664"/>
        <v>30</v>
      </c>
      <c r="BT472" s="229">
        <f t="shared" si="640"/>
        <v>43</v>
      </c>
      <c r="BU472" s="234">
        <f t="shared" si="641"/>
        <v>3.5018750000000001</v>
      </c>
      <c r="BV472" s="234" cm="1">
        <f t="array" ref="BV472">$BM472 * IF($AH472&lt;=2,
SUMPRODUCT(INDEX($AV$71:$AX$75,,$AI472), INDEX($AY$71:$BE$75,,$AH472), 1 / ($BF$71:$BF$75*BU472 + (1-$BF$71:$BF$75)*BQ472), N($AU$71:$AU$75&gt;$AM472)),
SUMPRODUCT(INDEX($AV$66:$AX$75,,$AI472), INDEX($AY$66:$BE$75,,$AH472), 1 / ($BG$66:$BG$75*BU472 + (1-$BG$66:$BG$75)*BQ472), N($AU$66:$AU$75&gt;$AM472))
) / 1000</f>
        <v>0</v>
      </c>
      <c r="BW472" s="231">
        <f t="shared" si="665"/>
        <v>25</v>
      </c>
      <c r="BX472" s="229">
        <f t="shared" si="642"/>
        <v>38</v>
      </c>
      <c r="BY472" s="234">
        <f t="shared" si="643"/>
        <v>4.0666935483870965</v>
      </c>
      <c r="BZ472" s="234" cm="1">
        <f t="array" ref="BZ472">$BM472 * IF($AH472&lt;=2,
SUMPRODUCT(INDEX($AV$66:$AX$70,,$AI472), INDEX($AY$66:$BE$70,,$AH472), 1 / ($BF$66:$BF$70*BY472 + (1-$BF$66:$BF$70)*BU472), N($AU$66:$AU$70&gt;$AM472)),
SUMPRODUCT(INDEX($AV$56:$AX$65,,$AI472), INDEX($AY$56:$BE$65,,$AH472), 1 / ($BG$56:$BG$65*BY472 + (1-$BG$56:$BG$65)*BU472), N($AU$56:$AU$65&gt;$AM472))
) / 1000</f>
        <v>0</v>
      </c>
      <c r="CA472" s="231">
        <f t="shared" si="666"/>
        <v>20</v>
      </c>
      <c r="CB472" s="229">
        <f t="shared" si="644"/>
        <v>33</v>
      </c>
      <c r="CC472" s="234">
        <f t="shared" si="645"/>
        <v>4.8487499999999999</v>
      </c>
      <c r="CD472" s="234" cm="1">
        <f t="array" ref="CD472">$BM472 * IF($AH472&lt;=2,
SUMPRODUCT(INDEX($AV$61:$AX$65,,$AI472), INDEX($AY$61:$BE$65,,$AH472), 1 / ($BF$61:$BF$65*CC472 + (1-$BF$61:$BF$65)*BY472), N($AU$61:$AU$65&gt;$AM472)),
SUMPRODUCT(INDEX($AV$46:$AX$55,,$AI472), INDEX($AY$46:$BE$55,,$AH472), 1 / ($BG$46:$BG$55*CC472 + (1-$BG$46:$BG$55)*BY472), N($AU$46:$AU$55&gt;$AM472))
) / 1000</f>
        <v>0</v>
      </c>
      <c r="CE472" s="234" cm="1">
        <f t="array" ref="CE472">$BM472 * IF($AH472&lt;=2,
SUMPRODUCT(INDEX($AV$22:$AX$60,,$AI472), INDEX($AY$22:$BE$60,,$AH472), 1 / ($BF$22:$BF$60*CC472), N($AU$22:$AU$60&gt;$AM472)),
SUMPRODUCT(INDEX($AV$22:$AX$45,,$AI472), INDEX($AY$22:$BE$45,,$AH472), 1 / ($BG$22:$BG$45*CC472), N($AU$22:$AU$45&gt;$AM472))
) / 1000</f>
        <v>0</v>
      </c>
      <c r="CF472" s="229">
        <f t="shared" si="646"/>
        <v>0</v>
      </c>
      <c r="CG472" s="246"/>
      <c r="CH472" s="229">
        <f t="shared" si="647"/>
        <v>0</v>
      </c>
      <c r="CI472" s="228">
        <v>35</v>
      </c>
      <c r="CJ472" s="229">
        <f t="shared" si="648"/>
        <v>48</v>
      </c>
      <c r="CK472" s="234">
        <f t="shared" si="649"/>
        <v>3.0748170731707316</v>
      </c>
      <c r="CL472" s="234" cm="1">
        <f t="array" ref="CL472">$BM472 * SUMPRODUCT(INDEX($AV$76:$AX$81,,$AI472),INDEX($AY$76:$BE$81,,$AH472), N($AU$76:$AU$81&gt;$AM472)) / CK472 / 1000</f>
        <v>0</v>
      </c>
      <c r="CM472" s="231">
        <f t="shared" si="667"/>
        <v>30</v>
      </c>
      <c r="CN472" s="229">
        <f t="shared" si="650"/>
        <v>43</v>
      </c>
      <c r="CO472" s="234">
        <f t="shared" si="651"/>
        <v>3.5018750000000001</v>
      </c>
      <c r="CP472" s="234" cm="1">
        <f t="array" ref="CP472">$BM472 * IF($AH472&lt;=2,
SUMPRODUCT(INDEX($AV$71:$AX$75,,$AI472), INDEX($AY$71:$BE$75,,$AH472), 1 / ($BF$71:$BF$75*CO472 + (1-$BF$71:$BF$75)*CK472), N($AU$71:$AU$75&gt;$AM472)),
SUMPRODUCT(INDEX($AV$66:$AX$75,,$AI472), INDEX($AY$66:$BE$75,,$AH472), 1 / ($BG$66:$BG$75*CO472 + (1-$BG$66:$BG$75)*CK472), N($AU$66:$AU$75&gt;$AM472))
) / 1000</f>
        <v>0</v>
      </c>
      <c r="CQ472" s="231">
        <f t="shared" si="668"/>
        <v>25</v>
      </c>
      <c r="CR472" s="229">
        <f t="shared" si="652"/>
        <v>38</v>
      </c>
      <c r="CS472" s="234">
        <f t="shared" si="653"/>
        <v>4.0666935483870965</v>
      </c>
      <c r="CT472" s="234" cm="1">
        <f t="array" ref="CT472">$BM472 * IF($AH472&lt;=2,
SUMPRODUCT(INDEX($AV$66:$AX$70,,$AI472), INDEX($AY$66:$BE$70,,$AH472), 1 / ($BF$66:$BF$70*CS472 + (1-$BF$66:$BF$70)*CO472), N($AU$66:$AU$70&gt;$AM472)),
SUMPRODUCT(INDEX($AV$56:$AX$65,,$AI472), INDEX($AY$56:$BE$65,,$AH472), 1 / ($BG$56:$BG$65*CS472 + (1-$BG$56:$BG$65)*CO472), N($AU$56:$AU$65&gt;$AM472))
) / 1000</f>
        <v>0</v>
      </c>
      <c r="CU472" s="231">
        <f t="shared" si="669"/>
        <v>20</v>
      </c>
      <c r="CV472" s="229">
        <f t="shared" si="654"/>
        <v>33</v>
      </c>
      <c r="CW472" s="234">
        <f t="shared" si="655"/>
        <v>4.8487499999999999</v>
      </c>
      <c r="CX472" s="234" cm="1">
        <f t="array" ref="CX472">$BM472 * IF($AH472&lt;=2,
SUMPRODUCT(INDEX($AV$61:$AX$65,,$AI472), INDEX($AY$61:$BE$65,,$AH472), 1 / ($BF$61:$BF$65*CW472 + (1-$BF$61:$BF$65)*CS472), N($AU$61:$AU$65&gt;$AM472)),
SUMPRODUCT(INDEX($AV$46:$AX$55,,$AI472), INDEX($AY$46:$BE$55,,$AH472), 1 / ($BG$46:$BG$55*CW472 + (1-$BG$46:$BG$55)*CS472), N($AU$46:$AU$55&gt;$AM472))
) / 1000</f>
        <v>0</v>
      </c>
      <c r="CY472" s="234" cm="1">
        <f t="array" ref="CY472">$BM472 * IF($AH472&lt;=2,
SUMPRODUCT(INDEX($AV$22:$AX$60,,$AI472), INDEX($AY$22:$BE$60,,$AH472), 1 / ($BF$22:$BF$60*CW472), N($AU$22:$AU$60&gt;$AM472)),
SUMPRODUCT(INDEX($AV$22:$AX$45,,$AI472), INDEX($AY$22:$BE$45,,$AH472), 1 / ($BG$22:$BG$45*CW472), N($AU$22:$AU$45&gt;$AM472))
) / 1000</f>
        <v>0</v>
      </c>
      <c r="CZ472" s="229">
        <f t="shared" si="656"/>
        <v>0</v>
      </c>
      <c r="DA472" s="246"/>
    </row>
    <row r="473" spans="1:105" s="75" customFormat="1" ht="14.25" customHeight="1" x14ac:dyDescent="0.2">
      <c r="A473" s="230" t="b">
        <f t="shared" si="661"/>
        <v>0</v>
      </c>
      <c r="B473" s="253">
        <v>452</v>
      </c>
      <c r="C473" s="266"/>
      <c r="D473" s="266"/>
      <c r="E473" s="254"/>
      <c r="F473" s="255" t="str">
        <f>IF(ISBLANK(E473), "", VLOOKUP(E473, Z!$A$2:$C$4127, 3, FALSE))</f>
        <v/>
      </c>
      <c r="G473" s="256"/>
      <c r="H473" s="256"/>
      <c r="I473" s="256"/>
      <c r="J473" s="257"/>
      <c r="K473" s="258"/>
      <c r="L473" s="267"/>
      <c r="M473" s="268"/>
      <c r="N473" s="259" t="str" cm="1">
        <f t="array" ref="N473">IF($L473&gt;0, INDEX(Clean,1+AK473,$D$1), "")</f>
        <v/>
      </c>
      <c r="O473" s="260"/>
      <c r="P473" s="260"/>
      <c r="Q473" s="261"/>
      <c r="R473" s="264">
        <f t="shared" si="632"/>
        <v>0</v>
      </c>
      <c r="S473" s="259" t="str" cm="1">
        <f t="array" ref="S473">IF($L473&gt;0, INDEX(Clean,1+AL473,$D$1), "")</f>
        <v/>
      </c>
      <c r="T473" s="260"/>
      <c r="U473" s="260"/>
      <c r="V473" s="261"/>
      <c r="W473" s="267"/>
      <c r="X473" s="267"/>
      <c r="Y473" s="257"/>
      <c r="Z473" s="264">
        <f t="shared" si="633"/>
        <v>0</v>
      </c>
      <c r="AA473" s="269"/>
      <c r="AB473" s="266"/>
      <c r="AC473" s="254"/>
      <c r="AD473" s="255" t="str">
        <f>IF(ISBLANK(AC473), "", VLOOKUP(AC473, Z!$A$2:$C$4127, 3, FALSE))</f>
        <v/>
      </c>
      <c r="AE473" s="270"/>
      <c r="AF473" s="265">
        <f t="shared" si="634"/>
        <v>0</v>
      </c>
      <c r="AG473" s="246"/>
      <c r="AH473" s="228">
        <f t="shared" si="657"/>
        <v>1</v>
      </c>
      <c r="AI473" s="228">
        <f t="shared" si="658"/>
        <v>1</v>
      </c>
      <c r="AJ473" s="228">
        <f t="shared" si="659"/>
        <v>0</v>
      </c>
      <c r="AK473" s="228">
        <v>0</v>
      </c>
      <c r="AL473" s="228">
        <v>0</v>
      </c>
      <c r="AM473" s="228">
        <f t="shared" si="635"/>
        <v>-100</v>
      </c>
      <c r="AN473" s="228" cm="1">
        <f t="array" ref="AN473">IF(ISBLANK(G473), 1, IFERROR(MATCH(G473, INDEX(Kat,,1), 0), IFERROR(MATCH(Kat, INDEX(Use,,2), 0), MATCH(Kat, INDEX(Use,,3), 0))))</f>
        <v>1</v>
      </c>
      <c r="AO473" s="246"/>
      <c r="AP473" s="228" cm="1">
        <f t="array" ref="AP473">IF(W473&gt;0, INDEX(Kat, AN473,4), 0)</f>
        <v>0</v>
      </c>
      <c r="AQ473" s="228">
        <f t="shared" si="660"/>
        <v>0</v>
      </c>
      <c r="AR473" s="228" cm="1">
        <f t="array" ref="AR473">IF(X473&gt;0, INDEX(Kat, $AN473, 4+AQ473), 0)</f>
        <v>0</v>
      </c>
      <c r="AS473" s="228" cm="1">
        <f t="array" ref="AS473">IF(X473&gt;0, INDEX(Kat, $AN473, 9+AQ473), 0)</f>
        <v>0</v>
      </c>
      <c r="AT473" s="246"/>
      <c r="AU473" s="262"/>
      <c r="AV473" s="262"/>
      <c r="AW473" s="263"/>
      <c r="AX473" s="263"/>
      <c r="AY473" s="263"/>
      <c r="AZ473" s="263"/>
      <c r="BA473" s="263"/>
      <c r="BB473" s="263"/>
      <c r="BC473" s="263"/>
      <c r="BD473" s="263"/>
      <c r="BE473" s="263"/>
      <c r="BF473" s="263"/>
      <c r="BG473" s="263"/>
      <c r="BH473" s="246"/>
      <c r="BI473" s="228" cm="1">
        <f t="array" ref="BI473">INDEX(Use, $AH473, 4)</f>
        <v>7</v>
      </c>
      <c r="BJ473" s="228">
        <f t="shared" si="636"/>
        <v>32</v>
      </c>
      <c r="BK473" s="228">
        <f t="shared" si="662"/>
        <v>13</v>
      </c>
      <c r="BL473" s="228">
        <f t="shared" si="663"/>
        <v>0</v>
      </c>
      <c r="BM473" s="233" cm="1">
        <f t="array" ref="BM473">L473/IF($M473&gt;0, INDEX($AY$22:$BE$76, $M473+20, $AH473), 1)</f>
        <v>0</v>
      </c>
      <c r="BN473" s="229">
        <f t="shared" si="637"/>
        <v>0</v>
      </c>
      <c r="BO473" s="228">
        <v>35</v>
      </c>
      <c r="BP473" s="229">
        <f t="shared" si="638"/>
        <v>48</v>
      </c>
      <c r="BQ473" s="234">
        <f t="shared" si="639"/>
        <v>3.0748170731707316</v>
      </c>
      <c r="BR473" s="234" cm="1">
        <f t="array" ref="BR473">$BM473 * SUMPRODUCT(INDEX($AV$76:$AX$81,,$AI473),INDEX($AY$76:$BE$81,,$AH473), N($AU$76:$AU$81&gt;$AM473)) / BQ473 / 1000</f>
        <v>0</v>
      </c>
      <c r="BS473" s="231">
        <f t="shared" si="664"/>
        <v>30</v>
      </c>
      <c r="BT473" s="229">
        <f t="shared" si="640"/>
        <v>43</v>
      </c>
      <c r="BU473" s="234">
        <f t="shared" si="641"/>
        <v>3.5018750000000001</v>
      </c>
      <c r="BV473" s="234" cm="1">
        <f t="array" ref="BV473">$BM473 * IF($AH473&lt;=2,
SUMPRODUCT(INDEX($AV$71:$AX$75,,$AI473), INDEX($AY$71:$BE$75,,$AH473), 1 / ($BF$71:$BF$75*BU473 + (1-$BF$71:$BF$75)*BQ473), N($AU$71:$AU$75&gt;$AM473)),
SUMPRODUCT(INDEX($AV$66:$AX$75,,$AI473), INDEX($AY$66:$BE$75,,$AH473), 1 / ($BG$66:$BG$75*BU473 + (1-$BG$66:$BG$75)*BQ473), N($AU$66:$AU$75&gt;$AM473))
) / 1000</f>
        <v>0</v>
      </c>
      <c r="BW473" s="231">
        <f t="shared" si="665"/>
        <v>25</v>
      </c>
      <c r="BX473" s="229">
        <f t="shared" si="642"/>
        <v>38</v>
      </c>
      <c r="BY473" s="234">
        <f t="shared" si="643"/>
        <v>4.0666935483870965</v>
      </c>
      <c r="BZ473" s="234" cm="1">
        <f t="array" ref="BZ473">$BM473 * IF($AH473&lt;=2,
SUMPRODUCT(INDEX($AV$66:$AX$70,,$AI473), INDEX($AY$66:$BE$70,,$AH473), 1 / ($BF$66:$BF$70*BY473 + (1-$BF$66:$BF$70)*BU473), N($AU$66:$AU$70&gt;$AM473)),
SUMPRODUCT(INDEX($AV$56:$AX$65,,$AI473), INDEX($AY$56:$BE$65,,$AH473), 1 / ($BG$56:$BG$65*BY473 + (1-$BG$56:$BG$65)*BU473), N($AU$56:$AU$65&gt;$AM473))
) / 1000</f>
        <v>0</v>
      </c>
      <c r="CA473" s="231">
        <f t="shared" si="666"/>
        <v>20</v>
      </c>
      <c r="CB473" s="229">
        <f t="shared" si="644"/>
        <v>33</v>
      </c>
      <c r="CC473" s="234">
        <f t="shared" si="645"/>
        <v>4.8487499999999999</v>
      </c>
      <c r="CD473" s="234" cm="1">
        <f t="array" ref="CD473">$BM473 * IF($AH473&lt;=2,
SUMPRODUCT(INDEX($AV$61:$AX$65,,$AI473), INDEX($AY$61:$BE$65,,$AH473), 1 / ($BF$61:$BF$65*CC473 + (1-$BF$61:$BF$65)*BY473), N($AU$61:$AU$65&gt;$AM473)),
SUMPRODUCT(INDEX($AV$46:$AX$55,,$AI473), INDEX($AY$46:$BE$55,,$AH473), 1 / ($BG$46:$BG$55*CC473 + (1-$BG$46:$BG$55)*BY473), N($AU$46:$AU$55&gt;$AM473))
) / 1000</f>
        <v>0</v>
      </c>
      <c r="CE473" s="234" cm="1">
        <f t="array" ref="CE473">$BM473 * IF($AH473&lt;=2,
SUMPRODUCT(INDEX($AV$22:$AX$60,,$AI473), INDEX($AY$22:$BE$60,,$AH473), 1 / ($BF$22:$BF$60*CC473), N($AU$22:$AU$60&gt;$AM473)),
SUMPRODUCT(INDEX($AV$22:$AX$45,,$AI473), INDEX($AY$22:$BE$45,,$AH473), 1 / ($BG$22:$BG$45*CC473), N($AU$22:$AU$45&gt;$AM473))
) / 1000</f>
        <v>0</v>
      </c>
      <c r="CF473" s="229">
        <f t="shared" si="646"/>
        <v>0</v>
      </c>
      <c r="CG473" s="246"/>
      <c r="CH473" s="229">
        <f t="shared" si="647"/>
        <v>0</v>
      </c>
      <c r="CI473" s="228">
        <v>35</v>
      </c>
      <c r="CJ473" s="229">
        <f t="shared" si="648"/>
        <v>48</v>
      </c>
      <c r="CK473" s="234">
        <f t="shared" si="649"/>
        <v>3.0748170731707316</v>
      </c>
      <c r="CL473" s="234" cm="1">
        <f t="array" ref="CL473">$BM473 * SUMPRODUCT(INDEX($AV$76:$AX$81,,$AI473),INDEX($AY$76:$BE$81,,$AH473), N($AU$76:$AU$81&gt;$AM473)) / CK473 / 1000</f>
        <v>0</v>
      </c>
      <c r="CM473" s="231">
        <f t="shared" si="667"/>
        <v>30</v>
      </c>
      <c r="CN473" s="229">
        <f t="shared" si="650"/>
        <v>43</v>
      </c>
      <c r="CO473" s="234">
        <f t="shared" si="651"/>
        <v>3.5018750000000001</v>
      </c>
      <c r="CP473" s="234" cm="1">
        <f t="array" ref="CP473">$BM473 * IF($AH473&lt;=2,
SUMPRODUCT(INDEX($AV$71:$AX$75,,$AI473), INDEX($AY$71:$BE$75,,$AH473), 1 / ($BF$71:$BF$75*CO473 + (1-$BF$71:$BF$75)*CK473), N($AU$71:$AU$75&gt;$AM473)),
SUMPRODUCT(INDEX($AV$66:$AX$75,,$AI473), INDEX($AY$66:$BE$75,,$AH473), 1 / ($BG$66:$BG$75*CO473 + (1-$BG$66:$BG$75)*CK473), N($AU$66:$AU$75&gt;$AM473))
) / 1000</f>
        <v>0</v>
      </c>
      <c r="CQ473" s="231">
        <f t="shared" si="668"/>
        <v>25</v>
      </c>
      <c r="CR473" s="229">
        <f t="shared" si="652"/>
        <v>38</v>
      </c>
      <c r="CS473" s="234">
        <f t="shared" si="653"/>
        <v>4.0666935483870965</v>
      </c>
      <c r="CT473" s="234" cm="1">
        <f t="array" ref="CT473">$BM473 * IF($AH473&lt;=2,
SUMPRODUCT(INDEX($AV$66:$AX$70,,$AI473), INDEX($AY$66:$BE$70,,$AH473), 1 / ($BF$66:$BF$70*CS473 + (1-$BF$66:$BF$70)*CO473), N($AU$66:$AU$70&gt;$AM473)),
SUMPRODUCT(INDEX($AV$56:$AX$65,,$AI473), INDEX($AY$56:$BE$65,,$AH473), 1 / ($BG$56:$BG$65*CS473 + (1-$BG$56:$BG$65)*CO473), N($AU$56:$AU$65&gt;$AM473))
) / 1000</f>
        <v>0</v>
      </c>
      <c r="CU473" s="231">
        <f t="shared" si="669"/>
        <v>20</v>
      </c>
      <c r="CV473" s="229">
        <f t="shared" si="654"/>
        <v>33</v>
      </c>
      <c r="CW473" s="234">
        <f t="shared" si="655"/>
        <v>4.8487499999999999</v>
      </c>
      <c r="CX473" s="234" cm="1">
        <f t="array" ref="CX473">$BM473 * IF($AH473&lt;=2,
SUMPRODUCT(INDEX($AV$61:$AX$65,,$AI473), INDEX($AY$61:$BE$65,,$AH473), 1 / ($BF$61:$BF$65*CW473 + (1-$BF$61:$BF$65)*CS473), N($AU$61:$AU$65&gt;$AM473)),
SUMPRODUCT(INDEX($AV$46:$AX$55,,$AI473), INDEX($AY$46:$BE$55,,$AH473), 1 / ($BG$46:$BG$55*CW473 + (1-$BG$46:$BG$55)*CS473), N($AU$46:$AU$55&gt;$AM473))
) / 1000</f>
        <v>0</v>
      </c>
      <c r="CY473" s="234" cm="1">
        <f t="array" ref="CY473">$BM473 * IF($AH473&lt;=2,
SUMPRODUCT(INDEX($AV$22:$AX$60,,$AI473), INDEX($AY$22:$BE$60,,$AH473), 1 / ($BF$22:$BF$60*CW473), N($AU$22:$AU$60&gt;$AM473)),
SUMPRODUCT(INDEX($AV$22:$AX$45,,$AI473), INDEX($AY$22:$BE$45,,$AH473), 1 / ($BG$22:$BG$45*CW473), N($AU$22:$AU$45&gt;$AM473))
) / 1000</f>
        <v>0</v>
      </c>
      <c r="CZ473" s="229">
        <f t="shared" si="656"/>
        <v>0</v>
      </c>
      <c r="DA473" s="246"/>
    </row>
    <row r="474" spans="1:105" s="75" customFormat="1" ht="14.25" customHeight="1" x14ac:dyDescent="0.2">
      <c r="A474" s="230" t="b">
        <f t="shared" si="661"/>
        <v>0</v>
      </c>
      <c r="B474" s="253">
        <v>453</v>
      </c>
      <c r="C474" s="266"/>
      <c r="D474" s="266"/>
      <c r="E474" s="254"/>
      <c r="F474" s="255" t="str">
        <f>IF(ISBLANK(E474), "", VLOOKUP(E474, Z!$A$2:$C$4127, 3, FALSE))</f>
        <v/>
      </c>
      <c r="G474" s="256"/>
      <c r="H474" s="256"/>
      <c r="I474" s="256"/>
      <c r="J474" s="257"/>
      <c r="K474" s="258"/>
      <c r="L474" s="267"/>
      <c r="M474" s="268"/>
      <c r="N474" s="259" t="str" cm="1">
        <f t="array" ref="N474">IF($L474&gt;0, INDEX(Clean,1+AK474,$D$1), "")</f>
        <v/>
      </c>
      <c r="O474" s="260"/>
      <c r="P474" s="260"/>
      <c r="Q474" s="261"/>
      <c r="R474" s="264">
        <f t="shared" si="632"/>
        <v>0</v>
      </c>
      <c r="S474" s="259" t="str" cm="1">
        <f t="array" ref="S474">IF($L474&gt;0, INDEX(Clean,1+AL474,$D$1), "")</f>
        <v/>
      </c>
      <c r="T474" s="260"/>
      <c r="U474" s="260"/>
      <c r="V474" s="261"/>
      <c r="W474" s="267"/>
      <c r="X474" s="267"/>
      <c r="Y474" s="257"/>
      <c r="Z474" s="264">
        <f t="shared" si="633"/>
        <v>0</v>
      </c>
      <c r="AA474" s="269"/>
      <c r="AB474" s="266"/>
      <c r="AC474" s="254"/>
      <c r="AD474" s="255" t="str">
        <f>IF(ISBLANK(AC474), "", VLOOKUP(AC474, Z!$A$2:$C$4127, 3, FALSE))</f>
        <v/>
      </c>
      <c r="AE474" s="270"/>
      <c r="AF474" s="265">
        <f t="shared" si="634"/>
        <v>0</v>
      </c>
      <c r="AG474" s="246"/>
      <c r="AH474" s="228">
        <f t="shared" si="657"/>
        <v>1</v>
      </c>
      <c r="AI474" s="228">
        <f t="shared" si="658"/>
        <v>1</v>
      </c>
      <c r="AJ474" s="228">
        <f t="shared" si="659"/>
        <v>0</v>
      </c>
      <c r="AK474" s="228">
        <v>0</v>
      </c>
      <c r="AL474" s="228">
        <v>0</v>
      </c>
      <c r="AM474" s="228">
        <f t="shared" si="635"/>
        <v>-100</v>
      </c>
      <c r="AN474" s="228" cm="1">
        <f t="array" ref="AN474">IF(ISBLANK(G474), 1, IFERROR(MATCH(G474, INDEX(Kat,,1), 0), IFERROR(MATCH(Kat, INDEX(Use,,2), 0), MATCH(Kat, INDEX(Use,,3), 0))))</f>
        <v>1</v>
      </c>
      <c r="AO474" s="246"/>
      <c r="AP474" s="228" cm="1">
        <f t="array" ref="AP474">IF(W474&gt;0, INDEX(Kat, AN474,4), 0)</f>
        <v>0</v>
      </c>
      <c r="AQ474" s="228">
        <f t="shared" si="660"/>
        <v>0</v>
      </c>
      <c r="AR474" s="228" cm="1">
        <f t="array" ref="AR474">IF(X474&gt;0, INDEX(Kat, $AN474, 4+AQ474), 0)</f>
        <v>0</v>
      </c>
      <c r="AS474" s="228" cm="1">
        <f t="array" ref="AS474">IF(X474&gt;0, INDEX(Kat, $AN474, 9+AQ474), 0)</f>
        <v>0</v>
      </c>
      <c r="AT474" s="246"/>
      <c r="AU474" s="262"/>
      <c r="AV474" s="262"/>
      <c r="AW474" s="263"/>
      <c r="AX474" s="263"/>
      <c r="AY474" s="263"/>
      <c r="AZ474" s="263"/>
      <c r="BA474" s="263"/>
      <c r="BB474" s="263"/>
      <c r="BC474" s="263"/>
      <c r="BD474" s="263"/>
      <c r="BE474" s="263"/>
      <c r="BF474" s="263"/>
      <c r="BG474" s="263"/>
      <c r="BH474" s="246"/>
      <c r="BI474" s="228" cm="1">
        <f t="array" ref="BI474">INDEX(Use, $AH474, 4)</f>
        <v>7</v>
      </c>
      <c r="BJ474" s="228">
        <f t="shared" si="636"/>
        <v>32</v>
      </c>
      <c r="BK474" s="228">
        <f t="shared" si="662"/>
        <v>13</v>
      </c>
      <c r="BL474" s="228">
        <f t="shared" si="663"/>
        <v>0</v>
      </c>
      <c r="BM474" s="233" cm="1">
        <f t="array" ref="BM474">L474/IF($M474&gt;0, INDEX($AY$22:$BE$76, $M474+20, $AH474), 1)</f>
        <v>0</v>
      </c>
      <c r="BN474" s="229">
        <f t="shared" si="637"/>
        <v>0</v>
      </c>
      <c r="BO474" s="228">
        <v>35</v>
      </c>
      <c r="BP474" s="229">
        <f t="shared" si="638"/>
        <v>48</v>
      </c>
      <c r="BQ474" s="234">
        <f t="shared" si="639"/>
        <v>3.0748170731707316</v>
      </c>
      <c r="BR474" s="234" cm="1">
        <f t="array" ref="BR474">$BM474 * SUMPRODUCT(INDEX($AV$76:$AX$81,,$AI474),INDEX($AY$76:$BE$81,,$AH474), N($AU$76:$AU$81&gt;$AM474)) / BQ474 / 1000</f>
        <v>0</v>
      </c>
      <c r="BS474" s="231">
        <f t="shared" si="664"/>
        <v>30</v>
      </c>
      <c r="BT474" s="229">
        <f t="shared" si="640"/>
        <v>43</v>
      </c>
      <c r="BU474" s="234">
        <f t="shared" si="641"/>
        <v>3.5018750000000001</v>
      </c>
      <c r="BV474" s="234" cm="1">
        <f t="array" ref="BV474">$BM474 * IF($AH474&lt;=2,
SUMPRODUCT(INDEX($AV$71:$AX$75,,$AI474), INDEX($AY$71:$BE$75,,$AH474), 1 / ($BF$71:$BF$75*BU474 + (1-$BF$71:$BF$75)*BQ474), N($AU$71:$AU$75&gt;$AM474)),
SUMPRODUCT(INDEX($AV$66:$AX$75,,$AI474), INDEX($AY$66:$BE$75,,$AH474), 1 / ($BG$66:$BG$75*BU474 + (1-$BG$66:$BG$75)*BQ474), N($AU$66:$AU$75&gt;$AM474))
) / 1000</f>
        <v>0</v>
      </c>
      <c r="BW474" s="231">
        <f t="shared" si="665"/>
        <v>25</v>
      </c>
      <c r="BX474" s="229">
        <f t="shared" si="642"/>
        <v>38</v>
      </c>
      <c r="BY474" s="234">
        <f t="shared" si="643"/>
        <v>4.0666935483870965</v>
      </c>
      <c r="BZ474" s="234" cm="1">
        <f t="array" ref="BZ474">$BM474 * IF($AH474&lt;=2,
SUMPRODUCT(INDEX($AV$66:$AX$70,,$AI474), INDEX($AY$66:$BE$70,,$AH474), 1 / ($BF$66:$BF$70*BY474 + (1-$BF$66:$BF$70)*BU474), N($AU$66:$AU$70&gt;$AM474)),
SUMPRODUCT(INDEX($AV$56:$AX$65,,$AI474), INDEX($AY$56:$BE$65,,$AH474), 1 / ($BG$56:$BG$65*BY474 + (1-$BG$56:$BG$65)*BU474), N($AU$56:$AU$65&gt;$AM474))
) / 1000</f>
        <v>0</v>
      </c>
      <c r="CA474" s="231">
        <f t="shared" si="666"/>
        <v>20</v>
      </c>
      <c r="CB474" s="229">
        <f t="shared" si="644"/>
        <v>33</v>
      </c>
      <c r="CC474" s="234">
        <f t="shared" si="645"/>
        <v>4.8487499999999999</v>
      </c>
      <c r="CD474" s="234" cm="1">
        <f t="array" ref="CD474">$BM474 * IF($AH474&lt;=2,
SUMPRODUCT(INDEX($AV$61:$AX$65,,$AI474), INDEX($AY$61:$BE$65,,$AH474), 1 / ($BF$61:$BF$65*CC474 + (1-$BF$61:$BF$65)*BY474), N($AU$61:$AU$65&gt;$AM474)),
SUMPRODUCT(INDEX($AV$46:$AX$55,,$AI474), INDEX($AY$46:$BE$55,,$AH474), 1 / ($BG$46:$BG$55*CC474 + (1-$BG$46:$BG$55)*BY474), N($AU$46:$AU$55&gt;$AM474))
) / 1000</f>
        <v>0</v>
      </c>
      <c r="CE474" s="234" cm="1">
        <f t="array" ref="CE474">$BM474 * IF($AH474&lt;=2,
SUMPRODUCT(INDEX($AV$22:$AX$60,,$AI474), INDEX($AY$22:$BE$60,,$AH474), 1 / ($BF$22:$BF$60*CC474), N($AU$22:$AU$60&gt;$AM474)),
SUMPRODUCT(INDEX($AV$22:$AX$45,,$AI474), INDEX($AY$22:$BE$45,,$AH474), 1 / ($BG$22:$BG$45*CC474), N($AU$22:$AU$45&gt;$AM474))
) / 1000</f>
        <v>0</v>
      </c>
      <c r="CF474" s="229">
        <f t="shared" si="646"/>
        <v>0</v>
      </c>
      <c r="CG474" s="246"/>
      <c r="CH474" s="229">
        <f t="shared" si="647"/>
        <v>0</v>
      </c>
      <c r="CI474" s="228">
        <v>35</v>
      </c>
      <c r="CJ474" s="229">
        <f t="shared" si="648"/>
        <v>48</v>
      </c>
      <c r="CK474" s="234">
        <f t="shared" si="649"/>
        <v>3.0748170731707316</v>
      </c>
      <c r="CL474" s="234" cm="1">
        <f t="array" ref="CL474">$BM474 * SUMPRODUCT(INDEX($AV$76:$AX$81,,$AI474),INDEX($AY$76:$BE$81,,$AH474), N($AU$76:$AU$81&gt;$AM474)) / CK474 / 1000</f>
        <v>0</v>
      </c>
      <c r="CM474" s="231">
        <f t="shared" si="667"/>
        <v>30</v>
      </c>
      <c r="CN474" s="229">
        <f t="shared" si="650"/>
        <v>43</v>
      </c>
      <c r="CO474" s="234">
        <f t="shared" si="651"/>
        <v>3.5018750000000001</v>
      </c>
      <c r="CP474" s="234" cm="1">
        <f t="array" ref="CP474">$BM474 * IF($AH474&lt;=2,
SUMPRODUCT(INDEX($AV$71:$AX$75,,$AI474), INDEX($AY$71:$BE$75,,$AH474), 1 / ($BF$71:$BF$75*CO474 + (1-$BF$71:$BF$75)*CK474), N($AU$71:$AU$75&gt;$AM474)),
SUMPRODUCT(INDEX($AV$66:$AX$75,,$AI474), INDEX($AY$66:$BE$75,,$AH474), 1 / ($BG$66:$BG$75*CO474 + (1-$BG$66:$BG$75)*CK474), N($AU$66:$AU$75&gt;$AM474))
) / 1000</f>
        <v>0</v>
      </c>
      <c r="CQ474" s="231">
        <f t="shared" si="668"/>
        <v>25</v>
      </c>
      <c r="CR474" s="229">
        <f t="shared" si="652"/>
        <v>38</v>
      </c>
      <c r="CS474" s="234">
        <f t="shared" si="653"/>
        <v>4.0666935483870965</v>
      </c>
      <c r="CT474" s="234" cm="1">
        <f t="array" ref="CT474">$BM474 * IF($AH474&lt;=2,
SUMPRODUCT(INDEX($AV$66:$AX$70,,$AI474), INDEX($AY$66:$BE$70,,$AH474), 1 / ($BF$66:$BF$70*CS474 + (1-$BF$66:$BF$70)*CO474), N($AU$66:$AU$70&gt;$AM474)),
SUMPRODUCT(INDEX($AV$56:$AX$65,,$AI474), INDEX($AY$56:$BE$65,,$AH474), 1 / ($BG$56:$BG$65*CS474 + (1-$BG$56:$BG$65)*CO474), N($AU$56:$AU$65&gt;$AM474))
) / 1000</f>
        <v>0</v>
      </c>
      <c r="CU474" s="231">
        <f t="shared" si="669"/>
        <v>20</v>
      </c>
      <c r="CV474" s="229">
        <f t="shared" si="654"/>
        <v>33</v>
      </c>
      <c r="CW474" s="234">
        <f t="shared" si="655"/>
        <v>4.8487499999999999</v>
      </c>
      <c r="CX474" s="234" cm="1">
        <f t="array" ref="CX474">$BM474 * IF($AH474&lt;=2,
SUMPRODUCT(INDEX($AV$61:$AX$65,,$AI474), INDEX($AY$61:$BE$65,,$AH474), 1 / ($BF$61:$BF$65*CW474 + (1-$BF$61:$BF$65)*CS474), N($AU$61:$AU$65&gt;$AM474)),
SUMPRODUCT(INDEX($AV$46:$AX$55,,$AI474), INDEX($AY$46:$BE$55,,$AH474), 1 / ($BG$46:$BG$55*CW474 + (1-$BG$46:$BG$55)*CS474), N($AU$46:$AU$55&gt;$AM474))
) / 1000</f>
        <v>0</v>
      </c>
      <c r="CY474" s="234" cm="1">
        <f t="array" ref="CY474">$BM474 * IF($AH474&lt;=2,
SUMPRODUCT(INDEX($AV$22:$AX$60,,$AI474), INDEX($AY$22:$BE$60,,$AH474), 1 / ($BF$22:$BF$60*CW474), N($AU$22:$AU$60&gt;$AM474)),
SUMPRODUCT(INDEX($AV$22:$AX$45,,$AI474), INDEX($AY$22:$BE$45,,$AH474), 1 / ($BG$22:$BG$45*CW474), N($AU$22:$AU$45&gt;$AM474))
) / 1000</f>
        <v>0</v>
      </c>
      <c r="CZ474" s="229">
        <f t="shared" si="656"/>
        <v>0</v>
      </c>
      <c r="DA474" s="246"/>
    </row>
    <row r="475" spans="1:105" s="75" customFormat="1" ht="14.25" customHeight="1" x14ac:dyDescent="0.2">
      <c r="A475" s="230" t="b">
        <f t="shared" si="661"/>
        <v>0</v>
      </c>
      <c r="B475" s="253">
        <v>454</v>
      </c>
      <c r="C475" s="266"/>
      <c r="D475" s="266"/>
      <c r="E475" s="254"/>
      <c r="F475" s="255" t="str">
        <f>IF(ISBLANK(E475), "", VLOOKUP(E475, Z!$A$2:$C$4127, 3, FALSE))</f>
        <v/>
      </c>
      <c r="G475" s="256"/>
      <c r="H475" s="256"/>
      <c r="I475" s="256"/>
      <c r="J475" s="257"/>
      <c r="K475" s="258"/>
      <c r="L475" s="267"/>
      <c r="M475" s="268"/>
      <c r="N475" s="259" t="str" cm="1">
        <f t="array" ref="N475">IF($L475&gt;0, INDEX(Clean,1+AK475,$D$1), "")</f>
        <v/>
      </c>
      <c r="O475" s="260"/>
      <c r="P475" s="260"/>
      <c r="Q475" s="261"/>
      <c r="R475" s="264">
        <f t="shared" si="632"/>
        <v>0</v>
      </c>
      <c r="S475" s="259" t="str" cm="1">
        <f t="array" ref="S475">IF($L475&gt;0, INDEX(Clean,1+AL475,$D$1), "")</f>
        <v/>
      </c>
      <c r="T475" s="260"/>
      <c r="U475" s="260"/>
      <c r="V475" s="261"/>
      <c r="W475" s="267"/>
      <c r="X475" s="267"/>
      <c r="Y475" s="257"/>
      <c r="Z475" s="264">
        <f t="shared" si="633"/>
        <v>0</v>
      </c>
      <c r="AA475" s="269"/>
      <c r="AB475" s="266"/>
      <c r="AC475" s="254"/>
      <c r="AD475" s="255" t="str">
        <f>IF(ISBLANK(AC475), "", VLOOKUP(AC475, Z!$A$2:$C$4127, 3, FALSE))</f>
        <v/>
      </c>
      <c r="AE475" s="270"/>
      <c r="AF475" s="265">
        <f t="shared" si="634"/>
        <v>0</v>
      </c>
      <c r="AG475" s="246"/>
      <c r="AH475" s="228">
        <f t="shared" si="657"/>
        <v>1</v>
      </c>
      <c r="AI475" s="228">
        <f t="shared" si="658"/>
        <v>1</v>
      </c>
      <c r="AJ475" s="228">
        <f t="shared" si="659"/>
        <v>0</v>
      </c>
      <c r="AK475" s="228">
        <v>0</v>
      </c>
      <c r="AL475" s="228">
        <v>0</v>
      </c>
      <c r="AM475" s="228">
        <f t="shared" si="635"/>
        <v>-100</v>
      </c>
      <c r="AN475" s="228" cm="1">
        <f t="array" ref="AN475">IF(ISBLANK(G475), 1, IFERROR(MATCH(G475, INDEX(Kat,,1), 0), IFERROR(MATCH(Kat, INDEX(Use,,2), 0), MATCH(Kat, INDEX(Use,,3), 0))))</f>
        <v>1</v>
      </c>
      <c r="AO475" s="246"/>
      <c r="AP475" s="228" cm="1">
        <f t="array" ref="AP475">IF(W475&gt;0, INDEX(Kat, AN475,4), 0)</f>
        <v>0</v>
      </c>
      <c r="AQ475" s="228">
        <f t="shared" si="660"/>
        <v>0</v>
      </c>
      <c r="AR475" s="228" cm="1">
        <f t="array" ref="AR475">IF(X475&gt;0, INDEX(Kat, $AN475, 4+AQ475), 0)</f>
        <v>0</v>
      </c>
      <c r="AS475" s="228" cm="1">
        <f t="array" ref="AS475">IF(X475&gt;0, INDEX(Kat, $AN475, 9+AQ475), 0)</f>
        <v>0</v>
      </c>
      <c r="AT475" s="246"/>
      <c r="AU475" s="262"/>
      <c r="AV475" s="262"/>
      <c r="AW475" s="263"/>
      <c r="AX475" s="263"/>
      <c r="AY475" s="263"/>
      <c r="AZ475" s="263"/>
      <c r="BA475" s="263"/>
      <c r="BB475" s="263"/>
      <c r="BC475" s="263"/>
      <c r="BD475" s="263"/>
      <c r="BE475" s="263"/>
      <c r="BF475" s="263"/>
      <c r="BG475" s="263"/>
      <c r="BH475" s="246"/>
      <c r="BI475" s="228" cm="1">
        <f t="array" ref="BI475">INDEX(Use, $AH475, 4)</f>
        <v>7</v>
      </c>
      <c r="BJ475" s="228">
        <f t="shared" si="636"/>
        <v>32</v>
      </c>
      <c r="BK475" s="228">
        <f t="shared" si="662"/>
        <v>13</v>
      </c>
      <c r="BL475" s="228">
        <f t="shared" si="663"/>
        <v>0</v>
      </c>
      <c r="BM475" s="233" cm="1">
        <f t="array" ref="BM475">L475/IF($M475&gt;0, INDEX($AY$22:$BE$76, $M475+20, $AH475), 1)</f>
        <v>0</v>
      </c>
      <c r="BN475" s="229">
        <f t="shared" si="637"/>
        <v>0</v>
      </c>
      <c r="BO475" s="228">
        <v>35</v>
      </c>
      <c r="BP475" s="229">
        <f t="shared" si="638"/>
        <v>48</v>
      </c>
      <c r="BQ475" s="234">
        <f t="shared" si="639"/>
        <v>3.0748170731707316</v>
      </c>
      <c r="BR475" s="234" cm="1">
        <f t="array" ref="BR475">$BM475 * SUMPRODUCT(INDEX($AV$76:$AX$81,,$AI475),INDEX($AY$76:$BE$81,,$AH475), N($AU$76:$AU$81&gt;$AM475)) / BQ475 / 1000</f>
        <v>0</v>
      </c>
      <c r="BS475" s="231">
        <f t="shared" si="664"/>
        <v>30</v>
      </c>
      <c r="BT475" s="229">
        <f t="shared" si="640"/>
        <v>43</v>
      </c>
      <c r="BU475" s="234">
        <f t="shared" si="641"/>
        <v>3.5018750000000001</v>
      </c>
      <c r="BV475" s="234" cm="1">
        <f t="array" ref="BV475">$BM475 * IF($AH475&lt;=2,
SUMPRODUCT(INDEX($AV$71:$AX$75,,$AI475), INDEX($AY$71:$BE$75,,$AH475), 1 / ($BF$71:$BF$75*BU475 + (1-$BF$71:$BF$75)*BQ475), N($AU$71:$AU$75&gt;$AM475)),
SUMPRODUCT(INDEX($AV$66:$AX$75,,$AI475), INDEX($AY$66:$BE$75,,$AH475), 1 / ($BG$66:$BG$75*BU475 + (1-$BG$66:$BG$75)*BQ475), N($AU$66:$AU$75&gt;$AM475))
) / 1000</f>
        <v>0</v>
      </c>
      <c r="BW475" s="231">
        <f t="shared" si="665"/>
        <v>25</v>
      </c>
      <c r="BX475" s="229">
        <f t="shared" si="642"/>
        <v>38</v>
      </c>
      <c r="BY475" s="234">
        <f t="shared" si="643"/>
        <v>4.0666935483870965</v>
      </c>
      <c r="BZ475" s="234" cm="1">
        <f t="array" ref="BZ475">$BM475 * IF($AH475&lt;=2,
SUMPRODUCT(INDEX($AV$66:$AX$70,,$AI475), INDEX($AY$66:$BE$70,,$AH475), 1 / ($BF$66:$BF$70*BY475 + (1-$BF$66:$BF$70)*BU475), N($AU$66:$AU$70&gt;$AM475)),
SUMPRODUCT(INDEX($AV$56:$AX$65,,$AI475), INDEX($AY$56:$BE$65,,$AH475), 1 / ($BG$56:$BG$65*BY475 + (1-$BG$56:$BG$65)*BU475), N($AU$56:$AU$65&gt;$AM475))
) / 1000</f>
        <v>0</v>
      </c>
      <c r="CA475" s="231">
        <f t="shared" si="666"/>
        <v>20</v>
      </c>
      <c r="CB475" s="229">
        <f t="shared" si="644"/>
        <v>33</v>
      </c>
      <c r="CC475" s="234">
        <f t="shared" si="645"/>
        <v>4.8487499999999999</v>
      </c>
      <c r="CD475" s="234" cm="1">
        <f t="array" ref="CD475">$BM475 * IF($AH475&lt;=2,
SUMPRODUCT(INDEX($AV$61:$AX$65,,$AI475), INDEX($AY$61:$BE$65,,$AH475), 1 / ($BF$61:$BF$65*CC475 + (1-$BF$61:$BF$65)*BY475), N($AU$61:$AU$65&gt;$AM475)),
SUMPRODUCT(INDEX($AV$46:$AX$55,,$AI475), INDEX($AY$46:$BE$55,,$AH475), 1 / ($BG$46:$BG$55*CC475 + (1-$BG$46:$BG$55)*BY475), N($AU$46:$AU$55&gt;$AM475))
) / 1000</f>
        <v>0</v>
      </c>
      <c r="CE475" s="234" cm="1">
        <f t="array" ref="CE475">$BM475 * IF($AH475&lt;=2,
SUMPRODUCT(INDEX($AV$22:$AX$60,,$AI475), INDEX($AY$22:$BE$60,,$AH475), 1 / ($BF$22:$BF$60*CC475), N($AU$22:$AU$60&gt;$AM475)),
SUMPRODUCT(INDEX($AV$22:$AX$45,,$AI475), INDEX($AY$22:$BE$45,,$AH475), 1 / ($BG$22:$BG$45*CC475), N($AU$22:$AU$45&gt;$AM475))
) / 1000</f>
        <v>0</v>
      </c>
      <c r="CF475" s="229">
        <f t="shared" si="646"/>
        <v>0</v>
      </c>
      <c r="CG475" s="246"/>
      <c r="CH475" s="229">
        <f t="shared" si="647"/>
        <v>0</v>
      </c>
      <c r="CI475" s="228">
        <v>35</v>
      </c>
      <c r="CJ475" s="229">
        <f t="shared" si="648"/>
        <v>48</v>
      </c>
      <c r="CK475" s="234">
        <f t="shared" si="649"/>
        <v>3.0748170731707316</v>
      </c>
      <c r="CL475" s="234" cm="1">
        <f t="array" ref="CL475">$BM475 * SUMPRODUCT(INDEX($AV$76:$AX$81,,$AI475),INDEX($AY$76:$BE$81,,$AH475), N($AU$76:$AU$81&gt;$AM475)) / CK475 / 1000</f>
        <v>0</v>
      </c>
      <c r="CM475" s="231">
        <f t="shared" si="667"/>
        <v>30</v>
      </c>
      <c r="CN475" s="229">
        <f t="shared" si="650"/>
        <v>43</v>
      </c>
      <c r="CO475" s="234">
        <f t="shared" si="651"/>
        <v>3.5018750000000001</v>
      </c>
      <c r="CP475" s="234" cm="1">
        <f t="array" ref="CP475">$BM475 * IF($AH475&lt;=2,
SUMPRODUCT(INDEX($AV$71:$AX$75,,$AI475), INDEX($AY$71:$BE$75,,$AH475), 1 / ($BF$71:$BF$75*CO475 + (1-$BF$71:$BF$75)*CK475), N($AU$71:$AU$75&gt;$AM475)),
SUMPRODUCT(INDEX($AV$66:$AX$75,,$AI475), INDEX($AY$66:$BE$75,,$AH475), 1 / ($BG$66:$BG$75*CO475 + (1-$BG$66:$BG$75)*CK475), N($AU$66:$AU$75&gt;$AM475))
) / 1000</f>
        <v>0</v>
      </c>
      <c r="CQ475" s="231">
        <f t="shared" si="668"/>
        <v>25</v>
      </c>
      <c r="CR475" s="229">
        <f t="shared" si="652"/>
        <v>38</v>
      </c>
      <c r="CS475" s="234">
        <f t="shared" si="653"/>
        <v>4.0666935483870965</v>
      </c>
      <c r="CT475" s="234" cm="1">
        <f t="array" ref="CT475">$BM475 * IF($AH475&lt;=2,
SUMPRODUCT(INDEX($AV$66:$AX$70,,$AI475), INDEX($AY$66:$BE$70,,$AH475), 1 / ($BF$66:$BF$70*CS475 + (1-$BF$66:$BF$70)*CO475), N($AU$66:$AU$70&gt;$AM475)),
SUMPRODUCT(INDEX($AV$56:$AX$65,,$AI475), INDEX($AY$56:$BE$65,,$AH475), 1 / ($BG$56:$BG$65*CS475 + (1-$BG$56:$BG$65)*CO475), N($AU$56:$AU$65&gt;$AM475))
) / 1000</f>
        <v>0</v>
      </c>
      <c r="CU475" s="231">
        <f t="shared" si="669"/>
        <v>20</v>
      </c>
      <c r="CV475" s="229">
        <f t="shared" si="654"/>
        <v>33</v>
      </c>
      <c r="CW475" s="234">
        <f t="shared" si="655"/>
        <v>4.8487499999999999</v>
      </c>
      <c r="CX475" s="234" cm="1">
        <f t="array" ref="CX475">$BM475 * IF($AH475&lt;=2,
SUMPRODUCT(INDEX($AV$61:$AX$65,,$AI475), INDEX($AY$61:$BE$65,,$AH475), 1 / ($BF$61:$BF$65*CW475 + (1-$BF$61:$BF$65)*CS475), N($AU$61:$AU$65&gt;$AM475)),
SUMPRODUCT(INDEX($AV$46:$AX$55,,$AI475), INDEX($AY$46:$BE$55,,$AH475), 1 / ($BG$46:$BG$55*CW475 + (1-$BG$46:$BG$55)*CS475), N($AU$46:$AU$55&gt;$AM475))
) / 1000</f>
        <v>0</v>
      </c>
      <c r="CY475" s="234" cm="1">
        <f t="array" ref="CY475">$BM475 * IF($AH475&lt;=2,
SUMPRODUCT(INDEX($AV$22:$AX$60,,$AI475), INDEX($AY$22:$BE$60,,$AH475), 1 / ($BF$22:$BF$60*CW475), N($AU$22:$AU$60&gt;$AM475)),
SUMPRODUCT(INDEX($AV$22:$AX$45,,$AI475), INDEX($AY$22:$BE$45,,$AH475), 1 / ($BG$22:$BG$45*CW475), N($AU$22:$AU$45&gt;$AM475))
) / 1000</f>
        <v>0</v>
      </c>
      <c r="CZ475" s="229">
        <f t="shared" si="656"/>
        <v>0</v>
      </c>
      <c r="DA475" s="246"/>
    </row>
    <row r="476" spans="1:105" s="75" customFormat="1" ht="14.25" customHeight="1" x14ac:dyDescent="0.2">
      <c r="A476" s="230" t="b">
        <f t="shared" si="661"/>
        <v>0</v>
      </c>
      <c r="B476" s="253">
        <v>455</v>
      </c>
      <c r="C476" s="266"/>
      <c r="D476" s="266"/>
      <c r="E476" s="254"/>
      <c r="F476" s="255" t="str">
        <f>IF(ISBLANK(E476), "", VLOOKUP(E476, Z!$A$2:$C$4127, 3, FALSE))</f>
        <v/>
      </c>
      <c r="G476" s="256"/>
      <c r="H476" s="256"/>
      <c r="I476" s="256"/>
      <c r="J476" s="257"/>
      <c r="K476" s="258"/>
      <c r="L476" s="267"/>
      <c r="M476" s="268"/>
      <c r="N476" s="259" t="str" cm="1">
        <f t="array" ref="N476">IF($L476&gt;0, INDEX(Clean,1+AK476,$D$1), "")</f>
        <v/>
      </c>
      <c r="O476" s="260"/>
      <c r="P476" s="260"/>
      <c r="Q476" s="261"/>
      <c r="R476" s="264">
        <f t="shared" si="632"/>
        <v>0</v>
      </c>
      <c r="S476" s="259" t="str" cm="1">
        <f t="array" ref="S476">IF($L476&gt;0, INDEX(Clean,1+AL476,$D$1), "")</f>
        <v/>
      </c>
      <c r="T476" s="260"/>
      <c r="U476" s="260"/>
      <c r="V476" s="261"/>
      <c r="W476" s="267"/>
      <c r="X476" s="267"/>
      <c r="Y476" s="257"/>
      <c r="Z476" s="264">
        <f t="shared" si="633"/>
        <v>0</v>
      </c>
      <c r="AA476" s="269"/>
      <c r="AB476" s="266"/>
      <c r="AC476" s="254"/>
      <c r="AD476" s="255" t="str">
        <f>IF(ISBLANK(AC476), "", VLOOKUP(AC476, Z!$A$2:$C$4127, 3, FALSE))</f>
        <v/>
      </c>
      <c r="AE476" s="270"/>
      <c r="AF476" s="265">
        <f t="shared" si="634"/>
        <v>0</v>
      </c>
      <c r="AG476" s="246"/>
      <c r="AH476" s="228">
        <f t="shared" si="657"/>
        <v>1</v>
      </c>
      <c r="AI476" s="228">
        <f t="shared" si="658"/>
        <v>1</v>
      </c>
      <c r="AJ476" s="228">
        <f t="shared" si="659"/>
        <v>0</v>
      </c>
      <c r="AK476" s="228">
        <v>0</v>
      </c>
      <c r="AL476" s="228">
        <v>0</v>
      </c>
      <c r="AM476" s="228">
        <f t="shared" si="635"/>
        <v>-100</v>
      </c>
      <c r="AN476" s="228" cm="1">
        <f t="array" ref="AN476">IF(ISBLANK(G476), 1, IFERROR(MATCH(G476, INDEX(Kat,,1), 0), IFERROR(MATCH(Kat, INDEX(Use,,2), 0), MATCH(Kat, INDEX(Use,,3), 0))))</f>
        <v>1</v>
      </c>
      <c r="AO476" s="246"/>
      <c r="AP476" s="228" cm="1">
        <f t="array" ref="AP476">IF(W476&gt;0, INDEX(Kat, AN476,4), 0)</f>
        <v>0</v>
      </c>
      <c r="AQ476" s="228">
        <f t="shared" si="660"/>
        <v>0</v>
      </c>
      <c r="AR476" s="228" cm="1">
        <f t="array" ref="AR476">IF(X476&gt;0, INDEX(Kat, $AN476, 4+AQ476), 0)</f>
        <v>0</v>
      </c>
      <c r="AS476" s="228" cm="1">
        <f t="array" ref="AS476">IF(X476&gt;0, INDEX(Kat, $AN476, 9+AQ476), 0)</f>
        <v>0</v>
      </c>
      <c r="AT476" s="246"/>
      <c r="AU476" s="262"/>
      <c r="AV476" s="262"/>
      <c r="AW476" s="263"/>
      <c r="AX476" s="263"/>
      <c r="AY476" s="263"/>
      <c r="AZ476" s="263"/>
      <c r="BA476" s="263"/>
      <c r="BB476" s="263"/>
      <c r="BC476" s="263"/>
      <c r="BD476" s="263"/>
      <c r="BE476" s="263"/>
      <c r="BF476" s="263"/>
      <c r="BG476" s="263"/>
      <c r="BH476" s="246"/>
      <c r="BI476" s="228" cm="1">
        <f t="array" ref="BI476">INDEX(Use, $AH476, 4)</f>
        <v>7</v>
      </c>
      <c r="BJ476" s="228">
        <f t="shared" si="636"/>
        <v>32</v>
      </c>
      <c r="BK476" s="228">
        <f t="shared" si="662"/>
        <v>13</v>
      </c>
      <c r="BL476" s="228">
        <f t="shared" si="663"/>
        <v>0</v>
      </c>
      <c r="BM476" s="233" cm="1">
        <f t="array" ref="BM476">L476/IF($M476&gt;0, INDEX($AY$22:$BE$76, $M476+20, $AH476), 1)</f>
        <v>0</v>
      </c>
      <c r="BN476" s="229">
        <f t="shared" si="637"/>
        <v>0</v>
      </c>
      <c r="BO476" s="228">
        <v>35</v>
      </c>
      <c r="BP476" s="229">
        <f t="shared" si="638"/>
        <v>48</v>
      </c>
      <c r="BQ476" s="234">
        <f t="shared" si="639"/>
        <v>3.0748170731707316</v>
      </c>
      <c r="BR476" s="234" cm="1">
        <f t="array" ref="BR476">$BM476 * SUMPRODUCT(INDEX($AV$76:$AX$81,,$AI476),INDEX($AY$76:$BE$81,,$AH476), N($AU$76:$AU$81&gt;$AM476)) / BQ476 / 1000</f>
        <v>0</v>
      </c>
      <c r="BS476" s="231">
        <f t="shared" si="664"/>
        <v>30</v>
      </c>
      <c r="BT476" s="229">
        <f t="shared" si="640"/>
        <v>43</v>
      </c>
      <c r="BU476" s="234">
        <f t="shared" si="641"/>
        <v>3.5018750000000001</v>
      </c>
      <c r="BV476" s="234" cm="1">
        <f t="array" ref="BV476">$BM476 * IF($AH476&lt;=2,
SUMPRODUCT(INDEX($AV$71:$AX$75,,$AI476), INDEX($AY$71:$BE$75,,$AH476), 1 / ($BF$71:$BF$75*BU476 + (1-$BF$71:$BF$75)*BQ476), N($AU$71:$AU$75&gt;$AM476)),
SUMPRODUCT(INDEX($AV$66:$AX$75,,$AI476), INDEX($AY$66:$BE$75,,$AH476), 1 / ($BG$66:$BG$75*BU476 + (1-$BG$66:$BG$75)*BQ476), N($AU$66:$AU$75&gt;$AM476))
) / 1000</f>
        <v>0</v>
      </c>
      <c r="BW476" s="231">
        <f t="shared" si="665"/>
        <v>25</v>
      </c>
      <c r="BX476" s="229">
        <f t="shared" si="642"/>
        <v>38</v>
      </c>
      <c r="BY476" s="234">
        <f t="shared" si="643"/>
        <v>4.0666935483870965</v>
      </c>
      <c r="BZ476" s="234" cm="1">
        <f t="array" ref="BZ476">$BM476 * IF($AH476&lt;=2,
SUMPRODUCT(INDEX($AV$66:$AX$70,,$AI476), INDEX($AY$66:$BE$70,,$AH476), 1 / ($BF$66:$BF$70*BY476 + (1-$BF$66:$BF$70)*BU476), N($AU$66:$AU$70&gt;$AM476)),
SUMPRODUCT(INDEX($AV$56:$AX$65,,$AI476), INDEX($AY$56:$BE$65,,$AH476), 1 / ($BG$56:$BG$65*BY476 + (1-$BG$56:$BG$65)*BU476), N($AU$56:$AU$65&gt;$AM476))
) / 1000</f>
        <v>0</v>
      </c>
      <c r="CA476" s="231">
        <f t="shared" si="666"/>
        <v>20</v>
      </c>
      <c r="CB476" s="229">
        <f t="shared" si="644"/>
        <v>33</v>
      </c>
      <c r="CC476" s="234">
        <f t="shared" si="645"/>
        <v>4.8487499999999999</v>
      </c>
      <c r="CD476" s="234" cm="1">
        <f t="array" ref="CD476">$BM476 * IF($AH476&lt;=2,
SUMPRODUCT(INDEX($AV$61:$AX$65,,$AI476), INDEX($AY$61:$BE$65,,$AH476), 1 / ($BF$61:$BF$65*CC476 + (1-$BF$61:$BF$65)*BY476), N($AU$61:$AU$65&gt;$AM476)),
SUMPRODUCT(INDEX($AV$46:$AX$55,,$AI476), INDEX($AY$46:$BE$55,,$AH476), 1 / ($BG$46:$BG$55*CC476 + (1-$BG$46:$BG$55)*BY476), N($AU$46:$AU$55&gt;$AM476))
) / 1000</f>
        <v>0</v>
      </c>
      <c r="CE476" s="234" cm="1">
        <f t="array" ref="CE476">$BM476 * IF($AH476&lt;=2,
SUMPRODUCT(INDEX($AV$22:$AX$60,,$AI476), INDEX($AY$22:$BE$60,,$AH476), 1 / ($BF$22:$BF$60*CC476), N($AU$22:$AU$60&gt;$AM476)),
SUMPRODUCT(INDEX($AV$22:$AX$45,,$AI476), INDEX($AY$22:$BE$45,,$AH476), 1 / ($BG$22:$BG$45*CC476), N($AU$22:$AU$45&gt;$AM476))
) / 1000</f>
        <v>0</v>
      </c>
      <c r="CF476" s="229">
        <f t="shared" si="646"/>
        <v>0</v>
      </c>
      <c r="CG476" s="246"/>
      <c r="CH476" s="229">
        <f t="shared" si="647"/>
        <v>0</v>
      </c>
      <c r="CI476" s="228">
        <v>35</v>
      </c>
      <c r="CJ476" s="229">
        <f t="shared" si="648"/>
        <v>48</v>
      </c>
      <c r="CK476" s="234">
        <f t="shared" si="649"/>
        <v>3.0748170731707316</v>
      </c>
      <c r="CL476" s="234" cm="1">
        <f t="array" ref="CL476">$BM476 * SUMPRODUCT(INDEX($AV$76:$AX$81,,$AI476),INDEX($AY$76:$BE$81,,$AH476), N($AU$76:$AU$81&gt;$AM476)) / CK476 / 1000</f>
        <v>0</v>
      </c>
      <c r="CM476" s="231">
        <f t="shared" si="667"/>
        <v>30</v>
      </c>
      <c r="CN476" s="229">
        <f t="shared" si="650"/>
        <v>43</v>
      </c>
      <c r="CO476" s="234">
        <f t="shared" si="651"/>
        <v>3.5018750000000001</v>
      </c>
      <c r="CP476" s="234" cm="1">
        <f t="array" ref="CP476">$BM476 * IF($AH476&lt;=2,
SUMPRODUCT(INDEX($AV$71:$AX$75,,$AI476), INDEX($AY$71:$BE$75,,$AH476), 1 / ($BF$71:$BF$75*CO476 + (1-$BF$71:$BF$75)*CK476), N($AU$71:$AU$75&gt;$AM476)),
SUMPRODUCT(INDEX($AV$66:$AX$75,,$AI476), INDEX($AY$66:$BE$75,,$AH476), 1 / ($BG$66:$BG$75*CO476 + (1-$BG$66:$BG$75)*CK476), N($AU$66:$AU$75&gt;$AM476))
) / 1000</f>
        <v>0</v>
      </c>
      <c r="CQ476" s="231">
        <f t="shared" si="668"/>
        <v>25</v>
      </c>
      <c r="CR476" s="229">
        <f t="shared" si="652"/>
        <v>38</v>
      </c>
      <c r="CS476" s="234">
        <f t="shared" si="653"/>
        <v>4.0666935483870965</v>
      </c>
      <c r="CT476" s="234" cm="1">
        <f t="array" ref="CT476">$BM476 * IF($AH476&lt;=2,
SUMPRODUCT(INDEX($AV$66:$AX$70,,$AI476), INDEX($AY$66:$BE$70,,$AH476), 1 / ($BF$66:$BF$70*CS476 + (1-$BF$66:$BF$70)*CO476), N($AU$66:$AU$70&gt;$AM476)),
SUMPRODUCT(INDEX($AV$56:$AX$65,,$AI476), INDEX($AY$56:$BE$65,,$AH476), 1 / ($BG$56:$BG$65*CS476 + (1-$BG$56:$BG$65)*CO476), N($AU$56:$AU$65&gt;$AM476))
) / 1000</f>
        <v>0</v>
      </c>
      <c r="CU476" s="231">
        <f t="shared" si="669"/>
        <v>20</v>
      </c>
      <c r="CV476" s="229">
        <f t="shared" si="654"/>
        <v>33</v>
      </c>
      <c r="CW476" s="234">
        <f t="shared" si="655"/>
        <v>4.8487499999999999</v>
      </c>
      <c r="CX476" s="234" cm="1">
        <f t="array" ref="CX476">$BM476 * IF($AH476&lt;=2,
SUMPRODUCT(INDEX($AV$61:$AX$65,,$AI476), INDEX($AY$61:$BE$65,,$AH476), 1 / ($BF$61:$BF$65*CW476 + (1-$BF$61:$BF$65)*CS476), N($AU$61:$AU$65&gt;$AM476)),
SUMPRODUCT(INDEX($AV$46:$AX$55,,$AI476), INDEX($AY$46:$BE$55,,$AH476), 1 / ($BG$46:$BG$55*CW476 + (1-$BG$46:$BG$55)*CS476), N($AU$46:$AU$55&gt;$AM476))
) / 1000</f>
        <v>0</v>
      </c>
      <c r="CY476" s="234" cm="1">
        <f t="array" ref="CY476">$BM476 * IF($AH476&lt;=2,
SUMPRODUCT(INDEX($AV$22:$AX$60,,$AI476), INDEX($AY$22:$BE$60,,$AH476), 1 / ($BF$22:$BF$60*CW476), N($AU$22:$AU$60&gt;$AM476)),
SUMPRODUCT(INDEX($AV$22:$AX$45,,$AI476), INDEX($AY$22:$BE$45,,$AH476), 1 / ($BG$22:$BG$45*CW476), N($AU$22:$AU$45&gt;$AM476))
) / 1000</f>
        <v>0</v>
      </c>
      <c r="CZ476" s="229">
        <f t="shared" si="656"/>
        <v>0</v>
      </c>
      <c r="DA476" s="246"/>
    </row>
    <row r="477" spans="1:105" s="75" customFormat="1" ht="14.25" customHeight="1" x14ac:dyDescent="0.2">
      <c r="A477" s="230" t="b">
        <f t="shared" si="661"/>
        <v>0</v>
      </c>
      <c r="B477" s="253">
        <v>456</v>
      </c>
      <c r="C477" s="266"/>
      <c r="D477" s="266"/>
      <c r="E477" s="254"/>
      <c r="F477" s="255" t="str">
        <f>IF(ISBLANK(E477), "", VLOOKUP(E477, Z!$A$2:$C$4127, 3, FALSE))</f>
        <v/>
      </c>
      <c r="G477" s="256"/>
      <c r="H477" s="256"/>
      <c r="I477" s="256"/>
      <c r="J477" s="257"/>
      <c r="K477" s="258"/>
      <c r="L477" s="267"/>
      <c r="M477" s="268"/>
      <c r="N477" s="259" t="str" cm="1">
        <f t="array" ref="N477">IF($L477&gt;0, INDEX(Clean,1+AK477,$D$1), "")</f>
        <v/>
      </c>
      <c r="O477" s="260"/>
      <c r="P477" s="260"/>
      <c r="Q477" s="261"/>
      <c r="R477" s="264">
        <f t="shared" si="632"/>
        <v>0</v>
      </c>
      <c r="S477" s="259" t="str" cm="1">
        <f t="array" ref="S477">IF($L477&gt;0, INDEX(Clean,1+AL477,$D$1), "")</f>
        <v/>
      </c>
      <c r="T477" s="260"/>
      <c r="U477" s="260"/>
      <c r="V477" s="261"/>
      <c r="W477" s="267"/>
      <c r="X477" s="267"/>
      <c r="Y477" s="257"/>
      <c r="Z477" s="264">
        <f t="shared" si="633"/>
        <v>0</v>
      </c>
      <c r="AA477" s="269"/>
      <c r="AB477" s="266"/>
      <c r="AC477" s="254"/>
      <c r="AD477" s="255" t="str">
        <f>IF(ISBLANK(AC477), "", VLOOKUP(AC477, Z!$A$2:$C$4127, 3, FALSE))</f>
        <v/>
      </c>
      <c r="AE477" s="270"/>
      <c r="AF477" s="265">
        <f t="shared" si="634"/>
        <v>0</v>
      </c>
      <c r="AG477" s="246"/>
      <c r="AH477" s="228">
        <f t="shared" si="657"/>
        <v>1</v>
      </c>
      <c r="AI477" s="228">
        <f t="shared" si="658"/>
        <v>1</v>
      </c>
      <c r="AJ477" s="228">
        <f t="shared" si="659"/>
        <v>0</v>
      </c>
      <c r="AK477" s="228">
        <v>0</v>
      </c>
      <c r="AL477" s="228">
        <v>0</v>
      </c>
      <c r="AM477" s="228">
        <f t="shared" si="635"/>
        <v>-100</v>
      </c>
      <c r="AN477" s="228" cm="1">
        <f t="array" ref="AN477">IF(ISBLANK(G477), 1, IFERROR(MATCH(G477, INDEX(Kat,,1), 0), IFERROR(MATCH(Kat, INDEX(Use,,2), 0), MATCH(Kat, INDEX(Use,,3), 0))))</f>
        <v>1</v>
      </c>
      <c r="AO477" s="246"/>
      <c r="AP477" s="228" cm="1">
        <f t="array" ref="AP477">IF(W477&gt;0, INDEX(Kat, AN477,4), 0)</f>
        <v>0</v>
      </c>
      <c r="AQ477" s="228">
        <f t="shared" si="660"/>
        <v>0</v>
      </c>
      <c r="AR477" s="228" cm="1">
        <f t="array" ref="AR477">IF(X477&gt;0, INDEX(Kat, $AN477, 4+AQ477), 0)</f>
        <v>0</v>
      </c>
      <c r="AS477" s="228" cm="1">
        <f t="array" ref="AS477">IF(X477&gt;0, INDEX(Kat, $AN477, 9+AQ477), 0)</f>
        <v>0</v>
      </c>
      <c r="AT477" s="246"/>
      <c r="AU477" s="262"/>
      <c r="AV477" s="262"/>
      <c r="AW477" s="263"/>
      <c r="AX477" s="263"/>
      <c r="AY477" s="263"/>
      <c r="AZ477" s="263"/>
      <c r="BA477" s="263"/>
      <c r="BB477" s="263"/>
      <c r="BC477" s="263"/>
      <c r="BD477" s="263"/>
      <c r="BE477" s="263"/>
      <c r="BF477" s="263"/>
      <c r="BG477" s="263"/>
      <c r="BH477" s="246"/>
      <c r="BI477" s="228" cm="1">
        <f t="array" ref="BI477">INDEX(Use, $AH477, 4)</f>
        <v>7</v>
      </c>
      <c r="BJ477" s="228">
        <f t="shared" si="636"/>
        <v>32</v>
      </c>
      <c r="BK477" s="228">
        <f t="shared" si="662"/>
        <v>13</v>
      </c>
      <c r="BL477" s="228">
        <f t="shared" si="663"/>
        <v>0</v>
      </c>
      <c r="BM477" s="233" cm="1">
        <f t="array" ref="BM477">L477/IF($M477&gt;0, INDEX($AY$22:$BE$76, $M477+20, $AH477), 1)</f>
        <v>0</v>
      </c>
      <c r="BN477" s="229">
        <f t="shared" si="637"/>
        <v>0</v>
      </c>
      <c r="BO477" s="228">
        <v>35</v>
      </c>
      <c r="BP477" s="229">
        <f t="shared" si="638"/>
        <v>48</v>
      </c>
      <c r="BQ477" s="234">
        <f t="shared" si="639"/>
        <v>3.0748170731707316</v>
      </c>
      <c r="BR477" s="234" cm="1">
        <f t="array" ref="BR477">$BM477 * SUMPRODUCT(INDEX($AV$76:$AX$81,,$AI477),INDEX($AY$76:$BE$81,,$AH477), N($AU$76:$AU$81&gt;$AM477)) / BQ477 / 1000</f>
        <v>0</v>
      </c>
      <c r="BS477" s="231">
        <f t="shared" si="664"/>
        <v>30</v>
      </c>
      <c r="BT477" s="229">
        <f t="shared" si="640"/>
        <v>43</v>
      </c>
      <c r="BU477" s="234">
        <f t="shared" si="641"/>
        <v>3.5018750000000001</v>
      </c>
      <c r="BV477" s="234" cm="1">
        <f t="array" ref="BV477">$BM477 * IF($AH477&lt;=2,
SUMPRODUCT(INDEX($AV$71:$AX$75,,$AI477), INDEX($AY$71:$BE$75,,$AH477), 1 / ($BF$71:$BF$75*BU477 + (1-$BF$71:$BF$75)*BQ477), N($AU$71:$AU$75&gt;$AM477)),
SUMPRODUCT(INDEX($AV$66:$AX$75,,$AI477), INDEX($AY$66:$BE$75,,$AH477), 1 / ($BG$66:$BG$75*BU477 + (1-$BG$66:$BG$75)*BQ477), N($AU$66:$AU$75&gt;$AM477))
) / 1000</f>
        <v>0</v>
      </c>
      <c r="BW477" s="231">
        <f t="shared" si="665"/>
        <v>25</v>
      </c>
      <c r="BX477" s="229">
        <f t="shared" si="642"/>
        <v>38</v>
      </c>
      <c r="BY477" s="234">
        <f t="shared" si="643"/>
        <v>4.0666935483870965</v>
      </c>
      <c r="BZ477" s="234" cm="1">
        <f t="array" ref="BZ477">$BM477 * IF($AH477&lt;=2,
SUMPRODUCT(INDEX($AV$66:$AX$70,,$AI477), INDEX($AY$66:$BE$70,,$AH477), 1 / ($BF$66:$BF$70*BY477 + (1-$BF$66:$BF$70)*BU477), N($AU$66:$AU$70&gt;$AM477)),
SUMPRODUCT(INDEX($AV$56:$AX$65,,$AI477), INDEX($AY$56:$BE$65,,$AH477), 1 / ($BG$56:$BG$65*BY477 + (1-$BG$56:$BG$65)*BU477), N($AU$56:$AU$65&gt;$AM477))
) / 1000</f>
        <v>0</v>
      </c>
      <c r="CA477" s="231">
        <f t="shared" si="666"/>
        <v>20</v>
      </c>
      <c r="CB477" s="229">
        <f t="shared" si="644"/>
        <v>33</v>
      </c>
      <c r="CC477" s="234">
        <f t="shared" si="645"/>
        <v>4.8487499999999999</v>
      </c>
      <c r="CD477" s="234" cm="1">
        <f t="array" ref="CD477">$BM477 * IF($AH477&lt;=2,
SUMPRODUCT(INDEX($AV$61:$AX$65,,$AI477), INDEX($AY$61:$BE$65,,$AH477), 1 / ($BF$61:$BF$65*CC477 + (1-$BF$61:$BF$65)*BY477), N($AU$61:$AU$65&gt;$AM477)),
SUMPRODUCT(INDEX($AV$46:$AX$55,,$AI477), INDEX($AY$46:$BE$55,,$AH477), 1 / ($BG$46:$BG$55*CC477 + (1-$BG$46:$BG$55)*BY477), N($AU$46:$AU$55&gt;$AM477))
) / 1000</f>
        <v>0</v>
      </c>
      <c r="CE477" s="234" cm="1">
        <f t="array" ref="CE477">$BM477 * IF($AH477&lt;=2,
SUMPRODUCT(INDEX($AV$22:$AX$60,,$AI477), INDEX($AY$22:$BE$60,,$AH477), 1 / ($BF$22:$BF$60*CC477), N($AU$22:$AU$60&gt;$AM477)),
SUMPRODUCT(INDEX($AV$22:$AX$45,,$AI477), INDEX($AY$22:$BE$45,,$AH477), 1 / ($BG$22:$BG$45*CC477), N($AU$22:$AU$45&gt;$AM477))
) / 1000</f>
        <v>0</v>
      </c>
      <c r="CF477" s="229">
        <f t="shared" si="646"/>
        <v>0</v>
      </c>
      <c r="CG477" s="246"/>
      <c r="CH477" s="229">
        <f t="shared" si="647"/>
        <v>0</v>
      </c>
      <c r="CI477" s="228">
        <v>35</v>
      </c>
      <c r="CJ477" s="229">
        <f t="shared" si="648"/>
        <v>48</v>
      </c>
      <c r="CK477" s="234">
        <f t="shared" si="649"/>
        <v>3.0748170731707316</v>
      </c>
      <c r="CL477" s="234" cm="1">
        <f t="array" ref="CL477">$BM477 * SUMPRODUCT(INDEX($AV$76:$AX$81,,$AI477),INDEX($AY$76:$BE$81,,$AH477), N($AU$76:$AU$81&gt;$AM477)) / CK477 / 1000</f>
        <v>0</v>
      </c>
      <c r="CM477" s="231">
        <f t="shared" si="667"/>
        <v>30</v>
      </c>
      <c r="CN477" s="229">
        <f t="shared" si="650"/>
        <v>43</v>
      </c>
      <c r="CO477" s="234">
        <f t="shared" si="651"/>
        <v>3.5018750000000001</v>
      </c>
      <c r="CP477" s="234" cm="1">
        <f t="array" ref="CP477">$BM477 * IF($AH477&lt;=2,
SUMPRODUCT(INDEX($AV$71:$AX$75,,$AI477), INDEX($AY$71:$BE$75,,$AH477), 1 / ($BF$71:$BF$75*CO477 + (1-$BF$71:$BF$75)*CK477), N($AU$71:$AU$75&gt;$AM477)),
SUMPRODUCT(INDEX($AV$66:$AX$75,,$AI477), INDEX($AY$66:$BE$75,,$AH477), 1 / ($BG$66:$BG$75*CO477 + (1-$BG$66:$BG$75)*CK477), N($AU$66:$AU$75&gt;$AM477))
) / 1000</f>
        <v>0</v>
      </c>
      <c r="CQ477" s="231">
        <f t="shared" si="668"/>
        <v>25</v>
      </c>
      <c r="CR477" s="229">
        <f t="shared" si="652"/>
        <v>38</v>
      </c>
      <c r="CS477" s="234">
        <f t="shared" si="653"/>
        <v>4.0666935483870965</v>
      </c>
      <c r="CT477" s="234" cm="1">
        <f t="array" ref="CT477">$BM477 * IF($AH477&lt;=2,
SUMPRODUCT(INDEX($AV$66:$AX$70,,$AI477), INDEX($AY$66:$BE$70,,$AH477), 1 / ($BF$66:$BF$70*CS477 + (1-$BF$66:$BF$70)*CO477), N($AU$66:$AU$70&gt;$AM477)),
SUMPRODUCT(INDEX($AV$56:$AX$65,,$AI477), INDEX($AY$56:$BE$65,,$AH477), 1 / ($BG$56:$BG$65*CS477 + (1-$BG$56:$BG$65)*CO477), N($AU$56:$AU$65&gt;$AM477))
) / 1000</f>
        <v>0</v>
      </c>
      <c r="CU477" s="231">
        <f t="shared" si="669"/>
        <v>20</v>
      </c>
      <c r="CV477" s="229">
        <f t="shared" si="654"/>
        <v>33</v>
      </c>
      <c r="CW477" s="234">
        <f t="shared" si="655"/>
        <v>4.8487499999999999</v>
      </c>
      <c r="CX477" s="234" cm="1">
        <f t="array" ref="CX477">$BM477 * IF($AH477&lt;=2,
SUMPRODUCT(INDEX($AV$61:$AX$65,,$AI477), INDEX($AY$61:$BE$65,,$AH477), 1 / ($BF$61:$BF$65*CW477 + (1-$BF$61:$BF$65)*CS477), N($AU$61:$AU$65&gt;$AM477)),
SUMPRODUCT(INDEX($AV$46:$AX$55,,$AI477), INDEX($AY$46:$BE$55,,$AH477), 1 / ($BG$46:$BG$55*CW477 + (1-$BG$46:$BG$55)*CS477), N($AU$46:$AU$55&gt;$AM477))
) / 1000</f>
        <v>0</v>
      </c>
      <c r="CY477" s="234" cm="1">
        <f t="array" ref="CY477">$BM477 * IF($AH477&lt;=2,
SUMPRODUCT(INDEX($AV$22:$AX$60,,$AI477), INDEX($AY$22:$BE$60,,$AH477), 1 / ($BF$22:$BF$60*CW477), N($AU$22:$AU$60&gt;$AM477)),
SUMPRODUCT(INDEX($AV$22:$AX$45,,$AI477), INDEX($AY$22:$BE$45,,$AH477), 1 / ($BG$22:$BG$45*CW477), N($AU$22:$AU$45&gt;$AM477))
) / 1000</f>
        <v>0</v>
      </c>
      <c r="CZ477" s="229">
        <f t="shared" si="656"/>
        <v>0</v>
      </c>
      <c r="DA477" s="246"/>
    </row>
    <row r="478" spans="1:105" s="75" customFormat="1" ht="14.25" customHeight="1" x14ac:dyDescent="0.2">
      <c r="A478" s="230" t="b">
        <f t="shared" si="661"/>
        <v>0</v>
      </c>
      <c r="B478" s="253">
        <v>457</v>
      </c>
      <c r="C478" s="266"/>
      <c r="D478" s="266"/>
      <c r="E478" s="254"/>
      <c r="F478" s="255" t="str">
        <f>IF(ISBLANK(E478), "", VLOOKUP(E478, Z!$A$2:$C$4127, 3, FALSE))</f>
        <v/>
      </c>
      <c r="G478" s="256"/>
      <c r="H478" s="256"/>
      <c r="I478" s="256"/>
      <c r="J478" s="257"/>
      <c r="K478" s="258"/>
      <c r="L478" s="267"/>
      <c r="M478" s="268"/>
      <c r="N478" s="259" t="str" cm="1">
        <f t="array" ref="N478">IF($L478&gt;0, INDEX(Clean,1+AK478,$D$1), "")</f>
        <v/>
      </c>
      <c r="O478" s="260"/>
      <c r="P478" s="260"/>
      <c r="Q478" s="261"/>
      <c r="R478" s="264">
        <f t="shared" si="632"/>
        <v>0</v>
      </c>
      <c r="S478" s="259" t="str" cm="1">
        <f t="array" ref="S478">IF($L478&gt;0, INDEX(Clean,1+AL478,$D$1), "")</f>
        <v/>
      </c>
      <c r="T478" s="260"/>
      <c r="U478" s="260"/>
      <c r="V478" s="261"/>
      <c r="W478" s="267"/>
      <c r="X478" s="267"/>
      <c r="Y478" s="257"/>
      <c r="Z478" s="264">
        <f t="shared" si="633"/>
        <v>0</v>
      </c>
      <c r="AA478" s="269"/>
      <c r="AB478" s="266"/>
      <c r="AC478" s="254"/>
      <c r="AD478" s="255" t="str">
        <f>IF(ISBLANK(AC478), "", VLOOKUP(AC478, Z!$A$2:$C$4127, 3, FALSE))</f>
        <v/>
      </c>
      <c r="AE478" s="270"/>
      <c r="AF478" s="265">
        <f t="shared" si="634"/>
        <v>0</v>
      </c>
      <c r="AG478" s="246"/>
      <c r="AH478" s="228">
        <f t="shared" si="657"/>
        <v>1</v>
      </c>
      <c r="AI478" s="228">
        <f t="shared" si="658"/>
        <v>1</v>
      </c>
      <c r="AJ478" s="228">
        <f t="shared" si="659"/>
        <v>0</v>
      </c>
      <c r="AK478" s="228">
        <v>0</v>
      </c>
      <c r="AL478" s="228">
        <v>0</v>
      </c>
      <c r="AM478" s="228">
        <f t="shared" si="635"/>
        <v>-100</v>
      </c>
      <c r="AN478" s="228" cm="1">
        <f t="array" ref="AN478">IF(ISBLANK(G478), 1, IFERROR(MATCH(G478, INDEX(Kat,,1), 0), IFERROR(MATCH(Kat, INDEX(Use,,2), 0), MATCH(Kat, INDEX(Use,,3), 0))))</f>
        <v>1</v>
      </c>
      <c r="AO478" s="246"/>
      <c r="AP478" s="228" cm="1">
        <f t="array" ref="AP478">IF(W478&gt;0, INDEX(Kat, AN478,4), 0)</f>
        <v>0</v>
      </c>
      <c r="AQ478" s="228">
        <f t="shared" si="660"/>
        <v>0</v>
      </c>
      <c r="AR478" s="228" cm="1">
        <f t="array" ref="AR478">IF(X478&gt;0, INDEX(Kat, $AN478, 4+AQ478), 0)</f>
        <v>0</v>
      </c>
      <c r="AS478" s="228" cm="1">
        <f t="array" ref="AS478">IF(X478&gt;0, INDEX(Kat, $AN478, 9+AQ478), 0)</f>
        <v>0</v>
      </c>
      <c r="AT478" s="246"/>
      <c r="AU478" s="262"/>
      <c r="AV478" s="262"/>
      <c r="AW478" s="263"/>
      <c r="AX478" s="263"/>
      <c r="AY478" s="263"/>
      <c r="AZ478" s="263"/>
      <c r="BA478" s="263"/>
      <c r="BB478" s="263"/>
      <c r="BC478" s="263"/>
      <c r="BD478" s="263"/>
      <c r="BE478" s="263"/>
      <c r="BF478" s="263"/>
      <c r="BG478" s="263"/>
      <c r="BH478" s="246"/>
      <c r="BI478" s="228" cm="1">
        <f t="array" ref="BI478">INDEX(Use, $AH478, 4)</f>
        <v>7</v>
      </c>
      <c r="BJ478" s="228">
        <f t="shared" si="636"/>
        <v>32</v>
      </c>
      <c r="BK478" s="228">
        <f t="shared" si="662"/>
        <v>13</v>
      </c>
      <c r="BL478" s="228">
        <f t="shared" si="663"/>
        <v>0</v>
      </c>
      <c r="BM478" s="233" cm="1">
        <f t="array" ref="BM478">L478/IF($M478&gt;0, INDEX($AY$22:$BE$76, $M478+20, $AH478), 1)</f>
        <v>0</v>
      </c>
      <c r="BN478" s="229">
        <f t="shared" si="637"/>
        <v>0</v>
      </c>
      <c r="BO478" s="228">
        <v>35</v>
      </c>
      <c r="BP478" s="229">
        <f t="shared" si="638"/>
        <v>48</v>
      </c>
      <c r="BQ478" s="234">
        <f t="shared" si="639"/>
        <v>3.0748170731707316</v>
      </c>
      <c r="BR478" s="234" cm="1">
        <f t="array" ref="BR478">$BM478 * SUMPRODUCT(INDEX($AV$76:$AX$81,,$AI478),INDEX($AY$76:$BE$81,,$AH478), N($AU$76:$AU$81&gt;$AM478)) / BQ478 / 1000</f>
        <v>0</v>
      </c>
      <c r="BS478" s="231">
        <f t="shared" si="664"/>
        <v>30</v>
      </c>
      <c r="BT478" s="229">
        <f t="shared" si="640"/>
        <v>43</v>
      </c>
      <c r="BU478" s="234">
        <f t="shared" si="641"/>
        <v>3.5018750000000001</v>
      </c>
      <c r="BV478" s="234" cm="1">
        <f t="array" ref="BV478">$BM478 * IF($AH478&lt;=2,
SUMPRODUCT(INDEX($AV$71:$AX$75,,$AI478), INDEX($AY$71:$BE$75,,$AH478), 1 / ($BF$71:$BF$75*BU478 + (1-$BF$71:$BF$75)*BQ478), N($AU$71:$AU$75&gt;$AM478)),
SUMPRODUCT(INDEX($AV$66:$AX$75,,$AI478), INDEX($AY$66:$BE$75,,$AH478), 1 / ($BG$66:$BG$75*BU478 + (1-$BG$66:$BG$75)*BQ478), N($AU$66:$AU$75&gt;$AM478))
) / 1000</f>
        <v>0</v>
      </c>
      <c r="BW478" s="231">
        <f t="shared" si="665"/>
        <v>25</v>
      </c>
      <c r="BX478" s="229">
        <f t="shared" si="642"/>
        <v>38</v>
      </c>
      <c r="BY478" s="234">
        <f t="shared" si="643"/>
        <v>4.0666935483870965</v>
      </c>
      <c r="BZ478" s="234" cm="1">
        <f t="array" ref="BZ478">$BM478 * IF($AH478&lt;=2,
SUMPRODUCT(INDEX($AV$66:$AX$70,,$AI478), INDEX($AY$66:$BE$70,,$AH478), 1 / ($BF$66:$BF$70*BY478 + (1-$BF$66:$BF$70)*BU478), N($AU$66:$AU$70&gt;$AM478)),
SUMPRODUCT(INDEX($AV$56:$AX$65,,$AI478), INDEX($AY$56:$BE$65,,$AH478), 1 / ($BG$56:$BG$65*BY478 + (1-$BG$56:$BG$65)*BU478), N($AU$56:$AU$65&gt;$AM478))
) / 1000</f>
        <v>0</v>
      </c>
      <c r="CA478" s="231">
        <f t="shared" si="666"/>
        <v>20</v>
      </c>
      <c r="CB478" s="229">
        <f t="shared" si="644"/>
        <v>33</v>
      </c>
      <c r="CC478" s="234">
        <f t="shared" si="645"/>
        <v>4.8487499999999999</v>
      </c>
      <c r="CD478" s="234" cm="1">
        <f t="array" ref="CD478">$BM478 * IF($AH478&lt;=2,
SUMPRODUCT(INDEX($AV$61:$AX$65,,$AI478), INDEX($AY$61:$BE$65,,$AH478), 1 / ($BF$61:$BF$65*CC478 + (1-$BF$61:$BF$65)*BY478), N($AU$61:$AU$65&gt;$AM478)),
SUMPRODUCT(INDEX($AV$46:$AX$55,,$AI478), INDEX($AY$46:$BE$55,,$AH478), 1 / ($BG$46:$BG$55*CC478 + (1-$BG$46:$BG$55)*BY478), N($AU$46:$AU$55&gt;$AM478))
) / 1000</f>
        <v>0</v>
      </c>
      <c r="CE478" s="234" cm="1">
        <f t="array" ref="CE478">$BM478 * IF($AH478&lt;=2,
SUMPRODUCT(INDEX($AV$22:$AX$60,,$AI478), INDEX($AY$22:$BE$60,,$AH478), 1 / ($BF$22:$BF$60*CC478), N($AU$22:$AU$60&gt;$AM478)),
SUMPRODUCT(INDEX($AV$22:$AX$45,,$AI478), INDEX($AY$22:$BE$45,,$AH478), 1 / ($BG$22:$BG$45*CC478), N($AU$22:$AU$45&gt;$AM478))
) / 1000</f>
        <v>0</v>
      </c>
      <c r="CF478" s="229">
        <f t="shared" si="646"/>
        <v>0</v>
      </c>
      <c r="CG478" s="246"/>
      <c r="CH478" s="229">
        <f t="shared" si="647"/>
        <v>0</v>
      </c>
      <c r="CI478" s="228">
        <v>35</v>
      </c>
      <c r="CJ478" s="229">
        <f t="shared" si="648"/>
        <v>48</v>
      </c>
      <c r="CK478" s="234">
        <f t="shared" si="649"/>
        <v>3.0748170731707316</v>
      </c>
      <c r="CL478" s="234" cm="1">
        <f t="array" ref="CL478">$BM478 * SUMPRODUCT(INDEX($AV$76:$AX$81,,$AI478),INDEX($AY$76:$BE$81,,$AH478), N($AU$76:$AU$81&gt;$AM478)) / CK478 / 1000</f>
        <v>0</v>
      </c>
      <c r="CM478" s="231">
        <f t="shared" si="667"/>
        <v>30</v>
      </c>
      <c r="CN478" s="229">
        <f t="shared" si="650"/>
        <v>43</v>
      </c>
      <c r="CO478" s="234">
        <f t="shared" si="651"/>
        <v>3.5018750000000001</v>
      </c>
      <c r="CP478" s="234" cm="1">
        <f t="array" ref="CP478">$BM478 * IF($AH478&lt;=2,
SUMPRODUCT(INDEX($AV$71:$AX$75,,$AI478), INDEX($AY$71:$BE$75,,$AH478), 1 / ($BF$71:$BF$75*CO478 + (1-$BF$71:$BF$75)*CK478), N($AU$71:$AU$75&gt;$AM478)),
SUMPRODUCT(INDEX($AV$66:$AX$75,,$AI478), INDEX($AY$66:$BE$75,,$AH478), 1 / ($BG$66:$BG$75*CO478 + (1-$BG$66:$BG$75)*CK478), N($AU$66:$AU$75&gt;$AM478))
) / 1000</f>
        <v>0</v>
      </c>
      <c r="CQ478" s="231">
        <f t="shared" si="668"/>
        <v>25</v>
      </c>
      <c r="CR478" s="229">
        <f t="shared" si="652"/>
        <v>38</v>
      </c>
      <c r="CS478" s="234">
        <f t="shared" si="653"/>
        <v>4.0666935483870965</v>
      </c>
      <c r="CT478" s="234" cm="1">
        <f t="array" ref="CT478">$BM478 * IF($AH478&lt;=2,
SUMPRODUCT(INDEX($AV$66:$AX$70,,$AI478), INDEX($AY$66:$BE$70,,$AH478), 1 / ($BF$66:$BF$70*CS478 + (1-$BF$66:$BF$70)*CO478), N($AU$66:$AU$70&gt;$AM478)),
SUMPRODUCT(INDEX($AV$56:$AX$65,,$AI478), INDEX($AY$56:$BE$65,,$AH478), 1 / ($BG$56:$BG$65*CS478 + (1-$BG$56:$BG$65)*CO478), N($AU$56:$AU$65&gt;$AM478))
) / 1000</f>
        <v>0</v>
      </c>
      <c r="CU478" s="231">
        <f t="shared" si="669"/>
        <v>20</v>
      </c>
      <c r="CV478" s="229">
        <f t="shared" si="654"/>
        <v>33</v>
      </c>
      <c r="CW478" s="234">
        <f t="shared" si="655"/>
        <v>4.8487499999999999</v>
      </c>
      <c r="CX478" s="234" cm="1">
        <f t="array" ref="CX478">$BM478 * IF($AH478&lt;=2,
SUMPRODUCT(INDEX($AV$61:$AX$65,,$AI478), INDEX($AY$61:$BE$65,,$AH478), 1 / ($BF$61:$BF$65*CW478 + (1-$BF$61:$BF$65)*CS478), N($AU$61:$AU$65&gt;$AM478)),
SUMPRODUCT(INDEX($AV$46:$AX$55,,$AI478), INDEX($AY$46:$BE$55,,$AH478), 1 / ($BG$46:$BG$55*CW478 + (1-$BG$46:$BG$55)*CS478), N($AU$46:$AU$55&gt;$AM478))
) / 1000</f>
        <v>0</v>
      </c>
      <c r="CY478" s="234" cm="1">
        <f t="array" ref="CY478">$BM478 * IF($AH478&lt;=2,
SUMPRODUCT(INDEX($AV$22:$AX$60,,$AI478), INDEX($AY$22:$BE$60,,$AH478), 1 / ($BF$22:$BF$60*CW478), N($AU$22:$AU$60&gt;$AM478)),
SUMPRODUCT(INDEX($AV$22:$AX$45,,$AI478), INDEX($AY$22:$BE$45,,$AH478), 1 / ($BG$22:$BG$45*CW478), N($AU$22:$AU$45&gt;$AM478))
) / 1000</f>
        <v>0</v>
      </c>
      <c r="CZ478" s="229">
        <f t="shared" si="656"/>
        <v>0</v>
      </c>
      <c r="DA478" s="246"/>
    </row>
    <row r="479" spans="1:105" s="75" customFormat="1" ht="14.25" customHeight="1" x14ac:dyDescent="0.2">
      <c r="A479" s="230" t="b">
        <f t="shared" si="661"/>
        <v>0</v>
      </c>
      <c r="B479" s="253">
        <v>458</v>
      </c>
      <c r="C479" s="266"/>
      <c r="D479" s="266"/>
      <c r="E479" s="254"/>
      <c r="F479" s="255" t="str">
        <f>IF(ISBLANK(E479), "", VLOOKUP(E479, Z!$A$2:$C$4127, 3, FALSE))</f>
        <v/>
      </c>
      <c r="G479" s="256"/>
      <c r="H479" s="256"/>
      <c r="I479" s="256"/>
      <c r="J479" s="257"/>
      <c r="K479" s="258"/>
      <c r="L479" s="267"/>
      <c r="M479" s="268"/>
      <c r="N479" s="259" t="str" cm="1">
        <f t="array" ref="N479">IF($L479&gt;0, INDEX(Clean,1+AK479,$D$1), "")</f>
        <v/>
      </c>
      <c r="O479" s="260"/>
      <c r="P479" s="260"/>
      <c r="Q479" s="261"/>
      <c r="R479" s="264">
        <f t="shared" si="632"/>
        <v>0</v>
      </c>
      <c r="S479" s="259" t="str" cm="1">
        <f t="array" ref="S479">IF($L479&gt;0, INDEX(Clean,1+AL479,$D$1), "")</f>
        <v/>
      </c>
      <c r="T479" s="260"/>
      <c r="U479" s="260"/>
      <c r="V479" s="261"/>
      <c r="W479" s="267"/>
      <c r="X479" s="267"/>
      <c r="Y479" s="257"/>
      <c r="Z479" s="264">
        <f t="shared" si="633"/>
        <v>0</v>
      </c>
      <c r="AA479" s="269"/>
      <c r="AB479" s="266"/>
      <c r="AC479" s="254"/>
      <c r="AD479" s="255" t="str">
        <f>IF(ISBLANK(AC479), "", VLOOKUP(AC479, Z!$A$2:$C$4127, 3, FALSE))</f>
        <v/>
      </c>
      <c r="AE479" s="270"/>
      <c r="AF479" s="265">
        <f t="shared" si="634"/>
        <v>0</v>
      </c>
      <c r="AG479" s="246"/>
      <c r="AH479" s="228">
        <f t="shared" si="657"/>
        <v>1</v>
      </c>
      <c r="AI479" s="228">
        <f t="shared" si="658"/>
        <v>1</v>
      </c>
      <c r="AJ479" s="228">
        <f t="shared" si="659"/>
        <v>0</v>
      </c>
      <c r="AK479" s="228">
        <v>0</v>
      </c>
      <c r="AL479" s="228">
        <v>0</v>
      </c>
      <c r="AM479" s="228">
        <f t="shared" si="635"/>
        <v>-100</v>
      </c>
      <c r="AN479" s="228" cm="1">
        <f t="array" ref="AN479">IF(ISBLANK(G479), 1, IFERROR(MATCH(G479, INDEX(Kat,,1), 0), IFERROR(MATCH(Kat, INDEX(Use,,2), 0), MATCH(Kat, INDEX(Use,,3), 0))))</f>
        <v>1</v>
      </c>
      <c r="AO479" s="246"/>
      <c r="AP479" s="228" cm="1">
        <f t="array" ref="AP479">IF(W479&gt;0, INDEX(Kat, AN479,4), 0)</f>
        <v>0</v>
      </c>
      <c r="AQ479" s="228">
        <f t="shared" si="660"/>
        <v>0</v>
      </c>
      <c r="AR479" s="228" cm="1">
        <f t="array" ref="AR479">IF(X479&gt;0, INDEX(Kat, $AN479, 4+AQ479), 0)</f>
        <v>0</v>
      </c>
      <c r="AS479" s="228" cm="1">
        <f t="array" ref="AS479">IF(X479&gt;0, INDEX(Kat, $AN479, 9+AQ479), 0)</f>
        <v>0</v>
      </c>
      <c r="AT479" s="246"/>
      <c r="AU479" s="262"/>
      <c r="AV479" s="262"/>
      <c r="AW479" s="263"/>
      <c r="AX479" s="263"/>
      <c r="AY479" s="263"/>
      <c r="AZ479" s="263"/>
      <c r="BA479" s="263"/>
      <c r="BB479" s="263"/>
      <c r="BC479" s="263"/>
      <c r="BD479" s="263"/>
      <c r="BE479" s="263"/>
      <c r="BF479" s="263"/>
      <c r="BG479" s="263"/>
      <c r="BH479" s="246"/>
      <c r="BI479" s="228" cm="1">
        <f t="array" ref="BI479">INDEX(Use, $AH479, 4)</f>
        <v>7</v>
      </c>
      <c r="BJ479" s="228">
        <f t="shared" si="636"/>
        <v>32</v>
      </c>
      <c r="BK479" s="228">
        <f t="shared" si="662"/>
        <v>13</v>
      </c>
      <c r="BL479" s="228">
        <f t="shared" si="663"/>
        <v>0</v>
      </c>
      <c r="BM479" s="233" cm="1">
        <f t="array" ref="BM479">L479/IF($M479&gt;0, INDEX($AY$22:$BE$76, $M479+20, $AH479), 1)</f>
        <v>0</v>
      </c>
      <c r="BN479" s="229">
        <f t="shared" si="637"/>
        <v>0</v>
      </c>
      <c r="BO479" s="228">
        <v>35</v>
      </c>
      <c r="BP479" s="229">
        <f t="shared" si="638"/>
        <v>48</v>
      </c>
      <c r="BQ479" s="234">
        <f t="shared" si="639"/>
        <v>3.0748170731707316</v>
      </c>
      <c r="BR479" s="234" cm="1">
        <f t="array" ref="BR479">$BM479 * SUMPRODUCT(INDEX($AV$76:$AX$81,,$AI479),INDEX($AY$76:$BE$81,,$AH479), N($AU$76:$AU$81&gt;$AM479)) / BQ479 / 1000</f>
        <v>0</v>
      </c>
      <c r="BS479" s="231">
        <f t="shared" si="664"/>
        <v>30</v>
      </c>
      <c r="BT479" s="229">
        <f t="shared" si="640"/>
        <v>43</v>
      </c>
      <c r="BU479" s="234">
        <f t="shared" si="641"/>
        <v>3.5018750000000001</v>
      </c>
      <c r="BV479" s="234" cm="1">
        <f t="array" ref="BV479">$BM479 * IF($AH479&lt;=2,
SUMPRODUCT(INDEX($AV$71:$AX$75,,$AI479), INDEX($AY$71:$BE$75,,$AH479), 1 / ($BF$71:$BF$75*BU479 + (1-$BF$71:$BF$75)*BQ479), N($AU$71:$AU$75&gt;$AM479)),
SUMPRODUCT(INDEX($AV$66:$AX$75,,$AI479), INDEX($AY$66:$BE$75,,$AH479), 1 / ($BG$66:$BG$75*BU479 + (1-$BG$66:$BG$75)*BQ479), N($AU$66:$AU$75&gt;$AM479))
) / 1000</f>
        <v>0</v>
      </c>
      <c r="BW479" s="231">
        <f t="shared" si="665"/>
        <v>25</v>
      </c>
      <c r="BX479" s="229">
        <f t="shared" si="642"/>
        <v>38</v>
      </c>
      <c r="BY479" s="234">
        <f t="shared" si="643"/>
        <v>4.0666935483870965</v>
      </c>
      <c r="BZ479" s="234" cm="1">
        <f t="array" ref="BZ479">$BM479 * IF($AH479&lt;=2,
SUMPRODUCT(INDEX($AV$66:$AX$70,,$AI479), INDEX($AY$66:$BE$70,,$AH479), 1 / ($BF$66:$BF$70*BY479 + (1-$BF$66:$BF$70)*BU479), N($AU$66:$AU$70&gt;$AM479)),
SUMPRODUCT(INDEX($AV$56:$AX$65,,$AI479), INDEX($AY$56:$BE$65,,$AH479), 1 / ($BG$56:$BG$65*BY479 + (1-$BG$56:$BG$65)*BU479), N($AU$56:$AU$65&gt;$AM479))
) / 1000</f>
        <v>0</v>
      </c>
      <c r="CA479" s="231">
        <f t="shared" si="666"/>
        <v>20</v>
      </c>
      <c r="CB479" s="229">
        <f t="shared" si="644"/>
        <v>33</v>
      </c>
      <c r="CC479" s="234">
        <f t="shared" si="645"/>
        <v>4.8487499999999999</v>
      </c>
      <c r="CD479" s="234" cm="1">
        <f t="array" ref="CD479">$BM479 * IF($AH479&lt;=2,
SUMPRODUCT(INDEX($AV$61:$AX$65,,$AI479), INDEX($AY$61:$BE$65,,$AH479), 1 / ($BF$61:$BF$65*CC479 + (1-$BF$61:$BF$65)*BY479), N($AU$61:$AU$65&gt;$AM479)),
SUMPRODUCT(INDEX($AV$46:$AX$55,,$AI479), INDEX($AY$46:$BE$55,,$AH479), 1 / ($BG$46:$BG$55*CC479 + (1-$BG$46:$BG$55)*BY479), N($AU$46:$AU$55&gt;$AM479))
) / 1000</f>
        <v>0</v>
      </c>
      <c r="CE479" s="234" cm="1">
        <f t="array" ref="CE479">$BM479 * IF($AH479&lt;=2,
SUMPRODUCT(INDEX($AV$22:$AX$60,,$AI479), INDEX($AY$22:$BE$60,,$AH479), 1 / ($BF$22:$BF$60*CC479), N($AU$22:$AU$60&gt;$AM479)),
SUMPRODUCT(INDEX($AV$22:$AX$45,,$AI479), INDEX($AY$22:$BE$45,,$AH479), 1 / ($BG$22:$BG$45*CC479), N($AU$22:$AU$45&gt;$AM479))
) / 1000</f>
        <v>0</v>
      </c>
      <c r="CF479" s="229">
        <f t="shared" si="646"/>
        <v>0</v>
      </c>
      <c r="CG479" s="246"/>
      <c r="CH479" s="229">
        <f t="shared" si="647"/>
        <v>0</v>
      </c>
      <c r="CI479" s="228">
        <v>35</v>
      </c>
      <c r="CJ479" s="229">
        <f t="shared" si="648"/>
        <v>48</v>
      </c>
      <c r="CK479" s="234">
        <f t="shared" si="649"/>
        <v>3.0748170731707316</v>
      </c>
      <c r="CL479" s="234" cm="1">
        <f t="array" ref="CL479">$BM479 * SUMPRODUCT(INDEX($AV$76:$AX$81,,$AI479),INDEX($AY$76:$BE$81,,$AH479), N($AU$76:$AU$81&gt;$AM479)) / CK479 / 1000</f>
        <v>0</v>
      </c>
      <c r="CM479" s="231">
        <f t="shared" si="667"/>
        <v>30</v>
      </c>
      <c r="CN479" s="229">
        <f t="shared" si="650"/>
        <v>43</v>
      </c>
      <c r="CO479" s="234">
        <f t="shared" si="651"/>
        <v>3.5018750000000001</v>
      </c>
      <c r="CP479" s="234" cm="1">
        <f t="array" ref="CP479">$BM479 * IF($AH479&lt;=2,
SUMPRODUCT(INDEX($AV$71:$AX$75,,$AI479), INDEX($AY$71:$BE$75,,$AH479), 1 / ($BF$71:$BF$75*CO479 + (1-$BF$71:$BF$75)*CK479), N($AU$71:$AU$75&gt;$AM479)),
SUMPRODUCT(INDEX($AV$66:$AX$75,,$AI479), INDEX($AY$66:$BE$75,,$AH479), 1 / ($BG$66:$BG$75*CO479 + (1-$BG$66:$BG$75)*CK479), N($AU$66:$AU$75&gt;$AM479))
) / 1000</f>
        <v>0</v>
      </c>
      <c r="CQ479" s="231">
        <f t="shared" si="668"/>
        <v>25</v>
      </c>
      <c r="CR479" s="229">
        <f t="shared" si="652"/>
        <v>38</v>
      </c>
      <c r="CS479" s="234">
        <f t="shared" si="653"/>
        <v>4.0666935483870965</v>
      </c>
      <c r="CT479" s="234" cm="1">
        <f t="array" ref="CT479">$BM479 * IF($AH479&lt;=2,
SUMPRODUCT(INDEX($AV$66:$AX$70,,$AI479), INDEX($AY$66:$BE$70,,$AH479), 1 / ($BF$66:$BF$70*CS479 + (1-$BF$66:$BF$70)*CO479), N($AU$66:$AU$70&gt;$AM479)),
SUMPRODUCT(INDEX($AV$56:$AX$65,,$AI479), INDEX($AY$56:$BE$65,,$AH479), 1 / ($BG$56:$BG$65*CS479 + (1-$BG$56:$BG$65)*CO479), N($AU$56:$AU$65&gt;$AM479))
) / 1000</f>
        <v>0</v>
      </c>
      <c r="CU479" s="231">
        <f t="shared" si="669"/>
        <v>20</v>
      </c>
      <c r="CV479" s="229">
        <f t="shared" si="654"/>
        <v>33</v>
      </c>
      <c r="CW479" s="234">
        <f t="shared" si="655"/>
        <v>4.8487499999999999</v>
      </c>
      <c r="CX479" s="234" cm="1">
        <f t="array" ref="CX479">$BM479 * IF($AH479&lt;=2,
SUMPRODUCT(INDEX($AV$61:$AX$65,,$AI479), INDEX($AY$61:$BE$65,,$AH479), 1 / ($BF$61:$BF$65*CW479 + (1-$BF$61:$BF$65)*CS479), N($AU$61:$AU$65&gt;$AM479)),
SUMPRODUCT(INDEX($AV$46:$AX$55,,$AI479), INDEX($AY$46:$BE$55,,$AH479), 1 / ($BG$46:$BG$55*CW479 + (1-$BG$46:$BG$55)*CS479), N($AU$46:$AU$55&gt;$AM479))
) / 1000</f>
        <v>0</v>
      </c>
      <c r="CY479" s="234" cm="1">
        <f t="array" ref="CY479">$BM479 * IF($AH479&lt;=2,
SUMPRODUCT(INDEX($AV$22:$AX$60,,$AI479), INDEX($AY$22:$BE$60,,$AH479), 1 / ($BF$22:$BF$60*CW479), N($AU$22:$AU$60&gt;$AM479)),
SUMPRODUCT(INDEX($AV$22:$AX$45,,$AI479), INDEX($AY$22:$BE$45,,$AH479), 1 / ($BG$22:$BG$45*CW479), N($AU$22:$AU$45&gt;$AM479))
) / 1000</f>
        <v>0</v>
      </c>
      <c r="CZ479" s="229">
        <f t="shared" si="656"/>
        <v>0</v>
      </c>
      <c r="DA479" s="246"/>
    </row>
    <row r="480" spans="1:105" s="75" customFormat="1" ht="14.25" customHeight="1" x14ac:dyDescent="0.2">
      <c r="A480" s="230" t="b">
        <f t="shared" si="661"/>
        <v>0</v>
      </c>
      <c r="B480" s="253">
        <v>459</v>
      </c>
      <c r="C480" s="266"/>
      <c r="D480" s="266"/>
      <c r="E480" s="254"/>
      <c r="F480" s="255" t="str">
        <f>IF(ISBLANK(E480), "", VLOOKUP(E480, Z!$A$2:$C$4127, 3, FALSE))</f>
        <v/>
      </c>
      <c r="G480" s="256"/>
      <c r="H480" s="256"/>
      <c r="I480" s="256"/>
      <c r="J480" s="257"/>
      <c r="K480" s="258"/>
      <c r="L480" s="267"/>
      <c r="M480" s="268"/>
      <c r="N480" s="259" t="str" cm="1">
        <f t="array" ref="N480">IF($L480&gt;0, INDEX(Clean,1+AK480,$D$1), "")</f>
        <v/>
      </c>
      <c r="O480" s="260"/>
      <c r="P480" s="260"/>
      <c r="Q480" s="261"/>
      <c r="R480" s="264">
        <f t="shared" si="632"/>
        <v>0</v>
      </c>
      <c r="S480" s="259" t="str" cm="1">
        <f t="array" ref="S480">IF($L480&gt;0, INDEX(Clean,1+AL480,$D$1), "")</f>
        <v/>
      </c>
      <c r="T480" s="260"/>
      <c r="U480" s="260"/>
      <c r="V480" s="261"/>
      <c r="W480" s="267"/>
      <c r="X480" s="267"/>
      <c r="Y480" s="257"/>
      <c r="Z480" s="264">
        <f t="shared" si="633"/>
        <v>0</v>
      </c>
      <c r="AA480" s="269"/>
      <c r="AB480" s="266"/>
      <c r="AC480" s="254"/>
      <c r="AD480" s="255" t="str">
        <f>IF(ISBLANK(AC480), "", VLOOKUP(AC480, Z!$A$2:$C$4127, 3, FALSE))</f>
        <v/>
      </c>
      <c r="AE480" s="270"/>
      <c r="AF480" s="265">
        <f t="shared" si="634"/>
        <v>0</v>
      </c>
      <c r="AG480" s="246"/>
      <c r="AH480" s="228">
        <f t="shared" si="657"/>
        <v>1</v>
      </c>
      <c r="AI480" s="228">
        <f t="shared" si="658"/>
        <v>1</v>
      </c>
      <c r="AJ480" s="228">
        <f t="shared" si="659"/>
        <v>0</v>
      </c>
      <c r="AK480" s="228">
        <v>0</v>
      </c>
      <c r="AL480" s="228">
        <v>0</v>
      </c>
      <c r="AM480" s="228">
        <f t="shared" si="635"/>
        <v>-100</v>
      </c>
      <c r="AN480" s="228" cm="1">
        <f t="array" ref="AN480">IF(ISBLANK(G480), 1, IFERROR(MATCH(G480, INDEX(Kat,,1), 0), IFERROR(MATCH(Kat, INDEX(Use,,2), 0), MATCH(Kat, INDEX(Use,,3), 0))))</f>
        <v>1</v>
      </c>
      <c r="AO480" s="246"/>
      <c r="AP480" s="228" cm="1">
        <f t="array" ref="AP480">IF(W480&gt;0, INDEX(Kat, AN480,4), 0)</f>
        <v>0</v>
      </c>
      <c r="AQ480" s="228">
        <f t="shared" si="660"/>
        <v>0</v>
      </c>
      <c r="AR480" s="228" cm="1">
        <f t="array" ref="AR480">IF(X480&gt;0, INDEX(Kat, $AN480, 4+AQ480), 0)</f>
        <v>0</v>
      </c>
      <c r="AS480" s="228" cm="1">
        <f t="array" ref="AS480">IF(X480&gt;0, INDEX(Kat, $AN480, 9+AQ480), 0)</f>
        <v>0</v>
      </c>
      <c r="AT480" s="246"/>
      <c r="AU480" s="262"/>
      <c r="AV480" s="262"/>
      <c r="AW480" s="263"/>
      <c r="AX480" s="263"/>
      <c r="AY480" s="263"/>
      <c r="AZ480" s="263"/>
      <c r="BA480" s="263"/>
      <c r="BB480" s="263"/>
      <c r="BC480" s="263"/>
      <c r="BD480" s="263"/>
      <c r="BE480" s="263"/>
      <c r="BF480" s="263"/>
      <c r="BG480" s="263"/>
      <c r="BH480" s="246"/>
      <c r="BI480" s="228" cm="1">
        <f t="array" ref="BI480">INDEX(Use, $AH480, 4)</f>
        <v>7</v>
      </c>
      <c r="BJ480" s="228">
        <f t="shared" si="636"/>
        <v>32</v>
      </c>
      <c r="BK480" s="228">
        <f t="shared" si="662"/>
        <v>13</v>
      </c>
      <c r="BL480" s="228">
        <f t="shared" si="663"/>
        <v>0</v>
      </c>
      <c r="BM480" s="233" cm="1">
        <f t="array" ref="BM480">L480/IF($M480&gt;0, INDEX($AY$22:$BE$76, $M480+20, $AH480), 1)</f>
        <v>0</v>
      </c>
      <c r="BN480" s="229">
        <f t="shared" si="637"/>
        <v>0</v>
      </c>
      <c r="BO480" s="228">
        <v>35</v>
      </c>
      <c r="BP480" s="229">
        <f t="shared" si="638"/>
        <v>48</v>
      </c>
      <c r="BQ480" s="234">
        <f t="shared" si="639"/>
        <v>3.0748170731707316</v>
      </c>
      <c r="BR480" s="234" cm="1">
        <f t="array" ref="BR480">$BM480 * SUMPRODUCT(INDEX($AV$76:$AX$81,,$AI480),INDEX($AY$76:$BE$81,,$AH480), N($AU$76:$AU$81&gt;$AM480)) / BQ480 / 1000</f>
        <v>0</v>
      </c>
      <c r="BS480" s="231">
        <f t="shared" si="664"/>
        <v>30</v>
      </c>
      <c r="BT480" s="229">
        <f t="shared" si="640"/>
        <v>43</v>
      </c>
      <c r="BU480" s="234">
        <f t="shared" si="641"/>
        <v>3.5018750000000001</v>
      </c>
      <c r="BV480" s="234" cm="1">
        <f t="array" ref="BV480">$BM480 * IF($AH480&lt;=2,
SUMPRODUCT(INDEX($AV$71:$AX$75,,$AI480), INDEX($AY$71:$BE$75,,$AH480), 1 / ($BF$71:$BF$75*BU480 + (1-$BF$71:$BF$75)*BQ480), N($AU$71:$AU$75&gt;$AM480)),
SUMPRODUCT(INDEX($AV$66:$AX$75,,$AI480), INDEX($AY$66:$BE$75,,$AH480), 1 / ($BG$66:$BG$75*BU480 + (1-$BG$66:$BG$75)*BQ480), N($AU$66:$AU$75&gt;$AM480))
) / 1000</f>
        <v>0</v>
      </c>
      <c r="BW480" s="231">
        <f t="shared" si="665"/>
        <v>25</v>
      </c>
      <c r="BX480" s="229">
        <f t="shared" si="642"/>
        <v>38</v>
      </c>
      <c r="BY480" s="234">
        <f t="shared" si="643"/>
        <v>4.0666935483870965</v>
      </c>
      <c r="BZ480" s="234" cm="1">
        <f t="array" ref="BZ480">$BM480 * IF($AH480&lt;=2,
SUMPRODUCT(INDEX($AV$66:$AX$70,,$AI480), INDEX($AY$66:$BE$70,,$AH480), 1 / ($BF$66:$BF$70*BY480 + (1-$BF$66:$BF$70)*BU480), N($AU$66:$AU$70&gt;$AM480)),
SUMPRODUCT(INDEX($AV$56:$AX$65,,$AI480), INDEX($AY$56:$BE$65,,$AH480), 1 / ($BG$56:$BG$65*BY480 + (1-$BG$56:$BG$65)*BU480), N($AU$56:$AU$65&gt;$AM480))
) / 1000</f>
        <v>0</v>
      </c>
      <c r="CA480" s="231">
        <f t="shared" si="666"/>
        <v>20</v>
      </c>
      <c r="CB480" s="229">
        <f t="shared" si="644"/>
        <v>33</v>
      </c>
      <c r="CC480" s="234">
        <f t="shared" si="645"/>
        <v>4.8487499999999999</v>
      </c>
      <c r="CD480" s="234" cm="1">
        <f t="array" ref="CD480">$BM480 * IF($AH480&lt;=2,
SUMPRODUCT(INDEX($AV$61:$AX$65,,$AI480), INDEX($AY$61:$BE$65,,$AH480), 1 / ($BF$61:$BF$65*CC480 + (1-$BF$61:$BF$65)*BY480), N($AU$61:$AU$65&gt;$AM480)),
SUMPRODUCT(INDEX($AV$46:$AX$55,,$AI480), INDEX($AY$46:$BE$55,,$AH480), 1 / ($BG$46:$BG$55*CC480 + (1-$BG$46:$BG$55)*BY480), N($AU$46:$AU$55&gt;$AM480))
) / 1000</f>
        <v>0</v>
      </c>
      <c r="CE480" s="234" cm="1">
        <f t="array" ref="CE480">$BM480 * IF($AH480&lt;=2,
SUMPRODUCT(INDEX($AV$22:$AX$60,,$AI480), INDEX($AY$22:$BE$60,,$AH480), 1 / ($BF$22:$BF$60*CC480), N($AU$22:$AU$60&gt;$AM480)),
SUMPRODUCT(INDEX($AV$22:$AX$45,,$AI480), INDEX($AY$22:$BE$45,,$AH480), 1 / ($BG$22:$BG$45*CC480), N($AU$22:$AU$45&gt;$AM480))
) / 1000</f>
        <v>0</v>
      </c>
      <c r="CF480" s="229">
        <f t="shared" si="646"/>
        <v>0</v>
      </c>
      <c r="CG480" s="246"/>
      <c r="CH480" s="229">
        <f t="shared" si="647"/>
        <v>0</v>
      </c>
      <c r="CI480" s="228">
        <v>35</v>
      </c>
      <c r="CJ480" s="229">
        <f t="shared" si="648"/>
        <v>48</v>
      </c>
      <c r="CK480" s="234">
        <f t="shared" si="649"/>
        <v>3.0748170731707316</v>
      </c>
      <c r="CL480" s="234" cm="1">
        <f t="array" ref="CL480">$BM480 * SUMPRODUCT(INDEX($AV$76:$AX$81,,$AI480),INDEX($AY$76:$BE$81,,$AH480), N($AU$76:$AU$81&gt;$AM480)) / CK480 / 1000</f>
        <v>0</v>
      </c>
      <c r="CM480" s="231">
        <f t="shared" si="667"/>
        <v>30</v>
      </c>
      <c r="CN480" s="229">
        <f t="shared" si="650"/>
        <v>43</v>
      </c>
      <c r="CO480" s="234">
        <f t="shared" si="651"/>
        <v>3.5018750000000001</v>
      </c>
      <c r="CP480" s="234" cm="1">
        <f t="array" ref="CP480">$BM480 * IF($AH480&lt;=2,
SUMPRODUCT(INDEX($AV$71:$AX$75,,$AI480), INDEX($AY$71:$BE$75,,$AH480), 1 / ($BF$71:$BF$75*CO480 + (1-$BF$71:$BF$75)*CK480), N($AU$71:$AU$75&gt;$AM480)),
SUMPRODUCT(INDEX($AV$66:$AX$75,,$AI480), INDEX($AY$66:$BE$75,,$AH480), 1 / ($BG$66:$BG$75*CO480 + (1-$BG$66:$BG$75)*CK480), N($AU$66:$AU$75&gt;$AM480))
) / 1000</f>
        <v>0</v>
      </c>
      <c r="CQ480" s="231">
        <f t="shared" si="668"/>
        <v>25</v>
      </c>
      <c r="CR480" s="229">
        <f t="shared" si="652"/>
        <v>38</v>
      </c>
      <c r="CS480" s="234">
        <f t="shared" si="653"/>
        <v>4.0666935483870965</v>
      </c>
      <c r="CT480" s="234" cm="1">
        <f t="array" ref="CT480">$BM480 * IF($AH480&lt;=2,
SUMPRODUCT(INDEX($AV$66:$AX$70,,$AI480), INDEX($AY$66:$BE$70,,$AH480), 1 / ($BF$66:$BF$70*CS480 + (1-$BF$66:$BF$70)*CO480), N($AU$66:$AU$70&gt;$AM480)),
SUMPRODUCT(INDEX($AV$56:$AX$65,,$AI480), INDEX($AY$56:$BE$65,,$AH480), 1 / ($BG$56:$BG$65*CS480 + (1-$BG$56:$BG$65)*CO480), N($AU$56:$AU$65&gt;$AM480))
) / 1000</f>
        <v>0</v>
      </c>
      <c r="CU480" s="231">
        <f t="shared" si="669"/>
        <v>20</v>
      </c>
      <c r="CV480" s="229">
        <f t="shared" si="654"/>
        <v>33</v>
      </c>
      <c r="CW480" s="234">
        <f t="shared" si="655"/>
        <v>4.8487499999999999</v>
      </c>
      <c r="CX480" s="234" cm="1">
        <f t="array" ref="CX480">$BM480 * IF($AH480&lt;=2,
SUMPRODUCT(INDEX($AV$61:$AX$65,,$AI480), INDEX($AY$61:$BE$65,,$AH480), 1 / ($BF$61:$BF$65*CW480 + (1-$BF$61:$BF$65)*CS480), N($AU$61:$AU$65&gt;$AM480)),
SUMPRODUCT(INDEX($AV$46:$AX$55,,$AI480), INDEX($AY$46:$BE$55,,$AH480), 1 / ($BG$46:$BG$55*CW480 + (1-$BG$46:$BG$55)*CS480), N($AU$46:$AU$55&gt;$AM480))
) / 1000</f>
        <v>0</v>
      </c>
      <c r="CY480" s="234" cm="1">
        <f t="array" ref="CY480">$BM480 * IF($AH480&lt;=2,
SUMPRODUCT(INDEX($AV$22:$AX$60,,$AI480), INDEX($AY$22:$BE$60,,$AH480), 1 / ($BF$22:$BF$60*CW480), N($AU$22:$AU$60&gt;$AM480)),
SUMPRODUCT(INDEX($AV$22:$AX$45,,$AI480), INDEX($AY$22:$BE$45,,$AH480), 1 / ($BG$22:$BG$45*CW480), N($AU$22:$AU$45&gt;$AM480))
) / 1000</f>
        <v>0</v>
      </c>
      <c r="CZ480" s="229">
        <f t="shared" si="656"/>
        <v>0</v>
      </c>
      <c r="DA480" s="246"/>
    </row>
    <row r="481" spans="1:105" s="75" customFormat="1" ht="14.25" customHeight="1" x14ac:dyDescent="0.2">
      <c r="A481" s="230" t="b">
        <f t="shared" si="661"/>
        <v>0</v>
      </c>
      <c r="B481" s="253">
        <v>460</v>
      </c>
      <c r="C481" s="266"/>
      <c r="D481" s="266"/>
      <c r="E481" s="254"/>
      <c r="F481" s="255" t="str">
        <f>IF(ISBLANK(E481), "", VLOOKUP(E481, Z!$A$2:$C$4127, 3, FALSE))</f>
        <v/>
      </c>
      <c r="G481" s="256"/>
      <c r="H481" s="256"/>
      <c r="I481" s="256"/>
      <c r="J481" s="257"/>
      <c r="K481" s="258"/>
      <c r="L481" s="267"/>
      <c r="M481" s="268"/>
      <c r="N481" s="259" t="str" cm="1">
        <f t="array" ref="N481">IF($L481&gt;0, INDEX(Clean,1+AK481,$D$1), "")</f>
        <v/>
      </c>
      <c r="O481" s="260"/>
      <c r="P481" s="260"/>
      <c r="Q481" s="261"/>
      <c r="R481" s="264">
        <f t="shared" si="632"/>
        <v>0</v>
      </c>
      <c r="S481" s="259" t="str" cm="1">
        <f t="array" ref="S481">IF($L481&gt;0, INDEX(Clean,1+AL481,$D$1), "")</f>
        <v/>
      </c>
      <c r="T481" s="260"/>
      <c r="U481" s="260"/>
      <c r="V481" s="261"/>
      <c r="W481" s="267"/>
      <c r="X481" s="267"/>
      <c r="Y481" s="257"/>
      <c r="Z481" s="264">
        <f t="shared" si="633"/>
        <v>0</v>
      </c>
      <c r="AA481" s="269"/>
      <c r="AB481" s="266"/>
      <c r="AC481" s="254"/>
      <c r="AD481" s="255" t="str">
        <f>IF(ISBLANK(AC481), "", VLOOKUP(AC481, Z!$A$2:$C$4127, 3, FALSE))</f>
        <v/>
      </c>
      <c r="AE481" s="270"/>
      <c r="AF481" s="265">
        <f t="shared" si="634"/>
        <v>0</v>
      </c>
      <c r="AG481" s="246"/>
      <c r="AH481" s="228">
        <f t="shared" si="657"/>
        <v>1</v>
      </c>
      <c r="AI481" s="228">
        <f t="shared" si="658"/>
        <v>1</v>
      </c>
      <c r="AJ481" s="228">
        <f t="shared" si="659"/>
        <v>0</v>
      </c>
      <c r="AK481" s="228">
        <v>0</v>
      </c>
      <c r="AL481" s="228">
        <v>0</v>
      </c>
      <c r="AM481" s="228">
        <f t="shared" si="635"/>
        <v>-100</v>
      </c>
      <c r="AN481" s="228" cm="1">
        <f t="array" ref="AN481">IF(ISBLANK(G481), 1, IFERROR(MATCH(G481, INDEX(Kat,,1), 0), IFERROR(MATCH(Kat, INDEX(Use,,2), 0), MATCH(Kat, INDEX(Use,,3), 0))))</f>
        <v>1</v>
      </c>
      <c r="AO481" s="246"/>
      <c r="AP481" s="228" cm="1">
        <f t="array" ref="AP481">IF(W481&gt;0, INDEX(Kat, AN481,4), 0)</f>
        <v>0</v>
      </c>
      <c r="AQ481" s="228">
        <f t="shared" si="660"/>
        <v>0</v>
      </c>
      <c r="AR481" s="228" cm="1">
        <f t="array" ref="AR481">IF(X481&gt;0, INDEX(Kat, $AN481, 4+AQ481), 0)</f>
        <v>0</v>
      </c>
      <c r="AS481" s="228" cm="1">
        <f t="array" ref="AS481">IF(X481&gt;0, INDEX(Kat, $AN481, 9+AQ481), 0)</f>
        <v>0</v>
      </c>
      <c r="AT481" s="246"/>
      <c r="AU481" s="262"/>
      <c r="AV481" s="262"/>
      <c r="AW481" s="263"/>
      <c r="AX481" s="263"/>
      <c r="AY481" s="263"/>
      <c r="AZ481" s="263"/>
      <c r="BA481" s="263"/>
      <c r="BB481" s="263"/>
      <c r="BC481" s="263"/>
      <c r="BD481" s="263"/>
      <c r="BE481" s="263"/>
      <c r="BF481" s="263"/>
      <c r="BG481" s="263"/>
      <c r="BH481" s="246"/>
      <c r="BI481" s="228" cm="1">
        <f t="array" ref="BI481">INDEX(Use, $AH481, 4)</f>
        <v>7</v>
      </c>
      <c r="BJ481" s="228">
        <f t="shared" si="636"/>
        <v>32</v>
      </c>
      <c r="BK481" s="228">
        <f t="shared" si="662"/>
        <v>13</v>
      </c>
      <c r="BL481" s="228">
        <f t="shared" si="663"/>
        <v>0</v>
      </c>
      <c r="BM481" s="233" cm="1">
        <f t="array" ref="BM481">L481/IF($M481&gt;0, INDEX($AY$22:$BE$76, $M481+20, $AH481), 1)</f>
        <v>0</v>
      </c>
      <c r="BN481" s="229">
        <f t="shared" si="637"/>
        <v>0</v>
      </c>
      <c r="BO481" s="228">
        <v>35</v>
      </c>
      <c r="BP481" s="229">
        <f t="shared" si="638"/>
        <v>48</v>
      </c>
      <c r="BQ481" s="234">
        <f t="shared" si="639"/>
        <v>3.0748170731707316</v>
      </c>
      <c r="BR481" s="234" cm="1">
        <f t="array" ref="BR481">$BM481 * SUMPRODUCT(INDEX($AV$76:$AX$81,,$AI481),INDEX($AY$76:$BE$81,,$AH481), N($AU$76:$AU$81&gt;$AM481)) / BQ481 / 1000</f>
        <v>0</v>
      </c>
      <c r="BS481" s="231">
        <f t="shared" si="664"/>
        <v>30</v>
      </c>
      <c r="BT481" s="229">
        <f t="shared" si="640"/>
        <v>43</v>
      </c>
      <c r="BU481" s="234">
        <f t="shared" si="641"/>
        <v>3.5018750000000001</v>
      </c>
      <c r="BV481" s="234" cm="1">
        <f t="array" ref="BV481">$BM481 * IF($AH481&lt;=2,
SUMPRODUCT(INDEX($AV$71:$AX$75,,$AI481), INDEX($AY$71:$BE$75,,$AH481), 1 / ($BF$71:$BF$75*BU481 + (1-$BF$71:$BF$75)*BQ481), N($AU$71:$AU$75&gt;$AM481)),
SUMPRODUCT(INDEX($AV$66:$AX$75,,$AI481), INDEX($AY$66:$BE$75,,$AH481), 1 / ($BG$66:$BG$75*BU481 + (1-$BG$66:$BG$75)*BQ481), N($AU$66:$AU$75&gt;$AM481))
) / 1000</f>
        <v>0</v>
      </c>
      <c r="BW481" s="231">
        <f t="shared" si="665"/>
        <v>25</v>
      </c>
      <c r="BX481" s="229">
        <f t="shared" si="642"/>
        <v>38</v>
      </c>
      <c r="BY481" s="234">
        <f t="shared" si="643"/>
        <v>4.0666935483870965</v>
      </c>
      <c r="BZ481" s="234" cm="1">
        <f t="array" ref="BZ481">$BM481 * IF($AH481&lt;=2,
SUMPRODUCT(INDEX($AV$66:$AX$70,,$AI481), INDEX($AY$66:$BE$70,,$AH481), 1 / ($BF$66:$BF$70*BY481 + (1-$BF$66:$BF$70)*BU481), N($AU$66:$AU$70&gt;$AM481)),
SUMPRODUCT(INDEX($AV$56:$AX$65,,$AI481), INDEX($AY$56:$BE$65,,$AH481), 1 / ($BG$56:$BG$65*BY481 + (1-$BG$56:$BG$65)*BU481), N($AU$56:$AU$65&gt;$AM481))
) / 1000</f>
        <v>0</v>
      </c>
      <c r="CA481" s="231">
        <f t="shared" si="666"/>
        <v>20</v>
      </c>
      <c r="CB481" s="229">
        <f t="shared" si="644"/>
        <v>33</v>
      </c>
      <c r="CC481" s="234">
        <f t="shared" si="645"/>
        <v>4.8487499999999999</v>
      </c>
      <c r="CD481" s="234" cm="1">
        <f t="array" ref="CD481">$BM481 * IF($AH481&lt;=2,
SUMPRODUCT(INDEX($AV$61:$AX$65,,$AI481), INDEX($AY$61:$BE$65,,$AH481), 1 / ($BF$61:$BF$65*CC481 + (1-$BF$61:$BF$65)*BY481), N($AU$61:$AU$65&gt;$AM481)),
SUMPRODUCT(INDEX($AV$46:$AX$55,,$AI481), INDEX($AY$46:$BE$55,,$AH481), 1 / ($BG$46:$BG$55*CC481 + (1-$BG$46:$BG$55)*BY481), N($AU$46:$AU$55&gt;$AM481))
) / 1000</f>
        <v>0</v>
      </c>
      <c r="CE481" s="234" cm="1">
        <f t="array" ref="CE481">$BM481 * IF($AH481&lt;=2,
SUMPRODUCT(INDEX($AV$22:$AX$60,,$AI481), INDEX($AY$22:$BE$60,,$AH481), 1 / ($BF$22:$BF$60*CC481), N($AU$22:$AU$60&gt;$AM481)),
SUMPRODUCT(INDEX($AV$22:$AX$45,,$AI481), INDEX($AY$22:$BE$45,,$AH481), 1 / ($BG$22:$BG$45*CC481), N($AU$22:$AU$45&gt;$AM481))
) / 1000</f>
        <v>0</v>
      </c>
      <c r="CF481" s="229">
        <f t="shared" si="646"/>
        <v>0</v>
      </c>
      <c r="CG481" s="246"/>
      <c r="CH481" s="229">
        <f t="shared" si="647"/>
        <v>0</v>
      </c>
      <c r="CI481" s="228">
        <v>35</v>
      </c>
      <c r="CJ481" s="229">
        <f t="shared" si="648"/>
        <v>48</v>
      </c>
      <c r="CK481" s="234">
        <f t="shared" si="649"/>
        <v>3.0748170731707316</v>
      </c>
      <c r="CL481" s="234" cm="1">
        <f t="array" ref="CL481">$BM481 * SUMPRODUCT(INDEX($AV$76:$AX$81,,$AI481),INDEX($AY$76:$BE$81,,$AH481), N($AU$76:$AU$81&gt;$AM481)) / CK481 / 1000</f>
        <v>0</v>
      </c>
      <c r="CM481" s="231">
        <f t="shared" si="667"/>
        <v>30</v>
      </c>
      <c r="CN481" s="229">
        <f t="shared" si="650"/>
        <v>43</v>
      </c>
      <c r="CO481" s="234">
        <f t="shared" si="651"/>
        <v>3.5018750000000001</v>
      </c>
      <c r="CP481" s="234" cm="1">
        <f t="array" ref="CP481">$BM481 * IF($AH481&lt;=2,
SUMPRODUCT(INDEX($AV$71:$AX$75,,$AI481), INDEX($AY$71:$BE$75,,$AH481), 1 / ($BF$71:$BF$75*CO481 + (1-$BF$71:$BF$75)*CK481), N($AU$71:$AU$75&gt;$AM481)),
SUMPRODUCT(INDEX($AV$66:$AX$75,,$AI481), INDEX($AY$66:$BE$75,,$AH481), 1 / ($BG$66:$BG$75*CO481 + (1-$BG$66:$BG$75)*CK481), N($AU$66:$AU$75&gt;$AM481))
) / 1000</f>
        <v>0</v>
      </c>
      <c r="CQ481" s="231">
        <f t="shared" si="668"/>
        <v>25</v>
      </c>
      <c r="CR481" s="229">
        <f t="shared" si="652"/>
        <v>38</v>
      </c>
      <c r="CS481" s="234">
        <f t="shared" si="653"/>
        <v>4.0666935483870965</v>
      </c>
      <c r="CT481" s="234" cm="1">
        <f t="array" ref="CT481">$BM481 * IF($AH481&lt;=2,
SUMPRODUCT(INDEX($AV$66:$AX$70,,$AI481), INDEX($AY$66:$BE$70,,$AH481), 1 / ($BF$66:$BF$70*CS481 + (1-$BF$66:$BF$70)*CO481), N($AU$66:$AU$70&gt;$AM481)),
SUMPRODUCT(INDEX($AV$56:$AX$65,,$AI481), INDEX($AY$56:$BE$65,,$AH481), 1 / ($BG$56:$BG$65*CS481 + (1-$BG$56:$BG$65)*CO481), N($AU$56:$AU$65&gt;$AM481))
) / 1000</f>
        <v>0</v>
      </c>
      <c r="CU481" s="231">
        <f t="shared" si="669"/>
        <v>20</v>
      </c>
      <c r="CV481" s="229">
        <f t="shared" si="654"/>
        <v>33</v>
      </c>
      <c r="CW481" s="234">
        <f t="shared" si="655"/>
        <v>4.8487499999999999</v>
      </c>
      <c r="CX481" s="234" cm="1">
        <f t="array" ref="CX481">$BM481 * IF($AH481&lt;=2,
SUMPRODUCT(INDEX($AV$61:$AX$65,,$AI481), INDEX($AY$61:$BE$65,,$AH481), 1 / ($BF$61:$BF$65*CW481 + (1-$BF$61:$BF$65)*CS481), N($AU$61:$AU$65&gt;$AM481)),
SUMPRODUCT(INDEX($AV$46:$AX$55,,$AI481), INDEX($AY$46:$BE$55,,$AH481), 1 / ($BG$46:$BG$55*CW481 + (1-$BG$46:$BG$55)*CS481), N($AU$46:$AU$55&gt;$AM481))
) / 1000</f>
        <v>0</v>
      </c>
      <c r="CY481" s="234" cm="1">
        <f t="array" ref="CY481">$BM481 * IF($AH481&lt;=2,
SUMPRODUCT(INDEX($AV$22:$AX$60,,$AI481), INDEX($AY$22:$BE$60,,$AH481), 1 / ($BF$22:$BF$60*CW481), N($AU$22:$AU$60&gt;$AM481)),
SUMPRODUCT(INDEX($AV$22:$AX$45,,$AI481), INDEX($AY$22:$BE$45,,$AH481), 1 / ($BG$22:$BG$45*CW481), N($AU$22:$AU$45&gt;$AM481))
) / 1000</f>
        <v>0</v>
      </c>
      <c r="CZ481" s="229">
        <f t="shared" si="656"/>
        <v>0</v>
      </c>
      <c r="DA481" s="246"/>
    </row>
    <row r="482" spans="1:105" s="75" customFormat="1" ht="14.25" customHeight="1" x14ac:dyDescent="0.2">
      <c r="A482" s="230" t="b">
        <f t="shared" si="661"/>
        <v>0</v>
      </c>
      <c r="B482" s="253">
        <v>461</v>
      </c>
      <c r="C482" s="266"/>
      <c r="D482" s="266"/>
      <c r="E482" s="254"/>
      <c r="F482" s="255" t="str">
        <f>IF(ISBLANK(E482), "", VLOOKUP(E482, Z!$A$2:$C$4127, 3, FALSE))</f>
        <v/>
      </c>
      <c r="G482" s="256"/>
      <c r="H482" s="256"/>
      <c r="I482" s="256"/>
      <c r="J482" s="257"/>
      <c r="K482" s="258"/>
      <c r="L482" s="267"/>
      <c r="M482" s="268"/>
      <c r="N482" s="259" t="str" cm="1">
        <f t="array" ref="N482">IF($L482&gt;0, INDEX(Clean,1+AK482,$D$1), "")</f>
        <v/>
      </c>
      <c r="O482" s="260"/>
      <c r="P482" s="260"/>
      <c r="Q482" s="261"/>
      <c r="R482" s="264">
        <f t="shared" si="632"/>
        <v>0</v>
      </c>
      <c r="S482" s="259" t="str" cm="1">
        <f t="array" ref="S482">IF($L482&gt;0, INDEX(Clean,1+AL482,$D$1), "")</f>
        <v/>
      </c>
      <c r="T482" s="260"/>
      <c r="U482" s="260"/>
      <c r="V482" s="261"/>
      <c r="W482" s="267"/>
      <c r="X482" s="267"/>
      <c r="Y482" s="257"/>
      <c r="Z482" s="264">
        <f t="shared" si="633"/>
        <v>0</v>
      </c>
      <c r="AA482" s="269"/>
      <c r="AB482" s="266"/>
      <c r="AC482" s="254"/>
      <c r="AD482" s="255" t="str">
        <f>IF(ISBLANK(AC482), "", VLOOKUP(AC482, Z!$A$2:$C$4127, 3, FALSE))</f>
        <v/>
      </c>
      <c r="AE482" s="270"/>
      <c r="AF482" s="265">
        <f t="shared" si="634"/>
        <v>0</v>
      </c>
      <c r="AG482" s="246"/>
      <c r="AH482" s="228">
        <f t="shared" si="657"/>
        <v>1</v>
      </c>
      <c r="AI482" s="228">
        <f t="shared" si="658"/>
        <v>1</v>
      </c>
      <c r="AJ482" s="228">
        <f t="shared" si="659"/>
        <v>0</v>
      </c>
      <c r="AK482" s="228">
        <v>0</v>
      </c>
      <c r="AL482" s="228">
        <v>0</v>
      </c>
      <c r="AM482" s="228">
        <f t="shared" si="635"/>
        <v>-100</v>
      </c>
      <c r="AN482" s="228" cm="1">
        <f t="array" ref="AN482">IF(ISBLANK(G482), 1, IFERROR(MATCH(G482, INDEX(Kat,,1), 0), IFERROR(MATCH(Kat, INDEX(Use,,2), 0), MATCH(Kat, INDEX(Use,,3), 0))))</f>
        <v>1</v>
      </c>
      <c r="AO482" s="246"/>
      <c r="AP482" s="228" cm="1">
        <f t="array" ref="AP482">IF(W482&gt;0, INDEX(Kat, AN482,4), 0)</f>
        <v>0</v>
      </c>
      <c r="AQ482" s="228">
        <f t="shared" si="660"/>
        <v>0</v>
      </c>
      <c r="AR482" s="228" cm="1">
        <f t="array" ref="AR482">IF(X482&gt;0, INDEX(Kat, $AN482, 4+AQ482), 0)</f>
        <v>0</v>
      </c>
      <c r="AS482" s="228" cm="1">
        <f t="array" ref="AS482">IF(X482&gt;0, INDEX(Kat, $AN482, 9+AQ482), 0)</f>
        <v>0</v>
      </c>
      <c r="AT482" s="246"/>
      <c r="AU482" s="262"/>
      <c r="AV482" s="262"/>
      <c r="AW482" s="263"/>
      <c r="AX482" s="263"/>
      <c r="AY482" s="263"/>
      <c r="AZ482" s="263"/>
      <c r="BA482" s="263"/>
      <c r="BB482" s="263"/>
      <c r="BC482" s="263"/>
      <c r="BD482" s="263"/>
      <c r="BE482" s="263"/>
      <c r="BF482" s="263"/>
      <c r="BG482" s="263"/>
      <c r="BH482" s="246"/>
      <c r="BI482" s="228" cm="1">
        <f t="array" ref="BI482">INDEX(Use, $AH482, 4)</f>
        <v>7</v>
      </c>
      <c r="BJ482" s="228">
        <f t="shared" si="636"/>
        <v>32</v>
      </c>
      <c r="BK482" s="228">
        <f t="shared" si="662"/>
        <v>13</v>
      </c>
      <c r="BL482" s="228">
        <f t="shared" si="663"/>
        <v>0</v>
      </c>
      <c r="BM482" s="233" cm="1">
        <f t="array" ref="BM482">L482/IF($M482&gt;0, INDEX($AY$22:$BE$76, $M482+20, $AH482), 1)</f>
        <v>0</v>
      </c>
      <c r="BN482" s="229">
        <f t="shared" si="637"/>
        <v>0</v>
      </c>
      <c r="BO482" s="228">
        <v>35</v>
      </c>
      <c r="BP482" s="229">
        <f t="shared" si="638"/>
        <v>48</v>
      </c>
      <c r="BQ482" s="234">
        <f t="shared" si="639"/>
        <v>3.0748170731707316</v>
      </c>
      <c r="BR482" s="234" cm="1">
        <f t="array" ref="BR482">$BM482 * SUMPRODUCT(INDEX($AV$76:$AX$81,,$AI482),INDEX($AY$76:$BE$81,,$AH482), N($AU$76:$AU$81&gt;$AM482)) / BQ482 / 1000</f>
        <v>0</v>
      </c>
      <c r="BS482" s="231">
        <f t="shared" si="664"/>
        <v>30</v>
      </c>
      <c r="BT482" s="229">
        <f t="shared" si="640"/>
        <v>43</v>
      </c>
      <c r="BU482" s="234">
        <f t="shared" si="641"/>
        <v>3.5018750000000001</v>
      </c>
      <c r="BV482" s="234" cm="1">
        <f t="array" ref="BV482">$BM482 * IF($AH482&lt;=2,
SUMPRODUCT(INDEX($AV$71:$AX$75,,$AI482), INDEX($AY$71:$BE$75,,$AH482), 1 / ($BF$71:$BF$75*BU482 + (1-$BF$71:$BF$75)*BQ482), N($AU$71:$AU$75&gt;$AM482)),
SUMPRODUCT(INDEX($AV$66:$AX$75,,$AI482), INDEX($AY$66:$BE$75,,$AH482), 1 / ($BG$66:$BG$75*BU482 + (1-$BG$66:$BG$75)*BQ482), N($AU$66:$AU$75&gt;$AM482))
) / 1000</f>
        <v>0</v>
      </c>
      <c r="BW482" s="231">
        <f t="shared" si="665"/>
        <v>25</v>
      </c>
      <c r="BX482" s="229">
        <f t="shared" si="642"/>
        <v>38</v>
      </c>
      <c r="BY482" s="234">
        <f t="shared" si="643"/>
        <v>4.0666935483870965</v>
      </c>
      <c r="BZ482" s="234" cm="1">
        <f t="array" ref="BZ482">$BM482 * IF($AH482&lt;=2,
SUMPRODUCT(INDEX($AV$66:$AX$70,,$AI482), INDEX($AY$66:$BE$70,,$AH482), 1 / ($BF$66:$BF$70*BY482 + (1-$BF$66:$BF$70)*BU482), N($AU$66:$AU$70&gt;$AM482)),
SUMPRODUCT(INDEX($AV$56:$AX$65,,$AI482), INDEX($AY$56:$BE$65,,$AH482), 1 / ($BG$56:$BG$65*BY482 + (1-$BG$56:$BG$65)*BU482), N($AU$56:$AU$65&gt;$AM482))
) / 1000</f>
        <v>0</v>
      </c>
      <c r="CA482" s="231">
        <f t="shared" si="666"/>
        <v>20</v>
      </c>
      <c r="CB482" s="229">
        <f t="shared" si="644"/>
        <v>33</v>
      </c>
      <c r="CC482" s="234">
        <f t="shared" si="645"/>
        <v>4.8487499999999999</v>
      </c>
      <c r="CD482" s="234" cm="1">
        <f t="array" ref="CD482">$BM482 * IF($AH482&lt;=2,
SUMPRODUCT(INDEX($AV$61:$AX$65,,$AI482), INDEX($AY$61:$BE$65,,$AH482), 1 / ($BF$61:$BF$65*CC482 + (1-$BF$61:$BF$65)*BY482), N($AU$61:$AU$65&gt;$AM482)),
SUMPRODUCT(INDEX($AV$46:$AX$55,,$AI482), INDEX($AY$46:$BE$55,,$AH482), 1 / ($BG$46:$BG$55*CC482 + (1-$BG$46:$BG$55)*BY482), N($AU$46:$AU$55&gt;$AM482))
) / 1000</f>
        <v>0</v>
      </c>
      <c r="CE482" s="234" cm="1">
        <f t="array" ref="CE482">$BM482 * IF($AH482&lt;=2,
SUMPRODUCT(INDEX($AV$22:$AX$60,,$AI482), INDEX($AY$22:$BE$60,,$AH482), 1 / ($BF$22:$BF$60*CC482), N($AU$22:$AU$60&gt;$AM482)),
SUMPRODUCT(INDEX($AV$22:$AX$45,,$AI482), INDEX($AY$22:$BE$45,,$AH482), 1 / ($BG$22:$BG$45*CC482), N($AU$22:$AU$45&gt;$AM482))
) / 1000</f>
        <v>0</v>
      </c>
      <c r="CF482" s="229">
        <f t="shared" si="646"/>
        <v>0</v>
      </c>
      <c r="CG482" s="246"/>
      <c r="CH482" s="229">
        <f t="shared" si="647"/>
        <v>0</v>
      </c>
      <c r="CI482" s="228">
        <v>35</v>
      </c>
      <c r="CJ482" s="229">
        <f t="shared" si="648"/>
        <v>48</v>
      </c>
      <c r="CK482" s="234">
        <f t="shared" si="649"/>
        <v>3.0748170731707316</v>
      </c>
      <c r="CL482" s="234" cm="1">
        <f t="array" ref="CL482">$BM482 * SUMPRODUCT(INDEX($AV$76:$AX$81,,$AI482),INDEX($AY$76:$BE$81,,$AH482), N($AU$76:$AU$81&gt;$AM482)) / CK482 / 1000</f>
        <v>0</v>
      </c>
      <c r="CM482" s="231">
        <f t="shared" si="667"/>
        <v>30</v>
      </c>
      <c r="CN482" s="229">
        <f t="shared" si="650"/>
        <v>43</v>
      </c>
      <c r="CO482" s="234">
        <f t="shared" si="651"/>
        <v>3.5018750000000001</v>
      </c>
      <c r="CP482" s="234" cm="1">
        <f t="array" ref="CP482">$BM482 * IF($AH482&lt;=2,
SUMPRODUCT(INDEX($AV$71:$AX$75,,$AI482), INDEX($AY$71:$BE$75,,$AH482), 1 / ($BF$71:$BF$75*CO482 + (1-$BF$71:$BF$75)*CK482), N($AU$71:$AU$75&gt;$AM482)),
SUMPRODUCT(INDEX($AV$66:$AX$75,,$AI482), INDEX($AY$66:$BE$75,,$AH482), 1 / ($BG$66:$BG$75*CO482 + (1-$BG$66:$BG$75)*CK482), N($AU$66:$AU$75&gt;$AM482))
) / 1000</f>
        <v>0</v>
      </c>
      <c r="CQ482" s="231">
        <f t="shared" si="668"/>
        <v>25</v>
      </c>
      <c r="CR482" s="229">
        <f t="shared" si="652"/>
        <v>38</v>
      </c>
      <c r="CS482" s="234">
        <f t="shared" si="653"/>
        <v>4.0666935483870965</v>
      </c>
      <c r="CT482" s="234" cm="1">
        <f t="array" ref="CT482">$BM482 * IF($AH482&lt;=2,
SUMPRODUCT(INDEX($AV$66:$AX$70,,$AI482), INDEX($AY$66:$BE$70,,$AH482), 1 / ($BF$66:$BF$70*CS482 + (1-$BF$66:$BF$70)*CO482), N($AU$66:$AU$70&gt;$AM482)),
SUMPRODUCT(INDEX($AV$56:$AX$65,,$AI482), INDEX($AY$56:$BE$65,,$AH482), 1 / ($BG$56:$BG$65*CS482 + (1-$BG$56:$BG$65)*CO482), N($AU$56:$AU$65&gt;$AM482))
) / 1000</f>
        <v>0</v>
      </c>
      <c r="CU482" s="231">
        <f t="shared" si="669"/>
        <v>20</v>
      </c>
      <c r="CV482" s="229">
        <f t="shared" si="654"/>
        <v>33</v>
      </c>
      <c r="CW482" s="234">
        <f t="shared" si="655"/>
        <v>4.8487499999999999</v>
      </c>
      <c r="CX482" s="234" cm="1">
        <f t="array" ref="CX482">$BM482 * IF($AH482&lt;=2,
SUMPRODUCT(INDEX($AV$61:$AX$65,,$AI482), INDEX($AY$61:$BE$65,,$AH482), 1 / ($BF$61:$BF$65*CW482 + (1-$BF$61:$BF$65)*CS482), N($AU$61:$AU$65&gt;$AM482)),
SUMPRODUCT(INDEX($AV$46:$AX$55,,$AI482), INDEX($AY$46:$BE$55,,$AH482), 1 / ($BG$46:$BG$55*CW482 + (1-$BG$46:$BG$55)*CS482), N($AU$46:$AU$55&gt;$AM482))
) / 1000</f>
        <v>0</v>
      </c>
      <c r="CY482" s="234" cm="1">
        <f t="array" ref="CY482">$BM482 * IF($AH482&lt;=2,
SUMPRODUCT(INDEX($AV$22:$AX$60,,$AI482), INDEX($AY$22:$BE$60,,$AH482), 1 / ($BF$22:$BF$60*CW482), N($AU$22:$AU$60&gt;$AM482)),
SUMPRODUCT(INDEX($AV$22:$AX$45,,$AI482), INDEX($AY$22:$BE$45,,$AH482), 1 / ($BG$22:$BG$45*CW482), N($AU$22:$AU$45&gt;$AM482))
) / 1000</f>
        <v>0</v>
      </c>
      <c r="CZ482" s="229">
        <f t="shared" si="656"/>
        <v>0</v>
      </c>
      <c r="DA482" s="246"/>
    </row>
    <row r="483" spans="1:105" s="75" customFormat="1" ht="14.25" customHeight="1" x14ac:dyDescent="0.2">
      <c r="A483" s="230" t="b">
        <f t="shared" si="661"/>
        <v>0</v>
      </c>
      <c r="B483" s="253">
        <v>462</v>
      </c>
      <c r="C483" s="266"/>
      <c r="D483" s="266"/>
      <c r="E483" s="254"/>
      <c r="F483" s="255" t="str">
        <f>IF(ISBLANK(E483), "", VLOOKUP(E483, Z!$A$2:$C$4127, 3, FALSE))</f>
        <v/>
      </c>
      <c r="G483" s="256"/>
      <c r="H483" s="256"/>
      <c r="I483" s="256"/>
      <c r="J483" s="257"/>
      <c r="K483" s="258"/>
      <c r="L483" s="267"/>
      <c r="M483" s="268"/>
      <c r="N483" s="259" t="str" cm="1">
        <f t="array" ref="N483">IF($L483&gt;0, INDEX(Clean,1+AK483,$D$1), "")</f>
        <v/>
      </c>
      <c r="O483" s="260"/>
      <c r="P483" s="260"/>
      <c r="Q483" s="261"/>
      <c r="R483" s="264">
        <f t="shared" si="632"/>
        <v>0</v>
      </c>
      <c r="S483" s="259" t="str" cm="1">
        <f t="array" ref="S483">IF($L483&gt;0, INDEX(Clean,1+AL483,$D$1), "")</f>
        <v/>
      </c>
      <c r="T483" s="260"/>
      <c r="U483" s="260"/>
      <c r="V483" s="261"/>
      <c r="W483" s="267"/>
      <c r="X483" s="267"/>
      <c r="Y483" s="257"/>
      <c r="Z483" s="264">
        <f t="shared" si="633"/>
        <v>0</v>
      </c>
      <c r="AA483" s="269"/>
      <c r="AB483" s="266"/>
      <c r="AC483" s="254"/>
      <c r="AD483" s="255" t="str">
        <f>IF(ISBLANK(AC483), "", VLOOKUP(AC483, Z!$A$2:$C$4127, 3, FALSE))</f>
        <v/>
      </c>
      <c r="AE483" s="270"/>
      <c r="AF483" s="265">
        <f t="shared" si="634"/>
        <v>0</v>
      </c>
      <c r="AG483" s="246"/>
      <c r="AH483" s="228">
        <f t="shared" si="657"/>
        <v>1</v>
      </c>
      <c r="AI483" s="228">
        <f t="shared" si="658"/>
        <v>1</v>
      </c>
      <c r="AJ483" s="228">
        <f t="shared" si="659"/>
        <v>0</v>
      </c>
      <c r="AK483" s="228">
        <v>0</v>
      </c>
      <c r="AL483" s="228">
        <v>0</v>
      </c>
      <c r="AM483" s="228">
        <f t="shared" si="635"/>
        <v>-100</v>
      </c>
      <c r="AN483" s="228" cm="1">
        <f t="array" ref="AN483">IF(ISBLANK(G483), 1, IFERROR(MATCH(G483, INDEX(Kat,,1), 0), IFERROR(MATCH(Kat, INDEX(Use,,2), 0), MATCH(Kat, INDEX(Use,,3), 0))))</f>
        <v>1</v>
      </c>
      <c r="AO483" s="246"/>
      <c r="AP483" s="228" cm="1">
        <f t="array" ref="AP483">IF(W483&gt;0, INDEX(Kat, AN483,4), 0)</f>
        <v>0</v>
      </c>
      <c r="AQ483" s="228">
        <f t="shared" si="660"/>
        <v>0</v>
      </c>
      <c r="AR483" s="228" cm="1">
        <f t="array" ref="AR483">IF(X483&gt;0, INDEX(Kat, $AN483, 4+AQ483), 0)</f>
        <v>0</v>
      </c>
      <c r="AS483" s="228" cm="1">
        <f t="array" ref="AS483">IF(X483&gt;0, INDEX(Kat, $AN483, 9+AQ483), 0)</f>
        <v>0</v>
      </c>
      <c r="AT483" s="246"/>
      <c r="AU483" s="262"/>
      <c r="AV483" s="262"/>
      <c r="AW483" s="263"/>
      <c r="AX483" s="263"/>
      <c r="AY483" s="263"/>
      <c r="AZ483" s="263"/>
      <c r="BA483" s="263"/>
      <c r="BB483" s="263"/>
      <c r="BC483" s="263"/>
      <c r="BD483" s="263"/>
      <c r="BE483" s="263"/>
      <c r="BF483" s="263"/>
      <c r="BG483" s="263"/>
      <c r="BH483" s="246"/>
      <c r="BI483" s="228" cm="1">
        <f t="array" ref="BI483">INDEX(Use, $AH483, 4)</f>
        <v>7</v>
      </c>
      <c r="BJ483" s="228">
        <f t="shared" si="636"/>
        <v>32</v>
      </c>
      <c r="BK483" s="228">
        <f t="shared" si="662"/>
        <v>13</v>
      </c>
      <c r="BL483" s="228">
        <f t="shared" si="663"/>
        <v>0</v>
      </c>
      <c r="BM483" s="233" cm="1">
        <f t="array" ref="BM483">L483/IF($M483&gt;0, INDEX($AY$22:$BE$76, $M483+20, $AH483), 1)</f>
        <v>0</v>
      </c>
      <c r="BN483" s="229">
        <f t="shared" si="637"/>
        <v>0</v>
      </c>
      <c r="BO483" s="228">
        <v>35</v>
      </c>
      <c r="BP483" s="229">
        <f t="shared" si="638"/>
        <v>48</v>
      </c>
      <c r="BQ483" s="234">
        <f t="shared" si="639"/>
        <v>3.0748170731707316</v>
      </c>
      <c r="BR483" s="234" cm="1">
        <f t="array" ref="BR483">$BM483 * SUMPRODUCT(INDEX($AV$76:$AX$81,,$AI483),INDEX($AY$76:$BE$81,,$AH483), N($AU$76:$AU$81&gt;$AM483)) / BQ483 / 1000</f>
        <v>0</v>
      </c>
      <c r="BS483" s="231">
        <f t="shared" si="664"/>
        <v>30</v>
      </c>
      <c r="BT483" s="229">
        <f t="shared" si="640"/>
        <v>43</v>
      </c>
      <c r="BU483" s="234">
        <f t="shared" si="641"/>
        <v>3.5018750000000001</v>
      </c>
      <c r="BV483" s="234" cm="1">
        <f t="array" ref="BV483">$BM483 * IF($AH483&lt;=2,
SUMPRODUCT(INDEX($AV$71:$AX$75,,$AI483), INDEX($AY$71:$BE$75,,$AH483), 1 / ($BF$71:$BF$75*BU483 + (1-$BF$71:$BF$75)*BQ483), N($AU$71:$AU$75&gt;$AM483)),
SUMPRODUCT(INDEX($AV$66:$AX$75,,$AI483), INDEX($AY$66:$BE$75,,$AH483), 1 / ($BG$66:$BG$75*BU483 + (1-$BG$66:$BG$75)*BQ483), N($AU$66:$AU$75&gt;$AM483))
) / 1000</f>
        <v>0</v>
      </c>
      <c r="BW483" s="231">
        <f t="shared" si="665"/>
        <v>25</v>
      </c>
      <c r="BX483" s="229">
        <f t="shared" si="642"/>
        <v>38</v>
      </c>
      <c r="BY483" s="234">
        <f t="shared" si="643"/>
        <v>4.0666935483870965</v>
      </c>
      <c r="BZ483" s="234" cm="1">
        <f t="array" ref="BZ483">$BM483 * IF($AH483&lt;=2,
SUMPRODUCT(INDEX($AV$66:$AX$70,,$AI483), INDEX($AY$66:$BE$70,,$AH483), 1 / ($BF$66:$BF$70*BY483 + (1-$BF$66:$BF$70)*BU483), N($AU$66:$AU$70&gt;$AM483)),
SUMPRODUCT(INDEX($AV$56:$AX$65,,$AI483), INDEX($AY$56:$BE$65,,$AH483), 1 / ($BG$56:$BG$65*BY483 + (1-$BG$56:$BG$65)*BU483), N($AU$56:$AU$65&gt;$AM483))
) / 1000</f>
        <v>0</v>
      </c>
      <c r="CA483" s="231">
        <f t="shared" si="666"/>
        <v>20</v>
      </c>
      <c r="CB483" s="229">
        <f t="shared" si="644"/>
        <v>33</v>
      </c>
      <c r="CC483" s="234">
        <f t="shared" si="645"/>
        <v>4.8487499999999999</v>
      </c>
      <c r="CD483" s="234" cm="1">
        <f t="array" ref="CD483">$BM483 * IF($AH483&lt;=2,
SUMPRODUCT(INDEX($AV$61:$AX$65,,$AI483), INDEX($AY$61:$BE$65,,$AH483), 1 / ($BF$61:$BF$65*CC483 + (1-$BF$61:$BF$65)*BY483), N($AU$61:$AU$65&gt;$AM483)),
SUMPRODUCT(INDEX($AV$46:$AX$55,,$AI483), INDEX($AY$46:$BE$55,,$AH483), 1 / ($BG$46:$BG$55*CC483 + (1-$BG$46:$BG$55)*BY483), N($AU$46:$AU$55&gt;$AM483))
) / 1000</f>
        <v>0</v>
      </c>
      <c r="CE483" s="234" cm="1">
        <f t="array" ref="CE483">$BM483 * IF($AH483&lt;=2,
SUMPRODUCT(INDEX($AV$22:$AX$60,,$AI483), INDEX($AY$22:$BE$60,,$AH483), 1 / ($BF$22:$BF$60*CC483), N($AU$22:$AU$60&gt;$AM483)),
SUMPRODUCT(INDEX($AV$22:$AX$45,,$AI483), INDEX($AY$22:$BE$45,,$AH483), 1 / ($BG$22:$BG$45*CC483), N($AU$22:$AU$45&gt;$AM483))
) / 1000</f>
        <v>0</v>
      </c>
      <c r="CF483" s="229">
        <f t="shared" si="646"/>
        <v>0</v>
      </c>
      <c r="CG483" s="246"/>
      <c r="CH483" s="229">
        <f t="shared" si="647"/>
        <v>0</v>
      </c>
      <c r="CI483" s="228">
        <v>35</v>
      </c>
      <c r="CJ483" s="229">
        <f t="shared" si="648"/>
        <v>48</v>
      </c>
      <c r="CK483" s="234">
        <f t="shared" si="649"/>
        <v>3.0748170731707316</v>
      </c>
      <c r="CL483" s="234" cm="1">
        <f t="array" ref="CL483">$BM483 * SUMPRODUCT(INDEX($AV$76:$AX$81,,$AI483),INDEX($AY$76:$BE$81,,$AH483), N($AU$76:$AU$81&gt;$AM483)) / CK483 / 1000</f>
        <v>0</v>
      </c>
      <c r="CM483" s="231">
        <f t="shared" si="667"/>
        <v>30</v>
      </c>
      <c r="CN483" s="229">
        <f t="shared" si="650"/>
        <v>43</v>
      </c>
      <c r="CO483" s="234">
        <f t="shared" si="651"/>
        <v>3.5018750000000001</v>
      </c>
      <c r="CP483" s="234" cm="1">
        <f t="array" ref="CP483">$BM483 * IF($AH483&lt;=2,
SUMPRODUCT(INDEX($AV$71:$AX$75,,$AI483), INDEX($AY$71:$BE$75,,$AH483), 1 / ($BF$71:$BF$75*CO483 + (1-$BF$71:$BF$75)*CK483), N($AU$71:$AU$75&gt;$AM483)),
SUMPRODUCT(INDEX($AV$66:$AX$75,,$AI483), INDEX($AY$66:$BE$75,,$AH483), 1 / ($BG$66:$BG$75*CO483 + (1-$BG$66:$BG$75)*CK483), N($AU$66:$AU$75&gt;$AM483))
) / 1000</f>
        <v>0</v>
      </c>
      <c r="CQ483" s="231">
        <f t="shared" si="668"/>
        <v>25</v>
      </c>
      <c r="CR483" s="229">
        <f t="shared" si="652"/>
        <v>38</v>
      </c>
      <c r="CS483" s="234">
        <f t="shared" si="653"/>
        <v>4.0666935483870965</v>
      </c>
      <c r="CT483" s="234" cm="1">
        <f t="array" ref="CT483">$BM483 * IF($AH483&lt;=2,
SUMPRODUCT(INDEX($AV$66:$AX$70,,$AI483), INDEX($AY$66:$BE$70,,$AH483), 1 / ($BF$66:$BF$70*CS483 + (1-$BF$66:$BF$70)*CO483), N($AU$66:$AU$70&gt;$AM483)),
SUMPRODUCT(INDEX($AV$56:$AX$65,,$AI483), INDEX($AY$56:$BE$65,,$AH483), 1 / ($BG$56:$BG$65*CS483 + (1-$BG$56:$BG$65)*CO483), N($AU$56:$AU$65&gt;$AM483))
) / 1000</f>
        <v>0</v>
      </c>
      <c r="CU483" s="231">
        <f t="shared" si="669"/>
        <v>20</v>
      </c>
      <c r="CV483" s="229">
        <f t="shared" si="654"/>
        <v>33</v>
      </c>
      <c r="CW483" s="234">
        <f t="shared" si="655"/>
        <v>4.8487499999999999</v>
      </c>
      <c r="CX483" s="234" cm="1">
        <f t="array" ref="CX483">$BM483 * IF($AH483&lt;=2,
SUMPRODUCT(INDEX($AV$61:$AX$65,,$AI483), INDEX($AY$61:$BE$65,,$AH483), 1 / ($BF$61:$BF$65*CW483 + (1-$BF$61:$BF$65)*CS483), N($AU$61:$AU$65&gt;$AM483)),
SUMPRODUCT(INDEX($AV$46:$AX$55,,$AI483), INDEX($AY$46:$BE$55,,$AH483), 1 / ($BG$46:$BG$55*CW483 + (1-$BG$46:$BG$55)*CS483), N($AU$46:$AU$55&gt;$AM483))
) / 1000</f>
        <v>0</v>
      </c>
      <c r="CY483" s="234" cm="1">
        <f t="array" ref="CY483">$BM483 * IF($AH483&lt;=2,
SUMPRODUCT(INDEX($AV$22:$AX$60,,$AI483), INDEX($AY$22:$BE$60,,$AH483), 1 / ($BF$22:$BF$60*CW483), N($AU$22:$AU$60&gt;$AM483)),
SUMPRODUCT(INDEX($AV$22:$AX$45,,$AI483), INDEX($AY$22:$BE$45,,$AH483), 1 / ($BG$22:$BG$45*CW483), N($AU$22:$AU$45&gt;$AM483))
) / 1000</f>
        <v>0</v>
      </c>
      <c r="CZ483" s="229">
        <f t="shared" si="656"/>
        <v>0</v>
      </c>
      <c r="DA483" s="246"/>
    </row>
    <row r="484" spans="1:105" s="75" customFormat="1" ht="14.25" customHeight="1" x14ac:dyDescent="0.2">
      <c r="A484" s="230" t="b">
        <f t="shared" si="661"/>
        <v>0</v>
      </c>
      <c r="B484" s="253">
        <v>463</v>
      </c>
      <c r="C484" s="266"/>
      <c r="D484" s="266"/>
      <c r="E484" s="254"/>
      <c r="F484" s="255" t="str">
        <f>IF(ISBLANK(E484), "", VLOOKUP(E484, Z!$A$2:$C$4127, 3, FALSE))</f>
        <v/>
      </c>
      <c r="G484" s="256"/>
      <c r="H484" s="256"/>
      <c r="I484" s="256"/>
      <c r="J484" s="257"/>
      <c r="K484" s="258"/>
      <c r="L484" s="267"/>
      <c r="M484" s="268"/>
      <c r="N484" s="259" t="str" cm="1">
        <f t="array" ref="N484">IF($L484&gt;0, INDEX(Clean,1+AK484,$D$1), "")</f>
        <v/>
      </c>
      <c r="O484" s="260"/>
      <c r="P484" s="260"/>
      <c r="Q484" s="261"/>
      <c r="R484" s="264">
        <f t="shared" si="632"/>
        <v>0</v>
      </c>
      <c r="S484" s="259" t="str" cm="1">
        <f t="array" ref="S484">IF($L484&gt;0, INDEX(Clean,1+AL484,$D$1), "")</f>
        <v/>
      </c>
      <c r="T484" s="260"/>
      <c r="U484" s="260"/>
      <c r="V484" s="261"/>
      <c r="W484" s="267"/>
      <c r="X484" s="267"/>
      <c r="Y484" s="257"/>
      <c r="Z484" s="264">
        <f t="shared" si="633"/>
        <v>0</v>
      </c>
      <c r="AA484" s="269"/>
      <c r="AB484" s="266"/>
      <c r="AC484" s="254"/>
      <c r="AD484" s="255" t="str">
        <f>IF(ISBLANK(AC484), "", VLOOKUP(AC484, Z!$A$2:$C$4127, 3, FALSE))</f>
        <v/>
      </c>
      <c r="AE484" s="270"/>
      <c r="AF484" s="265">
        <f t="shared" si="634"/>
        <v>0</v>
      </c>
      <c r="AG484" s="246"/>
      <c r="AH484" s="228">
        <f t="shared" si="657"/>
        <v>1</v>
      </c>
      <c r="AI484" s="228">
        <f t="shared" si="658"/>
        <v>1</v>
      </c>
      <c r="AJ484" s="228">
        <f t="shared" si="659"/>
        <v>0</v>
      </c>
      <c r="AK484" s="228">
        <v>0</v>
      </c>
      <c r="AL484" s="228">
        <v>0</v>
      </c>
      <c r="AM484" s="228">
        <f t="shared" si="635"/>
        <v>-100</v>
      </c>
      <c r="AN484" s="228" cm="1">
        <f t="array" ref="AN484">IF(ISBLANK(G484), 1, IFERROR(MATCH(G484, INDEX(Kat,,1), 0), IFERROR(MATCH(Kat, INDEX(Use,,2), 0), MATCH(Kat, INDEX(Use,,3), 0))))</f>
        <v>1</v>
      </c>
      <c r="AO484" s="246"/>
      <c r="AP484" s="228" cm="1">
        <f t="array" ref="AP484">IF(W484&gt;0, INDEX(Kat, AN484,4), 0)</f>
        <v>0</v>
      </c>
      <c r="AQ484" s="228">
        <f t="shared" si="660"/>
        <v>0</v>
      </c>
      <c r="AR484" s="228" cm="1">
        <f t="array" ref="AR484">IF(X484&gt;0, INDEX(Kat, $AN484, 4+AQ484), 0)</f>
        <v>0</v>
      </c>
      <c r="AS484" s="228" cm="1">
        <f t="array" ref="AS484">IF(X484&gt;0, INDEX(Kat, $AN484, 9+AQ484), 0)</f>
        <v>0</v>
      </c>
      <c r="AT484" s="246"/>
      <c r="AU484" s="262"/>
      <c r="AV484" s="262"/>
      <c r="AW484" s="263"/>
      <c r="AX484" s="263"/>
      <c r="AY484" s="263"/>
      <c r="AZ484" s="263"/>
      <c r="BA484" s="263"/>
      <c r="BB484" s="263"/>
      <c r="BC484" s="263"/>
      <c r="BD484" s="263"/>
      <c r="BE484" s="263"/>
      <c r="BF484" s="263"/>
      <c r="BG484" s="263"/>
      <c r="BH484" s="246"/>
      <c r="BI484" s="228" cm="1">
        <f t="array" ref="BI484">INDEX(Use, $AH484, 4)</f>
        <v>7</v>
      </c>
      <c r="BJ484" s="228">
        <f t="shared" si="636"/>
        <v>32</v>
      </c>
      <c r="BK484" s="228">
        <f t="shared" si="662"/>
        <v>13</v>
      </c>
      <c r="BL484" s="228">
        <f t="shared" si="663"/>
        <v>0</v>
      </c>
      <c r="BM484" s="233" cm="1">
        <f t="array" ref="BM484">L484/IF($M484&gt;0, INDEX($AY$22:$BE$76, $M484+20, $AH484), 1)</f>
        <v>0</v>
      </c>
      <c r="BN484" s="229">
        <f t="shared" si="637"/>
        <v>0</v>
      </c>
      <c r="BO484" s="228">
        <v>35</v>
      </c>
      <c r="BP484" s="229">
        <f t="shared" si="638"/>
        <v>48</v>
      </c>
      <c r="BQ484" s="234">
        <f t="shared" si="639"/>
        <v>3.0748170731707316</v>
      </c>
      <c r="BR484" s="234" cm="1">
        <f t="array" ref="BR484">$BM484 * SUMPRODUCT(INDEX($AV$76:$AX$81,,$AI484),INDEX($AY$76:$BE$81,,$AH484), N($AU$76:$AU$81&gt;$AM484)) / BQ484 / 1000</f>
        <v>0</v>
      </c>
      <c r="BS484" s="231">
        <f t="shared" si="664"/>
        <v>30</v>
      </c>
      <c r="BT484" s="229">
        <f t="shared" si="640"/>
        <v>43</v>
      </c>
      <c r="BU484" s="234">
        <f t="shared" si="641"/>
        <v>3.5018750000000001</v>
      </c>
      <c r="BV484" s="234" cm="1">
        <f t="array" ref="BV484">$BM484 * IF($AH484&lt;=2,
SUMPRODUCT(INDEX($AV$71:$AX$75,,$AI484), INDEX($AY$71:$BE$75,,$AH484), 1 / ($BF$71:$BF$75*BU484 + (1-$BF$71:$BF$75)*BQ484), N($AU$71:$AU$75&gt;$AM484)),
SUMPRODUCT(INDEX($AV$66:$AX$75,,$AI484), INDEX($AY$66:$BE$75,,$AH484), 1 / ($BG$66:$BG$75*BU484 + (1-$BG$66:$BG$75)*BQ484), N($AU$66:$AU$75&gt;$AM484))
) / 1000</f>
        <v>0</v>
      </c>
      <c r="BW484" s="231">
        <f t="shared" si="665"/>
        <v>25</v>
      </c>
      <c r="BX484" s="229">
        <f t="shared" si="642"/>
        <v>38</v>
      </c>
      <c r="BY484" s="234">
        <f t="shared" si="643"/>
        <v>4.0666935483870965</v>
      </c>
      <c r="BZ484" s="234" cm="1">
        <f t="array" ref="BZ484">$BM484 * IF($AH484&lt;=2,
SUMPRODUCT(INDEX($AV$66:$AX$70,,$AI484), INDEX($AY$66:$BE$70,,$AH484), 1 / ($BF$66:$BF$70*BY484 + (1-$BF$66:$BF$70)*BU484), N($AU$66:$AU$70&gt;$AM484)),
SUMPRODUCT(INDEX($AV$56:$AX$65,,$AI484), INDEX($AY$56:$BE$65,,$AH484), 1 / ($BG$56:$BG$65*BY484 + (1-$BG$56:$BG$65)*BU484), N($AU$56:$AU$65&gt;$AM484))
) / 1000</f>
        <v>0</v>
      </c>
      <c r="CA484" s="231">
        <f t="shared" si="666"/>
        <v>20</v>
      </c>
      <c r="CB484" s="229">
        <f t="shared" si="644"/>
        <v>33</v>
      </c>
      <c r="CC484" s="234">
        <f t="shared" si="645"/>
        <v>4.8487499999999999</v>
      </c>
      <c r="CD484" s="234" cm="1">
        <f t="array" ref="CD484">$BM484 * IF($AH484&lt;=2,
SUMPRODUCT(INDEX($AV$61:$AX$65,,$AI484), INDEX($AY$61:$BE$65,,$AH484), 1 / ($BF$61:$BF$65*CC484 + (1-$BF$61:$BF$65)*BY484), N($AU$61:$AU$65&gt;$AM484)),
SUMPRODUCT(INDEX($AV$46:$AX$55,,$AI484), INDEX($AY$46:$BE$55,,$AH484), 1 / ($BG$46:$BG$55*CC484 + (1-$BG$46:$BG$55)*BY484), N($AU$46:$AU$55&gt;$AM484))
) / 1000</f>
        <v>0</v>
      </c>
      <c r="CE484" s="234" cm="1">
        <f t="array" ref="CE484">$BM484 * IF($AH484&lt;=2,
SUMPRODUCT(INDEX($AV$22:$AX$60,,$AI484), INDEX($AY$22:$BE$60,,$AH484), 1 / ($BF$22:$BF$60*CC484), N($AU$22:$AU$60&gt;$AM484)),
SUMPRODUCT(INDEX($AV$22:$AX$45,,$AI484), INDEX($AY$22:$BE$45,,$AH484), 1 / ($BG$22:$BG$45*CC484), N($AU$22:$AU$45&gt;$AM484))
) / 1000</f>
        <v>0</v>
      </c>
      <c r="CF484" s="229">
        <f t="shared" si="646"/>
        <v>0</v>
      </c>
      <c r="CG484" s="246"/>
      <c r="CH484" s="229">
        <f t="shared" si="647"/>
        <v>0</v>
      </c>
      <c r="CI484" s="228">
        <v>35</v>
      </c>
      <c r="CJ484" s="229">
        <f t="shared" si="648"/>
        <v>48</v>
      </c>
      <c r="CK484" s="234">
        <f t="shared" si="649"/>
        <v>3.0748170731707316</v>
      </c>
      <c r="CL484" s="234" cm="1">
        <f t="array" ref="CL484">$BM484 * SUMPRODUCT(INDEX($AV$76:$AX$81,,$AI484),INDEX($AY$76:$BE$81,,$AH484), N($AU$76:$AU$81&gt;$AM484)) / CK484 / 1000</f>
        <v>0</v>
      </c>
      <c r="CM484" s="231">
        <f t="shared" si="667"/>
        <v>30</v>
      </c>
      <c r="CN484" s="229">
        <f t="shared" si="650"/>
        <v>43</v>
      </c>
      <c r="CO484" s="234">
        <f t="shared" si="651"/>
        <v>3.5018750000000001</v>
      </c>
      <c r="CP484" s="234" cm="1">
        <f t="array" ref="CP484">$BM484 * IF($AH484&lt;=2,
SUMPRODUCT(INDEX($AV$71:$AX$75,,$AI484), INDEX($AY$71:$BE$75,,$AH484), 1 / ($BF$71:$BF$75*CO484 + (1-$BF$71:$BF$75)*CK484), N($AU$71:$AU$75&gt;$AM484)),
SUMPRODUCT(INDEX($AV$66:$AX$75,,$AI484), INDEX($AY$66:$BE$75,,$AH484), 1 / ($BG$66:$BG$75*CO484 + (1-$BG$66:$BG$75)*CK484), N($AU$66:$AU$75&gt;$AM484))
) / 1000</f>
        <v>0</v>
      </c>
      <c r="CQ484" s="231">
        <f t="shared" si="668"/>
        <v>25</v>
      </c>
      <c r="CR484" s="229">
        <f t="shared" si="652"/>
        <v>38</v>
      </c>
      <c r="CS484" s="234">
        <f t="shared" si="653"/>
        <v>4.0666935483870965</v>
      </c>
      <c r="CT484" s="234" cm="1">
        <f t="array" ref="CT484">$BM484 * IF($AH484&lt;=2,
SUMPRODUCT(INDEX($AV$66:$AX$70,,$AI484), INDEX($AY$66:$BE$70,,$AH484), 1 / ($BF$66:$BF$70*CS484 + (1-$BF$66:$BF$70)*CO484), N($AU$66:$AU$70&gt;$AM484)),
SUMPRODUCT(INDEX($AV$56:$AX$65,,$AI484), INDEX($AY$56:$BE$65,,$AH484), 1 / ($BG$56:$BG$65*CS484 + (1-$BG$56:$BG$65)*CO484), N($AU$56:$AU$65&gt;$AM484))
) / 1000</f>
        <v>0</v>
      </c>
      <c r="CU484" s="231">
        <f t="shared" si="669"/>
        <v>20</v>
      </c>
      <c r="CV484" s="229">
        <f t="shared" si="654"/>
        <v>33</v>
      </c>
      <c r="CW484" s="234">
        <f t="shared" si="655"/>
        <v>4.8487499999999999</v>
      </c>
      <c r="CX484" s="234" cm="1">
        <f t="array" ref="CX484">$BM484 * IF($AH484&lt;=2,
SUMPRODUCT(INDEX($AV$61:$AX$65,,$AI484), INDEX($AY$61:$BE$65,,$AH484), 1 / ($BF$61:$BF$65*CW484 + (1-$BF$61:$BF$65)*CS484), N($AU$61:$AU$65&gt;$AM484)),
SUMPRODUCT(INDEX($AV$46:$AX$55,,$AI484), INDEX($AY$46:$BE$55,,$AH484), 1 / ($BG$46:$BG$55*CW484 + (1-$BG$46:$BG$55)*CS484), N($AU$46:$AU$55&gt;$AM484))
) / 1000</f>
        <v>0</v>
      </c>
      <c r="CY484" s="234" cm="1">
        <f t="array" ref="CY484">$BM484 * IF($AH484&lt;=2,
SUMPRODUCT(INDEX($AV$22:$AX$60,,$AI484), INDEX($AY$22:$BE$60,,$AH484), 1 / ($BF$22:$BF$60*CW484), N($AU$22:$AU$60&gt;$AM484)),
SUMPRODUCT(INDEX($AV$22:$AX$45,,$AI484), INDEX($AY$22:$BE$45,,$AH484), 1 / ($BG$22:$BG$45*CW484), N($AU$22:$AU$45&gt;$AM484))
) / 1000</f>
        <v>0</v>
      </c>
      <c r="CZ484" s="229">
        <f t="shared" si="656"/>
        <v>0</v>
      </c>
      <c r="DA484" s="246"/>
    </row>
    <row r="485" spans="1:105" s="75" customFormat="1" ht="14.25" customHeight="1" x14ac:dyDescent="0.2">
      <c r="A485" s="230" t="b">
        <f t="shared" si="661"/>
        <v>0</v>
      </c>
      <c r="B485" s="253">
        <v>464</v>
      </c>
      <c r="C485" s="266"/>
      <c r="D485" s="266"/>
      <c r="E485" s="254"/>
      <c r="F485" s="255" t="str">
        <f>IF(ISBLANK(E485), "", VLOOKUP(E485, Z!$A$2:$C$4127, 3, FALSE))</f>
        <v/>
      </c>
      <c r="G485" s="256"/>
      <c r="H485" s="256"/>
      <c r="I485" s="256"/>
      <c r="J485" s="257"/>
      <c r="K485" s="258"/>
      <c r="L485" s="267"/>
      <c r="M485" s="268"/>
      <c r="N485" s="259" t="str" cm="1">
        <f t="array" ref="N485">IF($L485&gt;0, INDEX(Clean,1+AK485,$D$1), "")</f>
        <v/>
      </c>
      <c r="O485" s="260"/>
      <c r="P485" s="260"/>
      <c r="Q485" s="261"/>
      <c r="R485" s="264">
        <f t="shared" si="632"/>
        <v>0</v>
      </c>
      <c r="S485" s="259" t="str" cm="1">
        <f t="array" ref="S485">IF($L485&gt;0, INDEX(Clean,1+AL485,$D$1), "")</f>
        <v/>
      </c>
      <c r="T485" s="260"/>
      <c r="U485" s="260"/>
      <c r="V485" s="261"/>
      <c r="W485" s="267"/>
      <c r="X485" s="267"/>
      <c r="Y485" s="257"/>
      <c r="Z485" s="264">
        <f t="shared" si="633"/>
        <v>0</v>
      </c>
      <c r="AA485" s="269"/>
      <c r="AB485" s="266"/>
      <c r="AC485" s="254"/>
      <c r="AD485" s="255" t="str">
        <f>IF(ISBLANK(AC485), "", VLOOKUP(AC485, Z!$A$2:$C$4127, 3, FALSE))</f>
        <v/>
      </c>
      <c r="AE485" s="270"/>
      <c r="AF485" s="265">
        <f t="shared" si="634"/>
        <v>0</v>
      </c>
      <c r="AG485" s="246"/>
      <c r="AH485" s="228">
        <f t="shared" si="657"/>
        <v>1</v>
      </c>
      <c r="AI485" s="228">
        <f t="shared" si="658"/>
        <v>1</v>
      </c>
      <c r="AJ485" s="228">
        <f t="shared" si="659"/>
        <v>0</v>
      </c>
      <c r="AK485" s="228">
        <v>0</v>
      </c>
      <c r="AL485" s="228">
        <v>0</v>
      </c>
      <c r="AM485" s="228">
        <f t="shared" si="635"/>
        <v>-100</v>
      </c>
      <c r="AN485" s="228" cm="1">
        <f t="array" ref="AN485">IF(ISBLANK(G485), 1, IFERROR(MATCH(G485, INDEX(Kat,,1), 0), IFERROR(MATCH(Kat, INDEX(Use,,2), 0), MATCH(Kat, INDEX(Use,,3), 0))))</f>
        <v>1</v>
      </c>
      <c r="AO485" s="246"/>
      <c r="AP485" s="228" cm="1">
        <f t="array" ref="AP485">IF(W485&gt;0, INDEX(Kat, AN485,4), 0)</f>
        <v>0</v>
      </c>
      <c r="AQ485" s="228">
        <f t="shared" si="660"/>
        <v>0</v>
      </c>
      <c r="AR485" s="228" cm="1">
        <f t="array" ref="AR485">IF(X485&gt;0, INDEX(Kat, $AN485, 4+AQ485), 0)</f>
        <v>0</v>
      </c>
      <c r="AS485" s="228" cm="1">
        <f t="array" ref="AS485">IF(X485&gt;0, INDEX(Kat, $AN485, 9+AQ485), 0)</f>
        <v>0</v>
      </c>
      <c r="AT485" s="246"/>
      <c r="AU485" s="262"/>
      <c r="AV485" s="262"/>
      <c r="AW485" s="263"/>
      <c r="AX485" s="263"/>
      <c r="AY485" s="263"/>
      <c r="AZ485" s="263"/>
      <c r="BA485" s="263"/>
      <c r="BB485" s="263"/>
      <c r="BC485" s="263"/>
      <c r="BD485" s="263"/>
      <c r="BE485" s="263"/>
      <c r="BF485" s="263"/>
      <c r="BG485" s="263"/>
      <c r="BH485" s="246"/>
      <c r="BI485" s="228" cm="1">
        <f t="array" ref="BI485">INDEX(Use, $AH485, 4)</f>
        <v>7</v>
      </c>
      <c r="BJ485" s="228">
        <f t="shared" si="636"/>
        <v>32</v>
      </c>
      <c r="BK485" s="228">
        <f t="shared" si="662"/>
        <v>13</v>
      </c>
      <c r="BL485" s="228">
        <f t="shared" si="663"/>
        <v>0</v>
      </c>
      <c r="BM485" s="233" cm="1">
        <f t="array" ref="BM485">L485/IF($M485&gt;0, INDEX($AY$22:$BE$76, $M485+20, $AH485), 1)</f>
        <v>0</v>
      </c>
      <c r="BN485" s="229">
        <f t="shared" si="637"/>
        <v>0</v>
      </c>
      <c r="BO485" s="228">
        <v>35</v>
      </c>
      <c r="BP485" s="229">
        <f t="shared" si="638"/>
        <v>48</v>
      </c>
      <c r="BQ485" s="234">
        <f t="shared" si="639"/>
        <v>3.0748170731707316</v>
      </c>
      <c r="BR485" s="234" cm="1">
        <f t="array" ref="BR485">$BM485 * SUMPRODUCT(INDEX($AV$76:$AX$81,,$AI485),INDEX($AY$76:$BE$81,,$AH485), N($AU$76:$AU$81&gt;$AM485)) / BQ485 / 1000</f>
        <v>0</v>
      </c>
      <c r="BS485" s="231">
        <f t="shared" si="664"/>
        <v>30</v>
      </c>
      <c r="BT485" s="229">
        <f t="shared" si="640"/>
        <v>43</v>
      </c>
      <c r="BU485" s="234">
        <f t="shared" si="641"/>
        <v>3.5018750000000001</v>
      </c>
      <c r="BV485" s="234" cm="1">
        <f t="array" ref="BV485">$BM485 * IF($AH485&lt;=2,
SUMPRODUCT(INDEX($AV$71:$AX$75,,$AI485), INDEX($AY$71:$BE$75,,$AH485), 1 / ($BF$71:$BF$75*BU485 + (1-$BF$71:$BF$75)*BQ485), N($AU$71:$AU$75&gt;$AM485)),
SUMPRODUCT(INDEX($AV$66:$AX$75,,$AI485), INDEX($AY$66:$BE$75,,$AH485), 1 / ($BG$66:$BG$75*BU485 + (1-$BG$66:$BG$75)*BQ485), N($AU$66:$AU$75&gt;$AM485))
) / 1000</f>
        <v>0</v>
      </c>
      <c r="BW485" s="231">
        <f t="shared" si="665"/>
        <v>25</v>
      </c>
      <c r="BX485" s="229">
        <f t="shared" si="642"/>
        <v>38</v>
      </c>
      <c r="BY485" s="234">
        <f t="shared" si="643"/>
        <v>4.0666935483870965</v>
      </c>
      <c r="BZ485" s="234" cm="1">
        <f t="array" ref="BZ485">$BM485 * IF($AH485&lt;=2,
SUMPRODUCT(INDEX($AV$66:$AX$70,,$AI485), INDEX($AY$66:$BE$70,,$AH485), 1 / ($BF$66:$BF$70*BY485 + (1-$BF$66:$BF$70)*BU485), N($AU$66:$AU$70&gt;$AM485)),
SUMPRODUCT(INDEX($AV$56:$AX$65,,$AI485), INDEX($AY$56:$BE$65,,$AH485), 1 / ($BG$56:$BG$65*BY485 + (1-$BG$56:$BG$65)*BU485), N($AU$56:$AU$65&gt;$AM485))
) / 1000</f>
        <v>0</v>
      </c>
      <c r="CA485" s="231">
        <f t="shared" si="666"/>
        <v>20</v>
      </c>
      <c r="CB485" s="229">
        <f t="shared" si="644"/>
        <v>33</v>
      </c>
      <c r="CC485" s="234">
        <f t="shared" si="645"/>
        <v>4.8487499999999999</v>
      </c>
      <c r="CD485" s="234" cm="1">
        <f t="array" ref="CD485">$BM485 * IF($AH485&lt;=2,
SUMPRODUCT(INDEX($AV$61:$AX$65,,$AI485), INDEX($AY$61:$BE$65,,$AH485), 1 / ($BF$61:$BF$65*CC485 + (1-$BF$61:$BF$65)*BY485), N($AU$61:$AU$65&gt;$AM485)),
SUMPRODUCT(INDEX($AV$46:$AX$55,,$AI485), INDEX($AY$46:$BE$55,,$AH485), 1 / ($BG$46:$BG$55*CC485 + (1-$BG$46:$BG$55)*BY485), N($AU$46:$AU$55&gt;$AM485))
) / 1000</f>
        <v>0</v>
      </c>
      <c r="CE485" s="234" cm="1">
        <f t="array" ref="CE485">$BM485 * IF($AH485&lt;=2,
SUMPRODUCT(INDEX($AV$22:$AX$60,,$AI485), INDEX($AY$22:$BE$60,,$AH485), 1 / ($BF$22:$BF$60*CC485), N($AU$22:$AU$60&gt;$AM485)),
SUMPRODUCT(INDEX($AV$22:$AX$45,,$AI485), INDEX($AY$22:$BE$45,,$AH485), 1 / ($BG$22:$BG$45*CC485), N($AU$22:$AU$45&gt;$AM485))
) / 1000</f>
        <v>0</v>
      </c>
      <c r="CF485" s="229">
        <f t="shared" si="646"/>
        <v>0</v>
      </c>
      <c r="CG485" s="246"/>
      <c r="CH485" s="229">
        <f t="shared" si="647"/>
        <v>0</v>
      </c>
      <c r="CI485" s="228">
        <v>35</v>
      </c>
      <c r="CJ485" s="229">
        <f t="shared" si="648"/>
        <v>48</v>
      </c>
      <c r="CK485" s="234">
        <f t="shared" si="649"/>
        <v>3.0748170731707316</v>
      </c>
      <c r="CL485" s="234" cm="1">
        <f t="array" ref="CL485">$BM485 * SUMPRODUCT(INDEX($AV$76:$AX$81,,$AI485),INDEX($AY$76:$BE$81,,$AH485), N($AU$76:$AU$81&gt;$AM485)) / CK485 / 1000</f>
        <v>0</v>
      </c>
      <c r="CM485" s="231">
        <f t="shared" si="667"/>
        <v>30</v>
      </c>
      <c r="CN485" s="229">
        <f t="shared" si="650"/>
        <v>43</v>
      </c>
      <c r="CO485" s="234">
        <f t="shared" si="651"/>
        <v>3.5018750000000001</v>
      </c>
      <c r="CP485" s="234" cm="1">
        <f t="array" ref="CP485">$BM485 * IF($AH485&lt;=2,
SUMPRODUCT(INDEX($AV$71:$AX$75,,$AI485), INDEX($AY$71:$BE$75,,$AH485), 1 / ($BF$71:$BF$75*CO485 + (1-$BF$71:$BF$75)*CK485), N($AU$71:$AU$75&gt;$AM485)),
SUMPRODUCT(INDEX($AV$66:$AX$75,,$AI485), INDEX($AY$66:$BE$75,,$AH485), 1 / ($BG$66:$BG$75*CO485 + (1-$BG$66:$BG$75)*CK485), N($AU$66:$AU$75&gt;$AM485))
) / 1000</f>
        <v>0</v>
      </c>
      <c r="CQ485" s="231">
        <f t="shared" si="668"/>
        <v>25</v>
      </c>
      <c r="CR485" s="229">
        <f t="shared" si="652"/>
        <v>38</v>
      </c>
      <c r="CS485" s="234">
        <f t="shared" si="653"/>
        <v>4.0666935483870965</v>
      </c>
      <c r="CT485" s="234" cm="1">
        <f t="array" ref="CT485">$BM485 * IF($AH485&lt;=2,
SUMPRODUCT(INDEX($AV$66:$AX$70,,$AI485), INDEX($AY$66:$BE$70,,$AH485), 1 / ($BF$66:$BF$70*CS485 + (1-$BF$66:$BF$70)*CO485), N($AU$66:$AU$70&gt;$AM485)),
SUMPRODUCT(INDEX($AV$56:$AX$65,,$AI485), INDEX($AY$56:$BE$65,,$AH485), 1 / ($BG$56:$BG$65*CS485 + (1-$BG$56:$BG$65)*CO485), N($AU$56:$AU$65&gt;$AM485))
) / 1000</f>
        <v>0</v>
      </c>
      <c r="CU485" s="231">
        <f t="shared" si="669"/>
        <v>20</v>
      </c>
      <c r="CV485" s="229">
        <f t="shared" si="654"/>
        <v>33</v>
      </c>
      <c r="CW485" s="234">
        <f t="shared" si="655"/>
        <v>4.8487499999999999</v>
      </c>
      <c r="CX485" s="234" cm="1">
        <f t="array" ref="CX485">$BM485 * IF($AH485&lt;=2,
SUMPRODUCT(INDEX($AV$61:$AX$65,,$AI485), INDEX($AY$61:$BE$65,,$AH485), 1 / ($BF$61:$BF$65*CW485 + (1-$BF$61:$BF$65)*CS485), N($AU$61:$AU$65&gt;$AM485)),
SUMPRODUCT(INDEX($AV$46:$AX$55,,$AI485), INDEX($AY$46:$BE$55,,$AH485), 1 / ($BG$46:$BG$55*CW485 + (1-$BG$46:$BG$55)*CS485), N($AU$46:$AU$55&gt;$AM485))
) / 1000</f>
        <v>0</v>
      </c>
      <c r="CY485" s="234" cm="1">
        <f t="array" ref="CY485">$BM485 * IF($AH485&lt;=2,
SUMPRODUCT(INDEX($AV$22:$AX$60,,$AI485), INDEX($AY$22:$BE$60,,$AH485), 1 / ($BF$22:$BF$60*CW485), N($AU$22:$AU$60&gt;$AM485)),
SUMPRODUCT(INDEX($AV$22:$AX$45,,$AI485), INDEX($AY$22:$BE$45,,$AH485), 1 / ($BG$22:$BG$45*CW485), N($AU$22:$AU$45&gt;$AM485))
) / 1000</f>
        <v>0</v>
      </c>
      <c r="CZ485" s="229">
        <f t="shared" si="656"/>
        <v>0</v>
      </c>
      <c r="DA485" s="246"/>
    </row>
    <row r="486" spans="1:105" s="75" customFormat="1" ht="14.25" customHeight="1" x14ac:dyDescent="0.2">
      <c r="A486" s="230" t="b">
        <f t="shared" si="661"/>
        <v>0</v>
      </c>
      <c r="B486" s="253">
        <v>465</v>
      </c>
      <c r="C486" s="266"/>
      <c r="D486" s="266"/>
      <c r="E486" s="254"/>
      <c r="F486" s="255" t="str">
        <f>IF(ISBLANK(E486), "", VLOOKUP(E486, Z!$A$2:$C$4127, 3, FALSE))</f>
        <v/>
      </c>
      <c r="G486" s="256"/>
      <c r="H486" s="256"/>
      <c r="I486" s="256"/>
      <c r="J486" s="257"/>
      <c r="K486" s="258"/>
      <c r="L486" s="267"/>
      <c r="M486" s="268"/>
      <c r="N486" s="259" t="str" cm="1">
        <f t="array" ref="N486">IF($L486&gt;0, INDEX(Clean,1+AK486,$D$1), "")</f>
        <v/>
      </c>
      <c r="O486" s="260"/>
      <c r="P486" s="260"/>
      <c r="Q486" s="261"/>
      <c r="R486" s="264">
        <f t="shared" si="632"/>
        <v>0</v>
      </c>
      <c r="S486" s="259" t="str" cm="1">
        <f t="array" ref="S486">IF($L486&gt;0, INDEX(Clean,1+AL486,$D$1), "")</f>
        <v/>
      </c>
      <c r="T486" s="260"/>
      <c r="U486" s="260"/>
      <c r="V486" s="261"/>
      <c r="W486" s="267"/>
      <c r="X486" s="267"/>
      <c r="Y486" s="257"/>
      <c r="Z486" s="264">
        <f t="shared" si="633"/>
        <v>0</v>
      </c>
      <c r="AA486" s="269"/>
      <c r="AB486" s="266"/>
      <c r="AC486" s="254"/>
      <c r="AD486" s="255" t="str">
        <f>IF(ISBLANK(AC486), "", VLOOKUP(AC486, Z!$A$2:$C$4127, 3, FALSE))</f>
        <v/>
      </c>
      <c r="AE486" s="270"/>
      <c r="AF486" s="265">
        <f t="shared" si="634"/>
        <v>0</v>
      </c>
      <c r="AG486" s="246"/>
      <c r="AH486" s="228">
        <f t="shared" si="657"/>
        <v>1</v>
      </c>
      <c r="AI486" s="228">
        <f t="shared" si="658"/>
        <v>1</v>
      </c>
      <c r="AJ486" s="228">
        <f t="shared" si="659"/>
        <v>0</v>
      </c>
      <c r="AK486" s="228">
        <v>0</v>
      </c>
      <c r="AL486" s="228">
        <v>0</v>
      </c>
      <c r="AM486" s="228">
        <f t="shared" si="635"/>
        <v>-100</v>
      </c>
      <c r="AN486" s="228" cm="1">
        <f t="array" ref="AN486">IF(ISBLANK(G486), 1, IFERROR(MATCH(G486, INDEX(Kat,,1), 0), IFERROR(MATCH(Kat, INDEX(Use,,2), 0), MATCH(Kat, INDEX(Use,,3), 0))))</f>
        <v>1</v>
      </c>
      <c r="AO486" s="246"/>
      <c r="AP486" s="228" cm="1">
        <f t="array" ref="AP486">IF(W486&gt;0, INDEX(Kat, AN486,4), 0)</f>
        <v>0</v>
      </c>
      <c r="AQ486" s="228">
        <f t="shared" si="660"/>
        <v>0</v>
      </c>
      <c r="AR486" s="228" cm="1">
        <f t="array" ref="AR486">IF(X486&gt;0, INDEX(Kat, $AN486, 4+AQ486), 0)</f>
        <v>0</v>
      </c>
      <c r="AS486" s="228" cm="1">
        <f t="array" ref="AS486">IF(X486&gt;0, INDEX(Kat, $AN486, 9+AQ486), 0)</f>
        <v>0</v>
      </c>
      <c r="AT486" s="246"/>
      <c r="AU486" s="262"/>
      <c r="AV486" s="262"/>
      <c r="AW486" s="263"/>
      <c r="AX486" s="263"/>
      <c r="AY486" s="263"/>
      <c r="AZ486" s="263"/>
      <c r="BA486" s="263"/>
      <c r="BB486" s="263"/>
      <c r="BC486" s="263"/>
      <c r="BD486" s="263"/>
      <c r="BE486" s="263"/>
      <c r="BF486" s="263"/>
      <c r="BG486" s="263"/>
      <c r="BH486" s="246"/>
      <c r="BI486" s="228" cm="1">
        <f t="array" ref="BI486">INDEX(Use, $AH486, 4)</f>
        <v>7</v>
      </c>
      <c r="BJ486" s="228">
        <f t="shared" si="636"/>
        <v>32</v>
      </c>
      <c r="BK486" s="228">
        <f t="shared" si="662"/>
        <v>13</v>
      </c>
      <c r="BL486" s="228">
        <f t="shared" si="663"/>
        <v>0</v>
      </c>
      <c r="BM486" s="233" cm="1">
        <f t="array" ref="BM486">L486/IF($M486&gt;0, INDEX($AY$22:$BE$76, $M486+20, $AH486), 1)</f>
        <v>0</v>
      </c>
      <c r="BN486" s="229">
        <f t="shared" si="637"/>
        <v>0</v>
      </c>
      <c r="BO486" s="228">
        <v>35</v>
      </c>
      <c r="BP486" s="229">
        <f t="shared" si="638"/>
        <v>48</v>
      </c>
      <c r="BQ486" s="234">
        <f t="shared" si="639"/>
        <v>3.0748170731707316</v>
      </c>
      <c r="BR486" s="234" cm="1">
        <f t="array" ref="BR486">$BM486 * SUMPRODUCT(INDEX($AV$76:$AX$81,,$AI486),INDEX($AY$76:$BE$81,,$AH486), N($AU$76:$AU$81&gt;$AM486)) / BQ486 / 1000</f>
        <v>0</v>
      </c>
      <c r="BS486" s="231">
        <f t="shared" si="664"/>
        <v>30</v>
      </c>
      <c r="BT486" s="229">
        <f t="shared" si="640"/>
        <v>43</v>
      </c>
      <c r="BU486" s="234">
        <f t="shared" si="641"/>
        <v>3.5018750000000001</v>
      </c>
      <c r="BV486" s="234" cm="1">
        <f t="array" ref="BV486">$BM486 * IF($AH486&lt;=2,
SUMPRODUCT(INDEX($AV$71:$AX$75,,$AI486), INDEX($AY$71:$BE$75,,$AH486), 1 / ($BF$71:$BF$75*BU486 + (1-$BF$71:$BF$75)*BQ486), N($AU$71:$AU$75&gt;$AM486)),
SUMPRODUCT(INDEX($AV$66:$AX$75,,$AI486), INDEX($AY$66:$BE$75,,$AH486), 1 / ($BG$66:$BG$75*BU486 + (1-$BG$66:$BG$75)*BQ486), N($AU$66:$AU$75&gt;$AM486))
) / 1000</f>
        <v>0</v>
      </c>
      <c r="BW486" s="231">
        <f t="shared" si="665"/>
        <v>25</v>
      </c>
      <c r="BX486" s="229">
        <f t="shared" si="642"/>
        <v>38</v>
      </c>
      <c r="BY486" s="234">
        <f t="shared" si="643"/>
        <v>4.0666935483870965</v>
      </c>
      <c r="BZ486" s="234" cm="1">
        <f t="array" ref="BZ486">$BM486 * IF($AH486&lt;=2,
SUMPRODUCT(INDEX($AV$66:$AX$70,,$AI486), INDEX($AY$66:$BE$70,,$AH486), 1 / ($BF$66:$BF$70*BY486 + (1-$BF$66:$BF$70)*BU486), N($AU$66:$AU$70&gt;$AM486)),
SUMPRODUCT(INDEX($AV$56:$AX$65,,$AI486), INDEX($AY$56:$BE$65,,$AH486), 1 / ($BG$56:$BG$65*BY486 + (1-$BG$56:$BG$65)*BU486), N($AU$56:$AU$65&gt;$AM486))
) / 1000</f>
        <v>0</v>
      </c>
      <c r="CA486" s="231">
        <f t="shared" si="666"/>
        <v>20</v>
      </c>
      <c r="CB486" s="229">
        <f t="shared" si="644"/>
        <v>33</v>
      </c>
      <c r="CC486" s="234">
        <f t="shared" si="645"/>
        <v>4.8487499999999999</v>
      </c>
      <c r="CD486" s="234" cm="1">
        <f t="array" ref="CD486">$BM486 * IF($AH486&lt;=2,
SUMPRODUCT(INDEX($AV$61:$AX$65,,$AI486), INDEX($AY$61:$BE$65,,$AH486), 1 / ($BF$61:$BF$65*CC486 + (1-$BF$61:$BF$65)*BY486), N($AU$61:$AU$65&gt;$AM486)),
SUMPRODUCT(INDEX($AV$46:$AX$55,,$AI486), INDEX($AY$46:$BE$55,,$AH486), 1 / ($BG$46:$BG$55*CC486 + (1-$BG$46:$BG$55)*BY486), N($AU$46:$AU$55&gt;$AM486))
) / 1000</f>
        <v>0</v>
      </c>
      <c r="CE486" s="234" cm="1">
        <f t="array" ref="CE486">$BM486 * IF($AH486&lt;=2,
SUMPRODUCT(INDEX($AV$22:$AX$60,,$AI486), INDEX($AY$22:$BE$60,,$AH486), 1 / ($BF$22:$BF$60*CC486), N($AU$22:$AU$60&gt;$AM486)),
SUMPRODUCT(INDEX($AV$22:$AX$45,,$AI486), INDEX($AY$22:$BE$45,,$AH486), 1 / ($BG$22:$BG$45*CC486), N($AU$22:$AU$45&gt;$AM486))
) / 1000</f>
        <v>0</v>
      </c>
      <c r="CF486" s="229">
        <f t="shared" si="646"/>
        <v>0</v>
      </c>
      <c r="CG486" s="246"/>
      <c r="CH486" s="229">
        <f t="shared" si="647"/>
        <v>0</v>
      </c>
      <c r="CI486" s="228">
        <v>35</v>
      </c>
      <c r="CJ486" s="229">
        <f t="shared" si="648"/>
        <v>48</v>
      </c>
      <c r="CK486" s="234">
        <f t="shared" si="649"/>
        <v>3.0748170731707316</v>
      </c>
      <c r="CL486" s="234" cm="1">
        <f t="array" ref="CL486">$BM486 * SUMPRODUCT(INDEX($AV$76:$AX$81,,$AI486),INDEX($AY$76:$BE$81,,$AH486), N($AU$76:$AU$81&gt;$AM486)) / CK486 / 1000</f>
        <v>0</v>
      </c>
      <c r="CM486" s="231">
        <f t="shared" si="667"/>
        <v>30</v>
      </c>
      <c r="CN486" s="229">
        <f t="shared" si="650"/>
        <v>43</v>
      </c>
      <c r="CO486" s="234">
        <f t="shared" si="651"/>
        <v>3.5018750000000001</v>
      </c>
      <c r="CP486" s="234" cm="1">
        <f t="array" ref="CP486">$BM486 * IF($AH486&lt;=2,
SUMPRODUCT(INDEX($AV$71:$AX$75,,$AI486), INDEX($AY$71:$BE$75,,$AH486), 1 / ($BF$71:$BF$75*CO486 + (1-$BF$71:$BF$75)*CK486), N($AU$71:$AU$75&gt;$AM486)),
SUMPRODUCT(INDEX($AV$66:$AX$75,,$AI486), INDEX($AY$66:$BE$75,,$AH486), 1 / ($BG$66:$BG$75*CO486 + (1-$BG$66:$BG$75)*CK486), N($AU$66:$AU$75&gt;$AM486))
) / 1000</f>
        <v>0</v>
      </c>
      <c r="CQ486" s="231">
        <f t="shared" si="668"/>
        <v>25</v>
      </c>
      <c r="CR486" s="229">
        <f t="shared" si="652"/>
        <v>38</v>
      </c>
      <c r="CS486" s="234">
        <f t="shared" si="653"/>
        <v>4.0666935483870965</v>
      </c>
      <c r="CT486" s="234" cm="1">
        <f t="array" ref="CT486">$BM486 * IF($AH486&lt;=2,
SUMPRODUCT(INDEX($AV$66:$AX$70,,$AI486), INDEX($AY$66:$BE$70,,$AH486), 1 / ($BF$66:$BF$70*CS486 + (1-$BF$66:$BF$70)*CO486), N($AU$66:$AU$70&gt;$AM486)),
SUMPRODUCT(INDEX($AV$56:$AX$65,,$AI486), INDEX($AY$56:$BE$65,,$AH486), 1 / ($BG$56:$BG$65*CS486 + (1-$BG$56:$BG$65)*CO486), N($AU$56:$AU$65&gt;$AM486))
) / 1000</f>
        <v>0</v>
      </c>
      <c r="CU486" s="231">
        <f t="shared" si="669"/>
        <v>20</v>
      </c>
      <c r="CV486" s="229">
        <f t="shared" si="654"/>
        <v>33</v>
      </c>
      <c r="CW486" s="234">
        <f t="shared" si="655"/>
        <v>4.8487499999999999</v>
      </c>
      <c r="CX486" s="234" cm="1">
        <f t="array" ref="CX486">$BM486 * IF($AH486&lt;=2,
SUMPRODUCT(INDEX($AV$61:$AX$65,,$AI486), INDEX($AY$61:$BE$65,,$AH486), 1 / ($BF$61:$BF$65*CW486 + (1-$BF$61:$BF$65)*CS486), N($AU$61:$AU$65&gt;$AM486)),
SUMPRODUCT(INDEX($AV$46:$AX$55,,$AI486), INDEX($AY$46:$BE$55,,$AH486), 1 / ($BG$46:$BG$55*CW486 + (1-$BG$46:$BG$55)*CS486), N($AU$46:$AU$55&gt;$AM486))
) / 1000</f>
        <v>0</v>
      </c>
      <c r="CY486" s="234" cm="1">
        <f t="array" ref="CY486">$BM486 * IF($AH486&lt;=2,
SUMPRODUCT(INDEX($AV$22:$AX$60,,$AI486), INDEX($AY$22:$BE$60,,$AH486), 1 / ($BF$22:$BF$60*CW486), N($AU$22:$AU$60&gt;$AM486)),
SUMPRODUCT(INDEX($AV$22:$AX$45,,$AI486), INDEX($AY$22:$BE$45,,$AH486), 1 / ($BG$22:$BG$45*CW486), N($AU$22:$AU$45&gt;$AM486))
) / 1000</f>
        <v>0</v>
      </c>
      <c r="CZ486" s="229">
        <f t="shared" si="656"/>
        <v>0</v>
      </c>
      <c r="DA486" s="246"/>
    </row>
    <row r="487" spans="1:105" s="75" customFormat="1" ht="14.25" customHeight="1" x14ac:dyDescent="0.2">
      <c r="A487" s="230" t="b">
        <f t="shared" si="661"/>
        <v>0</v>
      </c>
      <c r="B487" s="253">
        <v>466</v>
      </c>
      <c r="C487" s="266"/>
      <c r="D487" s="266"/>
      <c r="E487" s="254"/>
      <c r="F487" s="255" t="str">
        <f>IF(ISBLANK(E487), "", VLOOKUP(E487, Z!$A$2:$C$4127, 3, FALSE))</f>
        <v/>
      </c>
      <c r="G487" s="256"/>
      <c r="H487" s="256"/>
      <c r="I487" s="256"/>
      <c r="J487" s="257"/>
      <c r="K487" s="258"/>
      <c r="L487" s="267"/>
      <c r="M487" s="268"/>
      <c r="N487" s="259" t="str" cm="1">
        <f t="array" ref="N487">IF($L487&gt;0, INDEX(Clean,1+AK487,$D$1), "")</f>
        <v/>
      </c>
      <c r="O487" s="260"/>
      <c r="P487" s="260"/>
      <c r="Q487" s="261"/>
      <c r="R487" s="264">
        <f t="shared" si="632"/>
        <v>0</v>
      </c>
      <c r="S487" s="259" t="str" cm="1">
        <f t="array" ref="S487">IF($L487&gt;0, INDEX(Clean,1+AL487,$D$1), "")</f>
        <v/>
      </c>
      <c r="T487" s="260"/>
      <c r="U487" s="260"/>
      <c r="V487" s="261"/>
      <c r="W487" s="267"/>
      <c r="X487" s="267"/>
      <c r="Y487" s="257"/>
      <c r="Z487" s="264">
        <f t="shared" si="633"/>
        <v>0</v>
      </c>
      <c r="AA487" s="269"/>
      <c r="AB487" s="266"/>
      <c r="AC487" s="254"/>
      <c r="AD487" s="255" t="str">
        <f>IF(ISBLANK(AC487), "", VLOOKUP(AC487, Z!$A$2:$C$4127, 3, FALSE))</f>
        <v/>
      </c>
      <c r="AE487" s="270"/>
      <c r="AF487" s="265">
        <f t="shared" si="634"/>
        <v>0</v>
      </c>
      <c r="AG487" s="246"/>
      <c r="AH487" s="228">
        <f t="shared" si="657"/>
        <v>1</v>
      </c>
      <c r="AI487" s="228">
        <f t="shared" si="658"/>
        <v>1</v>
      </c>
      <c r="AJ487" s="228">
        <f t="shared" si="659"/>
        <v>0</v>
      </c>
      <c r="AK487" s="228">
        <v>0</v>
      </c>
      <c r="AL487" s="228">
        <v>0</v>
      </c>
      <c r="AM487" s="228">
        <f t="shared" si="635"/>
        <v>-100</v>
      </c>
      <c r="AN487" s="228" cm="1">
        <f t="array" ref="AN487">IF(ISBLANK(G487), 1, IFERROR(MATCH(G487, INDEX(Kat,,1), 0), IFERROR(MATCH(Kat, INDEX(Use,,2), 0), MATCH(Kat, INDEX(Use,,3), 0))))</f>
        <v>1</v>
      </c>
      <c r="AO487" s="246"/>
      <c r="AP487" s="228" cm="1">
        <f t="array" ref="AP487">IF(W487&gt;0, INDEX(Kat, AN487,4), 0)</f>
        <v>0</v>
      </c>
      <c r="AQ487" s="228">
        <f t="shared" si="660"/>
        <v>0</v>
      </c>
      <c r="AR487" s="228" cm="1">
        <f t="array" ref="AR487">IF(X487&gt;0, INDEX(Kat, $AN487, 4+AQ487), 0)</f>
        <v>0</v>
      </c>
      <c r="AS487" s="228" cm="1">
        <f t="array" ref="AS487">IF(X487&gt;0, INDEX(Kat, $AN487, 9+AQ487), 0)</f>
        <v>0</v>
      </c>
      <c r="AT487" s="246"/>
      <c r="AU487" s="262"/>
      <c r="AV487" s="262"/>
      <c r="AW487" s="263"/>
      <c r="AX487" s="263"/>
      <c r="AY487" s="263"/>
      <c r="AZ487" s="263"/>
      <c r="BA487" s="263"/>
      <c r="BB487" s="263"/>
      <c r="BC487" s="263"/>
      <c r="BD487" s="263"/>
      <c r="BE487" s="263"/>
      <c r="BF487" s="263"/>
      <c r="BG487" s="263"/>
      <c r="BH487" s="246"/>
      <c r="BI487" s="228" cm="1">
        <f t="array" ref="BI487">INDEX(Use, $AH487, 4)</f>
        <v>7</v>
      </c>
      <c r="BJ487" s="228">
        <f t="shared" si="636"/>
        <v>32</v>
      </c>
      <c r="BK487" s="228">
        <f t="shared" si="662"/>
        <v>13</v>
      </c>
      <c r="BL487" s="228">
        <f t="shared" si="663"/>
        <v>0</v>
      </c>
      <c r="BM487" s="233" cm="1">
        <f t="array" ref="BM487">L487/IF($M487&gt;0, INDEX($AY$22:$BE$76, $M487+20, $AH487), 1)</f>
        <v>0</v>
      </c>
      <c r="BN487" s="229">
        <f t="shared" si="637"/>
        <v>0</v>
      </c>
      <c r="BO487" s="228">
        <v>35</v>
      </c>
      <c r="BP487" s="229">
        <f t="shared" si="638"/>
        <v>48</v>
      </c>
      <c r="BQ487" s="234">
        <f t="shared" si="639"/>
        <v>3.0748170731707316</v>
      </c>
      <c r="BR487" s="234" cm="1">
        <f t="array" ref="BR487">$BM487 * SUMPRODUCT(INDEX($AV$76:$AX$81,,$AI487),INDEX($AY$76:$BE$81,,$AH487), N($AU$76:$AU$81&gt;$AM487)) / BQ487 / 1000</f>
        <v>0</v>
      </c>
      <c r="BS487" s="231">
        <f t="shared" si="664"/>
        <v>30</v>
      </c>
      <c r="BT487" s="229">
        <f t="shared" si="640"/>
        <v>43</v>
      </c>
      <c r="BU487" s="234">
        <f t="shared" si="641"/>
        <v>3.5018750000000001</v>
      </c>
      <c r="BV487" s="234" cm="1">
        <f t="array" ref="BV487">$BM487 * IF($AH487&lt;=2,
SUMPRODUCT(INDEX($AV$71:$AX$75,,$AI487), INDEX($AY$71:$BE$75,,$AH487), 1 / ($BF$71:$BF$75*BU487 + (1-$BF$71:$BF$75)*BQ487), N($AU$71:$AU$75&gt;$AM487)),
SUMPRODUCT(INDEX($AV$66:$AX$75,,$AI487), INDEX($AY$66:$BE$75,,$AH487), 1 / ($BG$66:$BG$75*BU487 + (1-$BG$66:$BG$75)*BQ487), N($AU$66:$AU$75&gt;$AM487))
) / 1000</f>
        <v>0</v>
      </c>
      <c r="BW487" s="231">
        <f t="shared" si="665"/>
        <v>25</v>
      </c>
      <c r="BX487" s="229">
        <f t="shared" si="642"/>
        <v>38</v>
      </c>
      <c r="BY487" s="234">
        <f t="shared" si="643"/>
        <v>4.0666935483870965</v>
      </c>
      <c r="BZ487" s="234" cm="1">
        <f t="array" ref="BZ487">$BM487 * IF($AH487&lt;=2,
SUMPRODUCT(INDEX($AV$66:$AX$70,,$AI487), INDEX($AY$66:$BE$70,,$AH487), 1 / ($BF$66:$BF$70*BY487 + (1-$BF$66:$BF$70)*BU487), N($AU$66:$AU$70&gt;$AM487)),
SUMPRODUCT(INDEX($AV$56:$AX$65,,$AI487), INDEX($AY$56:$BE$65,,$AH487), 1 / ($BG$56:$BG$65*BY487 + (1-$BG$56:$BG$65)*BU487), N($AU$56:$AU$65&gt;$AM487))
) / 1000</f>
        <v>0</v>
      </c>
      <c r="CA487" s="231">
        <f t="shared" si="666"/>
        <v>20</v>
      </c>
      <c r="CB487" s="229">
        <f t="shared" si="644"/>
        <v>33</v>
      </c>
      <c r="CC487" s="234">
        <f t="shared" si="645"/>
        <v>4.8487499999999999</v>
      </c>
      <c r="CD487" s="234" cm="1">
        <f t="array" ref="CD487">$BM487 * IF($AH487&lt;=2,
SUMPRODUCT(INDEX($AV$61:$AX$65,,$AI487), INDEX($AY$61:$BE$65,,$AH487), 1 / ($BF$61:$BF$65*CC487 + (1-$BF$61:$BF$65)*BY487), N($AU$61:$AU$65&gt;$AM487)),
SUMPRODUCT(INDEX($AV$46:$AX$55,,$AI487), INDEX($AY$46:$BE$55,,$AH487), 1 / ($BG$46:$BG$55*CC487 + (1-$BG$46:$BG$55)*BY487), N($AU$46:$AU$55&gt;$AM487))
) / 1000</f>
        <v>0</v>
      </c>
      <c r="CE487" s="234" cm="1">
        <f t="array" ref="CE487">$BM487 * IF($AH487&lt;=2,
SUMPRODUCT(INDEX($AV$22:$AX$60,,$AI487), INDEX($AY$22:$BE$60,,$AH487), 1 / ($BF$22:$BF$60*CC487), N($AU$22:$AU$60&gt;$AM487)),
SUMPRODUCT(INDEX($AV$22:$AX$45,,$AI487), INDEX($AY$22:$BE$45,,$AH487), 1 / ($BG$22:$BG$45*CC487), N($AU$22:$AU$45&gt;$AM487))
) / 1000</f>
        <v>0</v>
      </c>
      <c r="CF487" s="229">
        <f t="shared" si="646"/>
        <v>0</v>
      </c>
      <c r="CG487" s="246"/>
      <c r="CH487" s="229">
        <f t="shared" si="647"/>
        <v>0</v>
      </c>
      <c r="CI487" s="228">
        <v>35</v>
      </c>
      <c r="CJ487" s="229">
        <f t="shared" si="648"/>
        <v>48</v>
      </c>
      <c r="CK487" s="234">
        <f t="shared" si="649"/>
        <v>3.0748170731707316</v>
      </c>
      <c r="CL487" s="234" cm="1">
        <f t="array" ref="CL487">$BM487 * SUMPRODUCT(INDEX($AV$76:$AX$81,,$AI487),INDEX($AY$76:$BE$81,,$AH487), N($AU$76:$AU$81&gt;$AM487)) / CK487 / 1000</f>
        <v>0</v>
      </c>
      <c r="CM487" s="231">
        <f t="shared" si="667"/>
        <v>30</v>
      </c>
      <c r="CN487" s="229">
        <f t="shared" si="650"/>
        <v>43</v>
      </c>
      <c r="CO487" s="234">
        <f t="shared" si="651"/>
        <v>3.5018750000000001</v>
      </c>
      <c r="CP487" s="234" cm="1">
        <f t="array" ref="CP487">$BM487 * IF($AH487&lt;=2,
SUMPRODUCT(INDEX($AV$71:$AX$75,,$AI487), INDEX($AY$71:$BE$75,,$AH487), 1 / ($BF$71:$BF$75*CO487 + (1-$BF$71:$BF$75)*CK487), N($AU$71:$AU$75&gt;$AM487)),
SUMPRODUCT(INDEX($AV$66:$AX$75,,$AI487), INDEX($AY$66:$BE$75,,$AH487), 1 / ($BG$66:$BG$75*CO487 + (1-$BG$66:$BG$75)*CK487), N($AU$66:$AU$75&gt;$AM487))
) / 1000</f>
        <v>0</v>
      </c>
      <c r="CQ487" s="231">
        <f t="shared" si="668"/>
        <v>25</v>
      </c>
      <c r="CR487" s="229">
        <f t="shared" si="652"/>
        <v>38</v>
      </c>
      <c r="CS487" s="234">
        <f t="shared" si="653"/>
        <v>4.0666935483870965</v>
      </c>
      <c r="CT487" s="234" cm="1">
        <f t="array" ref="CT487">$BM487 * IF($AH487&lt;=2,
SUMPRODUCT(INDEX($AV$66:$AX$70,,$AI487), INDEX($AY$66:$BE$70,,$AH487), 1 / ($BF$66:$BF$70*CS487 + (1-$BF$66:$BF$70)*CO487), N($AU$66:$AU$70&gt;$AM487)),
SUMPRODUCT(INDEX($AV$56:$AX$65,,$AI487), INDEX($AY$56:$BE$65,,$AH487), 1 / ($BG$56:$BG$65*CS487 + (1-$BG$56:$BG$65)*CO487), N($AU$56:$AU$65&gt;$AM487))
) / 1000</f>
        <v>0</v>
      </c>
      <c r="CU487" s="231">
        <f t="shared" si="669"/>
        <v>20</v>
      </c>
      <c r="CV487" s="229">
        <f t="shared" si="654"/>
        <v>33</v>
      </c>
      <c r="CW487" s="234">
        <f t="shared" si="655"/>
        <v>4.8487499999999999</v>
      </c>
      <c r="CX487" s="234" cm="1">
        <f t="array" ref="CX487">$BM487 * IF($AH487&lt;=2,
SUMPRODUCT(INDEX($AV$61:$AX$65,,$AI487), INDEX($AY$61:$BE$65,,$AH487), 1 / ($BF$61:$BF$65*CW487 + (1-$BF$61:$BF$65)*CS487), N($AU$61:$AU$65&gt;$AM487)),
SUMPRODUCT(INDEX($AV$46:$AX$55,,$AI487), INDEX($AY$46:$BE$55,,$AH487), 1 / ($BG$46:$BG$55*CW487 + (1-$BG$46:$BG$55)*CS487), N($AU$46:$AU$55&gt;$AM487))
) / 1000</f>
        <v>0</v>
      </c>
      <c r="CY487" s="234" cm="1">
        <f t="array" ref="CY487">$BM487 * IF($AH487&lt;=2,
SUMPRODUCT(INDEX($AV$22:$AX$60,,$AI487), INDEX($AY$22:$BE$60,,$AH487), 1 / ($BF$22:$BF$60*CW487), N($AU$22:$AU$60&gt;$AM487)),
SUMPRODUCT(INDEX($AV$22:$AX$45,,$AI487), INDEX($AY$22:$BE$45,,$AH487), 1 / ($BG$22:$BG$45*CW487), N($AU$22:$AU$45&gt;$AM487))
) / 1000</f>
        <v>0</v>
      </c>
      <c r="CZ487" s="229">
        <f t="shared" si="656"/>
        <v>0</v>
      </c>
      <c r="DA487" s="246"/>
    </row>
    <row r="488" spans="1:105" s="75" customFormat="1" ht="14.25" customHeight="1" x14ac:dyDescent="0.2">
      <c r="A488" s="230" t="b">
        <f t="shared" si="661"/>
        <v>0</v>
      </c>
      <c r="B488" s="253">
        <v>467</v>
      </c>
      <c r="C488" s="266"/>
      <c r="D488" s="266"/>
      <c r="E488" s="254"/>
      <c r="F488" s="255" t="str">
        <f>IF(ISBLANK(E488), "", VLOOKUP(E488, Z!$A$2:$C$4127, 3, FALSE))</f>
        <v/>
      </c>
      <c r="G488" s="256"/>
      <c r="H488" s="256"/>
      <c r="I488" s="256"/>
      <c r="J488" s="257"/>
      <c r="K488" s="258"/>
      <c r="L488" s="267"/>
      <c r="M488" s="268"/>
      <c r="N488" s="259" t="str" cm="1">
        <f t="array" ref="N488">IF($L488&gt;0, INDEX(Clean,1+AK488,$D$1), "")</f>
        <v/>
      </c>
      <c r="O488" s="260"/>
      <c r="P488" s="260"/>
      <c r="Q488" s="261"/>
      <c r="R488" s="264">
        <f t="shared" si="632"/>
        <v>0</v>
      </c>
      <c r="S488" s="259" t="str" cm="1">
        <f t="array" ref="S488">IF($L488&gt;0, INDEX(Clean,1+AL488,$D$1), "")</f>
        <v/>
      </c>
      <c r="T488" s="260"/>
      <c r="U488" s="260"/>
      <c r="V488" s="261"/>
      <c r="W488" s="267"/>
      <c r="X488" s="267"/>
      <c r="Y488" s="257"/>
      <c r="Z488" s="264">
        <f t="shared" si="633"/>
        <v>0</v>
      </c>
      <c r="AA488" s="269"/>
      <c r="AB488" s="266"/>
      <c r="AC488" s="254"/>
      <c r="AD488" s="255" t="str">
        <f>IF(ISBLANK(AC488), "", VLOOKUP(AC488, Z!$A$2:$C$4127, 3, FALSE))</f>
        <v/>
      </c>
      <c r="AE488" s="270"/>
      <c r="AF488" s="265">
        <f t="shared" si="634"/>
        <v>0</v>
      </c>
      <c r="AG488" s="246"/>
      <c r="AH488" s="228">
        <f t="shared" si="657"/>
        <v>1</v>
      </c>
      <c r="AI488" s="228">
        <f t="shared" si="658"/>
        <v>1</v>
      </c>
      <c r="AJ488" s="228">
        <f t="shared" si="659"/>
        <v>0</v>
      </c>
      <c r="AK488" s="228">
        <v>0</v>
      </c>
      <c r="AL488" s="228">
        <v>0</v>
      </c>
      <c r="AM488" s="228">
        <f t="shared" si="635"/>
        <v>-100</v>
      </c>
      <c r="AN488" s="228" cm="1">
        <f t="array" ref="AN488">IF(ISBLANK(G488), 1, IFERROR(MATCH(G488, INDEX(Kat,,1), 0), IFERROR(MATCH(Kat, INDEX(Use,,2), 0), MATCH(Kat, INDEX(Use,,3), 0))))</f>
        <v>1</v>
      </c>
      <c r="AO488" s="246"/>
      <c r="AP488" s="228" cm="1">
        <f t="array" ref="AP488">IF(W488&gt;0, INDEX(Kat, AN488,4), 0)</f>
        <v>0</v>
      </c>
      <c r="AQ488" s="228">
        <f t="shared" si="660"/>
        <v>0</v>
      </c>
      <c r="AR488" s="228" cm="1">
        <f t="array" ref="AR488">IF(X488&gt;0, INDEX(Kat, $AN488, 4+AQ488), 0)</f>
        <v>0</v>
      </c>
      <c r="AS488" s="228" cm="1">
        <f t="array" ref="AS488">IF(X488&gt;0, INDEX(Kat, $AN488, 9+AQ488), 0)</f>
        <v>0</v>
      </c>
      <c r="AT488" s="246"/>
      <c r="AU488" s="262"/>
      <c r="AV488" s="262"/>
      <c r="AW488" s="263"/>
      <c r="AX488" s="263"/>
      <c r="AY488" s="263"/>
      <c r="AZ488" s="263"/>
      <c r="BA488" s="263"/>
      <c r="BB488" s="263"/>
      <c r="BC488" s="263"/>
      <c r="BD488" s="263"/>
      <c r="BE488" s="263"/>
      <c r="BF488" s="263"/>
      <c r="BG488" s="263"/>
      <c r="BH488" s="246"/>
      <c r="BI488" s="228" cm="1">
        <f t="array" ref="BI488">INDEX(Use, $AH488, 4)</f>
        <v>7</v>
      </c>
      <c r="BJ488" s="228">
        <f t="shared" si="636"/>
        <v>32</v>
      </c>
      <c r="BK488" s="228">
        <f t="shared" si="662"/>
        <v>13</v>
      </c>
      <c r="BL488" s="228">
        <f t="shared" si="663"/>
        <v>0</v>
      </c>
      <c r="BM488" s="233" cm="1">
        <f t="array" ref="BM488">L488/IF($M488&gt;0, INDEX($AY$22:$BE$76, $M488+20, $AH488), 1)</f>
        <v>0</v>
      </c>
      <c r="BN488" s="229">
        <f t="shared" si="637"/>
        <v>0</v>
      </c>
      <c r="BO488" s="228">
        <v>35</v>
      </c>
      <c r="BP488" s="229">
        <f t="shared" si="638"/>
        <v>48</v>
      </c>
      <c r="BQ488" s="234">
        <f t="shared" si="639"/>
        <v>3.0748170731707316</v>
      </c>
      <c r="BR488" s="234" cm="1">
        <f t="array" ref="BR488">$BM488 * SUMPRODUCT(INDEX($AV$76:$AX$81,,$AI488),INDEX($AY$76:$BE$81,,$AH488), N($AU$76:$AU$81&gt;$AM488)) / BQ488 / 1000</f>
        <v>0</v>
      </c>
      <c r="BS488" s="231">
        <f t="shared" si="664"/>
        <v>30</v>
      </c>
      <c r="BT488" s="229">
        <f t="shared" si="640"/>
        <v>43</v>
      </c>
      <c r="BU488" s="234">
        <f t="shared" si="641"/>
        <v>3.5018750000000001</v>
      </c>
      <c r="BV488" s="234" cm="1">
        <f t="array" ref="BV488">$BM488 * IF($AH488&lt;=2,
SUMPRODUCT(INDEX($AV$71:$AX$75,,$AI488), INDEX($AY$71:$BE$75,,$AH488), 1 / ($BF$71:$BF$75*BU488 + (1-$BF$71:$BF$75)*BQ488), N($AU$71:$AU$75&gt;$AM488)),
SUMPRODUCT(INDEX($AV$66:$AX$75,,$AI488), INDEX($AY$66:$BE$75,,$AH488), 1 / ($BG$66:$BG$75*BU488 + (1-$BG$66:$BG$75)*BQ488), N($AU$66:$AU$75&gt;$AM488))
) / 1000</f>
        <v>0</v>
      </c>
      <c r="BW488" s="231">
        <f t="shared" si="665"/>
        <v>25</v>
      </c>
      <c r="BX488" s="229">
        <f t="shared" si="642"/>
        <v>38</v>
      </c>
      <c r="BY488" s="234">
        <f t="shared" si="643"/>
        <v>4.0666935483870965</v>
      </c>
      <c r="BZ488" s="234" cm="1">
        <f t="array" ref="BZ488">$BM488 * IF($AH488&lt;=2,
SUMPRODUCT(INDEX($AV$66:$AX$70,,$AI488), INDEX($AY$66:$BE$70,,$AH488), 1 / ($BF$66:$BF$70*BY488 + (1-$BF$66:$BF$70)*BU488), N($AU$66:$AU$70&gt;$AM488)),
SUMPRODUCT(INDEX($AV$56:$AX$65,,$AI488), INDEX($AY$56:$BE$65,,$AH488), 1 / ($BG$56:$BG$65*BY488 + (1-$BG$56:$BG$65)*BU488), N($AU$56:$AU$65&gt;$AM488))
) / 1000</f>
        <v>0</v>
      </c>
      <c r="CA488" s="231">
        <f t="shared" si="666"/>
        <v>20</v>
      </c>
      <c r="CB488" s="229">
        <f t="shared" si="644"/>
        <v>33</v>
      </c>
      <c r="CC488" s="234">
        <f t="shared" si="645"/>
        <v>4.8487499999999999</v>
      </c>
      <c r="CD488" s="234" cm="1">
        <f t="array" ref="CD488">$BM488 * IF($AH488&lt;=2,
SUMPRODUCT(INDEX($AV$61:$AX$65,,$AI488), INDEX($AY$61:$BE$65,,$AH488), 1 / ($BF$61:$BF$65*CC488 + (1-$BF$61:$BF$65)*BY488), N($AU$61:$AU$65&gt;$AM488)),
SUMPRODUCT(INDEX($AV$46:$AX$55,,$AI488), INDEX($AY$46:$BE$55,,$AH488), 1 / ($BG$46:$BG$55*CC488 + (1-$BG$46:$BG$55)*BY488), N($AU$46:$AU$55&gt;$AM488))
) / 1000</f>
        <v>0</v>
      </c>
      <c r="CE488" s="234" cm="1">
        <f t="array" ref="CE488">$BM488 * IF($AH488&lt;=2,
SUMPRODUCT(INDEX($AV$22:$AX$60,,$AI488), INDEX($AY$22:$BE$60,,$AH488), 1 / ($BF$22:$BF$60*CC488), N($AU$22:$AU$60&gt;$AM488)),
SUMPRODUCT(INDEX($AV$22:$AX$45,,$AI488), INDEX($AY$22:$BE$45,,$AH488), 1 / ($BG$22:$BG$45*CC488), N($AU$22:$AU$45&gt;$AM488))
) / 1000</f>
        <v>0</v>
      </c>
      <c r="CF488" s="229">
        <f t="shared" si="646"/>
        <v>0</v>
      </c>
      <c r="CG488" s="246"/>
      <c r="CH488" s="229">
        <f t="shared" si="647"/>
        <v>0</v>
      </c>
      <c r="CI488" s="228">
        <v>35</v>
      </c>
      <c r="CJ488" s="229">
        <f t="shared" si="648"/>
        <v>48</v>
      </c>
      <c r="CK488" s="234">
        <f t="shared" si="649"/>
        <v>3.0748170731707316</v>
      </c>
      <c r="CL488" s="234" cm="1">
        <f t="array" ref="CL488">$BM488 * SUMPRODUCT(INDEX($AV$76:$AX$81,,$AI488),INDEX($AY$76:$BE$81,,$AH488), N($AU$76:$AU$81&gt;$AM488)) / CK488 / 1000</f>
        <v>0</v>
      </c>
      <c r="CM488" s="231">
        <f t="shared" si="667"/>
        <v>30</v>
      </c>
      <c r="CN488" s="229">
        <f t="shared" si="650"/>
        <v>43</v>
      </c>
      <c r="CO488" s="234">
        <f t="shared" si="651"/>
        <v>3.5018750000000001</v>
      </c>
      <c r="CP488" s="234" cm="1">
        <f t="array" ref="CP488">$BM488 * IF($AH488&lt;=2,
SUMPRODUCT(INDEX($AV$71:$AX$75,,$AI488), INDEX($AY$71:$BE$75,,$AH488), 1 / ($BF$71:$BF$75*CO488 + (1-$BF$71:$BF$75)*CK488), N($AU$71:$AU$75&gt;$AM488)),
SUMPRODUCT(INDEX($AV$66:$AX$75,,$AI488), INDEX($AY$66:$BE$75,,$AH488), 1 / ($BG$66:$BG$75*CO488 + (1-$BG$66:$BG$75)*CK488), N($AU$66:$AU$75&gt;$AM488))
) / 1000</f>
        <v>0</v>
      </c>
      <c r="CQ488" s="231">
        <f t="shared" si="668"/>
        <v>25</v>
      </c>
      <c r="CR488" s="229">
        <f t="shared" si="652"/>
        <v>38</v>
      </c>
      <c r="CS488" s="234">
        <f t="shared" si="653"/>
        <v>4.0666935483870965</v>
      </c>
      <c r="CT488" s="234" cm="1">
        <f t="array" ref="CT488">$BM488 * IF($AH488&lt;=2,
SUMPRODUCT(INDEX($AV$66:$AX$70,,$AI488), INDEX($AY$66:$BE$70,,$AH488), 1 / ($BF$66:$BF$70*CS488 + (1-$BF$66:$BF$70)*CO488), N($AU$66:$AU$70&gt;$AM488)),
SUMPRODUCT(INDEX($AV$56:$AX$65,,$AI488), INDEX($AY$56:$BE$65,,$AH488), 1 / ($BG$56:$BG$65*CS488 + (1-$BG$56:$BG$65)*CO488), N($AU$56:$AU$65&gt;$AM488))
) / 1000</f>
        <v>0</v>
      </c>
      <c r="CU488" s="231">
        <f t="shared" si="669"/>
        <v>20</v>
      </c>
      <c r="CV488" s="229">
        <f t="shared" si="654"/>
        <v>33</v>
      </c>
      <c r="CW488" s="234">
        <f t="shared" si="655"/>
        <v>4.8487499999999999</v>
      </c>
      <c r="CX488" s="234" cm="1">
        <f t="array" ref="CX488">$BM488 * IF($AH488&lt;=2,
SUMPRODUCT(INDEX($AV$61:$AX$65,,$AI488), INDEX($AY$61:$BE$65,,$AH488), 1 / ($BF$61:$BF$65*CW488 + (1-$BF$61:$BF$65)*CS488), N($AU$61:$AU$65&gt;$AM488)),
SUMPRODUCT(INDEX($AV$46:$AX$55,,$AI488), INDEX($AY$46:$BE$55,,$AH488), 1 / ($BG$46:$BG$55*CW488 + (1-$BG$46:$BG$55)*CS488), N($AU$46:$AU$55&gt;$AM488))
) / 1000</f>
        <v>0</v>
      </c>
      <c r="CY488" s="234" cm="1">
        <f t="array" ref="CY488">$BM488 * IF($AH488&lt;=2,
SUMPRODUCT(INDEX($AV$22:$AX$60,,$AI488), INDEX($AY$22:$BE$60,,$AH488), 1 / ($BF$22:$BF$60*CW488), N($AU$22:$AU$60&gt;$AM488)),
SUMPRODUCT(INDEX($AV$22:$AX$45,,$AI488), INDEX($AY$22:$BE$45,,$AH488), 1 / ($BG$22:$BG$45*CW488), N($AU$22:$AU$45&gt;$AM488))
) / 1000</f>
        <v>0</v>
      </c>
      <c r="CZ488" s="229">
        <f t="shared" si="656"/>
        <v>0</v>
      </c>
      <c r="DA488" s="246"/>
    </row>
    <row r="489" spans="1:105" s="75" customFormat="1" ht="14.25" customHeight="1" x14ac:dyDescent="0.2">
      <c r="A489" s="230" t="b">
        <f t="shared" si="661"/>
        <v>0</v>
      </c>
      <c r="B489" s="253">
        <v>468</v>
      </c>
      <c r="C489" s="266"/>
      <c r="D489" s="266"/>
      <c r="E489" s="254"/>
      <c r="F489" s="255" t="str">
        <f>IF(ISBLANK(E489), "", VLOOKUP(E489, Z!$A$2:$C$4127, 3, FALSE))</f>
        <v/>
      </c>
      <c r="G489" s="256"/>
      <c r="H489" s="256"/>
      <c r="I489" s="256"/>
      <c r="J489" s="257"/>
      <c r="K489" s="258"/>
      <c r="L489" s="267"/>
      <c r="M489" s="268"/>
      <c r="N489" s="259" t="str" cm="1">
        <f t="array" ref="N489">IF($L489&gt;0, INDEX(Clean,1+AK489,$D$1), "")</f>
        <v/>
      </c>
      <c r="O489" s="260"/>
      <c r="P489" s="260"/>
      <c r="Q489" s="261"/>
      <c r="R489" s="264">
        <f t="shared" si="632"/>
        <v>0</v>
      </c>
      <c r="S489" s="259" t="str" cm="1">
        <f t="array" ref="S489">IF($L489&gt;0, INDEX(Clean,1+AL489,$D$1), "")</f>
        <v/>
      </c>
      <c r="T489" s="260"/>
      <c r="U489" s="260"/>
      <c r="V489" s="261"/>
      <c r="W489" s="267"/>
      <c r="X489" s="267"/>
      <c r="Y489" s="257"/>
      <c r="Z489" s="264">
        <f t="shared" si="633"/>
        <v>0</v>
      </c>
      <c r="AA489" s="269"/>
      <c r="AB489" s="266"/>
      <c r="AC489" s="254"/>
      <c r="AD489" s="255" t="str">
        <f>IF(ISBLANK(AC489), "", VLOOKUP(AC489, Z!$A$2:$C$4127, 3, FALSE))</f>
        <v/>
      </c>
      <c r="AE489" s="270"/>
      <c r="AF489" s="265">
        <f t="shared" si="634"/>
        <v>0</v>
      </c>
      <c r="AG489" s="246"/>
      <c r="AH489" s="228">
        <f t="shared" si="657"/>
        <v>1</v>
      </c>
      <c r="AI489" s="228">
        <f t="shared" si="658"/>
        <v>1</v>
      </c>
      <c r="AJ489" s="228">
        <f t="shared" si="659"/>
        <v>0</v>
      </c>
      <c r="AK489" s="228">
        <v>0</v>
      </c>
      <c r="AL489" s="228">
        <v>0</v>
      </c>
      <c r="AM489" s="228">
        <f t="shared" si="635"/>
        <v>-100</v>
      </c>
      <c r="AN489" s="228" cm="1">
        <f t="array" ref="AN489">IF(ISBLANK(G489), 1, IFERROR(MATCH(G489, INDEX(Kat,,1), 0), IFERROR(MATCH(Kat, INDEX(Use,,2), 0), MATCH(Kat, INDEX(Use,,3), 0))))</f>
        <v>1</v>
      </c>
      <c r="AO489" s="246"/>
      <c r="AP489" s="228" cm="1">
        <f t="array" ref="AP489">IF(W489&gt;0, INDEX(Kat, AN489,4), 0)</f>
        <v>0</v>
      </c>
      <c r="AQ489" s="228">
        <f t="shared" si="660"/>
        <v>0</v>
      </c>
      <c r="AR489" s="228" cm="1">
        <f t="array" ref="AR489">IF(X489&gt;0, INDEX(Kat, $AN489, 4+AQ489), 0)</f>
        <v>0</v>
      </c>
      <c r="AS489" s="228" cm="1">
        <f t="array" ref="AS489">IF(X489&gt;0, INDEX(Kat, $AN489, 9+AQ489), 0)</f>
        <v>0</v>
      </c>
      <c r="AT489" s="246"/>
      <c r="AU489" s="262"/>
      <c r="AV489" s="262"/>
      <c r="AW489" s="263"/>
      <c r="AX489" s="263"/>
      <c r="AY489" s="263"/>
      <c r="AZ489" s="263"/>
      <c r="BA489" s="263"/>
      <c r="BB489" s="263"/>
      <c r="BC489" s="263"/>
      <c r="BD489" s="263"/>
      <c r="BE489" s="263"/>
      <c r="BF489" s="263"/>
      <c r="BG489" s="263"/>
      <c r="BH489" s="246"/>
      <c r="BI489" s="228" cm="1">
        <f t="array" ref="BI489">INDEX(Use, $AH489, 4)</f>
        <v>7</v>
      </c>
      <c r="BJ489" s="228">
        <f t="shared" si="636"/>
        <v>32</v>
      </c>
      <c r="BK489" s="228">
        <f t="shared" si="662"/>
        <v>13</v>
      </c>
      <c r="BL489" s="228">
        <f t="shared" si="663"/>
        <v>0</v>
      </c>
      <c r="BM489" s="233" cm="1">
        <f t="array" ref="BM489">L489/IF($M489&gt;0, INDEX($AY$22:$BE$76, $M489+20, $AH489), 1)</f>
        <v>0</v>
      </c>
      <c r="BN489" s="229">
        <f t="shared" si="637"/>
        <v>0</v>
      </c>
      <c r="BO489" s="228">
        <v>35</v>
      </c>
      <c r="BP489" s="229">
        <f t="shared" si="638"/>
        <v>48</v>
      </c>
      <c r="BQ489" s="234">
        <f t="shared" si="639"/>
        <v>3.0748170731707316</v>
      </c>
      <c r="BR489" s="234" cm="1">
        <f t="array" ref="BR489">$BM489 * SUMPRODUCT(INDEX($AV$76:$AX$81,,$AI489),INDEX($AY$76:$BE$81,,$AH489), N($AU$76:$AU$81&gt;$AM489)) / BQ489 / 1000</f>
        <v>0</v>
      </c>
      <c r="BS489" s="231">
        <f t="shared" si="664"/>
        <v>30</v>
      </c>
      <c r="BT489" s="229">
        <f t="shared" si="640"/>
        <v>43</v>
      </c>
      <c r="BU489" s="234">
        <f t="shared" si="641"/>
        <v>3.5018750000000001</v>
      </c>
      <c r="BV489" s="234" cm="1">
        <f t="array" ref="BV489">$BM489 * IF($AH489&lt;=2,
SUMPRODUCT(INDEX($AV$71:$AX$75,,$AI489), INDEX($AY$71:$BE$75,,$AH489), 1 / ($BF$71:$BF$75*BU489 + (1-$BF$71:$BF$75)*BQ489), N($AU$71:$AU$75&gt;$AM489)),
SUMPRODUCT(INDEX($AV$66:$AX$75,,$AI489), INDEX($AY$66:$BE$75,,$AH489), 1 / ($BG$66:$BG$75*BU489 + (1-$BG$66:$BG$75)*BQ489), N($AU$66:$AU$75&gt;$AM489))
) / 1000</f>
        <v>0</v>
      </c>
      <c r="BW489" s="231">
        <f t="shared" si="665"/>
        <v>25</v>
      </c>
      <c r="BX489" s="229">
        <f t="shared" si="642"/>
        <v>38</v>
      </c>
      <c r="BY489" s="234">
        <f t="shared" si="643"/>
        <v>4.0666935483870965</v>
      </c>
      <c r="BZ489" s="234" cm="1">
        <f t="array" ref="BZ489">$BM489 * IF($AH489&lt;=2,
SUMPRODUCT(INDEX($AV$66:$AX$70,,$AI489), INDEX($AY$66:$BE$70,,$AH489), 1 / ($BF$66:$BF$70*BY489 + (1-$BF$66:$BF$70)*BU489), N($AU$66:$AU$70&gt;$AM489)),
SUMPRODUCT(INDEX($AV$56:$AX$65,,$AI489), INDEX($AY$56:$BE$65,,$AH489), 1 / ($BG$56:$BG$65*BY489 + (1-$BG$56:$BG$65)*BU489), N($AU$56:$AU$65&gt;$AM489))
) / 1000</f>
        <v>0</v>
      </c>
      <c r="CA489" s="231">
        <f t="shared" si="666"/>
        <v>20</v>
      </c>
      <c r="CB489" s="229">
        <f t="shared" si="644"/>
        <v>33</v>
      </c>
      <c r="CC489" s="234">
        <f t="shared" si="645"/>
        <v>4.8487499999999999</v>
      </c>
      <c r="CD489" s="234" cm="1">
        <f t="array" ref="CD489">$BM489 * IF($AH489&lt;=2,
SUMPRODUCT(INDEX($AV$61:$AX$65,,$AI489), INDEX($AY$61:$BE$65,,$AH489), 1 / ($BF$61:$BF$65*CC489 + (1-$BF$61:$BF$65)*BY489), N($AU$61:$AU$65&gt;$AM489)),
SUMPRODUCT(INDEX($AV$46:$AX$55,,$AI489), INDEX($AY$46:$BE$55,,$AH489), 1 / ($BG$46:$BG$55*CC489 + (1-$BG$46:$BG$55)*BY489), N($AU$46:$AU$55&gt;$AM489))
) / 1000</f>
        <v>0</v>
      </c>
      <c r="CE489" s="234" cm="1">
        <f t="array" ref="CE489">$BM489 * IF($AH489&lt;=2,
SUMPRODUCT(INDEX($AV$22:$AX$60,,$AI489), INDEX($AY$22:$BE$60,,$AH489), 1 / ($BF$22:$BF$60*CC489), N($AU$22:$AU$60&gt;$AM489)),
SUMPRODUCT(INDEX($AV$22:$AX$45,,$AI489), INDEX($AY$22:$BE$45,,$AH489), 1 / ($BG$22:$BG$45*CC489), N($AU$22:$AU$45&gt;$AM489))
) / 1000</f>
        <v>0</v>
      </c>
      <c r="CF489" s="229">
        <f t="shared" si="646"/>
        <v>0</v>
      </c>
      <c r="CG489" s="246"/>
      <c r="CH489" s="229">
        <f t="shared" si="647"/>
        <v>0</v>
      </c>
      <c r="CI489" s="228">
        <v>35</v>
      </c>
      <c r="CJ489" s="229">
        <f t="shared" si="648"/>
        <v>48</v>
      </c>
      <c r="CK489" s="234">
        <f t="shared" si="649"/>
        <v>3.0748170731707316</v>
      </c>
      <c r="CL489" s="234" cm="1">
        <f t="array" ref="CL489">$BM489 * SUMPRODUCT(INDEX($AV$76:$AX$81,,$AI489),INDEX($AY$76:$BE$81,,$AH489), N($AU$76:$AU$81&gt;$AM489)) / CK489 / 1000</f>
        <v>0</v>
      </c>
      <c r="CM489" s="231">
        <f t="shared" si="667"/>
        <v>30</v>
      </c>
      <c r="CN489" s="229">
        <f t="shared" si="650"/>
        <v>43</v>
      </c>
      <c r="CO489" s="234">
        <f t="shared" si="651"/>
        <v>3.5018750000000001</v>
      </c>
      <c r="CP489" s="234" cm="1">
        <f t="array" ref="CP489">$BM489 * IF($AH489&lt;=2,
SUMPRODUCT(INDEX($AV$71:$AX$75,,$AI489), INDEX($AY$71:$BE$75,,$AH489), 1 / ($BF$71:$BF$75*CO489 + (1-$BF$71:$BF$75)*CK489), N($AU$71:$AU$75&gt;$AM489)),
SUMPRODUCT(INDEX($AV$66:$AX$75,,$AI489), INDEX($AY$66:$BE$75,,$AH489), 1 / ($BG$66:$BG$75*CO489 + (1-$BG$66:$BG$75)*CK489), N($AU$66:$AU$75&gt;$AM489))
) / 1000</f>
        <v>0</v>
      </c>
      <c r="CQ489" s="231">
        <f t="shared" si="668"/>
        <v>25</v>
      </c>
      <c r="CR489" s="229">
        <f t="shared" si="652"/>
        <v>38</v>
      </c>
      <c r="CS489" s="234">
        <f t="shared" si="653"/>
        <v>4.0666935483870965</v>
      </c>
      <c r="CT489" s="234" cm="1">
        <f t="array" ref="CT489">$BM489 * IF($AH489&lt;=2,
SUMPRODUCT(INDEX($AV$66:$AX$70,,$AI489), INDEX($AY$66:$BE$70,,$AH489), 1 / ($BF$66:$BF$70*CS489 + (1-$BF$66:$BF$70)*CO489), N($AU$66:$AU$70&gt;$AM489)),
SUMPRODUCT(INDEX($AV$56:$AX$65,,$AI489), INDEX($AY$56:$BE$65,,$AH489), 1 / ($BG$56:$BG$65*CS489 + (1-$BG$56:$BG$65)*CO489), N($AU$56:$AU$65&gt;$AM489))
) / 1000</f>
        <v>0</v>
      </c>
      <c r="CU489" s="231">
        <f t="shared" si="669"/>
        <v>20</v>
      </c>
      <c r="CV489" s="229">
        <f t="shared" si="654"/>
        <v>33</v>
      </c>
      <c r="CW489" s="234">
        <f t="shared" si="655"/>
        <v>4.8487499999999999</v>
      </c>
      <c r="CX489" s="234" cm="1">
        <f t="array" ref="CX489">$BM489 * IF($AH489&lt;=2,
SUMPRODUCT(INDEX($AV$61:$AX$65,,$AI489), INDEX($AY$61:$BE$65,,$AH489), 1 / ($BF$61:$BF$65*CW489 + (1-$BF$61:$BF$65)*CS489), N($AU$61:$AU$65&gt;$AM489)),
SUMPRODUCT(INDEX($AV$46:$AX$55,,$AI489), INDEX($AY$46:$BE$55,,$AH489), 1 / ($BG$46:$BG$55*CW489 + (1-$BG$46:$BG$55)*CS489), N($AU$46:$AU$55&gt;$AM489))
) / 1000</f>
        <v>0</v>
      </c>
      <c r="CY489" s="234" cm="1">
        <f t="array" ref="CY489">$BM489 * IF($AH489&lt;=2,
SUMPRODUCT(INDEX($AV$22:$AX$60,,$AI489), INDEX($AY$22:$BE$60,,$AH489), 1 / ($BF$22:$BF$60*CW489), N($AU$22:$AU$60&gt;$AM489)),
SUMPRODUCT(INDEX($AV$22:$AX$45,,$AI489), INDEX($AY$22:$BE$45,,$AH489), 1 / ($BG$22:$BG$45*CW489), N($AU$22:$AU$45&gt;$AM489))
) / 1000</f>
        <v>0</v>
      </c>
      <c r="CZ489" s="229">
        <f t="shared" si="656"/>
        <v>0</v>
      </c>
      <c r="DA489" s="246"/>
    </row>
    <row r="490" spans="1:105" s="75" customFormat="1" ht="14.25" customHeight="1" x14ac:dyDescent="0.2">
      <c r="A490" s="230" t="b">
        <f t="shared" si="661"/>
        <v>0</v>
      </c>
      <c r="B490" s="253">
        <v>469</v>
      </c>
      <c r="C490" s="266"/>
      <c r="D490" s="266"/>
      <c r="E490" s="254"/>
      <c r="F490" s="255" t="str">
        <f>IF(ISBLANK(E490), "", VLOOKUP(E490, Z!$A$2:$C$4127, 3, FALSE))</f>
        <v/>
      </c>
      <c r="G490" s="256"/>
      <c r="H490" s="256"/>
      <c r="I490" s="256"/>
      <c r="J490" s="257"/>
      <c r="K490" s="258"/>
      <c r="L490" s="267"/>
      <c r="M490" s="268"/>
      <c r="N490" s="259" t="str" cm="1">
        <f t="array" ref="N490">IF($L490&gt;0, INDEX(Clean,1+AK490,$D$1), "")</f>
        <v/>
      </c>
      <c r="O490" s="260"/>
      <c r="P490" s="260"/>
      <c r="Q490" s="261"/>
      <c r="R490" s="264">
        <f t="shared" si="632"/>
        <v>0</v>
      </c>
      <c r="S490" s="259" t="str" cm="1">
        <f t="array" ref="S490">IF($L490&gt;0, INDEX(Clean,1+AL490,$D$1), "")</f>
        <v/>
      </c>
      <c r="T490" s="260"/>
      <c r="U490" s="260"/>
      <c r="V490" s="261"/>
      <c r="W490" s="267"/>
      <c r="X490" s="267"/>
      <c r="Y490" s="257"/>
      <c r="Z490" s="264">
        <f t="shared" si="633"/>
        <v>0</v>
      </c>
      <c r="AA490" s="269"/>
      <c r="AB490" s="266"/>
      <c r="AC490" s="254"/>
      <c r="AD490" s="255" t="str">
        <f>IF(ISBLANK(AC490), "", VLOOKUP(AC490, Z!$A$2:$C$4127, 3, FALSE))</f>
        <v/>
      </c>
      <c r="AE490" s="270"/>
      <c r="AF490" s="265">
        <f t="shared" si="634"/>
        <v>0</v>
      </c>
      <c r="AG490" s="246"/>
      <c r="AH490" s="228">
        <f t="shared" si="657"/>
        <v>1</v>
      </c>
      <c r="AI490" s="228">
        <f t="shared" si="658"/>
        <v>1</v>
      </c>
      <c r="AJ490" s="228">
        <f t="shared" si="659"/>
        <v>0</v>
      </c>
      <c r="AK490" s="228">
        <v>0</v>
      </c>
      <c r="AL490" s="228">
        <v>0</v>
      </c>
      <c r="AM490" s="228">
        <f t="shared" si="635"/>
        <v>-100</v>
      </c>
      <c r="AN490" s="228" cm="1">
        <f t="array" ref="AN490">IF(ISBLANK(G490), 1, IFERROR(MATCH(G490, INDEX(Kat,,1), 0), IFERROR(MATCH(Kat, INDEX(Use,,2), 0), MATCH(Kat, INDEX(Use,,3), 0))))</f>
        <v>1</v>
      </c>
      <c r="AO490" s="246"/>
      <c r="AP490" s="228" cm="1">
        <f t="array" ref="AP490">IF(W490&gt;0, INDEX(Kat, AN490,4), 0)</f>
        <v>0</v>
      </c>
      <c r="AQ490" s="228">
        <f t="shared" si="660"/>
        <v>0</v>
      </c>
      <c r="AR490" s="228" cm="1">
        <f t="array" ref="AR490">IF(X490&gt;0, INDEX(Kat, $AN490, 4+AQ490), 0)</f>
        <v>0</v>
      </c>
      <c r="AS490" s="228" cm="1">
        <f t="array" ref="AS490">IF(X490&gt;0, INDEX(Kat, $AN490, 9+AQ490), 0)</f>
        <v>0</v>
      </c>
      <c r="AT490" s="246"/>
      <c r="AU490" s="262"/>
      <c r="AV490" s="262"/>
      <c r="AW490" s="263"/>
      <c r="AX490" s="263"/>
      <c r="AY490" s="263"/>
      <c r="AZ490" s="263"/>
      <c r="BA490" s="263"/>
      <c r="BB490" s="263"/>
      <c r="BC490" s="263"/>
      <c r="BD490" s="263"/>
      <c r="BE490" s="263"/>
      <c r="BF490" s="263"/>
      <c r="BG490" s="263"/>
      <c r="BH490" s="246"/>
      <c r="BI490" s="228" cm="1">
        <f t="array" ref="BI490">INDEX(Use, $AH490, 4)</f>
        <v>7</v>
      </c>
      <c r="BJ490" s="228">
        <f t="shared" si="636"/>
        <v>32</v>
      </c>
      <c r="BK490" s="228">
        <f t="shared" si="662"/>
        <v>13</v>
      </c>
      <c r="BL490" s="228">
        <f t="shared" si="663"/>
        <v>0</v>
      </c>
      <c r="BM490" s="233" cm="1">
        <f t="array" ref="BM490">L490/IF($M490&gt;0, INDEX($AY$22:$BE$76, $M490+20, $AH490), 1)</f>
        <v>0</v>
      </c>
      <c r="BN490" s="229">
        <f t="shared" si="637"/>
        <v>0</v>
      </c>
      <c r="BO490" s="228">
        <v>35</v>
      </c>
      <c r="BP490" s="229">
        <f t="shared" si="638"/>
        <v>48</v>
      </c>
      <c r="BQ490" s="234">
        <f t="shared" si="639"/>
        <v>3.0748170731707316</v>
      </c>
      <c r="BR490" s="234" cm="1">
        <f t="array" ref="BR490">$BM490 * SUMPRODUCT(INDEX($AV$76:$AX$81,,$AI490),INDEX($AY$76:$BE$81,,$AH490), N($AU$76:$AU$81&gt;$AM490)) / BQ490 / 1000</f>
        <v>0</v>
      </c>
      <c r="BS490" s="231">
        <f t="shared" si="664"/>
        <v>30</v>
      </c>
      <c r="BT490" s="229">
        <f t="shared" si="640"/>
        <v>43</v>
      </c>
      <c r="BU490" s="234">
        <f t="shared" si="641"/>
        <v>3.5018750000000001</v>
      </c>
      <c r="BV490" s="234" cm="1">
        <f t="array" ref="BV490">$BM490 * IF($AH490&lt;=2,
SUMPRODUCT(INDEX($AV$71:$AX$75,,$AI490), INDEX($AY$71:$BE$75,,$AH490), 1 / ($BF$71:$BF$75*BU490 + (1-$BF$71:$BF$75)*BQ490), N($AU$71:$AU$75&gt;$AM490)),
SUMPRODUCT(INDEX($AV$66:$AX$75,,$AI490), INDEX($AY$66:$BE$75,,$AH490), 1 / ($BG$66:$BG$75*BU490 + (1-$BG$66:$BG$75)*BQ490), N($AU$66:$AU$75&gt;$AM490))
) / 1000</f>
        <v>0</v>
      </c>
      <c r="BW490" s="231">
        <f t="shared" si="665"/>
        <v>25</v>
      </c>
      <c r="BX490" s="229">
        <f t="shared" si="642"/>
        <v>38</v>
      </c>
      <c r="BY490" s="234">
        <f t="shared" si="643"/>
        <v>4.0666935483870965</v>
      </c>
      <c r="BZ490" s="234" cm="1">
        <f t="array" ref="BZ490">$BM490 * IF($AH490&lt;=2,
SUMPRODUCT(INDEX($AV$66:$AX$70,,$AI490), INDEX($AY$66:$BE$70,,$AH490), 1 / ($BF$66:$BF$70*BY490 + (1-$BF$66:$BF$70)*BU490), N($AU$66:$AU$70&gt;$AM490)),
SUMPRODUCT(INDEX($AV$56:$AX$65,,$AI490), INDEX($AY$56:$BE$65,,$AH490), 1 / ($BG$56:$BG$65*BY490 + (1-$BG$56:$BG$65)*BU490), N($AU$56:$AU$65&gt;$AM490))
) / 1000</f>
        <v>0</v>
      </c>
      <c r="CA490" s="231">
        <f t="shared" si="666"/>
        <v>20</v>
      </c>
      <c r="CB490" s="229">
        <f t="shared" si="644"/>
        <v>33</v>
      </c>
      <c r="CC490" s="234">
        <f t="shared" si="645"/>
        <v>4.8487499999999999</v>
      </c>
      <c r="CD490" s="234" cm="1">
        <f t="array" ref="CD490">$BM490 * IF($AH490&lt;=2,
SUMPRODUCT(INDEX($AV$61:$AX$65,,$AI490), INDEX($AY$61:$BE$65,,$AH490), 1 / ($BF$61:$BF$65*CC490 + (1-$BF$61:$BF$65)*BY490), N($AU$61:$AU$65&gt;$AM490)),
SUMPRODUCT(INDEX($AV$46:$AX$55,,$AI490), INDEX($AY$46:$BE$55,,$AH490), 1 / ($BG$46:$BG$55*CC490 + (1-$BG$46:$BG$55)*BY490), N($AU$46:$AU$55&gt;$AM490))
) / 1000</f>
        <v>0</v>
      </c>
      <c r="CE490" s="234" cm="1">
        <f t="array" ref="CE490">$BM490 * IF($AH490&lt;=2,
SUMPRODUCT(INDEX($AV$22:$AX$60,,$AI490), INDEX($AY$22:$BE$60,,$AH490), 1 / ($BF$22:$BF$60*CC490), N($AU$22:$AU$60&gt;$AM490)),
SUMPRODUCT(INDEX($AV$22:$AX$45,,$AI490), INDEX($AY$22:$BE$45,,$AH490), 1 / ($BG$22:$BG$45*CC490), N($AU$22:$AU$45&gt;$AM490))
) / 1000</f>
        <v>0</v>
      </c>
      <c r="CF490" s="229">
        <f t="shared" si="646"/>
        <v>0</v>
      </c>
      <c r="CG490" s="246"/>
      <c r="CH490" s="229">
        <f t="shared" si="647"/>
        <v>0</v>
      </c>
      <c r="CI490" s="228">
        <v>35</v>
      </c>
      <c r="CJ490" s="229">
        <f t="shared" si="648"/>
        <v>48</v>
      </c>
      <c r="CK490" s="234">
        <f t="shared" si="649"/>
        <v>3.0748170731707316</v>
      </c>
      <c r="CL490" s="234" cm="1">
        <f t="array" ref="CL490">$BM490 * SUMPRODUCT(INDEX($AV$76:$AX$81,,$AI490),INDEX($AY$76:$BE$81,,$AH490), N($AU$76:$AU$81&gt;$AM490)) / CK490 / 1000</f>
        <v>0</v>
      </c>
      <c r="CM490" s="231">
        <f t="shared" si="667"/>
        <v>30</v>
      </c>
      <c r="CN490" s="229">
        <f t="shared" si="650"/>
        <v>43</v>
      </c>
      <c r="CO490" s="234">
        <f t="shared" si="651"/>
        <v>3.5018750000000001</v>
      </c>
      <c r="CP490" s="234" cm="1">
        <f t="array" ref="CP490">$BM490 * IF($AH490&lt;=2,
SUMPRODUCT(INDEX($AV$71:$AX$75,,$AI490), INDEX($AY$71:$BE$75,,$AH490), 1 / ($BF$71:$BF$75*CO490 + (1-$BF$71:$BF$75)*CK490), N($AU$71:$AU$75&gt;$AM490)),
SUMPRODUCT(INDEX($AV$66:$AX$75,,$AI490), INDEX($AY$66:$BE$75,,$AH490), 1 / ($BG$66:$BG$75*CO490 + (1-$BG$66:$BG$75)*CK490), N($AU$66:$AU$75&gt;$AM490))
) / 1000</f>
        <v>0</v>
      </c>
      <c r="CQ490" s="231">
        <f t="shared" si="668"/>
        <v>25</v>
      </c>
      <c r="CR490" s="229">
        <f t="shared" si="652"/>
        <v>38</v>
      </c>
      <c r="CS490" s="234">
        <f t="shared" si="653"/>
        <v>4.0666935483870965</v>
      </c>
      <c r="CT490" s="234" cm="1">
        <f t="array" ref="CT490">$BM490 * IF($AH490&lt;=2,
SUMPRODUCT(INDEX($AV$66:$AX$70,,$AI490), INDEX($AY$66:$BE$70,,$AH490), 1 / ($BF$66:$BF$70*CS490 + (1-$BF$66:$BF$70)*CO490), N($AU$66:$AU$70&gt;$AM490)),
SUMPRODUCT(INDEX($AV$56:$AX$65,,$AI490), INDEX($AY$56:$BE$65,,$AH490), 1 / ($BG$56:$BG$65*CS490 + (1-$BG$56:$BG$65)*CO490), N($AU$56:$AU$65&gt;$AM490))
) / 1000</f>
        <v>0</v>
      </c>
      <c r="CU490" s="231">
        <f t="shared" si="669"/>
        <v>20</v>
      </c>
      <c r="CV490" s="229">
        <f t="shared" si="654"/>
        <v>33</v>
      </c>
      <c r="CW490" s="234">
        <f t="shared" si="655"/>
        <v>4.8487499999999999</v>
      </c>
      <c r="CX490" s="234" cm="1">
        <f t="array" ref="CX490">$BM490 * IF($AH490&lt;=2,
SUMPRODUCT(INDEX($AV$61:$AX$65,,$AI490), INDEX($AY$61:$BE$65,,$AH490), 1 / ($BF$61:$BF$65*CW490 + (1-$BF$61:$BF$65)*CS490), N($AU$61:$AU$65&gt;$AM490)),
SUMPRODUCT(INDEX($AV$46:$AX$55,,$AI490), INDEX($AY$46:$BE$55,,$AH490), 1 / ($BG$46:$BG$55*CW490 + (1-$BG$46:$BG$55)*CS490), N($AU$46:$AU$55&gt;$AM490))
) / 1000</f>
        <v>0</v>
      </c>
      <c r="CY490" s="234" cm="1">
        <f t="array" ref="CY490">$BM490 * IF($AH490&lt;=2,
SUMPRODUCT(INDEX($AV$22:$AX$60,,$AI490), INDEX($AY$22:$BE$60,,$AH490), 1 / ($BF$22:$BF$60*CW490), N($AU$22:$AU$60&gt;$AM490)),
SUMPRODUCT(INDEX($AV$22:$AX$45,,$AI490), INDEX($AY$22:$BE$45,,$AH490), 1 / ($BG$22:$BG$45*CW490), N($AU$22:$AU$45&gt;$AM490))
) / 1000</f>
        <v>0</v>
      </c>
      <c r="CZ490" s="229">
        <f t="shared" si="656"/>
        <v>0</v>
      </c>
      <c r="DA490" s="246"/>
    </row>
    <row r="491" spans="1:105" s="75" customFormat="1" ht="14.25" customHeight="1" x14ac:dyDescent="0.2">
      <c r="A491" s="230" t="b">
        <f t="shared" si="661"/>
        <v>0</v>
      </c>
      <c r="B491" s="253">
        <v>470</v>
      </c>
      <c r="C491" s="266"/>
      <c r="D491" s="266"/>
      <c r="E491" s="254"/>
      <c r="F491" s="255" t="str">
        <f>IF(ISBLANK(E491), "", VLOOKUP(E491, Z!$A$2:$C$4127, 3, FALSE))</f>
        <v/>
      </c>
      <c r="G491" s="256"/>
      <c r="H491" s="256"/>
      <c r="I491" s="256"/>
      <c r="J491" s="257"/>
      <c r="K491" s="258"/>
      <c r="L491" s="267"/>
      <c r="M491" s="268"/>
      <c r="N491" s="259" t="str" cm="1">
        <f t="array" ref="N491">IF($L491&gt;0, INDEX(Clean,1+AK491,$D$1), "")</f>
        <v/>
      </c>
      <c r="O491" s="260"/>
      <c r="P491" s="260"/>
      <c r="Q491" s="261"/>
      <c r="R491" s="264">
        <f t="shared" si="632"/>
        <v>0</v>
      </c>
      <c r="S491" s="259" t="str" cm="1">
        <f t="array" ref="S491">IF($L491&gt;0, INDEX(Clean,1+AL491,$D$1), "")</f>
        <v/>
      </c>
      <c r="T491" s="260"/>
      <c r="U491" s="260"/>
      <c r="V491" s="261"/>
      <c r="W491" s="267"/>
      <c r="X491" s="267"/>
      <c r="Y491" s="257"/>
      <c r="Z491" s="264">
        <f t="shared" si="633"/>
        <v>0</v>
      </c>
      <c r="AA491" s="269"/>
      <c r="AB491" s="266"/>
      <c r="AC491" s="254"/>
      <c r="AD491" s="255" t="str">
        <f>IF(ISBLANK(AC491), "", VLOOKUP(AC491, Z!$A$2:$C$4127, 3, FALSE))</f>
        <v/>
      </c>
      <c r="AE491" s="270"/>
      <c r="AF491" s="265">
        <f t="shared" si="634"/>
        <v>0</v>
      </c>
      <c r="AG491" s="246"/>
      <c r="AH491" s="228">
        <f t="shared" si="657"/>
        <v>1</v>
      </c>
      <c r="AI491" s="228">
        <f t="shared" si="658"/>
        <v>1</v>
      </c>
      <c r="AJ491" s="228">
        <f t="shared" si="659"/>
        <v>0</v>
      </c>
      <c r="AK491" s="228">
        <v>0</v>
      </c>
      <c r="AL491" s="228">
        <v>0</v>
      </c>
      <c r="AM491" s="228">
        <f t="shared" si="635"/>
        <v>-100</v>
      </c>
      <c r="AN491" s="228" cm="1">
        <f t="array" ref="AN491">IF(ISBLANK(G491), 1, IFERROR(MATCH(G491, INDEX(Kat,,1), 0), IFERROR(MATCH(Kat, INDEX(Use,,2), 0), MATCH(Kat, INDEX(Use,,3), 0))))</f>
        <v>1</v>
      </c>
      <c r="AO491" s="246"/>
      <c r="AP491" s="228" cm="1">
        <f t="array" ref="AP491">IF(W491&gt;0, INDEX(Kat, AN491,4), 0)</f>
        <v>0</v>
      </c>
      <c r="AQ491" s="228">
        <f t="shared" si="660"/>
        <v>0</v>
      </c>
      <c r="AR491" s="228" cm="1">
        <f t="array" ref="AR491">IF(X491&gt;0, INDEX(Kat, $AN491, 4+AQ491), 0)</f>
        <v>0</v>
      </c>
      <c r="AS491" s="228" cm="1">
        <f t="array" ref="AS491">IF(X491&gt;0, INDEX(Kat, $AN491, 9+AQ491), 0)</f>
        <v>0</v>
      </c>
      <c r="AT491" s="246"/>
      <c r="AU491" s="262"/>
      <c r="AV491" s="262"/>
      <c r="AW491" s="263"/>
      <c r="AX491" s="263"/>
      <c r="AY491" s="263"/>
      <c r="AZ491" s="263"/>
      <c r="BA491" s="263"/>
      <c r="BB491" s="263"/>
      <c r="BC491" s="263"/>
      <c r="BD491" s="263"/>
      <c r="BE491" s="263"/>
      <c r="BF491" s="263"/>
      <c r="BG491" s="263"/>
      <c r="BH491" s="246"/>
      <c r="BI491" s="228" cm="1">
        <f t="array" ref="BI491">INDEX(Use, $AH491, 4)</f>
        <v>7</v>
      </c>
      <c r="BJ491" s="228">
        <f t="shared" si="636"/>
        <v>32</v>
      </c>
      <c r="BK491" s="228">
        <f t="shared" si="662"/>
        <v>13</v>
      </c>
      <c r="BL491" s="228">
        <f t="shared" si="663"/>
        <v>0</v>
      </c>
      <c r="BM491" s="233" cm="1">
        <f t="array" ref="BM491">L491/IF($M491&gt;0, INDEX($AY$22:$BE$76, $M491+20, $AH491), 1)</f>
        <v>0</v>
      </c>
      <c r="BN491" s="229">
        <f t="shared" si="637"/>
        <v>0</v>
      </c>
      <c r="BO491" s="228">
        <v>35</v>
      </c>
      <c r="BP491" s="229">
        <f t="shared" si="638"/>
        <v>48</v>
      </c>
      <c r="BQ491" s="234">
        <f t="shared" si="639"/>
        <v>3.0748170731707316</v>
      </c>
      <c r="BR491" s="234" cm="1">
        <f t="array" ref="BR491">$BM491 * SUMPRODUCT(INDEX($AV$76:$AX$81,,$AI491),INDEX($AY$76:$BE$81,,$AH491), N($AU$76:$AU$81&gt;$AM491)) / BQ491 / 1000</f>
        <v>0</v>
      </c>
      <c r="BS491" s="231">
        <f t="shared" si="664"/>
        <v>30</v>
      </c>
      <c r="BT491" s="229">
        <f t="shared" si="640"/>
        <v>43</v>
      </c>
      <c r="BU491" s="234">
        <f t="shared" si="641"/>
        <v>3.5018750000000001</v>
      </c>
      <c r="BV491" s="234" cm="1">
        <f t="array" ref="BV491">$BM491 * IF($AH491&lt;=2,
SUMPRODUCT(INDEX($AV$71:$AX$75,,$AI491), INDEX($AY$71:$BE$75,,$AH491), 1 / ($BF$71:$BF$75*BU491 + (1-$BF$71:$BF$75)*BQ491), N($AU$71:$AU$75&gt;$AM491)),
SUMPRODUCT(INDEX($AV$66:$AX$75,,$AI491), INDEX($AY$66:$BE$75,,$AH491), 1 / ($BG$66:$BG$75*BU491 + (1-$BG$66:$BG$75)*BQ491), N($AU$66:$AU$75&gt;$AM491))
) / 1000</f>
        <v>0</v>
      </c>
      <c r="BW491" s="231">
        <f t="shared" si="665"/>
        <v>25</v>
      </c>
      <c r="BX491" s="229">
        <f t="shared" si="642"/>
        <v>38</v>
      </c>
      <c r="BY491" s="234">
        <f t="shared" si="643"/>
        <v>4.0666935483870965</v>
      </c>
      <c r="BZ491" s="234" cm="1">
        <f t="array" ref="BZ491">$BM491 * IF($AH491&lt;=2,
SUMPRODUCT(INDEX($AV$66:$AX$70,,$AI491), INDEX($AY$66:$BE$70,,$AH491), 1 / ($BF$66:$BF$70*BY491 + (1-$BF$66:$BF$70)*BU491), N($AU$66:$AU$70&gt;$AM491)),
SUMPRODUCT(INDEX($AV$56:$AX$65,,$AI491), INDEX($AY$56:$BE$65,,$AH491), 1 / ($BG$56:$BG$65*BY491 + (1-$BG$56:$BG$65)*BU491), N($AU$56:$AU$65&gt;$AM491))
) / 1000</f>
        <v>0</v>
      </c>
      <c r="CA491" s="231">
        <f t="shared" si="666"/>
        <v>20</v>
      </c>
      <c r="CB491" s="229">
        <f t="shared" si="644"/>
        <v>33</v>
      </c>
      <c r="CC491" s="234">
        <f t="shared" si="645"/>
        <v>4.8487499999999999</v>
      </c>
      <c r="CD491" s="234" cm="1">
        <f t="array" ref="CD491">$BM491 * IF($AH491&lt;=2,
SUMPRODUCT(INDEX($AV$61:$AX$65,,$AI491), INDEX($AY$61:$BE$65,,$AH491), 1 / ($BF$61:$BF$65*CC491 + (1-$BF$61:$BF$65)*BY491), N($AU$61:$AU$65&gt;$AM491)),
SUMPRODUCT(INDEX($AV$46:$AX$55,,$AI491), INDEX($AY$46:$BE$55,,$AH491), 1 / ($BG$46:$BG$55*CC491 + (1-$BG$46:$BG$55)*BY491), N($AU$46:$AU$55&gt;$AM491))
) / 1000</f>
        <v>0</v>
      </c>
      <c r="CE491" s="234" cm="1">
        <f t="array" ref="CE491">$BM491 * IF($AH491&lt;=2,
SUMPRODUCT(INDEX($AV$22:$AX$60,,$AI491), INDEX($AY$22:$BE$60,,$AH491), 1 / ($BF$22:$BF$60*CC491), N($AU$22:$AU$60&gt;$AM491)),
SUMPRODUCT(INDEX($AV$22:$AX$45,,$AI491), INDEX($AY$22:$BE$45,,$AH491), 1 / ($BG$22:$BG$45*CC491), N($AU$22:$AU$45&gt;$AM491))
) / 1000</f>
        <v>0</v>
      </c>
      <c r="CF491" s="229">
        <f t="shared" si="646"/>
        <v>0</v>
      </c>
      <c r="CG491" s="246"/>
      <c r="CH491" s="229">
        <f t="shared" si="647"/>
        <v>0</v>
      </c>
      <c r="CI491" s="228">
        <v>35</v>
      </c>
      <c r="CJ491" s="229">
        <f t="shared" si="648"/>
        <v>48</v>
      </c>
      <c r="CK491" s="234">
        <f t="shared" si="649"/>
        <v>3.0748170731707316</v>
      </c>
      <c r="CL491" s="234" cm="1">
        <f t="array" ref="CL491">$BM491 * SUMPRODUCT(INDEX($AV$76:$AX$81,,$AI491),INDEX($AY$76:$BE$81,,$AH491), N($AU$76:$AU$81&gt;$AM491)) / CK491 / 1000</f>
        <v>0</v>
      </c>
      <c r="CM491" s="231">
        <f t="shared" si="667"/>
        <v>30</v>
      </c>
      <c r="CN491" s="229">
        <f t="shared" si="650"/>
        <v>43</v>
      </c>
      <c r="CO491" s="234">
        <f t="shared" si="651"/>
        <v>3.5018750000000001</v>
      </c>
      <c r="CP491" s="234" cm="1">
        <f t="array" ref="CP491">$BM491 * IF($AH491&lt;=2,
SUMPRODUCT(INDEX($AV$71:$AX$75,,$AI491), INDEX($AY$71:$BE$75,,$AH491), 1 / ($BF$71:$BF$75*CO491 + (1-$BF$71:$BF$75)*CK491), N($AU$71:$AU$75&gt;$AM491)),
SUMPRODUCT(INDEX($AV$66:$AX$75,,$AI491), INDEX($AY$66:$BE$75,,$AH491), 1 / ($BG$66:$BG$75*CO491 + (1-$BG$66:$BG$75)*CK491), N($AU$66:$AU$75&gt;$AM491))
) / 1000</f>
        <v>0</v>
      </c>
      <c r="CQ491" s="231">
        <f t="shared" si="668"/>
        <v>25</v>
      </c>
      <c r="CR491" s="229">
        <f t="shared" si="652"/>
        <v>38</v>
      </c>
      <c r="CS491" s="234">
        <f t="shared" si="653"/>
        <v>4.0666935483870965</v>
      </c>
      <c r="CT491" s="234" cm="1">
        <f t="array" ref="CT491">$BM491 * IF($AH491&lt;=2,
SUMPRODUCT(INDEX($AV$66:$AX$70,,$AI491), INDEX($AY$66:$BE$70,,$AH491), 1 / ($BF$66:$BF$70*CS491 + (1-$BF$66:$BF$70)*CO491), N($AU$66:$AU$70&gt;$AM491)),
SUMPRODUCT(INDEX($AV$56:$AX$65,,$AI491), INDEX($AY$56:$BE$65,,$AH491), 1 / ($BG$56:$BG$65*CS491 + (1-$BG$56:$BG$65)*CO491), N($AU$56:$AU$65&gt;$AM491))
) / 1000</f>
        <v>0</v>
      </c>
      <c r="CU491" s="231">
        <f t="shared" si="669"/>
        <v>20</v>
      </c>
      <c r="CV491" s="229">
        <f t="shared" si="654"/>
        <v>33</v>
      </c>
      <c r="CW491" s="234">
        <f t="shared" si="655"/>
        <v>4.8487499999999999</v>
      </c>
      <c r="CX491" s="234" cm="1">
        <f t="array" ref="CX491">$BM491 * IF($AH491&lt;=2,
SUMPRODUCT(INDEX($AV$61:$AX$65,,$AI491), INDEX($AY$61:$BE$65,,$AH491), 1 / ($BF$61:$BF$65*CW491 + (1-$BF$61:$BF$65)*CS491), N($AU$61:$AU$65&gt;$AM491)),
SUMPRODUCT(INDEX($AV$46:$AX$55,,$AI491), INDEX($AY$46:$BE$55,,$AH491), 1 / ($BG$46:$BG$55*CW491 + (1-$BG$46:$BG$55)*CS491), N($AU$46:$AU$55&gt;$AM491))
) / 1000</f>
        <v>0</v>
      </c>
      <c r="CY491" s="234" cm="1">
        <f t="array" ref="CY491">$BM491 * IF($AH491&lt;=2,
SUMPRODUCT(INDEX($AV$22:$AX$60,,$AI491), INDEX($AY$22:$BE$60,,$AH491), 1 / ($BF$22:$BF$60*CW491), N($AU$22:$AU$60&gt;$AM491)),
SUMPRODUCT(INDEX($AV$22:$AX$45,,$AI491), INDEX($AY$22:$BE$45,,$AH491), 1 / ($BG$22:$BG$45*CW491), N($AU$22:$AU$45&gt;$AM491))
) / 1000</f>
        <v>0</v>
      </c>
      <c r="CZ491" s="229">
        <f t="shared" si="656"/>
        <v>0</v>
      </c>
      <c r="DA491" s="246"/>
    </row>
    <row r="492" spans="1:105" s="75" customFormat="1" ht="14.25" customHeight="1" x14ac:dyDescent="0.2">
      <c r="A492" s="230" t="b">
        <f t="shared" si="661"/>
        <v>0</v>
      </c>
      <c r="B492" s="253">
        <v>471</v>
      </c>
      <c r="C492" s="266"/>
      <c r="D492" s="266"/>
      <c r="E492" s="254"/>
      <c r="F492" s="255" t="str">
        <f>IF(ISBLANK(E492), "", VLOOKUP(E492, Z!$A$2:$C$4127, 3, FALSE))</f>
        <v/>
      </c>
      <c r="G492" s="256"/>
      <c r="H492" s="256"/>
      <c r="I492" s="256"/>
      <c r="J492" s="257"/>
      <c r="K492" s="258"/>
      <c r="L492" s="267"/>
      <c r="M492" s="268"/>
      <c r="N492" s="259" t="str" cm="1">
        <f t="array" ref="N492">IF($L492&gt;0, INDEX(Clean,1+AK492,$D$1), "")</f>
        <v/>
      </c>
      <c r="O492" s="260"/>
      <c r="P492" s="260"/>
      <c r="Q492" s="261"/>
      <c r="R492" s="264">
        <f t="shared" si="632"/>
        <v>0</v>
      </c>
      <c r="S492" s="259" t="str" cm="1">
        <f t="array" ref="S492">IF($L492&gt;0, INDEX(Clean,1+AL492,$D$1), "")</f>
        <v/>
      </c>
      <c r="T492" s="260"/>
      <c r="U492" s="260"/>
      <c r="V492" s="261"/>
      <c r="W492" s="267"/>
      <c r="X492" s="267"/>
      <c r="Y492" s="257"/>
      <c r="Z492" s="264">
        <f t="shared" si="633"/>
        <v>0</v>
      </c>
      <c r="AA492" s="269"/>
      <c r="AB492" s="266"/>
      <c r="AC492" s="254"/>
      <c r="AD492" s="255" t="str">
        <f>IF(ISBLANK(AC492), "", VLOOKUP(AC492, Z!$A$2:$C$4127, 3, FALSE))</f>
        <v/>
      </c>
      <c r="AE492" s="270"/>
      <c r="AF492" s="265">
        <f t="shared" si="634"/>
        <v>0</v>
      </c>
      <c r="AG492" s="246"/>
      <c r="AH492" s="228">
        <f t="shared" si="657"/>
        <v>1</v>
      </c>
      <c r="AI492" s="228">
        <f t="shared" si="658"/>
        <v>1</v>
      </c>
      <c r="AJ492" s="228">
        <f t="shared" si="659"/>
        <v>0</v>
      </c>
      <c r="AK492" s="228">
        <v>0</v>
      </c>
      <c r="AL492" s="228">
        <v>0</v>
      </c>
      <c r="AM492" s="228">
        <f t="shared" si="635"/>
        <v>-100</v>
      </c>
      <c r="AN492" s="228" cm="1">
        <f t="array" ref="AN492">IF(ISBLANK(G492), 1, IFERROR(MATCH(G492, INDEX(Kat,,1), 0), IFERROR(MATCH(Kat, INDEX(Use,,2), 0), MATCH(Kat, INDEX(Use,,3), 0))))</f>
        <v>1</v>
      </c>
      <c r="AO492" s="246"/>
      <c r="AP492" s="228" cm="1">
        <f t="array" ref="AP492">IF(W492&gt;0, INDEX(Kat, AN492,4), 0)</f>
        <v>0</v>
      </c>
      <c r="AQ492" s="228">
        <f t="shared" si="660"/>
        <v>0</v>
      </c>
      <c r="AR492" s="228" cm="1">
        <f t="array" ref="AR492">IF(X492&gt;0, INDEX(Kat, $AN492, 4+AQ492), 0)</f>
        <v>0</v>
      </c>
      <c r="AS492" s="228" cm="1">
        <f t="array" ref="AS492">IF(X492&gt;0, INDEX(Kat, $AN492, 9+AQ492), 0)</f>
        <v>0</v>
      </c>
      <c r="AT492" s="246"/>
      <c r="AU492" s="262"/>
      <c r="AV492" s="262"/>
      <c r="AW492" s="263"/>
      <c r="AX492" s="263"/>
      <c r="AY492" s="263"/>
      <c r="AZ492" s="263"/>
      <c r="BA492" s="263"/>
      <c r="BB492" s="263"/>
      <c r="BC492" s="263"/>
      <c r="BD492" s="263"/>
      <c r="BE492" s="263"/>
      <c r="BF492" s="263"/>
      <c r="BG492" s="263"/>
      <c r="BH492" s="246"/>
      <c r="BI492" s="228" cm="1">
        <f t="array" ref="BI492">INDEX(Use, $AH492, 4)</f>
        <v>7</v>
      </c>
      <c r="BJ492" s="228">
        <f t="shared" si="636"/>
        <v>32</v>
      </c>
      <c r="BK492" s="228">
        <f t="shared" si="662"/>
        <v>13</v>
      </c>
      <c r="BL492" s="228">
        <f t="shared" si="663"/>
        <v>0</v>
      </c>
      <c r="BM492" s="233" cm="1">
        <f t="array" ref="BM492">L492/IF($M492&gt;0, INDEX($AY$22:$BE$76, $M492+20, $AH492), 1)</f>
        <v>0</v>
      </c>
      <c r="BN492" s="229">
        <f t="shared" si="637"/>
        <v>0</v>
      </c>
      <c r="BO492" s="228">
        <v>35</v>
      </c>
      <c r="BP492" s="229">
        <f t="shared" si="638"/>
        <v>48</v>
      </c>
      <c r="BQ492" s="234">
        <f t="shared" si="639"/>
        <v>3.0748170731707316</v>
      </c>
      <c r="BR492" s="234" cm="1">
        <f t="array" ref="BR492">$BM492 * SUMPRODUCT(INDEX($AV$76:$AX$81,,$AI492),INDEX($AY$76:$BE$81,,$AH492), N($AU$76:$AU$81&gt;$AM492)) / BQ492 / 1000</f>
        <v>0</v>
      </c>
      <c r="BS492" s="231">
        <f t="shared" si="664"/>
        <v>30</v>
      </c>
      <c r="BT492" s="229">
        <f t="shared" si="640"/>
        <v>43</v>
      </c>
      <c r="BU492" s="234">
        <f t="shared" si="641"/>
        <v>3.5018750000000001</v>
      </c>
      <c r="BV492" s="234" cm="1">
        <f t="array" ref="BV492">$BM492 * IF($AH492&lt;=2,
SUMPRODUCT(INDEX($AV$71:$AX$75,,$AI492), INDEX($AY$71:$BE$75,,$AH492), 1 / ($BF$71:$BF$75*BU492 + (1-$BF$71:$BF$75)*BQ492), N($AU$71:$AU$75&gt;$AM492)),
SUMPRODUCT(INDEX($AV$66:$AX$75,,$AI492), INDEX($AY$66:$BE$75,,$AH492), 1 / ($BG$66:$BG$75*BU492 + (1-$BG$66:$BG$75)*BQ492), N($AU$66:$AU$75&gt;$AM492))
) / 1000</f>
        <v>0</v>
      </c>
      <c r="BW492" s="231">
        <f t="shared" si="665"/>
        <v>25</v>
      </c>
      <c r="BX492" s="229">
        <f t="shared" si="642"/>
        <v>38</v>
      </c>
      <c r="BY492" s="234">
        <f t="shared" si="643"/>
        <v>4.0666935483870965</v>
      </c>
      <c r="BZ492" s="234" cm="1">
        <f t="array" ref="BZ492">$BM492 * IF($AH492&lt;=2,
SUMPRODUCT(INDEX($AV$66:$AX$70,,$AI492), INDEX($AY$66:$BE$70,,$AH492), 1 / ($BF$66:$BF$70*BY492 + (1-$BF$66:$BF$70)*BU492), N($AU$66:$AU$70&gt;$AM492)),
SUMPRODUCT(INDEX($AV$56:$AX$65,,$AI492), INDEX($AY$56:$BE$65,,$AH492), 1 / ($BG$56:$BG$65*BY492 + (1-$BG$56:$BG$65)*BU492), N($AU$56:$AU$65&gt;$AM492))
) / 1000</f>
        <v>0</v>
      </c>
      <c r="CA492" s="231">
        <f t="shared" si="666"/>
        <v>20</v>
      </c>
      <c r="CB492" s="229">
        <f t="shared" si="644"/>
        <v>33</v>
      </c>
      <c r="CC492" s="234">
        <f t="shared" si="645"/>
        <v>4.8487499999999999</v>
      </c>
      <c r="CD492" s="234" cm="1">
        <f t="array" ref="CD492">$BM492 * IF($AH492&lt;=2,
SUMPRODUCT(INDEX($AV$61:$AX$65,,$AI492), INDEX($AY$61:$BE$65,,$AH492), 1 / ($BF$61:$BF$65*CC492 + (1-$BF$61:$BF$65)*BY492), N($AU$61:$AU$65&gt;$AM492)),
SUMPRODUCT(INDEX($AV$46:$AX$55,,$AI492), INDEX($AY$46:$BE$55,,$AH492), 1 / ($BG$46:$BG$55*CC492 + (1-$BG$46:$BG$55)*BY492), N($AU$46:$AU$55&gt;$AM492))
) / 1000</f>
        <v>0</v>
      </c>
      <c r="CE492" s="234" cm="1">
        <f t="array" ref="CE492">$BM492 * IF($AH492&lt;=2,
SUMPRODUCT(INDEX($AV$22:$AX$60,,$AI492), INDEX($AY$22:$BE$60,,$AH492), 1 / ($BF$22:$BF$60*CC492), N($AU$22:$AU$60&gt;$AM492)),
SUMPRODUCT(INDEX($AV$22:$AX$45,,$AI492), INDEX($AY$22:$BE$45,,$AH492), 1 / ($BG$22:$BG$45*CC492), N($AU$22:$AU$45&gt;$AM492))
) / 1000</f>
        <v>0</v>
      </c>
      <c r="CF492" s="229">
        <f t="shared" si="646"/>
        <v>0</v>
      </c>
      <c r="CG492" s="246"/>
      <c r="CH492" s="229">
        <f t="shared" si="647"/>
        <v>0</v>
      </c>
      <c r="CI492" s="228">
        <v>35</v>
      </c>
      <c r="CJ492" s="229">
        <f t="shared" si="648"/>
        <v>48</v>
      </c>
      <c r="CK492" s="234">
        <f t="shared" si="649"/>
        <v>3.0748170731707316</v>
      </c>
      <c r="CL492" s="234" cm="1">
        <f t="array" ref="CL492">$BM492 * SUMPRODUCT(INDEX($AV$76:$AX$81,,$AI492),INDEX($AY$76:$BE$81,,$AH492), N($AU$76:$AU$81&gt;$AM492)) / CK492 / 1000</f>
        <v>0</v>
      </c>
      <c r="CM492" s="231">
        <f t="shared" si="667"/>
        <v>30</v>
      </c>
      <c r="CN492" s="229">
        <f t="shared" si="650"/>
        <v>43</v>
      </c>
      <c r="CO492" s="234">
        <f t="shared" si="651"/>
        <v>3.5018750000000001</v>
      </c>
      <c r="CP492" s="234" cm="1">
        <f t="array" ref="CP492">$BM492 * IF($AH492&lt;=2,
SUMPRODUCT(INDEX($AV$71:$AX$75,,$AI492), INDEX($AY$71:$BE$75,,$AH492), 1 / ($BF$71:$BF$75*CO492 + (1-$BF$71:$BF$75)*CK492), N($AU$71:$AU$75&gt;$AM492)),
SUMPRODUCT(INDEX($AV$66:$AX$75,,$AI492), INDEX($AY$66:$BE$75,,$AH492), 1 / ($BG$66:$BG$75*CO492 + (1-$BG$66:$BG$75)*CK492), N($AU$66:$AU$75&gt;$AM492))
) / 1000</f>
        <v>0</v>
      </c>
      <c r="CQ492" s="231">
        <f t="shared" si="668"/>
        <v>25</v>
      </c>
      <c r="CR492" s="229">
        <f t="shared" si="652"/>
        <v>38</v>
      </c>
      <c r="CS492" s="234">
        <f t="shared" si="653"/>
        <v>4.0666935483870965</v>
      </c>
      <c r="CT492" s="234" cm="1">
        <f t="array" ref="CT492">$BM492 * IF($AH492&lt;=2,
SUMPRODUCT(INDEX($AV$66:$AX$70,,$AI492), INDEX($AY$66:$BE$70,,$AH492), 1 / ($BF$66:$BF$70*CS492 + (1-$BF$66:$BF$70)*CO492), N($AU$66:$AU$70&gt;$AM492)),
SUMPRODUCT(INDEX($AV$56:$AX$65,,$AI492), INDEX($AY$56:$BE$65,,$AH492), 1 / ($BG$56:$BG$65*CS492 + (1-$BG$56:$BG$65)*CO492), N($AU$56:$AU$65&gt;$AM492))
) / 1000</f>
        <v>0</v>
      </c>
      <c r="CU492" s="231">
        <f t="shared" si="669"/>
        <v>20</v>
      </c>
      <c r="CV492" s="229">
        <f t="shared" si="654"/>
        <v>33</v>
      </c>
      <c r="CW492" s="234">
        <f t="shared" si="655"/>
        <v>4.8487499999999999</v>
      </c>
      <c r="CX492" s="234" cm="1">
        <f t="array" ref="CX492">$BM492 * IF($AH492&lt;=2,
SUMPRODUCT(INDEX($AV$61:$AX$65,,$AI492), INDEX($AY$61:$BE$65,,$AH492), 1 / ($BF$61:$BF$65*CW492 + (1-$BF$61:$BF$65)*CS492), N($AU$61:$AU$65&gt;$AM492)),
SUMPRODUCT(INDEX($AV$46:$AX$55,,$AI492), INDEX($AY$46:$BE$55,,$AH492), 1 / ($BG$46:$BG$55*CW492 + (1-$BG$46:$BG$55)*CS492), N($AU$46:$AU$55&gt;$AM492))
) / 1000</f>
        <v>0</v>
      </c>
      <c r="CY492" s="234" cm="1">
        <f t="array" ref="CY492">$BM492 * IF($AH492&lt;=2,
SUMPRODUCT(INDEX($AV$22:$AX$60,,$AI492), INDEX($AY$22:$BE$60,,$AH492), 1 / ($BF$22:$BF$60*CW492), N($AU$22:$AU$60&gt;$AM492)),
SUMPRODUCT(INDEX($AV$22:$AX$45,,$AI492), INDEX($AY$22:$BE$45,,$AH492), 1 / ($BG$22:$BG$45*CW492), N($AU$22:$AU$45&gt;$AM492))
) / 1000</f>
        <v>0</v>
      </c>
      <c r="CZ492" s="229">
        <f t="shared" si="656"/>
        <v>0</v>
      </c>
      <c r="DA492" s="246"/>
    </row>
    <row r="493" spans="1:105" s="75" customFormat="1" ht="14.25" customHeight="1" x14ac:dyDescent="0.2">
      <c r="A493" s="230" t="b">
        <f t="shared" si="661"/>
        <v>0</v>
      </c>
      <c r="B493" s="253">
        <v>472</v>
      </c>
      <c r="C493" s="266"/>
      <c r="D493" s="266"/>
      <c r="E493" s="254"/>
      <c r="F493" s="255" t="str">
        <f>IF(ISBLANK(E493), "", VLOOKUP(E493, Z!$A$2:$C$4127, 3, FALSE))</f>
        <v/>
      </c>
      <c r="G493" s="256"/>
      <c r="H493" s="256"/>
      <c r="I493" s="256"/>
      <c r="J493" s="257"/>
      <c r="K493" s="258"/>
      <c r="L493" s="267"/>
      <c r="M493" s="268"/>
      <c r="N493" s="259" t="str" cm="1">
        <f t="array" ref="N493">IF($L493&gt;0, INDEX(Clean,1+AK493,$D$1), "")</f>
        <v/>
      </c>
      <c r="O493" s="260"/>
      <c r="P493" s="260"/>
      <c r="Q493" s="261"/>
      <c r="R493" s="264">
        <f t="shared" si="632"/>
        <v>0</v>
      </c>
      <c r="S493" s="259" t="str" cm="1">
        <f t="array" ref="S493">IF($L493&gt;0, INDEX(Clean,1+AL493,$D$1), "")</f>
        <v/>
      </c>
      <c r="T493" s="260"/>
      <c r="U493" s="260"/>
      <c r="V493" s="261"/>
      <c r="W493" s="267"/>
      <c r="X493" s="267"/>
      <c r="Y493" s="257"/>
      <c r="Z493" s="264">
        <f t="shared" si="633"/>
        <v>0</v>
      </c>
      <c r="AA493" s="269"/>
      <c r="AB493" s="266"/>
      <c r="AC493" s="254"/>
      <c r="AD493" s="255" t="str">
        <f>IF(ISBLANK(AC493), "", VLOOKUP(AC493, Z!$A$2:$C$4127, 3, FALSE))</f>
        <v/>
      </c>
      <c r="AE493" s="270"/>
      <c r="AF493" s="265">
        <f t="shared" si="634"/>
        <v>0</v>
      </c>
      <c r="AG493" s="246"/>
      <c r="AH493" s="228">
        <f t="shared" si="657"/>
        <v>1</v>
      </c>
      <c r="AI493" s="228">
        <f t="shared" si="658"/>
        <v>1</v>
      </c>
      <c r="AJ493" s="228">
        <f t="shared" si="659"/>
        <v>0</v>
      </c>
      <c r="AK493" s="228">
        <v>0</v>
      </c>
      <c r="AL493" s="228">
        <v>0</v>
      </c>
      <c r="AM493" s="228">
        <f t="shared" si="635"/>
        <v>-100</v>
      </c>
      <c r="AN493" s="228" cm="1">
        <f t="array" ref="AN493">IF(ISBLANK(G493), 1, IFERROR(MATCH(G493, INDEX(Kat,,1), 0), IFERROR(MATCH(Kat, INDEX(Use,,2), 0), MATCH(Kat, INDEX(Use,,3), 0))))</f>
        <v>1</v>
      </c>
      <c r="AO493" s="246"/>
      <c r="AP493" s="228" cm="1">
        <f t="array" ref="AP493">IF(W493&gt;0, INDEX(Kat, AN493,4), 0)</f>
        <v>0</v>
      </c>
      <c r="AQ493" s="228">
        <f t="shared" si="660"/>
        <v>0</v>
      </c>
      <c r="AR493" s="228" cm="1">
        <f t="array" ref="AR493">IF(X493&gt;0, INDEX(Kat, $AN493, 4+AQ493), 0)</f>
        <v>0</v>
      </c>
      <c r="AS493" s="228" cm="1">
        <f t="array" ref="AS493">IF(X493&gt;0, INDEX(Kat, $AN493, 9+AQ493), 0)</f>
        <v>0</v>
      </c>
      <c r="AT493" s="246"/>
      <c r="AU493" s="262"/>
      <c r="AV493" s="262"/>
      <c r="AW493" s="263"/>
      <c r="AX493" s="263"/>
      <c r="AY493" s="263"/>
      <c r="AZ493" s="263"/>
      <c r="BA493" s="263"/>
      <c r="BB493" s="263"/>
      <c r="BC493" s="263"/>
      <c r="BD493" s="263"/>
      <c r="BE493" s="263"/>
      <c r="BF493" s="263"/>
      <c r="BG493" s="263"/>
      <c r="BH493" s="246"/>
      <c r="BI493" s="228" cm="1">
        <f t="array" ref="BI493">INDEX(Use, $AH493, 4)</f>
        <v>7</v>
      </c>
      <c r="BJ493" s="228">
        <f t="shared" si="636"/>
        <v>32</v>
      </c>
      <c r="BK493" s="228">
        <f t="shared" si="662"/>
        <v>13</v>
      </c>
      <c r="BL493" s="228">
        <f t="shared" si="663"/>
        <v>0</v>
      </c>
      <c r="BM493" s="233" cm="1">
        <f t="array" ref="BM493">L493/IF($M493&gt;0, INDEX($AY$22:$BE$76, $M493+20, $AH493), 1)</f>
        <v>0</v>
      </c>
      <c r="BN493" s="229">
        <f t="shared" si="637"/>
        <v>0</v>
      </c>
      <c r="BO493" s="228">
        <v>35</v>
      </c>
      <c r="BP493" s="229">
        <f t="shared" si="638"/>
        <v>48</v>
      </c>
      <c r="BQ493" s="234">
        <f t="shared" si="639"/>
        <v>3.0748170731707316</v>
      </c>
      <c r="BR493" s="234" cm="1">
        <f t="array" ref="BR493">$BM493 * SUMPRODUCT(INDEX($AV$76:$AX$81,,$AI493),INDEX($AY$76:$BE$81,,$AH493), N($AU$76:$AU$81&gt;$AM493)) / BQ493 / 1000</f>
        <v>0</v>
      </c>
      <c r="BS493" s="231">
        <f t="shared" si="664"/>
        <v>30</v>
      </c>
      <c r="BT493" s="229">
        <f t="shared" si="640"/>
        <v>43</v>
      </c>
      <c r="BU493" s="234">
        <f t="shared" si="641"/>
        <v>3.5018750000000001</v>
      </c>
      <c r="BV493" s="234" cm="1">
        <f t="array" ref="BV493">$BM493 * IF($AH493&lt;=2,
SUMPRODUCT(INDEX($AV$71:$AX$75,,$AI493), INDEX($AY$71:$BE$75,,$AH493), 1 / ($BF$71:$BF$75*BU493 + (1-$BF$71:$BF$75)*BQ493), N($AU$71:$AU$75&gt;$AM493)),
SUMPRODUCT(INDEX($AV$66:$AX$75,,$AI493), INDEX($AY$66:$BE$75,,$AH493), 1 / ($BG$66:$BG$75*BU493 + (1-$BG$66:$BG$75)*BQ493), N($AU$66:$AU$75&gt;$AM493))
) / 1000</f>
        <v>0</v>
      </c>
      <c r="BW493" s="231">
        <f t="shared" si="665"/>
        <v>25</v>
      </c>
      <c r="BX493" s="229">
        <f t="shared" si="642"/>
        <v>38</v>
      </c>
      <c r="BY493" s="234">
        <f t="shared" si="643"/>
        <v>4.0666935483870965</v>
      </c>
      <c r="BZ493" s="234" cm="1">
        <f t="array" ref="BZ493">$BM493 * IF($AH493&lt;=2,
SUMPRODUCT(INDEX($AV$66:$AX$70,,$AI493), INDEX($AY$66:$BE$70,,$AH493), 1 / ($BF$66:$BF$70*BY493 + (1-$BF$66:$BF$70)*BU493), N($AU$66:$AU$70&gt;$AM493)),
SUMPRODUCT(INDEX($AV$56:$AX$65,,$AI493), INDEX($AY$56:$BE$65,,$AH493), 1 / ($BG$56:$BG$65*BY493 + (1-$BG$56:$BG$65)*BU493), N($AU$56:$AU$65&gt;$AM493))
) / 1000</f>
        <v>0</v>
      </c>
      <c r="CA493" s="231">
        <f t="shared" si="666"/>
        <v>20</v>
      </c>
      <c r="CB493" s="229">
        <f t="shared" si="644"/>
        <v>33</v>
      </c>
      <c r="CC493" s="234">
        <f t="shared" si="645"/>
        <v>4.8487499999999999</v>
      </c>
      <c r="CD493" s="234" cm="1">
        <f t="array" ref="CD493">$BM493 * IF($AH493&lt;=2,
SUMPRODUCT(INDEX($AV$61:$AX$65,,$AI493), INDEX($AY$61:$BE$65,,$AH493), 1 / ($BF$61:$BF$65*CC493 + (1-$BF$61:$BF$65)*BY493), N($AU$61:$AU$65&gt;$AM493)),
SUMPRODUCT(INDEX($AV$46:$AX$55,,$AI493), INDEX($AY$46:$BE$55,,$AH493), 1 / ($BG$46:$BG$55*CC493 + (1-$BG$46:$BG$55)*BY493), N($AU$46:$AU$55&gt;$AM493))
) / 1000</f>
        <v>0</v>
      </c>
      <c r="CE493" s="234" cm="1">
        <f t="array" ref="CE493">$BM493 * IF($AH493&lt;=2,
SUMPRODUCT(INDEX($AV$22:$AX$60,,$AI493), INDEX($AY$22:$BE$60,,$AH493), 1 / ($BF$22:$BF$60*CC493), N($AU$22:$AU$60&gt;$AM493)),
SUMPRODUCT(INDEX($AV$22:$AX$45,,$AI493), INDEX($AY$22:$BE$45,,$AH493), 1 / ($BG$22:$BG$45*CC493), N($AU$22:$AU$45&gt;$AM493))
) / 1000</f>
        <v>0</v>
      </c>
      <c r="CF493" s="229">
        <f t="shared" si="646"/>
        <v>0</v>
      </c>
      <c r="CG493" s="246"/>
      <c r="CH493" s="229">
        <f t="shared" si="647"/>
        <v>0</v>
      </c>
      <c r="CI493" s="228">
        <v>35</v>
      </c>
      <c r="CJ493" s="229">
        <f t="shared" si="648"/>
        <v>48</v>
      </c>
      <c r="CK493" s="234">
        <f t="shared" si="649"/>
        <v>3.0748170731707316</v>
      </c>
      <c r="CL493" s="234" cm="1">
        <f t="array" ref="CL493">$BM493 * SUMPRODUCT(INDEX($AV$76:$AX$81,,$AI493),INDEX($AY$76:$BE$81,,$AH493), N($AU$76:$AU$81&gt;$AM493)) / CK493 / 1000</f>
        <v>0</v>
      </c>
      <c r="CM493" s="231">
        <f t="shared" si="667"/>
        <v>30</v>
      </c>
      <c r="CN493" s="229">
        <f t="shared" si="650"/>
        <v>43</v>
      </c>
      <c r="CO493" s="234">
        <f t="shared" si="651"/>
        <v>3.5018750000000001</v>
      </c>
      <c r="CP493" s="234" cm="1">
        <f t="array" ref="CP493">$BM493 * IF($AH493&lt;=2,
SUMPRODUCT(INDEX($AV$71:$AX$75,,$AI493), INDEX($AY$71:$BE$75,,$AH493), 1 / ($BF$71:$BF$75*CO493 + (1-$BF$71:$BF$75)*CK493), N($AU$71:$AU$75&gt;$AM493)),
SUMPRODUCT(INDEX($AV$66:$AX$75,,$AI493), INDEX($AY$66:$BE$75,,$AH493), 1 / ($BG$66:$BG$75*CO493 + (1-$BG$66:$BG$75)*CK493), N($AU$66:$AU$75&gt;$AM493))
) / 1000</f>
        <v>0</v>
      </c>
      <c r="CQ493" s="231">
        <f t="shared" si="668"/>
        <v>25</v>
      </c>
      <c r="CR493" s="229">
        <f t="shared" si="652"/>
        <v>38</v>
      </c>
      <c r="CS493" s="234">
        <f t="shared" si="653"/>
        <v>4.0666935483870965</v>
      </c>
      <c r="CT493" s="234" cm="1">
        <f t="array" ref="CT493">$BM493 * IF($AH493&lt;=2,
SUMPRODUCT(INDEX($AV$66:$AX$70,,$AI493), INDEX($AY$66:$BE$70,,$AH493), 1 / ($BF$66:$BF$70*CS493 + (1-$BF$66:$BF$70)*CO493), N($AU$66:$AU$70&gt;$AM493)),
SUMPRODUCT(INDEX($AV$56:$AX$65,,$AI493), INDEX($AY$56:$BE$65,,$AH493), 1 / ($BG$56:$BG$65*CS493 + (1-$BG$56:$BG$65)*CO493), N($AU$56:$AU$65&gt;$AM493))
) / 1000</f>
        <v>0</v>
      </c>
      <c r="CU493" s="231">
        <f t="shared" si="669"/>
        <v>20</v>
      </c>
      <c r="CV493" s="229">
        <f t="shared" si="654"/>
        <v>33</v>
      </c>
      <c r="CW493" s="234">
        <f t="shared" si="655"/>
        <v>4.8487499999999999</v>
      </c>
      <c r="CX493" s="234" cm="1">
        <f t="array" ref="CX493">$BM493 * IF($AH493&lt;=2,
SUMPRODUCT(INDEX($AV$61:$AX$65,,$AI493), INDEX($AY$61:$BE$65,,$AH493), 1 / ($BF$61:$BF$65*CW493 + (1-$BF$61:$BF$65)*CS493), N($AU$61:$AU$65&gt;$AM493)),
SUMPRODUCT(INDEX($AV$46:$AX$55,,$AI493), INDEX($AY$46:$BE$55,,$AH493), 1 / ($BG$46:$BG$55*CW493 + (1-$BG$46:$BG$55)*CS493), N($AU$46:$AU$55&gt;$AM493))
) / 1000</f>
        <v>0</v>
      </c>
      <c r="CY493" s="234" cm="1">
        <f t="array" ref="CY493">$BM493 * IF($AH493&lt;=2,
SUMPRODUCT(INDEX($AV$22:$AX$60,,$AI493), INDEX($AY$22:$BE$60,,$AH493), 1 / ($BF$22:$BF$60*CW493), N($AU$22:$AU$60&gt;$AM493)),
SUMPRODUCT(INDEX($AV$22:$AX$45,,$AI493), INDEX($AY$22:$BE$45,,$AH493), 1 / ($BG$22:$BG$45*CW493), N($AU$22:$AU$45&gt;$AM493))
) / 1000</f>
        <v>0</v>
      </c>
      <c r="CZ493" s="229">
        <f t="shared" si="656"/>
        <v>0</v>
      </c>
      <c r="DA493" s="246"/>
    </row>
    <row r="494" spans="1:105" s="75" customFormat="1" ht="14.25" customHeight="1" x14ac:dyDescent="0.2">
      <c r="A494" s="230" t="b">
        <f t="shared" si="661"/>
        <v>0</v>
      </c>
      <c r="B494" s="253">
        <v>473</v>
      </c>
      <c r="C494" s="266"/>
      <c r="D494" s="266"/>
      <c r="E494" s="254"/>
      <c r="F494" s="255" t="str">
        <f>IF(ISBLANK(E494), "", VLOOKUP(E494, Z!$A$2:$C$4127, 3, FALSE))</f>
        <v/>
      </c>
      <c r="G494" s="256"/>
      <c r="H494" s="256"/>
      <c r="I494" s="256"/>
      <c r="J494" s="257"/>
      <c r="K494" s="258"/>
      <c r="L494" s="267"/>
      <c r="M494" s="268"/>
      <c r="N494" s="259" t="str" cm="1">
        <f t="array" ref="N494">IF($L494&gt;0, INDEX(Clean,1+AK494,$D$1), "")</f>
        <v/>
      </c>
      <c r="O494" s="260"/>
      <c r="P494" s="260"/>
      <c r="Q494" s="261"/>
      <c r="R494" s="264">
        <f t="shared" si="632"/>
        <v>0</v>
      </c>
      <c r="S494" s="259" t="str" cm="1">
        <f t="array" ref="S494">IF($L494&gt;0, INDEX(Clean,1+AL494,$D$1), "")</f>
        <v/>
      </c>
      <c r="T494" s="260"/>
      <c r="U494" s="260"/>
      <c r="V494" s="261"/>
      <c r="W494" s="267"/>
      <c r="X494" s="267"/>
      <c r="Y494" s="257"/>
      <c r="Z494" s="264">
        <f t="shared" si="633"/>
        <v>0</v>
      </c>
      <c r="AA494" s="269"/>
      <c r="AB494" s="266"/>
      <c r="AC494" s="254"/>
      <c r="AD494" s="255" t="str">
        <f>IF(ISBLANK(AC494), "", VLOOKUP(AC494, Z!$A$2:$C$4127, 3, FALSE))</f>
        <v/>
      </c>
      <c r="AE494" s="270"/>
      <c r="AF494" s="265">
        <f t="shared" si="634"/>
        <v>0</v>
      </c>
      <c r="AG494" s="246"/>
      <c r="AH494" s="228">
        <f t="shared" si="657"/>
        <v>1</v>
      </c>
      <c r="AI494" s="228">
        <f t="shared" si="658"/>
        <v>1</v>
      </c>
      <c r="AJ494" s="228">
        <f t="shared" si="659"/>
        <v>0</v>
      </c>
      <c r="AK494" s="228">
        <v>0</v>
      </c>
      <c r="AL494" s="228">
        <v>0</v>
      </c>
      <c r="AM494" s="228">
        <f t="shared" si="635"/>
        <v>-100</v>
      </c>
      <c r="AN494" s="228" cm="1">
        <f t="array" ref="AN494">IF(ISBLANK(G494), 1, IFERROR(MATCH(G494, INDEX(Kat,,1), 0), IFERROR(MATCH(Kat, INDEX(Use,,2), 0), MATCH(Kat, INDEX(Use,,3), 0))))</f>
        <v>1</v>
      </c>
      <c r="AO494" s="246"/>
      <c r="AP494" s="228" cm="1">
        <f t="array" ref="AP494">IF(W494&gt;0, INDEX(Kat, AN494,4), 0)</f>
        <v>0</v>
      </c>
      <c r="AQ494" s="228">
        <f t="shared" si="660"/>
        <v>0</v>
      </c>
      <c r="AR494" s="228" cm="1">
        <f t="array" ref="AR494">IF(X494&gt;0, INDEX(Kat, $AN494, 4+AQ494), 0)</f>
        <v>0</v>
      </c>
      <c r="AS494" s="228" cm="1">
        <f t="array" ref="AS494">IF(X494&gt;0, INDEX(Kat, $AN494, 9+AQ494), 0)</f>
        <v>0</v>
      </c>
      <c r="AT494" s="246"/>
      <c r="AU494" s="262"/>
      <c r="AV494" s="262"/>
      <c r="AW494" s="263"/>
      <c r="AX494" s="263"/>
      <c r="AY494" s="263"/>
      <c r="AZ494" s="263"/>
      <c r="BA494" s="263"/>
      <c r="BB494" s="263"/>
      <c r="BC494" s="263"/>
      <c r="BD494" s="263"/>
      <c r="BE494" s="263"/>
      <c r="BF494" s="263"/>
      <c r="BG494" s="263"/>
      <c r="BH494" s="246"/>
      <c r="BI494" s="228" cm="1">
        <f t="array" ref="BI494">INDEX(Use, $AH494, 4)</f>
        <v>7</v>
      </c>
      <c r="BJ494" s="228">
        <f t="shared" si="636"/>
        <v>32</v>
      </c>
      <c r="BK494" s="228">
        <f t="shared" si="662"/>
        <v>13</v>
      </c>
      <c r="BL494" s="228">
        <f t="shared" si="663"/>
        <v>0</v>
      </c>
      <c r="BM494" s="233" cm="1">
        <f t="array" ref="BM494">L494/IF($M494&gt;0, INDEX($AY$22:$BE$76, $M494+20, $AH494), 1)</f>
        <v>0</v>
      </c>
      <c r="BN494" s="229">
        <f t="shared" si="637"/>
        <v>0</v>
      </c>
      <c r="BO494" s="228">
        <v>35</v>
      </c>
      <c r="BP494" s="229">
        <f t="shared" si="638"/>
        <v>48</v>
      </c>
      <c r="BQ494" s="234">
        <f t="shared" si="639"/>
        <v>3.0748170731707316</v>
      </c>
      <c r="BR494" s="234" cm="1">
        <f t="array" ref="BR494">$BM494 * SUMPRODUCT(INDEX($AV$76:$AX$81,,$AI494),INDEX($AY$76:$BE$81,,$AH494), N($AU$76:$AU$81&gt;$AM494)) / BQ494 / 1000</f>
        <v>0</v>
      </c>
      <c r="BS494" s="231">
        <f t="shared" si="664"/>
        <v>30</v>
      </c>
      <c r="BT494" s="229">
        <f t="shared" si="640"/>
        <v>43</v>
      </c>
      <c r="BU494" s="234">
        <f t="shared" si="641"/>
        <v>3.5018750000000001</v>
      </c>
      <c r="BV494" s="234" cm="1">
        <f t="array" ref="BV494">$BM494 * IF($AH494&lt;=2,
SUMPRODUCT(INDEX($AV$71:$AX$75,,$AI494), INDEX($AY$71:$BE$75,,$AH494), 1 / ($BF$71:$BF$75*BU494 + (1-$BF$71:$BF$75)*BQ494), N($AU$71:$AU$75&gt;$AM494)),
SUMPRODUCT(INDEX($AV$66:$AX$75,,$AI494), INDEX($AY$66:$BE$75,,$AH494), 1 / ($BG$66:$BG$75*BU494 + (1-$BG$66:$BG$75)*BQ494), N($AU$66:$AU$75&gt;$AM494))
) / 1000</f>
        <v>0</v>
      </c>
      <c r="BW494" s="231">
        <f t="shared" si="665"/>
        <v>25</v>
      </c>
      <c r="BX494" s="229">
        <f t="shared" si="642"/>
        <v>38</v>
      </c>
      <c r="BY494" s="234">
        <f t="shared" si="643"/>
        <v>4.0666935483870965</v>
      </c>
      <c r="BZ494" s="234" cm="1">
        <f t="array" ref="BZ494">$BM494 * IF($AH494&lt;=2,
SUMPRODUCT(INDEX($AV$66:$AX$70,,$AI494), INDEX($AY$66:$BE$70,,$AH494), 1 / ($BF$66:$BF$70*BY494 + (1-$BF$66:$BF$70)*BU494), N($AU$66:$AU$70&gt;$AM494)),
SUMPRODUCT(INDEX($AV$56:$AX$65,,$AI494), INDEX($AY$56:$BE$65,,$AH494), 1 / ($BG$56:$BG$65*BY494 + (1-$BG$56:$BG$65)*BU494), N($AU$56:$AU$65&gt;$AM494))
) / 1000</f>
        <v>0</v>
      </c>
      <c r="CA494" s="231">
        <f t="shared" si="666"/>
        <v>20</v>
      </c>
      <c r="CB494" s="229">
        <f t="shared" si="644"/>
        <v>33</v>
      </c>
      <c r="CC494" s="234">
        <f t="shared" si="645"/>
        <v>4.8487499999999999</v>
      </c>
      <c r="CD494" s="234" cm="1">
        <f t="array" ref="CD494">$BM494 * IF($AH494&lt;=2,
SUMPRODUCT(INDEX($AV$61:$AX$65,,$AI494), INDEX($AY$61:$BE$65,,$AH494), 1 / ($BF$61:$BF$65*CC494 + (1-$BF$61:$BF$65)*BY494), N($AU$61:$AU$65&gt;$AM494)),
SUMPRODUCT(INDEX($AV$46:$AX$55,,$AI494), INDEX($AY$46:$BE$55,,$AH494), 1 / ($BG$46:$BG$55*CC494 + (1-$BG$46:$BG$55)*BY494), N($AU$46:$AU$55&gt;$AM494))
) / 1000</f>
        <v>0</v>
      </c>
      <c r="CE494" s="234" cm="1">
        <f t="array" ref="CE494">$BM494 * IF($AH494&lt;=2,
SUMPRODUCT(INDEX($AV$22:$AX$60,,$AI494), INDEX($AY$22:$BE$60,,$AH494), 1 / ($BF$22:$BF$60*CC494), N($AU$22:$AU$60&gt;$AM494)),
SUMPRODUCT(INDEX($AV$22:$AX$45,,$AI494), INDEX($AY$22:$BE$45,,$AH494), 1 / ($BG$22:$BG$45*CC494), N($AU$22:$AU$45&gt;$AM494))
) / 1000</f>
        <v>0</v>
      </c>
      <c r="CF494" s="229">
        <f t="shared" si="646"/>
        <v>0</v>
      </c>
      <c r="CG494" s="246"/>
      <c r="CH494" s="229">
        <f t="shared" si="647"/>
        <v>0</v>
      </c>
      <c r="CI494" s="228">
        <v>35</v>
      </c>
      <c r="CJ494" s="229">
        <f t="shared" si="648"/>
        <v>48</v>
      </c>
      <c r="CK494" s="234">
        <f t="shared" si="649"/>
        <v>3.0748170731707316</v>
      </c>
      <c r="CL494" s="234" cm="1">
        <f t="array" ref="CL494">$BM494 * SUMPRODUCT(INDEX($AV$76:$AX$81,,$AI494),INDEX($AY$76:$BE$81,,$AH494), N($AU$76:$AU$81&gt;$AM494)) / CK494 / 1000</f>
        <v>0</v>
      </c>
      <c r="CM494" s="231">
        <f t="shared" si="667"/>
        <v>30</v>
      </c>
      <c r="CN494" s="229">
        <f t="shared" si="650"/>
        <v>43</v>
      </c>
      <c r="CO494" s="234">
        <f t="shared" si="651"/>
        <v>3.5018750000000001</v>
      </c>
      <c r="CP494" s="234" cm="1">
        <f t="array" ref="CP494">$BM494 * IF($AH494&lt;=2,
SUMPRODUCT(INDEX($AV$71:$AX$75,,$AI494), INDEX($AY$71:$BE$75,,$AH494), 1 / ($BF$71:$BF$75*CO494 + (1-$BF$71:$BF$75)*CK494), N($AU$71:$AU$75&gt;$AM494)),
SUMPRODUCT(INDEX($AV$66:$AX$75,,$AI494), INDEX($AY$66:$BE$75,,$AH494), 1 / ($BG$66:$BG$75*CO494 + (1-$BG$66:$BG$75)*CK494), N($AU$66:$AU$75&gt;$AM494))
) / 1000</f>
        <v>0</v>
      </c>
      <c r="CQ494" s="231">
        <f t="shared" si="668"/>
        <v>25</v>
      </c>
      <c r="CR494" s="229">
        <f t="shared" si="652"/>
        <v>38</v>
      </c>
      <c r="CS494" s="234">
        <f t="shared" si="653"/>
        <v>4.0666935483870965</v>
      </c>
      <c r="CT494" s="234" cm="1">
        <f t="array" ref="CT494">$BM494 * IF($AH494&lt;=2,
SUMPRODUCT(INDEX($AV$66:$AX$70,,$AI494), INDEX($AY$66:$BE$70,,$AH494), 1 / ($BF$66:$BF$70*CS494 + (1-$BF$66:$BF$70)*CO494), N($AU$66:$AU$70&gt;$AM494)),
SUMPRODUCT(INDEX($AV$56:$AX$65,,$AI494), INDEX($AY$56:$BE$65,,$AH494), 1 / ($BG$56:$BG$65*CS494 + (1-$BG$56:$BG$65)*CO494), N($AU$56:$AU$65&gt;$AM494))
) / 1000</f>
        <v>0</v>
      </c>
      <c r="CU494" s="231">
        <f t="shared" si="669"/>
        <v>20</v>
      </c>
      <c r="CV494" s="229">
        <f t="shared" si="654"/>
        <v>33</v>
      </c>
      <c r="CW494" s="234">
        <f t="shared" si="655"/>
        <v>4.8487499999999999</v>
      </c>
      <c r="CX494" s="234" cm="1">
        <f t="array" ref="CX494">$BM494 * IF($AH494&lt;=2,
SUMPRODUCT(INDEX($AV$61:$AX$65,,$AI494), INDEX($AY$61:$BE$65,,$AH494), 1 / ($BF$61:$BF$65*CW494 + (1-$BF$61:$BF$65)*CS494), N($AU$61:$AU$65&gt;$AM494)),
SUMPRODUCT(INDEX($AV$46:$AX$55,,$AI494), INDEX($AY$46:$BE$55,,$AH494), 1 / ($BG$46:$BG$55*CW494 + (1-$BG$46:$BG$55)*CS494), N($AU$46:$AU$55&gt;$AM494))
) / 1000</f>
        <v>0</v>
      </c>
      <c r="CY494" s="234" cm="1">
        <f t="array" ref="CY494">$BM494 * IF($AH494&lt;=2,
SUMPRODUCT(INDEX($AV$22:$AX$60,,$AI494), INDEX($AY$22:$BE$60,,$AH494), 1 / ($BF$22:$BF$60*CW494), N($AU$22:$AU$60&gt;$AM494)),
SUMPRODUCT(INDEX($AV$22:$AX$45,,$AI494), INDEX($AY$22:$BE$45,,$AH494), 1 / ($BG$22:$BG$45*CW494), N($AU$22:$AU$45&gt;$AM494))
) / 1000</f>
        <v>0</v>
      </c>
      <c r="CZ494" s="229">
        <f t="shared" si="656"/>
        <v>0</v>
      </c>
      <c r="DA494" s="246"/>
    </row>
    <row r="495" spans="1:105" s="75" customFormat="1" ht="14.25" customHeight="1" x14ac:dyDescent="0.2">
      <c r="A495" s="230" t="b">
        <f t="shared" si="661"/>
        <v>0</v>
      </c>
      <c r="B495" s="253">
        <v>474</v>
      </c>
      <c r="C495" s="266"/>
      <c r="D495" s="266"/>
      <c r="E495" s="254"/>
      <c r="F495" s="255" t="str">
        <f>IF(ISBLANK(E495), "", VLOOKUP(E495, Z!$A$2:$C$4127, 3, FALSE))</f>
        <v/>
      </c>
      <c r="G495" s="256"/>
      <c r="H495" s="256"/>
      <c r="I495" s="256"/>
      <c r="J495" s="257"/>
      <c r="K495" s="258"/>
      <c r="L495" s="267"/>
      <c r="M495" s="268"/>
      <c r="N495" s="259" t="str" cm="1">
        <f t="array" ref="N495">IF($L495&gt;0, INDEX(Clean,1+AK495,$D$1), "")</f>
        <v/>
      </c>
      <c r="O495" s="260"/>
      <c r="P495" s="260"/>
      <c r="Q495" s="261"/>
      <c r="R495" s="264">
        <f t="shared" si="632"/>
        <v>0</v>
      </c>
      <c r="S495" s="259" t="str" cm="1">
        <f t="array" ref="S495">IF($L495&gt;0, INDEX(Clean,1+AL495,$D$1), "")</f>
        <v/>
      </c>
      <c r="T495" s="260"/>
      <c r="U495" s="260"/>
      <c r="V495" s="261"/>
      <c r="W495" s="267"/>
      <c r="X495" s="267"/>
      <c r="Y495" s="257"/>
      <c r="Z495" s="264">
        <f t="shared" si="633"/>
        <v>0</v>
      </c>
      <c r="AA495" s="269"/>
      <c r="AB495" s="266"/>
      <c r="AC495" s="254"/>
      <c r="AD495" s="255" t="str">
        <f>IF(ISBLANK(AC495), "", VLOOKUP(AC495, Z!$A$2:$C$4127, 3, FALSE))</f>
        <v/>
      </c>
      <c r="AE495" s="270"/>
      <c r="AF495" s="265">
        <f t="shared" si="634"/>
        <v>0</v>
      </c>
      <c r="AG495" s="246"/>
      <c r="AH495" s="228">
        <f t="shared" si="657"/>
        <v>1</v>
      </c>
      <c r="AI495" s="228">
        <f t="shared" si="658"/>
        <v>1</v>
      </c>
      <c r="AJ495" s="228">
        <f t="shared" si="659"/>
        <v>0</v>
      </c>
      <c r="AK495" s="228">
        <v>0</v>
      </c>
      <c r="AL495" s="228">
        <v>0</v>
      </c>
      <c r="AM495" s="228">
        <f t="shared" si="635"/>
        <v>-100</v>
      </c>
      <c r="AN495" s="228" cm="1">
        <f t="array" ref="AN495">IF(ISBLANK(G495), 1, IFERROR(MATCH(G495, INDEX(Kat,,1), 0), IFERROR(MATCH(Kat, INDEX(Use,,2), 0), MATCH(Kat, INDEX(Use,,3), 0))))</f>
        <v>1</v>
      </c>
      <c r="AO495" s="246"/>
      <c r="AP495" s="228" cm="1">
        <f t="array" ref="AP495">IF(W495&gt;0, INDEX(Kat, AN495,4), 0)</f>
        <v>0</v>
      </c>
      <c r="AQ495" s="228">
        <f t="shared" si="660"/>
        <v>0</v>
      </c>
      <c r="AR495" s="228" cm="1">
        <f t="array" ref="AR495">IF(X495&gt;0, INDEX(Kat, $AN495, 4+AQ495), 0)</f>
        <v>0</v>
      </c>
      <c r="AS495" s="228" cm="1">
        <f t="array" ref="AS495">IF(X495&gt;0, INDEX(Kat, $AN495, 9+AQ495), 0)</f>
        <v>0</v>
      </c>
      <c r="AT495" s="246"/>
      <c r="AU495" s="262"/>
      <c r="AV495" s="262"/>
      <c r="AW495" s="263"/>
      <c r="AX495" s="263"/>
      <c r="AY495" s="263"/>
      <c r="AZ495" s="263"/>
      <c r="BA495" s="263"/>
      <c r="BB495" s="263"/>
      <c r="BC495" s="263"/>
      <c r="BD495" s="263"/>
      <c r="BE495" s="263"/>
      <c r="BF495" s="263"/>
      <c r="BG495" s="263"/>
      <c r="BH495" s="246"/>
      <c r="BI495" s="228" cm="1">
        <f t="array" ref="BI495">INDEX(Use, $AH495, 4)</f>
        <v>7</v>
      </c>
      <c r="BJ495" s="228">
        <f t="shared" si="636"/>
        <v>32</v>
      </c>
      <c r="BK495" s="228">
        <f t="shared" si="662"/>
        <v>13</v>
      </c>
      <c r="BL495" s="228">
        <f t="shared" si="663"/>
        <v>0</v>
      </c>
      <c r="BM495" s="233" cm="1">
        <f t="array" ref="BM495">L495/IF($M495&gt;0, INDEX($AY$22:$BE$76, $M495+20, $AH495), 1)</f>
        <v>0</v>
      </c>
      <c r="BN495" s="229">
        <f t="shared" si="637"/>
        <v>0</v>
      </c>
      <c r="BO495" s="228">
        <v>35</v>
      </c>
      <c r="BP495" s="229">
        <f t="shared" si="638"/>
        <v>48</v>
      </c>
      <c r="BQ495" s="234">
        <f t="shared" si="639"/>
        <v>3.0748170731707316</v>
      </c>
      <c r="BR495" s="234" cm="1">
        <f t="array" ref="BR495">$BM495 * SUMPRODUCT(INDEX($AV$76:$AX$81,,$AI495),INDEX($AY$76:$BE$81,,$AH495), N($AU$76:$AU$81&gt;$AM495)) / BQ495 / 1000</f>
        <v>0</v>
      </c>
      <c r="BS495" s="231">
        <f t="shared" si="664"/>
        <v>30</v>
      </c>
      <c r="BT495" s="229">
        <f t="shared" si="640"/>
        <v>43</v>
      </c>
      <c r="BU495" s="234">
        <f t="shared" si="641"/>
        <v>3.5018750000000001</v>
      </c>
      <c r="BV495" s="234" cm="1">
        <f t="array" ref="BV495">$BM495 * IF($AH495&lt;=2,
SUMPRODUCT(INDEX($AV$71:$AX$75,,$AI495), INDEX($AY$71:$BE$75,,$AH495), 1 / ($BF$71:$BF$75*BU495 + (1-$BF$71:$BF$75)*BQ495), N($AU$71:$AU$75&gt;$AM495)),
SUMPRODUCT(INDEX($AV$66:$AX$75,,$AI495), INDEX($AY$66:$BE$75,,$AH495), 1 / ($BG$66:$BG$75*BU495 + (1-$BG$66:$BG$75)*BQ495), N($AU$66:$AU$75&gt;$AM495))
) / 1000</f>
        <v>0</v>
      </c>
      <c r="BW495" s="231">
        <f t="shared" si="665"/>
        <v>25</v>
      </c>
      <c r="BX495" s="229">
        <f t="shared" si="642"/>
        <v>38</v>
      </c>
      <c r="BY495" s="234">
        <f t="shared" si="643"/>
        <v>4.0666935483870965</v>
      </c>
      <c r="BZ495" s="234" cm="1">
        <f t="array" ref="BZ495">$BM495 * IF($AH495&lt;=2,
SUMPRODUCT(INDEX($AV$66:$AX$70,,$AI495), INDEX($AY$66:$BE$70,,$AH495), 1 / ($BF$66:$BF$70*BY495 + (1-$BF$66:$BF$70)*BU495), N($AU$66:$AU$70&gt;$AM495)),
SUMPRODUCT(INDEX($AV$56:$AX$65,,$AI495), INDEX($AY$56:$BE$65,,$AH495), 1 / ($BG$56:$BG$65*BY495 + (1-$BG$56:$BG$65)*BU495), N($AU$56:$AU$65&gt;$AM495))
) / 1000</f>
        <v>0</v>
      </c>
      <c r="CA495" s="231">
        <f t="shared" si="666"/>
        <v>20</v>
      </c>
      <c r="CB495" s="229">
        <f t="shared" si="644"/>
        <v>33</v>
      </c>
      <c r="CC495" s="234">
        <f t="shared" si="645"/>
        <v>4.8487499999999999</v>
      </c>
      <c r="CD495" s="234" cm="1">
        <f t="array" ref="CD495">$BM495 * IF($AH495&lt;=2,
SUMPRODUCT(INDEX($AV$61:$AX$65,,$AI495), INDEX($AY$61:$BE$65,,$AH495), 1 / ($BF$61:$BF$65*CC495 + (1-$BF$61:$BF$65)*BY495), N($AU$61:$AU$65&gt;$AM495)),
SUMPRODUCT(INDEX($AV$46:$AX$55,,$AI495), INDEX($AY$46:$BE$55,,$AH495), 1 / ($BG$46:$BG$55*CC495 + (1-$BG$46:$BG$55)*BY495), N($AU$46:$AU$55&gt;$AM495))
) / 1000</f>
        <v>0</v>
      </c>
      <c r="CE495" s="234" cm="1">
        <f t="array" ref="CE495">$BM495 * IF($AH495&lt;=2,
SUMPRODUCT(INDEX($AV$22:$AX$60,,$AI495), INDEX($AY$22:$BE$60,,$AH495), 1 / ($BF$22:$BF$60*CC495), N($AU$22:$AU$60&gt;$AM495)),
SUMPRODUCT(INDEX($AV$22:$AX$45,,$AI495), INDEX($AY$22:$BE$45,,$AH495), 1 / ($BG$22:$BG$45*CC495), N($AU$22:$AU$45&gt;$AM495))
) / 1000</f>
        <v>0</v>
      </c>
      <c r="CF495" s="229">
        <f t="shared" si="646"/>
        <v>0</v>
      </c>
      <c r="CG495" s="246"/>
      <c r="CH495" s="229">
        <f t="shared" si="647"/>
        <v>0</v>
      </c>
      <c r="CI495" s="228">
        <v>35</v>
      </c>
      <c r="CJ495" s="229">
        <f t="shared" si="648"/>
        <v>48</v>
      </c>
      <c r="CK495" s="234">
        <f t="shared" si="649"/>
        <v>3.0748170731707316</v>
      </c>
      <c r="CL495" s="234" cm="1">
        <f t="array" ref="CL495">$BM495 * SUMPRODUCT(INDEX($AV$76:$AX$81,,$AI495),INDEX($AY$76:$BE$81,,$AH495), N($AU$76:$AU$81&gt;$AM495)) / CK495 / 1000</f>
        <v>0</v>
      </c>
      <c r="CM495" s="231">
        <f t="shared" si="667"/>
        <v>30</v>
      </c>
      <c r="CN495" s="229">
        <f t="shared" si="650"/>
        <v>43</v>
      </c>
      <c r="CO495" s="234">
        <f t="shared" si="651"/>
        <v>3.5018750000000001</v>
      </c>
      <c r="CP495" s="234" cm="1">
        <f t="array" ref="CP495">$BM495 * IF($AH495&lt;=2,
SUMPRODUCT(INDEX($AV$71:$AX$75,,$AI495), INDEX($AY$71:$BE$75,,$AH495), 1 / ($BF$71:$BF$75*CO495 + (1-$BF$71:$BF$75)*CK495), N($AU$71:$AU$75&gt;$AM495)),
SUMPRODUCT(INDEX($AV$66:$AX$75,,$AI495), INDEX($AY$66:$BE$75,,$AH495), 1 / ($BG$66:$BG$75*CO495 + (1-$BG$66:$BG$75)*CK495), N($AU$66:$AU$75&gt;$AM495))
) / 1000</f>
        <v>0</v>
      </c>
      <c r="CQ495" s="231">
        <f t="shared" si="668"/>
        <v>25</v>
      </c>
      <c r="CR495" s="229">
        <f t="shared" si="652"/>
        <v>38</v>
      </c>
      <c r="CS495" s="234">
        <f t="shared" si="653"/>
        <v>4.0666935483870965</v>
      </c>
      <c r="CT495" s="234" cm="1">
        <f t="array" ref="CT495">$BM495 * IF($AH495&lt;=2,
SUMPRODUCT(INDEX($AV$66:$AX$70,,$AI495), INDEX($AY$66:$BE$70,,$AH495), 1 / ($BF$66:$BF$70*CS495 + (1-$BF$66:$BF$70)*CO495), N($AU$66:$AU$70&gt;$AM495)),
SUMPRODUCT(INDEX($AV$56:$AX$65,,$AI495), INDEX($AY$56:$BE$65,,$AH495), 1 / ($BG$56:$BG$65*CS495 + (1-$BG$56:$BG$65)*CO495), N($AU$56:$AU$65&gt;$AM495))
) / 1000</f>
        <v>0</v>
      </c>
      <c r="CU495" s="231">
        <f t="shared" si="669"/>
        <v>20</v>
      </c>
      <c r="CV495" s="229">
        <f t="shared" si="654"/>
        <v>33</v>
      </c>
      <c r="CW495" s="234">
        <f t="shared" si="655"/>
        <v>4.8487499999999999</v>
      </c>
      <c r="CX495" s="234" cm="1">
        <f t="array" ref="CX495">$BM495 * IF($AH495&lt;=2,
SUMPRODUCT(INDEX($AV$61:$AX$65,,$AI495), INDEX($AY$61:$BE$65,,$AH495), 1 / ($BF$61:$BF$65*CW495 + (1-$BF$61:$BF$65)*CS495), N($AU$61:$AU$65&gt;$AM495)),
SUMPRODUCT(INDEX($AV$46:$AX$55,,$AI495), INDEX($AY$46:$BE$55,,$AH495), 1 / ($BG$46:$BG$55*CW495 + (1-$BG$46:$BG$55)*CS495), N($AU$46:$AU$55&gt;$AM495))
) / 1000</f>
        <v>0</v>
      </c>
      <c r="CY495" s="234" cm="1">
        <f t="array" ref="CY495">$BM495 * IF($AH495&lt;=2,
SUMPRODUCT(INDEX($AV$22:$AX$60,,$AI495), INDEX($AY$22:$BE$60,,$AH495), 1 / ($BF$22:$BF$60*CW495), N($AU$22:$AU$60&gt;$AM495)),
SUMPRODUCT(INDEX($AV$22:$AX$45,,$AI495), INDEX($AY$22:$BE$45,,$AH495), 1 / ($BG$22:$BG$45*CW495), N($AU$22:$AU$45&gt;$AM495))
) / 1000</f>
        <v>0</v>
      </c>
      <c r="CZ495" s="229">
        <f t="shared" si="656"/>
        <v>0</v>
      </c>
      <c r="DA495" s="246"/>
    </row>
    <row r="496" spans="1:105" s="75" customFormat="1" ht="14.25" customHeight="1" x14ac:dyDescent="0.2">
      <c r="A496" s="230" t="b">
        <f t="shared" si="661"/>
        <v>0</v>
      </c>
      <c r="B496" s="253">
        <v>475</v>
      </c>
      <c r="C496" s="266"/>
      <c r="D496" s="266"/>
      <c r="E496" s="254"/>
      <c r="F496" s="255" t="str">
        <f>IF(ISBLANK(E496), "", VLOOKUP(E496, Z!$A$2:$C$4127, 3, FALSE))</f>
        <v/>
      </c>
      <c r="G496" s="256"/>
      <c r="H496" s="256"/>
      <c r="I496" s="256"/>
      <c r="J496" s="257"/>
      <c r="K496" s="258"/>
      <c r="L496" s="267"/>
      <c r="M496" s="268"/>
      <c r="N496" s="259" t="str" cm="1">
        <f t="array" ref="N496">IF($L496&gt;0, INDEX(Clean,1+AK496,$D$1), "")</f>
        <v/>
      </c>
      <c r="O496" s="260"/>
      <c r="P496" s="260"/>
      <c r="Q496" s="261"/>
      <c r="R496" s="264">
        <f t="shared" si="632"/>
        <v>0</v>
      </c>
      <c r="S496" s="259" t="str" cm="1">
        <f t="array" ref="S496">IF($L496&gt;0, INDEX(Clean,1+AL496,$D$1), "")</f>
        <v/>
      </c>
      <c r="T496" s="260"/>
      <c r="U496" s="260"/>
      <c r="V496" s="261"/>
      <c r="W496" s="267"/>
      <c r="X496" s="267"/>
      <c r="Y496" s="257"/>
      <c r="Z496" s="264">
        <f t="shared" si="633"/>
        <v>0</v>
      </c>
      <c r="AA496" s="269"/>
      <c r="AB496" s="266"/>
      <c r="AC496" s="254"/>
      <c r="AD496" s="255" t="str">
        <f>IF(ISBLANK(AC496), "", VLOOKUP(AC496, Z!$A$2:$C$4127, 3, FALSE))</f>
        <v/>
      </c>
      <c r="AE496" s="270"/>
      <c r="AF496" s="265">
        <f t="shared" si="634"/>
        <v>0</v>
      </c>
      <c r="AG496" s="246"/>
      <c r="AH496" s="228">
        <f t="shared" si="657"/>
        <v>1</v>
      </c>
      <c r="AI496" s="228">
        <f t="shared" si="658"/>
        <v>1</v>
      </c>
      <c r="AJ496" s="228">
        <f t="shared" si="659"/>
        <v>0</v>
      </c>
      <c r="AK496" s="228">
        <v>0</v>
      </c>
      <c r="AL496" s="228">
        <v>0</v>
      </c>
      <c r="AM496" s="228">
        <f t="shared" si="635"/>
        <v>-100</v>
      </c>
      <c r="AN496" s="228" cm="1">
        <f t="array" ref="AN496">IF(ISBLANK(G496), 1, IFERROR(MATCH(G496, INDEX(Kat,,1), 0), IFERROR(MATCH(Kat, INDEX(Use,,2), 0), MATCH(Kat, INDEX(Use,,3), 0))))</f>
        <v>1</v>
      </c>
      <c r="AO496" s="246"/>
      <c r="AP496" s="228" cm="1">
        <f t="array" ref="AP496">IF(W496&gt;0, INDEX(Kat, AN496,4), 0)</f>
        <v>0</v>
      </c>
      <c r="AQ496" s="228">
        <f t="shared" si="660"/>
        <v>0</v>
      </c>
      <c r="AR496" s="228" cm="1">
        <f t="array" ref="AR496">IF(X496&gt;0, INDEX(Kat, $AN496, 4+AQ496), 0)</f>
        <v>0</v>
      </c>
      <c r="AS496" s="228" cm="1">
        <f t="array" ref="AS496">IF(X496&gt;0, INDEX(Kat, $AN496, 9+AQ496), 0)</f>
        <v>0</v>
      </c>
      <c r="AT496" s="246"/>
      <c r="AU496" s="262"/>
      <c r="AV496" s="262"/>
      <c r="AW496" s="263"/>
      <c r="AX496" s="263"/>
      <c r="AY496" s="263"/>
      <c r="AZ496" s="263"/>
      <c r="BA496" s="263"/>
      <c r="BB496" s="263"/>
      <c r="BC496" s="263"/>
      <c r="BD496" s="263"/>
      <c r="BE496" s="263"/>
      <c r="BF496" s="263"/>
      <c r="BG496" s="263"/>
      <c r="BH496" s="246"/>
      <c r="BI496" s="228" cm="1">
        <f t="array" ref="BI496">INDEX(Use, $AH496, 4)</f>
        <v>7</v>
      </c>
      <c r="BJ496" s="228">
        <f t="shared" si="636"/>
        <v>32</v>
      </c>
      <c r="BK496" s="228">
        <f t="shared" si="662"/>
        <v>13</v>
      </c>
      <c r="BL496" s="228">
        <f t="shared" si="663"/>
        <v>0</v>
      </c>
      <c r="BM496" s="233" cm="1">
        <f t="array" ref="BM496">L496/IF($M496&gt;0, INDEX($AY$22:$BE$76, $M496+20, $AH496), 1)</f>
        <v>0</v>
      </c>
      <c r="BN496" s="229">
        <f t="shared" si="637"/>
        <v>0</v>
      </c>
      <c r="BO496" s="228">
        <v>35</v>
      </c>
      <c r="BP496" s="229">
        <f t="shared" si="638"/>
        <v>48</v>
      </c>
      <c r="BQ496" s="234">
        <f t="shared" si="639"/>
        <v>3.0748170731707316</v>
      </c>
      <c r="BR496" s="234" cm="1">
        <f t="array" ref="BR496">$BM496 * SUMPRODUCT(INDEX($AV$76:$AX$81,,$AI496),INDEX($AY$76:$BE$81,,$AH496), N($AU$76:$AU$81&gt;$AM496)) / BQ496 / 1000</f>
        <v>0</v>
      </c>
      <c r="BS496" s="231">
        <f t="shared" si="664"/>
        <v>30</v>
      </c>
      <c r="BT496" s="229">
        <f t="shared" si="640"/>
        <v>43</v>
      </c>
      <c r="BU496" s="234">
        <f t="shared" si="641"/>
        <v>3.5018750000000001</v>
      </c>
      <c r="BV496" s="234" cm="1">
        <f t="array" ref="BV496">$BM496 * IF($AH496&lt;=2,
SUMPRODUCT(INDEX($AV$71:$AX$75,,$AI496), INDEX($AY$71:$BE$75,,$AH496), 1 / ($BF$71:$BF$75*BU496 + (1-$BF$71:$BF$75)*BQ496), N($AU$71:$AU$75&gt;$AM496)),
SUMPRODUCT(INDEX($AV$66:$AX$75,,$AI496), INDEX($AY$66:$BE$75,,$AH496), 1 / ($BG$66:$BG$75*BU496 + (1-$BG$66:$BG$75)*BQ496), N($AU$66:$AU$75&gt;$AM496))
) / 1000</f>
        <v>0</v>
      </c>
      <c r="BW496" s="231">
        <f t="shared" si="665"/>
        <v>25</v>
      </c>
      <c r="BX496" s="229">
        <f t="shared" si="642"/>
        <v>38</v>
      </c>
      <c r="BY496" s="234">
        <f t="shared" si="643"/>
        <v>4.0666935483870965</v>
      </c>
      <c r="BZ496" s="234" cm="1">
        <f t="array" ref="BZ496">$BM496 * IF($AH496&lt;=2,
SUMPRODUCT(INDEX($AV$66:$AX$70,,$AI496), INDEX($AY$66:$BE$70,,$AH496), 1 / ($BF$66:$BF$70*BY496 + (1-$BF$66:$BF$70)*BU496), N($AU$66:$AU$70&gt;$AM496)),
SUMPRODUCT(INDEX($AV$56:$AX$65,,$AI496), INDEX($AY$56:$BE$65,,$AH496), 1 / ($BG$56:$BG$65*BY496 + (1-$BG$56:$BG$65)*BU496), N($AU$56:$AU$65&gt;$AM496))
) / 1000</f>
        <v>0</v>
      </c>
      <c r="CA496" s="231">
        <f t="shared" si="666"/>
        <v>20</v>
      </c>
      <c r="CB496" s="229">
        <f t="shared" si="644"/>
        <v>33</v>
      </c>
      <c r="CC496" s="234">
        <f t="shared" si="645"/>
        <v>4.8487499999999999</v>
      </c>
      <c r="CD496" s="234" cm="1">
        <f t="array" ref="CD496">$BM496 * IF($AH496&lt;=2,
SUMPRODUCT(INDEX($AV$61:$AX$65,,$AI496), INDEX($AY$61:$BE$65,,$AH496), 1 / ($BF$61:$BF$65*CC496 + (1-$BF$61:$BF$65)*BY496), N($AU$61:$AU$65&gt;$AM496)),
SUMPRODUCT(INDEX($AV$46:$AX$55,,$AI496), INDEX($AY$46:$BE$55,,$AH496), 1 / ($BG$46:$BG$55*CC496 + (1-$BG$46:$BG$55)*BY496), N($AU$46:$AU$55&gt;$AM496))
) / 1000</f>
        <v>0</v>
      </c>
      <c r="CE496" s="234" cm="1">
        <f t="array" ref="CE496">$BM496 * IF($AH496&lt;=2,
SUMPRODUCT(INDEX($AV$22:$AX$60,,$AI496), INDEX($AY$22:$BE$60,,$AH496), 1 / ($BF$22:$BF$60*CC496), N($AU$22:$AU$60&gt;$AM496)),
SUMPRODUCT(INDEX($AV$22:$AX$45,,$AI496), INDEX($AY$22:$BE$45,,$AH496), 1 / ($BG$22:$BG$45*CC496), N($AU$22:$AU$45&gt;$AM496))
) / 1000</f>
        <v>0</v>
      </c>
      <c r="CF496" s="229">
        <f t="shared" si="646"/>
        <v>0</v>
      </c>
      <c r="CG496" s="246"/>
      <c r="CH496" s="229">
        <f t="shared" si="647"/>
        <v>0</v>
      </c>
      <c r="CI496" s="228">
        <v>35</v>
      </c>
      <c r="CJ496" s="229">
        <f t="shared" si="648"/>
        <v>48</v>
      </c>
      <c r="CK496" s="234">
        <f t="shared" si="649"/>
        <v>3.0748170731707316</v>
      </c>
      <c r="CL496" s="234" cm="1">
        <f t="array" ref="CL496">$BM496 * SUMPRODUCT(INDEX($AV$76:$AX$81,,$AI496),INDEX($AY$76:$BE$81,,$AH496), N($AU$76:$AU$81&gt;$AM496)) / CK496 / 1000</f>
        <v>0</v>
      </c>
      <c r="CM496" s="231">
        <f t="shared" si="667"/>
        <v>30</v>
      </c>
      <c r="CN496" s="229">
        <f t="shared" si="650"/>
        <v>43</v>
      </c>
      <c r="CO496" s="234">
        <f t="shared" si="651"/>
        <v>3.5018750000000001</v>
      </c>
      <c r="CP496" s="234" cm="1">
        <f t="array" ref="CP496">$BM496 * IF($AH496&lt;=2,
SUMPRODUCT(INDEX($AV$71:$AX$75,,$AI496), INDEX($AY$71:$BE$75,,$AH496), 1 / ($BF$71:$BF$75*CO496 + (1-$BF$71:$BF$75)*CK496), N($AU$71:$AU$75&gt;$AM496)),
SUMPRODUCT(INDEX($AV$66:$AX$75,,$AI496), INDEX($AY$66:$BE$75,,$AH496), 1 / ($BG$66:$BG$75*CO496 + (1-$BG$66:$BG$75)*CK496), N($AU$66:$AU$75&gt;$AM496))
) / 1000</f>
        <v>0</v>
      </c>
      <c r="CQ496" s="231">
        <f t="shared" si="668"/>
        <v>25</v>
      </c>
      <c r="CR496" s="229">
        <f t="shared" si="652"/>
        <v>38</v>
      </c>
      <c r="CS496" s="234">
        <f t="shared" si="653"/>
        <v>4.0666935483870965</v>
      </c>
      <c r="CT496" s="234" cm="1">
        <f t="array" ref="CT496">$BM496 * IF($AH496&lt;=2,
SUMPRODUCT(INDEX($AV$66:$AX$70,,$AI496), INDEX($AY$66:$BE$70,,$AH496), 1 / ($BF$66:$BF$70*CS496 + (1-$BF$66:$BF$70)*CO496), N($AU$66:$AU$70&gt;$AM496)),
SUMPRODUCT(INDEX($AV$56:$AX$65,,$AI496), INDEX($AY$56:$BE$65,,$AH496), 1 / ($BG$56:$BG$65*CS496 + (1-$BG$56:$BG$65)*CO496), N($AU$56:$AU$65&gt;$AM496))
) / 1000</f>
        <v>0</v>
      </c>
      <c r="CU496" s="231">
        <f t="shared" si="669"/>
        <v>20</v>
      </c>
      <c r="CV496" s="229">
        <f t="shared" si="654"/>
        <v>33</v>
      </c>
      <c r="CW496" s="234">
        <f t="shared" si="655"/>
        <v>4.8487499999999999</v>
      </c>
      <c r="CX496" s="234" cm="1">
        <f t="array" ref="CX496">$BM496 * IF($AH496&lt;=2,
SUMPRODUCT(INDEX($AV$61:$AX$65,,$AI496), INDEX($AY$61:$BE$65,,$AH496), 1 / ($BF$61:$BF$65*CW496 + (1-$BF$61:$BF$65)*CS496), N($AU$61:$AU$65&gt;$AM496)),
SUMPRODUCT(INDEX($AV$46:$AX$55,,$AI496), INDEX($AY$46:$BE$55,,$AH496), 1 / ($BG$46:$BG$55*CW496 + (1-$BG$46:$BG$55)*CS496), N($AU$46:$AU$55&gt;$AM496))
) / 1000</f>
        <v>0</v>
      </c>
      <c r="CY496" s="234" cm="1">
        <f t="array" ref="CY496">$BM496 * IF($AH496&lt;=2,
SUMPRODUCT(INDEX($AV$22:$AX$60,,$AI496), INDEX($AY$22:$BE$60,,$AH496), 1 / ($BF$22:$BF$60*CW496), N($AU$22:$AU$60&gt;$AM496)),
SUMPRODUCT(INDEX($AV$22:$AX$45,,$AI496), INDEX($AY$22:$BE$45,,$AH496), 1 / ($BG$22:$BG$45*CW496), N($AU$22:$AU$45&gt;$AM496))
) / 1000</f>
        <v>0</v>
      </c>
      <c r="CZ496" s="229">
        <f t="shared" si="656"/>
        <v>0</v>
      </c>
      <c r="DA496" s="246"/>
    </row>
    <row r="497" spans="1:105" s="75" customFormat="1" ht="14.25" customHeight="1" x14ac:dyDescent="0.2">
      <c r="A497" s="230" t="b">
        <f t="shared" si="661"/>
        <v>0</v>
      </c>
      <c r="B497" s="253">
        <v>476</v>
      </c>
      <c r="C497" s="266"/>
      <c r="D497" s="266"/>
      <c r="E497" s="254"/>
      <c r="F497" s="255" t="str">
        <f>IF(ISBLANK(E497), "", VLOOKUP(E497, Z!$A$2:$C$4127, 3, FALSE))</f>
        <v/>
      </c>
      <c r="G497" s="256"/>
      <c r="H497" s="256"/>
      <c r="I497" s="256"/>
      <c r="J497" s="257"/>
      <c r="K497" s="258"/>
      <c r="L497" s="267"/>
      <c r="M497" s="268"/>
      <c r="N497" s="259" t="str" cm="1">
        <f t="array" ref="N497">IF($L497&gt;0, INDEX(Clean,1+AK497,$D$1), "")</f>
        <v/>
      </c>
      <c r="O497" s="260"/>
      <c r="P497" s="260"/>
      <c r="Q497" s="261"/>
      <c r="R497" s="264">
        <f t="shared" si="632"/>
        <v>0</v>
      </c>
      <c r="S497" s="259" t="str" cm="1">
        <f t="array" ref="S497">IF($L497&gt;0, INDEX(Clean,1+AL497,$D$1), "")</f>
        <v/>
      </c>
      <c r="T497" s="260"/>
      <c r="U497" s="260"/>
      <c r="V497" s="261"/>
      <c r="W497" s="267"/>
      <c r="X497" s="267"/>
      <c r="Y497" s="257"/>
      <c r="Z497" s="264">
        <f t="shared" si="633"/>
        <v>0</v>
      </c>
      <c r="AA497" s="269"/>
      <c r="AB497" s="266"/>
      <c r="AC497" s="254"/>
      <c r="AD497" s="255" t="str">
        <f>IF(ISBLANK(AC497), "", VLOOKUP(AC497, Z!$A$2:$C$4127, 3, FALSE))</f>
        <v/>
      </c>
      <c r="AE497" s="270"/>
      <c r="AF497" s="265">
        <f t="shared" si="634"/>
        <v>0</v>
      </c>
      <c r="AG497" s="246"/>
      <c r="AH497" s="228">
        <f t="shared" si="657"/>
        <v>1</v>
      </c>
      <c r="AI497" s="228">
        <f t="shared" si="658"/>
        <v>1</v>
      </c>
      <c r="AJ497" s="228">
        <f t="shared" si="659"/>
        <v>0</v>
      </c>
      <c r="AK497" s="228">
        <v>0</v>
      </c>
      <c r="AL497" s="228">
        <v>0</v>
      </c>
      <c r="AM497" s="228">
        <f t="shared" si="635"/>
        <v>-100</v>
      </c>
      <c r="AN497" s="228" cm="1">
        <f t="array" ref="AN497">IF(ISBLANK(G497), 1, IFERROR(MATCH(G497, INDEX(Kat,,1), 0), IFERROR(MATCH(Kat, INDEX(Use,,2), 0), MATCH(Kat, INDEX(Use,,3), 0))))</f>
        <v>1</v>
      </c>
      <c r="AO497" s="246"/>
      <c r="AP497" s="228" cm="1">
        <f t="array" ref="AP497">IF(W497&gt;0, INDEX(Kat, AN497,4), 0)</f>
        <v>0</v>
      </c>
      <c r="AQ497" s="228">
        <f t="shared" si="660"/>
        <v>0</v>
      </c>
      <c r="AR497" s="228" cm="1">
        <f t="array" ref="AR497">IF(X497&gt;0, INDEX(Kat, $AN497, 4+AQ497), 0)</f>
        <v>0</v>
      </c>
      <c r="AS497" s="228" cm="1">
        <f t="array" ref="AS497">IF(X497&gt;0, INDEX(Kat, $AN497, 9+AQ497), 0)</f>
        <v>0</v>
      </c>
      <c r="AT497" s="246"/>
      <c r="AU497" s="262"/>
      <c r="AV497" s="262"/>
      <c r="AW497" s="263"/>
      <c r="AX497" s="263"/>
      <c r="AY497" s="263"/>
      <c r="AZ497" s="263"/>
      <c r="BA497" s="263"/>
      <c r="BB497" s="263"/>
      <c r="BC497" s="263"/>
      <c r="BD497" s="263"/>
      <c r="BE497" s="263"/>
      <c r="BF497" s="263"/>
      <c r="BG497" s="263"/>
      <c r="BH497" s="246"/>
      <c r="BI497" s="228" cm="1">
        <f t="array" ref="BI497">INDEX(Use, $AH497, 4)</f>
        <v>7</v>
      </c>
      <c r="BJ497" s="228">
        <f t="shared" si="636"/>
        <v>32</v>
      </c>
      <c r="BK497" s="228">
        <f t="shared" si="662"/>
        <v>13</v>
      </c>
      <c r="BL497" s="228">
        <f t="shared" si="663"/>
        <v>0</v>
      </c>
      <c r="BM497" s="233" cm="1">
        <f t="array" ref="BM497">L497/IF($M497&gt;0, INDEX($AY$22:$BE$76, $M497+20, $AH497), 1)</f>
        <v>0</v>
      </c>
      <c r="BN497" s="229">
        <f t="shared" si="637"/>
        <v>0</v>
      </c>
      <c r="BO497" s="228">
        <v>35</v>
      </c>
      <c r="BP497" s="229">
        <f t="shared" si="638"/>
        <v>48</v>
      </c>
      <c r="BQ497" s="234">
        <f t="shared" si="639"/>
        <v>3.0748170731707316</v>
      </c>
      <c r="BR497" s="234" cm="1">
        <f t="array" ref="BR497">$BM497 * SUMPRODUCT(INDEX($AV$76:$AX$81,,$AI497),INDEX($AY$76:$BE$81,,$AH497), N($AU$76:$AU$81&gt;$AM497)) / BQ497 / 1000</f>
        <v>0</v>
      </c>
      <c r="BS497" s="231">
        <f t="shared" si="664"/>
        <v>30</v>
      </c>
      <c r="BT497" s="229">
        <f t="shared" si="640"/>
        <v>43</v>
      </c>
      <c r="BU497" s="234">
        <f t="shared" si="641"/>
        <v>3.5018750000000001</v>
      </c>
      <c r="BV497" s="234" cm="1">
        <f t="array" ref="BV497">$BM497 * IF($AH497&lt;=2,
SUMPRODUCT(INDEX($AV$71:$AX$75,,$AI497), INDEX($AY$71:$BE$75,,$AH497), 1 / ($BF$71:$BF$75*BU497 + (1-$BF$71:$BF$75)*BQ497), N($AU$71:$AU$75&gt;$AM497)),
SUMPRODUCT(INDEX($AV$66:$AX$75,,$AI497), INDEX($AY$66:$BE$75,,$AH497), 1 / ($BG$66:$BG$75*BU497 + (1-$BG$66:$BG$75)*BQ497), N($AU$66:$AU$75&gt;$AM497))
) / 1000</f>
        <v>0</v>
      </c>
      <c r="BW497" s="231">
        <f t="shared" si="665"/>
        <v>25</v>
      </c>
      <c r="BX497" s="229">
        <f t="shared" si="642"/>
        <v>38</v>
      </c>
      <c r="BY497" s="234">
        <f t="shared" si="643"/>
        <v>4.0666935483870965</v>
      </c>
      <c r="BZ497" s="234" cm="1">
        <f t="array" ref="BZ497">$BM497 * IF($AH497&lt;=2,
SUMPRODUCT(INDEX($AV$66:$AX$70,,$AI497), INDEX($AY$66:$BE$70,,$AH497), 1 / ($BF$66:$BF$70*BY497 + (1-$BF$66:$BF$70)*BU497), N($AU$66:$AU$70&gt;$AM497)),
SUMPRODUCT(INDEX($AV$56:$AX$65,,$AI497), INDEX($AY$56:$BE$65,,$AH497), 1 / ($BG$56:$BG$65*BY497 + (1-$BG$56:$BG$65)*BU497), N($AU$56:$AU$65&gt;$AM497))
) / 1000</f>
        <v>0</v>
      </c>
      <c r="CA497" s="231">
        <f t="shared" si="666"/>
        <v>20</v>
      </c>
      <c r="CB497" s="229">
        <f t="shared" si="644"/>
        <v>33</v>
      </c>
      <c r="CC497" s="234">
        <f t="shared" si="645"/>
        <v>4.8487499999999999</v>
      </c>
      <c r="CD497" s="234" cm="1">
        <f t="array" ref="CD497">$BM497 * IF($AH497&lt;=2,
SUMPRODUCT(INDEX($AV$61:$AX$65,,$AI497), INDEX($AY$61:$BE$65,,$AH497), 1 / ($BF$61:$BF$65*CC497 + (1-$BF$61:$BF$65)*BY497), N($AU$61:$AU$65&gt;$AM497)),
SUMPRODUCT(INDEX($AV$46:$AX$55,,$AI497), INDEX($AY$46:$BE$55,,$AH497), 1 / ($BG$46:$BG$55*CC497 + (1-$BG$46:$BG$55)*BY497), N($AU$46:$AU$55&gt;$AM497))
) / 1000</f>
        <v>0</v>
      </c>
      <c r="CE497" s="234" cm="1">
        <f t="array" ref="CE497">$BM497 * IF($AH497&lt;=2,
SUMPRODUCT(INDEX($AV$22:$AX$60,,$AI497), INDEX($AY$22:$BE$60,,$AH497), 1 / ($BF$22:$BF$60*CC497), N($AU$22:$AU$60&gt;$AM497)),
SUMPRODUCT(INDEX($AV$22:$AX$45,,$AI497), INDEX($AY$22:$BE$45,,$AH497), 1 / ($BG$22:$BG$45*CC497), N($AU$22:$AU$45&gt;$AM497))
) / 1000</f>
        <v>0</v>
      </c>
      <c r="CF497" s="229">
        <f t="shared" si="646"/>
        <v>0</v>
      </c>
      <c r="CG497" s="246"/>
      <c r="CH497" s="229">
        <f t="shared" si="647"/>
        <v>0</v>
      </c>
      <c r="CI497" s="228">
        <v>35</v>
      </c>
      <c r="CJ497" s="229">
        <f t="shared" si="648"/>
        <v>48</v>
      </c>
      <c r="CK497" s="234">
        <f t="shared" si="649"/>
        <v>3.0748170731707316</v>
      </c>
      <c r="CL497" s="234" cm="1">
        <f t="array" ref="CL497">$BM497 * SUMPRODUCT(INDEX($AV$76:$AX$81,,$AI497),INDEX($AY$76:$BE$81,,$AH497), N($AU$76:$AU$81&gt;$AM497)) / CK497 / 1000</f>
        <v>0</v>
      </c>
      <c r="CM497" s="231">
        <f t="shared" si="667"/>
        <v>30</v>
      </c>
      <c r="CN497" s="229">
        <f t="shared" si="650"/>
        <v>43</v>
      </c>
      <c r="CO497" s="234">
        <f t="shared" si="651"/>
        <v>3.5018750000000001</v>
      </c>
      <c r="CP497" s="234" cm="1">
        <f t="array" ref="CP497">$BM497 * IF($AH497&lt;=2,
SUMPRODUCT(INDEX($AV$71:$AX$75,,$AI497), INDEX($AY$71:$BE$75,,$AH497), 1 / ($BF$71:$BF$75*CO497 + (1-$BF$71:$BF$75)*CK497), N($AU$71:$AU$75&gt;$AM497)),
SUMPRODUCT(INDEX($AV$66:$AX$75,,$AI497), INDEX($AY$66:$BE$75,,$AH497), 1 / ($BG$66:$BG$75*CO497 + (1-$BG$66:$BG$75)*CK497), N($AU$66:$AU$75&gt;$AM497))
) / 1000</f>
        <v>0</v>
      </c>
      <c r="CQ497" s="231">
        <f t="shared" si="668"/>
        <v>25</v>
      </c>
      <c r="CR497" s="229">
        <f t="shared" si="652"/>
        <v>38</v>
      </c>
      <c r="CS497" s="234">
        <f t="shared" si="653"/>
        <v>4.0666935483870965</v>
      </c>
      <c r="CT497" s="234" cm="1">
        <f t="array" ref="CT497">$BM497 * IF($AH497&lt;=2,
SUMPRODUCT(INDEX($AV$66:$AX$70,,$AI497), INDEX($AY$66:$BE$70,,$AH497), 1 / ($BF$66:$BF$70*CS497 + (1-$BF$66:$BF$70)*CO497), N($AU$66:$AU$70&gt;$AM497)),
SUMPRODUCT(INDEX($AV$56:$AX$65,,$AI497), INDEX($AY$56:$BE$65,,$AH497), 1 / ($BG$56:$BG$65*CS497 + (1-$BG$56:$BG$65)*CO497), N($AU$56:$AU$65&gt;$AM497))
) / 1000</f>
        <v>0</v>
      </c>
      <c r="CU497" s="231">
        <f t="shared" si="669"/>
        <v>20</v>
      </c>
      <c r="CV497" s="229">
        <f t="shared" si="654"/>
        <v>33</v>
      </c>
      <c r="CW497" s="234">
        <f t="shared" si="655"/>
        <v>4.8487499999999999</v>
      </c>
      <c r="CX497" s="234" cm="1">
        <f t="array" ref="CX497">$BM497 * IF($AH497&lt;=2,
SUMPRODUCT(INDEX($AV$61:$AX$65,,$AI497), INDEX($AY$61:$BE$65,,$AH497), 1 / ($BF$61:$BF$65*CW497 + (1-$BF$61:$BF$65)*CS497), N($AU$61:$AU$65&gt;$AM497)),
SUMPRODUCT(INDEX($AV$46:$AX$55,,$AI497), INDEX($AY$46:$BE$55,,$AH497), 1 / ($BG$46:$BG$55*CW497 + (1-$BG$46:$BG$55)*CS497), N($AU$46:$AU$55&gt;$AM497))
) / 1000</f>
        <v>0</v>
      </c>
      <c r="CY497" s="234" cm="1">
        <f t="array" ref="CY497">$BM497 * IF($AH497&lt;=2,
SUMPRODUCT(INDEX($AV$22:$AX$60,,$AI497), INDEX($AY$22:$BE$60,,$AH497), 1 / ($BF$22:$BF$60*CW497), N($AU$22:$AU$60&gt;$AM497)),
SUMPRODUCT(INDEX($AV$22:$AX$45,,$AI497), INDEX($AY$22:$BE$45,,$AH497), 1 / ($BG$22:$BG$45*CW497), N($AU$22:$AU$45&gt;$AM497))
) / 1000</f>
        <v>0</v>
      </c>
      <c r="CZ497" s="229">
        <f t="shared" si="656"/>
        <v>0</v>
      </c>
      <c r="DA497" s="246"/>
    </row>
    <row r="498" spans="1:105" s="75" customFormat="1" ht="14.25" customHeight="1" x14ac:dyDescent="0.2">
      <c r="A498" s="230" t="b">
        <f t="shared" si="661"/>
        <v>0</v>
      </c>
      <c r="B498" s="253">
        <v>477</v>
      </c>
      <c r="C498" s="266"/>
      <c r="D498" s="266"/>
      <c r="E498" s="254"/>
      <c r="F498" s="255" t="str">
        <f>IF(ISBLANK(E498), "", VLOOKUP(E498, Z!$A$2:$C$4127, 3, FALSE))</f>
        <v/>
      </c>
      <c r="G498" s="256"/>
      <c r="H498" s="256"/>
      <c r="I498" s="256"/>
      <c r="J498" s="257"/>
      <c r="K498" s="258"/>
      <c r="L498" s="267"/>
      <c r="M498" s="268"/>
      <c r="N498" s="259" t="str" cm="1">
        <f t="array" ref="N498">IF($L498&gt;0, INDEX(Clean,1+AK498,$D$1), "")</f>
        <v/>
      </c>
      <c r="O498" s="260"/>
      <c r="P498" s="260"/>
      <c r="Q498" s="261"/>
      <c r="R498" s="264">
        <f t="shared" si="632"/>
        <v>0</v>
      </c>
      <c r="S498" s="259" t="str" cm="1">
        <f t="array" ref="S498">IF($L498&gt;0, INDEX(Clean,1+AL498,$D$1), "")</f>
        <v/>
      </c>
      <c r="T498" s="260"/>
      <c r="U498" s="260"/>
      <c r="V498" s="261"/>
      <c r="W498" s="267"/>
      <c r="X498" s="267"/>
      <c r="Y498" s="257"/>
      <c r="Z498" s="264">
        <f t="shared" si="633"/>
        <v>0</v>
      </c>
      <c r="AA498" s="269"/>
      <c r="AB498" s="266"/>
      <c r="AC498" s="254"/>
      <c r="AD498" s="255" t="str">
        <f>IF(ISBLANK(AC498), "", VLOOKUP(AC498, Z!$A$2:$C$4127, 3, FALSE))</f>
        <v/>
      </c>
      <c r="AE498" s="270"/>
      <c r="AF498" s="265">
        <f t="shared" si="634"/>
        <v>0</v>
      </c>
      <c r="AG498" s="246"/>
      <c r="AH498" s="228">
        <f t="shared" si="657"/>
        <v>1</v>
      </c>
      <c r="AI498" s="228">
        <f t="shared" si="658"/>
        <v>1</v>
      </c>
      <c r="AJ498" s="228">
        <f t="shared" si="659"/>
        <v>0</v>
      </c>
      <c r="AK498" s="228">
        <v>0</v>
      </c>
      <c r="AL498" s="228">
        <v>0</v>
      </c>
      <c r="AM498" s="228">
        <f t="shared" si="635"/>
        <v>-100</v>
      </c>
      <c r="AN498" s="228" cm="1">
        <f t="array" ref="AN498">IF(ISBLANK(G498), 1, IFERROR(MATCH(G498, INDEX(Kat,,1), 0), IFERROR(MATCH(Kat, INDEX(Use,,2), 0), MATCH(Kat, INDEX(Use,,3), 0))))</f>
        <v>1</v>
      </c>
      <c r="AO498" s="246"/>
      <c r="AP498" s="228" cm="1">
        <f t="array" ref="AP498">IF(W498&gt;0, INDEX(Kat, AN498,4), 0)</f>
        <v>0</v>
      </c>
      <c r="AQ498" s="228">
        <f t="shared" si="660"/>
        <v>0</v>
      </c>
      <c r="AR498" s="228" cm="1">
        <f t="array" ref="AR498">IF(X498&gt;0, INDEX(Kat, $AN498, 4+AQ498), 0)</f>
        <v>0</v>
      </c>
      <c r="AS498" s="228" cm="1">
        <f t="array" ref="AS498">IF(X498&gt;0, INDEX(Kat, $AN498, 9+AQ498), 0)</f>
        <v>0</v>
      </c>
      <c r="AT498" s="246"/>
      <c r="AU498" s="262"/>
      <c r="AV498" s="262"/>
      <c r="AW498" s="263"/>
      <c r="AX498" s="263"/>
      <c r="AY498" s="263"/>
      <c r="AZ498" s="263"/>
      <c r="BA498" s="263"/>
      <c r="BB498" s="263"/>
      <c r="BC498" s="263"/>
      <c r="BD498" s="263"/>
      <c r="BE498" s="263"/>
      <c r="BF498" s="263"/>
      <c r="BG498" s="263"/>
      <c r="BH498" s="246"/>
      <c r="BI498" s="228" cm="1">
        <f t="array" ref="BI498">INDEX(Use, $AH498, 4)</f>
        <v>7</v>
      </c>
      <c r="BJ498" s="228">
        <f t="shared" si="636"/>
        <v>32</v>
      </c>
      <c r="BK498" s="228">
        <f t="shared" si="662"/>
        <v>13</v>
      </c>
      <c r="BL498" s="228">
        <f t="shared" si="663"/>
        <v>0</v>
      </c>
      <c r="BM498" s="233" cm="1">
        <f t="array" ref="BM498">L498/IF($M498&gt;0, INDEX($AY$22:$BE$76, $M498+20, $AH498), 1)</f>
        <v>0</v>
      </c>
      <c r="BN498" s="229">
        <f t="shared" si="637"/>
        <v>0</v>
      </c>
      <c r="BO498" s="228">
        <v>35</v>
      </c>
      <c r="BP498" s="229">
        <f t="shared" si="638"/>
        <v>48</v>
      </c>
      <c r="BQ498" s="234">
        <f t="shared" si="639"/>
        <v>3.0748170731707316</v>
      </c>
      <c r="BR498" s="234" cm="1">
        <f t="array" ref="BR498">$BM498 * SUMPRODUCT(INDEX($AV$76:$AX$81,,$AI498),INDEX($AY$76:$BE$81,,$AH498), N($AU$76:$AU$81&gt;$AM498)) / BQ498 / 1000</f>
        <v>0</v>
      </c>
      <c r="BS498" s="231">
        <f t="shared" si="664"/>
        <v>30</v>
      </c>
      <c r="BT498" s="229">
        <f t="shared" si="640"/>
        <v>43</v>
      </c>
      <c r="BU498" s="234">
        <f t="shared" si="641"/>
        <v>3.5018750000000001</v>
      </c>
      <c r="BV498" s="234" cm="1">
        <f t="array" ref="BV498">$BM498 * IF($AH498&lt;=2,
SUMPRODUCT(INDEX($AV$71:$AX$75,,$AI498), INDEX($AY$71:$BE$75,,$AH498), 1 / ($BF$71:$BF$75*BU498 + (1-$BF$71:$BF$75)*BQ498), N($AU$71:$AU$75&gt;$AM498)),
SUMPRODUCT(INDEX($AV$66:$AX$75,,$AI498), INDEX($AY$66:$BE$75,,$AH498), 1 / ($BG$66:$BG$75*BU498 + (1-$BG$66:$BG$75)*BQ498), N($AU$66:$AU$75&gt;$AM498))
) / 1000</f>
        <v>0</v>
      </c>
      <c r="BW498" s="231">
        <f t="shared" si="665"/>
        <v>25</v>
      </c>
      <c r="BX498" s="229">
        <f t="shared" si="642"/>
        <v>38</v>
      </c>
      <c r="BY498" s="234">
        <f t="shared" si="643"/>
        <v>4.0666935483870965</v>
      </c>
      <c r="BZ498" s="234" cm="1">
        <f t="array" ref="BZ498">$BM498 * IF($AH498&lt;=2,
SUMPRODUCT(INDEX($AV$66:$AX$70,,$AI498), INDEX($AY$66:$BE$70,,$AH498), 1 / ($BF$66:$BF$70*BY498 + (1-$BF$66:$BF$70)*BU498), N($AU$66:$AU$70&gt;$AM498)),
SUMPRODUCT(INDEX($AV$56:$AX$65,,$AI498), INDEX($AY$56:$BE$65,,$AH498), 1 / ($BG$56:$BG$65*BY498 + (1-$BG$56:$BG$65)*BU498), N($AU$56:$AU$65&gt;$AM498))
) / 1000</f>
        <v>0</v>
      </c>
      <c r="CA498" s="231">
        <f t="shared" si="666"/>
        <v>20</v>
      </c>
      <c r="CB498" s="229">
        <f t="shared" si="644"/>
        <v>33</v>
      </c>
      <c r="CC498" s="234">
        <f t="shared" si="645"/>
        <v>4.8487499999999999</v>
      </c>
      <c r="CD498" s="234" cm="1">
        <f t="array" ref="CD498">$BM498 * IF($AH498&lt;=2,
SUMPRODUCT(INDEX($AV$61:$AX$65,,$AI498), INDEX($AY$61:$BE$65,,$AH498), 1 / ($BF$61:$BF$65*CC498 + (1-$BF$61:$BF$65)*BY498), N($AU$61:$AU$65&gt;$AM498)),
SUMPRODUCT(INDEX($AV$46:$AX$55,,$AI498), INDEX($AY$46:$BE$55,,$AH498), 1 / ($BG$46:$BG$55*CC498 + (1-$BG$46:$BG$55)*BY498), N($AU$46:$AU$55&gt;$AM498))
) / 1000</f>
        <v>0</v>
      </c>
      <c r="CE498" s="234" cm="1">
        <f t="array" ref="CE498">$BM498 * IF($AH498&lt;=2,
SUMPRODUCT(INDEX($AV$22:$AX$60,,$AI498), INDEX($AY$22:$BE$60,,$AH498), 1 / ($BF$22:$BF$60*CC498), N($AU$22:$AU$60&gt;$AM498)),
SUMPRODUCT(INDEX($AV$22:$AX$45,,$AI498), INDEX($AY$22:$BE$45,,$AH498), 1 / ($BG$22:$BG$45*CC498), N($AU$22:$AU$45&gt;$AM498))
) / 1000</f>
        <v>0</v>
      </c>
      <c r="CF498" s="229">
        <f t="shared" si="646"/>
        <v>0</v>
      </c>
      <c r="CG498" s="246"/>
      <c r="CH498" s="229">
        <f t="shared" si="647"/>
        <v>0</v>
      </c>
      <c r="CI498" s="228">
        <v>35</v>
      </c>
      <c r="CJ498" s="229">
        <f t="shared" si="648"/>
        <v>48</v>
      </c>
      <c r="CK498" s="234">
        <f t="shared" si="649"/>
        <v>3.0748170731707316</v>
      </c>
      <c r="CL498" s="234" cm="1">
        <f t="array" ref="CL498">$BM498 * SUMPRODUCT(INDEX($AV$76:$AX$81,,$AI498),INDEX($AY$76:$BE$81,,$AH498), N($AU$76:$AU$81&gt;$AM498)) / CK498 / 1000</f>
        <v>0</v>
      </c>
      <c r="CM498" s="231">
        <f t="shared" si="667"/>
        <v>30</v>
      </c>
      <c r="CN498" s="229">
        <f t="shared" si="650"/>
        <v>43</v>
      </c>
      <c r="CO498" s="234">
        <f t="shared" si="651"/>
        <v>3.5018750000000001</v>
      </c>
      <c r="CP498" s="234" cm="1">
        <f t="array" ref="CP498">$BM498 * IF($AH498&lt;=2,
SUMPRODUCT(INDEX($AV$71:$AX$75,,$AI498), INDEX($AY$71:$BE$75,,$AH498), 1 / ($BF$71:$BF$75*CO498 + (1-$BF$71:$BF$75)*CK498), N($AU$71:$AU$75&gt;$AM498)),
SUMPRODUCT(INDEX($AV$66:$AX$75,,$AI498), INDEX($AY$66:$BE$75,,$AH498), 1 / ($BG$66:$BG$75*CO498 + (1-$BG$66:$BG$75)*CK498), N($AU$66:$AU$75&gt;$AM498))
) / 1000</f>
        <v>0</v>
      </c>
      <c r="CQ498" s="231">
        <f t="shared" si="668"/>
        <v>25</v>
      </c>
      <c r="CR498" s="229">
        <f t="shared" si="652"/>
        <v>38</v>
      </c>
      <c r="CS498" s="234">
        <f t="shared" si="653"/>
        <v>4.0666935483870965</v>
      </c>
      <c r="CT498" s="234" cm="1">
        <f t="array" ref="CT498">$BM498 * IF($AH498&lt;=2,
SUMPRODUCT(INDEX($AV$66:$AX$70,,$AI498), INDEX($AY$66:$BE$70,,$AH498), 1 / ($BF$66:$BF$70*CS498 + (1-$BF$66:$BF$70)*CO498), N($AU$66:$AU$70&gt;$AM498)),
SUMPRODUCT(INDEX($AV$56:$AX$65,,$AI498), INDEX($AY$56:$BE$65,,$AH498), 1 / ($BG$56:$BG$65*CS498 + (1-$BG$56:$BG$65)*CO498), N($AU$56:$AU$65&gt;$AM498))
) / 1000</f>
        <v>0</v>
      </c>
      <c r="CU498" s="231">
        <f t="shared" si="669"/>
        <v>20</v>
      </c>
      <c r="CV498" s="229">
        <f t="shared" si="654"/>
        <v>33</v>
      </c>
      <c r="CW498" s="234">
        <f t="shared" si="655"/>
        <v>4.8487499999999999</v>
      </c>
      <c r="CX498" s="234" cm="1">
        <f t="array" ref="CX498">$BM498 * IF($AH498&lt;=2,
SUMPRODUCT(INDEX($AV$61:$AX$65,,$AI498), INDEX($AY$61:$BE$65,,$AH498), 1 / ($BF$61:$BF$65*CW498 + (1-$BF$61:$BF$65)*CS498), N($AU$61:$AU$65&gt;$AM498)),
SUMPRODUCT(INDEX($AV$46:$AX$55,,$AI498), INDEX($AY$46:$BE$55,,$AH498), 1 / ($BG$46:$BG$55*CW498 + (1-$BG$46:$BG$55)*CS498), N($AU$46:$AU$55&gt;$AM498))
) / 1000</f>
        <v>0</v>
      </c>
      <c r="CY498" s="234" cm="1">
        <f t="array" ref="CY498">$BM498 * IF($AH498&lt;=2,
SUMPRODUCT(INDEX($AV$22:$AX$60,,$AI498), INDEX($AY$22:$BE$60,,$AH498), 1 / ($BF$22:$BF$60*CW498), N($AU$22:$AU$60&gt;$AM498)),
SUMPRODUCT(INDEX($AV$22:$AX$45,,$AI498), INDEX($AY$22:$BE$45,,$AH498), 1 / ($BG$22:$BG$45*CW498), N($AU$22:$AU$45&gt;$AM498))
) / 1000</f>
        <v>0</v>
      </c>
      <c r="CZ498" s="229">
        <f t="shared" si="656"/>
        <v>0</v>
      </c>
      <c r="DA498" s="246"/>
    </row>
    <row r="499" spans="1:105" s="75" customFormat="1" ht="14.25" customHeight="1" x14ac:dyDescent="0.2">
      <c r="A499" s="230" t="b">
        <f t="shared" si="661"/>
        <v>0</v>
      </c>
      <c r="B499" s="253">
        <v>478</v>
      </c>
      <c r="C499" s="266"/>
      <c r="D499" s="266"/>
      <c r="E499" s="254"/>
      <c r="F499" s="255" t="str">
        <f>IF(ISBLANK(E499), "", VLOOKUP(E499, Z!$A$2:$C$4127, 3, FALSE))</f>
        <v/>
      </c>
      <c r="G499" s="256"/>
      <c r="H499" s="256"/>
      <c r="I499" s="256"/>
      <c r="J499" s="257"/>
      <c r="K499" s="258"/>
      <c r="L499" s="267"/>
      <c r="M499" s="268"/>
      <c r="N499" s="259" t="str" cm="1">
        <f t="array" ref="N499">IF($L499&gt;0, INDEX(Clean,1+AK499,$D$1), "")</f>
        <v/>
      </c>
      <c r="O499" s="260"/>
      <c r="P499" s="260"/>
      <c r="Q499" s="261"/>
      <c r="R499" s="264">
        <f t="shared" si="632"/>
        <v>0</v>
      </c>
      <c r="S499" s="259" t="str" cm="1">
        <f t="array" ref="S499">IF($L499&gt;0, INDEX(Clean,1+AL499,$D$1), "")</f>
        <v/>
      </c>
      <c r="T499" s="260"/>
      <c r="U499" s="260"/>
      <c r="V499" s="261"/>
      <c r="W499" s="267"/>
      <c r="X499" s="267"/>
      <c r="Y499" s="257"/>
      <c r="Z499" s="264">
        <f t="shared" si="633"/>
        <v>0</v>
      </c>
      <c r="AA499" s="269"/>
      <c r="AB499" s="266"/>
      <c r="AC499" s="254"/>
      <c r="AD499" s="255" t="str">
        <f>IF(ISBLANK(AC499), "", VLOOKUP(AC499, Z!$A$2:$C$4127, 3, FALSE))</f>
        <v/>
      </c>
      <c r="AE499" s="270"/>
      <c r="AF499" s="265">
        <f t="shared" si="634"/>
        <v>0</v>
      </c>
      <c r="AG499" s="246"/>
      <c r="AH499" s="228">
        <f t="shared" si="657"/>
        <v>1</v>
      </c>
      <c r="AI499" s="228">
        <f t="shared" si="658"/>
        <v>1</v>
      </c>
      <c r="AJ499" s="228">
        <f t="shared" si="659"/>
        <v>0</v>
      </c>
      <c r="AK499" s="228">
        <v>0</v>
      </c>
      <c r="AL499" s="228">
        <v>0</v>
      </c>
      <c r="AM499" s="228">
        <f t="shared" si="635"/>
        <v>-100</v>
      </c>
      <c r="AN499" s="228" cm="1">
        <f t="array" ref="AN499">IF(ISBLANK(G499), 1, IFERROR(MATCH(G499, INDEX(Kat,,1), 0), IFERROR(MATCH(Kat, INDEX(Use,,2), 0), MATCH(Kat, INDEX(Use,,3), 0))))</f>
        <v>1</v>
      </c>
      <c r="AO499" s="246"/>
      <c r="AP499" s="228" cm="1">
        <f t="array" ref="AP499">IF(W499&gt;0, INDEX(Kat, AN499,4), 0)</f>
        <v>0</v>
      </c>
      <c r="AQ499" s="228">
        <f t="shared" si="660"/>
        <v>0</v>
      </c>
      <c r="AR499" s="228" cm="1">
        <f t="array" ref="AR499">IF(X499&gt;0, INDEX(Kat, $AN499, 4+AQ499), 0)</f>
        <v>0</v>
      </c>
      <c r="AS499" s="228" cm="1">
        <f t="array" ref="AS499">IF(X499&gt;0, INDEX(Kat, $AN499, 9+AQ499), 0)</f>
        <v>0</v>
      </c>
      <c r="AT499" s="246"/>
      <c r="AU499" s="262"/>
      <c r="AV499" s="262"/>
      <c r="AW499" s="263"/>
      <c r="AX499" s="263"/>
      <c r="AY499" s="263"/>
      <c r="AZ499" s="263"/>
      <c r="BA499" s="263"/>
      <c r="BB499" s="263"/>
      <c r="BC499" s="263"/>
      <c r="BD499" s="263"/>
      <c r="BE499" s="263"/>
      <c r="BF499" s="263"/>
      <c r="BG499" s="263"/>
      <c r="BH499" s="246"/>
      <c r="BI499" s="228" cm="1">
        <f t="array" ref="BI499">INDEX(Use, $AH499, 4)</f>
        <v>7</v>
      </c>
      <c r="BJ499" s="228">
        <f t="shared" si="636"/>
        <v>32</v>
      </c>
      <c r="BK499" s="228">
        <f t="shared" si="662"/>
        <v>13</v>
      </c>
      <c r="BL499" s="228">
        <f t="shared" si="663"/>
        <v>0</v>
      </c>
      <c r="BM499" s="233" cm="1">
        <f t="array" ref="BM499">L499/IF($M499&gt;0, INDEX($AY$22:$BE$76, $M499+20, $AH499), 1)</f>
        <v>0</v>
      </c>
      <c r="BN499" s="229">
        <f t="shared" si="637"/>
        <v>0</v>
      </c>
      <c r="BO499" s="228">
        <v>35</v>
      </c>
      <c r="BP499" s="229">
        <f t="shared" si="638"/>
        <v>48</v>
      </c>
      <c r="BQ499" s="234">
        <f t="shared" si="639"/>
        <v>3.0748170731707316</v>
      </c>
      <c r="BR499" s="234" cm="1">
        <f t="array" ref="BR499">$BM499 * SUMPRODUCT(INDEX($AV$76:$AX$81,,$AI499),INDEX($AY$76:$BE$81,,$AH499), N($AU$76:$AU$81&gt;$AM499)) / BQ499 / 1000</f>
        <v>0</v>
      </c>
      <c r="BS499" s="231">
        <f t="shared" si="664"/>
        <v>30</v>
      </c>
      <c r="BT499" s="229">
        <f t="shared" si="640"/>
        <v>43</v>
      </c>
      <c r="BU499" s="234">
        <f t="shared" si="641"/>
        <v>3.5018750000000001</v>
      </c>
      <c r="BV499" s="234" cm="1">
        <f t="array" ref="BV499">$BM499 * IF($AH499&lt;=2,
SUMPRODUCT(INDEX($AV$71:$AX$75,,$AI499), INDEX($AY$71:$BE$75,,$AH499), 1 / ($BF$71:$BF$75*BU499 + (1-$BF$71:$BF$75)*BQ499), N($AU$71:$AU$75&gt;$AM499)),
SUMPRODUCT(INDEX($AV$66:$AX$75,,$AI499), INDEX($AY$66:$BE$75,,$AH499), 1 / ($BG$66:$BG$75*BU499 + (1-$BG$66:$BG$75)*BQ499), N($AU$66:$AU$75&gt;$AM499))
) / 1000</f>
        <v>0</v>
      </c>
      <c r="BW499" s="231">
        <f t="shared" si="665"/>
        <v>25</v>
      </c>
      <c r="BX499" s="229">
        <f t="shared" si="642"/>
        <v>38</v>
      </c>
      <c r="BY499" s="234">
        <f t="shared" si="643"/>
        <v>4.0666935483870965</v>
      </c>
      <c r="BZ499" s="234" cm="1">
        <f t="array" ref="BZ499">$BM499 * IF($AH499&lt;=2,
SUMPRODUCT(INDEX($AV$66:$AX$70,,$AI499), INDEX($AY$66:$BE$70,,$AH499), 1 / ($BF$66:$BF$70*BY499 + (1-$BF$66:$BF$70)*BU499), N($AU$66:$AU$70&gt;$AM499)),
SUMPRODUCT(INDEX($AV$56:$AX$65,,$AI499), INDEX($AY$56:$BE$65,,$AH499), 1 / ($BG$56:$BG$65*BY499 + (1-$BG$56:$BG$65)*BU499), N($AU$56:$AU$65&gt;$AM499))
) / 1000</f>
        <v>0</v>
      </c>
      <c r="CA499" s="231">
        <f t="shared" si="666"/>
        <v>20</v>
      </c>
      <c r="CB499" s="229">
        <f t="shared" si="644"/>
        <v>33</v>
      </c>
      <c r="CC499" s="234">
        <f t="shared" si="645"/>
        <v>4.8487499999999999</v>
      </c>
      <c r="CD499" s="234" cm="1">
        <f t="array" ref="CD499">$BM499 * IF($AH499&lt;=2,
SUMPRODUCT(INDEX($AV$61:$AX$65,,$AI499), INDEX($AY$61:$BE$65,,$AH499), 1 / ($BF$61:$BF$65*CC499 + (1-$BF$61:$BF$65)*BY499), N($AU$61:$AU$65&gt;$AM499)),
SUMPRODUCT(INDEX($AV$46:$AX$55,,$AI499), INDEX($AY$46:$BE$55,,$AH499), 1 / ($BG$46:$BG$55*CC499 + (1-$BG$46:$BG$55)*BY499), N($AU$46:$AU$55&gt;$AM499))
) / 1000</f>
        <v>0</v>
      </c>
      <c r="CE499" s="234" cm="1">
        <f t="array" ref="CE499">$BM499 * IF($AH499&lt;=2,
SUMPRODUCT(INDEX($AV$22:$AX$60,,$AI499), INDEX($AY$22:$BE$60,,$AH499), 1 / ($BF$22:$BF$60*CC499), N($AU$22:$AU$60&gt;$AM499)),
SUMPRODUCT(INDEX($AV$22:$AX$45,,$AI499), INDEX($AY$22:$BE$45,,$AH499), 1 / ($BG$22:$BG$45*CC499), N($AU$22:$AU$45&gt;$AM499))
) / 1000</f>
        <v>0</v>
      </c>
      <c r="CF499" s="229">
        <f t="shared" si="646"/>
        <v>0</v>
      </c>
      <c r="CG499" s="246"/>
      <c r="CH499" s="229">
        <f t="shared" si="647"/>
        <v>0</v>
      </c>
      <c r="CI499" s="228">
        <v>35</v>
      </c>
      <c r="CJ499" s="229">
        <f t="shared" si="648"/>
        <v>48</v>
      </c>
      <c r="CK499" s="234">
        <f t="shared" si="649"/>
        <v>3.0748170731707316</v>
      </c>
      <c r="CL499" s="234" cm="1">
        <f t="array" ref="CL499">$BM499 * SUMPRODUCT(INDEX($AV$76:$AX$81,,$AI499),INDEX($AY$76:$BE$81,,$AH499), N($AU$76:$AU$81&gt;$AM499)) / CK499 / 1000</f>
        <v>0</v>
      </c>
      <c r="CM499" s="231">
        <f t="shared" si="667"/>
        <v>30</v>
      </c>
      <c r="CN499" s="229">
        <f t="shared" si="650"/>
        <v>43</v>
      </c>
      <c r="CO499" s="234">
        <f t="shared" si="651"/>
        <v>3.5018750000000001</v>
      </c>
      <c r="CP499" s="234" cm="1">
        <f t="array" ref="CP499">$BM499 * IF($AH499&lt;=2,
SUMPRODUCT(INDEX($AV$71:$AX$75,,$AI499), INDEX($AY$71:$BE$75,,$AH499), 1 / ($BF$71:$BF$75*CO499 + (1-$BF$71:$BF$75)*CK499), N($AU$71:$AU$75&gt;$AM499)),
SUMPRODUCT(INDEX($AV$66:$AX$75,,$AI499), INDEX($AY$66:$BE$75,,$AH499), 1 / ($BG$66:$BG$75*CO499 + (1-$BG$66:$BG$75)*CK499), N($AU$66:$AU$75&gt;$AM499))
) / 1000</f>
        <v>0</v>
      </c>
      <c r="CQ499" s="231">
        <f t="shared" si="668"/>
        <v>25</v>
      </c>
      <c r="CR499" s="229">
        <f t="shared" si="652"/>
        <v>38</v>
      </c>
      <c r="CS499" s="234">
        <f t="shared" si="653"/>
        <v>4.0666935483870965</v>
      </c>
      <c r="CT499" s="234" cm="1">
        <f t="array" ref="CT499">$BM499 * IF($AH499&lt;=2,
SUMPRODUCT(INDEX($AV$66:$AX$70,,$AI499), INDEX($AY$66:$BE$70,,$AH499), 1 / ($BF$66:$BF$70*CS499 + (1-$BF$66:$BF$70)*CO499), N($AU$66:$AU$70&gt;$AM499)),
SUMPRODUCT(INDEX($AV$56:$AX$65,,$AI499), INDEX($AY$56:$BE$65,,$AH499), 1 / ($BG$56:$BG$65*CS499 + (1-$BG$56:$BG$65)*CO499), N($AU$56:$AU$65&gt;$AM499))
) / 1000</f>
        <v>0</v>
      </c>
      <c r="CU499" s="231">
        <f t="shared" si="669"/>
        <v>20</v>
      </c>
      <c r="CV499" s="229">
        <f t="shared" si="654"/>
        <v>33</v>
      </c>
      <c r="CW499" s="234">
        <f t="shared" si="655"/>
        <v>4.8487499999999999</v>
      </c>
      <c r="CX499" s="234" cm="1">
        <f t="array" ref="CX499">$BM499 * IF($AH499&lt;=2,
SUMPRODUCT(INDEX($AV$61:$AX$65,,$AI499), INDEX($AY$61:$BE$65,,$AH499), 1 / ($BF$61:$BF$65*CW499 + (1-$BF$61:$BF$65)*CS499), N($AU$61:$AU$65&gt;$AM499)),
SUMPRODUCT(INDEX($AV$46:$AX$55,,$AI499), INDEX($AY$46:$BE$55,,$AH499), 1 / ($BG$46:$BG$55*CW499 + (1-$BG$46:$BG$55)*CS499), N($AU$46:$AU$55&gt;$AM499))
) / 1000</f>
        <v>0</v>
      </c>
      <c r="CY499" s="234" cm="1">
        <f t="array" ref="CY499">$BM499 * IF($AH499&lt;=2,
SUMPRODUCT(INDEX($AV$22:$AX$60,,$AI499), INDEX($AY$22:$BE$60,,$AH499), 1 / ($BF$22:$BF$60*CW499), N($AU$22:$AU$60&gt;$AM499)),
SUMPRODUCT(INDEX($AV$22:$AX$45,,$AI499), INDEX($AY$22:$BE$45,,$AH499), 1 / ($BG$22:$BG$45*CW499), N($AU$22:$AU$45&gt;$AM499))
) / 1000</f>
        <v>0</v>
      </c>
      <c r="CZ499" s="229">
        <f t="shared" si="656"/>
        <v>0</v>
      </c>
      <c r="DA499" s="246"/>
    </row>
    <row r="500" spans="1:105" s="75" customFormat="1" ht="14.25" customHeight="1" x14ac:dyDescent="0.2">
      <c r="A500" s="230" t="b">
        <f t="shared" si="661"/>
        <v>0</v>
      </c>
      <c r="B500" s="253">
        <v>479</v>
      </c>
      <c r="C500" s="266"/>
      <c r="D500" s="266"/>
      <c r="E500" s="254"/>
      <c r="F500" s="255" t="str">
        <f>IF(ISBLANK(E500), "", VLOOKUP(E500, Z!$A$2:$C$4127, 3, FALSE))</f>
        <v/>
      </c>
      <c r="G500" s="256"/>
      <c r="H500" s="256"/>
      <c r="I500" s="256"/>
      <c r="J500" s="257"/>
      <c r="K500" s="258"/>
      <c r="L500" s="267"/>
      <c r="M500" s="268"/>
      <c r="N500" s="259" t="str" cm="1">
        <f t="array" ref="N500">IF($L500&gt;0, INDEX(Clean,1+AK500,$D$1), "")</f>
        <v/>
      </c>
      <c r="O500" s="260"/>
      <c r="P500" s="260"/>
      <c r="Q500" s="261"/>
      <c r="R500" s="264">
        <f t="shared" si="632"/>
        <v>0</v>
      </c>
      <c r="S500" s="259" t="str" cm="1">
        <f t="array" ref="S500">IF($L500&gt;0, INDEX(Clean,1+AL500,$D$1), "")</f>
        <v/>
      </c>
      <c r="T500" s="260"/>
      <c r="U500" s="260"/>
      <c r="V500" s="261"/>
      <c r="W500" s="267"/>
      <c r="X500" s="267"/>
      <c r="Y500" s="257"/>
      <c r="Z500" s="264">
        <f t="shared" si="633"/>
        <v>0</v>
      </c>
      <c r="AA500" s="269"/>
      <c r="AB500" s="266"/>
      <c r="AC500" s="254"/>
      <c r="AD500" s="255" t="str">
        <f>IF(ISBLANK(AC500), "", VLOOKUP(AC500, Z!$A$2:$C$4127, 3, FALSE))</f>
        <v/>
      </c>
      <c r="AE500" s="270"/>
      <c r="AF500" s="265">
        <f t="shared" si="634"/>
        <v>0</v>
      </c>
      <c r="AG500" s="246"/>
      <c r="AH500" s="228">
        <f t="shared" si="657"/>
        <v>1</v>
      </c>
      <c r="AI500" s="228">
        <f t="shared" si="658"/>
        <v>1</v>
      </c>
      <c r="AJ500" s="228">
        <f t="shared" si="659"/>
        <v>0</v>
      </c>
      <c r="AK500" s="228">
        <v>0</v>
      </c>
      <c r="AL500" s="228">
        <v>0</v>
      </c>
      <c r="AM500" s="228">
        <f t="shared" si="635"/>
        <v>-100</v>
      </c>
      <c r="AN500" s="228" cm="1">
        <f t="array" ref="AN500">IF(ISBLANK(G500), 1, IFERROR(MATCH(G500, INDEX(Kat,,1), 0), IFERROR(MATCH(Kat, INDEX(Use,,2), 0), MATCH(Kat, INDEX(Use,,3), 0))))</f>
        <v>1</v>
      </c>
      <c r="AO500" s="246"/>
      <c r="AP500" s="228" cm="1">
        <f t="array" ref="AP500">IF(W500&gt;0, INDEX(Kat, AN500,4), 0)</f>
        <v>0</v>
      </c>
      <c r="AQ500" s="228">
        <f t="shared" si="660"/>
        <v>0</v>
      </c>
      <c r="AR500" s="228" cm="1">
        <f t="array" ref="AR500">IF(X500&gt;0, INDEX(Kat, $AN500, 4+AQ500), 0)</f>
        <v>0</v>
      </c>
      <c r="AS500" s="228" cm="1">
        <f t="array" ref="AS500">IF(X500&gt;0, INDEX(Kat, $AN500, 9+AQ500), 0)</f>
        <v>0</v>
      </c>
      <c r="AT500" s="246"/>
      <c r="AU500" s="262"/>
      <c r="AV500" s="262"/>
      <c r="AW500" s="263"/>
      <c r="AX500" s="263"/>
      <c r="AY500" s="263"/>
      <c r="AZ500" s="263"/>
      <c r="BA500" s="263"/>
      <c r="BB500" s="263"/>
      <c r="BC500" s="263"/>
      <c r="BD500" s="263"/>
      <c r="BE500" s="263"/>
      <c r="BF500" s="263"/>
      <c r="BG500" s="263"/>
      <c r="BH500" s="246"/>
      <c r="BI500" s="228" cm="1">
        <f t="array" ref="BI500">INDEX(Use, $AH500, 4)</f>
        <v>7</v>
      </c>
      <c r="BJ500" s="228">
        <f t="shared" si="636"/>
        <v>32</v>
      </c>
      <c r="BK500" s="228">
        <f t="shared" si="662"/>
        <v>13</v>
      </c>
      <c r="BL500" s="228">
        <f t="shared" si="663"/>
        <v>0</v>
      </c>
      <c r="BM500" s="233" cm="1">
        <f t="array" ref="BM500">L500/IF($M500&gt;0, INDEX($AY$22:$BE$76, $M500+20, $AH500), 1)</f>
        <v>0</v>
      </c>
      <c r="BN500" s="229">
        <f t="shared" si="637"/>
        <v>0</v>
      </c>
      <c r="BO500" s="228">
        <v>35</v>
      </c>
      <c r="BP500" s="229">
        <f t="shared" si="638"/>
        <v>48</v>
      </c>
      <c r="BQ500" s="234">
        <f t="shared" si="639"/>
        <v>3.0748170731707316</v>
      </c>
      <c r="BR500" s="234" cm="1">
        <f t="array" ref="BR500">$BM500 * SUMPRODUCT(INDEX($AV$76:$AX$81,,$AI500),INDEX($AY$76:$BE$81,,$AH500), N($AU$76:$AU$81&gt;$AM500)) / BQ500 / 1000</f>
        <v>0</v>
      </c>
      <c r="BS500" s="231">
        <f t="shared" si="664"/>
        <v>30</v>
      </c>
      <c r="BT500" s="229">
        <f t="shared" si="640"/>
        <v>43</v>
      </c>
      <c r="BU500" s="234">
        <f t="shared" si="641"/>
        <v>3.5018750000000001</v>
      </c>
      <c r="BV500" s="234" cm="1">
        <f t="array" ref="BV500">$BM500 * IF($AH500&lt;=2,
SUMPRODUCT(INDEX($AV$71:$AX$75,,$AI500), INDEX($AY$71:$BE$75,,$AH500), 1 / ($BF$71:$BF$75*BU500 + (1-$BF$71:$BF$75)*BQ500), N($AU$71:$AU$75&gt;$AM500)),
SUMPRODUCT(INDEX($AV$66:$AX$75,,$AI500), INDEX($AY$66:$BE$75,,$AH500), 1 / ($BG$66:$BG$75*BU500 + (1-$BG$66:$BG$75)*BQ500), N($AU$66:$AU$75&gt;$AM500))
) / 1000</f>
        <v>0</v>
      </c>
      <c r="BW500" s="231">
        <f t="shared" si="665"/>
        <v>25</v>
      </c>
      <c r="BX500" s="229">
        <f t="shared" si="642"/>
        <v>38</v>
      </c>
      <c r="BY500" s="234">
        <f t="shared" si="643"/>
        <v>4.0666935483870965</v>
      </c>
      <c r="BZ500" s="234" cm="1">
        <f t="array" ref="BZ500">$BM500 * IF($AH500&lt;=2,
SUMPRODUCT(INDEX($AV$66:$AX$70,,$AI500), INDEX($AY$66:$BE$70,,$AH500), 1 / ($BF$66:$BF$70*BY500 + (1-$BF$66:$BF$70)*BU500), N($AU$66:$AU$70&gt;$AM500)),
SUMPRODUCT(INDEX($AV$56:$AX$65,,$AI500), INDEX($AY$56:$BE$65,,$AH500), 1 / ($BG$56:$BG$65*BY500 + (1-$BG$56:$BG$65)*BU500), N($AU$56:$AU$65&gt;$AM500))
) / 1000</f>
        <v>0</v>
      </c>
      <c r="CA500" s="231">
        <f t="shared" si="666"/>
        <v>20</v>
      </c>
      <c r="CB500" s="229">
        <f t="shared" si="644"/>
        <v>33</v>
      </c>
      <c r="CC500" s="234">
        <f t="shared" si="645"/>
        <v>4.8487499999999999</v>
      </c>
      <c r="CD500" s="234" cm="1">
        <f t="array" ref="CD500">$BM500 * IF($AH500&lt;=2,
SUMPRODUCT(INDEX($AV$61:$AX$65,,$AI500), INDEX($AY$61:$BE$65,,$AH500), 1 / ($BF$61:$BF$65*CC500 + (1-$BF$61:$BF$65)*BY500), N($AU$61:$AU$65&gt;$AM500)),
SUMPRODUCT(INDEX($AV$46:$AX$55,,$AI500), INDEX($AY$46:$BE$55,,$AH500), 1 / ($BG$46:$BG$55*CC500 + (1-$BG$46:$BG$55)*BY500), N($AU$46:$AU$55&gt;$AM500))
) / 1000</f>
        <v>0</v>
      </c>
      <c r="CE500" s="234" cm="1">
        <f t="array" ref="CE500">$BM500 * IF($AH500&lt;=2,
SUMPRODUCT(INDEX($AV$22:$AX$60,,$AI500), INDEX($AY$22:$BE$60,,$AH500), 1 / ($BF$22:$BF$60*CC500), N($AU$22:$AU$60&gt;$AM500)),
SUMPRODUCT(INDEX($AV$22:$AX$45,,$AI500), INDEX($AY$22:$BE$45,,$AH500), 1 / ($BG$22:$BG$45*CC500), N($AU$22:$AU$45&gt;$AM500))
) / 1000</f>
        <v>0</v>
      </c>
      <c r="CF500" s="229">
        <f t="shared" si="646"/>
        <v>0</v>
      </c>
      <c r="CG500" s="246"/>
      <c r="CH500" s="229">
        <f t="shared" si="647"/>
        <v>0</v>
      </c>
      <c r="CI500" s="228">
        <v>35</v>
      </c>
      <c r="CJ500" s="229">
        <f t="shared" si="648"/>
        <v>48</v>
      </c>
      <c r="CK500" s="234">
        <f t="shared" si="649"/>
        <v>3.0748170731707316</v>
      </c>
      <c r="CL500" s="234" cm="1">
        <f t="array" ref="CL500">$BM500 * SUMPRODUCT(INDEX($AV$76:$AX$81,,$AI500),INDEX($AY$76:$BE$81,,$AH500), N($AU$76:$AU$81&gt;$AM500)) / CK500 / 1000</f>
        <v>0</v>
      </c>
      <c r="CM500" s="231">
        <f t="shared" si="667"/>
        <v>30</v>
      </c>
      <c r="CN500" s="229">
        <f t="shared" si="650"/>
        <v>43</v>
      </c>
      <c r="CO500" s="234">
        <f t="shared" si="651"/>
        <v>3.5018750000000001</v>
      </c>
      <c r="CP500" s="234" cm="1">
        <f t="array" ref="CP500">$BM500 * IF($AH500&lt;=2,
SUMPRODUCT(INDEX($AV$71:$AX$75,,$AI500), INDEX($AY$71:$BE$75,,$AH500), 1 / ($BF$71:$BF$75*CO500 + (1-$BF$71:$BF$75)*CK500), N($AU$71:$AU$75&gt;$AM500)),
SUMPRODUCT(INDEX($AV$66:$AX$75,,$AI500), INDEX($AY$66:$BE$75,,$AH500), 1 / ($BG$66:$BG$75*CO500 + (1-$BG$66:$BG$75)*CK500), N($AU$66:$AU$75&gt;$AM500))
) / 1000</f>
        <v>0</v>
      </c>
      <c r="CQ500" s="231">
        <f t="shared" si="668"/>
        <v>25</v>
      </c>
      <c r="CR500" s="229">
        <f t="shared" si="652"/>
        <v>38</v>
      </c>
      <c r="CS500" s="234">
        <f t="shared" si="653"/>
        <v>4.0666935483870965</v>
      </c>
      <c r="CT500" s="234" cm="1">
        <f t="array" ref="CT500">$BM500 * IF($AH500&lt;=2,
SUMPRODUCT(INDEX($AV$66:$AX$70,,$AI500), INDEX($AY$66:$BE$70,,$AH500), 1 / ($BF$66:$BF$70*CS500 + (1-$BF$66:$BF$70)*CO500), N($AU$66:$AU$70&gt;$AM500)),
SUMPRODUCT(INDEX($AV$56:$AX$65,,$AI500), INDEX($AY$56:$BE$65,,$AH500), 1 / ($BG$56:$BG$65*CS500 + (1-$BG$56:$BG$65)*CO500), N($AU$56:$AU$65&gt;$AM500))
) / 1000</f>
        <v>0</v>
      </c>
      <c r="CU500" s="231">
        <f t="shared" si="669"/>
        <v>20</v>
      </c>
      <c r="CV500" s="229">
        <f t="shared" si="654"/>
        <v>33</v>
      </c>
      <c r="CW500" s="234">
        <f t="shared" si="655"/>
        <v>4.8487499999999999</v>
      </c>
      <c r="CX500" s="234" cm="1">
        <f t="array" ref="CX500">$BM500 * IF($AH500&lt;=2,
SUMPRODUCT(INDEX($AV$61:$AX$65,,$AI500), INDEX($AY$61:$BE$65,,$AH500), 1 / ($BF$61:$BF$65*CW500 + (1-$BF$61:$BF$65)*CS500), N($AU$61:$AU$65&gt;$AM500)),
SUMPRODUCT(INDEX($AV$46:$AX$55,,$AI500), INDEX($AY$46:$BE$55,,$AH500), 1 / ($BG$46:$BG$55*CW500 + (1-$BG$46:$BG$55)*CS500), N($AU$46:$AU$55&gt;$AM500))
) / 1000</f>
        <v>0</v>
      </c>
      <c r="CY500" s="234" cm="1">
        <f t="array" ref="CY500">$BM500 * IF($AH500&lt;=2,
SUMPRODUCT(INDEX($AV$22:$AX$60,,$AI500), INDEX($AY$22:$BE$60,,$AH500), 1 / ($BF$22:$BF$60*CW500), N($AU$22:$AU$60&gt;$AM500)),
SUMPRODUCT(INDEX($AV$22:$AX$45,,$AI500), INDEX($AY$22:$BE$45,,$AH500), 1 / ($BG$22:$BG$45*CW500), N($AU$22:$AU$45&gt;$AM500))
) / 1000</f>
        <v>0</v>
      </c>
      <c r="CZ500" s="229">
        <f t="shared" si="656"/>
        <v>0</v>
      </c>
      <c r="DA500" s="246"/>
    </row>
    <row r="501" spans="1:105" s="75" customFormat="1" ht="14.25" customHeight="1" x14ac:dyDescent="0.2">
      <c r="A501" s="230" t="b">
        <f t="shared" si="661"/>
        <v>0</v>
      </c>
      <c r="B501" s="253">
        <v>480</v>
      </c>
      <c r="C501" s="266"/>
      <c r="D501" s="266"/>
      <c r="E501" s="254"/>
      <c r="F501" s="255" t="str">
        <f>IF(ISBLANK(E501), "", VLOOKUP(E501, Z!$A$2:$C$4127, 3, FALSE))</f>
        <v/>
      </c>
      <c r="G501" s="256"/>
      <c r="H501" s="256"/>
      <c r="I501" s="256"/>
      <c r="J501" s="257"/>
      <c r="K501" s="258"/>
      <c r="L501" s="267"/>
      <c r="M501" s="268"/>
      <c r="N501" s="259" t="str" cm="1">
        <f t="array" ref="N501">IF($L501&gt;0, INDEX(Clean,1+AK501,$D$1), "")</f>
        <v/>
      </c>
      <c r="O501" s="260"/>
      <c r="P501" s="260"/>
      <c r="Q501" s="261"/>
      <c r="R501" s="264">
        <f t="shared" si="632"/>
        <v>0</v>
      </c>
      <c r="S501" s="259" t="str" cm="1">
        <f t="array" ref="S501">IF($L501&gt;0, INDEX(Clean,1+AL501,$D$1), "")</f>
        <v/>
      </c>
      <c r="T501" s="260"/>
      <c r="U501" s="260"/>
      <c r="V501" s="261"/>
      <c r="W501" s="267"/>
      <c r="X501" s="267"/>
      <c r="Y501" s="257"/>
      <c r="Z501" s="264">
        <f t="shared" si="633"/>
        <v>0</v>
      </c>
      <c r="AA501" s="269"/>
      <c r="AB501" s="266"/>
      <c r="AC501" s="254"/>
      <c r="AD501" s="255" t="str">
        <f>IF(ISBLANK(AC501), "", VLOOKUP(AC501, Z!$A$2:$C$4127, 3, FALSE))</f>
        <v/>
      </c>
      <c r="AE501" s="270"/>
      <c r="AF501" s="265">
        <f t="shared" si="634"/>
        <v>0</v>
      </c>
      <c r="AG501" s="246"/>
      <c r="AH501" s="228">
        <f t="shared" si="657"/>
        <v>1</v>
      </c>
      <c r="AI501" s="228">
        <f t="shared" si="658"/>
        <v>1</v>
      </c>
      <c r="AJ501" s="228">
        <f t="shared" si="659"/>
        <v>0</v>
      </c>
      <c r="AK501" s="228">
        <v>0</v>
      </c>
      <c r="AL501" s="228">
        <v>0</v>
      </c>
      <c r="AM501" s="228">
        <f t="shared" si="635"/>
        <v>-100</v>
      </c>
      <c r="AN501" s="228" cm="1">
        <f t="array" ref="AN501">IF(ISBLANK(G501), 1, IFERROR(MATCH(G501, INDEX(Kat,,1), 0), IFERROR(MATCH(Kat, INDEX(Use,,2), 0), MATCH(Kat, INDEX(Use,,3), 0))))</f>
        <v>1</v>
      </c>
      <c r="AO501" s="246"/>
      <c r="AP501" s="228" cm="1">
        <f t="array" ref="AP501">IF(W501&gt;0, INDEX(Kat, AN501,4), 0)</f>
        <v>0</v>
      </c>
      <c r="AQ501" s="228">
        <f t="shared" si="660"/>
        <v>0</v>
      </c>
      <c r="AR501" s="228" cm="1">
        <f t="array" ref="AR501">IF(X501&gt;0, INDEX(Kat, $AN501, 4+AQ501), 0)</f>
        <v>0</v>
      </c>
      <c r="AS501" s="228" cm="1">
        <f t="array" ref="AS501">IF(X501&gt;0, INDEX(Kat, $AN501, 9+AQ501), 0)</f>
        <v>0</v>
      </c>
      <c r="AT501" s="246"/>
      <c r="AU501" s="262"/>
      <c r="AV501" s="262"/>
      <c r="AW501" s="263"/>
      <c r="AX501" s="263"/>
      <c r="AY501" s="263"/>
      <c r="AZ501" s="263"/>
      <c r="BA501" s="263"/>
      <c r="BB501" s="263"/>
      <c r="BC501" s="263"/>
      <c r="BD501" s="263"/>
      <c r="BE501" s="263"/>
      <c r="BF501" s="263"/>
      <c r="BG501" s="263"/>
      <c r="BH501" s="246"/>
      <c r="BI501" s="228" cm="1">
        <f t="array" ref="BI501">INDEX(Use, $AH501, 4)</f>
        <v>7</v>
      </c>
      <c r="BJ501" s="228">
        <f t="shared" si="636"/>
        <v>32</v>
      </c>
      <c r="BK501" s="228">
        <f t="shared" si="662"/>
        <v>13</v>
      </c>
      <c r="BL501" s="228">
        <f t="shared" si="663"/>
        <v>0</v>
      </c>
      <c r="BM501" s="233" cm="1">
        <f t="array" ref="BM501">L501/IF($M501&gt;0, INDEX($AY$22:$BE$76, $M501+20, $AH501), 1)</f>
        <v>0</v>
      </c>
      <c r="BN501" s="229">
        <f t="shared" si="637"/>
        <v>0</v>
      </c>
      <c r="BO501" s="228">
        <v>35</v>
      </c>
      <c r="BP501" s="229">
        <f t="shared" si="638"/>
        <v>48</v>
      </c>
      <c r="BQ501" s="234">
        <f t="shared" si="639"/>
        <v>3.0748170731707316</v>
      </c>
      <c r="BR501" s="234" cm="1">
        <f t="array" ref="BR501">$BM501 * SUMPRODUCT(INDEX($AV$76:$AX$81,,$AI501),INDEX($AY$76:$BE$81,,$AH501), N($AU$76:$AU$81&gt;$AM501)) / BQ501 / 1000</f>
        <v>0</v>
      </c>
      <c r="BS501" s="231">
        <f t="shared" si="664"/>
        <v>30</v>
      </c>
      <c r="BT501" s="229">
        <f t="shared" si="640"/>
        <v>43</v>
      </c>
      <c r="BU501" s="234">
        <f t="shared" si="641"/>
        <v>3.5018750000000001</v>
      </c>
      <c r="BV501" s="234" cm="1">
        <f t="array" ref="BV501">$BM501 * IF($AH501&lt;=2,
SUMPRODUCT(INDEX($AV$71:$AX$75,,$AI501), INDEX($AY$71:$BE$75,,$AH501), 1 / ($BF$71:$BF$75*BU501 + (1-$BF$71:$BF$75)*BQ501), N($AU$71:$AU$75&gt;$AM501)),
SUMPRODUCT(INDEX($AV$66:$AX$75,,$AI501), INDEX($AY$66:$BE$75,,$AH501), 1 / ($BG$66:$BG$75*BU501 + (1-$BG$66:$BG$75)*BQ501), N($AU$66:$AU$75&gt;$AM501))
) / 1000</f>
        <v>0</v>
      </c>
      <c r="BW501" s="231">
        <f t="shared" si="665"/>
        <v>25</v>
      </c>
      <c r="BX501" s="229">
        <f t="shared" si="642"/>
        <v>38</v>
      </c>
      <c r="BY501" s="234">
        <f t="shared" si="643"/>
        <v>4.0666935483870965</v>
      </c>
      <c r="BZ501" s="234" cm="1">
        <f t="array" ref="BZ501">$BM501 * IF($AH501&lt;=2,
SUMPRODUCT(INDEX($AV$66:$AX$70,,$AI501), INDEX($AY$66:$BE$70,,$AH501), 1 / ($BF$66:$BF$70*BY501 + (1-$BF$66:$BF$70)*BU501), N($AU$66:$AU$70&gt;$AM501)),
SUMPRODUCT(INDEX($AV$56:$AX$65,,$AI501), INDEX($AY$56:$BE$65,,$AH501), 1 / ($BG$56:$BG$65*BY501 + (1-$BG$56:$BG$65)*BU501), N($AU$56:$AU$65&gt;$AM501))
) / 1000</f>
        <v>0</v>
      </c>
      <c r="CA501" s="231">
        <f t="shared" si="666"/>
        <v>20</v>
      </c>
      <c r="CB501" s="229">
        <f t="shared" si="644"/>
        <v>33</v>
      </c>
      <c r="CC501" s="234">
        <f t="shared" si="645"/>
        <v>4.8487499999999999</v>
      </c>
      <c r="CD501" s="234" cm="1">
        <f t="array" ref="CD501">$BM501 * IF($AH501&lt;=2,
SUMPRODUCT(INDEX($AV$61:$AX$65,,$AI501), INDEX($AY$61:$BE$65,,$AH501), 1 / ($BF$61:$BF$65*CC501 + (1-$BF$61:$BF$65)*BY501), N($AU$61:$AU$65&gt;$AM501)),
SUMPRODUCT(INDEX($AV$46:$AX$55,,$AI501), INDEX($AY$46:$BE$55,,$AH501), 1 / ($BG$46:$BG$55*CC501 + (1-$BG$46:$BG$55)*BY501), N($AU$46:$AU$55&gt;$AM501))
) / 1000</f>
        <v>0</v>
      </c>
      <c r="CE501" s="234" cm="1">
        <f t="array" ref="CE501">$BM501 * IF($AH501&lt;=2,
SUMPRODUCT(INDEX($AV$22:$AX$60,,$AI501), INDEX($AY$22:$BE$60,,$AH501), 1 / ($BF$22:$BF$60*CC501), N($AU$22:$AU$60&gt;$AM501)),
SUMPRODUCT(INDEX($AV$22:$AX$45,,$AI501), INDEX($AY$22:$BE$45,,$AH501), 1 / ($BG$22:$BG$45*CC501), N($AU$22:$AU$45&gt;$AM501))
) / 1000</f>
        <v>0</v>
      </c>
      <c r="CF501" s="229">
        <f t="shared" si="646"/>
        <v>0</v>
      </c>
      <c r="CG501" s="246"/>
      <c r="CH501" s="229">
        <f t="shared" si="647"/>
        <v>0</v>
      </c>
      <c r="CI501" s="228">
        <v>35</v>
      </c>
      <c r="CJ501" s="229">
        <f t="shared" si="648"/>
        <v>48</v>
      </c>
      <c r="CK501" s="234">
        <f t="shared" si="649"/>
        <v>3.0748170731707316</v>
      </c>
      <c r="CL501" s="234" cm="1">
        <f t="array" ref="CL501">$BM501 * SUMPRODUCT(INDEX($AV$76:$AX$81,,$AI501),INDEX($AY$76:$BE$81,,$AH501), N($AU$76:$AU$81&gt;$AM501)) / CK501 / 1000</f>
        <v>0</v>
      </c>
      <c r="CM501" s="231">
        <f t="shared" si="667"/>
        <v>30</v>
      </c>
      <c r="CN501" s="229">
        <f t="shared" si="650"/>
        <v>43</v>
      </c>
      <c r="CO501" s="234">
        <f t="shared" si="651"/>
        <v>3.5018750000000001</v>
      </c>
      <c r="CP501" s="234" cm="1">
        <f t="array" ref="CP501">$BM501 * IF($AH501&lt;=2,
SUMPRODUCT(INDEX($AV$71:$AX$75,,$AI501), INDEX($AY$71:$BE$75,,$AH501), 1 / ($BF$71:$BF$75*CO501 + (1-$BF$71:$BF$75)*CK501), N($AU$71:$AU$75&gt;$AM501)),
SUMPRODUCT(INDEX($AV$66:$AX$75,,$AI501), INDEX($AY$66:$BE$75,,$AH501), 1 / ($BG$66:$BG$75*CO501 + (1-$BG$66:$BG$75)*CK501), N($AU$66:$AU$75&gt;$AM501))
) / 1000</f>
        <v>0</v>
      </c>
      <c r="CQ501" s="231">
        <f t="shared" si="668"/>
        <v>25</v>
      </c>
      <c r="CR501" s="229">
        <f t="shared" si="652"/>
        <v>38</v>
      </c>
      <c r="CS501" s="234">
        <f t="shared" si="653"/>
        <v>4.0666935483870965</v>
      </c>
      <c r="CT501" s="234" cm="1">
        <f t="array" ref="CT501">$BM501 * IF($AH501&lt;=2,
SUMPRODUCT(INDEX($AV$66:$AX$70,,$AI501), INDEX($AY$66:$BE$70,,$AH501), 1 / ($BF$66:$BF$70*CS501 + (1-$BF$66:$BF$70)*CO501), N($AU$66:$AU$70&gt;$AM501)),
SUMPRODUCT(INDEX($AV$56:$AX$65,,$AI501), INDEX($AY$56:$BE$65,,$AH501), 1 / ($BG$56:$BG$65*CS501 + (1-$BG$56:$BG$65)*CO501), N($AU$56:$AU$65&gt;$AM501))
) / 1000</f>
        <v>0</v>
      </c>
      <c r="CU501" s="231">
        <f t="shared" si="669"/>
        <v>20</v>
      </c>
      <c r="CV501" s="229">
        <f t="shared" si="654"/>
        <v>33</v>
      </c>
      <c r="CW501" s="234">
        <f t="shared" si="655"/>
        <v>4.8487499999999999</v>
      </c>
      <c r="CX501" s="234" cm="1">
        <f t="array" ref="CX501">$BM501 * IF($AH501&lt;=2,
SUMPRODUCT(INDEX($AV$61:$AX$65,,$AI501), INDEX($AY$61:$BE$65,,$AH501), 1 / ($BF$61:$BF$65*CW501 + (1-$BF$61:$BF$65)*CS501), N($AU$61:$AU$65&gt;$AM501)),
SUMPRODUCT(INDEX($AV$46:$AX$55,,$AI501), INDEX($AY$46:$BE$55,,$AH501), 1 / ($BG$46:$BG$55*CW501 + (1-$BG$46:$BG$55)*CS501), N($AU$46:$AU$55&gt;$AM501))
) / 1000</f>
        <v>0</v>
      </c>
      <c r="CY501" s="234" cm="1">
        <f t="array" ref="CY501">$BM501 * IF($AH501&lt;=2,
SUMPRODUCT(INDEX($AV$22:$AX$60,,$AI501), INDEX($AY$22:$BE$60,,$AH501), 1 / ($BF$22:$BF$60*CW501), N($AU$22:$AU$60&gt;$AM501)),
SUMPRODUCT(INDEX($AV$22:$AX$45,,$AI501), INDEX($AY$22:$BE$45,,$AH501), 1 / ($BG$22:$BG$45*CW501), N($AU$22:$AU$45&gt;$AM501))
) / 1000</f>
        <v>0</v>
      </c>
      <c r="CZ501" s="229">
        <f t="shared" si="656"/>
        <v>0</v>
      </c>
      <c r="DA501" s="246"/>
    </row>
    <row r="502" spans="1:105" s="75" customFormat="1" ht="14.25" customHeight="1" x14ac:dyDescent="0.2">
      <c r="A502" s="230" t="b">
        <f t="shared" si="661"/>
        <v>0</v>
      </c>
      <c r="B502" s="253">
        <v>481</v>
      </c>
      <c r="C502" s="266"/>
      <c r="D502" s="266"/>
      <c r="E502" s="254"/>
      <c r="F502" s="255" t="str">
        <f>IF(ISBLANK(E502), "", VLOOKUP(E502, Z!$A$2:$C$4127, 3, FALSE))</f>
        <v/>
      </c>
      <c r="G502" s="256"/>
      <c r="H502" s="256"/>
      <c r="I502" s="256"/>
      <c r="J502" s="257"/>
      <c r="K502" s="258"/>
      <c r="L502" s="267"/>
      <c r="M502" s="268"/>
      <c r="N502" s="259" t="str" cm="1">
        <f t="array" ref="N502">IF($L502&gt;0, INDEX(Clean,1+AK502,$D$1), "")</f>
        <v/>
      </c>
      <c r="O502" s="260"/>
      <c r="P502" s="260"/>
      <c r="Q502" s="261"/>
      <c r="R502" s="264">
        <f t="shared" si="632"/>
        <v>0</v>
      </c>
      <c r="S502" s="259" t="str" cm="1">
        <f t="array" ref="S502">IF($L502&gt;0, INDEX(Clean,1+AL502,$D$1), "")</f>
        <v/>
      </c>
      <c r="T502" s="260"/>
      <c r="U502" s="260"/>
      <c r="V502" s="261"/>
      <c r="W502" s="267"/>
      <c r="X502" s="267"/>
      <c r="Y502" s="257"/>
      <c r="Z502" s="264">
        <f t="shared" si="633"/>
        <v>0</v>
      </c>
      <c r="AA502" s="269"/>
      <c r="AB502" s="266"/>
      <c r="AC502" s="254"/>
      <c r="AD502" s="255" t="str">
        <f>IF(ISBLANK(AC502), "", VLOOKUP(AC502, Z!$A$2:$C$4127, 3, FALSE))</f>
        <v/>
      </c>
      <c r="AE502" s="270"/>
      <c r="AF502" s="265">
        <f t="shared" si="634"/>
        <v>0</v>
      </c>
      <c r="AG502" s="246"/>
      <c r="AH502" s="228">
        <f t="shared" si="657"/>
        <v>1</v>
      </c>
      <c r="AI502" s="228">
        <f t="shared" si="658"/>
        <v>1</v>
      </c>
      <c r="AJ502" s="228">
        <f t="shared" si="659"/>
        <v>0</v>
      </c>
      <c r="AK502" s="228">
        <v>0</v>
      </c>
      <c r="AL502" s="228">
        <v>0</v>
      </c>
      <c r="AM502" s="228">
        <f t="shared" si="635"/>
        <v>-100</v>
      </c>
      <c r="AN502" s="228" cm="1">
        <f t="array" ref="AN502">IF(ISBLANK(G502), 1, IFERROR(MATCH(G502, INDEX(Kat,,1), 0), IFERROR(MATCH(Kat, INDEX(Use,,2), 0), MATCH(Kat, INDEX(Use,,3), 0))))</f>
        <v>1</v>
      </c>
      <c r="AO502" s="246"/>
      <c r="AP502" s="228" cm="1">
        <f t="array" ref="AP502">IF(W502&gt;0, INDEX(Kat, AN502,4), 0)</f>
        <v>0</v>
      </c>
      <c r="AQ502" s="228">
        <f t="shared" si="660"/>
        <v>0</v>
      </c>
      <c r="AR502" s="228" cm="1">
        <f t="array" ref="AR502">IF(X502&gt;0, INDEX(Kat, $AN502, 4+AQ502), 0)</f>
        <v>0</v>
      </c>
      <c r="AS502" s="228" cm="1">
        <f t="array" ref="AS502">IF(X502&gt;0, INDEX(Kat, $AN502, 9+AQ502), 0)</f>
        <v>0</v>
      </c>
      <c r="AT502" s="246"/>
      <c r="AU502" s="262"/>
      <c r="AV502" s="262"/>
      <c r="AW502" s="263"/>
      <c r="AX502" s="263"/>
      <c r="AY502" s="263"/>
      <c r="AZ502" s="263"/>
      <c r="BA502" s="263"/>
      <c r="BB502" s="263"/>
      <c r="BC502" s="263"/>
      <c r="BD502" s="263"/>
      <c r="BE502" s="263"/>
      <c r="BF502" s="263"/>
      <c r="BG502" s="263"/>
      <c r="BH502" s="246"/>
      <c r="BI502" s="228" cm="1">
        <f t="array" ref="BI502">INDEX(Use, $AH502, 4)</f>
        <v>7</v>
      </c>
      <c r="BJ502" s="228">
        <f t="shared" si="636"/>
        <v>32</v>
      </c>
      <c r="BK502" s="228">
        <f t="shared" si="662"/>
        <v>13</v>
      </c>
      <c r="BL502" s="228">
        <f t="shared" si="663"/>
        <v>0</v>
      </c>
      <c r="BM502" s="233" cm="1">
        <f t="array" ref="BM502">L502/IF($M502&gt;0, INDEX($AY$22:$BE$76, $M502+20, $AH502), 1)</f>
        <v>0</v>
      </c>
      <c r="BN502" s="229">
        <f t="shared" si="637"/>
        <v>0</v>
      </c>
      <c r="BO502" s="228">
        <v>35</v>
      </c>
      <c r="BP502" s="229">
        <f t="shared" si="638"/>
        <v>48</v>
      </c>
      <c r="BQ502" s="234">
        <f t="shared" si="639"/>
        <v>3.0748170731707316</v>
      </c>
      <c r="BR502" s="234" cm="1">
        <f t="array" ref="BR502">$BM502 * SUMPRODUCT(INDEX($AV$76:$AX$81,,$AI502),INDEX($AY$76:$BE$81,,$AH502), N($AU$76:$AU$81&gt;$AM502)) / BQ502 / 1000</f>
        <v>0</v>
      </c>
      <c r="BS502" s="231">
        <f t="shared" si="664"/>
        <v>30</v>
      </c>
      <c r="BT502" s="229">
        <f t="shared" si="640"/>
        <v>43</v>
      </c>
      <c r="BU502" s="234">
        <f t="shared" si="641"/>
        <v>3.5018750000000001</v>
      </c>
      <c r="BV502" s="234" cm="1">
        <f t="array" ref="BV502">$BM502 * IF($AH502&lt;=2,
SUMPRODUCT(INDEX($AV$71:$AX$75,,$AI502), INDEX($AY$71:$BE$75,,$AH502), 1 / ($BF$71:$BF$75*BU502 + (1-$BF$71:$BF$75)*BQ502), N($AU$71:$AU$75&gt;$AM502)),
SUMPRODUCT(INDEX($AV$66:$AX$75,,$AI502), INDEX($AY$66:$BE$75,,$AH502), 1 / ($BG$66:$BG$75*BU502 + (1-$BG$66:$BG$75)*BQ502), N($AU$66:$AU$75&gt;$AM502))
) / 1000</f>
        <v>0</v>
      </c>
      <c r="BW502" s="231">
        <f t="shared" si="665"/>
        <v>25</v>
      </c>
      <c r="BX502" s="229">
        <f t="shared" si="642"/>
        <v>38</v>
      </c>
      <c r="BY502" s="234">
        <f t="shared" si="643"/>
        <v>4.0666935483870965</v>
      </c>
      <c r="BZ502" s="234" cm="1">
        <f t="array" ref="BZ502">$BM502 * IF($AH502&lt;=2,
SUMPRODUCT(INDEX($AV$66:$AX$70,,$AI502), INDEX($AY$66:$BE$70,,$AH502), 1 / ($BF$66:$BF$70*BY502 + (1-$BF$66:$BF$70)*BU502), N($AU$66:$AU$70&gt;$AM502)),
SUMPRODUCT(INDEX($AV$56:$AX$65,,$AI502), INDEX($AY$56:$BE$65,,$AH502), 1 / ($BG$56:$BG$65*BY502 + (1-$BG$56:$BG$65)*BU502), N($AU$56:$AU$65&gt;$AM502))
) / 1000</f>
        <v>0</v>
      </c>
      <c r="CA502" s="231">
        <f t="shared" si="666"/>
        <v>20</v>
      </c>
      <c r="CB502" s="229">
        <f t="shared" si="644"/>
        <v>33</v>
      </c>
      <c r="CC502" s="234">
        <f t="shared" si="645"/>
        <v>4.8487499999999999</v>
      </c>
      <c r="CD502" s="234" cm="1">
        <f t="array" ref="CD502">$BM502 * IF($AH502&lt;=2,
SUMPRODUCT(INDEX($AV$61:$AX$65,,$AI502), INDEX($AY$61:$BE$65,,$AH502), 1 / ($BF$61:$BF$65*CC502 + (1-$BF$61:$BF$65)*BY502), N($AU$61:$AU$65&gt;$AM502)),
SUMPRODUCT(INDEX($AV$46:$AX$55,,$AI502), INDEX($AY$46:$BE$55,,$AH502), 1 / ($BG$46:$BG$55*CC502 + (1-$BG$46:$BG$55)*BY502), N($AU$46:$AU$55&gt;$AM502))
) / 1000</f>
        <v>0</v>
      </c>
      <c r="CE502" s="234" cm="1">
        <f t="array" ref="CE502">$BM502 * IF($AH502&lt;=2,
SUMPRODUCT(INDEX($AV$22:$AX$60,,$AI502), INDEX($AY$22:$BE$60,,$AH502), 1 / ($BF$22:$BF$60*CC502), N($AU$22:$AU$60&gt;$AM502)),
SUMPRODUCT(INDEX($AV$22:$AX$45,,$AI502), INDEX($AY$22:$BE$45,,$AH502), 1 / ($BG$22:$BG$45*CC502), N($AU$22:$AU$45&gt;$AM502))
) / 1000</f>
        <v>0</v>
      </c>
      <c r="CF502" s="229">
        <f t="shared" si="646"/>
        <v>0</v>
      </c>
      <c r="CG502" s="246"/>
      <c r="CH502" s="229">
        <f t="shared" si="647"/>
        <v>0</v>
      </c>
      <c r="CI502" s="228">
        <v>35</v>
      </c>
      <c r="CJ502" s="229">
        <f t="shared" si="648"/>
        <v>48</v>
      </c>
      <c r="CK502" s="234">
        <f t="shared" si="649"/>
        <v>3.0748170731707316</v>
      </c>
      <c r="CL502" s="234" cm="1">
        <f t="array" ref="CL502">$BM502 * SUMPRODUCT(INDEX($AV$76:$AX$81,,$AI502),INDEX($AY$76:$BE$81,,$AH502), N($AU$76:$AU$81&gt;$AM502)) / CK502 / 1000</f>
        <v>0</v>
      </c>
      <c r="CM502" s="231">
        <f t="shared" si="667"/>
        <v>30</v>
      </c>
      <c r="CN502" s="229">
        <f t="shared" si="650"/>
        <v>43</v>
      </c>
      <c r="CO502" s="234">
        <f t="shared" si="651"/>
        <v>3.5018750000000001</v>
      </c>
      <c r="CP502" s="234" cm="1">
        <f t="array" ref="CP502">$BM502 * IF($AH502&lt;=2,
SUMPRODUCT(INDEX($AV$71:$AX$75,,$AI502), INDEX($AY$71:$BE$75,,$AH502), 1 / ($BF$71:$BF$75*CO502 + (1-$BF$71:$BF$75)*CK502), N($AU$71:$AU$75&gt;$AM502)),
SUMPRODUCT(INDEX($AV$66:$AX$75,,$AI502), INDEX($AY$66:$BE$75,,$AH502), 1 / ($BG$66:$BG$75*CO502 + (1-$BG$66:$BG$75)*CK502), N($AU$66:$AU$75&gt;$AM502))
) / 1000</f>
        <v>0</v>
      </c>
      <c r="CQ502" s="231">
        <f t="shared" si="668"/>
        <v>25</v>
      </c>
      <c r="CR502" s="229">
        <f t="shared" si="652"/>
        <v>38</v>
      </c>
      <c r="CS502" s="234">
        <f t="shared" si="653"/>
        <v>4.0666935483870965</v>
      </c>
      <c r="CT502" s="234" cm="1">
        <f t="array" ref="CT502">$BM502 * IF($AH502&lt;=2,
SUMPRODUCT(INDEX($AV$66:$AX$70,,$AI502), INDEX($AY$66:$BE$70,,$AH502), 1 / ($BF$66:$BF$70*CS502 + (1-$BF$66:$BF$70)*CO502), N($AU$66:$AU$70&gt;$AM502)),
SUMPRODUCT(INDEX($AV$56:$AX$65,,$AI502), INDEX($AY$56:$BE$65,,$AH502), 1 / ($BG$56:$BG$65*CS502 + (1-$BG$56:$BG$65)*CO502), N($AU$56:$AU$65&gt;$AM502))
) / 1000</f>
        <v>0</v>
      </c>
      <c r="CU502" s="231">
        <f t="shared" si="669"/>
        <v>20</v>
      </c>
      <c r="CV502" s="229">
        <f t="shared" si="654"/>
        <v>33</v>
      </c>
      <c r="CW502" s="234">
        <f t="shared" si="655"/>
        <v>4.8487499999999999</v>
      </c>
      <c r="CX502" s="234" cm="1">
        <f t="array" ref="CX502">$BM502 * IF($AH502&lt;=2,
SUMPRODUCT(INDEX($AV$61:$AX$65,,$AI502), INDEX($AY$61:$BE$65,,$AH502), 1 / ($BF$61:$BF$65*CW502 + (1-$BF$61:$BF$65)*CS502), N($AU$61:$AU$65&gt;$AM502)),
SUMPRODUCT(INDEX($AV$46:$AX$55,,$AI502), INDEX($AY$46:$BE$55,,$AH502), 1 / ($BG$46:$BG$55*CW502 + (1-$BG$46:$BG$55)*CS502), N($AU$46:$AU$55&gt;$AM502))
) / 1000</f>
        <v>0</v>
      </c>
      <c r="CY502" s="234" cm="1">
        <f t="array" ref="CY502">$BM502 * IF($AH502&lt;=2,
SUMPRODUCT(INDEX($AV$22:$AX$60,,$AI502), INDEX($AY$22:$BE$60,,$AH502), 1 / ($BF$22:$BF$60*CW502), N($AU$22:$AU$60&gt;$AM502)),
SUMPRODUCT(INDEX($AV$22:$AX$45,,$AI502), INDEX($AY$22:$BE$45,,$AH502), 1 / ($BG$22:$BG$45*CW502), N($AU$22:$AU$45&gt;$AM502))
) / 1000</f>
        <v>0</v>
      </c>
      <c r="CZ502" s="229">
        <f t="shared" si="656"/>
        <v>0</v>
      </c>
      <c r="DA502" s="246"/>
    </row>
    <row r="503" spans="1:105" s="75" customFormat="1" ht="14.25" customHeight="1" x14ac:dyDescent="0.2">
      <c r="A503" s="230" t="b">
        <f t="shared" si="661"/>
        <v>0</v>
      </c>
      <c r="B503" s="253">
        <v>482</v>
      </c>
      <c r="C503" s="266"/>
      <c r="D503" s="266"/>
      <c r="E503" s="254"/>
      <c r="F503" s="255" t="str">
        <f>IF(ISBLANK(E503), "", VLOOKUP(E503, Z!$A$2:$C$4127, 3, FALSE))</f>
        <v/>
      </c>
      <c r="G503" s="256"/>
      <c r="H503" s="256"/>
      <c r="I503" s="256"/>
      <c r="J503" s="257"/>
      <c r="K503" s="258"/>
      <c r="L503" s="267"/>
      <c r="M503" s="268"/>
      <c r="N503" s="259" t="str" cm="1">
        <f t="array" ref="N503">IF($L503&gt;0, INDEX(Clean,1+AK503,$D$1), "")</f>
        <v/>
      </c>
      <c r="O503" s="260"/>
      <c r="P503" s="260"/>
      <c r="Q503" s="261"/>
      <c r="R503" s="264">
        <f t="shared" si="632"/>
        <v>0</v>
      </c>
      <c r="S503" s="259" t="str" cm="1">
        <f t="array" ref="S503">IF($L503&gt;0, INDEX(Clean,1+AL503,$D$1), "")</f>
        <v/>
      </c>
      <c r="T503" s="260"/>
      <c r="U503" s="260"/>
      <c r="V503" s="261"/>
      <c r="W503" s="267"/>
      <c r="X503" s="267"/>
      <c r="Y503" s="257"/>
      <c r="Z503" s="264">
        <f t="shared" si="633"/>
        <v>0</v>
      </c>
      <c r="AA503" s="269"/>
      <c r="AB503" s="266"/>
      <c r="AC503" s="254"/>
      <c r="AD503" s="255" t="str">
        <f>IF(ISBLANK(AC503), "", VLOOKUP(AC503, Z!$A$2:$C$4127, 3, FALSE))</f>
        <v/>
      </c>
      <c r="AE503" s="270"/>
      <c r="AF503" s="265">
        <f t="shared" si="634"/>
        <v>0</v>
      </c>
      <c r="AG503" s="246"/>
      <c r="AH503" s="228">
        <f t="shared" si="657"/>
        <v>1</v>
      </c>
      <c r="AI503" s="228">
        <f t="shared" si="658"/>
        <v>1</v>
      </c>
      <c r="AJ503" s="228">
        <f t="shared" si="659"/>
        <v>0</v>
      </c>
      <c r="AK503" s="228">
        <v>0</v>
      </c>
      <c r="AL503" s="228">
        <v>0</v>
      </c>
      <c r="AM503" s="228">
        <f t="shared" si="635"/>
        <v>-100</v>
      </c>
      <c r="AN503" s="228" cm="1">
        <f t="array" ref="AN503">IF(ISBLANK(G503), 1, IFERROR(MATCH(G503, INDEX(Kat,,1), 0), IFERROR(MATCH(Kat, INDEX(Use,,2), 0), MATCH(Kat, INDEX(Use,,3), 0))))</f>
        <v>1</v>
      </c>
      <c r="AO503" s="246"/>
      <c r="AP503" s="228" cm="1">
        <f t="array" ref="AP503">IF(W503&gt;0, INDEX(Kat, AN503,4), 0)</f>
        <v>0</v>
      </c>
      <c r="AQ503" s="228">
        <f t="shared" si="660"/>
        <v>0</v>
      </c>
      <c r="AR503" s="228" cm="1">
        <f t="array" ref="AR503">IF(X503&gt;0, INDEX(Kat, $AN503, 4+AQ503), 0)</f>
        <v>0</v>
      </c>
      <c r="AS503" s="228" cm="1">
        <f t="array" ref="AS503">IF(X503&gt;0, INDEX(Kat, $AN503, 9+AQ503), 0)</f>
        <v>0</v>
      </c>
      <c r="AT503" s="246"/>
      <c r="AU503" s="262"/>
      <c r="AV503" s="262"/>
      <c r="AW503" s="263"/>
      <c r="AX503" s="263"/>
      <c r="AY503" s="263"/>
      <c r="AZ503" s="263"/>
      <c r="BA503" s="263"/>
      <c r="BB503" s="263"/>
      <c r="BC503" s="263"/>
      <c r="BD503" s="263"/>
      <c r="BE503" s="263"/>
      <c r="BF503" s="263"/>
      <c r="BG503" s="263"/>
      <c r="BH503" s="246"/>
      <c r="BI503" s="228" cm="1">
        <f t="array" ref="BI503">INDEX(Use, $AH503, 4)</f>
        <v>7</v>
      </c>
      <c r="BJ503" s="228">
        <f t="shared" si="636"/>
        <v>32</v>
      </c>
      <c r="BK503" s="228">
        <f t="shared" si="662"/>
        <v>13</v>
      </c>
      <c r="BL503" s="228">
        <f t="shared" si="663"/>
        <v>0</v>
      </c>
      <c r="BM503" s="233" cm="1">
        <f t="array" ref="BM503">L503/IF($M503&gt;0, INDEX($AY$22:$BE$76, $M503+20, $AH503), 1)</f>
        <v>0</v>
      </c>
      <c r="BN503" s="229">
        <f t="shared" si="637"/>
        <v>0</v>
      </c>
      <c r="BO503" s="228">
        <v>35</v>
      </c>
      <c r="BP503" s="229">
        <f t="shared" si="638"/>
        <v>48</v>
      </c>
      <c r="BQ503" s="234">
        <f t="shared" si="639"/>
        <v>3.0748170731707316</v>
      </c>
      <c r="BR503" s="234" cm="1">
        <f t="array" ref="BR503">$BM503 * SUMPRODUCT(INDEX($AV$76:$AX$81,,$AI503),INDEX($AY$76:$BE$81,,$AH503), N($AU$76:$AU$81&gt;$AM503)) / BQ503 / 1000</f>
        <v>0</v>
      </c>
      <c r="BS503" s="231">
        <f t="shared" si="664"/>
        <v>30</v>
      </c>
      <c r="BT503" s="229">
        <f t="shared" si="640"/>
        <v>43</v>
      </c>
      <c r="BU503" s="234">
        <f t="shared" si="641"/>
        <v>3.5018750000000001</v>
      </c>
      <c r="BV503" s="234" cm="1">
        <f t="array" ref="BV503">$BM503 * IF($AH503&lt;=2,
SUMPRODUCT(INDEX($AV$71:$AX$75,,$AI503), INDEX($AY$71:$BE$75,,$AH503), 1 / ($BF$71:$BF$75*BU503 + (1-$BF$71:$BF$75)*BQ503), N($AU$71:$AU$75&gt;$AM503)),
SUMPRODUCT(INDEX($AV$66:$AX$75,,$AI503), INDEX($AY$66:$BE$75,,$AH503), 1 / ($BG$66:$BG$75*BU503 + (1-$BG$66:$BG$75)*BQ503), N($AU$66:$AU$75&gt;$AM503))
) / 1000</f>
        <v>0</v>
      </c>
      <c r="BW503" s="231">
        <f t="shared" si="665"/>
        <v>25</v>
      </c>
      <c r="BX503" s="229">
        <f t="shared" si="642"/>
        <v>38</v>
      </c>
      <c r="BY503" s="234">
        <f t="shared" si="643"/>
        <v>4.0666935483870965</v>
      </c>
      <c r="BZ503" s="234" cm="1">
        <f t="array" ref="BZ503">$BM503 * IF($AH503&lt;=2,
SUMPRODUCT(INDEX($AV$66:$AX$70,,$AI503), INDEX($AY$66:$BE$70,,$AH503), 1 / ($BF$66:$BF$70*BY503 + (1-$BF$66:$BF$70)*BU503), N($AU$66:$AU$70&gt;$AM503)),
SUMPRODUCT(INDEX($AV$56:$AX$65,,$AI503), INDEX($AY$56:$BE$65,,$AH503), 1 / ($BG$56:$BG$65*BY503 + (1-$BG$56:$BG$65)*BU503), N($AU$56:$AU$65&gt;$AM503))
) / 1000</f>
        <v>0</v>
      </c>
      <c r="CA503" s="231">
        <f t="shared" si="666"/>
        <v>20</v>
      </c>
      <c r="CB503" s="229">
        <f t="shared" si="644"/>
        <v>33</v>
      </c>
      <c r="CC503" s="234">
        <f t="shared" si="645"/>
        <v>4.8487499999999999</v>
      </c>
      <c r="CD503" s="234" cm="1">
        <f t="array" ref="CD503">$BM503 * IF($AH503&lt;=2,
SUMPRODUCT(INDEX($AV$61:$AX$65,,$AI503), INDEX($AY$61:$BE$65,,$AH503), 1 / ($BF$61:$BF$65*CC503 + (1-$BF$61:$BF$65)*BY503), N($AU$61:$AU$65&gt;$AM503)),
SUMPRODUCT(INDEX($AV$46:$AX$55,,$AI503), INDEX($AY$46:$BE$55,,$AH503), 1 / ($BG$46:$BG$55*CC503 + (1-$BG$46:$BG$55)*BY503), N($AU$46:$AU$55&gt;$AM503))
) / 1000</f>
        <v>0</v>
      </c>
      <c r="CE503" s="234" cm="1">
        <f t="array" ref="CE503">$BM503 * IF($AH503&lt;=2,
SUMPRODUCT(INDEX($AV$22:$AX$60,,$AI503), INDEX($AY$22:$BE$60,,$AH503), 1 / ($BF$22:$BF$60*CC503), N($AU$22:$AU$60&gt;$AM503)),
SUMPRODUCT(INDEX($AV$22:$AX$45,,$AI503), INDEX($AY$22:$BE$45,,$AH503), 1 / ($BG$22:$BG$45*CC503), N($AU$22:$AU$45&gt;$AM503))
) / 1000</f>
        <v>0</v>
      </c>
      <c r="CF503" s="229">
        <f t="shared" si="646"/>
        <v>0</v>
      </c>
      <c r="CG503" s="246"/>
      <c r="CH503" s="229">
        <f t="shared" si="647"/>
        <v>0</v>
      </c>
      <c r="CI503" s="228">
        <v>35</v>
      </c>
      <c r="CJ503" s="229">
        <f t="shared" si="648"/>
        <v>48</v>
      </c>
      <c r="CK503" s="234">
        <f t="shared" si="649"/>
        <v>3.0748170731707316</v>
      </c>
      <c r="CL503" s="234" cm="1">
        <f t="array" ref="CL503">$BM503 * SUMPRODUCT(INDEX($AV$76:$AX$81,,$AI503),INDEX($AY$76:$BE$81,,$AH503), N($AU$76:$AU$81&gt;$AM503)) / CK503 / 1000</f>
        <v>0</v>
      </c>
      <c r="CM503" s="231">
        <f t="shared" si="667"/>
        <v>30</v>
      </c>
      <c r="CN503" s="229">
        <f t="shared" si="650"/>
        <v>43</v>
      </c>
      <c r="CO503" s="234">
        <f t="shared" si="651"/>
        <v>3.5018750000000001</v>
      </c>
      <c r="CP503" s="234" cm="1">
        <f t="array" ref="CP503">$BM503 * IF($AH503&lt;=2,
SUMPRODUCT(INDEX($AV$71:$AX$75,,$AI503), INDEX($AY$71:$BE$75,,$AH503), 1 / ($BF$71:$BF$75*CO503 + (1-$BF$71:$BF$75)*CK503), N($AU$71:$AU$75&gt;$AM503)),
SUMPRODUCT(INDEX($AV$66:$AX$75,,$AI503), INDEX($AY$66:$BE$75,,$AH503), 1 / ($BG$66:$BG$75*CO503 + (1-$BG$66:$BG$75)*CK503), N($AU$66:$AU$75&gt;$AM503))
) / 1000</f>
        <v>0</v>
      </c>
      <c r="CQ503" s="231">
        <f t="shared" si="668"/>
        <v>25</v>
      </c>
      <c r="CR503" s="229">
        <f t="shared" si="652"/>
        <v>38</v>
      </c>
      <c r="CS503" s="234">
        <f t="shared" si="653"/>
        <v>4.0666935483870965</v>
      </c>
      <c r="CT503" s="234" cm="1">
        <f t="array" ref="CT503">$BM503 * IF($AH503&lt;=2,
SUMPRODUCT(INDEX($AV$66:$AX$70,,$AI503), INDEX($AY$66:$BE$70,,$AH503), 1 / ($BF$66:$BF$70*CS503 + (1-$BF$66:$BF$70)*CO503), N($AU$66:$AU$70&gt;$AM503)),
SUMPRODUCT(INDEX($AV$56:$AX$65,,$AI503), INDEX($AY$56:$BE$65,,$AH503), 1 / ($BG$56:$BG$65*CS503 + (1-$BG$56:$BG$65)*CO503), N($AU$56:$AU$65&gt;$AM503))
) / 1000</f>
        <v>0</v>
      </c>
      <c r="CU503" s="231">
        <f t="shared" si="669"/>
        <v>20</v>
      </c>
      <c r="CV503" s="229">
        <f t="shared" si="654"/>
        <v>33</v>
      </c>
      <c r="CW503" s="234">
        <f t="shared" si="655"/>
        <v>4.8487499999999999</v>
      </c>
      <c r="CX503" s="234" cm="1">
        <f t="array" ref="CX503">$BM503 * IF($AH503&lt;=2,
SUMPRODUCT(INDEX($AV$61:$AX$65,,$AI503), INDEX($AY$61:$BE$65,,$AH503), 1 / ($BF$61:$BF$65*CW503 + (1-$BF$61:$BF$65)*CS503), N($AU$61:$AU$65&gt;$AM503)),
SUMPRODUCT(INDEX($AV$46:$AX$55,,$AI503), INDEX($AY$46:$BE$55,,$AH503), 1 / ($BG$46:$BG$55*CW503 + (1-$BG$46:$BG$55)*CS503), N($AU$46:$AU$55&gt;$AM503))
) / 1000</f>
        <v>0</v>
      </c>
      <c r="CY503" s="234" cm="1">
        <f t="array" ref="CY503">$BM503 * IF($AH503&lt;=2,
SUMPRODUCT(INDEX($AV$22:$AX$60,,$AI503), INDEX($AY$22:$BE$60,,$AH503), 1 / ($BF$22:$BF$60*CW503), N($AU$22:$AU$60&gt;$AM503)),
SUMPRODUCT(INDEX($AV$22:$AX$45,,$AI503), INDEX($AY$22:$BE$45,,$AH503), 1 / ($BG$22:$BG$45*CW503), N($AU$22:$AU$45&gt;$AM503))
) / 1000</f>
        <v>0</v>
      </c>
      <c r="CZ503" s="229">
        <f t="shared" si="656"/>
        <v>0</v>
      </c>
      <c r="DA503" s="246"/>
    </row>
    <row r="504" spans="1:105" s="75" customFormat="1" ht="14.25" customHeight="1" x14ac:dyDescent="0.2">
      <c r="A504" s="230" t="b">
        <f t="shared" si="661"/>
        <v>0</v>
      </c>
      <c r="B504" s="253">
        <v>483</v>
      </c>
      <c r="C504" s="266"/>
      <c r="D504" s="266"/>
      <c r="E504" s="254"/>
      <c r="F504" s="255" t="str">
        <f>IF(ISBLANK(E504), "", VLOOKUP(E504, Z!$A$2:$C$4127, 3, FALSE))</f>
        <v/>
      </c>
      <c r="G504" s="256"/>
      <c r="H504" s="256"/>
      <c r="I504" s="256"/>
      <c r="J504" s="257"/>
      <c r="K504" s="258"/>
      <c r="L504" s="267"/>
      <c r="M504" s="268"/>
      <c r="N504" s="259" t="str" cm="1">
        <f t="array" ref="N504">IF($L504&gt;0, INDEX(Clean,1+AK504,$D$1), "")</f>
        <v/>
      </c>
      <c r="O504" s="260"/>
      <c r="P504" s="260"/>
      <c r="Q504" s="261"/>
      <c r="R504" s="264">
        <f t="shared" si="632"/>
        <v>0</v>
      </c>
      <c r="S504" s="259" t="str" cm="1">
        <f t="array" ref="S504">IF($L504&gt;0, INDEX(Clean,1+AL504,$D$1), "")</f>
        <v/>
      </c>
      <c r="T504" s="260"/>
      <c r="U504" s="260"/>
      <c r="V504" s="261"/>
      <c r="W504" s="267"/>
      <c r="X504" s="267"/>
      <c r="Y504" s="257"/>
      <c r="Z504" s="264">
        <f t="shared" si="633"/>
        <v>0</v>
      </c>
      <c r="AA504" s="269"/>
      <c r="AB504" s="266"/>
      <c r="AC504" s="254"/>
      <c r="AD504" s="255" t="str">
        <f>IF(ISBLANK(AC504), "", VLOOKUP(AC504, Z!$A$2:$C$4127, 3, FALSE))</f>
        <v/>
      </c>
      <c r="AE504" s="270"/>
      <c r="AF504" s="265">
        <f t="shared" si="634"/>
        <v>0</v>
      </c>
      <c r="AG504" s="246"/>
      <c r="AH504" s="228">
        <f t="shared" si="657"/>
        <v>1</v>
      </c>
      <c r="AI504" s="228">
        <f t="shared" si="658"/>
        <v>1</v>
      </c>
      <c r="AJ504" s="228">
        <f t="shared" si="659"/>
        <v>0</v>
      </c>
      <c r="AK504" s="228">
        <v>0</v>
      </c>
      <c r="AL504" s="228">
        <v>0</v>
      </c>
      <c r="AM504" s="228">
        <f t="shared" si="635"/>
        <v>-100</v>
      </c>
      <c r="AN504" s="228" cm="1">
        <f t="array" ref="AN504">IF(ISBLANK(G504), 1, IFERROR(MATCH(G504, INDEX(Kat,,1), 0), IFERROR(MATCH(Kat, INDEX(Use,,2), 0), MATCH(Kat, INDEX(Use,,3), 0))))</f>
        <v>1</v>
      </c>
      <c r="AO504" s="246"/>
      <c r="AP504" s="228" cm="1">
        <f t="array" ref="AP504">IF(W504&gt;0, INDEX(Kat, AN504,4), 0)</f>
        <v>0</v>
      </c>
      <c r="AQ504" s="228">
        <f t="shared" si="660"/>
        <v>0</v>
      </c>
      <c r="AR504" s="228" cm="1">
        <f t="array" ref="AR504">IF(X504&gt;0, INDEX(Kat, $AN504, 4+AQ504), 0)</f>
        <v>0</v>
      </c>
      <c r="AS504" s="228" cm="1">
        <f t="array" ref="AS504">IF(X504&gt;0, INDEX(Kat, $AN504, 9+AQ504), 0)</f>
        <v>0</v>
      </c>
      <c r="AT504" s="246"/>
      <c r="AU504" s="262"/>
      <c r="AV504" s="262"/>
      <c r="AW504" s="263"/>
      <c r="AX504" s="263"/>
      <c r="AY504" s="263"/>
      <c r="AZ504" s="263"/>
      <c r="BA504" s="263"/>
      <c r="BB504" s="263"/>
      <c r="BC504" s="263"/>
      <c r="BD504" s="263"/>
      <c r="BE504" s="263"/>
      <c r="BF504" s="263"/>
      <c r="BG504" s="263"/>
      <c r="BH504" s="246"/>
      <c r="BI504" s="228" cm="1">
        <f t="array" ref="BI504">INDEX(Use, $AH504, 4)</f>
        <v>7</v>
      </c>
      <c r="BJ504" s="228">
        <f t="shared" si="636"/>
        <v>32</v>
      </c>
      <c r="BK504" s="228">
        <f t="shared" si="662"/>
        <v>13</v>
      </c>
      <c r="BL504" s="228">
        <f t="shared" si="663"/>
        <v>0</v>
      </c>
      <c r="BM504" s="233" cm="1">
        <f t="array" ref="BM504">L504/IF($M504&gt;0, INDEX($AY$22:$BE$76, $M504+20, $AH504), 1)</f>
        <v>0</v>
      </c>
      <c r="BN504" s="229">
        <f t="shared" si="637"/>
        <v>0</v>
      </c>
      <c r="BO504" s="228">
        <v>35</v>
      </c>
      <c r="BP504" s="229">
        <f t="shared" si="638"/>
        <v>48</v>
      </c>
      <c r="BQ504" s="234">
        <f t="shared" si="639"/>
        <v>3.0748170731707316</v>
      </c>
      <c r="BR504" s="234" cm="1">
        <f t="array" ref="BR504">$BM504 * SUMPRODUCT(INDEX($AV$76:$AX$81,,$AI504),INDEX($AY$76:$BE$81,,$AH504), N($AU$76:$AU$81&gt;$AM504)) / BQ504 / 1000</f>
        <v>0</v>
      </c>
      <c r="BS504" s="231">
        <f t="shared" si="664"/>
        <v>30</v>
      </c>
      <c r="BT504" s="229">
        <f t="shared" si="640"/>
        <v>43</v>
      </c>
      <c r="BU504" s="234">
        <f t="shared" si="641"/>
        <v>3.5018750000000001</v>
      </c>
      <c r="BV504" s="234" cm="1">
        <f t="array" ref="BV504">$BM504 * IF($AH504&lt;=2,
SUMPRODUCT(INDEX($AV$71:$AX$75,,$AI504), INDEX($AY$71:$BE$75,,$AH504), 1 / ($BF$71:$BF$75*BU504 + (1-$BF$71:$BF$75)*BQ504), N($AU$71:$AU$75&gt;$AM504)),
SUMPRODUCT(INDEX($AV$66:$AX$75,,$AI504), INDEX($AY$66:$BE$75,,$AH504), 1 / ($BG$66:$BG$75*BU504 + (1-$BG$66:$BG$75)*BQ504), N($AU$66:$AU$75&gt;$AM504))
) / 1000</f>
        <v>0</v>
      </c>
      <c r="BW504" s="231">
        <f t="shared" si="665"/>
        <v>25</v>
      </c>
      <c r="BX504" s="229">
        <f t="shared" si="642"/>
        <v>38</v>
      </c>
      <c r="BY504" s="234">
        <f t="shared" si="643"/>
        <v>4.0666935483870965</v>
      </c>
      <c r="BZ504" s="234" cm="1">
        <f t="array" ref="BZ504">$BM504 * IF($AH504&lt;=2,
SUMPRODUCT(INDEX($AV$66:$AX$70,,$AI504), INDEX($AY$66:$BE$70,,$AH504), 1 / ($BF$66:$BF$70*BY504 + (1-$BF$66:$BF$70)*BU504), N($AU$66:$AU$70&gt;$AM504)),
SUMPRODUCT(INDEX($AV$56:$AX$65,,$AI504), INDEX($AY$56:$BE$65,,$AH504), 1 / ($BG$56:$BG$65*BY504 + (1-$BG$56:$BG$65)*BU504), N($AU$56:$AU$65&gt;$AM504))
) / 1000</f>
        <v>0</v>
      </c>
      <c r="CA504" s="231">
        <f t="shared" si="666"/>
        <v>20</v>
      </c>
      <c r="CB504" s="229">
        <f t="shared" si="644"/>
        <v>33</v>
      </c>
      <c r="CC504" s="234">
        <f t="shared" si="645"/>
        <v>4.8487499999999999</v>
      </c>
      <c r="CD504" s="234" cm="1">
        <f t="array" ref="CD504">$BM504 * IF($AH504&lt;=2,
SUMPRODUCT(INDEX($AV$61:$AX$65,,$AI504), INDEX($AY$61:$BE$65,,$AH504), 1 / ($BF$61:$BF$65*CC504 + (1-$BF$61:$BF$65)*BY504), N($AU$61:$AU$65&gt;$AM504)),
SUMPRODUCT(INDEX($AV$46:$AX$55,,$AI504), INDEX($AY$46:$BE$55,,$AH504), 1 / ($BG$46:$BG$55*CC504 + (1-$BG$46:$BG$55)*BY504), N($AU$46:$AU$55&gt;$AM504))
) / 1000</f>
        <v>0</v>
      </c>
      <c r="CE504" s="234" cm="1">
        <f t="array" ref="CE504">$BM504 * IF($AH504&lt;=2,
SUMPRODUCT(INDEX($AV$22:$AX$60,,$AI504), INDEX($AY$22:$BE$60,,$AH504), 1 / ($BF$22:$BF$60*CC504), N($AU$22:$AU$60&gt;$AM504)),
SUMPRODUCT(INDEX($AV$22:$AX$45,,$AI504), INDEX($AY$22:$BE$45,,$AH504), 1 / ($BG$22:$BG$45*CC504), N($AU$22:$AU$45&gt;$AM504))
) / 1000</f>
        <v>0</v>
      </c>
      <c r="CF504" s="229">
        <f t="shared" si="646"/>
        <v>0</v>
      </c>
      <c r="CG504" s="246"/>
      <c r="CH504" s="229">
        <f t="shared" si="647"/>
        <v>0</v>
      </c>
      <c r="CI504" s="228">
        <v>35</v>
      </c>
      <c r="CJ504" s="229">
        <f t="shared" si="648"/>
        <v>48</v>
      </c>
      <c r="CK504" s="234">
        <f t="shared" si="649"/>
        <v>3.0748170731707316</v>
      </c>
      <c r="CL504" s="234" cm="1">
        <f t="array" ref="CL504">$BM504 * SUMPRODUCT(INDEX($AV$76:$AX$81,,$AI504),INDEX($AY$76:$BE$81,,$AH504), N($AU$76:$AU$81&gt;$AM504)) / CK504 / 1000</f>
        <v>0</v>
      </c>
      <c r="CM504" s="231">
        <f t="shared" si="667"/>
        <v>30</v>
      </c>
      <c r="CN504" s="229">
        <f t="shared" si="650"/>
        <v>43</v>
      </c>
      <c r="CO504" s="234">
        <f t="shared" si="651"/>
        <v>3.5018750000000001</v>
      </c>
      <c r="CP504" s="234" cm="1">
        <f t="array" ref="CP504">$BM504 * IF($AH504&lt;=2,
SUMPRODUCT(INDEX($AV$71:$AX$75,,$AI504), INDEX($AY$71:$BE$75,,$AH504), 1 / ($BF$71:$BF$75*CO504 + (1-$BF$71:$BF$75)*CK504), N($AU$71:$AU$75&gt;$AM504)),
SUMPRODUCT(INDEX($AV$66:$AX$75,,$AI504), INDEX($AY$66:$BE$75,,$AH504), 1 / ($BG$66:$BG$75*CO504 + (1-$BG$66:$BG$75)*CK504), N($AU$66:$AU$75&gt;$AM504))
) / 1000</f>
        <v>0</v>
      </c>
      <c r="CQ504" s="231">
        <f t="shared" si="668"/>
        <v>25</v>
      </c>
      <c r="CR504" s="229">
        <f t="shared" si="652"/>
        <v>38</v>
      </c>
      <c r="CS504" s="234">
        <f t="shared" si="653"/>
        <v>4.0666935483870965</v>
      </c>
      <c r="CT504" s="234" cm="1">
        <f t="array" ref="CT504">$BM504 * IF($AH504&lt;=2,
SUMPRODUCT(INDEX($AV$66:$AX$70,,$AI504), INDEX($AY$66:$BE$70,,$AH504), 1 / ($BF$66:$BF$70*CS504 + (1-$BF$66:$BF$70)*CO504), N($AU$66:$AU$70&gt;$AM504)),
SUMPRODUCT(INDEX($AV$56:$AX$65,,$AI504), INDEX($AY$56:$BE$65,,$AH504), 1 / ($BG$56:$BG$65*CS504 + (1-$BG$56:$BG$65)*CO504), N($AU$56:$AU$65&gt;$AM504))
) / 1000</f>
        <v>0</v>
      </c>
      <c r="CU504" s="231">
        <f t="shared" si="669"/>
        <v>20</v>
      </c>
      <c r="CV504" s="229">
        <f t="shared" si="654"/>
        <v>33</v>
      </c>
      <c r="CW504" s="234">
        <f t="shared" si="655"/>
        <v>4.8487499999999999</v>
      </c>
      <c r="CX504" s="234" cm="1">
        <f t="array" ref="CX504">$BM504 * IF($AH504&lt;=2,
SUMPRODUCT(INDEX($AV$61:$AX$65,,$AI504), INDEX($AY$61:$BE$65,,$AH504), 1 / ($BF$61:$BF$65*CW504 + (1-$BF$61:$BF$65)*CS504), N($AU$61:$AU$65&gt;$AM504)),
SUMPRODUCT(INDEX($AV$46:$AX$55,,$AI504), INDEX($AY$46:$BE$55,,$AH504), 1 / ($BG$46:$BG$55*CW504 + (1-$BG$46:$BG$55)*CS504), N($AU$46:$AU$55&gt;$AM504))
) / 1000</f>
        <v>0</v>
      </c>
      <c r="CY504" s="234" cm="1">
        <f t="array" ref="CY504">$BM504 * IF($AH504&lt;=2,
SUMPRODUCT(INDEX($AV$22:$AX$60,,$AI504), INDEX($AY$22:$BE$60,,$AH504), 1 / ($BF$22:$BF$60*CW504), N($AU$22:$AU$60&gt;$AM504)),
SUMPRODUCT(INDEX($AV$22:$AX$45,,$AI504), INDEX($AY$22:$BE$45,,$AH504), 1 / ($BG$22:$BG$45*CW504), N($AU$22:$AU$45&gt;$AM504))
) / 1000</f>
        <v>0</v>
      </c>
      <c r="CZ504" s="229">
        <f t="shared" si="656"/>
        <v>0</v>
      </c>
      <c r="DA504" s="246"/>
    </row>
    <row r="505" spans="1:105" s="75" customFormat="1" ht="14.25" customHeight="1" x14ac:dyDescent="0.2">
      <c r="A505" s="230" t="b">
        <f t="shared" si="661"/>
        <v>0</v>
      </c>
      <c r="B505" s="253">
        <v>484</v>
      </c>
      <c r="C505" s="266"/>
      <c r="D505" s="266"/>
      <c r="E505" s="254"/>
      <c r="F505" s="255" t="str">
        <f>IF(ISBLANK(E505), "", VLOOKUP(E505, Z!$A$2:$C$4127, 3, FALSE))</f>
        <v/>
      </c>
      <c r="G505" s="256"/>
      <c r="H505" s="256"/>
      <c r="I505" s="256"/>
      <c r="J505" s="257"/>
      <c r="K505" s="258"/>
      <c r="L505" s="267"/>
      <c r="M505" s="268"/>
      <c r="N505" s="259" t="str" cm="1">
        <f t="array" ref="N505">IF($L505&gt;0, INDEX(Clean,1+AK505,$D$1), "")</f>
        <v/>
      </c>
      <c r="O505" s="260"/>
      <c r="P505" s="260"/>
      <c r="Q505" s="261"/>
      <c r="R505" s="264">
        <f t="shared" si="632"/>
        <v>0</v>
      </c>
      <c r="S505" s="259" t="str" cm="1">
        <f t="array" ref="S505">IF($L505&gt;0, INDEX(Clean,1+AL505,$D$1), "")</f>
        <v/>
      </c>
      <c r="T505" s="260"/>
      <c r="U505" s="260"/>
      <c r="V505" s="261"/>
      <c r="W505" s="267"/>
      <c r="X505" s="267"/>
      <c r="Y505" s="257"/>
      <c r="Z505" s="264">
        <f t="shared" si="633"/>
        <v>0</v>
      </c>
      <c r="AA505" s="269"/>
      <c r="AB505" s="266"/>
      <c r="AC505" s="254"/>
      <c r="AD505" s="255" t="str">
        <f>IF(ISBLANK(AC505), "", VLOOKUP(AC505, Z!$A$2:$C$4127, 3, FALSE))</f>
        <v/>
      </c>
      <c r="AE505" s="270"/>
      <c r="AF505" s="265">
        <f t="shared" si="634"/>
        <v>0</v>
      </c>
      <c r="AG505" s="246"/>
      <c r="AH505" s="228">
        <f t="shared" si="657"/>
        <v>1</v>
      </c>
      <c r="AI505" s="228">
        <f t="shared" si="658"/>
        <v>1</v>
      </c>
      <c r="AJ505" s="228">
        <f t="shared" si="659"/>
        <v>0</v>
      </c>
      <c r="AK505" s="228">
        <v>0</v>
      </c>
      <c r="AL505" s="228">
        <v>0</v>
      </c>
      <c r="AM505" s="228">
        <f t="shared" si="635"/>
        <v>-100</v>
      </c>
      <c r="AN505" s="228" cm="1">
        <f t="array" ref="AN505">IF(ISBLANK(G505), 1, IFERROR(MATCH(G505, INDEX(Kat,,1), 0), IFERROR(MATCH(Kat, INDEX(Use,,2), 0), MATCH(Kat, INDEX(Use,,3), 0))))</f>
        <v>1</v>
      </c>
      <c r="AO505" s="246"/>
      <c r="AP505" s="228" cm="1">
        <f t="array" ref="AP505">IF(W505&gt;0, INDEX(Kat, AN505,4), 0)</f>
        <v>0</v>
      </c>
      <c r="AQ505" s="228">
        <f t="shared" si="660"/>
        <v>0</v>
      </c>
      <c r="AR505" s="228" cm="1">
        <f t="array" ref="AR505">IF(X505&gt;0, INDEX(Kat, $AN505, 4+AQ505), 0)</f>
        <v>0</v>
      </c>
      <c r="AS505" s="228" cm="1">
        <f t="array" ref="AS505">IF(X505&gt;0, INDEX(Kat, $AN505, 9+AQ505), 0)</f>
        <v>0</v>
      </c>
      <c r="AT505" s="246"/>
      <c r="AU505" s="262"/>
      <c r="AV505" s="262"/>
      <c r="AW505" s="263"/>
      <c r="AX505" s="263"/>
      <c r="AY505" s="263"/>
      <c r="AZ505" s="263"/>
      <c r="BA505" s="263"/>
      <c r="BB505" s="263"/>
      <c r="BC505" s="263"/>
      <c r="BD505" s="263"/>
      <c r="BE505" s="263"/>
      <c r="BF505" s="263"/>
      <c r="BG505" s="263"/>
      <c r="BH505" s="246"/>
      <c r="BI505" s="228" cm="1">
        <f t="array" ref="BI505">INDEX(Use, $AH505, 4)</f>
        <v>7</v>
      </c>
      <c r="BJ505" s="228">
        <f t="shared" si="636"/>
        <v>32</v>
      </c>
      <c r="BK505" s="228">
        <f t="shared" si="662"/>
        <v>13</v>
      </c>
      <c r="BL505" s="228">
        <f t="shared" si="663"/>
        <v>0</v>
      </c>
      <c r="BM505" s="233" cm="1">
        <f t="array" ref="BM505">L505/IF($M505&gt;0, INDEX($AY$22:$BE$76, $M505+20, $AH505), 1)</f>
        <v>0</v>
      </c>
      <c r="BN505" s="229">
        <f t="shared" si="637"/>
        <v>0</v>
      </c>
      <c r="BO505" s="228">
        <v>35</v>
      </c>
      <c r="BP505" s="229">
        <f t="shared" si="638"/>
        <v>48</v>
      </c>
      <c r="BQ505" s="234">
        <f t="shared" si="639"/>
        <v>3.0748170731707316</v>
      </c>
      <c r="BR505" s="234" cm="1">
        <f t="array" ref="BR505">$BM505 * SUMPRODUCT(INDEX($AV$76:$AX$81,,$AI505),INDEX($AY$76:$BE$81,,$AH505), N($AU$76:$AU$81&gt;$AM505)) / BQ505 / 1000</f>
        <v>0</v>
      </c>
      <c r="BS505" s="231">
        <f t="shared" si="664"/>
        <v>30</v>
      </c>
      <c r="BT505" s="229">
        <f t="shared" si="640"/>
        <v>43</v>
      </c>
      <c r="BU505" s="234">
        <f t="shared" si="641"/>
        <v>3.5018750000000001</v>
      </c>
      <c r="BV505" s="234" cm="1">
        <f t="array" ref="BV505">$BM505 * IF($AH505&lt;=2,
SUMPRODUCT(INDEX($AV$71:$AX$75,,$AI505), INDEX($AY$71:$BE$75,,$AH505), 1 / ($BF$71:$BF$75*BU505 + (1-$BF$71:$BF$75)*BQ505), N($AU$71:$AU$75&gt;$AM505)),
SUMPRODUCT(INDEX($AV$66:$AX$75,,$AI505), INDEX($AY$66:$BE$75,,$AH505), 1 / ($BG$66:$BG$75*BU505 + (1-$BG$66:$BG$75)*BQ505), N($AU$66:$AU$75&gt;$AM505))
) / 1000</f>
        <v>0</v>
      </c>
      <c r="BW505" s="231">
        <f t="shared" si="665"/>
        <v>25</v>
      </c>
      <c r="BX505" s="229">
        <f t="shared" si="642"/>
        <v>38</v>
      </c>
      <c r="BY505" s="234">
        <f t="shared" si="643"/>
        <v>4.0666935483870965</v>
      </c>
      <c r="BZ505" s="234" cm="1">
        <f t="array" ref="BZ505">$BM505 * IF($AH505&lt;=2,
SUMPRODUCT(INDEX($AV$66:$AX$70,,$AI505), INDEX($AY$66:$BE$70,,$AH505), 1 / ($BF$66:$BF$70*BY505 + (1-$BF$66:$BF$70)*BU505), N($AU$66:$AU$70&gt;$AM505)),
SUMPRODUCT(INDEX($AV$56:$AX$65,,$AI505), INDEX($AY$56:$BE$65,,$AH505), 1 / ($BG$56:$BG$65*BY505 + (1-$BG$56:$BG$65)*BU505), N($AU$56:$AU$65&gt;$AM505))
) / 1000</f>
        <v>0</v>
      </c>
      <c r="CA505" s="231">
        <f t="shared" si="666"/>
        <v>20</v>
      </c>
      <c r="CB505" s="229">
        <f t="shared" si="644"/>
        <v>33</v>
      </c>
      <c r="CC505" s="234">
        <f t="shared" si="645"/>
        <v>4.8487499999999999</v>
      </c>
      <c r="CD505" s="234" cm="1">
        <f t="array" ref="CD505">$BM505 * IF($AH505&lt;=2,
SUMPRODUCT(INDEX($AV$61:$AX$65,,$AI505), INDEX($AY$61:$BE$65,,$AH505), 1 / ($BF$61:$BF$65*CC505 + (1-$BF$61:$BF$65)*BY505), N($AU$61:$AU$65&gt;$AM505)),
SUMPRODUCT(INDEX($AV$46:$AX$55,,$AI505), INDEX($AY$46:$BE$55,,$AH505), 1 / ($BG$46:$BG$55*CC505 + (1-$BG$46:$BG$55)*BY505), N($AU$46:$AU$55&gt;$AM505))
) / 1000</f>
        <v>0</v>
      </c>
      <c r="CE505" s="234" cm="1">
        <f t="array" ref="CE505">$BM505 * IF($AH505&lt;=2,
SUMPRODUCT(INDEX($AV$22:$AX$60,,$AI505), INDEX($AY$22:$BE$60,,$AH505), 1 / ($BF$22:$BF$60*CC505), N($AU$22:$AU$60&gt;$AM505)),
SUMPRODUCT(INDEX($AV$22:$AX$45,,$AI505), INDEX($AY$22:$BE$45,,$AH505), 1 / ($BG$22:$BG$45*CC505), N($AU$22:$AU$45&gt;$AM505))
) / 1000</f>
        <v>0</v>
      </c>
      <c r="CF505" s="229">
        <f t="shared" si="646"/>
        <v>0</v>
      </c>
      <c r="CG505" s="246"/>
      <c r="CH505" s="229">
        <f t="shared" si="647"/>
        <v>0</v>
      </c>
      <c r="CI505" s="228">
        <v>35</v>
      </c>
      <c r="CJ505" s="229">
        <f t="shared" si="648"/>
        <v>48</v>
      </c>
      <c r="CK505" s="234">
        <f t="shared" si="649"/>
        <v>3.0748170731707316</v>
      </c>
      <c r="CL505" s="234" cm="1">
        <f t="array" ref="CL505">$BM505 * SUMPRODUCT(INDEX($AV$76:$AX$81,,$AI505),INDEX($AY$76:$BE$81,,$AH505), N($AU$76:$AU$81&gt;$AM505)) / CK505 / 1000</f>
        <v>0</v>
      </c>
      <c r="CM505" s="231">
        <f t="shared" si="667"/>
        <v>30</v>
      </c>
      <c r="CN505" s="229">
        <f t="shared" si="650"/>
        <v>43</v>
      </c>
      <c r="CO505" s="234">
        <f t="shared" si="651"/>
        <v>3.5018750000000001</v>
      </c>
      <c r="CP505" s="234" cm="1">
        <f t="array" ref="CP505">$BM505 * IF($AH505&lt;=2,
SUMPRODUCT(INDEX($AV$71:$AX$75,,$AI505), INDEX($AY$71:$BE$75,,$AH505), 1 / ($BF$71:$BF$75*CO505 + (1-$BF$71:$BF$75)*CK505), N($AU$71:$AU$75&gt;$AM505)),
SUMPRODUCT(INDEX($AV$66:$AX$75,,$AI505), INDEX($AY$66:$BE$75,,$AH505), 1 / ($BG$66:$BG$75*CO505 + (1-$BG$66:$BG$75)*CK505), N($AU$66:$AU$75&gt;$AM505))
) / 1000</f>
        <v>0</v>
      </c>
      <c r="CQ505" s="231">
        <f t="shared" si="668"/>
        <v>25</v>
      </c>
      <c r="CR505" s="229">
        <f t="shared" si="652"/>
        <v>38</v>
      </c>
      <c r="CS505" s="234">
        <f t="shared" si="653"/>
        <v>4.0666935483870965</v>
      </c>
      <c r="CT505" s="234" cm="1">
        <f t="array" ref="CT505">$BM505 * IF($AH505&lt;=2,
SUMPRODUCT(INDEX($AV$66:$AX$70,,$AI505), INDEX($AY$66:$BE$70,,$AH505), 1 / ($BF$66:$BF$70*CS505 + (1-$BF$66:$BF$70)*CO505), N($AU$66:$AU$70&gt;$AM505)),
SUMPRODUCT(INDEX($AV$56:$AX$65,,$AI505), INDEX($AY$56:$BE$65,,$AH505), 1 / ($BG$56:$BG$65*CS505 + (1-$BG$56:$BG$65)*CO505), N($AU$56:$AU$65&gt;$AM505))
) / 1000</f>
        <v>0</v>
      </c>
      <c r="CU505" s="231">
        <f t="shared" si="669"/>
        <v>20</v>
      </c>
      <c r="CV505" s="229">
        <f t="shared" si="654"/>
        <v>33</v>
      </c>
      <c r="CW505" s="234">
        <f t="shared" si="655"/>
        <v>4.8487499999999999</v>
      </c>
      <c r="CX505" s="234" cm="1">
        <f t="array" ref="CX505">$BM505 * IF($AH505&lt;=2,
SUMPRODUCT(INDEX($AV$61:$AX$65,,$AI505), INDEX($AY$61:$BE$65,,$AH505), 1 / ($BF$61:$BF$65*CW505 + (1-$BF$61:$BF$65)*CS505), N($AU$61:$AU$65&gt;$AM505)),
SUMPRODUCT(INDEX($AV$46:$AX$55,,$AI505), INDEX($AY$46:$BE$55,,$AH505), 1 / ($BG$46:$BG$55*CW505 + (1-$BG$46:$BG$55)*CS505), N($AU$46:$AU$55&gt;$AM505))
) / 1000</f>
        <v>0</v>
      </c>
      <c r="CY505" s="234" cm="1">
        <f t="array" ref="CY505">$BM505 * IF($AH505&lt;=2,
SUMPRODUCT(INDEX($AV$22:$AX$60,,$AI505), INDEX($AY$22:$BE$60,,$AH505), 1 / ($BF$22:$BF$60*CW505), N($AU$22:$AU$60&gt;$AM505)),
SUMPRODUCT(INDEX($AV$22:$AX$45,,$AI505), INDEX($AY$22:$BE$45,,$AH505), 1 / ($BG$22:$BG$45*CW505), N($AU$22:$AU$45&gt;$AM505))
) / 1000</f>
        <v>0</v>
      </c>
      <c r="CZ505" s="229">
        <f t="shared" si="656"/>
        <v>0</v>
      </c>
      <c r="DA505" s="246"/>
    </row>
    <row r="506" spans="1:105" s="75" customFormat="1" ht="14.25" customHeight="1" x14ac:dyDescent="0.2">
      <c r="A506" s="230" t="b">
        <f t="shared" si="661"/>
        <v>0</v>
      </c>
      <c r="B506" s="253">
        <v>485</v>
      </c>
      <c r="C506" s="266"/>
      <c r="D506" s="266"/>
      <c r="E506" s="254"/>
      <c r="F506" s="255" t="str">
        <f>IF(ISBLANK(E506), "", VLOOKUP(E506, Z!$A$2:$C$4127, 3, FALSE))</f>
        <v/>
      </c>
      <c r="G506" s="256"/>
      <c r="H506" s="256"/>
      <c r="I506" s="256"/>
      <c r="J506" s="257"/>
      <c r="K506" s="258"/>
      <c r="L506" s="267"/>
      <c r="M506" s="268"/>
      <c r="N506" s="259" t="str" cm="1">
        <f t="array" ref="N506">IF($L506&gt;0, INDEX(Clean,1+AK506,$D$1), "")</f>
        <v/>
      </c>
      <c r="O506" s="260"/>
      <c r="P506" s="260"/>
      <c r="Q506" s="261"/>
      <c r="R506" s="264">
        <f t="shared" ref="R506:R569" si="670">CF506*1000</f>
        <v>0</v>
      </c>
      <c r="S506" s="259" t="str" cm="1">
        <f t="array" ref="S506">IF($L506&gt;0, INDEX(Clean,1+AL506,$D$1), "")</f>
        <v/>
      </c>
      <c r="T506" s="260"/>
      <c r="U506" s="260"/>
      <c r="V506" s="261"/>
      <c r="W506" s="267"/>
      <c r="X506" s="267"/>
      <c r="Y506" s="257"/>
      <c r="Z506" s="264">
        <f t="shared" ref="Z506:Z569" si="671">(CZ506 - IF(W506&gt;0, CZ506*(W506/7)*AP506, 0) - IF(X506&gt;0, CZ506*(X506*AR506*AS506), 0))*1000</f>
        <v>0</v>
      </c>
      <c r="AA506" s="269"/>
      <c r="AB506" s="266"/>
      <c r="AC506" s="254"/>
      <c r="AD506" s="255" t="str">
        <f>IF(ISBLANK(AC506), "", VLOOKUP(AC506, Z!$A$2:$C$4127, 3, FALSE))</f>
        <v/>
      </c>
      <c r="AE506" s="270"/>
      <c r="AF506" s="265">
        <f t="shared" ref="AF506:AF569" si="672">0.75*AO$22*(R506-Z506)</f>
        <v>0</v>
      </c>
      <c r="AG506" s="246"/>
      <c r="AH506" s="228">
        <f t="shared" si="657"/>
        <v>1</v>
      </c>
      <c r="AI506" s="228">
        <f t="shared" si="658"/>
        <v>1</v>
      </c>
      <c r="AJ506" s="228">
        <f t="shared" si="659"/>
        <v>0</v>
      </c>
      <c r="AK506" s="228">
        <v>0</v>
      </c>
      <c r="AL506" s="228">
        <v>0</v>
      </c>
      <c r="AM506" s="228">
        <f t="shared" ref="AM506:AM569" si="673">IF(AND(K506="x", AH506=5), 11, IF(AND(K506="x", AH506=6), 19, -100))</f>
        <v>-100</v>
      </c>
      <c r="AN506" s="228" cm="1">
        <f t="array" ref="AN506">IF(ISBLANK(G506), 1, IFERROR(MATCH(G506, INDEX(Kat,,1), 0), IFERROR(MATCH(Kat, INDEX(Use,,2), 0), MATCH(Kat, INDEX(Use,,3), 0))))</f>
        <v>1</v>
      </c>
      <c r="AO506" s="246"/>
      <c r="AP506" s="228" cm="1">
        <f t="array" ref="AP506">IF(W506&gt;0, INDEX(Kat, AN506,4), 0)</f>
        <v>0</v>
      </c>
      <c r="AQ506" s="228">
        <f t="shared" si="660"/>
        <v>0</v>
      </c>
      <c r="AR506" s="228" cm="1">
        <f t="array" ref="AR506">IF(X506&gt;0, INDEX(Kat, $AN506, 4+AQ506), 0)</f>
        <v>0</v>
      </c>
      <c r="AS506" s="228" cm="1">
        <f t="array" ref="AS506">IF(X506&gt;0, INDEX(Kat, $AN506, 9+AQ506), 0)</f>
        <v>0</v>
      </c>
      <c r="AT506" s="246"/>
      <c r="AU506" s="262"/>
      <c r="AV506" s="262"/>
      <c r="AW506" s="263"/>
      <c r="AX506" s="263"/>
      <c r="AY506" s="263"/>
      <c r="AZ506" s="263"/>
      <c r="BA506" s="263"/>
      <c r="BB506" s="263"/>
      <c r="BC506" s="263"/>
      <c r="BD506" s="263"/>
      <c r="BE506" s="263"/>
      <c r="BF506" s="263"/>
      <c r="BG506" s="263"/>
      <c r="BH506" s="246"/>
      <c r="BI506" s="228" cm="1">
        <f t="array" ref="BI506">INDEX(Use, $AH506, 4)</f>
        <v>7</v>
      </c>
      <c r="BJ506" s="228">
        <f t="shared" ref="BJ506:BJ569" si="674">MAX(25, BI506+25)</f>
        <v>32</v>
      </c>
      <c r="BK506" s="228">
        <f t="shared" si="662"/>
        <v>13</v>
      </c>
      <c r="BL506" s="228">
        <f t="shared" si="663"/>
        <v>0</v>
      </c>
      <c r="BM506" s="233" cm="1">
        <f t="array" ref="BM506">L506/IF($M506&gt;0, INDEX($AY$22:$BE$76, $M506+20, $AH506), 1)</f>
        <v>0</v>
      </c>
      <c r="BN506" s="229">
        <f t="shared" ref="BN506:BN569" si="675">Q506 /  IF(AH506&lt;=2, 0.7 + 0.3 * (P506-20)/(35-20), 0.4 + 0.6 * (P506-5)/(35-5))</f>
        <v>0</v>
      </c>
      <c r="BO506" s="228">
        <v>35</v>
      </c>
      <c r="BP506" s="229">
        <f t="shared" ref="BP506:BP569" si="676">MAX($O506, MAX($BJ506, $BO506 + $BK506 + $BL506 + 0.35*$AK506*$BK506 + BN506))</f>
        <v>48</v>
      </c>
      <c r="BQ506" s="234">
        <f t="shared" ref="BQ506:BQ569" si="677">0.45*($BI506+273.15)/(BP506-$BI506)</f>
        <v>3.0748170731707316</v>
      </c>
      <c r="BR506" s="234" cm="1">
        <f t="array" ref="BR506">$BM506 * SUMPRODUCT(INDEX($AV$76:$AX$81,,$AI506),INDEX($AY$76:$BE$81,,$AH506), N($AU$76:$AU$81&gt;$AM506)) / BQ506 / 1000</f>
        <v>0</v>
      </c>
      <c r="BS506" s="231">
        <f t="shared" si="664"/>
        <v>30</v>
      </c>
      <c r="BT506" s="229">
        <f t="shared" ref="BT506:BT569" si="678">MAX($O506, MAX($BJ506, BS506 + $BK506 + $BL506 + IF($AH506&lt;=2, (BS506-20)/(35-20), 0.6+0.4*(BS506-5)/(35-5))*0.35*$AK506*$BK506) + IF($AH506&lt;=2,0.9,0.8)*$BN506)</f>
        <v>43</v>
      </c>
      <c r="BU506" s="234">
        <f t="shared" ref="BU506:BU569" si="679">0.45*($BI506+273.15)/(BT506-$BI506)</f>
        <v>3.5018750000000001</v>
      </c>
      <c r="BV506" s="234" cm="1">
        <f t="array" ref="BV506">$BM506 * IF($AH506&lt;=2,
SUMPRODUCT(INDEX($AV$71:$AX$75,,$AI506), INDEX($AY$71:$BE$75,,$AH506), 1 / ($BF$71:$BF$75*BU506 + (1-$BF$71:$BF$75)*BQ506), N($AU$71:$AU$75&gt;$AM506)),
SUMPRODUCT(INDEX($AV$66:$AX$75,,$AI506), INDEX($AY$66:$BE$75,,$AH506), 1 / ($BG$66:$BG$75*BU506 + (1-$BG$66:$BG$75)*BQ506), N($AU$66:$AU$75&gt;$AM506))
) / 1000</f>
        <v>0</v>
      </c>
      <c r="BW506" s="231">
        <f t="shared" si="665"/>
        <v>25</v>
      </c>
      <c r="BX506" s="229">
        <f t="shared" ref="BX506:BX569" si="680">MAX($O506, MAX($BJ506, BW506 + $BK506 + $BL506 + IF($AH506&lt;=2, (BW506-20)/(35-20), 0.6+0.4*(BW506-5)/(35-5))*0.35*$AK506*$BK506) + IF($AH506&lt;=2,0.8,0.6)*$BN506)</f>
        <v>38</v>
      </c>
      <c r="BY506" s="234">
        <f t="shared" ref="BY506:BY569" si="681">0.45*($BI506+273.15)/(BX506-$BI506)</f>
        <v>4.0666935483870965</v>
      </c>
      <c r="BZ506" s="234" cm="1">
        <f t="array" ref="BZ506">$BM506 * IF($AH506&lt;=2,
SUMPRODUCT(INDEX($AV$66:$AX$70,,$AI506), INDEX($AY$66:$BE$70,,$AH506), 1 / ($BF$66:$BF$70*BY506 + (1-$BF$66:$BF$70)*BU506), N($AU$66:$AU$70&gt;$AM506)),
SUMPRODUCT(INDEX($AV$56:$AX$65,,$AI506), INDEX($AY$56:$BE$65,,$AH506), 1 / ($BG$56:$BG$65*BY506 + (1-$BG$56:$BG$65)*BU506), N($AU$56:$AU$65&gt;$AM506))
) / 1000</f>
        <v>0</v>
      </c>
      <c r="CA506" s="231">
        <f t="shared" si="666"/>
        <v>20</v>
      </c>
      <c r="CB506" s="229">
        <f t="shared" ref="CB506:CB569" si="682">MAX($O506, MAX($BJ506, CA506 + $BK506 + $BL506 + IF($AH506&lt;=2, (CA506-20)/(35-20), 0.6+0.4*(CA506-5)/(35-5))*0.35*$AK506*$BK506) + IF($AH506&lt;=2,0.7,0.4)*$BN506)</f>
        <v>33</v>
      </c>
      <c r="CC506" s="234">
        <f t="shared" ref="CC506:CC569" si="683">0.45*($BI506+273.15)/(CB506-$BI506)</f>
        <v>4.8487499999999999</v>
      </c>
      <c r="CD506" s="234" cm="1">
        <f t="array" ref="CD506">$BM506 * IF($AH506&lt;=2,
SUMPRODUCT(INDEX($AV$61:$AX$65,,$AI506), INDEX($AY$61:$BE$65,,$AH506), 1 / ($BF$61:$BF$65*CC506 + (1-$BF$61:$BF$65)*BY506), N($AU$61:$AU$65&gt;$AM506)),
SUMPRODUCT(INDEX($AV$46:$AX$55,,$AI506), INDEX($AY$46:$BE$55,,$AH506), 1 / ($BG$46:$BG$55*CC506 + (1-$BG$46:$BG$55)*BY506), N($AU$46:$AU$55&gt;$AM506))
) / 1000</f>
        <v>0</v>
      </c>
      <c r="CE506" s="234" cm="1">
        <f t="array" ref="CE506">$BM506 * IF($AH506&lt;=2,
SUMPRODUCT(INDEX($AV$22:$AX$60,,$AI506), INDEX($AY$22:$BE$60,,$AH506), 1 / ($BF$22:$BF$60*CC506), N($AU$22:$AU$60&gt;$AM506)),
SUMPRODUCT(INDEX($AV$22:$AX$45,,$AI506), INDEX($AY$22:$BE$45,,$AH506), 1 / ($BG$22:$BG$45*CC506), N($AU$22:$AU$45&gt;$AM506))
) / 1000</f>
        <v>0</v>
      </c>
      <c r="CF506" s="229">
        <f t="shared" ref="CF506:CF569" si="684">BR506+BV506+BZ506+CD506+CE506</f>
        <v>0</v>
      </c>
      <c r="CG506" s="246"/>
      <c r="CH506" s="229">
        <f t="shared" ref="CH506:CH569" si="685">V506 /  IF(AH506&lt;=2, 0.7 + 0.3 * (U506-20)/(35-20), 0.4 + 0.6 * (U506-5)/(35-5))</f>
        <v>0</v>
      </c>
      <c r="CI506" s="228">
        <v>35</v>
      </c>
      <c r="CJ506" s="229">
        <f t="shared" ref="CJ506:CJ569" si="686">MAX($T506, MAX($BJ506, $BO506 + $BK506 + $BL506 + 0.35*$AL506*$BK506 + CH506))</f>
        <v>48</v>
      </c>
      <c r="CK506" s="234">
        <f t="shared" ref="CK506:CK569" si="687">0.45*($BI506+273.15)/(CJ506-$BI506)</f>
        <v>3.0748170731707316</v>
      </c>
      <c r="CL506" s="234" cm="1">
        <f t="array" ref="CL506">$BM506 * SUMPRODUCT(INDEX($AV$76:$AX$81,,$AI506),INDEX($AY$76:$BE$81,,$AH506), N($AU$76:$AU$81&gt;$AM506)) / CK506 / 1000</f>
        <v>0</v>
      </c>
      <c r="CM506" s="231">
        <f t="shared" si="667"/>
        <v>30</v>
      </c>
      <c r="CN506" s="229">
        <f t="shared" ref="CN506:CN569" si="688">MAX($T506, MAX($BJ506, CM506 + $BK506 + $BL506 + IF($AH506&lt;=2, (CM506-20)/(35-20), 0.6+0.4*(CM506-5)/(35-5))*0.35*$AL506*$BK506) + IF($AH506&lt;=2,0.9,0.8)*$CH506)</f>
        <v>43</v>
      </c>
      <c r="CO506" s="234">
        <f t="shared" ref="CO506:CO569" si="689">0.45*($BI506+273.15)/(CN506-$BI506)</f>
        <v>3.5018750000000001</v>
      </c>
      <c r="CP506" s="234" cm="1">
        <f t="array" ref="CP506">$BM506 * IF($AH506&lt;=2,
SUMPRODUCT(INDEX($AV$71:$AX$75,,$AI506), INDEX($AY$71:$BE$75,,$AH506), 1 / ($BF$71:$BF$75*CO506 + (1-$BF$71:$BF$75)*CK506), N($AU$71:$AU$75&gt;$AM506)),
SUMPRODUCT(INDEX($AV$66:$AX$75,,$AI506), INDEX($AY$66:$BE$75,,$AH506), 1 / ($BG$66:$BG$75*CO506 + (1-$BG$66:$BG$75)*CK506), N($AU$66:$AU$75&gt;$AM506))
) / 1000</f>
        <v>0</v>
      </c>
      <c r="CQ506" s="231">
        <f t="shared" si="668"/>
        <v>25</v>
      </c>
      <c r="CR506" s="229">
        <f t="shared" ref="CR506:CR569" si="690">MAX($T506, MAX($BJ506, CQ506 + $BK506 + $BL506 + IF($AH506&lt;=2, (CQ506-20)/(35-20), 0.6+0.4*(CQ506-5)/(35-5))*0.35*$AL506*$BK506) + IF($AH506&lt;=2,0.8,0.6)*$CH506)</f>
        <v>38</v>
      </c>
      <c r="CS506" s="234">
        <f t="shared" ref="CS506:CS569" si="691">0.45*($BI506+273.15)/(CR506-$BI506)</f>
        <v>4.0666935483870965</v>
      </c>
      <c r="CT506" s="234" cm="1">
        <f t="array" ref="CT506">$BM506 * IF($AH506&lt;=2,
SUMPRODUCT(INDEX($AV$66:$AX$70,,$AI506), INDEX($AY$66:$BE$70,,$AH506), 1 / ($BF$66:$BF$70*CS506 + (1-$BF$66:$BF$70)*CO506), N($AU$66:$AU$70&gt;$AM506)),
SUMPRODUCT(INDEX($AV$56:$AX$65,,$AI506), INDEX($AY$56:$BE$65,,$AH506), 1 / ($BG$56:$BG$65*CS506 + (1-$BG$56:$BG$65)*CO506), N($AU$56:$AU$65&gt;$AM506))
) / 1000</f>
        <v>0</v>
      </c>
      <c r="CU506" s="231">
        <f t="shared" si="669"/>
        <v>20</v>
      </c>
      <c r="CV506" s="229">
        <f t="shared" ref="CV506:CV569" si="692">MAX($T506, MAX($BJ506, CU506 + $BK506 + $BL506 + IF($AH506&lt;=2, (CU506-20)/(35-20), 0.6+0.4*(CU506-5)/(35-5))*0.35*$AL506*$BK506) + IF($AH506&lt;=2,0.7,0.4)*$CH506)</f>
        <v>33</v>
      </c>
      <c r="CW506" s="234">
        <f t="shared" ref="CW506:CW569" si="693">0.45*($BI506+273.15)/(CV506-$BI506)</f>
        <v>4.8487499999999999</v>
      </c>
      <c r="CX506" s="234" cm="1">
        <f t="array" ref="CX506">$BM506 * IF($AH506&lt;=2,
SUMPRODUCT(INDEX($AV$61:$AX$65,,$AI506), INDEX($AY$61:$BE$65,,$AH506), 1 / ($BF$61:$BF$65*CW506 + (1-$BF$61:$BF$65)*CS506), N($AU$61:$AU$65&gt;$AM506)),
SUMPRODUCT(INDEX($AV$46:$AX$55,,$AI506), INDEX($AY$46:$BE$55,,$AH506), 1 / ($BG$46:$BG$55*CW506 + (1-$BG$46:$BG$55)*CS506), N($AU$46:$AU$55&gt;$AM506))
) / 1000</f>
        <v>0</v>
      </c>
      <c r="CY506" s="234" cm="1">
        <f t="array" ref="CY506">$BM506 * IF($AH506&lt;=2,
SUMPRODUCT(INDEX($AV$22:$AX$60,,$AI506), INDEX($AY$22:$BE$60,,$AH506), 1 / ($BF$22:$BF$60*CW506), N($AU$22:$AU$60&gt;$AM506)),
SUMPRODUCT(INDEX($AV$22:$AX$45,,$AI506), INDEX($AY$22:$BE$45,,$AH506), 1 / ($BG$22:$BG$45*CW506), N($AU$22:$AU$45&gt;$AM506))
) / 1000</f>
        <v>0</v>
      </c>
      <c r="CZ506" s="229">
        <f t="shared" ref="CZ506:CZ569" si="694">CL506+CP506+CT506+CX506+CY506</f>
        <v>0</v>
      </c>
      <c r="DA506" s="246"/>
    </row>
    <row r="507" spans="1:105" s="75" customFormat="1" ht="14.25" customHeight="1" x14ac:dyDescent="0.2">
      <c r="A507" s="230" t="b">
        <f t="shared" si="661"/>
        <v>0</v>
      </c>
      <c r="B507" s="253">
        <v>486</v>
      </c>
      <c r="C507" s="266"/>
      <c r="D507" s="266"/>
      <c r="E507" s="254"/>
      <c r="F507" s="255" t="str">
        <f>IF(ISBLANK(E507), "", VLOOKUP(E507, Z!$A$2:$C$4127, 3, FALSE))</f>
        <v/>
      </c>
      <c r="G507" s="256"/>
      <c r="H507" s="256"/>
      <c r="I507" s="256"/>
      <c r="J507" s="257"/>
      <c r="K507" s="258"/>
      <c r="L507" s="267"/>
      <c r="M507" s="268"/>
      <c r="N507" s="259" t="str" cm="1">
        <f t="array" ref="N507">IF($L507&gt;0, INDEX(Clean,1+AK507,$D$1), "")</f>
        <v/>
      </c>
      <c r="O507" s="260"/>
      <c r="P507" s="260"/>
      <c r="Q507" s="261"/>
      <c r="R507" s="264">
        <f t="shared" si="670"/>
        <v>0</v>
      </c>
      <c r="S507" s="259" t="str" cm="1">
        <f t="array" ref="S507">IF($L507&gt;0, INDEX(Clean,1+AL507,$D$1), "")</f>
        <v/>
      </c>
      <c r="T507" s="260"/>
      <c r="U507" s="260"/>
      <c r="V507" s="261"/>
      <c r="W507" s="267"/>
      <c r="X507" s="267"/>
      <c r="Y507" s="257"/>
      <c r="Z507" s="264">
        <f t="shared" si="671"/>
        <v>0</v>
      </c>
      <c r="AA507" s="269"/>
      <c r="AB507" s="266"/>
      <c r="AC507" s="254"/>
      <c r="AD507" s="255" t="str">
        <f>IF(ISBLANK(AC507), "", VLOOKUP(AC507, Z!$A$2:$C$4127, 3, FALSE))</f>
        <v/>
      </c>
      <c r="AE507" s="270"/>
      <c r="AF507" s="265">
        <f t="shared" si="672"/>
        <v>0</v>
      </c>
      <c r="AG507" s="246"/>
      <c r="AH507" s="228">
        <f t="shared" ref="AH507:AH570" si="695">IF(ISBLANK(I507), 1, IFERROR(MATCH(I507, INDEX(Use,,1), 0), IFERROR(MATCH(I507, INDEX(Use,,2), 0), MATCH(I507, INDEX(Use,,3), 0))))</f>
        <v>1</v>
      </c>
      <c r="AI507" s="228">
        <f t="shared" ref="AI507:AI570" si="696">IF(ISBLANK(H507), 1, IFERROR(MATCH(H507, INDEX(Loc,,1), 0), IFERROR(MATCH(H507, INDEX(Loc,,2), 0), MATCH(H507, INDEX(Loc,,3), 0))))</f>
        <v>1</v>
      </c>
      <c r="AJ507" s="228">
        <f t="shared" ref="AJ507:AJ570" si="697">_xlfn.IFNA(IF(IFERROR(MATCH(J507, INDEX(Medium,,1), 0), IFERROR(MATCH(J507, INDEX(Medium,,2), 0), MATCH(J507, INDEX(Medium,,3), 0))) = 2, 1, 0), 0)</f>
        <v>0</v>
      </c>
      <c r="AK507" s="228">
        <v>0</v>
      </c>
      <c r="AL507" s="228">
        <v>0</v>
      </c>
      <c r="AM507" s="228">
        <f t="shared" si="673"/>
        <v>-100</v>
      </c>
      <c r="AN507" s="228" cm="1">
        <f t="array" ref="AN507">IF(ISBLANK(G507), 1, IFERROR(MATCH(G507, INDEX(Kat,,1), 0), IFERROR(MATCH(Kat, INDEX(Use,,2), 0), MATCH(Kat, INDEX(Use,,3), 0))))</f>
        <v>1</v>
      </c>
      <c r="AO507" s="246"/>
      <c r="AP507" s="228" cm="1">
        <f t="array" ref="AP507">IF(W507&gt;0, INDEX(Kat, AN507,4), 0)</f>
        <v>0</v>
      </c>
      <c r="AQ507" s="228">
        <f t="shared" ref="AQ507:AQ570" si="698">IF(ISBLANK(Y507), 0, IFERROR(MATCH(Y507, INDEX(Month,,1), 0), IFERROR(MATCH(Y507, INDEX(Month,,2), 0), MATCH(Y507, INDEX(Month,,3), 0))))</f>
        <v>0</v>
      </c>
      <c r="AR507" s="228" cm="1">
        <f t="array" ref="AR507">IF(X507&gt;0, INDEX(Kat, $AN507, 4+AQ507), 0)</f>
        <v>0</v>
      </c>
      <c r="AS507" s="228" cm="1">
        <f t="array" ref="AS507">IF(X507&gt;0, INDEX(Kat, $AN507, 9+AQ507), 0)</f>
        <v>0</v>
      </c>
      <c r="AT507" s="246"/>
      <c r="AU507" s="262"/>
      <c r="AV507" s="262"/>
      <c r="AW507" s="263"/>
      <c r="AX507" s="263"/>
      <c r="AY507" s="263"/>
      <c r="AZ507" s="263"/>
      <c r="BA507" s="263"/>
      <c r="BB507" s="263"/>
      <c r="BC507" s="263"/>
      <c r="BD507" s="263"/>
      <c r="BE507" s="263"/>
      <c r="BF507" s="263"/>
      <c r="BG507" s="263"/>
      <c r="BH507" s="246"/>
      <c r="BI507" s="228" cm="1">
        <f t="array" ref="BI507">INDEX(Use, $AH507, 4)</f>
        <v>7</v>
      </c>
      <c r="BJ507" s="228">
        <f t="shared" si="674"/>
        <v>32</v>
      </c>
      <c r="BK507" s="228">
        <f t="shared" si="662"/>
        <v>13</v>
      </c>
      <c r="BL507" s="228">
        <f t="shared" si="663"/>
        <v>0</v>
      </c>
      <c r="BM507" s="233" cm="1">
        <f t="array" ref="BM507">L507/IF($M507&gt;0, INDEX($AY$22:$BE$76, $M507+20, $AH507), 1)</f>
        <v>0</v>
      </c>
      <c r="BN507" s="229">
        <f t="shared" si="675"/>
        <v>0</v>
      </c>
      <c r="BO507" s="228">
        <v>35</v>
      </c>
      <c r="BP507" s="229">
        <f t="shared" si="676"/>
        <v>48</v>
      </c>
      <c r="BQ507" s="234">
        <f t="shared" si="677"/>
        <v>3.0748170731707316</v>
      </c>
      <c r="BR507" s="234" cm="1">
        <f t="array" ref="BR507">$BM507 * SUMPRODUCT(INDEX($AV$76:$AX$81,,$AI507),INDEX($AY$76:$BE$81,,$AH507), N($AU$76:$AU$81&gt;$AM507)) / BQ507 / 1000</f>
        <v>0</v>
      </c>
      <c r="BS507" s="231">
        <f t="shared" si="664"/>
        <v>30</v>
      </c>
      <c r="BT507" s="229">
        <f t="shared" si="678"/>
        <v>43</v>
      </c>
      <c r="BU507" s="234">
        <f t="shared" si="679"/>
        <v>3.5018750000000001</v>
      </c>
      <c r="BV507" s="234" cm="1">
        <f t="array" ref="BV507">$BM507 * IF($AH507&lt;=2,
SUMPRODUCT(INDEX($AV$71:$AX$75,,$AI507), INDEX($AY$71:$BE$75,,$AH507), 1 / ($BF$71:$BF$75*BU507 + (1-$BF$71:$BF$75)*BQ507), N($AU$71:$AU$75&gt;$AM507)),
SUMPRODUCT(INDEX($AV$66:$AX$75,,$AI507), INDEX($AY$66:$BE$75,,$AH507), 1 / ($BG$66:$BG$75*BU507 + (1-$BG$66:$BG$75)*BQ507), N($AU$66:$AU$75&gt;$AM507))
) / 1000</f>
        <v>0</v>
      </c>
      <c r="BW507" s="231">
        <f t="shared" si="665"/>
        <v>25</v>
      </c>
      <c r="BX507" s="229">
        <f t="shared" si="680"/>
        <v>38</v>
      </c>
      <c r="BY507" s="234">
        <f t="shared" si="681"/>
        <v>4.0666935483870965</v>
      </c>
      <c r="BZ507" s="234" cm="1">
        <f t="array" ref="BZ507">$BM507 * IF($AH507&lt;=2,
SUMPRODUCT(INDEX($AV$66:$AX$70,,$AI507), INDEX($AY$66:$BE$70,,$AH507), 1 / ($BF$66:$BF$70*BY507 + (1-$BF$66:$BF$70)*BU507), N($AU$66:$AU$70&gt;$AM507)),
SUMPRODUCT(INDEX($AV$56:$AX$65,,$AI507), INDEX($AY$56:$BE$65,,$AH507), 1 / ($BG$56:$BG$65*BY507 + (1-$BG$56:$BG$65)*BU507), N($AU$56:$AU$65&gt;$AM507))
) / 1000</f>
        <v>0</v>
      </c>
      <c r="CA507" s="231">
        <f t="shared" si="666"/>
        <v>20</v>
      </c>
      <c r="CB507" s="229">
        <f t="shared" si="682"/>
        <v>33</v>
      </c>
      <c r="CC507" s="234">
        <f t="shared" si="683"/>
        <v>4.8487499999999999</v>
      </c>
      <c r="CD507" s="234" cm="1">
        <f t="array" ref="CD507">$BM507 * IF($AH507&lt;=2,
SUMPRODUCT(INDEX($AV$61:$AX$65,,$AI507), INDEX($AY$61:$BE$65,,$AH507), 1 / ($BF$61:$BF$65*CC507 + (1-$BF$61:$BF$65)*BY507), N($AU$61:$AU$65&gt;$AM507)),
SUMPRODUCT(INDEX($AV$46:$AX$55,,$AI507), INDEX($AY$46:$BE$55,,$AH507), 1 / ($BG$46:$BG$55*CC507 + (1-$BG$46:$BG$55)*BY507), N($AU$46:$AU$55&gt;$AM507))
) / 1000</f>
        <v>0</v>
      </c>
      <c r="CE507" s="234" cm="1">
        <f t="array" ref="CE507">$BM507 * IF($AH507&lt;=2,
SUMPRODUCT(INDEX($AV$22:$AX$60,,$AI507), INDEX($AY$22:$BE$60,,$AH507), 1 / ($BF$22:$BF$60*CC507), N($AU$22:$AU$60&gt;$AM507)),
SUMPRODUCT(INDEX($AV$22:$AX$45,,$AI507), INDEX($AY$22:$BE$45,,$AH507), 1 / ($BG$22:$BG$45*CC507), N($AU$22:$AU$45&gt;$AM507))
) / 1000</f>
        <v>0</v>
      </c>
      <c r="CF507" s="229">
        <f t="shared" si="684"/>
        <v>0</v>
      </c>
      <c r="CG507" s="246"/>
      <c r="CH507" s="229">
        <f t="shared" si="685"/>
        <v>0</v>
      </c>
      <c r="CI507" s="228">
        <v>35</v>
      </c>
      <c r="CJ507" s="229">
        <f t="shared" si="686"/>
        <v>48</v>
      </c>
      <c r="CK507" s="234">
        <f t="shared" si="687"/>
        <v>3.0748170731707316</v>
      </c>
      <c r="CL507" s="234" cm="1">
        <f t="array" ref="CL507">$BM507 * SUMPRODUCT(INDEX($AV$76:$AX$81,,$AI507),INDEX($AY$76:$BE$81,,$AH507), N($AU$76:$AU$81&gt;$AM507)) / CK507 / 1000</f>
        <v>0</v>
      </c>
      <c r="CM507" s="231">
        <f t="shared" si="667"/>
        <v>30</v>
      </c>
      <c r="CN507" s="229">
        <f t="shared" si="688"/>
        <v>43</v>
      </c>
      <c r="CO507" s="234">
        <f t="shared" si="689"/>
        <v>3.5018750000000001</v>
      </c>
      <c r="CP507" s="234" cm="1">
        <f t="array" ref="CP507">$BM507 * IF($AH507&lt;=2,
SUMPRODUCT(INDEX($AV$71:$AX$75,,$AI507), INDEX($AY$71:$BE$75,,$AH507), 1 / ($BF$71:$BF$75*CO507 + (1-$BF$71:$BF$75)*CK507), N($AU$71:$AU$75&gt;$AM507)),
SUMPRODUCT(INDEX($AV$66:$AX$75,,$AI507), INDEX($AY$66:$BE$75,,$AH507), 1 / ($BG$66:$BG$75*CO507 + (1-$BG$66:$BG$75)*CK507), N($AU$66:$AU$75&gt;$AM507))
) / 1000</f>
        <v>0</v>
      </c>
      <c r="CQ507" s="231">
        <f t="shared" si="668"/>
        <v>25</v>
      </c>
      <c r="CR507" s="229">
        <f t="shared" si="690"/>
        <v>38</v>
      </c>
      <c r="CS507" s="234">
        <f t="shared" si="691"/>
        <v>4.0666935483870965</v>
      </c>
      <c r="CT507" s="234" cm="1">
        <f t="array" ref="CT507">$BM507 * IF($AH507&lt;=2,
SUMPRODUCT(INDEX($AV$66:$AX$70,,$AI507), INDEX($AY$66:$BE$70,,$AH507), 1 / ($BF$66:$BF$70*CS507 + (1-$BF$66:$BF$70)*CO507), N($AU$66:$AU$70&gt;$AM507)),
SUMPRODUCT(INDEX($AV$56:$AX$65,,$AI507), INDEX($AY$56:$BE$65,,$AH507), 1 / ($BG$56:$BG$65*CS507 + (1-$BG$56:$BG$65)*CO507), N($AU$56:$AU$65&gt;$AM507))
) / 1000</f>
        <v>0</v>
      </c>
      <c r="CU507" s="231">
        <f t="shared" si="669"/>
        <v>20</v>
      </c>
      <c r="CV507" s="229">
        <f t="shared" si="692"/>
        <v>33</v>
      </c>
      <c r="CW507" s="234">
        <f t="shared" si="693"/>
        <v>4.8487499999999999</v>
      </c>
      <c r="CX507" s="234" cm="1">
        <f t="array" ref="CX507">$BM507 * IF($AH507&lt;=2,
SUMPRODUCT(INDEX($AV$61:$AX$65,,$AI507), INDEX($AY$61:$BE$65,,$AH507), 1 / ($BF$61:$BF$65*CW507 + (1-$BF$61:$BF$65)*CS507), N($AU$61:$AU$65&gt;$AM507)),
SUMPRODUCT(INDEX($AV$46:$AX$55,,$AI507), INDEX($AY$46:$BE$55,,$AH507), 1 / ($BG$46:$BG$55*CW507 + (1-$BG$46:$BG$55)*CS507), N($AU$46:$AU$55&gt;$AM507))
) / 1000</f>
        <v>0</v>
      </c>
      <c r="CY507" s="234" cm="1">
        <f t="array" ref="CY507">$BM507 * IF($AH507&lt;=2,
SUMPRODUCT(INDEX($AV$22:$AX$60,,$AI507), INDEX($AY$22:$BE$60,,$AH507), 1 / ($BF$22:$BF$60*CW507), N($AU$22:$AU$60&gt;$AM507)),
SUMPRODUCT(INDEX($AV$22:$AX$45,,$AI507), INDEX($AY$22:$BE$45,,$AH507), 1 / ($BG$22:$BG$45*CW507), N($AU$22:$AU$45&gt;$AM507))
) / 1000</f>
        <v>0</v>
      </c>
      <c r="CZ507" s="229">
        <f t="shared" si="694"/>
        <v>0</v>
      </c>
      <c r="DA507" s="246"/>
    </row>
    <row r="508" spans="1:105" s="75" customFormat="1" ht="14.25" customHeight="1" x14ac:dyDescent="0.2">
      <c r="A508" s="230" t="b">
        <f t="shared" si="661"/>
        <v>0</v>
      </c>
      <c r="B508" s="253">
        <v>487</v>
      </c>
      <c r="C508" s="266"/>
      <c r="D508" s="266"/>
      <c r="E508" s="254"/>
      <c r="F508" s="255" t="str">
        <f>IF(ISBLANK(E508), "", VLOOKUP(E508, Z!$A$2:$C$4127, 3, FALSE))</f>
        <v/>
      </c>
      <c r="G508" s="256"/>
      <c r="H508" s="256"/>
      <c r="I508" s="256"/>
      <c r="J508" s="257"/>
      <c r="K508" s="258"/>
      <c r="L508" s="267"/>
      <c r="M508" s="268"/>
      <c r="N508" s="259" t="str" cm="1">
        <f t="array" ref="N508">IF($L508&gt;0, INDEX(Clean,1+AK508,$D$1), "")</f>
        <v/>
      </c>
      <c r="O508" s="260"/>
      <c r="P508" s="260"/>
      <c r="Q508" s="261"/>
      <c r="R508" s="264">
        <f t="shared" si="670"/>
        <v>0</v>
      </c>
      <c r="S508" s="259" t="str" cm="1">
        <f t="array" ref="S508">IF($L508&gt;0, INDEX(Clean,1+AL508,$D$1), "")</f>
        <v/>
      </c>
      <c r="T508" s="260"/>
      <c r="U508" s="260"/>
      <c r="V508" s="261"/>
      <c r="W508" s="267"/>
      <c r="X508" s="267"/>
      <c r="Y508" s="257"/>
      <c r="Z508" s="264">
        <f t="shared" si="671"/>
        <v>0</v>
      </c>
      <c r="AA508" s="269"/>
      <c r="AB508" s="266"/>
      <c r="AC508" s="254"/>
      <c r="AD508" s="255" t="str">
        <f>IF(ISBLANK(AC508), "", VLOOKUP(AC508, Z!$A$2:$C$4127, 3, FALSE))</f>
        <v/>
      </c>
      <c r="AE508" s="270"/>
      <c r="AF508" s="265">
        <f t="shared" si="672"/>
        <v>0</v>
      </c>
      <c r="AG508" s="246"/>
      <c r="AH508" s="228">
        <f t="shared" si="695"/>
        <v>1</v>
      </c>
      <c r="AI508" s="228">
        <f t="shared" si="696"/>
        <v>1</v>
      </c>
      <c r="AJ508" s="228">
        <f t="shared" si="697"/>
        <v>0</v>
      </c>
      <c r="AK508" s="228">
        <v>0</v>
      </c>
      <c r="AL508" s="228">
        <v>0</v>
      </c>
      <c r="AM508" s="228">
        <f t="shared" si="673"/>
        <v>-100</v>
      </c>
      <c r="AN508" s="228" cm="1">
        <f t="array" ref="AN508">IF(ISBLANK(G508), 1, IFERROR(MATCH(G508, INDEX(Kat,,1), 0), IFERROR(MATCH(Kat, INDEX(Use,,2), 0), MATCH(Kat, INDEX(Use,,3), 0))))</f>
        <v>1</v>
      </c>
      <c r="AO508" s="246"/>
      <c r="AP508" s="228" cm="1">
        <f t="array" ref="AP508">IF(W508&gt;0, INDEX(Kat, AN508,4), 0)</f>
        <v>0</v>
      </c>
      <c r="AQ508" s="228">
        <f t="shared" si="698"/>
        <v>0</v>
      </c>
      <c r="AR508" s="228" cm="1">
        <f t="array" ref="AR508">IF(X508&gt;0, INDEX(Kat, $AN508, 4+AQ508), 0)</f>
        <v>0</v>
      </c>
      <c r="AS508" s="228" cm="1">
        <f t="array" ref="AS508">IF(X508&gt;0, INDEX(Kat, $AN508, 9+AQ508), 0)</f>
        <v>0</v>
      </c>
      <c r="AT508" s="246"/>
      <c r="AU508" s="262"/>
      <c r="AV508" s="262"/>
      <c r="AW508" s="263"/>
      <c r="AX508" s="263"/>
      <c r="AY508" s="263"/>
      <c r="AZ508" s="263"/>
      <c r="BA508" s="263"/>
      <c r="BB508" s="263"/>
      <c r="BC508" s="263"/>
      <c r="BD508" s="263"/>
      <c r="BE508" s="263"/>
      <c r="BF508" s="263"/>
      <c r="BG508" s="263"/>
      <c r="BH508" s="246"/>
      <c r="BI508" s="228" cm="1">
        <f t="array" ref="BI508">INDEX(Use, $AH508, 4)</f>
        <v>7</v>
      </c>
      <c r="BJ508" s="228">
        <f t="shared" si="674"/>
        <v>32</v>
      </c>
      <c r="BK508" s="228">
        <f t="shared" si="662"/>
        <v>13</v>
      </c>
      <c r="BL508" s="228">
        <f t="shared" si="663"/>
        <v>0</v>
      </c>
      <c r="BM508" s="233" cm="1">
        <f t="array" ref="BM508">L508/IF($M508&gt;0, INDEX($AY$22:$BE$76, $M508+20, $AH508), 1)</f>
        <v>0</v>
      </c>
      <c r="BN508" s="229">
        <f t="shared" si="675"/>
        <v>0</v>
      </c>
      <c r="BO508" s="228">
        <v>35</v>
      </c>
      <c r="BP508" s="229">
        <f t="shared" si="676"/>
        <v>48</v>
      </c>
      <c r="BQ508" s="234">
        <f t="shared" si="677"/>
        <v>3.0748170731707316</v>
      </c>
      <c r="BR508" s="234" cm="1">
        <f t="array" ref="BR508">$BM508 * SUMPRODUCT(INDEX($AV$76:$AX$81,,$AI508),INDEX($AY$76:$BE$81,,$AH508), N($AU$76:$AU$81&gt;$AM508)) / BQ508 / 1000</f>
        <v>0</v>
      </c>
      <c r="BS508" s="231">
        <f t="shared" si="664"/>
        <v>30</v>
      </c>
      <c r="BT508" s="229">
        <f t="shared" si="678"/>
        <v>43</v>
      </c>
      <c r="BU508" s="234">
        <f t="shared" si="679"/>
        <v>3.5018750000000001</v>
      </c>
      <c r="BV508" s="234" cm="1">
        <f t="array" ref="BV508">$BM508 * IF($AH508&lt;=2,
SUMPRODUCT(INDEX($AV$71:$AX$75,,$AI508), INDEX($AY$71:$BE$75,,$AH508), 1 / ($BF$71:$BF$75*BU508 + (1-$BF$71:$BF$75)*BQ508), N($AU$71:$AU$75&gt;$AM508)),
SUMPRODUCT(INDEX($AV$66:$AX$75,,$AI508), INDEX($AY$66:$BE$75,,$AH508), 1 / ($BG$66:$BG$75*BU508 + (1-$BG$66:$BG$75)*BQ508), N($AU$66:$AU$75&gt;$AM508))
) / 1000</f>
        <v>0</v>
      </c>
      <c r="BW508" s="231">
        <f t="shared" si="665"/>
        <v>25</v>
      </c>
      <c r="BX508" s="229">
        <f t="shared" si="680"/>
        <v>38</v>
      </c>
      <c r="BY508" s="234">
        <f t="shared" si="681"/>
        <v>4.0666935483870965</v>
      </c>
      <c r="BZ508" s="234" cm="1">
        <f t="array" ref="BZ508">$BM508 * IF($AH508&lt;=2,
SUMPRODUCT(INDEX($AV$66:$AX$70,,$AI508), INDEX($AY$66:$BE$70,,$AH508), 1 / ($BF$66:$BF$70*BY508 + (1-$BF$66:$BF$70)*BU508), N($AU$66:$AU$70&gt;$AM508)),
SUMPRODUCT(INDEX($AV$56:$AX$65,,$AI508), INDEX($AY$56:$BE$65,,$AH508), 1 / ($BG$56:$BG$65*BY508 + (1-$BG$56:$BG$65)*BU508), N($AU$56:$AU$65&gt;$AM508))
) / 1000</f>
        <v>0</v>
      </c>
      <c r="CA508" s="231">
        <f t="shared" si="666"/>
        <v>20</v>
      </c>
      <c r="CB508" s="229">
        <f t="shared" si="682"/>
        <v>33</v>
      </c>
      <c r="CC508" s="234">
        <f t="shared" si="683"/>
        <v>4.8487499999999999</v>
      </c>
      <c r="CD508" s="234" cm="1">
        <f t="array" ref="CD508">$BM508 * IF($AH508&lt;=2,
SUMPRODUCT(INDEX($AV$61:$AX$65,,$AI508), INDEX($AY$61:$BE$65,,$AH508), 1 / ($BF$61:$BF$65*CC508 + (1-$BF$61:$BF$65)*BY508), N($AU$61:$AU$65&gt;$AM508)),
SUMPRODUCT(INDEX($AV$46:$AX$55,,$AI508), INDEX($AY$46:$BE$55,,$AH508), 1 / ($BG$46:$BG$55*CC508 + (1-$BG$46:$BG$55)*BY508), N($AU$46:$AU$55&gt;$AM508))
) / 1000</f>
        <v>0</v>
      </c>
      <c r="CE508" s="234" cm="1">
        <f t="array" ref="CE508">$BM508 * IF($AH508&lt;=2,
SUMPRODUCT(INDEX($AV$22:$AX$60,,$AI508), INDEX($AY$22:$BE$60,,$AH508), 1 / ($BF$22:$BF$60*CC508), N($AU$22:$AU$60&gt;$AM508)),
SUMPRODUCT(INDEX($AV$22:$AX$45,,$AI508), INDEX($AY$22:$BE$45,,$AH508), 1 / ($BG$22:$BG$45*CC508), N($AU$22:$AU$45&gt;$AM508))
) / 1000</f>
        <v>0</v>
      </c>
      <c r="CF508" s="229">
        <f t="shared" si="684"/>
        <v>0</v>
      </c>
      <c r="CG508" s="246"/>
      <c r="CH508" s="229">
        <f t="shared" si="685"/>
        <v>0</v>
      </c>
      <c r="CI508" s="228">
        <v>35</v>
      </c>
      <c r="CJ508" s="229">
        <f t="shared" si="686"/>
        <v>48</v>
      </c>
      <c r="CK508" s="234">
        <f t="shared" si="687"/>
        <v>3.0748170731707316</v>
      </c>
      <c r="CL508" s="234" cm="1">
        <f t="array" ref="CL508">$BM508 * SUMPRODUCT(INDEX($AV$76:$AX$81,,$AI508),INDEX($AY$76:$BE$81,,$AH508), N($AU$76:$AU$81&gt;$AM508)) / CK508 / 1000</f>
        <v>0</v>
      </c>
      <c r="CM508" s="231">
        <f t="shared" si="667"/>
        <v>30</v>
      </c>
      <c r="CN508" s="229">
        <f t="shared" si="688"/>
        <v>43</v>
      </c>
      <c r="CO508" s="234">
        <f t="shared" si="689"/>
        <v>3.5018750000000001</v>
      </c>
      <c r="CP508" s="234" cm="1">
        <f t="array" ref="CP508">$BM508 * IF($AH508&lt;=2,
SUMPRODUCT(INDEX($AV$71:$AX$75,,$AI508), INDEX($AY$71:$BE$75,,$AH508), 1 / ($BF$71:$BF$75*CO508 + (1-$BF$71:$BF$75)*CK508), N($AU$71:$AU$75&gt;$AM508)),
SUMPRODUCT(INDEX($AV$66:$AX$75,,$AI508), INDEX($AY$66:$BE$75,,$AH508), 1 / ($BG$66:$BG$75*CO508 + (1-$BG$66:$BG$75)*CK508), N($AU$66:$AU$75&gt;$AM508))
) / 1000</f>
        <v>0</v>
      </c>
      <c r="CQ508" s="231">
        <f t="shared" si="668"/>
        <v>25</v>
      </c>
      <c r="CR508" s="229">
        <f t="shared" si="690"/>
        <v>38</v>
      </c>
      <c r="CS508" s="234">
        <f t="shared" si="691"/>
        <v>4.0666935483870965</v>
      </c>
      <c r="CT508" s="234" cm="1">
        <f t="array" ref="CT508">$BM508 * IF($AH508&lt;=2,
SUMPRODUCT(INDEX($AV$66:$AX$70,,$AI508), INDEX($AY$66:$BE$70,,$AH508), 1 / ($BF$66:$BF$70*CS508 + (1-$BF$66:$BF$70)*CO508), N($AU$66:$AU$70&gt;$AM508)),
SUMPRODUCT(INDEX($AV$56:$AX$65,,$AI508), INDEX($AY$56:$BE$65,,$AH508), 1 / ($BG$56:$BG$65*CS508 + (1-$BG$56:$BG$65)*CO508), N($AU$56:$AU$65&gt;$AM508))
) / 1000</f>
        <v>0</v>
      </c>
      <c r="CU508" s="231">
        <f t="shared" si="669"/>
        <v>20</v>
      </c>
      <c r="CV508" s="229">
        <f t="shared" si="692"/>
        <v>33</v>
      </c>
      <c r="CW508" s="234">
        <f t="shared" si="693"/>
        <v>4.8487499999999999</v>
      </c>
      <c r="CX508" s="234" cm="1">
        <f t="array" ref="CX508">$BM508 * IF($AH508&lt;=2,
SUMPRODUCT(INDEX($AV$61:$AX$65,,$AI508), INDEX($AY$61:$BE$65,,$AH508), 1 / ($BF$61:$BF$65*CW508 + (1-$BF$61:$BF$65)*CS508), N($AU$61:$AU$65&gt;$AM508)),
SUMPRODUCT(INDEX($AV$46:$AX$55,,$AI508), INDEX($AY$46:$BE$55,,$AH508), 1 / ($BG$46:$BG$55*CW508 + (1-$BG$46:$BG$55)*CS508), N($AU$46:$AU$55&gt;$AM508))
) / 1000</f>
        <v>0</v>
      </c>
      <c r="CY508" s="234" cm="1">
        <f t="array" ref="CY508">$BM508 * IF($AH508&lt;=2,
SUMPRODUCT(INDEX($AV$22:$AX$60,,$AI508), INDEX($AY$22:$BE$60,,$AH508), 1 / ($BF$22:$BF$60*CW508), N($AU$22:$AU$60&gt;$AM508)),
SUMPRODUCT(INDEX($AV$22:$AX$45,,$AI508), INDEX($AY$22:$BE$45,,$AH508), 1 / ($BG$22:$BG$45*CW508), N($AU$22:$AU$45&gt;$AM508))
) / 1000</f>
        <v>0</v>
      </c>
      <c r="CZ508" s="229">
        <f t="shared" si="694"/>
        <v>0</v>
      </c>
      <c r="DA508" s="246"/>
    </row>
    <row r="509" spans="1:105" s="75" customFormat="1" ht="14.25" customHeight="1" x14ac:dyDescent="0.2">
      <c r="A509" s="230" t="b">
        <f t="shared" si="661"/>
        <v>0</v>
      </c>
      <c r="B509" s="253">
        <v>488</v>
      </c>
      <c r="C509" s="266"/>
      <c r="D509" s="266"/>
      <c r="E509" s="254"/>
      <c r="F509" s="255" t="str">
        <f>IF(ISBLANK(E509), "", VLOOKUP(E509, Z!$A$2:$C$4127, 3, FALSE))</f>
        <v/>
      </c>
      <c r="G509" s="256"/>
      <c r="H509" s="256"/>
      <c r="I509" s="256"/>
      <c r="J509" s="257"/>
      <c r="K509" s="258"/>
      <c r="L509" s="267"/>
      <c r="M509" s="268"/>
      <c r="N509" s="259" t="str" cm="1">
        <f t="array" ref="N509">IF($L509&gt;0, INDEX(Clean,1+AK509,$D$1), "")</f>
        <v/>
      </c>
      <c r="O509" s="260"/>
      <c r="P509" s="260"/>
      <c r="Q509" s="261"/>
      <c r="R509" s="264">
        <f t="shared" si="670"/>
        <v>0</v>
      </c>
      <c r="S509" s="259" t="str" cm="1">
        <f t="array" ref="S509">IF($L509&gt;0, INDEX(Clean,1+AL509,$D$1), "")</f>
        <v/>
      </c>
      <c r="T509" s="260"/>
      <c r="U509" s="260"/>
      <c r="V509" s="261"/>
      <c r="W509" s="267"/>
      <c r="X509" s="267"/>
      <c r="Y509" s="257"/>
      <c r="Z509" s="264">
        <f t="shared" si="671"/>
        <v>0</v>
      </c>
      <c r="AA509" s="269"/>
      <c r="AB509" s="266"/>
      <c r="AC509" s="254"/>
      <c r="AD509" s="255" t="str">
        <f>IF(ISBLANK(AC509), "", VLOOKUP(AC509, Z!$A$2:$C$4127, 3, FALSE))</f>
        <v/>
      </c>
      <c r="AE509" s="270"/>
      <c r="AF509" s="265">
        <f t="shared" si="672"/>
        <v>0</v>
      </c>
      <c r="AG509" s="246"/>
      <c r="AH509" s="228">
        <f t="shared" si="695"/>
        <v>1</v>
      </c>
      <c r="AI509" s="228">
        <f t="shared" si="696"/>
        <v>1</v>
      </c>
      <c r="AJ509" s="228">
        <f t="shared" si="697"/>
        <v>0</v>
      </c>
      <c r="AK509" s="228">
        <v>0</v>
      </c>
      <c r="AL509" s="228">
        <v>0</v>
      </c>
      <c r="AM509" s="228">
        <f t="shared" si="673"/>
        <v>-100</v>
      </c>
      <c r="AN509" s="228" cm="1">
        <f t="array" ref="AN509">IF(ISBLANK(G509), 1, IFERROR(MATCH(G509, INDEX(Kat,,1), 0), IFERROR(MATCH(Kat, INDEX(Use,,2), 0), MATCH(Kat, INDEX(Use,,3), 0))))</f>
        <v>1</v>
      </c>
      <c r="AO509" s="246"/>
      <c r="AP509" s="228" cm="1">
        <f t="array" ref="AP509">IF(W509&gt;0, INDEX(Kat, AN509,4), 0)</f>
        <v>0</v>
      </c>
      <c r="AQ509" s="228">
        <f t="shared" si="698"/>
        <v>0</v>
      </c>
      <c r="AR509" s="228" cm="1">
        <f t="array" ref="AR509">IF(X509&gt;0, INDEX(Kat, $AN509, 4+AQ509), 0)</f>
        <v>0</v>
      </c>
      <c r="AS509" s="228" cm="1">
        <f t="array" ref="AS509">IF(X509&gt;0, INDEX(Kat, $AN509, 9+AQ509), 0)</f>
        <v>0</v>
      </c>
      <c r="AT509" s="246"/>
      <c r="AU509" s="262"/>
      <c r="AV509" s="262"/>
      <c r="AW509" s="263"/>
      <c r="AX509" s="263"/>
      <c r="AY509" s="263"/>
      <c r="AZ509" s="263"/>
      <c r="BA509" s="263"/>
      <c r="BB509" s="263"/>
      <c r="BC509" s="263"/>
      <c r="BD509" s="263"/>
      <c r="BE509" s="263"/>
      <c r="BF509" s="263"/>
      <c r="BG509" s="263"/>
      <c r="BH509" s="246"/>
      <c r="BI509" s="228" cm="1">
        <f t="array" ref="BI509">INDEX(Use, $AH509, 4)</f>
        <v>7</v>
      </c>
      <c r="BJ509" s="228">
        <f t="shared" si="674"/>
        <v>32</v>
      </c>
      <c r="BK509" s="228">
        <f t="shared" si="662"/>
        <v>13</v>
      </c>
      <c r="BL509" s="228">
        <f t="shared" si="663"/>
        <v>0</v>
      </c>
      <c r="BM509" s="233" cm="1">
        <f t="array" ref="BM509">L509/IF($M509&gt;0, INDEX($AY$22:$BE$76, $M509+20, $AH509), 1)</f>
        <v>0</v>
      </c>
      <c r="BN509" s="229">
        <f t="shared" si="675"/>
        <v>0</v>
      </c>
      <c r="BO509" s="228">
        <v>35</v>
      </c>
      <c r="BP509" s="229">
        <f t="shared" si="676"/>
        <v>48</v>
      </c>
      <c r="BQ509" s="234">
        <f t="shared" si="677"/>
        <v>3.0748170731707316</v>
      </c>
      <c r="BR509" s="234" cm="1">
        <f t="array" ref="BR509">$BM509 * SUMPRODUCT(INDEX($AV$76:$AX$81,,$AI509),INDEX($AY$76:$BE$81,,$AH509), N($AU$76:$AU$81&gt;$AM509)) / BQ509 / 1000</f>
        <v>0</v>
      </c>
      <c r="BS509" s="231">
        <f t="shared" si="664"/>
        <v>30</v>
      </c>
      <c r="BT509" s="229">
        <f t="shared" si="678"/>
        <v>43</v>
      </c>
      <c r="BU509" s="234">
        <f t="shared" si="679"/>
        <v>3.5018750000000001</v>
      </c>
      <c r="BV509" s="234" cm="1">
        <f t="array" ref="BV509">$BM509 * IF($AH509&lt;=2,
SUMPRODUCT(INDEX($AV$71:$AX$75,,$AI509), INDEX($AY$71:$BE$75,,$AH509), 1 / ($BF$71:$BF$75*BU509 + (1-$BF$71:$BF$75)*BQ509), N($AU$71:$AU$75&gt;$AM509)),
SUMPRODUCT(INDEX($AV$66:$AX$75,,$AI509), INDEX($AY$66:$BE$75,,$AH509), 1 / ($BG$66:$BG$75*BU509 + (1-$BG$66:$BG$75)*BQ509), N($AU$66:$AU$75&gt;$AM509))
) / 1000</f>
        <v>0</v>
      </c>
      <c r="BW509" s="231">
        <f t="shared" si="665"/>
        <v>25</v>
      </c>
      <c r="BX509" s="229">
        <f t="shared" si="680"/>
        <v>38</v>
      </c>
      <c r="BY509" s="234">
        <f t="shared" si="681"/>
        <v>4.0666935483870965</v>
      </c>
      <c r="BZ509" s="234" cm="1">
        <f t="array" ref="BZ509">$BM509 * IF($AH509&lt;=2,
SUMPRODUCT(INDEX($AV$66:$AX$70,,$AI509), INDEX($AY$66:$BE$70,,$AH509), 1 / ($BF$66:$BF$70*BY509 + (1-$BF$66:$BF$70)*BU509), N($AU$66:$AU$70&gt;$AM509)),
SUMPRODUCT(INDEX($AV$56:$AX$65,,$AI509), INDEX($AY$56:$BE$65,,$AH509), 1 / ($BG$56:$BG$65*BY509 + (1-$BG$56:$BG$65)*BU509), N($AU$56:$AU$65&gt;$AM509))
) / 1000</f>
        <v>0</v>
      </c>
      <c r="CA509" s="231">
        <f t="shared" si="666"/>
        <v>20</v>
      </c>
      <c r="CB509" s="229">
        <f t="shared" si="682"/>
        <v>33</v>
      </c>
      <c r="CC509" s="234">
        <f t="shared" si="683"/>
        <v>4.8487499999999999</v>
      </c>
      <c r="CD509" s="234" cm="1">
        <f t="array" ref="CD509">$BM509 * IF($AH509&lt;=2,
SUMPRODUCT(INDEX($AV$61:$AX$65,,$AI509), INDEX($AY$61:$BE$65,,$AH509), 1 / ($BF$61:$BF$65*CC509 + (1-$BF$61:$BF$65)*BY509), N($AU$61:$AU$65&gt;$AM509)),
SUMPRODUCT(INDEX($AV$46:$AX$55,,$AI509), INDEX($AY$46:$BE$55,,$AH509), 1 / ($BG$46:$BG$55*CC509 + (1-$BG$46:$BG$55)*BY509), N($AU$46:$AU$55&gt;$AM509))
) / 1000</f>
        <v>0</v>
      </c>
      <c r="CE509" s="234" cm="1">
        <f t="array" ref="CE509">$BM509 * IF($AH509&lt;=2,
SUMPRODUCT(INDEX($AV$22:$AX$60,,$AI509), INDEX($AY$22:$BE$60,,$AH509), 1 / ($BF$22:$BF$60*CC509), N($AU$22:$AU$60&gt;$AM509)),
SUMPRODUCT(INDEX($AV$22:$AX$45,,$AI509), INDEX($AY$22:$BE$45,,$AH509), 1 / ($BG$22:$BG$45*CC509), N($AU$22:$AU$45&gt;$AM509))
) / 1000</f>
        <v>0</v>
      </c>
      <c r="CF509" s="229">
        <f t="shared" si="684"/>
        <v>0</v>
      </c>
      <c r="CG509" s="246"/>
      <c r="CH509" s="229">
        <f t="shared" si="685"/>
        <v>0</v>
      </c>
      <c r="CI509" s="228">
        <v>35</v>
      </c>
      <c r="CJ509" s="229">
        <f t="shared" si="686"/>
        <v>48</v>
      </c>
      <c r="CK509" s="234">
        <f t="shared" si="687"/>
        <v>3.0748170731707316</v>
      </c>
      <c r="CL509" s="234" cm="1">
        <f t="array" ref="CL509">$BM509 * SUMPRODUCT(INDEX($AV$76:$AX$81,,$AI509),INDEX($AY$76:$BE$81,,$AH509), N($AU$76:$AU$81&gt;$AM509)) / CK509 / 1000</f>
        <v>0</v>
      </c>
      <c r="CM509" s="231">
        <f t="shared" si="667"/>
        <v>30</v>
      </c>
      <c r="CN509" s="229">
        <f t="shared" si="688"/>
        <v>43</v>
      </c>
      <c r="CO509" s="234">
        <f t="shared" si="689"/>
        <v>3.5018750000000001</v>
      </c>
      <c r="CP509" s="234" cm="1">
        <f t="array" ref="CP509">$BM509 * IF($AH509&lt;=2,
SUMPRODUCT(INDEX($AV$71:$AX$75,,$AI509), INDEX($AY$71:$BE$75,,$AH509), 1 / ($BF$71:$BF$75*CO509 + (1-$BF$71:$BF$75)*CK509), N($AU$71:$AU$75&gt;$AM509)),
SUMPRODUCT(INDEX($AV$66:$AX$75,,$AI509), INDEX($AY$66:$BE$75,,$AH509), 1 / ($BG$66:$BG$75*CO509 + (1-$BG$66:$BG$75)*CK509), N($AU$66:$AU$75&gt;$AM509))
) / 1000</f>
        <v>0</v>
      </c>
      <c r="CQ509" s="231">
        <f t="shared" si="668"/>
        <v>25</v>
      </c>
      <c r="CR509" s="229">
        <f t="shared" si="690"/>
        <v>38</v>
      </c>
      <c r="CS509" s="234">
        <f t="shared" si="691"/>
        <v>4.0666935483870965</v>
      </c>
      <c r="CT509" s="234" cm="1">
        <f t="array" ref="CT509">$BM509 * IF($AH509&lt;=2,
SUMPRODUCT(INDEX($AV$66:$AX$70,,$AI509), INDEX($AY$66:$BE$70,,$AH509), 1 / ($BF$66:$BF$70*CS509 + (1-$BF$66:$BF$70)*CO509), N($AU$66:$AU$70&gt;$AM509)),
SUMPRODUCT(INDEX($AV$56:$AX$65,,$AI509), INDEX($AY$56:$BE$65,,$AH509), 1 / ($BG$56:$BG$65*CS509 + (1-$BG$56:$BG$65)*CO509), N($AU$56:$AU$65&gt;$AM509))
) / 1000</f>
        <v>0</v>
      </c>
      <c r="CU509" s="231">
        <f t="shared" si="669"/>
        <v>20</v>
      </c>
      <c r="CV509" s="229">
        <f t="shared" si="692"/>
        <v>33</v>
      </c>
      <c r="CW509" s="234">
        <f t="shared" si="693"/>
        <v>4.8487499999999999</v>
      </c>
      <c r="CX509" s="234" cm="1">
        <f t="array" ref="CX509">$BM509 * IF($AH509&lt;=2,
SUMPRODUCT(INDEX($AV$61:$AX$65,,$AI509), INDEX($AY$61:$BE$65,,$AH509), 1 / ($BF$61:$BF$65*CW509 + (1-$BF$61:$BF$65)*CS509), N($AU$61:$AU$65&gt;$AM509)),
SUMPRODUCT(INDEX($AV$46:$AX$55,,$AI509), INDEX($AY$46:$BE$55,,$AH509), 1 / ($BG$46:$BG$55*CW509 + (1-$BG$46:$BG$55)*CS509), N($AU$46:$AU$55&gt;$AM509))
) / 1000</f>
        <v>0</v>
      </c>
      <c r="CY509" s="234" cm="1">
        <f t="array" ref="CY509">$BM509 * IF($AH509&lt;=2,
SUMPRODUCT(INDEX($AV$22:$AX$60,,$AI509), INDEX($AY$22:$BE$60,,$AH509), 1 / ($BF$22:$BF$60*CW509), N($AU$22:$AU$60&gt;$AM509)),
SUMPRODUCT(INDEX($AV$22:$AX$45,,$AI509), INDEX($AY$22:$BE$45,,$AH509), 1 / ($BG$22:$BG$45*CW509), N($AU$22:$AU$45&gt;$AM509))
) / 1000</f>
        <v>0</v>
      </c>
      <c r="CZ509" s="229">
        <f t="shared" si="694"/>
        <v>0</v>
      </c>
      <c r="DA509" s="246"/>
    </row>
    <row r="510" spans="1:105" s="75" customFormat="1" ht="14.25" customHeight="1" x14ac:dyDescent="0.2">
      <c r="A510" s="230" t="b">
        <f t="shared" si="661"/>
        <v>0</v>
      </c>
      <c r="B510" s="253">
        <v>489</v>
      </c>
      <c r="C510" s="266"/>
      <c r="D510" s="266"/>
      <c r="E510" s="254"/>
      <c r="F510" s="255" t="str">
        <f>IF(ISBLANK(E510), "", VLOOKUP(E510, Z!$A$2:$C$4127, 3, FALSE))</f>
        <v/>
      </c>
      <c r="G510" s="256"/>
      <c r="H510" s="256"/>
      <c r="I510" s="256"/>
      <c r="J510" s="257"/>
      <c r="K510" s="258"/>
      <c r="L510" s="267"/>
      <c r="M510" s="268"/>
      <c r="N510" s="259" t="str" cm="1">
        <f t="array" ref="N510">IF($L510&gt;0, INDEX(Clean,1+AK510,$D$1), "")</f>
        <v/>
      </c>
      <c r="O510" s="260"/>
      <c r="P510" s="260"/>
      <c r="Q510" s="261"/>
      <c r="R510" s="264">
        <f t="shared" si="670"/>
        <v>0</v>
      </c>
      <c r="S510" s="259" t="str" cm="1">
        <f t="array" ref="S510">IF($L510&gt;0, INDEX(Clean,1+AL510,$D$1), "")</f>
        <v/>
      </c>
      <c r="T510" s="260"/>
      <c r="U510" s="260"/>
      <c r="V510" s="261"/>
      <c r="W510" s="267"/>
      <c r="X510" s="267"/>
      <c r="Y510" s="257"/>
      <c r="Z510" s="264">
        <f t="shared" si="671"/>
        <v>0</v>
      </c>
      <c r="AA510" s="269"/>
      <c r="AB510" s="266"/>
      <c r="AC510" s="254"/>
      <c r="AD510" s="255" t="str">
        <f>IF(ISBLANK(AC510), "", VLOOKUP(AC510, Z!$A$2:$C$4127, 3, FALSE))</f>
        <v/>
      </c>
      <c r="AE510" s="270"/>
      <c r="AF510" s="265">
        <f t="shared" si="672"/>
        <v>0</v>
      </c>
      <c r="AG510" s="246"/>
      <c r="AH510" s="228">
        <f t="shared" si="695"/>
        <v>1</v>
      </c>
      <c r="AI510" s="228">
        <f t="shared" si="696"/>
        <v>1</v>
      </c>
      <c r="AJ510" s="228">
        <f t="shared" si="697"/>
        <v>0</v>
      </c>
      <c r="AK510" s="228">
        <v>0</v>
      </c>
      <c r="AL510" s="228">
        <v>0</v>
      </c>
      <c r="AM510" s="228">
        <f t="shared" si="673"/>
        <v>-100</v>
      </c>
      <c r="AN510" s="228" cm="1">
        <f t="array" ref="AN510">IF(ISBLANK(G510), 1, IFERROR(MATCH(G510, INDEX(Kat,,1), 0), IFERROR(MATCH(Kat, INDEX(Use,,2), 0), MATCH(Kat, INDEX(Use,,3), 0))))</f>
        <v>1</v>
      </c>
      <c r="AO510" s="246"/>
      <c r="AP510" s="228" cm="1">
        <f t="array" ref="AP510">IF(W510&gt;0, INDEX(Kat, AN510,4), 0)</f>
        <v>0</v>
      </c>
      <c r="AQ510" s="228">
        <f t="shared" si="698"/>
        <v>0</v>
      </c>
      <c r="AR510" s="228" cm="1">
        <f t="array" ref="AR510">IF(X510&gt;0, INDEX(Kat, $AN510, 4+AQ510), 0)</f>
        <v>0</v>
      </c>
      <c r="AS510" s="228" cm="1">
        <f t="array" ref="AS510">IF(X510&gt;0, INDEX(Kat, $AN510, 9+AQ510), 0)</f>
        <v>0</v>
      </c>
      <c r="AT510" s="246"/>
      <c r="AU510" s="262"/>
      <c r="AV510" s="262"/>
      <c r="AW510" s="263"/>
      <c r="AX510" s="263"/>
      <c r="AY510" s="263"/>
      <c r="AZ510" s="263"/>
      <c r="BA510" s="263"/>
      <c r="BB510" s="263"/>
      <c r="BC510" s="263"/>
      <c r="BD510" s="263"/>
      <c r="BE510" s="263"/>
      <c r="BF510" s="263"/>
      <c r="BG510" s="263"/>
      <c r="BH510" s="246"/>
      <c r="BI510" s="228" cm="1">
        <f t="array" ref="BI510">INDEX(Use, $AH510, 4)</f>
        <v>7</v>
      </c>
      <c r="BJ510" s="228">
        <f t="shared" si="674"/>
        <v>32</v>
      </c>
      <c r="BK510" s="228">
        <f t="shared" si="662"/>
        <v>13</v>
      </c>
      <c r="BL510" s="228">
        <f t="shared" si="663"/>
        <v>0</v>
      </c>
      <c r="BM510" s="233" cm="1">
        <f t="array" ref="BM510">L510/IF($M510&gt;0, INDEX($AY$22:$BE$76, $M510+20, $AH510), 1)</f>
        <v>0</v>
      </c>
      <c r="BN510" s="229">
        <f t="shared" si="675"/>
        <v>0</v>
      </c>
      <c r="BO510" s="228">
        <v>35</v>
      </c>
      <c r="BP510" s="229">
        <f t="shared" si="676"/>
        <v>48</v>
      </c>
      <c r="BQ510" s="234">
        <f t="shared" si="677"/>
        <v>3.0748170731707316</v>
      </c>
      <c r="BR510" s="234" cm="1">
        <f t="array" ref="BR510">$BM510 * SUMPRODUCT(INDEX($AV$76:$AX$81,,$AI510),INDEX($AY$76:$BE$81,,$AH510), N($AU$76:$AU$81&gt;$AM510)) / BQ510 / 1000</f>
        <v>0</v>
      </c>
      <c r="BS510" s="231">
        <f t="shared" si="664"/>
        <v>30</v>
      </c>
      <c r="BT510" s="229">
        <f t="shared" si="678"/>
        <v>43</v>
      </c>
      <c r="BU510" s="234">
        <f t="shared" si="679"/>
        <v>3.5018750000000001</v>
      </c>
      <c r="BV510" s="234" cm="1">
        <f t="array" ref="BV510">$BM510 * IF($AH510&lt;=2,
SUMPRODUCT(INDEX($AV$71:$AX$75,,$AI510), INDEX($AY$71:$BE$75,,$AH510), 1 / ($BF$71:$BF$75*BU510 + (1-$BF$71:$BF$75)*BQ510), N($AU$71:$AU$75&gt;$AM510)),
SUMPRODUCT(INDEX($AV$66:$AX$75,,$AI510), INDEX($AY$66:$BE$75,,$AH510), 1 / ($BG$66:$BG$75*BU510 + (1-$BG$66:$BG$75)*BQ510), N($AU$66:$AU$75&gt;$AM510))
) / 1000</f>
        <v>0</v>
      </c>
      <c r="BW510" s="231">
        <f t="shared" si="665"/>
        <v>25</v>
      </c>
      <c r="BX510" s="229">
        <f t="shared" si="680"/>
        <v>38</v>
      </c>
      <c r="BY510" s="234">
        <f t="shared" si="681"/>
        <v>4.0666935483870965</v>
      </c>
      <c r="BZ510" s="234" cm="1">
        <f t="array" ref="BZ510">$BM510 * IF($AH510&lt;=2,
SUMPRODUCT(INDEX($AV$66:$AX$70,,$AI510), INDEX($AY$66:$BE$70,,$AH510), 1 / ($BF$66:$BF$70*BY510 + (1-$BF$66:$BF$70)*BU510), N($AU$66:$AU$70&gt;$AM510)),
SUMPRODUCT(INDEX($AV$56:$AX$65,,$AI510), INDEX($AY$56:$BE$65,,$AH510), 1 / ($BG$56:$BG$65*BY510 + (1-$BG$56:$BG$65)*BU510), N($AU$56:$AU$65&gt;$AM510))
) / 1000</f>
        <v>0</v>
      </c>
      <c r="CA510" s="231">
        <f t="shared" si="666"/>
        <v>20</v>
      </c>
      <c r="CB510" s="229">
        <f t="shared" si="682"/>
        <v>33</v>
      </c>
      <c r="CC510" s="234">
        <f t="shared" si="683"/>
        <v>4.8487499999999999</v>
      </c>
      <c r="CD510" s="234" cm="1">
        <f t="array" ref="CD510">$BM510 * IF($AH510&lt;=2,
SUMPRODUCT(INDEX($AV$61:$AX$65,,$AI510), INDEX($AY$61:$BE$65,,$AH510), 1 / ($BF$61:$BF$65*CC510 + (1-$BF$61:$BF$65)*BY510), N($AU$61:$AU$65&gt;$AM510)),
SUMPRODUCT(INDEX($AV$46:$AX$55,,$AI510), INDEX($AY$46:$BE$55,,$AH510), 1 / ($BG$46:$BG$55*CC510 + (1-$BG$46:$BG$55)*BY510), N($AU$46:$AU$55&gt;$AM510))
) / 1000</f>
        <v>0</v>
      </c>
      <c r="CE510" s="234" cm="1">
        <f t="array" ref="CE510">$BM510 * IF($AH510&lt;=2,
SUMPRODUCT(INDEX($AV$22:$AX$60,,$AI510), INDEX($AY$22:$BE$60,,$AH510), 1 / ($BF$22:$BF$60*CC510), N($AU$22:$AU$60&gt;$AM510)),
SUMPRODUCT(INDEX($AV$22:$AX$45,,$AI510), INDEX($AY$22:$BE$45,,$AH510), 1 / ($BG$22:$BG$45*CC510), N($AU$22:$AU$45&gt;$AM510))
) / 1000</f>
        <v>0</v>
      </c>
      <c r="CF510" s="229">
        <f t="shared" si="684"/>
        <v>0</v>
      </c>
      <c r="CG510" s="246"/>
      <c r="CH510" s="229">
        <f t="shared" si="685"/>
        <v>0</v>
      </c>
      <c r="CI510" s="228">
        <v>35</v>
      </c>
      <c r="CJ510" s="229">
        <f t="shared" si="686"/>
        <v>48</v>
      </c>
      <c r="CK510" s="234">
        <f t="shared" si="687"/>
        <v>3.0748170731707316</v>
      </c>
      <c r="CL510" s="234" cm="1">
        <f t="array" ref="CL510">$BM510 * SUMPRODUCT(INDEX($AV$76:$AX$81,,$AI510),INDEX($AY$76:$BE$81,,$AH510), N($AU$76:$AU$81&gt;$AM510)) / CK510 / 1000</f>
        <v>0</v>
      </c>
      <c r="CM510" s="231">
        <f t="shared" si="667"/>
        <v>30</v>
      </c>
      <c r="CN510" s="229">
        <f t="shared" si="688"/>
        <v>43</v>
      </c>
      <c r="CO510" s="234">
        <f t="shared" si="689"/>
        <v>3.5018750000000001</v>
      </c>
      <c r="CP510" s="234" cm="1">
        <f t="array" ref="CP510">$BM510 * IF($AH510&lt;=2,
SUMPRODUCT(INDEX($AV$71:$AX$75,,$AI510), INDEX($AY$71:$BE$75,,$AH510), 1 / ($BF$71:$BF$75*CO510 + (1-$BF$71:$BF$75)*CK510), N($AU$71:$AU$75&gt;$AM510)),
SUMPRODUCT(INDEX($AV$66:$AX$75,,$AI510), INDEX($AY$66:$BE$75,,$AH510), 1 / ($BG$66:$BG$75*CO510 + (1-$BG$66:$BG$75)*CK510), N($AU$66:$AU$75&gt;$AM510))
) / 1000</f>
        <v>0</v>
      </c>
      <c r="CQ510" s="231">
        <f t="shared" si="668"/>
        <v>25</v>
      </c>
      <c r="CR510" s="229">
        <f t="shared" si="690"/>
        <v>38</v>
      </c>
      <c r="CS510" s="234">
        <f t="shared" si="691"/>
        <v>4.0666935483870965</v>
      </c>
      <c r="CT510" s="234" cm="1">
        <f t="array" ref="CT510">$BM510 * IF($AH510&lt;=2,
SUMPRODUCT(INDEX($AV$66:$AX$70,,$AI510), INDEX($AY$66:$BE$70,,$AH510), 1 / ($BF$66:$BF$70*CS510 + (1-$BF$66:$BF$70)*CO510), N($AU$66:$AU$70&gt;$AM510)),
SUMPRODUCT(INDEX($AV$56:$AX$65,,$AI510), INDEX($AY$56:$BE$65,,$AH510), 1 / ($BG$56:$BG$65*CS510 + (1-$BG$56:$BG$65)*CO510), N($AU$56:$AU$65&gt;$AM510))
) / 1000</f>
        <v>0</v>
      </c>
      <c r="CU510" s="231">
        <f t="shared" si="669"/>
        <v>20</v>
      </c>
      <c r="CV510" s="229">
        <f t="shared" si="692"/>
        <v>33</v>
      </c>
      <c r="CW510" s="234">
        <f t="shared" si="693"/>
        <v>4.8487499999999999</v>
      </c>
      <c r="CX510" s="234" cm="1">
        <f t="array" ref="CX510">$BM510 * IF($AH510&lt;=2,
SUMPRODUCT(INDEX($AV$61:$AX$65,,$AI510), INDEX($AY$61:$BE$65,,$AH510), 1 / ($BF$61:$BF$65*CW510 + (1-$BF$61:$BF$65)*CS510), N($AU$61:$AU$65&gt;$AM510)),
SUMPRODUCT(INDEX($AV$46:$AX$55,,$AI510), INDEX($AY$46:$BE$55,,$AH510), 1 / ($BG$46:$BG$55*CW510 + (1-$BG$46:$BG$55)*CS510), N($AU$46:$AU$55&gt;$AM510))
) / 1000</f>
        <v>0</v>
      </c>
      <c r="CY510" s="234" cm="1">
        <f t="array" ref="CY510">$BM510 * IF($AH510&lt;=2,
SUMPRODUCT(INDEX($AV$22:$AX$60,,$AI510), INDEX($AY$22:$BE$60,,$AH510), 1 / ($BF$22:$BF$60*CW510), N($AU$22:$AU$60&gt;$AM510)),
SUMPRODUCT(INDEX($AV$22:$AX$45,,$AI510), INDEX($AY$22:$BE$45,,$AH510), 1 / ($BG$22:$BG$45*CW510), N($AU$22:$AU$45&gt;$AM510))
) / 1000</f>
        <v>0</v>
      </c>
      <c r="CZ510" s="229">
        <f t="shared" si="694"/>
        <v>0</v>
      </c>
      <c r="DA510" s="246"/>
    </row>
    <row r="511" spans="1:105" s="75" customFormat="1" ht="14.25" customHeight="1" x14ac:dyDescent="0.2">
      <c r="A511" s="230" t="b">
        <f t="shared" si="661"/>
        <v>0</v>
      </c>
      <c r="B511" s="253">
        <v>490</v>
      </c>
      <c r="C511" s="266"/>
      <c r="D511" s="266"/>
      <c r="E511" s="254"/>
      <c r="F511" s="255" t="str">
        <f>IF(ISBLANK(E511), "", VLOOKUP(E511, Z!$A$2:$C$4127, 3, FALSE))</f>
        <v/>
      </c>
      <c r="G511" s="256"/>
      <c r="H511" s="256"/>
      <c r="I511" s="256"/>
      <c r="J511" s="257"/>
      <c r="K511" s="258"/>
      <c r="L511" s="267"/>
      <c r="M511" s="268"/>
      <c r="N511" s="259" t="str" cm="1">
        <f t="array" ref="N511">IF($L511&gt;0, INDEX(Clean,1+AK511,$D$1), "")</f>
        <v/>
      </c>
      <c r="O511" s="260"/>
      <c r="P511" s="260"/>
      <c r="Q511" s="261"/>
      <c r="R511" s="264">
        <f t="shared" si="670"/>
        <v>0</v>
      </c>
      <c r="S511" s="259" t="str" cm="1">
        <f t="array" ref="S511">IF($L511&gt;0, INDEX(Clean,1+AL511,$D$1), "")</f>
        <v/>
      </c>
      <c r="T511" s="260"/>
      <c r="U511" s="260"/>
      <c r="V511" s="261"/>
      <c r="W511" s="267"/>
      <c r="X511" s="267"/>
      <c r="Y511" s="257"/>
      <c r="Z511" s="264">
        <f t="shared" si="671"/>
        <v>0</v>
      </c>
      <c r="AA511" s="269"/>
      <c r="AB511" s="266"/>
      <c r="AC511" s="254"/>
      <c r="AD511" s="255" t="str">
        <f>IF(ISBLANK(AC511), "", VLOOKUP(AC511, Z!$A$2:$C$4127, 3, FALSE))</f>
        <v/>
      </c>
      <c r="AE511" s="270"/>
      <c r="AF511" s="265">
        <f t="shared" si="672"/>
        <v>0</v>
      </c>
      <c r="AG511" s="246"/>
      <c r="AH511" s="228">
        <f t="shared" si="695"/>
        <v>1</v>
      </c>
      <c r="AI511" s="228">
        <f t="shared" si="696"/>
        <v>1</v>
      </c>
      <c r="AJ511" s="228">
        <f t="shared" si="697"/>
        <v>0</v>
      </c>
      <c r="AK511" s="228">
        <v>0</v>
      </c>
      <c r="AL511" s="228">
        <v>0</v>
      </c>
      <c r="AM511" s="228">
        <f t="shared" si="673"/>
        <v>-100</v>
      </c>
      <c r="AN511" s="228" cm="1">
        <f t="array" ref="AN511">IF(ISBLANK(G511), 1, IFERROR(MATCH(G511, INDEX(Kat,,1), 0), IFERROR(MATCH(Kat, INDEX(Use,,2), 0), MATCH(Kat, INDEX(Use,,3), 0))))</f>
        <v>1</v>
      </c>
      <c r="AO511" s="246"/>
      <c r="AP511" s="228" cm="1">
        <f t="array" ref="AP511">IF(W511&gt;0, INDEX(Kat, AN511,4), 0)</f>
        <v>0</v>
      </c>
      <c r="AQ511" s="228">
        <f t="shared" si="698"/>
        <v>0</v>
      </c>
      <c r="AR511" s="228" cm="1">
        <f t="array" ref="AR511">IF(X511&gt;0, INDEX(Kat, $AN511, 4+AQ511), 0)</f>
        <v>0</v>
      </c>
      <c r="AS511" s="228" cm="1">
        <f t="array" ref="AS511">IF(X511&gt;0, INDEX(Kat, $AN511, 9+AQ511), 0)</f>
        <v>0</v>
      </c>
      <c r="AT511" s="246"/>
      <c r="AU511" s="262"/>
      <c r="AV511" s="262"/>
      <c r="AW511" s="263"/>
      <c r="AX511" s="263"/>
      <c r="AY511" s="263"/>
      <c r="AZ511" s="263"/>
      <c r="BA511" s="263"/>
      <c r="BB511" s="263"/>
      <c r="BC511" s="263"/>
      <c r="BD511" s="263"/>
      <c r="BE511" s="263"/>
      <c r="BF511" s="263"/>
      <c r="BG511" s="263"/>
      <c r="BH511" s="246"/>
      <c r="BI511" s="228" cm="1">
        <f t="array" ref="BI511">INDEX(Use, $AH511, 4)</f>
        <v>7</v>
      </c>
      <c r="BJ511" s="228">
        <f t="shared" si="674"/>
        <v>32</v>
      </c>
      <c r="BK511" s="228">
        <f t="shared" si="662"/>
        <v>13</v>
      </c>
      <c r="BL511" s="228">
        <f t="shared" si="663"/>
        <v>0</v>
      </c>
      <c r="BM511" s="233" cm="1">
        <f t="array" ref="BM511">L511/IF($M511&gt;0, INDEX($AY$22:$BE$76, $M511+20, $AH511), 1)</f>
        <v>0</v>
      </c>
      <c r="BN511" s="229">
        <f t="shared" si="675"/>
        <v>0</v>
      </c>
      <c r="BO511" s="228">
        <v>35</v>
      </c>
      <c r="BP511" s="229">
        <f t="shared" si="676"/>
        <v>48</v>
      </c>
      <c r="BQ511" s="234">
        <f t="shared" si="677"/>
        <v>3.0748170731707316</v>
      </c>
      <c r="BR511" s="234" cm="1">
        <f t="array" ref="BR511">$BM511 * SUMPRODUCT(INDEX($AV$76:$AX$81,,$AI511),INDEX($AY$76:$BE$81,,$AH511), N($AU$76:$AU$81&gt;$AM511)) / BQ511 / 1000</f>
        <v>0</v>
      </c>
      <c r="BS511" s="231">
        <f t="shared" si="664"/>
        <v>30</v>
      </c>
      <c r="BT511" s="229">
        <f t="shared" si="678"/>
        <v>43</v>
      </c>
      <c r="BU511" s="234">
        <f t="shared" si="679"/>
        <v>3.5018750000000001</v>
      </c>
      <c r="BV511" s="234" cm="1">
        <f t="array" ref="BV511">$BM511 * IF($AH511&lt;=2,
SUMPRODUCT(INDEX($AV$71:$AX$75,,$AI511), INDEX($AY$71:$BE$75,,$AH511), 1 / ($BF$71:$BF$75*BU511 + (1-$BF$71:$BF$75)*BQ511), N($AU$71:$AU$75&gt;$AM511)),
SUMPRODUCT(INDEX($AV$66:$AX$75,,$AI511), INDEX($AY$66:$BE$75,,$AH511), 1 / ($BG$66:$BG$75*BU511 + (1-$BG$66:$BG$75)*BQ511), N($AU$66:$AU$75&gt;$AM511))
) / 1000</f>
        <v>0</v>
      </c>
      <c r="BW511" s="231">
        <f t="shared" si="665"/>
        <v>25</v>
      </c>
      <c r="BX511" s="229">
        <f t="shared" si="680"/>
        <v>38</v>
      </c>
      <c r="BY511" s="234">
        <f t="shared" si="681"/>
        <v>4.0666935483870965</v>
      </c>
      <c r="BZ511" s="234" cm="1">
        <f t="array" ref="BZ511">$BM511 * IF($AH511&lt;=2,
SUMPRODUCT(INDEX($AV$66:$AX$70,,$AI511), INDEX($AY$66:$BE$70,,$AH511), 1 / ($BF$66:$BF$70*BY511 + (1-$BF$66:$BF$70)*BU511), N($AU$66:$AU$70&gt;$AM511)),
SUMPRODUCT(INDEX($AV$56:$AX$65,,$AI511), INDEX($AY$56:$BE$65,,$AH511), 1 / ($BG$56:$BG$65*BY511 + (1-$BG$56:$BG$65)*BU511), N($AU$56:$AU$65&gt;$AM511))
) / 1000</f>
        <v>0</v>
      </c>
      <c r="CA511" s="231">
        <f t="shared" si="666"/>
        <v>20</v>
      </c>
      <c r="CB511" s="229">
        <f t="shared" si="682"/>
        <v>33</v>
      </c>
      <c r="CC511" s="234">
        <f t="shared" si="683"/>
        <v>4.8487499999999999</v>
      </c>
      <c r="CD511" s="234" cm="1">
        <f t="array" ref="CD511">$BM511 * IF($AH511&lt;=2,
SUMPRODUCT(INDEX($AV$61:$AX$65,,$AI511), INDEX($AY$61:$BE$65,,$AH511), 1 / ($BF$61:$BF$65*CC511 + (1-$BF$61:$BF$65)*BY511), N($AU$61:$AU$65&gt;$AM511)),
SUMPRODUCT(INDEX($AV$46:$AX$55,,$AI511), INDEX($AY$46:$BE$55,,$AH511), 1 / ($BG$46:$BG$55*CC511 + (1-$BG$46:$BG$55)*BY511), N($AU$46:$AU$55&gt;$AM511))
) / 1000</f>
        <v>0</v>
      </c>
      <c r="CE511" s="234" cm="1">
        <f t="array" ref="CE511">$BM511 * IF($AH511&lt;=2,
SUMPRODUCT(INDEX($AV$22:$AX$60,,$AI511), INDEX($AY$22:$BE$60,,$AH511), 1 / ($BF$22:$BF$60*CC511), N($AU$22:$AU$60&gt;$AM511)),
SUMPRODUCT(INDEX($AV$22:$AX$45,,$AI511), INDEX($AY$22:$BE$45,,$AH511), 1 / ($BG$22:$BG$45*CC511), N($AU$22:$AU$45&gt;$AM511))
) / 1000</f>
        <v>0</v>
      </c>
      <c r="CF511" s="229">
        <f t="shared" si="684"/>
        <v>0</v>
      </c>
      <c r="CG511" s="246"/>
      <c r="CH511" s="229">
        <f t="shared" si="685"/>
        <v>0</v>
      </c>
      <c r="CI511" s="228">
        <v>35</v>
      </c>
      <c r="CJ511" s="229">
        <f t="shared" si="686"/>
        <v>48</v>
      </c>
      <c r="CK511" s="234">
        <f t="shared" si="687"/>
        <v>3.0748170731707316</v>
      </c>
      <c r="CL511" s="234" cm="1">
        <f t="array" ref="CL511">$BM511 * SUMPRODUCT(INDEX($AV$76:$AX$81,,$AI511),INDEX($AY$76:$BE$81,,$AH511), N($AU$76:$AU$81&gt;$AM511)) / CK511 / 1000</f>
        <v>0</v>
      </c>
      <c r="CM511" s="231">
        <f t="shared" si="667"/>
        <v>30</v>
      </c>
      <c r="CN511" s="229">
        <f t="shared" si="688"/>
        <v>43</v>
      </c>
      <c r="CO511" s="234">
        <f t="shared" si="689"/>
        <v>3.5018750000000001</v>
      </c>
      <c r="CP511" s="234" cm="1">
        <f t="array" ref="CP511">$BM511 * IF($AH511&lt;=2,
SUMPRODUCT(INDEX($AV$71:$AX$75,,$AI511), INDEX($AY$71:$BE$75,,$AH511), 1 / ($BF$71:$BF$75*CO511 + (1-$BF$71:$BF$75)*CK511), N($AU$71:$AU$75&gt;$AM511)),
SUMPRODUCT(INDEX($AV$66:$AX$75,,$AI511), INDEX($AY$66:$BE$75,,$AH511), 1 / ($BG$66:$BG$75*CO511 + (1-$BG$66:$BG$75)*CK511), N($AU$66:$AU$75&gt;$AM511))
) / 1000</f>
        <v>0</v>
      </c>
      <c r="CQ511" s="231">
        <f t="shared" si="668"/>
        <v>25</v>
      </c>
      <c r="CR511" s="229">
        <f t="shared" si="690"/>
        <v>38</v>
      </c>
      <c r="CS511" s="234">
        <f t="shared" si="691"/>
        <v>4.0666935483870965</v>
      </c>
      <c r="CT511" s="234" cm="1">
        <f t="array" ref="CT511">$BM511 * IF($AH511&lt;=2,
SUMPRODUCT(INDEX($AV$66:$AX$70,,$AI511), INDEX($AY$66:$BE$70,,$AH511), 1 / ($BF$66:$BF$70*CS511 + (1-$BF$66:$BF$70)*CO511), N($AU$66:$AU$70&gt;$AM511)),
SUMPRODUCT(INDEX($AV$56:$AX$65,,$AI511), INDEX($AY$56:$BE$65,,$AH511), 1 / ($BG$56:$BG$65*CS511 + (1-$BG$56:$BG$65)*CO511), N($AU$56:$AU$65&gt;$AM511))
) / 1000</f>
        <v>0</v>
      </c>
      <c r="CU511" s="231">
        <f t="shared" si="669"/>
        <v>20</v>
      </c>
      <c r="CV511" s="229">
        <f t="shared" si="692"/>
        <v>33</v>
      </c>
      <c r="CW511" s="234">
        <f t="shared" si="693"/>
        <v>4.8487499999999999</v>
      </c>
      <c r="CX511" s="234" cm="1">
        <f t="array" ref="CX511">$BM511 * IF($AH511&lt;=2,
SUMPRODUCT(INDEX($AV$61:$AX$65,,$AI511), INDEX($AY$61:$BE$65,,$AH511), 1 / ($BF$61:$BF$65*CW511 + (1-$BF$61:$BF$65)*CS511), N($AU$61:$AU$65&gt;$AM511)),
SUMPRODUCT(INDEX($AV$46:$AX$55,,$AI511), INDEX($AY$46:$BE$55,,$AH511), 1 / ($BG$46:$BG$55*CW511 + (1-$BG$46:$BG$55)*CS511), N($AU$46:$AU$55&gt;$AM511))
) / 1000</f>
        <v>0</v>
      </c>
      <c r="CY511" s="234" cm="1">
        <f t="array" ref="CY511">$BM511 * IF($AH511&lt;=2,
SUMPRODUCT(INDEX($AV$22:$AX$60,,$AI511), INDEX($AY$22:$BE$60,,$AH511), 1 / ($BF$22:$BF$60*CW511), N($AU$22:$AU$60&gt;$AM511)),
SUMPRODUCT(INDEX($AV$22:$AX$45,,$AI511), INDEX($AY$22:$BE$45,,$AH511), 1 / ($BG$22:$BG$45*CW511), N($AU$22:$AU$45&gt;$AM511))
) / 1000</f>
        <v>0</v>
      </c>
      <c r="CZ511" s="229">
        <f t="shared" si="694"/>
        <v>0</v>
      </c>
      <c r="DA511" s="246"/>
    </row>
    <row r="512" spans="1:105" s="75" customFormat="1" ht="14.25" customHeight="1" x14ac:dyDescent="0.2">
      <c r="A512" s="230" t="b">
        <f t="shared" si="661"/>
        <v>0</v>
      </c>
      <c r="B512" s="253">
        <v>491</v>
      </c>
      <c r="C512" s="266"/>
      <c r="D512" s="266"/>
      <c r="E512" s="254"/>
      <c r="F512" s="255" t="str">
        <f>IF(ISBLANK(E512), "", VLOOKUP(E512, Z!$A$2:$C$4127, 3, FALSE))</f>
        <v/>
      </c>
      <c r="G512" s="256"/>
      <c r="H512" s="256"/>
      <c r="I512" s="256"/>
      <c r="J512" s="257"/>
      <c r="K512" s="258"/>
      <c r="L512" s="267"/>
      <c r="M512" s="268"/>
      <c r="N512" s="259" t="str" cm="1">
        <f t="array" ref="N512">IF($L512&gt;0, INDEX(Clean,1+AK512,$D$1), "")</f>
        <v/>
      </c>
      <c r="O512" s="260"/>
      <c r="P512" s="260"/>
      <c r="Q512" s="261"/>
      <c r="R512" s="264">
        <f t="shared" si="670"/>
        <v>0</v>
      </c>
      <c r="S512" s="259" t="str" cm="1">
        <f t="array" ref="S512">IF($L512&gt;0, INDEX(Clean,1+AL512,$D$1), "")</f>
        <v/>
      </c>
      <c r="T512" s="260"/>
      <c r="U512" s="260"/>
      <c r="V512" s="261"/>
      <c r="W512" s="267"/>
      <c r="X512" s="267"/>
      <c r="Y512" s="257"/>
      <c r="Z512" s="264">
        <f t="shared" si="671"/>
        <v>0</v>
      </c>
      <c r="AA512" s="269"/>
      <c r="AB512" s="266"/>
      <c r="AC512" s="254"/>
      <c r="AD512" s="255" t="str">
        <f>IF(ISBLANK(AC512), "", VLOOKUP(AC512, Z!$A$2:$C$4127, 3, FALSE))</f>
        <v/>
      </c>
      <c r="AE512" s="270"/>
      <c r="AF512" s="265">
        <f t="shared" si="672"/>
        <v>0</v>
      </c>
      <c r="AG512" s="246"/>
      <c r="AH512" s="228">
        <f t="shared" si="695"/>
        <v>1</v>
      </c>
      <c r="AI512" s="228">
        <f t="shared" si="696"/>
        <v>1</v>
      </c>
      <c r="AJ512" s="228">
        <f t="shared" si="697"/>
        <v>0</v>
      </c>
      <c r="AK512" s="228">
        <v>0</v>
      </c>
      <c r="AL512" s="228">
        <v>0</v>
      </c>
      <c r="AM512" s="228">
        <f t="shared" si="673"/>
        <v>-100</v>
      </c>
      <c r="AN512" s="228" cm="1">
        <f t="array" ref="AN512">IF(ISBLANK(G512), 1, IFERROR(MATCH(G512, INDEX(Kat,,1), 0), IFERROR(MATCH(Kat, INDEX(Use,,2), 0), MATCH(Kat, INDEX(Use,,3), 0))))</f>
        <v>1</v>
      </c>
      <c r="AO512" s="246"/>
      <c r="AP512" s="228" cm="1">
        <f t="array" ref="AP512">IF(W512&gt;0, INDEX(Kat, AN512,4), 0)</f>
        <v>0</v>
      </c>
      <c r="AQ512" s="228">
        <f t="shared" si="698"/>
        <v>0</v>
      </c>
      <c r="AR512" s="228" cm="1">
        <f t="array" ref="AR512">IF(X512&gt;0, INDEX(Kat, $AN512, 4+AQ512), 0)</f>
        <v>0</v>
      </c>
      <c r="AS512" s="228" cm="1">
        <f t="array" ref="AS512">IF(X512&gt;0, INDEX(Kat, $AN512, 9+AQ512), 0)</f>
        <v>0</v>
      </c>
      <c r="AT512" s="246"/>
      <c r="AU512" s="262"/>
      <c r="AV512" s="262"/>
      <c r="AW512" s="263"/>
      <c r="AX512" s="263"/>
      <c r="AY512" s="263"/>
      <c r="AZ512" s="263"/>
      <c r="BA512" s="263"/>
      <c r="BB512" s="263"/>
      <c r="BC512" s="263"/>
      <c r="BD512" s="263"/>
      <c r="BE512" s="263"/>
      <c r="BF512" s="263"/>
      <c r="BG512" s="263"/>
      <c r="BH512" s="246"/>
      <c r="BI512" s="228" cm="1">
        <f t="array" ref="BI512">INDEX(Use, $AH512, 4)</f>
        <v>7</v>
      </c>
      <c r="BJ512" s="228">
        <f t="shared" si="674"/>
        <v>32</v>
      </c>
      <c r="BK512" s="228">
        <f t="shared" si="662"/>
        <v>13</v>
      </c>
      <c r="BL512" s="228">
        <f t="shared" si="663"/>
        <v>0</v>
      </c>
      <c r="BM512" s="233" cm="1">
        <f t="array" ref="BM512">L512/IF($M512&gt;0, INDEX($AY$22:$BE$76, $M512+20, $AH512), 1)</f>
        <v>0</v>
      </c>
      <c r="BN512" s="229">
        <f t="shared" si="675"/>
        <v>0</v>
      </c>
      <c r="BO512" s="228">
        <v>35</v>
      </c>
      <c r="BP512" s="229">
        <f t="shared" si="676"/>
        <v>48</v>
      </c>
      <c r="BQ512" s="234">
        <f t="shared" si="677"/>
        <v>3.0748170731707316</v>
      </c>
      <c r="BR512" s="234" cm="1">
        <f t="array" ref="BR512">$BM512 * SUMPRODUCT(INDEX($AV$76:$AX$81,,$AI512),INDEX($AY$76:$BE$81,,$AH512), N($AU$76:$AU$81&gt;$AM512)) / BQ512 / 1000</f>
        <v>0</v>
      </c>
      <c r="BS512" s="231">
        <f t="shared" si="664"/>
        <v>30</v>
      </c>
      <c r="BT512" s="229">
        <f t="shared" si="678"/>
        <v>43</v>
      </c>
      <c r="BU512" s="234">
        <f t="shared" si="679"/>
        <v>3.5018750000000001</v>
      </c>
      <c r="BV512" s="234" cm="1">
        <f t="array" ref="BV512">$BM512 * IF($AH512&lt;=2,
SUMPRODUCT(INDEX($AV$71:$AX$75,,$AI512), INDEX($AY$71:$BE$75,,$AH512), 1 / ($BF$71:$BF$75*BU512 + (1-$BF$71:$BF$75)*BQ512), N($AU$71:$AU$75&gt;$AM512)),
SUMPRODUCT(INDEX($AV$66:$AX$75,,$AI512), INDEX($AY$66:$BE$75,,$AH512), 1 / ($BG$66:$BG$75*BU512 + (1-$BG$66:$BG$75)*BQ512), N($AU$66:$AU$75&gt;$AM512))
) / 1000</f>
        <v>0</v>
      </c>
      <c r="BW512" s="231">
        <f t="shared" si="665"/>
        <v>25</v>
      </c>
      <c r="BX512" s="229">
        <f t="shared" si="680"/>
        <v>38</v>
      </c>
      <c r="BY512" s="234">
        <f t="shared" si="681"/>
        <v>4.0666935483870965</v>
      </c>
      <c r="BZ512" s="234" cm="1">
        <f t="array" ref="BZ512">$BM512 * IF($AH512&lt;=2,
SUMPRODUCT(INDEX($AV$66:$AX$70,,$AI512), INDEX($AY$66:$BE$70,,$AH512), 1 / ($BF$66:$BF$70*BY512 + (1-$BF$66:$BF$70)*BU512), N($AU$66:$AU$70&gt;$AM512)),
SUMPRODUCT(INDEX($AV$56:$AX$65,,$AI512), INDEX($AY$56:$BE$65,,$AH512), 1 / ($BG$56:$BG$65*BY512 + (1-$BG$56:$BG$65)*BU512), N($AU$56:$AU$65&gt;$AM512))
) / 1000</f>
        <v>0</v>
      </c>
      <c r="CA512" s="231">
        <f t="shared" si="666"/>
        <v>20</v>
      </c>
      <c r="CB512" s="229">
        <f t="shared" si="682"/>
        <v>33</v>
      </c>
      <c r="CC512" s="234">
        <f t="shared" si="683"/>
        <v>4.8487499999999999</v>
      </c>
      <c r="CD512" s="234" cm="1">
        <f t="array" ref="CD512">$BM512 * IF($AH512&lt;=2,
SUMPRODUCT(INDEX($AV$61:$AX$65,,$AI512), INDEX($AY$61:$BE$65,,$AH512), 1 / ($BF$61:$BF$65*CC512 + (1-$BF$61:$BF$65)*BY512), N($AU$61:$AU$65&gt;$AM512)),
SUMPRODUCT(INDEX($AV$46:$AX$55,,$AI512), INDEX($AY$46:$BE$55,,$AH512), 1 / ($BG$46:$BG$55*CC512 + (1-$BG$46:$BG$55)*BY512), N($AU$46:$AU$55&gt;$AM512))
) / 1000</f>
        <v>0</v>
      </c>
      <c r="CE512" s="234" cm="1">
        <f t="array" ref="CE512">$BM512 * IF($AH512&lt;=2,
SUMPRODUCT(INDEX($AV$22:$AX$60,,$AI512), INDEX($AY$22:$BE$60,,$AH512), 1 / ($BF$22:$BF$60*CC512), N($AU$22:$AU$60&gt;$AM512)),
SUMPRODUCT(INDEX($AV$22:$AX$45,,$AI512), INDEX($AY$22:$BE$45,,$AH512), 1 / ($BG$22:$BG$45*CC512), N($AU$22:$AU$45&gt;$AM512))
) / 1000</f>
        <v>0</v>
      </c>
      <c r="CF512" s="229">
        <f t="shared" si="684"/>
        <v>0</v>
      </c>
      <c r="CG512" s="246"/>
      <c r="CH512" s="229">
        <f t="shared" si="685"/>
        <v>0</v>
      </c>
      <c r="CI512" s="228">
        <v>35</v>
      </c>
      <c r="CJ512" s="229">
        <f t="shared" si="686"/>
        <v>48</v>
      </c>
      <c r="CK512" s="234">
        <f t="shared" si="687"/>
        <v>3.0748170731707316</v>
      </c>
      <c r="CL512" s="234" cm="1">
        <f t="array" ref="CL512">$BM512 * SUMPRODUCT(INDEX($AV$76:$AX$81,,$AI512),INDEX($AY$76:$BE$81,,$AH512), N($AU$76:$AU$81&gt;$AM512)) / CK512 / 1000</f>
        <v>0</v>
      </c>
      <c r="CM512" s="231">
        <f t="shared" si="667"/>
        <v>30</v>
      </c>
      <c r="CN512" s="229">
        <f t="shared" si="688"/>
        <v>43</v>
      </c>
      <c r="CO512" s="234">
        <f t="shared" si="689"/>
        <v>3.5018750000000001</v>
      </c>
      <c r="CP512" s="234" cm="1">
        <f t="array" ref="CP512">$BM512 * IF($AH512&lt;=2,
SUMPRODUCT(INDEX($AV$71:$AX$75,,$AI512), INDEX($AY$71:$BE$75,,$AH512), 1 / ($BF$71:$BF$75*CO512 + (1-$BF$71:$BF$75)*CK512), N($AU$71:$AU$75&gt;$AM512)),
SUMPRODUCT(INDEX($AV$66:$AX$75,,$AI512), INDEX($AY$66:$BE$75,,$AH512), 1 / ($BG$66:$BG$75*CO512 + (1-$BG$66:$BG$75)*CK512), N($AU$66:$AU$75&gt;$AM512))
) / 1000</f>
        <v>0</v>
      </c>
      <c r="CQ512" s="231">
        <f t="shared" si="668"/>
        <v>25</v>
      </c>
      <c r="CR512" s="229">
        <f t="shared" si="690"/>
        <v>38</v>
      </c>
      <c r="CS512" s="234">
        <f t="shared" si="691"/>
        <v>4.0666935483870965</v>
      </c>
      <c r="CT512" s="234" cm="1">
        <f t="array" ref="CT512">$BM512 * IF($AH512&lt;=2,
SUMPRODUCT(INDEX($AV$66:$AX$70,,$AI512), INDEX($AY$66:$BE$70,,$AH512), 1 / ($BF$66:$BF$70*CS512 + (1-$BF$66:$BF$70)*CO512), N($AU$66:$AU$70&gt;$AM512)),
SUMPRODUCT(INDEX($AV$56:$AX$65,,$AI512), INDEX($AY$56:$BE$65,,$AH512), 1 / ($BG$56:$BG$65*CS512 + (1-$BG$56:$BG$65)*CO512), N($AU$56:$AU$65&gt;$AM512))
) / 1000</f>
        <v>0</v>
      </c>
      <c r="CU512" s="231">
        <f t="shared" si="669"/>
        <v>20</v>
      </c>
      <c r="CV512" s="229">
        <f t="shared" si="692"/>
        <v>33</v>
      </c>
      <c r="CW512" s="234">
        <f t="shared" si="693"/>
        <v>4.8487499999999999</v>
      </c>
      <c r="CX512" s="234" cm="1">
        <f t="array" ref="CX512">$BM512 * IF($AH512&lt;=2,
SUMPRODUCT(INDEX($AV$61:$AX$65,,$AI512), INDEX($AY$61:$BE$65,,$AH512), 1 / ($BF$61:$BF$65*CW512 + (1-$BF$61:$BF$65)*CS512), N($AU$61:$AU$65&gt;$AM512)),
SUMPRODUCT(INDEX($AV$46:$AX$55,,$AI512), INDEX($AY$46:$BE$55,,$AH512), 1 / ($BG$46:$BG$55*CW512 + (1-$BG$46:$BG$55)*CS512), N($AU$46:$AU$55&gt;$AM512))
) / 1000</f>
        <v>0</v>
      </c>
      <c r="CY512" s="234" cm="1">
        <f t="array" ref="CY512">$BM512 * IF($AH512&lt;=2,
SUMPRODUCT(INDEX($AV$22:$AX$60,,$AI512), INDEX($AY$22:$BE$60,,$AH512), 1 / ($BF$22:$BF$60*CW512), N($AU$22:$AU$60&gt;$AM512)),
SUMPRODUCT(INDEX($AV$22:$AX$45,,$AI512), INDEX($AY$22:$BE$45,,$AH512), 1 / ($BG$22:$BG$45*CW512), N($AU$22:$AU$45&gt;$AM512))
) / 1000</f>
        <v>0</v>
      </c>
      <c r="CZ512" s="229">
        <f t="shared" si="694"/>
        <v>0</v>
      </c>
      <c r="DA512" s="246"/>
    </row>
    <row r="513" spans="1:105" s="75" customFormat="1" ht="14.25" customHeight="1" x14ac:dyDescent="0.2">
      <c r="A513" s="230" t="b">
        <f t="shared" si="661"/>
        <v>0</v>
      </c>
      <c r="B513" s="253">
        <v>492</v>
      </c>
      <c r="C513" s="266"/>
      <c r="D513" s="266"/>
      <c r="E513" s="254"/>
      <c r="F513" s="255" t="str">
        <f>IF(ISBLANK(E513), "", VLOOKUP(E513, Z!$A$2:$C$4127, 3, FALSE))</f>
        <v/>
      </c>
      <c r="G513" s="256"/>
      <c r="H513" s="256"/>
      <c r="I513" s="256"/>
      <c r="J513" s="257"/>
      <c r="K513" s="258"/>
      <c r="L513" s="267"/>
      <c r="M513" s="268"/>
      <c r="N513" s="259" t="str" cm="1">
        <f t="array" ref="N513">IF($L513&gt;0, INDEX(Clean,1+AK513,$D$1), "")</f>
        <v/>
      </c>
      <c r="O513" s="260"/>
      <c r="P513" s="260"/>
      <c r="Q513" s="261"/>
      <c r="R513" s="264">
        <f t="shared" si="670"/>
        <v>0</v>
      </c>
      <c r="S513" s="259" t="str" cm="1">
        <f t="array" ref="S513">IF($L513&gt;0, INDEX(Clean,1+AL513,$D$1), "")</f>
        <v/>
      </c>
      <c r="T513" s="260"/>
      <c r="U513" s="260"/>
      <c r="V513" s="261"/>
      <c r="W513" s="267"/>
      <c r="X513" s="267"/>
      <c r="Y513" s="257"/>
      <c r="Z513" s="264">
        <f t="shared" si="671"/>
        <v>0</v>
      </c>
      <c r="AA513" s="269"/>
      <c r="AB513" s="266"/>
      <c r="AC513" s="254"/>
      <c r="AD513" s="255" t="str">
        <f>IF(ISBLANK(AC513), "", VLOOKUP(AC513, Z!$A$2:$C$4127, 3, FALSE))</f>
        <v/>
      </c>
      <c r="AE513" s="270"/>
      <c r="AF513" s="265">
        <f t="shared" si="672"/>
        <v>0</v>
      </c>
      <c r="AG513" s="246"/>
      <c r="AH513" s="228">
        <f t="shared" si="695"/>
        <v>1</v>
      </c>
      <c r="AI513" s="228">
        <f t="shared" si="696"/>
        <v>1</v>
      </c>
      <c r="AJ513" s="228">
        <f t="shared" si="697"/>
        <v>0</v>
      </c>
      <c r="AK513" s="228">
        <v>0</v>
      </c>
      <c r="AL513" s="228">
        <v>0</v>
      </c>
      <c r="AM513" s="228">
        <f t="shared" si="673"/>
        <v>-100</v>
      </c>
      <c r="AN513" s="228" cm="1">
        <f t="array" ref="AN513">IF(ISBLANK(G513), 1, IFERROR(MATCH(G513, INDEX(Kat,,1), 0), IFERROR(MATCH(Kat, INDEX(Use,,2), 0), MATCH(Kat, INDEX(Use,,3), 0))))</f>
        <v>1</v>
      </c>
      <c r="AO513" s="246"/>
      <c r="AP513" s="228" cm="1">
        <f t="array" ref="AP513">IF(W513&gt;0, INDEX(Kat, AN513,4), 0)</f>
        <v>0</v>
      </c>
      <c r="AQ513" s="228">
        <f t="shared" si="698"/>
        <v>0</v>
      </c>
      <c r="AR513" s="228" cm="1">
        <f t="array" ref="AR513">IF(X513&gt;0, INDEX(Kat, $AN513, 4+AQ513), 0)</f>
        <v>0</v>
      </c>
      <c r="AS513" s="228" cm="1">
        <f t="array" ref="AS513">IF(X513&gt;0, INDEX(Kat, $AN513, 9+AQ513), 0)</f>
        <v>0</v>
      </c>
      <c r="AT513" s="246"/>
      <c r="AU513" s="262"/>
      <c r="AV513" s="262"/>
      <c r="AW513" s="263"/>
      <c r="AX513" s="263"/>
      <c r="AY513" s="263"/>
      <c r="AZ513" s="263"/>
      <c r="BA513" s="263"/>
      <c r="BB513" s="263"/>
      <c r="BC513" s="263"/>
      <c r="BD513" s="263"/>
      <c r="BE513" s="263"/>
      <c r="BF513" s="263"/>
      <c r="BG513" s="263"/>
      <c r="BH513" s="246"/>
      <c r="BI513" s="228" cm="1">
        <f t="array" ref="BI513">INDEX(Use, $AH513, 4)</f>
        <v>7</v>
      </c>
      <c r="BJ513" s="228">
        <f t="shared" si="674"/>
        <v>32</v>
      </c>
      <c r="BK513" s="228">
        <f t="shared" si="662"/>
        <v>13</v>
      </c>
      <c r="BL513" s="228">
        <f t="shared" si="663"/>
        <v>0</v>
      </c>
      <c r="BM513" s="233" cm="1">
        <f t="array" ref="BM513">L513/IF($M513&gt;0, INDEX($AY$22:$BE$76, $M513+20, $AH513), 1)</f>
        <v>0</v>
      </c>
      <c r="BN513" s="229">
        <f t="shared" si="675"/>
        <v>0</v>
      </c>
      <c r="BO513" s="228">
        <v>35</v>
      </c>
      <c r="BP513" s="229">
        <f t="shared" si="676"/>
        <v>48</v>
      </c>
      <c r="BQ513" s="234">
        <f t="shared" si="677"/>
        <v>3.0748170731707316</v>
      </c>
      <c r="BR513" s="234" cm="1">
        <f t="array" ref="BR513">$BM513 * SUMPRODUCT(INDEX($AV$76:$AX$81,,$AI513),INDEX($AY$76:$BE$81,,$AH513), N($AU$76:$AU$81&gt;$AM513)) / BQ513 / 1000</f>
        <v>0</v>
      </c>
      <c r="BS513" s="231">
        <f t="shared" si="664"/>
        <v>30</v>
      </c>
      <c r="BT513" s="229">
        <f t="shared" si="678"/>
        <v>43</v>
      </c>
      <c r="BU513" s="234">
        <f t="shared" si="679"/>
        <v>3.5018750000000001</v>
      </c>
      <c r="BV513" s="234" cm="1">
        <f t="array" ref="BV513">$BM513 * IF($AH513&lt;=2,
SUMPRODUCT(INDEX($AV$71:$AX$75,,$AI513), INDEX($AY$71:$BE$75,,$AH513), 1 / ($BF$71:$BF$75*BU513 + (1-$BF$71:$BF$75)*BQ513), N($AU$71:$AU$75&gt;$AM513)),
SUMPRODUCT(INDEX($AV$66:$AX$75,,$AI513), INDEX($AY$66:$BE$75,,$AH513), 1 / ($BG$66:$BG$75*BU513 + (1-$BG$66:$BG$75)*BQ513), N($AU$66:$AU$75&gt;$AM513))
) / 1000</f>
        <v>0</v>
      </c>
      <c r="BW513" s="231">
        <f t="shared" si="665"/>
        <v>25</v>
      </c>
      <c r="BX513" s="229">
        <f t="shared" si="680"/>
        <v>38</v>
      </c>
      <c r="BY513" s="234">
        <f t="shared" si="681"/>
        <v>4.0666935483870965</v>
      </c>
      <c r="BZ513" s="234" cm="1">
        <f t="array" ref="BZ513">$BM513 * IF($AH513&lt;=2,
SUMPRODUCT(INDEX($AV$66:$AX$70,,$AI513), INDEX($AY$66:$BE$70,,$AH513), 1 / ($BF$66:$BF$70*BY513 + (1-$BF$66:$BF$70)*BU513), N($AU$66:$AU$70&gt;$AM513)),
SUMPRODUCT(INDEX($AV$56:$AX$65,,$AI513), INDEX($AY$56:$BE$65,,$AH513), 1 / ($BG$56:$BG$65*BY513 + (1-$BG$56:$BG$65)*BU513), N($AU$56:$AU$65&gt;$AM513))
) / 1000</f>
        <v>0</v>
      </c>
      <c r="CA513" s="231">
        <f t="shared" si="666"/>
        <v>20</v>
      </c>
      <c r="CB513" s="229">
        <f t="shared" si="682"/>
        <v>33</v>
      </c>
      <c r="CC513" s="234">
        <f t="shared" si="683"/>
        <v>4.8487499999999999</v>
      </c>
      <c r="CD513" s="234" cm="1">
        <f t="array" ref="CD513">$BM513 * IF($AH513&lt;=2,
SUMPRODUCT(INDEX($AV$61:$AX$65,,$AI513), INDEX($AY$61:$BE$65,,$AH513), 1 / ($BF$61:$BF$65*CC513 + (1-$BF$61:$BF$65)*BY513), N($AU$61:$AU$65&gt;$AM513)),
SUMPRODUCT(INDEX($AV$46:$AX$55,,$AI513), INDEX($AY$46:$BE$55,,$AH513), 1 / ($BG$46:$BG$55*CC513 + (1-$BG$46:$BG$55)*BY513), N($AU$46:$AU$55&gt;$AM513))
) / 1000</f>
        <v>0</v>
      </c>
      <c r="CE513" s="234" cm="1">
        <f t="array" ref="CE513">$BM513 * IF($AH513&lt;=2,
SUMPRODUCT(INDEX($AV$22:$AX$60,,$AI513), INDEX($AY$22:$BE$60,,$AH513), 1 / ($BF$22:$BF$60*CC513), N($AU$22:$AU$60&gt;$AM513)),
SUMPRODUCT(INDEX($AV$22:$AX$45,,$AI513), INDEX($AY$22:$BE$45,,$AH513), 1 / ($BG$22:$BG$45*CC513), N($AU$22:$AU$45&gt;$AM513))
) / 1000</f>
        <v>0</v>
      </c>
      <c r="CF513" s="229">
        <f t="shared" si="684"/>
        <v>0</v>
      </c>
      <c r="CG513" s="246"/>
      <c r="CH513" s="229">
        <f t="shared" si="685"/>
        <v>0</v>
      </c>
      <c r="CI513" s="228">
        <v>35</v>
      </c>
      <c r="CJ513" s="229">
        <f t="shared" si="686"/>
        <v>48</v>
      </c>
      <c r="CK513" s="234">
        <f t="shared" si="687"/>
        <v>3.0748170731707316</v>
      </c>
      <c r="CL513" s="234" cm="1">
        <f t="array" ref="CL513">$BM513 * SUMPRODUCT(INDEX($AV$76:$AX$81,,$AI513),INDEX($AY$76:$BE$81,,$AH513), N($AU$76:$AU$81&gt;$AM513)) / CK513 / 1000</f>
        <v>0</v>
      </c>
      <c r="CM513" s="231">
        <f t="shared" si="667"/>
        <v>30</v>
      </c>
      <c r="CN513" s="229">
        <f t="shared" si="688"/>
        <v>43</v>
      </c>
      <c r="CO513" s="234">
        <f t="shared" si="689"/>
        <v>3.5018750000000001</v>
      </c>
      <c r="CP513" s="234" cm="1">
        <f t="array" ref="CP513">$BM513 * IF($AH513&lt;=2,
SUMPRODUCT(INDEX($AV$71:$AX$75,,$AI513), INDEX($AY$71:$BE$75,,$AH513), 1 / ($BF$71:$BF$75*CO513 + (1-$BF$71:$BF$75)*CK513), N($AU$71:$AU$75&gt;$AM513)),
SUMPRODUCT(INDEX($AV$66:$AX$75,,$AI513), INDEX($AY$66:$BE$75,,$AH513), 1 / ($BG$66:$BG$75*CO513 + (1-$BG$66:$BG$75)*CK513), N($AU$66:$AU$75&gt;$AM513))
) / 1000</f>
        <v>0</v>
      </c>
      <c r="CQ513" s="231">
        <f t="shared" si="668"/>
        <v>25</v>
      </c>
      <c r="CR513" s="229">
        <f t="shared" si="690"/>
        <v>38</v>
      </c>
      <c r="CS513" s="234">
        <f t="shared" si="691"/>
        <v>4.0666935483870965</v>
      </c>
      <c r="CT513" s="234" cm="1">
        <f t="array" ref="CT513">$BM513 * IF($AH513&lt;=2,
SUMPRODUCT(INDEX($AV$66:$AX$70,,$AI513), INDEX($AY$66:$BE$70,,$AH513), 1 / ($BF$66:$BF$70*CS513 + (1-$BF$66:$BF$70)*CO513), N($AU$66:$AU$70&gt;$AM513)),
SUMPRODUCT(INDEX($AV$56:$AX$65,,$AI513), INDEX($AY$56:$BE$65,,$AH513), 1 / ($BG$56:$BG$65*CS513 + (1-$BG$56:$BG$65)*CO513), N($AU$56:$AU$65&gt;$AM513))
) / 1000</f>
        <v>0</v>
      </c>
      <c r="CU513" s="231">
        <f t="shared" si="669"/>
        <v>20</v>
      </c>
      <c r="CV513" s="229">
        <f t="shared" si="692"/>
        <v>33</v>
      </c>
      <c r="CW513" s="234">
        <f t="shared" si="693"/>
        <v>4.8487499999999999</v>
      </c>
      <c r="CX513" s="234" cm="1">
        <f t="array" ref="CX513">$BM513 * IF($AH513&lt;=2,
SUMPRODUCT(INDEX($AV$61:$AX$65,,$AI513), INDEX($AY$61:$BE$65,,$AH513), 1 / ($BF$61:$BF$65*CW513 + (1-$BF$61:$BF$65)*CS513), N($AU$61:$AU$65&gt;$AM513)),
SUMPRODUCT(INDEX($AV$46:$AX$55,,$AI513), INDEX($AY$46:$BE$55,,$AH513), 1 / ($BG$46:$BG$55*CW513 + (1-$BG$46:$BG$55)*CS513), N($AU$46:$AU$55&gt;$AM513))
) / 1000</f>
        <v>0</v>
      </c>
      <c r="CY513" s="234" cm="1">
        <f t="array" ref="CY513">$BM513 * IF($AH513&lt;=2,
SUMPRODUCT(INDEX($AV$22:$AX$60,,$AI513), INDEX($AY$22:$BE$60,,$AH513), 1 / ($BF$22:$BF$60*CW513), N($AU$22:$AU$60&gt;$AM513)),
SUMPRODUCT(INDEX($AV$22:$AX$45,,$AI513), INDEX($AY$22:$BE$45,,$AH513), 1 / ($BG$22:$BG$45*CW513), N($AU$22:$AU$45&gt;$AM513))
) / 1000</f>
        <v>0</v>
      </c>
      <c r="CZ513" s="229">
        <f t="shared" si="694"/>
        <v>0</v>
      </c>
      <c r="DA513" s="246"/>
    </row>
    <row r="514" spans="1:105" s="75" customFormat="1" ht="14.25" customHeight="1" x14ac:dyDescent="0.2">
      <c r="A514" s="230" t="b">
        <f t="shared" si="661"/>
        <v>0</v>
      </c>
      <c r="B514" s="253">
        <v>493</v>
      </c>
      <c r="C514" s="266"/>
      <c r="D514" s="266"/>
      <c r="E514" s="254"/>
      <c r="F514" s="255" t="str">
        <f>IF(ISBLANK(E514), "", VLOOKUP(E514, Z!$A$2:$C$4127, 3, FALSE))</f>
        <v/>
      </c>
      <c r="G514" s="256"/>
      <c r="H514" s="256"/>
      <c r="I514" s="256"/>
      <c r="J514" s="257"/>
      <c r="K514" s="258"/>
      <c r="L514" s="267"/>
      <c r="M514" s="268"/>
      <c r="N514" s="259" t="str" cm="1">
        <f t="array" ref="N514">IF($L514&gt;0, INDEX(Clean,1+AK514,$D$1), "")</f>
        <v/>
      </c>
      <c r="O514" s="260"/>
      <c r="P514" s="260"/>
      <c r="Q514" s="261"/>
      <c r="R514" s="264">
        <f t="shared" si="670"/>
        <v>0</v>
      </c>
      <c r="S514" s="259" t="str" cm="1">
        <f t="array" ref="S514">IF($L514&gt;0, INDEX(Clean,1+AL514,$D$1), "")</f>
        <v/>
      </c>
      <c r="T514" s="260"/>
      <c r="U514" s="260"/>
      <c r="V514" s="261"/>
      <c r="W514" s="267"/>
      <c r="X514" s="267"/>
      <c r="Y514" s="257"/>
      <c r="Z514" s="264">
        <f t="shared" si="671"/>
        <v>0</v>
      </c>
      <c r="AA514" s="269"/>
      <c r="AB514" s="266"/>
      <c r="AC514" s="254"/>
      <c r="AD514" s="255" t="str">
        <f>IF(ISBLANK(AC514), "", VLOOKUP(AC514, Z!$A$2:$C$4127, 3, FALSE))</f>
        <v/>
      </c>
      <c r="AE514" s="270"/>
      <c r="AF514" s="265">
        <f t="shared" si="672"/>
        <v>0</v>
      </c>
      <c r="AG514" s="246"/>
      <c r="AH514" s="228">
        <f t="shared" si="695"/>
        <v>1</v>
      </c>
      <c r="AI514" s="228">
        <f t="shared" si="696"/>
        <v>1</v>
      </c>
      <c r="AJ514" s="228">
        <f t="shared" si="697"/>
        <v>0</v>
      </c>
      <c r="AK514" s="228">
        <v>0</v>
      </c>
      <c r="AL514" s="228">
        <v>0</v>
      </c>
      <c r="AM514" s="228">
        <f t="shared" si="673"/>
        <v>-100</v>
      </c>
      <c r="AN514" s="228" cm="1">
        <f t="array" ref="AN514">IF(ISBLANK(G514), 1, IFERROR(MATCH(G514, INDEX(Kat,,1), 0), IFERROR(MATCH(Kat, INDEX(Use,,2), 0), MATCH(Kat, INDEX(Use,,3), 0))))</f>
        <v>1</v>
      </c>
      <c r="AO514" s="246"/>
      <c r="AP514" s="228" cm="1">
        <f t="array" ref="AP514">IF(W514&gt;0, INDEX(Kat, AN514,4), 0)</f>
        <v>0</v>
      </c>
      <c r="AQ514" s="228">
        <f t="shared" si="698"/>
        <v>0</v>
      </c>
      <c r="AR514" s="228" cm="1">
        <f t="array" ref="AR514">IF(X514&gt;0, INDEX(Kat, $AN514, 4+AQ514), 0)</f>
        <v>0</v>
      </c>
      <c r="AS514" s="228" cm="1">
        <f t="array" ref="AS514">IF(X514&gt;0, INDEX(Kat, $AN514, 9+AQ514), 0)</f>
        <v>0</v>
      </c>
      <c r="AT514" s="246"/>
      <c r="AU514" s="262"/>
      <c r="AV514" s="262"/>
      <c r="AW514" s="263"/>
      <c r="AX514" s="263"/>
      <c r="AY514" s="263"/>
      <c r="AZ514" s="263"/>
      <c r="BA514" s="263"/>
      <c r="BB514" s="263"/>
      <c r="BC514" s="263"/>
      <c r="BD514" s="263"/>
      <c r="BE514" s="263"/>
      <c r="BF514" s="263"/>
      <c r="BG514" s="263"/>
      <c r="BH514" s="246"/>
      <c r="BI514" s="228" cm="1">
        <f t="array" ref="BI514">INDEX(Use, $AH514, 4)</f>
        <v>7</v>
      </c>
      <c r="BJ514" s="228">
        <f t="shared" si="674"/>
        <v>32</v>
      </c>
      <c r="BK514" s="228">
        <f t="shared" si="662"/>
        <v>13</v>
      </c>
      <c r="BL514" s="228">
        <f t="shared" si="663"/>
        <v>0</v>
      </c>
      <c r="BM514" s="233" cm="1">
        <f t="array" ref="BM514">L514/IF($M514&gt;0, INDEX($AY$22:$BE$76, $M514+20, $AH514), 1)</f>
        <v>0</v>
      </c>
      <c r="BN514" s="229">
        <f t="shared" si="675"/>
        <v>0</v>
      </c>
      <c r="BO514" s="228">
        <v>35</v>
      </c>
      <c r="BP514" s="229">
        <f t="shared" si="676"/>
        <v>48</v>
      </c>
      <c r="BQ514" s="234">
        <f t="shared" si="677"/>
        <v>3.0748170731707316</v>
      </c>
      <c r="BR514" s="234" cm="1">
        <f t="array" ref="BR514">$BM514 * SUMPRODUCT(INDEX($AV$76:$AX$81,,$AI514),INDEX($AY$76:$BE$81,,$AH514), N($AU$76:$AU$81&gt;$AM514)) / BQ514 / 1000</f>
        <v>0</v>
      </c>
      <c r="BS514" s="231">
        <f t="shared" si="664"/>
        <v>30</v>
      </c>
      <c r="BT514" s="229">
        <f t="shared" si="678"/>
        <v>43</v>
      </c>
      <c r="BU514" s="234">
        <f t="shared" si="679"/>
        <v>3.5018750000000001</v>
      </c>
      <c r="BV514" s="234" cm="1">
        <f t="array" ref="BV514">$BM514 * IF($AH514&lt;=2,
SUMPRODUCT(INDEX($AV$71:$AX$75,,$AI514), INDEX($AY$71:$BE$75,,$AH514), 1 / ($BF$71:$BF$75*BU514 + (1-$BF$71:$BF$75)*BQ514), N($AU$71:$AU$75&gt;$AM514)),
SUMPRODUCT(INDEX($AV$66:$AX$75,,$AI514), INDEX($AY$66:$BE$75,,$AH514), 1 / ($BG$66:$BG$75*BU514 + (1-$BG$66:$BG$75)*BQ514), N($AU$66:$AU$75&gt;$AM514))
) / 1000</f>
        <v>0</v>
      </c>
      <c r="BW514" s="231">
        <f t="shared" si="665"/>
        <v>25</v>
      </c>
      <c r="BX514" s="229">
        <f t="shared" si="680"/>
        <v>38</v>
      </c>
      <c r="BY514" s="234">
        <f t="shared" si="681"/>
        <v>4.0666935483870965</v>
      </c>
      <c r="BZ514" s="234" cm="1">
        <f t="array" ref="BZ514">$BM514 * IF($AH514&lt;=2,
SUMPRODUCT(INDEX($AV$66:$AX$70,,$AI514), INDEX($AY$66:$BE$70,,$AH514), 1 / ($BF$66:$BF$70*BY514 + (1-$BF$66:$BF$70)*BU514), N($AU$66:$AU$70&gt;$AM514)),
SUMPRODUCT(INDEX($AV$56:$AX$65,,$AI514), INDEX($AY$56:$BE$65,,$AH514), 1 / ($BG$56:$BG$65*BY514 + (1-$BG$56:$BG$65)*BU514), N($AU$56:$AU$65&gt;$AM514))
) / 1000</f>
        <v>0</v>
      </c>
      <c r="CA514" s="231">
        <f t="shared" si="666"/>
        <v>20</v>
      </c>
      <c r="CB514" s="229">
        <f t="shared" si="682"/>
        <v>33</v>
      </c>
      <c r="CC514" s="234">
        <f t="shared" si="683"/>
        <v>4.8487499999999999</v>
      </c>
      <c r="CD514" s="234" cm="1">
        <f t="array" ref="CD514">$BM514 * IF($AH514&lt;=2,
SUMPRODUCT(INDEX($AV$61:$AX$65,,$AI514), INDEX($AY$61:$BE$65,,$AH514), 1 / ($BF$61:$BF$65*CC514 + (1-$BF$61:$BF$65)*BY514), N($AU$61:$AU$65&gt;$AM514)),
SUMPRODUCT(INDEX($AV$46:$AX$55,,$AI514), INDEX($AY$46:$BE$55,,$AH514), 1 / ($BG$46:$BG$55*CC514 + (1-$BG$46:$BG$55)*BY514), N($AU$46:$AU$55&gt;$AM514))
) / 1000</f>
        <v>0</v>
      </c>
      <c r="CE514" s="234" cm="1">
        <f t="array" ref="CE514">$BM514 * IF($AH514&lt;=2,
SUMPRODUCT(INDEX($AV$22:$AX$60,,$AI514), INDEX($AY$22:$BE$60,,$AH514), 1 / ($BF$22:$BF$60*CC514), N($AU$22:$AU$60&gt;$AM514)),
SUMPRODUCT(INDEX($AV$22:$AX$45,,$AI514), INDEX($AY$22:$BE$45,,$AH514), 1 / ($BG$22:$BG$45*CC514), N($AU$22:$AU$45&gt;$AM514))
) / 1000</f>
        <v>0</v>
      </c>
      <c r="CF514" s="229">
        <f t="shared" si="684"/>
        <v>0</v>
      </c>
      <c r="CG514" s="246"/>
      <c r="CH514" s="229">
        <f t="shared" si="685"/>
        <v>0</v>
      </c>
      <c r="CI514" s="228">
        <v>35</v>
      </c>
      <c r="CJ514" s="229">
        <f t="shared" si="686"/>
        <v>48</v>
      </c>
      <c r="CK514" s="234">
        <f t="shared" si="687"/>
        <v>3.0748170731707316</v>
      </c>
      <c r="CL514" s="234" cm="1">
        <f t="array" ref="CL514">$BM514 * SUMPRODUCT(INDEX($AV$76:$AX$81,,$AI514),INDEX($AY$76:$BE$81,,$AH514), N($AU$76:$AU$81&gt;$AM514)) / CK514 / 1000</f>
        <v>0</v>
      </c>
      <c r="CM514" s="231">
        <f t="shared" si="667"/>
        <v>30</v>
      </c>
      <c r="CN514" s="229">
        <f t="shared" si="688"/>
        <v>43</v>
      </c>
      <c r="CO514" s="234">
        <f t="shared" si="689"/>
        <v>3.5018750000000001</v>
      </c>
      <c r="CP514" s="234" cm="1">
        <f t="array" ref="CP514">$BM514 * IF($AH514&lt;=2,
SUMPRODUCT(INDEX($AV$71:$AX$75,,$AI514), INDEX($AY$71:$BE$75,,$AH514), 1 / ($BF$71:$BF$75*CO514 + (1-$BF$71:$BF$75)*CK514), N($AU$71:$AU$75&gt;$AM514)),
SUMPRODUCT(INDEX($AV$66:$AX$75,,$AI514), INDEX($AY$66:$BE$75,,$AH514), 1 / ($BG$66:$BG$75*CO514 + (1-$BG$66:$BG$75)*CK514), N($AU$66:$AU$75&gt;$AM514))
) / 1000</f>
        <v>0</v>
      </c>
      <c r="CQ514" s="231">
        <f t="shared" si="668"/>
        <v>25</v>
      </c>
      <c r="CR514" s="229">
        <f t="shared" si="690"/>
        <v>38</v>
      </c>
      <c r="CS514" s="234">
        <f t="shared" si="691"/>
        <v>4.0666935483870965</v>
      </c>
      <c r="CT514" s="234" cm="1">
        <f t="array" ref="CT514">$BM514 * IF($AH514&lt;=2,
SUMPRODUCT(INDEX($AV$66:$AX$70,,$AI514), INDEX($AY$66:$BE$70,,$AH514), 1 / ($BF$66:$BF$70*CS514 + (1-$BF$66:$BF$70)*CO514), N($AU$66:$AU$70&gt;$AM514)),
SUMPRODUCT(INDEX($AV$56:$AX$65,,$AI514), INDEX($AY$56:$BE$65,,$AH514), 1 / ($BG$56:$BG$65*CS514 + (1-$BG$56:$BG$65)*CO514), N($AU$56:$AU$65&gt;$AM514))
) / 1000</f>
        <v>0</v>
      </c>
      <c r="CU514" s="231">
        <f t="shared" si="669"/>
        <v>20</v>
      </c>
      <c r="CV514" s="229">
        <f t="shared" si="692"/>
        <v>33</v>
      </c>
      <c r="CW514" s="234">
        <f t="shared" si="693"/>
        <v>4.8487499999999999</v>
      </c>
      <c r="CX514" s="234" cm="1">
        <f t="array" ref="CX514">$BM514 * IF($AH514&lt;=2,
SUMPRODUCT(INDEX($AV$61:$AX$65,,$AI514), INDEX($AY$61:$BE$65,,$AH514), 1 / ($BF$61:$BF$65*CW514 + (1-$BF$61:$BF$65)*CS514), N($AU$61:$AU$65&gt;$AM514)),
SUMPRODUCT(INDEX($AV$46:$AX$55,,$AI514), INDEX($AY$46:$BE$55,,$AH514), 1 / ($BG$46:$BG$55*CW514 + (1-$BG$46:$BG$55)*CS514), N($AU$46:$AU$55&gt;$AM514))
) / 1000</f>
        <v>0</v>
      </c>
      <c r="CY514" s="234" cm="1">
        <f t="array" ref="CY514">$BM514 * IF($AH514&lt;=2,
SUMPRODUCT(INDEX($AV$22:$AX$60,,$AI514), INDEX($AY$22:$BE$60,,$AH514), 1 / ($BF$22:$BF$60*CW514), N($AU$22:$AU$60&gt;$AM514)),
SUMPRODUCT(INDEX($AV$22:$AX$45,,$AI514), INDEX($AY$22:$BE$45,,$AH514), 1 / ($BG$22:$BG$45*CW514), N($AU$22:$AU$45&gt;$AM514))
) / 1000</f>
        <v>0</v>
      </c>
      <c r="CZ514" s="229">
        <f t="shared" si="694"/>
        <v>0</v>
      </c>
      <c r="DA514" s="246"/>
    </row>
    <row r="515" spans="1:105" s="75" customFormat="1" ht="14.25" customHeight="1" x14ac:dyDescent="0.2">
      <c r="A515" s="230" t="b">
        <f t="shared" si="661"/>
        <v>0</v>
      </c>
      <c r="B515" s="253">
        <v>494</v>
      </c>
      <c r="C515" s="266"/>
      <c r="D515" s="266"/>
      <c r="E515" s="254"/>
      <c r="F515" s="255" t="str">
        <f>IF(ISBLANK(E515), "", VLOOKUP(E515, Z!$A$2:$C$4127, 3, FALSE))</f>
        <v/>
      </c>
      <c r="G515" s="256"/>
      <c r="H515" s="256"/>
      <c r="I515" s="256"/>
      <c r="J515" s="257"/>
      <c r="K515" s="258"/>
      <c r="L515" s="267"/>
      <c r="M515" s="268"/>
      <c r="N515" s="259" t="str" cm="1">
        <f t="array" ref="N515">IF($L515&gt;0, INDEX(Clean,1+AK515,$D$1), "")</f>
        <v/>
      </c>
      <c r="O515" s="260"/>
      <c r="P515" s="260"/>
      <c r="Q515" s="261"/>
      <c r="R515" s="264">
        <f t="shared" si="670"/>
        <v>0</v>
      </c>
      <c r="S515" s="259" t="str" cm="1">
        <f t="array" ref="S515">IF($L515&gt;0, INDEX(Clean,1+AL515,$D$1), "")</f>
        <v/>
      </c>
      <c r="T515" s="260"/>
      <c r="U515" s="260"/>
      <c r="V515" s="261"/>
      <c r="W515" s="267"/>
      <c r="X515" s="267"/>
      <c r="Y515" s="257"/>
      <c r="Z515" s="264">
        <f t="shared" si="671"/>
        <v>0</v>
      </c>
      <c r="AA515" s="269"/>
      <c r="AB515" s="266"/>
      <c r="AC515" s="254"/>
      <c r="AD515" s="255" t="str">
        <f>IF(ISBLANK(AC515), "", VLOOKUP(AC515, Z!$A$2:$C$4127, 3, FALSE))</f>
        <v/>
      </c>
      <c r="AE515" s="270"/>
      <c r="AF515" s="265">
        <f t="shared" si="672"/>
        <v>0</v>
      </c>
      <c r="AG515" s="246"/>
      <c r="AH515" s="228">
        <f t="shared" si="695"/>
        <v>1</v>
      </c>
      <c r="AI515" s="228">
        <f t="shared" si="696"/>
        <v>1</v>
      </c>
      <c r="AJ515" s="228">
        <f t="shared" si="697"/>
        <v>0</v>
      </c>
      <c r="AK515" s="228">
        <v>0</v>
      </c>
      <c r="AL515" s="228">
        <v>0</v>
      </c>
      <c r="AM515" s="228">
        <f t="shared" si="673"/>
        <v>-100</v>
      </c>
      <c r="AN515" s="228" cm="1">
        <f t="array" ref="AN515">IF(ISBLANK(G515), 1, IFERROR(MATCH(G515, INDEX(Kat,,1), 0), IFERROR(MATCH(Kat, INDEX(Use,,2), 0), MATCH(Kat, INDEX(Use,,3), 0))))</f>
        <v>1</v>
      </c>
      <c r="AO515" s="246"/>
      <c r="AP515" s="228" cm="1">
        <f t="array" ref="AP515">IF(W515&gt;0, INDEX(Kat, AN515,4), 0)</f>
        <v>0</v>
      </c>
      <c r="AQ515" s="228">
        <f t="shared" si="698"/>
        <v>0</v>
      </c>
      <c r="AR515" s="228" cm="1">
        <f t="array" ref="AR515">IF(X515&gt;0, INDEX(Kat, $AN515, 4+AQ515), 0)</f>
        <v>0</v>
      </c>
      <c r="AS515" s="228" cm="1">
        <f t="array" ref="AS515">IF(X515&gt;0, INDEX(Kat, $AN515, 9+AQ515), 0)</f>
        <v>0</v>
      </c>
      <c r="AT515" s="246"/>
      <c r="AU515" s="262"/>
      <c r="AV515" s="262"/>
      <c r="AW515" s="263"/>
      <c r="AX515" s="263"/>
      <c r="AY515" s="263"/>
      <c r="AZ515" s="263"/>
      <c r="BA515" s="263"/>
      <c r="BB515" s="263"/>
      <c r="BC515" s="263"/>
      <c r="BD515" s="263"/>
      <c r="BE515" s="263"/>
      <c r="BF515" s="263"/>
      <c r="BG515" s="263"/>
      <c r="BH515" s="246"/>
      <c r="BI515" s="228" cm="1">
        <f t="array" ref="BI515">INDEX(Use, $AH515, 4)</f>
        <v>7</v>
      </c>
      <c r="BJ515" s="228">
        <f t="shared" si="674"/>
        <v>32</v>
      </c>
      <c r="BK515" s="228">
        <f t="shared" si="662"/>
        <v>13</v>
      </c>
      <c r="BL515" s="228">
        <f t="shared" si="663"/>
        <v>0</v>
      </c>
      <c r="BM515" s="233" cm="1">
        <f t="array" ref="BM515">L515/IF($M515&gt;0, INDEX($AY$22:$BE$76, $M515+20, $AH515), 1)</f>
        <v>0</v>
      </c>
      <c r="BN515" s="229">
        <f t="shared" si="675"/>
        <v>0</v>
      </c>
      <c r="BO515" s="228">
        <v>35</v>
      </c>
      <c r="BP515" s="229">
        <f t="shared" si="676"/>
        <v>48</v>
      </c>
      <c r="BQ515" s="234">
        <f t="shared" si="677"/>
        <v>3.0748170731707316</v>
      </c>
      <c r="BR515" s="234" cm="1">
        <f t="array" ref="BR515">$BM515 * SUMPRODUCT(INDEX($AV$76:$AX$81,,$AI515),INDEX($AY$76:$BE$81,,$AH515), N($AU$76:$AU$81&gt;$AM515)) / BQ515 / 1000</f>
        <v>0</v>
      </c>
      <c r="BS515" s="231">
        <f t="shared" si="664"/>
        <v>30</v>
      </c>
      <c r="BT515" s="229">
        <f t="shared" si="678"/>
        <v>43</v>
      </c>
      <c r="BU515" s="234">
        <f t="shared" si="679"/>
        <v>3.5018750000000001</v>
      </c>
      <c r="BV515" s="234" cm="1">
        <f t="array" ref="BV515">$BM515 * IF($AH515&lt;=2,
SUMPRODUCT(INDEX($AV$71:$AX$75,,$AI515), INDEX($AY$71:$BE$75,,$AH515), 1 / ($BF$71:$BF$75*BU515 + (1-$BF$71:$BF$75)*BQ515), N($AU$71:$AU$75&gt;$AM515)),
SUMPRODUCT(INDEX($AV$66:$AX$75,,$AI515), INDEX($AY$66:$BE$75,,$AH515), 1 / ($BG$66:$BG$75*BU515 + (1-$BG$66:$BG$75)*BQ515), N($AU$66:$AU$75&gt;$AM515))
) / 1000</f>
        <v>0</v>
      </c>
      <c r="BW515" s="231">
        <f t="shared" si="665"/>
        <v>25</v>
      </c>
      <c r="BX515" s="229">
        <f t="shared" si="680"/>
        <v>38</v>
      </c>
      <c r="BY515" s="234">
        <f t="shared" si="681"/>
        <v>4.0666935483870965</v>
      </c>
      <c r="BZ515" s="234" cm="1">
        <f t="array" ref="BZ515">$BM515 * IF($AH515&lt;=2,
SUMPRODUCT(INDEX($AV$66:$AX$70,,$AI515), INDEX($AY$66:$BE$70,,$AH515), 1 / ($BF$66:$BF$70*BY515 + (1-$BF$66:$BF$70)*BU515), N($AU$66:$AU$70&gt;$AM515)),
SUMPRODUCT(INDEX($AV$56:$AX$65,,$AI515), INDEX($AY$56:$BE$65,,$AH515), 1 / ($BG$56:$BG$65*BY515 + (1-$BG$56:$BG$65)*BU515), N($AU$56:$AU$65&gt;$AM515))
) / 1000</f>
        <v>0</v>
      </c>
      <c r="CA515" s="231">
        <f t="shared" si="666"/>
        <v>20</v>
      </c>
      <c r="CB515" s="229">
        <f t="shared" si="682"/>
        <v>33</v>
      </c>
      <c r="CC515" s="234">
        <f t="shared" si="683"/>
        <v>4.8487499999999999</v>
      </c>
      <c r="CD515" s="234" cm="1">
        <f t="array" ref="CD515">$BM515 * IF($AH515&lt;=2,
SUMPRODUCT(INDEX($AV$61:$AX$65,,$AI515), INDEX($AY$61:$BE$65,,$AH515), 1 / ($BF$61:$BF$65*CC515 + (1-$BF$61:$BF$65)*BY515), N($AU$61:$AU$65&gt;$AM515)),
SUMPRODUCT(INDEX($AV$46:$AX$55,,$AI515), INDEX($AY$46:$BE$55,,$AH515), 1 / ($BG$46:$BG$55*CC515 + (1-$BG$46:$BG$55)*BY515), N($AU$46:$AU$55&gt;$AM515))
) / 1000</f>
        <v>0</v>
      </c>
      <c r="CE515" s="234" cm="1">
        <f t="array" ref="CE515">$BM515 * IF($AH515&lt;=2,
SUMPRODUCT(INDEX($AV$22:$AX$60,,$AI515), INDEX($AY$22:$BE$60,,$AH515), 1 / ($BF$22:$BF$60*CC515), N($AU$22:$AU$60&gt;$AM515)),
SUMPRODUCT(INDEX($AV$22:$AX$45,,$AI515), INDEX($AY$22:$BE$45,,$AH515), 1 / ($BG$22:$BG$45*CC515), N($AU$22:$AU$45&gt;$AM515))
) / 1000</f>
        <v>0</v>
      </c>
      <c r="CF515" s="229">
        <f t="shared" si="684"/>
        <v>0</v>
      </c>
      <c r="CG515" s="246"/>
      <c r="CH515" s="229">
        <f t="shared" si="685"/>
        <v>0</v>
      </c>
      <c r="CI515" s="228">
        <v>35</v>
      </c>
      <c r="CJ515" s="229">
        <f t="shared" si="686"/>
        <v>48</v>
      </c>
      <c r="CK515" s="234">
        <f t="shared" si="687"/>
        <v>3.0748170731707316</v>
      </c>
      <c r="CL515" s="234" cm="1">
        <f t="array" ref="CL515">$BM515 * SUMPRODUCT(INDEX($AV$76:$AX$81,,$AI515),INDEX($AY$76:$BE$81,,$AH515), N($AU$76:$AU$81&gt;$AM515)) / CK515 / 1000</f>
        <v>0</v>
      </c>
      <c r="CM515" s="231">
        <f t="shared" si="667"/>
        <v>30</v>
      </c>
      <c r="CN515" s="229">
        <f t="shared" si="688"/>
        <v>43</v>
      </c>
      <c r="CO515" s="234">
        <f t="shared" si="689"/>
        <v>3.5018750000000001</v>
      </c>
      <c r="CP515" s="234" cm="1">
        <f t="array" ref="CP515">$BM515 * IF($AH515&lt;=2,
SUMPRODUCT(INDEX($AV$71:$AX$75,,$AI515), INDEX($AY$71:$BE$75,,$AH515), 1 / ($BF$71:$BF$75*CO515 + (1-$BF$71:$BF$75)*CK515), N($AU$71:$AU$75&gt;$AM515)),
SUMPRODUCT(INDEX($AV$66:$AX$75,,$AI515), INDEX($AY$66:$BE$75,,$AH515), 1 / ($BG$66:$BG$75*CO515 + (1-$BG$66:$BG$75)*CK515), N($AU$66:$AU$75&gt;$AM515))
) / 1000</f>
        <v>0</v>
      </c>
      <c r="CQ515" s="231">
        <f t="shared" si="668"/>
        <v>25</v>
      </c>
      <c r="CR515" s="229">
        <f t="shared" si="690"/>
        <v>38</v>
      </c>
      <c r="CS515" s="234">
        <f t="shared" si="691"/>
        <v>4.0666935483870965</v>
      </c>
      <c r="CT515" s="234" cm="1">
        <f t="array" ref="CT515">$BM515 * IF($AH515&lt;=2,
SUMPRODUCT(INDEX($AV$66:$AX$70,,$AI515), INDEX($AY$66:$BE$70,,$AH515), 1 / ($BF$66:$BF$70*CS515 + (1-$BF$66:$BF$70)*CO515), N($AU$66:$AU$70&gt;$AM515)),
SUMPRODUCT(INDEX($AV$56:$AX$65,,$AI515), INDEX($AY$56:$BE$65,,$AH515), 1 / ($BG$56:$BG$65*CS515 + (1-$BG$56:$BG$65)*CO515), N($AU$56:$AU$65&gt;$AM515))
) / 1000</f>
        <v>0</v>
      </c>
      <c r="CU515" s="231">
        <f t="shared" si="669"/>
        <v>20</v>
      </c>
      <c r="CV515" s="229">
        <f t="shared" si="692"/>
        <v>33</v>
      </c>
      <c r="CW515" s="234">
        <f t="shared" si="693"/>
        <v>4.8487499999999999</v>
      </c>
      <c r="CX515" s="234" cm="1">
        <f t="array" ref="CX515">$BM515 * IF($AH515&lt;=2,
SUMPRODUCT(INDEX($AV$61:$AX$65,,$AI515), INDEX($AY$61:$BE$65,,$AH515), 1 / ($BF$61:$BF$65*CW515 + (1-$BF$61:$BF$65)*CS515), N($AU$61:$AU$65&gt;$AM515)),
SUMPRODUCT(INDEX($AV$46:$AX$55,,$AI515), INDEX($AY$46:$BE$55,,$AH515), 1 / ($BG$46:$BG$55*CW515 + (1-$BG$46:$BG$55)*CS515), N($AU$46:$AU$55&gt;$AM515))
) / 1000</f>
        <v>0</v>
      </c>
      <c r="CY515" s="234" cm="1">
        <f t="array" ref="CY515">$BM515 * IF($AH515&lt;=2,
SUMPRODUCT(INDEX($AV$22:$AX$60,,$AI515), INDEX($AY$22:$BE$60,,$AH515), 1 / ($BF$22:$BF$60*CW515), N($AU$22:$AU$60&gt;$AM515)),
SUMPRODUCT(INDEX($AV$22:$AX$45,,$AI515), INDEX($AY$22:$BE$45,,$AH515), 1 / ($BG$22:$BG$45*CW515), N($AU$22:$AU$45&gt;$AM515))
) / 1000</f>
        <v>0</v>
      </c>
      <c r="CZ515" s="229">
        <f t="shared" si="694"/>
        <v>0</v>
      </c>
      <c r="DA515" s="246"/>
    </row>
    <row r="516" spans="1:105" s="75" customFormat="1" ht="14.25" customHeight="1" x14ac:dyDescent="0.2">
      <c r="A516" s="230" t="b">
        <f t="shared" si="661"/>
        <v>0</v>
      </c>
      <c r="B516" s="253">
        <v>495</v>
      </c>
      <c r="C516" s="266"/>
      <c r="D516" s="266"/>
      <c r="E516" s="254"/>
      <c r="F516" s="255" t="str">
        <f>IF(ISBLANK(E516), "", VLOOKUP(E516, Z!$A$2:$C$4127, 3, FALSE))</f>
        <v/>
      </c>
      <c r="G516" s="256"/>
      <c r="H516" s="256"/>
      <c r="I516" s="256"/>
      <c r="J516" s="257"/>
      <c r="K516" s="258"/>
      <c r="L516" s="267"/>
      <c r="M516" s="268"/>
      <c r="N516" s="259" t="str" cm="1">
        <f t="array" ref="N516">IF($L516&gt;0, INDEX(Clean,1+AK516,$D$1), "")</f>
        <v/>
      </c>
      <c r="O516" s="260"/>
      <c r="P516" s="260"/>
      <c r="Q516" s="261"/>
      <c r="R516" s="264">
        <f t="shared" si="670"/>
        <v>0</v>
      </c>
      <c r="S516" s="259" t="str" cm="1">
        <f t="array" ref="S516">IF($L516&gt;0, INDEX(Clean,1+AL516,$D$1), "")</f>
        <v/>
      </c>
      <c r="T516" s="260"/>
      <c r="U516" s="260"/>
      <c r="V516" s="261"/>
      <c r="W516" s="267"/>
      <c r="X516" s="267"/>
      <c r="Y516" s="257"/>
      <c r="Z516" s="264">
        <f t="shared" si="671"/>
        <v>0</v>
      </c>
      <c r="AA516" s="269"/>
      <c r="AB516" s="266"/>
      <c r="AC516" s="254"/>
      <c r="AD516" s="255" t="str">
        <f>IF(ISBLANK(AC516), "", VLOOKUP(AC516, Z!$A$2:$C$4127, 3, FALSE))</f>
        <v/>
      </c>
      <c r="AE516" s="270"/>
      <c r="AF516" s="265">
        <f t="shared" si="672"/>
        <v>0</v>
      </c>
      <c r="AG516" s="246"/>
      <c r="AH516" s="228">
        <f t="shared" si="695"/>
        <v>1</v>
      </c>
      <c r="AI516" s="228">
        <f t="shared" si="696"/>
        <v>1</v>
      </c>
      <c r="AJ516" s="228">
        <f t="shared" si="697"/>
        <v>0</v>
      </c>
      <c r="AK516" s="228">
        <v>0</v>
      </c>
      <c r="AL516" s="228">
        <v>0</v>
      </c>
      <c r="AM516" s="228">
        <f t="shared" si="673"/>
        <v>-100</v>
      </c>
      <c r="AN516" s="228" cm="1">
        <f t="array" ref="AN516">IF(ISBLANK(G516), 1, IFERROR(MATCH(G516, INDEX(Kat,,1), 0), IFERROR(MATCH(Kat, INDEX(Use,,2), 0), MATCH(Kat, INDEX(Use,,3), 0))))</f>
        <v>1</v>
      </c>
      <c r="AO516" s="246"/>
      <c r="AP516" s="228" cm="1">
        <f t="array" ref="AP516">IF(W516&gt;0, INDEX(Kat, AN516,4), 0)</f>
        <v>0</v>
      </c>
      <c r="AQ516" s="228">
        <f t="shared" si="698"/>
        <v>0</v>
      </c>
      <c r="AR516" s="228" cm="1">
        <f t="array" ref="AR516">IF(X516&gt;0, INDEX(Kat, $AN516, 4+AQ516), 0)</f>
        <v>0</v>
      </c>
      <c r="AS516" s="228" cm="1">
        <f t="array" ref="AS516">IF(X516&gt;0, INDEX(Kat, $AN516, 9+AQ516), 0)</f>
        <v>0</v>
      </c>
      <c r="AT516" s="246"/>
      <c r="AU516" s="262"/>
      <c r="AV516" s="262"/>
      <c r="AW516" s="263"/>
      <c r="AX516" s="263"/>
      <c r="AY516" s="263"/>
      <c r="AZ516" s="263"/>
      <c r="BA516" s="263"/>
      <c r="BB516" s="263"/>
      <c r="BC516" s="263"/>
      <c r="BD516" s="263"/>
      <c r="BE516" s="263"/>
      <c r="BF516" s="263"/>
      <c r="BG516" s="263"/>
      <c r="BH516" s="246"/>
      <c r="BI516" s="228" cm="1">
        <f t="array" ref="BI516">INDEX(Use, $AH516, 4)</f>
        <v>7</v>
      </c>
      <c r="BJ516" s="228">
        <f t="shared" si="674"/>
        <v>32</v>
      </c>
      <c r="BK516" s="228">
        <f t="shared" si="662"/>
        <v>13</v>
      </c>
      <c r="BL516" s="228">
        <f t="shared" si="663"/>
        <v>0</v>
      </c>
      <c r="BM516" s="233" cm="1">
        <f t="array" ref="BM516">L516/IF($M516&gt;0, INDEX($AY$22:$BE$76, $M516+20, $AH516), 1)</f>
        <v>0</v>
      </c>
      <c r="BN516" s="229">
        <f t="shared" si="675"/>
        <v>0</v>
      </c>
      <c r="BO516" s="228">
        <v>35</v>
      </c>
      <c r="BP516" s="229">
        <f t="shared" si="676"/>
        <v>48</v>
      </c>
      <c r="BQ516" s="234">
        <f t="shared" si="677"/>
        <v>3.0748170731707316</v>
      </c>
      <c r="BR516" s="234" cm="1">
        <f t="array" ref="BR516">$BM516 * SUMPRODUCT(INDEX($AV$76:$AX$81,,$AI516),INDEX($AY$76:$BE$81,,$AH516), N($AU$76:$AU$81&gt;$AM516)) / BQ516 / 1000</f>
        <v>0</v>
      </c>
      <c r="BS516" s="231">
        <f t="shared" si="664"/>
        <v>30</v>
      </c>
      <c r="BT516" s="229">
        <f t="shared" si="678"/>
        <v>43</v>
      </c>
      <c r="BU516" s="234">
        <f t="shared" si="679"/>
        <v>3.5018750000000001</v>
      </c>
      <c r="BV516" s="234" cm="1">
        <f t="array" ref="BV516">$BM516 * IF($AH516&lt;=2,
SUMPRODUCT(INDEX($AV$71:$AX$75,,$AI516), INDEX($AY$71:$BE$75,,$AH516), 1 / ($BF$71:$BF$75*BU516 + (1-$BF$71:$BF$75)*BQ516), N($AU$71:$AU$75&gt;$AM516)),
SUMPRODUCT(INDEX($AV$66:$AX$75,,$AI516), INDEX($AY$66:$BE$75,,$AH516), 1 / ($BG$66:$BG$75*BU516 + (1-$BG$66:$BG$75)*BQ516), N($AU$66:$AU$75&gt;$AM516))
) / 1000</f>
        <v>0</v>
      </c>
      <c r="BW516" s="231">
        <f t="shared" si="665"/>
        <v>25</v>
      </c>
      <c r="BX516" s="229">
        <f t="shared" si="680"/>
        <v>38</v>
      </c>
      <c r="BY516" s="234">
        <f t="shared" si="681"/>
        <v>4.0666935483870965</v>
      </c>
      <c r="BZ516" s="234" cm="1">
        <f t="array" ref="BZ516">$BM516 * IF($AH516&lt;=2,
SUMPRODUCT(INDEX($AV$66:$AX$70,,$AI516), INDEX($AY$66:$BE$70,,$AH516), 1 / ($BF$66:$BF$70*BY516 + (1-$BF$66:$BF$70)*BU516), N($AU$66:$AU$70&gt;$AM516)),
SUMPRODUCT(INDEX($AV$56:$AX$65,,$AI516), INDEX($AY$56:$BE$65,,$AH516), 1 / ($BG$56:$BG$65*BY516 + (1-$BG$56:$BG$65)*BU516), N($AU$56:$AU$65&gt;$AM516))
) / 1000</f>
        <v>0</v>
      </c>
      <c r="CA516" s="231">
        <f t="shared" si="666"/>
        <v>20</v>
      </c>
      <c r="CB516" s="229">
        <f t="shared" si="682"/>
        <v>33</v>
      </c>
      <c r="CC516" s="234">
        <f t="shared" si="683"/>
        <v>4.8487499999999999</v>
      </c>
      <c r="CD516" s="234" cm="1">
        <f t="array" ref="CD516">$BM516 * IF($AH516&lt;=2,
SUMPRODUCT(INDEX($AV$61:$AX$65,,$AI516), INDEX($AY$61:$BE$65,,$AH516), 1 / ($BF$61:$BF$65*CC516 + (1-$BF$61:$BF$65)*BY516), N($AU$61:$AU$65&gt;$AM516)),
SUMPRODUCT(INDEX($AV$46:$AX$55,,$AI516), INDEX($AY$46:$BE$55,,$AH516), 1 / ($BG$46:$BG$55*CC516 + (1-$BG$46:$BG$55)*BY516), N($AU$46:$AU$55&gt;$AM516))
) / 1000</f>
        <v>0</v>
      </c>
      <c r="CE516" s="234" cm="1">
        <f t="array" ref="CE516">$BM516 * IF($AH516&lt;=2,
SUMPRODUCT(INDEX($AV$22:$AX$60,,$AI516), INDEX($AY$22:$BE$60,,$AH516), 1 / ($BF$22:$BF$60*CC516), N($AU$22:$AU$60&gt;$AM516)),
SUMPRODUCT(INDEX($AV$22:$AX$45,,$AI516), INDEX($AY$22:$BE$45,,$AH516), 1 / ($BG$22:$BG$45*CC516), N($AU$22:$AU$45&gt;$AM516))
) / 1000</f>
        <v>0</v>
      </c>
      <c r="CF516" s="229">
        <f t="shared" si="684"/>
        <v>0</v>
      </c>
      <c r="CG516" s="246"/>
      <c r="CH516" s="229">
        <f t="shared" si="685"/>
        <v>0</v>
      </c>
      <c r="CI516" s="228">
        <v>35</v>
      </c>
      <c r="CJ516" s="229">
        <f t="shared" si="686"/>
        <v>48</v>
      </c>
      <c r="CK516" s="234">
        <f t="shared" si="687"/>
        <v>3.0748170731707316</v>
      </c>
      <c r="CL516" s="234" cm="1">
        <f t="array" ref="CL516">$BM516 * SUMPRODUCT(INDEX($AV$76:$AX$81,,$AI516),INDEX($AY$76:$BE$81,,$AH516), N($AU$76:$AU$81&gt;$AM516)) / CK516 / 1000</f>
        <v>0</v>
      </c>
      <c r="CM516" s="231">
        <f t="shared" si="667"/>
        <v>30</v>
      </c>
      <c r="CN516" s="229">
        <f t="shared" si="688"/>
        <v>43</v>
      </c>
      <c r="CO516" s="234">
        <f t="shared" si="689"/>
        <v>3.5018750000000001</v>
      </c>
      <c r="CP516" s="234" cm="1">
        <f t="array" ref="CP516">$BM516 * IF($AH516&lt;=2,
SUMPRODUCT(INDEX($AV$71:$AX$75,,$AI516), INDEX($AY$71:$BE$75,,$AH516), 1 / ($BF$71:$BF$75*CO516 + (1-$BF$71:$BF$75)*CK516), N($AU$71:$AU$75&gt;$AM516)),
SUMPRODUCT(INDEX($AV$66:$AX$75,,$AI516), INDEX($AY$66:$BE$75,,$AH516), 1 / ($BG$66:$BG$75*CO516 + (1-$BG$66:$BG$75)*CK516), N($AU$66:$AU$75&gt;$AM516))
) / 1000</f>
        <v>0</v>
      </c>
      <c r="CQ516" s="231">
        <f t="shared" si="668"/>
        <v>25</v>
      </c>
      <c r="CR516" s="229">
        <f t="shared" si="690"/>
        <v>38</v>
      </c>
      <c r="CS516" s="234">
        <f t="shared" si="691"/>
        <v>4.0666935483870965</v>
      </c>
      <c r="CT516" s="234" cm="1">
        <f t="array" ref="CT516">$BM516 * IF($AH516&lt;=2,
SUMPRODUCT(INDEX($AV$66:$AX$70,,$AI516), INDEX($AY$66:$BE$70,,$AH516), 1 / ($BF$66:$BF$70*CS516 + (1-$BF$66:$BF$70)*CO516), N($AU$66:$AU$70&gt;$AM516)),
SUMPRODUCT(INDEX($AV$56:$AX$65,,$AI516), INDEX($AY$56:$BE$65,,$AH516), 1 / ($BG$56:$BG$65*CS516 + (1-$BG$56:$BG$65)*CO516), N($AU$56:$AU$65&gt;$AM516))
) / 1000</f>
        <v>0</v>
      </c>
      <c r="CU516" s="231">
        <f t="shared" si="669"/>
        <v>20</v>
      </c>
      <c r="CV516" s="229">
        <f t="shared" si="692"/>
        <v>33</v>
      </c>
      <c r="CW516" s="234">
        <f t="shared" si="693"/>
        <v>4.8487499999999999</v>
      </c>
      <c r="CX516" s="234" cm="1">
        <f t="array" ref="CX516">$BM516 * IF($AH516&lt;=2,
SUMPRODUCT(INDEX($AV$61:$AX$65,,$AI516), INDEX($AY$61:$BE$65,,$AH516), 1 / ($BF$61:$BF$65*CW516 + (1-$BF$61:$BF$65)*CS516), N($AU$61:$AU$65&gt;$AM516)),
SUMPRODUCT(INDEX($AV$46:$AX$55,,$AI516), INDEX($AY$46:$BE$55,,$AH516), 1 / ($BG$46:$BG$55*CW516 + (1-$BG$46:$BG$55)*CS516), N($AU$46:$AU$55&gt;$AM516))
) / 1000</f>
        <v>0</v>
      </c>
      <c r="CY516" s="234" cm="1">
        <f t="array" ref="CY516">$BM516 * IF($AH516&lt;=2,
SUMPRODUCT(INDEX($AV$22:$AX$60,,$AI516), INDEX($AY$22:$BE$60,,$AH516), 1 / ($BF$22:$BF$60*CW516), N($AU$22:$AU$60&gt;$AM516)),
SUMPRODUCT(INDEX($AV$22:$AX$45,,$AI516), INDEX($AY$22:$BE$45,,$AH516), 1 / ($BG$22:$BG$45*CW516), N($AU$22:$AU$45&gt;$AM516))
) / 1000</f>
        <v>0</v>
      </c>
      <c r="CZ516" s="229">
        <f t="shared" si="694"/>
        <v>0</v>
      </c>
      <c r="DA516" s="246"/>
    </row>
    <row r="517" spans="1:105" s="75" customFormat="1" ht="14.25" customHeight="1" x14ac:dyDescent="0.2">
      <c r="A517" s="230" t="b">
        <f t="shared" si="661"/>
        <v>0</v>
      </c>
      <c r="B517" s="253">
        <v>496</v>
      </c>
      <c r="C517" s="266"/>
      <c r="D517" s="266"/>
      <c r="E517" s="254"/>
      <c r="F517" s="255" t="str">
        <f>IF(ISBLANK(E517), "", VLOOKUP(E517, Z!$A$2:$C$4127, 3, FALSE))</f>
        <v/>
      </c>
      <c r="G517" s="256"/>
      <c r="H517" s="256"/>
      <c r="I517" s="256"/>
      <c r="J517" s="257"/>
      <c r="K517" s="258"/>
      <c r="L517" s="267"/>
      <c r="M517" s="268"/>
      <c r="N517" s="259" t="str" cm="1">
        <f t="array" ref="N517">IF($L517&gt;0, INDEX(Clean,1+AK517,$D$1), "")</f>
        <v/>
      </c>
      <c r="O517" s="260"/>
      <c r="P517" s="260"/>
      <c r="Q517" s="261"/>
      <c r="R517" s="264">
        <f t="shared" si="670"/>
        <v>0</v>
      </c>
      <c r="S517" s="259" t="str" cm="1">
        <f t="array" ref="S517">IF($L517&gt;0, INDEX(Clean,1+AL517,$D$1), "")</f>
        <v/>
      </c>
      <c r="T517" s="260"/>
      <c r="U517" s="260"/>
      <c r="V517" s="261"/>
      <c r="W517" s="267"/>
      <c r="X517" s="267"/>
      <c r="Y517" s="257"/>
      <c r="Z517" s="264">
        <f t="shared" si="671"/>
        <v>0</v>
      </c>
      <c r="AA517" s="269"/>
      <c r="AB517" s="266"/>
      <c r="AC517" s="254"/>
      <c r="AD517" s="255" t="str">
        <f>IF(ISBLANK(AC517), "", VLOOKUP(AC517, Z!$A$2:$C$4127, 3, FALSE))</f>
        <v/>
      </c>
      <c r="AE517" s="270"/>
      <c r="AF517" s="265">
        <f t="shared" si="672"/>
        <v>0</v>
      </c>
      <c r="AG517" s="246"/>
      <c r="AH517" s="228">
        <f t="shared" si="695"/>
        <v>1</v>
      </c>
      <c r="AI517" s="228">
        <f t="shared" si="696"/>
        <v>1</v>
      </c>
      <c r="AJ517" s="228">
        <f t="shared" si="697"/>
        <v>0</v>
      </c>
      <c r="AK517" s="228">
        <v>0</v>
      </c>
      <c r="AL517" s="228">
        <v>0</v>
      </c>
      <c r="AM517" s="228">
        <f t="shared" si="673"/>
        <v>-100</v>
      </c>
      <c r="AN517" s="228" cm="1">
        <f t="array" ref="AN517">IF(ISBLANK(G517), 1, IFERROR(MATCH(G517, INDEX(Kat,,1), 0), IFERROR(MATCH(Kat, INDEX(Use,,2), 0), MATCH(Kat, INDEX(Use,,3), 0))))</f>
        <v>1</v>
      </c>
      <c r="AO517" s="246"/>
      <c r="AP517" s="228" cm="1">
        <f t="array" ref="AP517">IF(W517&gt;0, INDEX(Kat, AN517,4), 0)</f>
        <v>0</v>
      </c>
      <c r="AQ517" s="228">
        <f t="shared" si="698"/>
        <v>0</v>
      </c>
      <c r="AR517" s="228" cm="1">
        <f t="array" ref="AR517">IF(X517&gt;0, INDEX(Kat, $AN517, 4+AQ517), 0)</f>
        <v>0</v>
      </c>
      <c r="AS517" s="228" cm="1">
        <f t="array" ref="AS517">IF(X517&gt;0, INDEX(Kat, $AN517, 9+AQ517), 0)</f>
        <v>0</v>
      </c>
      <c r="AT517" s="246"/>
      <c r="AU517" s="262"/>
      <c r="AV517" s="262"/>
      <c r="AW517" s="263"/>
      <c r="AX517" s="263"/>
      <c r="AY517" s="263"/>
      <c r="AZ517" s="263"/>
      <c r="BA517" s="263"/>
      <c r="BB517" s="263"/>
      <c r="BC517" s="263"/>
      <c r="BD517" s="263"/>
      <c r="BE517" s="263"/>
      <c r="BF517" s="263"/>
      <c r="BG517" s="263"/>
      <c r="BH517" s="246"/>
      <c r="BI517" s="228" cm="1">
        <f t="array" ref="BI517">INDEX(Use, $AH517, 4)</f>
        <v>7</v>
      </c>
      <c r="BJ517" s="228">
        <f t="shared" si="674"/>
        <v>32</v>
      </c>
      <c r="BK517" s="228">
        <f t="shared" si="662"/>
        <v>13</v>
      </c>
      <c r="BL517" s="228">
        <f t="shared" si="663"/>
        <v>0</v>
      </c>
      <c r="BM517" s="233" cm="1">
        <f t="array" ref="BM517">L517/IF($M517&gt;0, INDEX($AY$22:$BE$76, $M517+20, $AH517), 1)</f>
        <v>0</v>
      </c>
      <c r="BN517" s="229">
        <f t="shared" si="675"/>
        <v>0</v>
      </c>
      <c r="BO517" s="228">
        <v>35</v>
      </c>
      <c r="BP517" s="229">
        <f t="shared" si="676"/>
        <v>48</v>
      </c>
      <c r="BQ517" s="234">
        <f t="shared" si="677"/>
        <v>3.0748170731707316</v>
      </c>
      <c r="BR517" s="234" cm="1">
        <f t="array" ref="BR517">$BM517 * SUMPRODUCT(INDEX($AV$76:$AX$81,,$AI517),INDEX($AY$76:$BE$81,,$AH517), N($AU$76:$AU$81&gt;$AM517)) / BQ517 / 1000</f>
        <v>0</v>
      </c>
      <c r="BS517" s="231">
        <f t="shared" si="664"/>
        <v>30</v>
      </c>
      <c r="BT517" s="229">
        <f t="shared" si="678"/>
        <v>43</v>
      </c>
      <c r="BU517" s="234">
        <f t="shared" si="679"/>
        <v>3.5018750000000001</v>
      </c>
      <c r="BV517" s="234" cm="1">
        <f t="array" ref="BV517">$BM517 * IF($AH517&lt;=2,
SUMPRODUCT(INDEX($AV$71:$AX$75,,$AI517), INDEX($AY$71:$BE$75,,$AH517), 1 / ($BF$71:$BF$75*BU517 + (1-$BF$71:$BF$75)*BQ517), N($AU$71:$AU$75&gt;$AM517)),
SUMPRODUCT(INDEX($AV$66:$AX$75,,$AI517), INDEX($AY$66:$BE$75,,$AH517), 1 / ($BG$66:$BG$75*BU517 + (1-$BG$66:$BG$75)*BQ517), N($AU$66:$AU$75&gt;$AM517))
) / 1000</f>
        <v>0</v>
      </c>
      <c r="BW517" s="231">
        <f t="shared" si="665"/>
        <v>25</v>
      </c>
      <c r="BX517" s="229">
        <f t="shared" si="680"/>
        <v>38</v>
      </c>
      <c r="BY517" s="234">
        <f t="shared" si="681"/>
        <v>4.0666935483870965</v>
      </c>
      <c r="BZ517" s="234" cm="1">
        <f t="array" ref="BZ517">$BM517 * IF($AH517&lt;=2,
SUMPRODUCT(INDEX($AV$66:$AX$70,,$AI517), INDEX($AY$66:$BE$70,,$AH517), 1 / ($BF$66:$BF$70*BY517 + (1-$BF$66:$BF$70)*BU517), N($AU$66:$AU$70&gt;$AM517)),
SUMPRODUCT(INDEX($AV$56:$AX$65,,$AI517), INDEX($AY$56:$BE$65,,$AH517), 1 / ($BG$56:$BG$65*BY517 + (1-$BG$56:$BG$65)*BU517), N($AU$56:$AU$65&gt;$AM517))
) / 1000</f>
        <v>0</v>
      </c>
      <c r="CA517" s="231">
        <f t="shared" si="666"/>
        <v>20</v>
      </c>
      <c r="CB517" s="229">
        <f t="shared" si="682"/>
        <v>33</v>
      </c>
      <c r="CC517" s="234">
        <f t="shared" si="683"/>
        <v>4.8487499999999999</v>
      </c>
      <c r="CD517" s="234" cm="1">
        <f t="array" ref="CD517">$BM517 * IF($AH517&lt;=2,
SUMPRODUCT(INDEX($AV$61:$AX$65,,$AI517), INDEX($AY$61:$BE$65,,$AH517), 1 / ($BF$61:$BF$65*CC517 + (1-$BF$61:$BF$65)*BY517), N($AU$61:$AU$65&gt;$AM517)),
SUMPRODUCT(INDEX($AV$46:$AX$55,,$AI517), INDEX($AY$46:$BE$55,,$AH517), 1 / ($BG$46:$BG$55*CC517 + (1-$BG$46:$BG$55)*BY517), N($AU$46:$AU$55&gt;$AM517))
) / 1000</f>
        <v>0</v>
      </c>
      <c r="CE517" s="234" cm="1">
        <f t="array" ref="CE517">$BM517 * IF($AH517&lt;=2,
SUMPRODUCT(INDEX($AV$22:$AX$60,,$AI517), INDEX($AY$22:$BE$60,,$AH517), 1 / ($BF$22:$BF$60*CC517), N($AU$22:$AU$60&gt;$AM517)),
SUMPRODUCT(INDEX($AV$22:$AX$45,,$AI517), INDEX($AY$22:$BE$45,,$AH517), 1 / ($BG$22:$BG$45*CC517), N($AU$22:$AU$45&gt;$AM517))
) / 1000</f>
        <v>0</v>
      </c>
      <c r="CF517" s="229">
        <f t="shared" si="684"/>
        <v>0</v>
      </c>
      <c r="CG517" s="246"/>
      <c r="CH517" s="229">
        <f t="shared" si="685"/>
        <v>0</v>
      </c>
      <c r="CI517" s="228">
        <v>35</v>
      </c>
      <c r="CJ517" s="229">
        <f t="shared" si="686"/>
        <v>48</v>
      </c>
      <c r="CK517" s="234">
        <f t="shared" si="687"/>
        <v>3.0748170731707316</v>
      </c>
      <c r="CL517" s="234" cm="1">
        <f t="array" ref="CL517">$BM517 * SUMPRODUCT(INDEX($AV$76:$AX$81,,$AI517),INDEX($AY$76:$BE$81,,$AH517), N($AU$76:$AU$81&gt;$AM517)) / CK517 / 1000</f>
        <v>0</v>
      </c>
      <c r="CM517" s="231">
        <f t="shared" si="667"/>
        <v>30</v>
      </c>
      <c r="CN517" s="229">
        <f t="shared" si="688"/>
        <v>43</v>
      </c>
      <c r="CO517" s="234">
        <f t="shared" si="689"/>
        <v>3.5018750000000001</v>
      </c>
      <c r="CP517" s="234" cm="1">
        <f t="array" ref="CP517">$BM517 * IF($AH517&lt;=2,
SUMPRODUCT(INDEX($AV$71:$AX$75,,$AI517), INDEX($AY$71:$BE$75,,$AH517), 1 / ($BF$71:$BF$75*CO517 + (1-$BF$71:$BF$75)*CK517), N($AU$71:$AU$75&gt;$AM517)),
SUMPRODUCT(INDEX($AV$66:$AX$75,,$AI517), INDEX($AY$66:$BE$75,,$AH517), 1 / ($BG$66:$BG$75*CO517 + (1-$BG$66:$BG$75)*CK517), N($AU$66:$AU$75&gt;$AM517))
) / 1000</f>
        <v>0</v>
      </c>
      <c r="CQ517" s="231">
        <f t="shared" si="668"/>
        <v>25</v>
      </c>
      <c r="CR517" s="229">
        <f t="shared" si="690"/>
        <v>38</v>
      </c>
      <c r="CS517" s="234">
        <f t="shared" si="691"/>
        <v>4.0666935483870965</v>
      </c>
      <c r="CT517" s="234" cm="1">
        <f t="array" ref="CT517">$BM517 * IF($AH517&lt;=2,
SUMPRODUCT(INDEX($AV$66:$AX$70,,$AI517), INDEX($AY$66:$BE$70,,$AH517), 1 / ($BF$66:$BF$70*CS517 + (1-$BF$66:$BF$70)*CO517), N($AU$66:$AU$70&gt;$AM517)),
SUMPRODUCT(INDEX($AV$56:$AX$65,,$AI517), INDEX($AY$56:$BE$65,,$AH517), 1 / ($BG$56:$BG$65*CS517 + (1-$BG$56:$BG$65)*CO517), N($AU$56:$AU$65&gt;$AM517))
) / 1000</f>
        <v>0</v>
      </c>
      <c r="CU517" s="231">
        <f t="shared" si="669"/>
        <v>20</v>
      </c>
      <c r="CV517" s="229">
        <f t="shared" si="692"/>
        <v>33</v>
      </c>
      <c r="CW517" s="234">
        <f t="shared" si="693"/>
        <v>4.8487499999999999</v>
      </c>
      <c r="CX517" s="234" cm="1">
        <f t="array" ref="CX517">$BM517 * IF($AH517&lt;=2,
SUMPRODUCT(INDEX($AV$61:$AX$65,,$AI517), INDEX($AY$61:$BE$65,,$AH517), 1 / ($BF$61:$BF$65*CW517 + (1-$BF$61:$BF$65)*CS517), N($AU$61:$AU$65&gt;$AM517)),
SUMPRODUCT(INDEX($AV$46:$AX$55,,$AI517), INDEX($AY$46:$BE$55,,$AH517), 1 / ($BG$46:$BG$55*CW517 + (1-$BG$46:$BG$55)*CS517), N($AU$46:$AU$55&gt;$AM517))
) / 1000</f>
        <v>0</v>
      </c>
      <c r="CY517" s="234" cm="1">
        <f t="array" ref="CY517">$BM517 * IF($AH517&lt;=2,
SUMPRODUCT(INDEX($AV$22:$AX$60,,$AI517), INDEX($AY$22:$BE$60,,$AH517), 1 / ($BF$22:$BF$60*CW517), N($AU$22:$AU$60&gt;$AM517)),
SUMPRODUCT(INDEX($AV$22:$AX$45,,$AI517), INDEX($AY$22:$BE$45,,$AH517), 1 / ($BG$22:$BG$45*CW517), N($AU$22:$AU$45&gt;$AM517))
) / 1000</f>
        <v>0</v>
      </c>
      <c r="CZ517" s="229">
        <f t="shared" si="694"/>
        <v>0</v>
      </c>
      <c r="DA517" s="246"/>
    </row>
    <row r="518" spans="1:105" s="75" customFormat="1" ht="14.25" customHeight="1" x14ac:dyDescent="0.2">
      <c r="A518" s="230" t="b">
        <f t="shared" si="661"/>
        <v>0</v>
      </c>
      <c r="B518" s="253">
        <v>497</v>
      </c>
      <c r="C518" s="266"/>
      <c r="D518" s="266"/>
      <c r="E518" s="254"/>
      <c r="F518" s="255" t="str">
        <f>IF(ISBLANK(E518), "", VLOOKUP(E518, Z!$A$2:$C$4127, 3, FALSE))</f>
        <v/>
      </c>
      <c r="G518" s="256"/>
      <c r="H518" s="256"/>
      <c r="I518" s="256"/>
      <c r="J518" s="257"/>
      <c r="K518" s="258"/>
      <c r="L518" s="267"/>
      <c r="M518" s="268"/>
      <c r="N518" s="259" t="str" cm="1">
        <f t="array" ref="N518">IF($L518&gt;0, INDEX(Clean,1+AK518,$D$1), "")</f>
        <v/>
      </c>
      <c r="O518" s="260"/>
      <c r="P518" s="260"/>
      <c r="Q518" s="261"/>
      <c r="R518" s="264">
        <f t="shared" si="670"/>
        <v>0</v>
      </c>
      <c r="S518" s="259" t="str" cm="1">
        <f t="array" ref="S518">IF($L518&gt;0, INDEX(Clean,1+AL518,$D$1), "")</f>
        <v/>
      </c>
      <c r="T518" s="260"/>
      <c r="U518" s="260"/>
      <c r="V518" s="261"/>
      <c r="W518" s="267"/>
      <c r="X518" s="267"/>
      <c r="Y518" s="257"/>
      <c r="Z518" s="264">
        <f t="shared" si="671"/>
        <v>0</v>
      </c>
      <c r="AA518" s="269"/>
      <c r="AB518" s="266"/>
      <c r="AC518" s="254"/>
      <c r="AD518" s="255" t="str">
        <f>IF(ISBLANK(AC518), "", VLOOKUP(AC518, Z!$A$2:$C$4127, 3, FALSE))</f>
        <v/>
      </c>
      <c r="AE518" s="270"/>
      <c r="AF518" s="265">
        <f t="shared" si="672"/>
        <v>0</v>
      </c>
      <c r="AG518" s="246"/>
      <c r="AH518" s="228">
        <f t="shared" si="695"/>
        <v>1</v>
      </c>
      <c r="AI518" s="228">
        <f t="shared" si="696"/>
        <v>1</v>
      </c>
      <c r="AJ518" s="228">
        <f t="shared" si="697"/>
        <v>0</v>
      </c>
      <c r="AK518" s="228">
        <v>0</v>
      </c>
      <c r="AL518" s="228">
        <v>0</v>
      </c>
      <c r="AM518" s="228">
        <f t="shared" si="673"/>
        <v>-100</v>
      </c>
      <c r="AN518" s="228" cm="1">
        <f t="array" ref="AN518">IF(ISBLANK(G518), 1, IFERROR(MATCH(G518, INDEX(Kat,,1), 0), IFERROR(MATCH(Kat, INDEX(Use,,2), 0), MATCH(Kat, INDEX(Use,,3), 0))))</f>
        <v>1</v>
      </c>
      <c r="AO518" s="246"/>
      <c r="AP518" s="228" cm="1">
        <f t="array" ref="AP518">IF(W518&gt;0, INDEX(Kat, AN518,4), 0)</f>
        <v>0</v>
      </c>
      <c r="AQ518" s="228">
        <f t="shared" si="698"/>
        <v>0</v>
      </c>
      <c r="AR518" s="228" cm="1">
        <f t="array" ref="AR518">IF(X518&gt;0, INDEX(Kat, $AN518, 4+AQ518), 0)</f>
        <v>0</v>
      </c>
      <c r="AS518" s="228" cm="1">
        <f t="array" ref="AS518">IF(X518&gt;0, INDEX(Kat, $AN518, 9+AQ518), 0)</f>
        <v>0</v>
      </c>
      <c r="AT518" s="246"/>
      <c r="AU518" s="262"/>
      <c r="AV518" s="262"/>
      <c r="AW518" s="263"/>
      <c r="AX518" s="263"/>
      <c r="AY518" s="263"/>
      <c r="AZ518" s="263"/>
      <c r="BA518" s="263"/>
      <c r="BB518" s="263"/>
      <c r="BC518" s="263"/>
      <c r="BD518" s="263"/>
      <c r="BE518" s="263"/>
      <c r="BF518" s="263"/>
      <c r="BG518" s="263"/>
      <c r="BH518" s="246"/>
      <c r="BI518" s="228" cm="1">
        <f t="array" ref="BI518">INDEX(Use, $AH518, 4)</f>
        <v>7</v>
      </c>
      <c r="BJ518" s="228">
        <f t="shared" si="674"/>
        <v>32</v>
      </c>
      <c r="BK518" s="228">
        <f t="shared" si="662"/>
        <v>13</v>
      </c>
      <c r="BL518" s="228">
        <f t="shared" si="663"/>
        <v>0</v>
      </c>
      <c r="BM518" s="233" cm="1">
        <f t="array" ref="BM518">L518/IF($M518&gt;0, INDEX($AY$22:$BE$76, $M518+20, $AH518), 1)</f>
        <v>0</v>
      </c>
      <c r="BN518" s="229">
        <f t="shared" si="675"/>
        <v>0</v>
      </c>
      <c r="BO518" s="228">
        <v>35</v>
      </c>
      <c r="BP518" s="229">
        <f t="shared" si="676"/>
        <v>48</v>
      </c>
      <c r="BQ518" s="234">
        <f t="shared" si="677"/>
        <v>3.0748170731707316</v>
      </c>
      <c r="BR518" s="234" cm="1">
        <f t="array" ref="BR518">$BM518 * SUMPRODUCT(INDEX($AV$76:$AX$81,,$AI518),INDEX($AY$76:$BE$81,,$AH518), N($AU$76:$AU$81&gt;$AM518)) / BQ518 / 1000</f>
        <v>0</v>
      </c>
      <c r="BS518" s="231">
        <f t="shared" si="664"/>
        <v>30</v>
      </c>
      <c r="BT518" s="229">
        <f t="shared" si="678"/>
        <v>43</v>
      </c>
      <c r="BU518" s="234">
        <f t="shared" si="679"/>
        <v>3.5018750000000001</v>
      </c>
      <c r="BV518" s="234" cm="1">
        <f t="array" ref="BV518">$BM518 * IF($AH518&lt;=2,
SUMPRODUCT(INDEX($AV$71:$AX$75,,$AI518), INDEX($AY$71:$BE$75,,$AH518), 1 / ($BF$71:$BF$75*BU518 + (1-$BF$71:$BF$75)*BQ518), N($AU$71:$AU$75&gt;$AM518)),
SUMPRODUCT(INDEX($AV$66:$AX$75,,$AI518), INDEX($AY$66:$BE$75,,$AH518), 1 / ($BG$66:$BG$75*BU518 + (1-$BG$66:$BG$75)*BQ518), N($AU$66:$AU$75&gt;$AM518))
) / 1000</f>
        <v>0</v>
      </c>
      <c r="BW518" s="231">
        <f t="shared" si="665"/>
        <v>25</v>
      </c>
      <c r="BX518" s="229">
        <f t="shared" si="680"/>
        <v>38</v>
      </c>
      <c r="BY518" s="234">
        <f t="shared" si="681"/>
        <v>4.0666935483870965</v>
      </c>
      <c r="BZ518" s="234" cm="1">
        <f t="array" ref="BZ518">$BM518 * IF($AH518&lt;=2,
SUMPRODUCT(INDEX($AV$66:$AX$70,,$AI518), INDEX($AY$66:$BE$70,,$AH518), 1 / ($BF$66:$BF$70*BY518 + (1-$BF$66:$BF$70)*BU518), N($AU$66:$AU$70&gt;$AM518)),
SUMPRODUCT(INDEX($AV$56:$AX$65,,$AI518), INDEX($AY$56:$BE$65,,$AH518), 1 / ($BG$56:$BG$65*BY518 + (1-$BG$56:$BG$65)*BU518), N($AU$56:$AU$65&gt;$AM518))
) / 1000</f>
        <v>0</v>
      </c>
      <c r="CA518" s="231">
        <f t="shared" si="666"/>
        <v>20</v>
      </c>
      <c r="CB518" s="229">
        <f t="shared" si="682"/>
        <v>33</v>
      </c>
      <c r="CC518" s="234">
        <f t="shared" si="683"/>
        <v>4.8487499999999999</v>
      </c>
      <c r="CD518" s="234" cm="1">
        <f t="array" ref="CD518">$BM518 * IF($AH518&lt;=2,
SUMPRODUCT(INDEX($AV$61:$AX$65,,$AI518), INDEX($AY$61:$BE$65,,$AH518), 1 / ($BF$61:$BF$65*CC518 + (1-$BF$61:$BF$65)*BY518), N($AU$61:$AU$65&gt;$AM518)),
SUMPRODUCT(INDEX($AV$46:$AX$55,,$AI518), INDEX($AY$46:$BE$55,,$AH518), 1 / ($BG$46:$BG$55*CC518 + (1-$BG$46:$BG$55)*BY518), N($AU$46:$AU$55&gt;$AM518))
) / 1000</f>
        <v>0</v>
      </c>
      <c r="CE518" s="234" cm="1">
        <f t="array" ref="CE518">$BM518 * IF($AH518&lt;=2,
SUMPRODUCT(INDEX($AV$22:$AX$60,,$AI518), INDEX($AY$22:$BE$60,,$AH518), 1 / ($BF$22:$BF$60*CC518), N($AU$22:$AU$60&gt;$AM518)),
SUMPRODUCT(INDEX($AV$22:$AX$45,,$AI518), INDEX($AY$22:$BE$45,,$AH518), 1 / ($BG$22:$BG$45*CC518), N($AU$22:$AU$45&gt;$AM518))
) / 1000</f>
        <v>0</v>
      </c>
      <c r="CF518" s="229">
        <f t="shared" si="684"/>
        <v>0</v>
      </c>
      <c r="CG518" s="246"/>
      <c r="CH518" s="229">
        <f t="shared" si="685"/>
        <v>0</v>
      </c>
      <c r="CI518" s="228">
        <v>35</v>
      </c>
      <c r="CJ518" s="229">
        <f t="shared" si="686"/>
        <v>48</v>
      </c>
      <c r="CK518" s="234">
        <f t="shared" si="687"/>
        <v>3.0748170731707316</v>
      </c>
      <c r="CL518" s="234" cm="1">
        <f t="array" ref="CL518">$BM518 * SUMPRODUCT(INDEX($AV$76:$AX$81,,$AI518),INDEX($AY$76:$BE$81,,$AH518), N($AU$76:$AU$81&gt;$AM518)) / CK518 / 1000</f>
        <v>0</v>
      </c>
      <c r="CM518" s="231">
        <f t="shared" si="667"/>
        <v>30</v>
      </c>
      <c r="CN518" s="229">
        <f t="shared" si="688"/>
        <v>43</v>
      </c>
      <c r="CO518" s="234">
        <f t="shared" si="689"/>
        <v>3.5018750000000001</v>
      </c>
      <c r="CP518" s="234" cm="1">
        <f t="array" ref="CP518">$BM518 * IF($AH518&lt;=2,
SUMPRODUCT(INDEX($AV$71:$AX$75,,$AI518), INDEX($AY$71:$BE$75,,$AH518), 1 / ($BF$71:$BF$75*CO518 + (1-$BF$71:$BF$75)*CK518), N($AU$71:$AU$75&gt;$AM518)),
SUMPRODUCT(INDEX($AV$66:$AX$75,,$AI518), INDEX($AY$66:$BE$75,,$AH518), 1 / ($BG$66:$BG$75*CO518 + (1-$BG$66:$BG$75)*CK518), N($AU$66:$AU$75&gt;$AM518))
) / 1000</f>
        <v>0</v>
      </c>
      <c r="CQ518" s="231">
        <f t="shared" si="668"/>
        <v>25</v>
      </c>
      <c r="CR518" s="229">
        <f t="shared" si="690"/>
        <v>38</v>
      </c>
      <c r="CS518" s="234">
        <f t="shared" si="691"/>
        <v>4.0666935483870965</v>
      </c>
      <c r="CT518" s="234" cm="1">
        <f t="array" ref="CT518">$BM518 * IF($AH518&lt;=2,
SUMPRODUCT(INDEX($AV$66:$AX$70,,$AI518), INDEX($AY$66:$BE$70,,$AH518), 1 / ($BF$66:$BF$70*CS518 + (1-$BF$66:$BF$70)*CO518), N($AU$66:$AU$70&gt;$AM518)),
SUMPRODUCT(INDEX($AV$56:$AX$65,,$AI518), INDEX($AY$56:$BE$65,,$AH518), 1 / ($BG$56:$BG$65*CS518 + (1-$BG$56:$BG$65)*CO518), N($AU$56:$AU$65&gt;$AM518))
) / 1000</f>
        <v>0</v>
      </c>
      <c r="CU518" s="231">
        <f t="shared" si="669"/>
        <v>20</v>
      </c>
      <c r="CV518" s="229">
        <f t="shared" si="692"/>
        <v>33</v>
      </c>
      <c r="CW518" s="234">
        <f t="shared" si="693"/>
        <v>4.8487499999999999</v>
      </c>
      <c r="CX518" s="234" cm="1">
        <f t="array" ref="CX518">$BM518 * IF($AH518&lt;=2,
SUMPRODUCT(INDEX($AV$61:$AX$65,,$AI518), INDEX($AY$61:$BE$65,,$AH518), 1 / ($BF$61:$BF$65*CW518 + (1-$BF$61:$BF$65)*CS518), N($AU$61:$AU$65&gt;$AM518)),
SUMPRODUCT(INDEX($AV$46:$AX$55,,$AI518), INDEX($AY$46:$BE$55,,$AH518), 1 / ($BG$46:$BG$55*CW518 + (1-$BG$46:$BG$55)*CS518), N($AU$46:$AU$55&gt;$AM518))
) / 1000</f>
        <v>0</v>
      </c>
      <c r="CY518" s="234" cm="1">
        <f t="array" ref="CY518">$BM518 * IF($AH518&lt;=2,
SUMPRODUCT(INDEX($AV$22:$AX$60,,$AI518), INDEX($AY$22:$BE$60,,$AH518), 1 / ($BF$22:$BF$60*CW518), N($AU$22:$AU$60&gt;$AM518)),
SUMPRODUCT(INDEX($AV$22:$AX$45,,$AI518), INDEX($AY$22:$BE$45,,$AH518), 1 / ($BG$22:$BG$45*CW518), N($AU$22:$AU$45&gt;$AM518))
) / 1000</f>
        <v>0</v>
      </c>
      <c r="CZ518" s="229">
        <f t="shared" si="694"/>
        <v>0</v>
      </c>
      <c r="DA518" s="246"/>
    </row>
    <row r="519" spans="1:105" s="75" customFormat="1" ht="14.25" customHeight="1" x14ac:dyDescent="0.2">
      <c r="A519" s="230" t="b">
        <f t="shared" si="661"/>
        <v>0</v>
      </c>
      <c r="B519" s="253">
        <v>498</v>
      </c>
      <c r="C519" s="266"/>
      <c r="D519" s="266"/>
      <c r="E519" s="254"/>
      <c r="F519" s="255" t="str">
        <f>IF(ISBLANK(E519), "", VLOOKUP(E519, Z!$A$2:$C$4127, 3, FALSE))</f>
        <v/>
      </c>
      <c r="G519" s="256"/>
      <c r="H519" s="256"/>
      <c r="I519" s="256"/>
      <c r="J519" s="257"/>
      <c r="K519" s="258"/>
      <c r="L519" s="267"/>
      <c r="M519" s="268"/>
      <c r="N519" s="259" t="str" cm="1">
        <f t="array" ref="N519">IF($L519&gt;0, INDEX(Clean,1+AK519,$D$1), "")</f>
        <v/>
      </c>
      <c r="O519" s="260"/>
      <c r="P519" s="260"/>
      <c r="Q519" s="261"/>
      <c r="R519" s="264">
        <f t="shared" si="670"/>
        <v>0</v>
      </c>
      <c r="S519" s="259" t="str" cm="1">
        <f t="array" ref="S519">IF($L519&gt;0, INDEX(Clean,1+AL519,$D$1), "")</f>
        <v/>
      </c>
      <c r="T519" s="260"/>
      <c r="U519" s="260"/>
      <c r="V519" s="261"/>
      <c r="W519" s="267"/>
      <c r="X519" s="267"/>
      <c r="Y519" s="257"/>
      <c r="Z519" s="264">
        <f t="shared" si="671"/>
        <v>0</v>
      </c>
      <c r="AA519" s="269"/>
      <c r="AB519" s="266"/>
      <c r="AC519" s="254"/>
      <c r="AD519" s="255" t="str">
        <f>IF(ISBLANK(AC519), "", VLOOKUP(AC519, Z!$A$2:$C$4127, 3, FALSE))</f>
        <v/>
      </c>
      <c r="AE519" s="270"/>
      <c r="AF519" s="265">
        <f t="shared" si="672"/>
        <v>0</v>
      </c>
      <c r="AG519" s="246"/>
      <c r="AH519" s="228">
        <f t="shared" si="695"/>
        <v>1</v>
      </c>
      <c r="AI519" s="228">
        <f t="shared" si="696"/>
        <v>1</v>
      </c>
      <c r="AJ519" s="228">
        <f t="shared" si="697"/>
        <v>0</v>
      </c>
      <c r="AK519" s="228">
        <v>0</v>
      </c>
      <c r="AL519" s="228">
        <v>0</v>
      </c>
      <c r="AM519" s="228">
        <f t="shared" si="673"/>
        <v>-100</v>
      </c>
      <c r="AN519" s="228" cm="1">
        <f t="array" ref="AN519">IF(ISBLANK(G519), 1, IFERROR(MATCH(G519, INDEX(Kat,,1), 0), IFERROR(MATCH(Kat, INDEX(Use,,2), 0), MATCH(Kat, INDEX(Use,,3), 0))))</f>
        <v>1</v>
      </c>
      <c r="AO519" s="246"/>
      <c r="AP519" s="228" cm="1">
        <f t="array" ref="AP519">IF(W519&gt;0, INDEX(Kat, AN519,4), 0)</f>
        <v>0</v>
      </c>
      <c r="AQ519" s="228">
        <f t="shared" si="698"/>
        <v>0</v>
      </c>
      <c r="AR519" s="228" cm="1">
        <f t="array" ref="AR519">IF(X519&gt;0, INDEX(Kat, $AN519, 4+AQ519), 0)</f>
        <v>0</v>
      </c>
      <c r="AS519" s="228" cm="1">
        <f t="array" ref="AS519">IF(X519&gt;0, INDEX(Kat, $AN519, 9+AQ519), 0)</f>
        <v>0</v>
      </c>
      <c r="AT519" s="246"/>
      <c r="AU519" s="262"/>
      <c r="AV519" s="262"/>
      <c r="AW519" s="263"/>
      <c r="AX519" s="263"/>
      <c r="AY519" s="263"/>
      <c r="AZ519" s="263"/>
      <c r="BA519" s="263"/>
      <c r="BB519" s="263"/>
      <c r="BC519" s="263"/>
      <c r="BD519" s="263"/>
      <c r="BE519" s="263"/>
      <c r="BF519" s="263"/>
      <c r="BG519" s="263"/>
      <c r="BH519" s="246"/>
      <c r="BI519" s="228" cm="1">
        <f t="array" ref="BI519">INDEX(Use, $AH519, 4)</f>
        <v>7</v>
      </c>
      <c r="BJ519" s="228">
        <f t="shared" si="674"/>
        <v>32</v>
      </c>
      <c r="BK519" s="228">
        <f t="shared" si="662"/>
        <v>13</v>
      </c>
      <c r="BL519" s="228">
        <f t="shared" si="663"/>
        <v>0</v>
      </c>
      <c r="BM519" s="233" cm="1">
        <f t="array" ref="BM519">L519/IF($M519&gt;0, INDEX($AY$22:$BE$76, $M519+20, $AH519), 1)</f>
        <v>0</v>
      </c>
      <c r="BN519" s="229">
        <f t="shared" si="675"/>
        <v>0</v>
      </c>
      <c r="BO519" s="228">
        <v>35</v>
      </c>
      <c r="BP519" s="229">
        <f t="shared" si="676"/>
        <v>48</v>
      </c>
      <c r="BQ519" s="234">
        <f t="shared" si="677"/>
        <v>3.0748170731707316</v>
      </c>
      <c r="BR519" s="234" cm="1">
        <f t="array" ref="BR519">$BM519 * SUMPRODUCT(INDEX($AV$76:$AX$81,,$AI519),INDEX($AY$76:$BE$81,,$AH519), N($AU$76:$AU$81&gt;$AM519)) / BQ519 / 1000</f>
        <v>0</v>
      </c>
      <c r="BS519" s="231">
        <f t="shared" si="664"/>
        <v>30</v>
      </c>
      <c r="BT519" s="229">
        <f t="shared" si="678"/>
        <v>43</v>
      </c>
      <c r="BU519" s="234">
        <f t="shared" si="679"/>
        <v>3.5018750000000001</v>
      </c>
      <c r="BV519" s="234" cm="1">
        <f t="array" ref="BV519">$BM519 * IF($AH519&lt;=2,
SUMPRODUCT(INDEX($AV$71:$AX$75,,$AI519), INDEX($AY$71:$BE$75,,$AH519), 1 / ($BF$71:$BF$75*BU519 + (1-$BF$71:$BF$75)*BQ519), N($AU$71:$AU$75&gt;$AM519)),
SUMPRODUCT(INDEX($AV$66:$AX$75,,$AI519), INDEX($AY$66:$BE$75,,$AH519), 1 / ($BG$66:$BG$75*BU519 + (1-$BG$66:$BG$75)*BQ519), N($AU$66:$AU$75&gt;$AM519))
) / 1000</f>
        <v>0</v>
      </c>
      <c r="BW519" s="231">
        <f t="shared" si="665"/>
        <v>25</v>
      </c>
      <c r="BX519" s="229">
        <f t="shared" si="680"/>
        <v>38</v>
      </c>
      <c r="BY519" s="234">
        <f t="shared" si="681"/>
        <v>4.0666935483870965</v>
      </c>
      <c r="BZ519" s="234" cm="1">
        <f t="array" ref="BZ519">$BM519 * IF($AH519&lt;=2,
SUMPRODUCT(INDEX($AV$66:$AX$70,,$AI519), INDEX($AY$66:$BE$70,,$AH519), 1 / ($BF$66:$BF$70*BY519 + (1-$BF$66:$BF$70)*BU519), N($AU$66:$AU$70&gt;$AM519)),
SUMPRODUCT(INDEX($AV$56:$AX$65,,$AI519), INDEX($AY$56:$BE$65,,$AH519), 1 / ($BG$56:$BG$65*BY519 + (1-$BG$56:$BG$65)*BU519), N($AU$56:$AU$65&gt;$AM519))
) / 1000</f>
        <v>0</v>
      </c>
      <c r="CA519" s="231">
        <f t="shared" si="666"/>
        <v>20</v>
      </c>
      <c r="CB519" s="229">
        <f t="shared" si="682"/>
        <v>33</v>
      </c>
      <c r="CC519" s="234">
        <f t="shared" si="683"/>
        <v>4.8487499999999999</v>
      </c>
      <c r="CD519" s="234" cm="1">
        <f t="array" ref="CD519">$BM519 * IF($AH519&lt;=2,
SUMPRODUCT(INDEX($AV$61:$AX$65,,$AI519), INDEX($AY$61:$BE$65,,$AH519), 1 / ($BF$61:$BF$65*CC519 + (1-$BF$61:$BF$65)*BY519), N($AU$61:$AU$65&gt;$AM519)),
SUMPRODUCT(INDEX($AV$46:$AX$55,,$AI519), INDEX($AY$46:$BE$55,,$AH519), 1 / ($BG$46:$BG$55*CC519 + (1-$BG$46:$BG$55)*BY519), N($AU$46:$AU$55&gt;$AM519))
) / 1000</f>
        <v>0</v>
      </c>
      <c r="CE519" s="234" cm="1">
        <f t="array" ref="CE519">$BM519 * IF($AH519&lt;=2,
SUMPRODUCT(INDEX($AV$22:$AX$60,,$AI519), INDEX($AY$22:$BE$60,,$AH519), 1 / ($BF$22:$BF$60*CC519), N($AU$22:$AU$60&gt;$AM519)),
SUMPRODUCT(INDEX($AV$22:$AX$45,,$AI519), INDEX($AY$22:$BE$45,,$AH519), 1 / ($BG$22:$BG$45*CC519), N($AU$22:$AU$45&gt;$AM519))
) / 1000</f>
        <v>0</v>
      </c>
      <c r="CF519" s="229">
        <f t="shared" si="684"/>
        <v>0</v>
      </c>
      <c r="CG519" s="246"/>
      <c r="CH519" s="229">
        <f t="shared" si="685"/>
        <v>0</v>
      </c>
      <c r="CI519" s="228">
        <v>35</v>
      </c>
      <c r="CJ519" s="229">
        <f t="shared" si="686"/>
        <v>48</v>
      </c>
      <c r="CK519" s="234">
        <f t="shared" si="687"/>
        <v>3.0748170731707316</v>
      </c>
      <c r="CL519" s="234" cm="1">
        <f t="array" ref="CL519">$BM519 * SUMPRODUCT(INDEX($AV$76:$AX$81,,$AI519),INDEX($AY$76:$BE$81,,$AH519), N($AU$76:$AU$81&gt;$AM519)) / CK519 / 1000</f>
        <v>0</v>
      </c>
      <c r="CM519" s="231">
        <f t="shared" si="667"/>
        <v>30</v>
      </c>
      <c r="CN519" s="229">
        <f t="shared" si="688"/>
        <v>43</v>
      </c>
      <c r="CO519" s="234">
        <f t="shared" si="689"/>
        <v>3.5018750000000001</v>
      </c>
      <c r="CP519" s="234" cm="1">
        <f t="array" ref="CP519">$BM519 * IF($AH519&lt;=2,
SUMPRODUCT(INDEX($AV$71:$AX$75,,$AI519), INDEX($AY$71:$BE$75,,$AH519), 1 / ($BF$71:$BF$75*CO519 + (1-$BF$71:$BF$75)*CK519), N($AU$71:$AU$75&gt;$AM519)),
SUMPRODUCT(INDEX($AV$66:$AX$75,,$AI519), INDEX($AY$66:$BE$75,,$AH519), 1 / ($BG$66:$BG$75*CO519 + (1-$BG$66:$BG$75)*CK519), N($AU$66:$AU$75&gt;$AM519))
) / 1000</f>
        <v>0</v>
      </c>
      <c r="CQ519" s="231">
        <f t="shared" si="668"/>
        <v>25</v>
      </c>
      <c r="CR519" s="229">
        <f t="shared" si="690"/>
        <v>38</v>
      </c>
      <c r="CS519" s="234">
        <f t="shared" si="691"/>
        <v>4.0666935483870965</v>
      </c>
      <c r="CT519" s="234" cm="1">
        <f t="array" ref="CT519">$BM519 * IF($AH519&lt;=2,
SUMPRODUCT(INDEX($AV$66:$AX$70,,$AI519), INDEX($AY$66:$BE$70,,$AH519), 1 / ($BF$66:$BF$70*CS519 + (1-$BF$66:$BF$70)*CO519), N($AU$66:$AU$70&gt;$AM519)),
SUMPRODUCT(INDEX($AV$56:$AX$65,,$AI519), INDEX($AY$56:$BE$65,,$AH519), 1 / ($BG$56:$BG$65*CS519 + (1-$BG$56:$BG$65)*CO519), N($AU$56:$AU$65&gt;$AM519))
) / 1000</f>
        <v>0</v>
      </c>
      <c r="CU519" s="231">
        <f t="shared" si="669"/>
        <v>20</v>
      </c>
      <c r="CV519" s="229">
        <f t="shared" si="692"/>
        <v>33</v>
      </c>
      <c r="CW519" s="234">
        <f t="shared" si="693"/>
        <v>4.8487499999999999</v>
      </c>
      <c r="CX519" s="234" cm="1">
        <f t="array" ref="CX519">$BM519 * IF($AH519&lt;=2,
SUMPRODUCT(INDEX($AV$61:$AX$65,,$AI519), INDEX($AY$61:$BE$65,,$AH519), 1 / ($BF$61:$BF$65*CW519 + (1-$BF$61:$BF$65)*CS519), N($AU$61:$AU$65&gt;$AM519)),
SUMPRODUCT(INDEX($AV$46:$AX$55,,$AI519), INDEX($AY$46:$BE$55,,$AH519), 1 / ($BG$46:$BG$55*CW519 + (1-$BG$46:$BG$55)*CS519), N($AU$46:$AU$55&gt;$AM519))
) / 1000</f>
        <v>0</v>
      </c>
      <c r="CY519" s="234" cm="1">
        <f t="array" ref="CY519">$BM519 * IF($AH519&lt;=2,
SUMPRODUCT(INDEX($AV$22:$AX$60,,$AI519), INDEX($AY$22:$BE$60,,$AH519), 1 / ($BF$22:$BF$60*CW519), N($AU$22:$AU$60&gt;$AM519)),
SUMPRODUCT(INDEX($AV$22:$AX$45,,$AI519), INDEX($AY$22:$BE$45,,$AH519), 1 / ($BG$22:$BG$45*CW519), N($AU$22:$AU$45&gt;$AM519))
) / 1000</f>
        <v>0</v>
      </c>
      <c r="CZ519" s="229">
        <f t="shared" si="694"/>
        <v>0</v>
      </c>
      <c r="DA519" s="246"/>
    </row>
    <row r="520" spans="1:105" s="75" customFormat="1" ht="14.25" customHeight="1" x14ac:dyDescent="0.2">
      <c r="A520" s="230" t="b">
        <f t="shared" si="661"/>
        <v>0</v>
      </c>
      <c r="B520" s="253">
        <v>499</v>
      </c>
      <c r="C520" s="266"/>
      <c r="D520" s="266"/>
      <c r="E520" s="254"/>
      <c r="F520" s="255" t="str">
        <f>IF(ISBLANK(E520), "", VLOOKUP(E520, Z!$A$2:$C$4127, 3, FALSE))</f>
        <v/>
      </c>
      <c r="G520" s="256"/>
      <c r="H520" s="256"/>
      <c r="I520" s="256"/>
      <c r="J520" s="257"/>
      <c r="K520" s="258"/>
      <c r="L520" s="267"/>
      <c r="M520" s="268"/>
      <c r="N520" s="259" t="str" cm="1">
        <f t="array" ref="N520">IF($L520&gt;0, INDEX(Clean,1+AK520,$D$1), "")</f>
        <v/>
      </c>
      <c r="O520" s="260"/>
      <c r="P520" s="260"/>
      <c r="Q520" s="261"/>
      <c r="R520" s="264">
        <f t="shared" si="670"/>
        <v>0</v>
      </c>
      <c r="S520" s="259" t="str" cm="1">
        <f t="array" ref="S520">IF($L520&gt;0, INDEX(Clean,1+AL520,$D$1), "")</f>
        <v/>
      </c>
      <c r="T520" s="260"/>
      <c r="U520" s="260"/>
      <c r="V520" s="261"/>
      <c r="W520" s="267"/>
      <c r="X520" s="267"/>
      <c r="Y520" s="257"/>
      <c r="Z520" s="264">
        <f t="shared" si="671"/>
        <v>0</v>
      </c>
      <c r="AA520" s="269"/>
      <c r="AB520" s="266"/>
      <c r="AC520" s="254"/>
      <c r="AD520" s="255" t="str">
        <f>IF(ISBLANK(AC520), "", VLOOKUP(AC520, Z!$A$2:$C$4127, 3, FALSE))</f>
        <v/>
      </c>
      <c r="AE520" s="270"/>
      <c r="AF520" s="265">
        <f t="shared" si="672"/>
        <v>0</v>
      </c>
      <c r="AG520" s="246"/>
      <c r="AH520" s="228">
        <f t="shared" si="695"/>
        <v>1</v>
      </c>
      <c r="AI520" s="228">
        <f t="shared" si="696"/>
        <v>1</v>
      </c>
      <c r="AJ520" s="228">
        <f t="shared" si="697"/>
        <v>0</v>
      </c>
      <c r="AK520" s="228">
        <v>0</v>
      </c>
      <c r="AL520" s="228">
        <v>0</v>
      </c>
      <c r="AM520" s="228">
        <f t="shared" si="673"/>
        <v>-100</v>
      </c>
      <c r="AN520" s="228" cm="1">
        <f t="array" ref="AN520">IF(ISBLANK(G520), 1, IFERROR(MATCH(G520, INDEX(Kat,,1), 0), IFERROR(MATCH(Kat, INDEX(Use,,2), 0), MATCH(Kat, INDEX(Use,,3), 0))))</f>
        <v>1</v>
      </c>
      <c r="AO520" s="246"/>
      <c r="AP520" s="228" cm="1">
        <f t="array" ref="AP520">IF(W520&gt;0, INDEX(Kat, AN520,4), 0)</f>
        <v>0</v>
      </c>
      <c r="AQ520" s="228">
        <f t="shared" si="698"/>
        <v>0</v>
      </c>
      <c r="AR520" s="228" cm="1">
        <f t="array" ref="AR520">IF(X520&gt;0, INDEX(Kat, $AN520, 4+AQ520), 0)</f>
        <v>0</v>
      </c>
      <c r="AS520" s="228" cm="1">
        <f t="array" ref="AS520">IF(X520&gt;0, INDEX(Kat, $AN520, 9+AQ520), 0)</f>
        <v>0</v>
      </c>
      <c r="AT520" s="246"/>
      <c r="AU520" s="262"/>
      <c r="AV520" s="262"/>
      <c r="AW520" s="263"/>
      <c r="AX520" s="263"/>
      <c r="AY520" s="263"/>
      <c r="AZ520" s="263"/>
      <c r="BA520" s="263"/>
      <c r="BB520" s="263"/>
      <c r="BC520" s="263"/>
      <c r="BD520" s="263"/>
      <c r="BE520" s="263"/>
      <c r="BF520" s="263"/>
      <c r="BG520" s="263"/>
      <c r="BH520" s="246"/>
      <c r="BI520" s="228" cm="1">
        <f t="array" ref="BI520">INDEX(Use, $AH520, 4)</f>
        <v>7</v>
      </c>
      <c r="BJ520" s="228">
        <f t="shared" si="674"/>
        <v>32</v>
      </c>
      <c r="BK520" s="228">
        <f t="shared" si="662"/>
        <v>13</v>
      </c>
      <c r="BL520" s="228">
        <f t="shared" si="663"/>
        <v>0</v>
      </c>
      <c r="BM520" s="233" cm="1">
        <f t="array" ref="BM520">L520/IF($M520&gt;0, INDEX($AY$22:$BE$76, $M520+20, $AH520), 1)</f>
        <v>0</v>
      </c>
      <c r="BN520" s="229">
        <f t="shared" si="675"/>
        <v>0</v>
      </c>
      <c r="BO520" s="228">
        <v>35</v>
      </c>
      <c r="BP520" s="229">
        <f t="shared" si="676"/>
        <v>48</v>
      </c>
      <c r="BQ520" s="234">
        <f t="shared" si="677"/>
        <v>3.0748170731707316</v>
      </c>
      <c r="BR520" s="234" cm="1">
        <f t="array" ref="BR520">$BM520 * SUMPRODUCT(INDEX($AV$76:$AX$81,,$AI520),INDEX($AY$76:$BE$81,,$AH520), N($AU$76:$AU$81&gt;$AM520)) / BQ520 / 1000</f>
        <v>0</v>
      </c>
      <c r="BS520" s="231">
        <f t="shared" si="664"/>
        <v>30</v>
      </c>
      <c r="BT520" s="229">
        <f t="shared" si="678"/>
        <v>43</v>
      </c>
      <c r="BU520" s="234">
        <f t="shared" si="679"/>
        <v>3.5018750000000001</v>
      </c>
      <c r="BV520" s="234" cm="1">
        <f t="array" ref="BV520">$BM520 * IF($AH520&lt;=2,
SUMPRODUCT(INDEX($AV$71:$AX$75,,$AI520), INDEX($AY$71:$BE$75,,$AH520), 1 / ($BF$71:$BF$75*BU520 + (1-$BF$71:$BF$75)*BQ520), N($AU$71:$AU$75&gt;$AM520)),
SUMPRODUCT(INDEX($AV$66:$AX$75,,$AI520), INDEX($AY$66:$BE$75,,$AH520), 1 / ($BG$66:$BG$75*BU520 + (1-$BG$66:$BG$75)*BQ520), N($AU$66:$AU$75&gt;$AM520))
) / 1000</f>
        <v>0</v>
      </c>
      <c r="BW520" s="231">
        <f t="shared" si="665"/>
        <v>25</v>
      </c>
      <c r="BX520" s="229">
        <f t="shared" si="680"/>
        <v>38</v>
      </c>
      <c r="BY520" s="234">
        <f t="shared" si="681"/>
        <v>4.0666935483870965</v>
      </c>
      <c r="BZ520" s="234" cm="1">
        <f t="array" ref="BZ520">$BM520 * IF($AH520&lt;=2,
SUMPRODUCT(INDEX($AV$66:$AX$70,,$AI520), INDEX($AY$66:$BE$70,,$AH520), 1 / ($BF$66:$BF$70*BY520 + (1-$BF$66:$BF$70)*BU520), N($AU$66:$AU$70&gt;$AM520)),
SUMPRODUCT(INDEX($AV$56:$AX$65,,$AI520), INDEX($AY$56:$BE$65,,$AH520), 1 / ($BG$56:$BG$65*BY520 + (1-$BG$56:$BG$65)*BU520), N($AU$56:$AU$65&gt;$AM520))
) / 1000</f>
        <v>0</v>
      </c>
      <c r="CA520" s="231">
        <f t="shared" si="666"/>
        <v>20</v>
      </c>
      <c r="CB520" s="229">
        <f t="shared" si="682"/>
        <v>33</v>
      </c>
      <c r="CC520" s="234">
        <f t="shared" si="683"/>
        <v>4.8487499999999999</v>
      </c>
      <c r="CD520" s="234" cm="1">
        <f t="array" ref="CD520">$BM520 * IF($AH520&lt;=2,
SUMPRODUCT(INDEX($AV$61:$AX$65,,$AI520), INDEX($AY$61:$BE$65,,$AH520), 1 / ($BF$61:$BF$65*CC520 + (1-$BF$61:$BF$65)*BY520), N($AU$61:$AU$65&gt;$AM520)),
SUMPRODUCT(INDEX($AV$46:$AX$55,,$AI520), INDEX($AY$46:$BE$55,,$AH520), 1 / ($BG$46:$BG$55*CC520 + (1-$BG$46:$BG$55)*BY520), N($AU$46:$AU$55&gt;$AM520))
) / 1000</f>
        <v>0</v>
      </c>
      <c r="CE520" s="234" cm="1">
        <f t="array" ref="CE520">$BM520 * IF($AH520&lt;=2,
SUMPRODUCT(INDEX($AV$22:$AX$60,,$AI520), INDEX($AY$22:$BE$60,,$AH520), 1 / ($BF$22:$BF$60*CC520), N($AU$22:$AU$60&gt;$AM520)),
SUMPRODUCT(INDEX($AV$22:$AX$45,,$AI520), INDEX($AY$22:$BE$45,,$AH520), 1 / ($BG$22:$BG$45*CC520), N($AU$22:$AU$45&gt;$AM520))
) / 1000</f>
        <v>0</v>
      </c>
      <c r="CF520" s="229">
        <f t="shared" si="684"/>
        <v>0</v>
      </c>
      <c r="CG520" s="246"/>
      <c r="CH520" s="229">
        <f t="shared" si="685"/>
        <v>0</v>
      </c>
      <c r="CI520" s="228">
        <v>35</v>
      </c>
      <c r="CJ520" s="229">
        <f t="shared" si="686"/>
        <v>48</v>
      </c>
      <c r="CK520" s="234">
        <f t="shared" si="687"/>
        <v>3.0748170731707316</v>
      </c>
      <c r="CL520" s="234" cm="1">
        <f t="array" ref="CL520">$BM520 * SUMPRODUCT(INDEX($AV$76:$AX$81,,$AI520),INDEX($AY$76:$BE$81,,$AH520), N($AU$76:$AU$81&gt;$AM520)) / CK520 / 1000</f>
        <v>0</v>
      </c>
      <c r="CM520" s="231">
        <f t="shared" si="667"/>
        <v>30</v>
      </c>
      <c r="CN520" s="229">
        <f t="shared" si="688"/>
        <v>43</v>
      </c>
      <c r="CO520" s="234">
        <f t="shared" si="689"/>
        <v>3.5018750000000001</v>
      </c>
      <c r="CP520" s="234" cm="1">
        <f t="array" ref="CP520">$BM520 * IF($AH520&lt;=2,
SUMPRODUCT(INDEX($AV$71:$AX$75,,$AI520), INDEX($AY$71:$BE$75,,$AH520), 1 / ($BF$71:$BF$75*CO520 + (1-$BF$71:$BF$75)*CK520), N($AU$71:$AU$75&gt;$AM520)),
SUMPRODUCT(INDEX($AV$66:$AX$75,,$AI520), INDEX($AY$66:$BE$75,,$AH520), 1 / ($BG$66:$BG$75*CO520 + (1-$BG$66:$BG$75)*CK520), N($AU$66:$AU$75&gt;$AM520))
) / 1000</f>
        <v>0</v>
      </c>
      <c r="CQ520" s="231">
        <f t="shared" si="668"/>
        <v>25</v>
      </c>
      <c r="CR520" s="229">
        <f t="shared" si="690"/>
        <v>38</v>
      </c>
      <c r="CS520" s="234">
        <f t="shared" si="691"/>
        <v>4.0666935483870965</v>
      </c>
      <c r="CT520" s="234" cm="1">
        <f t="array" ref="CT520">$BM520 * IF($AH520&lt;=2,
SUMPRODUCT(INDEX($AV$66:$AX$70,,$AI520), INDEX($AY$66:$BE$70,,$AH520), 1 / ($BF$66:$BF$70*CS520 + (1-$BF$66:$BF$70)*CO520), N($AU$66:$AU$70&gt;$AM520)),
SUMPRODUCT(INDEX($AV$56:$AX$65,,$AI520), INDEX($AY$56:$BE$65,,$AH520), 1 / ($BG$56:$BG$65*CS520 + (1-$BG$56:$BG$65)*CO520), N($AU$56:$AU$65&gt;$AM520))
) / 1000</f>
        <v>0</v>
      </c>
      <c r="CU520" s="231">
        <f t="shared" si="669"/>
        <v>20</v>
      </c>
      <c r="CV520" s="229">
        <f t="shared" si="692"/>
        <v>33</v>
      </c>
      <c r="CW520" s="234">
        <f t="shared" si="693"/>
        <v>4.8487499999999999</v>
      </c>
      <c r="CX520" s="234" cm="1">
        <f t="array" ref="CX520">$BM520 * IF($AH520&lt;=2,
SUMPRODUCT(INDEX($AV$61:$AX$65,,$AI520), INDEX($AY$61:$BE$65,,$AH520), 1 / ($BF$61:$BF$65*CW520 + (1-$BF$61:$BF$65)*CS520), N($AU$61:$AU$65&gt;$AM520)),
SUMPRODUCT(INDEX($AV$46:$AX$55,,$AI520), INDEX($AY$46:$BE$55,,$AH520), 1 / ($BG$46:$BG$55*CW520 + (1-$BG$46:$BG$55)*CS520), N($AU$46:$AU$55&gt;$AM520))
) / 1000</f>
        <v>0</v>
      </c>
      <c r="CY520" s="234" cm="1">
        <f t="array" ref="CY520">$BM520 * IF($AH520&lt;=2,
SUMPRODUCT(INDEX($AV$22:$AX$60,,$AI520), INDEX($AY$22:$BE$60,,$AH520), 1 / ($BF$22:$BF$60*CW520), N($AU$22:$AU$60&gt;$AM520)),
SUMPRODUCT(INDEX($AV$22:$AX$45,,$AI520), INDEX($AY$22:$BE$45,,$AH520), 1 / ($BG$22:$BG$45*CW520), N($AU$22:$AU$45&gt;$AM520))
) / 1000</f>
        <v>0</v>
      </c>
      <c r="CZ520" s="229">
        <f t="shared" si="694"/>
        <v>0</v>
      </c>
      <c r="DA520" s="246"/>
    </row>
    <row r="521" spans="1:105" s="75" customFormat="1" ht="14.25" customHeight="1" x14ac:dyDescent="0.2">
      <c r="A521" s="230" t="b">
        <f t="shared" si="661"/>
        <v>0</v>
      </c>
      <c r="B521" s="253">
        <v>500</v>
      </c>
      <c r="C521" s="266"/>
      <c r="D521" s="266"/>
      <c r="E521" s="254"/>
      <c r="F521" s="255" t="str">
        <f>IF(ISBLANK(E521), "", VLOOKUP(E521, Z!$A$2:$C$4127, 3, FALSE))</f>
        <v/>
      </c>
      <c r="G521" s="256"/>
      <c r="H521" s="256"/>
      <c r="I521" s="256"/>
      <c r="J521" s="257"/>
      <c r="K521" s="258"/>
      <c r="L521" s="267"/>
      <c r="M521" s="268"/>
      <c r="N521" s="259" t="str" cm="1">
        <f t="array" ref="N521">IF($L521&gt;0, INDEX(Clean,1+AK521,$D$1), "")</f>
        <v/>
      </c>
      <c r="O521" s="260"/>
      <c r="P521" s="260"/>
      <c r="Q521" s="261"/>
      <c r="R521" s="264">
        <f t="shared" si="670"/>
        <v>0</v>
      </c>
      <c r="S521" s="259" t="str" cm="1">
        <f t="array" ref="S521">IF($L521&gt;0, INDEX(Clean,1+AL521,$D$1), "")</f>
        <v/>
      </c>
      <c r="T521" s="260"/>
      <c r="U521" s="260"/>
      <c r="V521" s="261"/>
      <c r="W521" s="267"/>
      <c r="X521" s="267"/>
      <c r="Y521" s="257"/>
      <c r="Z521" s="264">
        <f t="shared" si="671"/>
        <v>0</v>
      </c>
      <c r="AA521" s="269"/>
      <c r="AB521" s="266"/>
      <c r="AC521" s="254"/>
      <c r="AD521" s="255" t="str">
        <f>IF(ISBLANK(AC521), "", VLOOKUP(AC521, Z!$A$2:$C$4127, 3, FALSE))</f>
        <v/>
      </c>
      <c r="AE521" s="270"/>
      <c r="AF521" s="265">
        <f t="shared" si="672"/>
        <v>0</v>
      </c>
      <c r="AG521" s="246"/>
      <c r="AH521" s="228">
        <f t="shared" si="695"/>
        <v>1</v>
      </c>
      <c r="AI521" s="228">
        <f t="shared" si="696"/>
        <v>1</v>
      </c>
      <c r="AJ521" s="228">
        <f t="shared" si="697"/>
        <v>0</v>
      </c>
      <c r="AK521" s="228">
        <v>0</v>
      </c>
      <c r="AL521" s="228">
        <v>0</v>
      </c>
      <c r="AM521" s="228">
        <f t="shared" si="673"/>
        <v>-100</v>
      </c>
      <c r="AN521" s="228" cm="1">
        <f t="array" ref="AN521">IF(ISBLANK(G521), 1, IFERROR(MATCH(G521, INDEX(Kat,,1), 0), IFERROR(MATCH(Kat, INDEX(Use,,2), 0), MATCH(Kat, INDEX(Use,,3), 0))))</f>
        <v>1</v>
      </c>
      <c r="AO521" s="246"/>
      <c r="AP521" s="228" cm="1">
        <f t="array" ref="AP521">IF(W521&gt;0, INDEX(Kat, AN521,4), 0)</f>
        <v>0</v>
      </c>
      <c r="AQ521" s="228">
        <f t="shared" si="698"/>
        <v>0</v>
      </c>
      <c r="AR521" s="228" cm="1">
        <f t="array" ref="AR521">IF(X521&gt;0, INDEX(Kat, $AN521, 4+AQ521), 0)</f>
        <v>0</v>
      </c>
      <c r="AS521" s="228" cm="1">
        <f t="array" ref="AS521">IF(X521&gt;0, INDEX(Kat, $AN521, 9+AQ521), 0)</f>
        <v>0</v>
      </c>
      <c r="AT521" s="246"/>
      <c r="AU521" s="262"/>
      <c r="AV521" s="262"/>
      <c r="AW521" s="263"/>
      <c r="AX521" s="263"/>
      <c r="AY521" s="263"/>
      <c r="AZ521" s="263"/>
      <c r="BA521" s="263"/>
      <c r="BB521" s="263"/>
      <c r="BC521" s="263"/>
      <c r="BD521" s="263"/>
      <c r="BE521" s="263"/>
      <c r="BF521" s="263"/>
      <c r="BG521" s="263"/>
      <c r="BH521" s="246"/>
      <c r="BI521" s="228" cm="1">
        <f t="array" ref="BI521">INDEX(Use, $AH521, 4)</f>
        <v>7</v>
      </c>
      <c r="BJ521" s="228">
        <f t="shared" si="674"/>
        <v>32</v>
      </c>
      <c r="BK521" s="228">
        <f t="shared" si="662"/>
        <v>13</v>
      </c>
      <c r="BL521" s="228">
        <f t="shared" si="663"/>
        <v>0</v>
      </c>
      <c r="BM521" s="233" cm="1">
        <f t="array" ref="BM521">L521/IF($M521&gt;0, INDEX($AY$22:$BE$76, $M521+20, $AH521), 1)</f>
        <v>0</v>
      </c>
      <c r="BN521" s="229">
        <f t="shared" si="675"/>
        <v>0</v>
      </c>
      <c r="BO521" s="228">
        <v>35</v>
      </c>
      <c r="BP521" s="229">
        <f t="shared" si="676"/>
        <v>48</v>
      </c>
      <c r="BQ521" s="234">
        <f t="shared" si="677"/>
        <v>3.0748170731707316</v>
      </c>
      <c r="BR521" s="234" cm="1">
        <f t="array" ref="BR521">$BM521 * SUMPRODUCT(INDEX($AV$76:$AX$81,,$AI521),INDEX($AY$76:$BE$81,,$AH521), N($AU$76:$AU$81&gt;$AM521)) / BQ521 / 1000</f>
        <v>0</v>
      </c>
      <c r="BS521" s="231">
        <f t="shared" si="664"/>
        <v>30</v>
      </c>
      <c r="BT521" s="229">
        <f t="shared" si="678"/>
        <v>43</v>
      </c>
      <c r="BU521" s="234">
        <f t="shared" si="679"/>
        <v>3.5018750000000001</v>
      </c>
      <c r="BV521" s="234" cm="1">
        <f t="array" ref="BV521">$BM521 * IF($AH521&lt;=2,
SUMPRODUCT(INDEX($AV$71:$AX$75,,$AI521), INDEX($AY$71:$BE$75,,$AH521), 1 / ($BF$71:$BF$75*BU521 + (1-$BF$71:$BF$75)*BQ521), N($AU$71:$AU$75&gt;$AM521)),
SUMPRODUCT(INDEX($AV$66:$AX$75,,$AI521), INDEX($AY$66:$BE$75,,$AH521), 1 / ($BG$66:$BG$75*BU521 + (1-$BG$66:$BG$75)*BQ521), N($AU$66:$AU$75&gt;$AM521))
) / 1000</f>
        <v>0</v>
      </c>
      <c r="BW521" s="231">
        <f t="shared" si="665"/>
        <v>25</v>
      </c>
      <c r="BX521" s="229">
        <f t="shared" si="680"/>
        <v>38</v>
      </c>
      <c r="BY521" s="234">
        <f t="shared" si="681"/>
        <v>4.0666935483870965</v>
      </c>
      <c r="BZ521" s="234" cm="1">
        <f t="array" ref="BZ521">$BM521 * IF($AH521&lt;=2,
SUMPRODUCT(INDEX($AV$66:$AX$70,,$AI521), INDEX($AY$66:$BE$70,,$AH521), 1 / ($BF$66:$BF$70*BY521 + (1-$BF$66:$BF$70)*BU521), N($AU$66:$AU$70&gt;$AM521)),
SUMPRODUCT(INDEX($AV$56:$AX$65,,$AI521), INDEX($AY$56:$BE$65,,$AH521), 1 / ($BG$56:$BG$65*BY521 + (1-$BG$56:$BG$65)*BU521), N($AU$56:$AU$65&gt;$AM521))
) / 1000</f>
        <v>0</v>
      </c>
      <c r="CA521" s="231">
        <f t="shared" si="666"/>
        <v>20</v>
      </c>
      <c r="CB521" s="229">
        <f t="shared" si="682"/>
        <v>33</v>
      </c>
      <c r="CC521" s="234">
        <f t="shared" si="683"/>
        <v>4.8487499999999999</v>
      </c>
      <c r="CD521" s="234" cm="1">
        <f t="array" ref="CD521">$BM521 * IF($AH521&lt;=2,
SUMPRODUCT(INDEX($AV$61:$AX$65,,$AI521), INDEX($AY$61:$BE$65,,$AH521), 1 / ($BF$61:$BF$65*CC521 + (1-$BF$61:$BF$65)*BY521), N($AU$61:$AU$65&gt;$AM521)),
SUMPRODUCT(INDEX($AV$46:$AX$55,,$AI521), INDEX($AY$46:$BE$55,,$AH521), 1 / ($BG$46:$BG$55*CC521 + (1-$BG$46:$BG$55)*BY521), N($AU$46:$AU$55&gt;$AM521))
) / 1000</f>
        <v>0</v>
      </c>
      <c r="CE521" s="234" cm="1">
        <f t="array" ref="CE521">$BM521 * IF($AH521&lt;=2,
SUMPRODUCT(INDEX($AV$22:$AX$60,,$AI521), INDEX($AY$22:$BE$60,,$AH521), 1 / ($BF$22:$BF$60*CC521), N($AU$22:$AU$60&gt;$AM521)),
SUMPRODUCT(INDEX($AV$22:$AX$45,,$AI521), INDEX($AY$22:$BE$45,,$AH521), 1 / ($BG$22:$BG$45*CC521), N($AU$22:$AU$45&gt;$AM521))
) / 1000</f>
        <v>0</v>
      </c>
      <c r="CF521" s="229">
        <f t="shared" si="684"/>
        <v>0</v>
      </c>
      <c r="CG521" s="246"/>
      <c r="CH521" s="229">
        <f t="shared" si="685"/>
        <v>0</v>
      </c>
      <c r="CI521" s="228">
        <v>35</v>
      </c>
      <c r="CJ521" s="229">
        <f t="shared" si="686"/>
        <v>48</v>
      </c>
      <c r="CK521" s="234">
        <f t="shared" si="687"/>
        <v>3.0748170731707316</v>
      </c>
      <c r="CL521" s="234" cm="1">
        <f t="array" ref="CL521">$BM521 * SUMPRODUCT(INDEX($AV$76:$AX$81,,$AI521),INDEX($AY$76:$BE$81,,$AH521), N($AU$76:$AU$81&gt;$AM521)) / CK521 / 1000</f>
        <v>0</v>
      </c>
      <c r="CM521" s="231">
        <f t="shared" si="667"/>
        <v>30</v>
      </c>
      <c r="CN521" s="229">
        <f t="shared" si="688"/>
        <v>43</v>
      </c>
      <c r="CO521" s="234">
        <f t="shared" si="689"/>
        <v>3.5018750000000001</v>
      </c>
      <c r="CP521" s="234" cm="1">
        <f t="array" ref="CP521">$BM521 * IF($AH521&lt;=2,
SUMPRODUCT(INDEX($AV$71:$AX$75,,$AI521), INDEX($AY$71:$BE$75,,$AH521), 1 / ($BF$71:$BF$75*CO521 + (1-$BF$71:$BF$75)*CK521), N($AU$71:$AU$75&gt;$AM521)),
SUMPRODUCT(INDEX($AV$66:$AX$75,,$AI521), INDEX($AY$66:$BE$75,,$AH521), 1 / ($BG$66:$BG$75*CO521 + (1-$BG$66:$BG$75)*CK521), N($AU$66:$AU$75&gt;$AM521))
) / 1000</f>
        <v>0</v>
      </c>
      <c r="CQ521" s="231">
        <f t="shared" si="668"/>
        <v>25</v>
      </c>
      <c r="CR521" s="229">
        <f t="shared" si="690"/>
        <v>38</v>
      </c>
      <c r="CS521" s="234">
        <f t="shared" si="691"/>
        <v>4.0666935483870965</v>
      </c>
      <c r="CT521" s="234" cm="1">
        <f t="array" ref="CT521">$BM521 * IF($AH521&lt;=2,
SUMPRODUCT(INDEX($AV$66:$AX$70,,$AI521), INDEX($AY$66:$BE$70,,$AH521), 1 / ($BF$66:$BF$70*CS521 + (1-$BF$66:$BF$70)*CO521), N($AU$66:$AU$70&gt;$AM521)),
SUMPRODUCT(INDEX($AV$56:$AX$65,,$AI521), INDEX($AY$56:$BE$65,,$AH521), 1 / ($BG$56:$BG$65*CS521 + (1-$BG$56:$BG$65)*CO521), N($AU$56:$AU$65&gt;$AM521))
) / 1000</f>
        <v>0</v>
      </c>
      <c r="CU521" s="231">
        <f t="shared" si="669"/>
        <v>20</v>
      </c>
      <c r="CV521" s="229">
        <f t="shared" si="692"/>
        <v>33</v>
      </c>
      <c r="CW521" s="234">
        <f t="shared" si="693"/>
        <v>4.8487499999999999</v>
      </c>
      <c r="CX521" s="234" cm="1">
        <f t="array" ref="CX521">$BM521 * IF($AH521&lt;=2,
SUMPRODUCT(INDEX($AV$61:$AX$65,,$AI521), INDEX($AY$61:$BE$65,,$AH521), 1 / ($BF$61:$BF$65*CW521 + (1-$BF$61:$BF$65)*CS521), N($AU$61:$AU$65&gt;$AM521)),
SUMPRODUCT(INDEX($AV$46:$AX$55,,$AI521), INDEX($AY$46:$BE$55,,$AH521), 1 / ($BG$46:$BG$55*CW521 + (1-$BG$46:$BG$55)*CS521), N($AU$46:$AU$55&gt;$AM521))
) / 1000</f>
        <v>0</v>
      </c>
      <c r="CY521" s="234" cm="1">
        <f t="array" ref="CY521">$BM521 * IF($AH521&lt;=2,
SUMPRODUCT(INDEX($AV$22:$AX$60,,$AI521), INDEX($AY$22:$BE$60,,$AH521), 1 / ($BF$22:$BF$60*CW521), N($AU$22:$AU$60&gt;$AM521)),
SUMPRODUCT(INDEX($AV$22:$AX$45,,$AI521), INDEX($AY$22:$BE$45,,$AH521), 1 / ($BG$22:$BG$45*CW521), N($AU$22:$AU$45&gt;$AM521))
) / 1000</f>
        <v>0</v>
      </c>
      <c r="CZ521" s="229">
        <f t="shared" si="694"/>
        <v>0</v>
      </c>
      <c r="DA521" s="246"/>
    </row>
    <row r="522" spans="1:105" s="75" customFormat="1" ht="14.25" customHeight="1" x14ac:dyDescent="0.2">
      <c r="A522" s="230" t="b">
        <f t="shared" si="661"/>
        <v>0</v>
      </c>
      <c r="B522" s="253">
        <v>501</v>
      </c>
      <c r="C522" s="266"/>
      <c r="D522" s="266"/>
      <c r="E522" s="254"/>
      <c r="F522" s="255" t="str">
        <f>IF(ISBLANK(E522), "", VLOOKUP(E522, Z!$A$2:$C$4127, 3, FALSE))</f>
        <v/>
      </c>
      <c r="G522" s="256"/>
      <c r="H522" s="256"/>
      <c r="I522" s="256"/>
      <c r="J522" s="257"/>
      <c r="K522" s="258"/>
      <c r="L522" s="267"/>
      <c r="M522" s="268"/>
      <c r="N522" s="259" t="str" cm="1">
        <f t="array" ref="N522">IF($L522&gt;0, INDEX(Clean,1+AK522,$D$1), "")</f>
        <v/>
      </c>
      <c r="O522" s="260"/>
      <c r="P522" s="260"/>
      <c r="Q522" s="261"/>
      <c r="R522" s="264">
        <f t="shared" si="670"/>
        <v>0</v>
      </c>
      <c r="S522" s="259" t="str" cm="1">
        <f t="array" ref="S522">IF($L522&gt;0, INDEX(Clean,1+AL522,$D$1), "")</f>
        <v/>
      </c>
      <c r="T522" s="260"/>
      <c r="U522" s="260"/>
      <c r="V522" s="261"/>
      <c r="W522" s="267"/>
      <c r="X522" s="267"/>
      <c r="Y522" s="257"/>
      <c r="Z522" s="264">
        <f t="shared" si="671"/>
        <v>0</v>
      </c>
      <c r="AA522" s="269"/>
      <c r="AB522" s="266"/>
      <c r="AC522" s="254"/>
      <c r="AD522" s="255" t="str">
        <f>IF(ISBLANK(AC522), "", VLOOKUP(AC522, Z!$A$2:$C$4127, 3, FALSE))</f>
        <v/>
      </c>
      <c r="AE522" s="270"/>
      <c r="AF522" s="265">
        <f t="shared" si="672"/>
        <v>0</v>
      </c>
      <c r="AG522" s="246"/>
      <c r="AH522" s="228">
        <f t="shared" si="695"/>
        <v>1</v>
      </c>
      <c r="AI522" s="228">
        <f t="shared" si="696"/>
        <v>1</v>
      </c>
      <c r="AJ522" s="228">
        <f t="shared" si="697"/>
        <v>0</v>
      </c>
      <c r="AK522" s="228">
        <v>0</v>
      </c>
      <c r="AL522" s="228">
        <v>0</v>
      </c>
      <c r="AM522" s="228">
        <f t="shared" si="673"/>
        <v>-100</v>
      </c>
      <c r="AN522" s="228" cm="1">
        <f t="array" ref="AN522">IF(ISBLANK(G522), 1, IFERROR(MATCH(G522, INDEX(Kat,,1), 0), IFERROR(MATCH(Kat, INDEX(Use,,2), 0), MATCH(Kat, INDEX(Use,,3), 0))))</f>
        <v>1</v>
      </c>
      <c r="AO522" s="246"/>
      <c r="AP522" s="228" cm="1">
        <f t="array" ref="AP522">IF(W522&gt;0, INDEX(Kat, AN522,4), 0)</f>
        <v>0</v>
      </c>
      <c r="AQ522" s="228">
        <f t="shared" si="698"/>
        <v>0</v>
      </c>
      <c r="AR522" s="228" cm="1">
        <f t="array" ref="AR522">IF(X522&gt;0, INDEX(Kat, $AN522, 4+AQ522), 0)</f>
        <v>0</v>
      </c>
      <c r="AS522" s="228" cm="1">
        <f t="array" ref="AS522">IF(X522&gt;0, INDEX(Kat, $AN522, 9+AQ522), 0)</f>
        <v>0</v>
      </c>
      <c r="AT522" s="246"/>
      <c r="AU522" s="262"/>
      <c r="AV522" s="262"/>
      <c r="AW522" s="263"/>
      <c r="AX522" s="263"/>
      <c r="AY522" s="263"/>
      <c r="AZ522" s="263"/>
      <c r="BA522" s="263"/>
      <c r="BB522" s="263"/>
      <c r="BC522" s="263"/>
      <c r="BD522" s="263"/>
      <c r="BE522" s="263"/>
      <c r="BF522" s="263"/>
      <c r="BG522" s="263"/>
      <c r="BH522" s="246"/>
      <c r="BI522" s="228" cm="1">
        <f t="array" ref="BI522">INDEX(Use, $AH522, 4)</f>
        <v>7</v>
      </c>
      <c r="BJ522" s="228">
        <f t="shared" si="674"/>
        <v>32</v>
      </c>
      <c r="BK522" s="228">
        <f t="shared" si="662"/>
        <v>13</v>
      </c>
      <c r="BL522" s="228">
        <f t="shared" si="663"/>
        <v>0</v>
      </c>
      <c r="BM522" s="233" cm="1">
        <f t="array" ref="BM522">L522/IF($M522&gt;0, INDEX($AY$22:$BE$76, $M522+20, $AH522), 1)</f>
        <v>0</v>
      </c>
      <c r="BN522" s="229">
        <f t="shared" si="675"/>
        <v>0</v>
      </c>
      <c r="BO522" s="228">
        <v>35</v>
      </c>
      <c r="BP522" s="229">
        <f t="shared" si="676"/>
        <v>48</v>
      </c>
      <c r="BQ522" s="234">
        <f t="shared" si="677"/>
        <v>3.0748170731707316</v>
      </c>
      <c r="BR522" s="234" cm="1">
        <f t="array" ref="BR522">$BM522 * SUMPRODUCT(INDEX($AV$76:$AX$81,,$AI522),INDEX($AY$76:$BE$81,,$AH522), N($AU$76:$AU$81&gt;$AM522)) / BQ522 / 1000</f>
        <v>0</v>
      </c>
      <c r="BS522" s="231">
        <f t="shared" si="664"/>
        <v>30</v>
      </c>
      <c r="BT522" s="229">
        <f t="shared" si="678"/>
        <v>43</v>
      </c>
      <c r="BU522" s="234">
        <f t="shared" si="679"/>
        <v>3.5018750000000001</v>
      </c>
      <c r="BV522" s="234" cm="1">
        <f t="array" ref="BV522">$BM522 * IF($AH522&lt;=2,
SUMPRODUCT(INDEX($AV$71:$AX$75,,$AI522), INDEX($AY$71:$BE$75,,$AH522), 1 / ($BF$71:$BF$75*BU522 + (1-$BF$71:$BF$75)*BQ522), N($AU$71:$AU$75&gt;$AM522)),
SUMPRODUCT(INDEX($AV$66:$AX$75,,$AI522), INDEX($AY$66:$BE$75,,$AH522), 1 / ($BG$66:$BG$75*BU522 + (1-$BG$66:$BG$75)*BQ522), N($AU$66:$AU$75&gt;$AM522))
) / 1000</f>
        <v>0</v>
      </c>
      <c r="BW522" s="231">
        <f t="shared" si="665"/>
        <v>25</v>
      </c>
      <c r="BX522" s="229">
        <f t="shared" si="680"/>
        <v>38</v>
      </c>
      <c r="BY522" s="234">
        <f t="shared" si="681"/>
        <v>4.0666935483870965</v>
      </c>
      <c r="BZ522" s="234" cm="1">
        <f t="array" ref="BZ522">$BM522 * IF($AH522&lt;=2,
SUMPRODUCT(INDEX($AV$66:$AX$70,,$AI522), INDEX($AY$66:$BE$70,,$AH522), 1 / ($BF$66:$BF$70*BY522 + (1-$BF$66:$BF$70)*BU522), N($AU$66:$AU$70&gt;$AM522)),
SUMPRODUCT(INDEX($AV$56:$AX$65,,$AI522), INDEX($AY$56:$BE$65,,$AH522), 1 / ($BG$56:$BG$65*BY522 + (1-$BG$56:$BG$65)*BU522), N($AU$56:$AU$65&gt;$AM522))
) / 1000</f>
        <v>0</v>
      </c>
      <c r="CA522" s="231">
        <f t="shared" si="666"/>
        <v>20</v>
      </c>
      <c r="CB522" s="229">
        <f t="shared" si="682"/>
        <v>33</v>
      </c>
      <c r="CC522" s="234">
        <f t="shared" si="683"/>
        <v>4.8487499999999999</v>
      </c>
      <c r="CD522" s="234" cm="1">
        <f t="array" ref="CD522">$BM522 * IF($AH522&lt;=2,
SUMPRODUCT(INDEX($AV$61:$AX$65,,$AI522), INDEX($AY$61:$BE$65,,$AH522), 1 / ($BF$61:$BF$65*CC522 + (1-$BF$61:$BF$65)*BY522), N($AU$61:$AU$65&gt;$AM522)),
SUMPRODUCT(INDEX($AV$46:$AX$55,,$AI522), INDEX($AY$46:$BE$55,,$AH522), 1 / ($BG$46:$BG$55*CC522 + (1-$BG$46:$BG$55)*BY522), N($AU$46:$AU$55&gt;$AM522))
) / 1000</f>
        <v>0</v>
      </c>
      <c r="CE522" s="234" cm="1">
        <f t="array" ref="CE522">$BM522 * IF($AH522&lt;=2,
SUMPRODUCT(INDEX($AV$22:$AX$60,,$AI522), INDEX($AY$22:$BE$60,,$AH522), 1 / ($BF$22:$BF$60*CC522), N($AU$22:$AU$60&gt;$AM522)),
SUMPRODUCT(INDEX($AV$22:$AX$45,,$AI522), INDEX($AY$22:$BE$45,,$AH522), 1 / ($BG$22:$BG$45*CC522), N($AU$22:$AU$45&gt;$AM522))
) / 1000</f>
        <v>0</v>
      </c>
      <c r="CF522" s="229">
        <f t="shared" si="684"/>
        <v>0</v>
      </c>
      <c r="CG522" s="246"/>
      <c r="CH522" s="229">
        <f t="shared" si="685"/>
        <v>0</v>
      </c>
      <c r="CI522" s="228">
        <v>35</v>
      </c>
      <c r="CJ522" s="229">
        <f t="shared" si="686"/>
        <v>48</v>
      </c>
      <c r="CK522" s="234">
        <f t="shared" si="687"/>
        <v>3.0748170731707316</v>
      </c>
      <c r="CL522" s="234" cm="1">
        <f t="array" ref="CL522">$BM522 * SUMPRODUCT(INDEX($AV$76:$AX$81,,$AI522),INDEX($AY$76:$BE$81,,$AH522), N($AU$76:$AU$81&gt;$AM522)) / CK522 / 1000</f>
        <v>0</v>
      </c>
      <c r="CM522" s="231">
        <f t="shared" si="667"/>
        <v>30</v>
      </c>
      <c r="CN522" s="229">
        <f t="shared" si="688"/>
        <v>43</v>
      </c>
      <c r="CO522" s="234">
        <f t="shared" si="689"/>
        <v>3.5018750000000001</v>
      </c>
      <c r="CP522" s="234" cm="1">
        <f t="array" ref="CP522">$BM522 * IF($AH522&lt;=2,
SUMPRODUCT(INDEX($AV$71:$AX$75,,$AI522), INDEX($AY$71:$BE$75,,$AH522), 1 / ($BF$71:$BF$75*CO522 + (1-$BF$71:$BF$75)*CK522), N($AU$71:$AU$75&gt;$AM522)),
SUMPRODUCT(INDEX($AV$66:$AX$75,,$AI522), INDEX($AY$66:$BE$75,,$AH522), 1 / ($BG$66:$BG$75*CO522 + (1-$BG$66:$BG$75)*CK522), N($AU$66:$AU$75&gt;$AM522))
) / 1000</f>
        <v>0</v>
      </c>
      <c r="CQ522" s="231">
        <f t="shared" si="668"/>
        <v>25</v>
      </c>
      <c r="CR522" s="229">
        <f t="shared" si="690"/>
        <v>38</v>
      </c>
      <c r="CS522" s="234">
        <f t="shared" si="691"/>
        <v>4.0666935483870965</v>
      </c>
      <c r="CT522" s="234" cm="1">
        <f t="array" ref="CT522">$BM522 * IF($AH522&lt;=2,
SUMPRODUCT(INDEX($AV$66:$AX$70,,$AI522), INDEX($AY$66:$BE$70,,$AH522), 1 / ($BF$66:$BF$70*CS522 + (1-$BF$66:$BF$70)*CO522), N($AU$66:$AU$70&gt;$AM522)),
SUMPRODUCT(INDEX($AV$56:$AX$65,,$AI522), INDEX($AY$56:$BE$65,,$AH522), 1 / ($BG$56:$BG$65*CS522 + (1-$BG$56:$BG$65)*CO522), N($AU$56:$AU$65&gt;$AM522))
) / 1000</f>
        <v>0</v>
      </c>
      <c r="CU522" s="231">
        <f t="shared" si="669"/>
        <v>20</v>
      </c>
      <c r="CV522" s="229">
        <f t="shared" si="692"/>
        <v>33</v>
      </c>
      <c r="CW522" s="234">
        <f t="shared" si="693"/>
        <v>4.8487499999999999</v>
      </c>
      <c r="CX522" s="234" cm="1">
        <f t="array" ref="CX522">$BM522 * IF($AH522&lt;=2,
SUMPRODUCT(INDEX($AV$61:$AX$65,,$AI522), INDEX($AY$61:$BE$65,,$AH522), 1 / ($BF$61:$BF$65*CW522 + (1-$BF$61:$BF$65)*CS522), N($AU$61:$AU$65&gt;$AM522)),
SUMPRODUCT(INDEX($AV$46:$AX$55,,$AI522), INDEX($AY$46:$BE$55,,$AH522), 1 / ($BG$46:$BG$55*CW522 + (1-$BG$46:$BG$55)*CS522), N($AU$46:$AU$55&gt;$AM522))
) / 1000</f>
        <v>0</v>
      </c>
      <c r="CY522" s="234" cm="1">
        <f t="array" ref="CY522">$BM522 * IF($AH522&lt;=2,
SUMPRODUCT(INDEX($AV$22:$AX$60,,$AI522), INDEX($AY$22:$BE$60,,$AH522), 1 / ($BF$22:$BF$60*CW522), N($AU$22:$AU$60&gt;$AM522)),
SUMPRODUCT(INDEX($AV$22:$AX$45,,$AI522), INDEX($AY$22:$BE$45,,$AH522), 1 / ($BG$22:$BG$45*CW522), N($AU$22:$AU$45&gt;$AM522))
) / 1000</f>
        <v>0</v>
      </c>
      <c r="CZ522" s="229">
        <f t="shared" si="694"/>
        <v>0</v>
      </c>
      <c r="DA522" s="246"/>
    </row>
    <row r="523" spans="1:105" s="75" customFormat="1" ht="14.25" customHeight="1" x14ac:dyDescent="0.2">
      <c r="A523" s="230" t="b">
        <f t="shared" si="661"/>
        <v>0</v>
      </c>
      <c r="B523" s="253">
        <v>502</v>
      </c>
      <c r="C523" s="266"/>
      <c r="D523" s="266"/>
      <c r="E523" s="254"/>
      <c r="F523" s="255" t="str">
        <f>IF(ISBLANK(E523), "", VLOOKUP(E523, Z!$A$2:$C$4127, 3, FALSE))</f>
        <v/>
      </c>
      <c r="G523" s="256"/>
      <c r="H523" s="256"/>
      <c r="I523" s="256"/>
      <c r="J523" s="257"/>
      <c r="K523" s="258"/>
      <c r="L523" s="267"/>
      <c r="M523" s="268"/>
      <c r="N523" s="259" t="str" cm="1">
        <f t="array" ref="N523">IF($L523&gt;0, INDEX(Clean,1+AK523,$D$1), "")</f>
        <v/>
      </c>
      <c r="O523" s="260"/>
      <c r="P523" s="260"/>
      <c r="Q523" s="261"/>
      <c r="R523" s="264">
        <f t="shared" si="670"/>
        <v>0</v>
      </c>
      <c r="S523" s="259" t="str" cm="1">
        <f t="array" ref="S523">IF($L523&gt;0, INDEX(Clean,1+AL523,$D$1), "")</f>
        <v/>
      </c>
      <c r="T523" s="260"/>
      <c r="U523" s="260"/>
      <c r="V523" s="261"/>
      <c r="W523" s="267"/>
      <c r="X523" s="267"/>
      <c r="Y523" s="257"/>
      <c r="Z523" s="264">
        <f t="shared" si="671"/>
        <v>0</v>
      </c>
      <c r="AA523" s="269"/>
      <c r="AB523" s="266"/>
      <c r="AC523" s="254"/>
      <c r="AD523" s="255" t="str">
        <f>IF(ISBLANK(AC523), "", VLOOKUP(AC523, Z!$A$2:$C$4127, 3, FALSE))</f>
        <v/>
      </c>
      <c r="AE523" s="270"/>
      <c r="AF523" s="265">
        <f t="shared" si="672"/>
        <v>0</v>
      </c>
      <c r="AG523" s="246"/>
      <c r="AH523" s="228">
        <f t="shared" si="695"/>
        <v>1</v>
      </c>
      <c r="AI523" s="228">
        <f t="shared" si="696"/>
        <v>1</v>
      </c>
      <c r="AJ523" s="228">
        <f t="shared" si="697"/>
        <v>0</v>
      </c>
      <c r="AK523" s="228">
        <v>0</v>
      </c>
      <c r="AL523" s="228">
        <v>0</v>
      </c>
      <c r="AM523" s="228">
        <f t="shared" si="673"/>
        <v>-100</v>
      </c>
      <c r="AN523" s="228" cm="1">
        <f t="array" ref="AN523">IF(ISBLANK(G523), 1, IFERROR(MATCH(G523, INDEX(Kat,,1), 0), IFERROR(MATCH(Kat, INDEX(Use,,2), 0), MATCH(Kat, INDEX(Use,,3), 0))))</f>
        <v>1</v>
      </c>
      <c r="AO523" s="246"/>
      <c r="AP523" s="228" cm="1">
        <f t="array" ref="AP523">IF(W523&gt;0, INDEX(Kat, AN523,4), 0)</f>
        <v>0</v>
      </c>
      <c r="AQ523" s="228">
        <f t="shared" si="698"/>
        <v>0</v>
      </c>
      <c r="AR523" s="228" cm="1">
        <f t="array" ref="AR523">IF(X523&gt;0, INDEX(Kat, $AN523, 4+AQ523), 0)</f>
        <v>0</v>
      </c>
      <c r="AS523" s="228" cm="1">
        <f t="array" ref="AS523">IF(X523&gt;0, INDEX(Kat, $AN523, 9+AQ523), 0)</f>
        <v>0</v>
      </c>
      <c r="AT523" s="246"/>
      <c r="AU523" s="262"/>
      <c r="AV523" s="262"/>
      <c r="AW523" s="263"/>
      <c r="AX523" s="263"/>
      <c r="AY523" s="263"/>
      <c r="AZ523" s="263"/>
      <c r="BA523" s="263"/>
      <c r="BB523" s="263"/>
      <c r="BC523" s="263"/>
      <c r="BD523" s="263"/>
      <c r="BE523" s="263"/>
      <c r="BF523" s="263"/>
      <c r="BG523" s="263"/>
      <c r="BH523" s="246"/>
      <c r="BI523" s="228" cm="1">
        <f t="array" ref="BI523">INDEX(Use, $AH523, 4)</f>
        <v>7</v>
      </c>
      <c r="BJ523" s="228">
        <f t="shared" si="674"/>
        <v>32</v>
      </c>
      <c r="BK523" s="228">
        <f t="shared" si="662"/>
        <v>13</v>
      </c>
      <c r="BL523" s="228">
        <f t="shared" si="663"/>
        <v>0</v>
      </c>
      <c r="BM523" s="233" cm="1">
        <f t="array" ref="BM523">L523/IF($M523&gt;0, INDEX($AY$22:$BE$76, $M523+20, $AH523), 1)</f>
        <v>0</v>
      </c>
      <c r="BN523" s="229">
        <f t="shared" si="675"/>
        <v>0</v>
      </c>
      <c r="BO523" s="228">
        <v>35</v>
      </c>
      <c r="BP523" s="229">
        <f t="shared" si="676"/>
        <v>48</v>
      </c>
      <c r="BQ523" s="234">
        <f t="shared" si="677"/>
        <v>3.0748170731707316</v>
      </c>
      <c r="BR523" s="234" cm="1">
        <f t="array" ref="BR523">$BM523 * SUMPRODUCT(INDEX($AV$76:$AX$81,,$AI523),INDEX($AY$76:$BE$81,,$AH523), N($AU$76:$AU$81&gt;$AM523)) / BQ523 / 1000</f>
        <v>0</v>
      </c>
      <c r="BS523" s="231">
        <f t="shared" si="664"/>
        <v>30</v>
      </c>
      <c r="BT523" s="229">
        <f t="shared" si="678"/>
        <v>43</v>
      </c>
      <c r="BU523" s="234">
        <f t="shared" si="679"/>
        <v>3.5018750000000001</v>
      </c>
      <c r="BV523" s="234" cm="1">
        <f t="array" ref="BV523">$BM523 * IF($AH523&lt;=2,
SUMPRODUCT(INDEX($AV$71:$AX$75,,$AI523), INDEX($AY$71:$BE$75,,$AH523), 1 / ($BF$71:$BF$75*BU523 + (1-$BF$71:$BF$75)*BQ523), N($AU$71:$AU$75&gt;$AM523)),
SUMPRODUCT(INDEX($AV$66:$AX$75,,$AI523), INDEX($AY$66:$BE$75,,$AH523), 1 / ($BG$66:$BG$75*BU523 + (1-$BG$66:$BG$75)*BQ523), N($AU$66:$AU$75&gt;$AM523))
) / 1000</f>
        <v>0</v>
      </c>
      <c r="BW523" s="231">
        <f t="shared" si="665"/>
        <v>25</v>
      </c>
      <c r="BX523" s="229">
        <f t="shared" si="680"/>
        <v>38</v>
      </c>
      <c r="BY523" s="234">
        <f t="shared" si="681"/>
        <v>4.0666935483870965</v>
      </c>
      <c r="BZ523" s="234" cm="1">
        <f t="array" ref="BZ523">$BM523 * IF($AH523&lt;=2,
SUMPRODUCT(INDEX($AV$66:$AX$70,,$AI523), INDEX($AY$66:$BE$70,,$AH523), 1 / ($BF$66:$BF$70*BY523 + (1-$BF$66:$BF$70)*BU523), N($AU$66:$AU$70&gt;$AM523)),
SUMPRODUCT(INDEX($AV$56:$AX$65,,$AI523), INDEX($AY$56:$BE$65,,$AH523), 1 / ($BG$56:$BG$65*BY523 + (1-$BG$56:$BG$65)*BU523), N($AU$56:$AU$65&gt;$AM523))
) / 1000</f>
        <v>0</v>
      </c>
      <c r="CA523" s="231">
        <f t="shared" si="666"/>
        <v>20</v>
      </c>
      <c r="CB523" s="229">
        <f t="shared" si="682"/>
        <v>33</v>
      </c>
      <c r="CC523" s="234">
        <f t="shared" si="683"/>
        <v>4.8487499999999999</v>
      </c>
      <c r="CD523" s="234" cm="1">
        <f t="array" ref="CD523">$BM523 * IF($AH523&lt;=2,
SUMPRODUCT(INDEX($AV$61:$AX$65,,$AI523), INDEX($AY$61:$BE$65,,$AH523), 1 / ($BF$61:$BF$65*CC523 + (1-$BF$61:$BF$65)*BY523), N($AU$61:$AU$65&gt;$AM523)),
SUMPRODUCT(INDEX($AV$46:$AX$55,,$AI523), INDEX($AY$46:$BE$55,,$AH523), 1 / ($BG$46:$BG$55*CC523 + (1-$BG$46:$BG$55)*BY523), N($AU$46:$AU$55&gt;$AM523))
) / 1000</f>
        <v>0</v>
      </c>
      <c r="CE523" s="234" cm="1">
        <f t="array" ref="CE523">$BM523 * IF($AH523&lt;=2,
SUMPRODUCT(INDEX($AV$22:$AX$60,,$AI523), INDEX($AY$22:$BE$60,,$AH523), 1 / ($BF$22:$BF$60*CC523), N($AU$22:$AU$60&gt;$AM523)),
SUMPRODUCT(INDEX($AV$22:$AX$45,,$AI523), INDEX($AY$22:$BE$45,,$AH523), 1 / ($BG$22:$BG$45*CC523), N($AU$22:$AU$45&gt;$AM523))
) / 1000</f>
        <v>0</v>
      </c>
      <c r="CF523" s="229">
        <f t="shared" si="684"/>
        <v>0</v>
      </c>
      <c r="CG523" s="246"/>
      <c r="CH523" s="229">
        <f t="shared" si="685"/>
        <v>0</v>
      </c>
      <c r="CI523" s="228">
        <v>35</v>
      </c>
      <c r="CJ523" s="229">
        <f t="shared" si="686"/>
        <v>48</v>
      </c>
      <c r="CK523" s="234">
        <f t="shared" si="687"/>
        <v>3.0748170731707316</v>
      </c>
      <c r="CL523" s="234" cm="1">
        <f t="array" ref="CL523">$BM523 * SUMPRODUCT(INDEX($AV$76:$AX$81,,$AI523),INDEX($AY$76:$BE$81,,$AH523), N($AU$76:$AU$81&gt;$AM523)) / CK523 / 1000</f>
        <v>0</v>
      </c>
      <c r="CM523" s="231">
        <f t="shared" si="667"/>
        <v>30</v>
      </c>
      <c r="CN523" s="229">
        <f t="shared" si="688"/>
        <v>43</v>
      </c>
      <c r="CO523" s="234">
        <f t="shared" si="689"/>
        <v>3.5018750000000001</v>
      </c>
      <c r="CP523" s="234" cm="1">
        <f t="array" ref="CP523">$BM523 * IF($AH523&lt;=2,
SUMPRODUCT(INDEX($AV$71:$AX$75,,$AI523), INDEX($AY$71:$BE$75,,$AH523), 1 / ($BF$71:$BF$75*CO523 + (1-$BF$71:$BF$75)*CK523), N($AU$71:$AU$75&gt;$AM523)),
SUMPRODUCT(INDEX($AV$66:$AX$75,,$AI523), INDEX($AY$66:$BE$75,,$AH523), 1 / ($BG$66:$BG$75*CO523 + (1-$BG$66:$BG$75)*CK523), N($AU$66:$AU$75&gt;$AM523))
) / 1000</f>
        <v>0</v>
      </c>
      <c r="CQ523" s="231">
        <f t="shared" si="668"/>
        <v>25</v>
      </c>
      <c r="CR523" s="229">
        <f t="shared" si="690"/>
        <v>38</v>
      </c>
      <c r="CS523" s="234">
        <f t="shared" si="691"/>
        <v>4.0666935483870965</v>
      </c>
      <c r="CT523" s="234" cm="1">
        <f t="array" ref="CT523">$BM523 * IF($AH523&lt;=2,
SUMPRODUCT(INDEX($AV$66:$AX$70,,$AI523), INDEX($AY$66:$BE$70,,$AH523), 1 / ($BF$66:$BF$70*CS523 + (1-$BF$66:$BF$70)*CO523), N($AU$66:$AU$70&gt;$AM523)),
SUMPRODUCT(INDEX($AV$56:$AX$65,,$AI523), INDEX($AY$56:$BE$65,,$AH523), 1 / ($BG$56:$BG$65*CS523 + (1-$BG$56:$BG$65)*CO523), N($AU$56:$AU$65&gt;$AM523))
) / 1000</f>
        <v>0</v>
      </c>
      <c r="CU523" s="231">
        <f t="shared" si="669"/>
        <v>20</v>
      </c>
      <c r="CV523" s="229">
        <f t="shared" si="692"/>
        <v>33</v>
      </c>
      <c r="CW523" s="234">
        <f t="shared" si="693"/>
        <v>4.8487499999999999</v>
      </c>
      <c r="CX523" s="234" cm="1">
        <f t="array" ref="CX523">$BM523 * IF($AH523&lt;=2,
SUMPRODUCT(INDEX($AV$61:$AX$65,,$AI523), INDEX($AY$61:$BE$65,,$AH523), 1 / ($BF$61:$BF$65*CW523 + (1-$BF$61:$BF$65)*CS523), N($AU$61:$AU$65&gt;$AM523)),
SUMPRODUCT(INDEX($AV$46:$AX$55,,$AI523), INDEX($AY$46:$BE$55,,$AH523), 1 / ($BG$46:$BG$55*CW523 + (1-$BG$46:$BG$55)*CS523), N($AU$46:$AU$55&gt;$AM523))
) / 1000</f>
        <v>0</v>
      </c>
      <c r="CY523" s="234" cm="1">
        <f t="array" ref="CY523">$BM523 * IF($AH523&lt;=2,
SUMPRODUCT(INDEX($AV$22:$AX$60,,$AI523), INDEX($AY$22:$BE$60,,$AH523), 1 / ($BF$22:$BF$60*CW523), N($AU$22:$AU$60&gt;$AM523)),
SUMPRODUCT(INDEX($AV$22:$AX$45,,$AI523), INDEX($AY$22:$BE$45,,$AH523), 1 / ($BG$22:$BG$45*CW523), N($AU$22:$AU$45&gt;$AM523))
) / 1000</f>
        <v>0</v>
      </c>
      <c r="CZ523" s="229">
        <f t="shared" si="694"/>
        <v>0</v>
      </c>
      <c r="DA523" s="246"/>
    </row>
    <row r="524" spans="1:105" s="75" customFormat="1" ht="14.25" customHeight="1" x14ac:dyDescent="0.2">
      <c r="A524" s="230" t="b">
        <f t="shared" si="661"/>
        <v>0</v>
      </c>
      <c r="B524" s="253">
        <v>503</v>
      </c>
      <c r="C524" s="266"/>
      <c r="D524" s="266"/>
      <c r="E524" s="254"/>
      <c r="F524" s="255" t="str">
        <f>IF(ISBLANK(E524), "", VLOOKUP(E524, Z!$A$2:$C$4127, 3, FALSE))</f>
        <v/>
      </c>
      <c r="G524" s="256"/>
      <c r="H524" s="256"/>
      <c r="I524" s="256"/>
      <c r="J524" s="257"/>
      <c r="K524" s="258"/>
      <c r="L524" s="267"/>
      <c r="M524" s="268"/>
      <c r="N524" s="259" t="str" cm="1">
        <f t="array" ref="N524">IF($L524&gt;0, INDEX(Clean,1+AK524,$D$1), "")</f>
        <v/>
      </c>
      <c r="O524" s="260"/>
      <c r="P524" s="260"/>
      <c r="Q524" s="261"/>
      <c r="R524" s="264">
        <f t="shared" si="670"/>
        <v>0</v>
      </c>
      <c r="S524" s="259" t="str" cm="1">
        <f t="array" ref="S524">IF($L524&gt;0, INDEX(Clean,1+AL524,$D$1), "")</f>
        <v/>
      </c>
      <c r="T524" s="260"/>
      <c r="U524" s="260"/>
      <c r="V524" s="261"/>
      <c r="W524" s="267"/>
      <c r="X524" s="267"/>
      <c r="Y524" s="257"/>
      <c r="Z524" s="264">
        <f t="shared" si="671"/>
        <v>0</v>
      </c>
      <c r="AA524" s="269"/>
      <c r="AB524" s="266"/>
      <c r="AC524" s="254"/>
      <c r="AD524" s="255" t="str">
        <f>IF(ISBLANK(AC524), "", VLOOKUP(AC524, Z!$A$2:$C$4127, 3, FALSE))</f>
        <v/>
      </c>
      <c r="AE524" s="270"/>
      <c r="AF524" s="265">
        <f t="shared" si="672"/>
        <v>0</v>
      </c>
      <c r="AG524" s="246"/>
      <c r="AH524" s="228">
        <f t="shared" si="695"/>
        <v>1</v>
      </c>
      <c r="AI524" s="228">
        <f t="shared" si="696"/>
        <v>1</v>
      </c>
      <c r="AJ524" s="228">
        <f t="shared" si="697"/>
        <v>0</v>
      </c>
      <c r="AK524" s="228">
        <v>0</v>
      </c>
      <c r="AL524" s="228">
        <v>0</v>
      </c>
      <c r="AM524" s="228">
        <f t="shared" si="673"/>
        <v>-100</v>
      </c>
      <c r="AN524" s="228" cm="1">
        <f t="array" ref="AN524">IF(ISBLANK(G524), 1, IFERROR(MATCH(G524, INDEX(Kat,,1), 0), IFERROR(MATCH(Kat, INDEX(Use,,2), 0), MATCH(Kat, INDEX(Use,,3), 0))))</f>
        <v>1</v>
      </c>
      <c r="AO524" s="246"/>
      <c r="AP524" s="228" cm="1">
        <f t="array" ref="AP524">IF(W524&gt;0, INDEX(Kat, AN524,4), 0)</f>
        <v>0</v>
      </c>
      <c r="AQ524" s="228">
        <f t="shared" si="698"/>
        <v>0</v>
      </c>
      <c r="AR524" s="228" cm="1">
        <f t="array" ref="AR524">IF(X524&gt;0, INDEX(Kat, $AN524, 4+AQ524), 0)</f>
        <v>0</v>
      </c>
      <c r="AS524" s="228" cm="1">
        <f t="array" ref="AS524">IF(X524&gt;0, INDEX(Kat, $AN524, 9+AQ524), 0)</f>
        <v>0</v>
      </c>
      <c r="AT524" s="246"/>
      <c r="AU524" s="262"/>
      <c r="AV524" s="262"/>
      <c r="AW524" s="263"/>
      <c r="AX524" s="263"/>
      <c r="AY524" s="263"/>
      <c r="AZ524" s="263"/>
      <c r="BA524" s="263"/>
      <c r="BB524" s="263"/>
      <c r="BC524" s="263"/>
      <c r="BD524" s="263"/>
      <c r="BE524" s="263"/>
      <c r="BF524" s="263"/>
      <c r="BG524" s="263"/>
      <c r="BH524" s="246"/>
      <c r="BI524" s="228" cm="1">
        <f t="array" ref="BI524">INDEX(Use, $AH524, 4)</f>
        <v>7</v>
      </c>
      <c r="BJ524" s="228">
        <f t="shared" si="674"/>
        <v>32</v>
      </c>
      <c r="BK524" s="228">
        <f t="shared" si="662"/>
        <v>13</v>
      </c>
      <c r="BL524" s="228">
        <f t="shared" si="663"/>
        <v>0</v>
      </c>
      <c r="BM524" s="233" cm="1">
        <f t="array" ref="BM524">L524/IF($M524&gt;0, INDEX($AY$22:$BE$76, $M524+20, $AH524), 1)</f>
        <v>0</v>
      </c>
      <c r="BN524" s="229">
        <f t="shared" si="675"/>
        <v>0</v>
      </c>
      <c r="BO524" s="228">
        <v>35</v>
      </c>
      <c r="BP524" s="229">
        <f t="shared" si="676"/>
        <v>48</v>
      </c>
      <c r="BQ524" s="234">
        <f t="shared" si="677"/>
        <v>3.0748170731707316</v>
      </c>
      <c r="BR524" s="234" cm="1">
        <f t="array" ref="BR524">$BM524 * SUMPRODUCT(INDEX($AV$76:$AX$81,,$AI524),INDEX($AY$76:$BE$81,,$AH524), N($AU$76:$AU$81&gt;$AM524)) / BQ524 / 1000</f>
        <v>0</v>
      </c>
      <c r="BS524" s="231">
        <f t="shared" si="664"/>
        <v>30</v>
      </c>
      <c r="BT524" s="229">
        <f t="shared" si="678"/>
        <v>43</v>
      </c>
      <c r="BU524" s="234">
        <f t="shared" si="679"/>
        <v>3.5018750000000001</v>
      </c>
      <c r="BV524" s="234" cm="1">
        <f t="array" ref="BV524">$BM524 * IF($AH524&lt;=2,
SUMPRODUCT(INDEX($AV$71:$AX$75,,$AI524), INDEX($AY$71:$BE$75,,$AH524), 1 / ($BF$71:$BF$75*BU524 + (1-$BF$71:$BF$75)*BQ524), N($AU$71:$AU$75&gt;$AM524)),
SUMPRODUCT(INDEX($AV$66:$AX$75,,$AI524), INDEX($AY$66:$BE$75,,$AH524), 1 / ($BG$66:$BG$75*BU524 + (1-$BG$66:$BG$75)*BQ524), N($AU$66:$AU$75&gt;$AM524))
) / 1000</f>
        <v>0</v>
      </c>
      <c r="BW524" s="231">
        <f t="shared" si="665"/>
        <v>25</v>
      </c>
      <c r="BX524" s="229">
        <f t="shared" si="680"/>
        <v>38</v>
      </c>
      <c r="BY524" s="234">
        <f t="shared" si="681"/>
        <v>4.0666935483870965</v>
      </c>
      <c r="BZ524" s="234" cm="1">
        <f t="array" ref="BZ524">$BM524 * IF($AH524&lt;=2,
SUMPRODUCT(INDEX($AV$66:$AX$70,,$AI524), INDEX($AY$66:$BE$70,,$AH524), 1 / ($BF$66:$BF$70*BY524 + (1-$BF$66:$BF$70)*BU524), N($AU$66:$AU$70&gt;$AM524)),
SUMPRODUCT(INDEX($AV$56:$AX$65,,$AI524), INDEX($AY$56:$BE$65,,$AH524), 1 / ($BG$56:$BG$65*BY524 + (1-$BG$56:$BG$65)*BU524), N($AU$56:$AU$65&gt;$AM524))
) / 1000</f>
        <v>0</v>
      </c>
      <c r="CA524" s="231">
        <f t="shared" si="666"/>
        <v>20</v>
      </c>
      <c r="CB524" s="229">
        <f t="shared" si="682"/>
        <v>33</v>
      </c>
      <c r="CC524" s="234">
        <f t="shared" si="683"/>
        <v>4.8487499999999999</v>
      </c>
      <c r="CD524" s="234" cm="1">
        <f t="array" ref="CD524">$BM524 * IF($AH524&lt;=2,
SUMPRODUCT(INDEX($AV$61:$AX$65,,$AI524), INDEX($AY$61:$BE$65,,$AH524), 1 / ($BF$61:$BF$65*CC524 + (1-$BF$61:$BF$65)*BY524), N($AU$61:$AU$65&gt;$AM524)),
SUMPRODUCT(INDEX($AV$46:$AX$55,,$AI524), INDEX($AY$46:$BE$55,,$AH524), 1 / ($BG$46:$BG$55*CC524 + (1-$BG$46:$BG$55)*BY524), N($AU$46:$AU$55&gt;$AM524))
) / 1000</f>
        <v>0</v>
      </c>
      <c r="CE524" s="234" cm="1">
        <f t="array" ref="CE524">$BM524 * IF($AH524&lt;=2,
SUMPRODUCT(INDEX($AV$22:$AX$60,,$AI524), INDEX($AY$22:$BE$60,,$AH524), 1 / ($BF$22:$BF$60*CC524), N($AU$22:$AU$60&gt;$AM524)),
SUMPRODUCT(INDEX($AV$22:$AX$45,,$AI524), INDEX($AY$22:$BE$45,,$AH524), 1 / ($BG$22:$BG$45*CC524), N($AU$22:$AU$45&gt;$AM524))
) / 1000</f>
        <v>0</v>
      </c>
      <c r="CF524" s="229">
        <f t="shared" si="684"/>
        <v>0</v>
      </c>
      <c r="CG524" s="246"/>
      <c r="CH524" s="229">
        <f t="shared" si="685"/>
        <v>0</v>
      </c>
      <c r="CI524" s="228">
        <v>35</v>
      </c>
      <c r="CJ524" s="229">
        <f t="shared" si="686"/>
        <v>48</v>
      </c>
      <c r="CK524" s="234">
        <f t="shared" si="687"/>
        <v>3.0748170731707316</v>
      </c>
      <c r="CL524" s="234" cm="1">
        <f t="array" ref="CL524">$BM524 * SUMPRODUCT(INDEX($AV$76:$AX$81,,$AI524),INDEX($AY$76:$BE$81,,$AH524), N($AU$76:$AU$81&gt;$AM524)) / CK524 / 1000</f>
        <v>0</v>
      </c>
      <c r="CM524" s="231">
        <f t="shared" si="667"/>
        <v>30</v>
      </c>
      <c r="CN524" s="229">
        <f t="shared" si="688"/>
        <v>43</v>
      </c>
      <c r="CO524" s="234">
        <f t="shared" si="689"/>
        <v>3.5018750000000001</v>
      </c>
      <c r="CP524" s="234" cm="1">
        <f t="array" ref="CP524">$BM524 * IF($AH524&lt;=2,
SUMPRODUCT(INDEX($AV$71:$AX$75,,$AI524), INDEX($AY$71:$BE$75,,$AH524), 1 / ($BF$71:$BF$75*CO524 + (1-$BF$71:$BF$75)*CK524), N($AU$71:$AU$75&gt;$AM524)),
SUMPRODUCT(INDEX($AV$66:$AX$75,,$AI524), INDEX($AY$66:$BE$75,,$AH524), 1 / ($BG$66:$BG$75*CO524 + (1-$BG$66:$BG$75)*CK524), N($AU$66:$AU$75&gt;$AM524))
) / 1000</f>
        <v>0</v>
      </c>
      <c r="CQ524" s="231">
        <f t="shared" si="668"/>
        <v>25</v>
      </c>
      <c r="CR524" s="229">
        <f t="shared" si="690"/>
        <v>38</v>
      </c>
      <c r="CS524" s="234">
        <f t="shared" si="691"/>
        <v>4.0666935483870965</v>
      </c>
      <c r="CT524" s="234" cm="1">
        <f t="array" ref="CT524">$BM524 * IF($AH524&lt;=2,
SUMPRODUCT(INDEX($AV$66:$AX$70,,$AI524), INDEX($AY$66:$BE$70,,$AH524), 1 / ($BF$66:$BF$70*CS524 + (1-$BF$66:$BF$70)*CO524), N($AU$66:$AU$70&gt;$AM524)),
SUMPRODUCT(INDEX($AV$56:$AX$65,,$AI524), INDEX($AY$56:$BE$65,,$AH524), 1 / ($BG$56:$BG$65*CS524 + (1-$BG$56:$BG$65)*CO524), N($AU$56:$AU$65&gt;$AM524))
) / 1000</f>
        <v>0</v>
      </c>
      <c r="CU524" s="231">
        <f t="shared" si="669"/>
        <v>20</v>
      </c>
      <c r="CV524" s="229">
        <f t="shared" si="692"/>
        <v>33</v>
      </c>
      <c r="CW524" s="234">
        <f t="shared" si="693"/>
        <v>4.8487499999999999</v>
      </c>
      <c r="CX524" s="234" cm="1">
        <f t="array" ref="CX524">$BM524 * IF($AH524&lt;=2,
SUMPRODUCT(INDEX($AV$61:$AX$65,,$AI524), INDEX($AY$61:$BE$65,,$AH524), 1 / ($BF$61:$BF$65*CW524 + (1-$BF$61:$BF$65)*CS524), N($AU$61:$AU$65&gt;$AM524)),
SUMPRODUCT(INDEX($AV$46:$AX$55,,$AI524), INDEX($AY$46:$BE$55,,$AH524), 1 / ($BG$46:$BG$55*CW524 + (1-$BG$46:$BG$55)*CS524), N($AU$46:$AU$55&gt;$AM524))
) / 1000</f>
        <v>0</v>
      </c>
      <c r="CY524" s="234" cm="1">
        <f t="array" ref="CY524">$BM524 * IF($AH524&lt;=2,
SUMPRODUCT(INDEX($AV$22:$AX$60,,$AI524), INDEX($AY$22:$BE$60,,$AH524), 1 / ($BF$22:$BF$60*CW524), N($AU$22:$AU$60&gt;$AM524)),
SUMPRODUCT(INDEX($AV$22:$AX$45,,$AI524), INDEX($AY$22:$BE$45,,$AH524), 1 / ($BG$22:$BG$45*CW524), N($AU$22:$AU$45&gt;$AM524))
) / 1000</f>
        <v>0</v>
      </c>
      <c r="CZ524" s="229">
        <f t="shared" si="694"/>
        <v>0</v>
      </c>
      <c r="DA524" s="246"/>
    </row>
    <row r="525" spans="1:105" s="75" customFormat="1" ht="14.25" customHeight="1" x14ac:dyDescent="0.2">
      <c r="A525" s="230" t="b">
        <f t="shared" si="661"/>
        <v>0</v>
      </c>
      <c r="B525" s="253">
        <v>504</v>
      </c>
      <c r="C525" s="266"/>
      <c r="D525" s="266"/>
      <c r="E525" s="254"/>
      <c r="F525" s="255" t="str">
        <f>IF(ISBLANK(E525), "", VLOOKUP(E525, Z!$A$2:$C$4127, 3, FALSE))</f>
        <v/>
      </c>
      <c r="G525" s="256"/>
      <c r="H525" s="256"/>
      <c r="I525" s="256"/>
      <c r="J525" s="257"/>
      <c r="K525" s="258"/>
      <c r="L525" s="267"/>
      <c r="M525" s="268"/>
      <c r="N525" s="259" t="str" cm="1">
        <f t="array" ref="N525">IF($L525&gt;0, INDEX(Clean,1+AK525,$D$1), "")</f>
        <v/>
      </c>
      <c r="O525" s="260"/>
      <c r="P525" s="260"/>
      <c r="Q525" s="261"/>
      <c r="R525" s="264">
        <f t="shared" si="670"/>
        <v>0</v>
      </c>
      <c r="S525" s="259" t="str" cm="1">
        <f t="array" ref="S525">IF($L525&gt;0, INDEX(Clean,1+AL525,$D$1), "")</f>
        <v/>
      </c>
      <c r="T525" s="260"/>
      <c r="U525" s="260"/>
      <c r="V525" s="261"/>
      <c r="W525" s="267"/>
      <c r="X525" s="267"/>
      <c r="Y525" s="257"/>
      <c r="Z525" s="264">
        <f t="shared" si="671"/>
        <v>0</v>
      </c>
      <c r="AA525" s="269"/>
      <c r="AB525" s="266"/>
      <c r="AC525" s="254"/>
      <c r="AD525" s="255" t="str">
        <f>IF(ISBLANK(AC525), "", VLOOKUP(AC525, Z!$A$2:$C$4127, 3, FALSE))</f>
        <v/>
      </c>
      <c r="AE525" s="270"/>
      <c r="AF525" s="265">
        <f t="shared" si="672"/>
        <v>0</v>
      </c>
      <c r="AG525" s="246"/>
      <c r="AH525" s="228">
        <f t="shared" si="695"/>
        <v>1</v>
      </c>
      <c r="AI525" s="228">
        <f t="shared" si="696"/>
        <v>1</v>
      </c>
      <c r="AJ525" s="228">
        <f t="shared" si="697"/>
        <v>0</v>
      </c>
      <c r="AK525" s="228">
        <v>0</v>
      </c>
      <c r="AL525" s="228">
        <v>0</v>
      </c>
      <c r="AM525" s="228">
        <f t="shared" si="673"/>
        <v>-100</v>
      </c>
      <c r="AN525" s="228" cm="1">
        <f t="array" ref="AN525">IF(ISBLANK(G525), 1, IFERROR(MATCH(G525, INDEX(Kat,,1), 0), IFERROR(MATCH(Kat, INDEX(Use,,2), 0), MATCH(Kat, INDEX(Use,,3), 0))))</f>
        <v>1</v>
      </c>
      <c r="AO525" s="246"/>
      <c r="AP525" s="228" cm="1">
        <f t="array" ref="AP525">IF(W525&gt;0, INDEX(Kat, AN525,4), 0)</f>
        <v>0</v>
      </c>
      <c r="AQ525" s="228">
        <f t="shared" si="698"/>
        <v>0</v>
      </c>
      <c r="AR525" s="228" cm="1">
        <f t="array" ref="AR525">IF(X525&gt;0, INDEX(Kat, $AN525, 4+AQ525), 0)</f>
        <v>0</v>
      </c>
      <c r="AS525" s="228" cm="1">
        <f t="array" ref="AS525">IF(X525&gt;0, INDEX(Kat, $AN525, 9+AQ525), 0)</f>
        <v>0</v>
      </c>
      <c r="AT525" s="246"/>
      <c r="AU525" s="262"/>
      <c r="AV525" s="262"/>
      <c r="AW525" s="263"/>
      <c r="AX525" s="263"/>
      <c r="AY525" s="263"/>
      <c r="AZ525" s="263"/>
      <c r="BA525" s="263"/>
      <c r="BB525" s="263"/>
      <c r="BC525" s="263"/>
      <c r="BD525" s="263"/>
      <c r="BE525" s="263"/>
      <c r="BF525" s="263"/>
      <c r="BG525" s="263"/>
      <c r="BH525" s="246"/>
      <c r="BI525" s="228" cm="1">
        <f t="array" ref="BI525">INDEX(Use, $AH525, 4)</f>
        <v>7</v>
      </c>
      <c r="BJ525" s="228">
        <f t="shared" si="674"/>
        <v>32</v>
      </c>
      <c r="BK525" s="228">
        <f t="shared" si="662"/>
        <v>13</v>
      </c>
      <c r="BL525" s="228">
        <f t="shared" si="663"/>
        <v>0</v>
      </c>
      <c r="BM525" s="233" cm="1">
        <f t="array" ref="BM525">L525/IF($M525&gt;0, INDEX($AY$22:$BE$76, $M525+20, $AH525), 1)</f>
        <v>0</v>
      </c>
      <c r="BN525" s="229">
        <f t="shared" si="675"/>
        <v>0</v>
      </c>
      <c r="BO525" s="228">
        <v>35</v>
      </c>
      <c r="BP525" s="229">
        <f t="shared" si="676"/>
        <v>48</v>
      </c>
      <c r="BQ525" s="234">
        <f t="shared" si="677"/>
        <v>3.0748170731707316</v>
      </c>
      <c r="BR525" s="234" cm="1">
        <f t="array" ref="BR525">$BM525 * SUMPRODUCT(INDEX($AV$76:$AX$81,,$AI525),INDEX($AY$76:$BE$81,,$AH525), N($AU$76:$AU$81&gt;$AM525)) / BQ525 / 1000</f>
        <v>0</v>
      </c>
      <c r="BS525" s="231">
        <f t="shared" si="664"/>
        <v>30</v>
      </c>
      <c r="BT525" s="229">
        <f t="shared" si="678"/>
        <v>43</v>
      </c>
      <c r="BU525" s="234">
        <f t="shared" si="679"/>
        <v>3.5018750000000001</v>
      </c>
      <c r="BV525" s="234" cm="1">
        <f t="array" ref="BV525">$BM525 * IF($AH525&lt;=2,
SUMPRODUCT(INDEX($AV$71:$AX$75,,$AI525), INDEX($AY$71:$BE$75,,$AH525), 1 / ($BF$71:$BF$75*BU525 + (1-$BF$71:$BF$75)*BQ525), N($AU$71:$AU$75&gt;$AM525)),
SUMPRODUCT(INDEX($AV$66:$AX$75,,$AI525), INDEX($AY$66:$BE$75,,$AH525), 1 / ($BG$66:$BG$75*BU525 + (1-$BG$66:$BG$75)*BQ525), N($AU$66:$AU$75&gt;$AM525))
) / 1000</f>
        <v>0</v>
      </c>
      <c r="BW525" s="231">
        <f t="shared" si="665"/>
        <v>25</v>
      </c>
      <c r="BX525" s="229">
        <f t="shared" si="680"/>
        <v>38</v>
      </c>
      <c r="BY525" s="234">
        <f t="shared" si="681"/>
        <v>4.0666935483870965</v>
      </c>
      <c r="BZ525" s="234" cm="1">
        <f t="array" ref="BZ525">$BM525 * IF($AH525&lt;=2,
SUMPRODUCT(INDEX($AV$66:$AX$70,,$AI525), INDEX($AY$66:$BE$70,,$AH525), 1 / ($BF$66:$BF$70*BY525 + (1-$BF$66:$BF$70)*BU525), N($AU$66:$AU$70&gt;$AM525)),
SUMPRODUCT(INDEX($AV$56:$AX$65,,$AI525), INDEX($AY$56:$BE$65,,$AH525), 1 / ($BG$56:$BG$65*BY525 + (1-$BG$56:$BG$65)*BU525), N($AU$56:$AU$65&gt;$AM525))
) / 1000</f>
        <v>0</v>
      </c>
      <c r="CA525" s="231">
        <f t="shared" si="666"/>
        <v>20</v>
      </c>
      <c r="CB525" s="229">
        <f t="shared" si="682"/>
        <v>33</v>
      </c>
      <c r="CC525" s="234">
        <f t="shared" si="683"/>
        <v>4.8487499999999999</v>
      </c>
      <c r="CD525" s="234" cm="1">
        <f t="array" ref="CD525">$BM525 * IF($AH525&lt;=2,
SUMPRODUCT(INDEX($AV$61:$AX$65,,$AI525), INDEX($AY$61:$BE$65,,$AH525), 1 / ($BF$61:$BF$65*CC525 + (1-$BF$61:$BF$65)*BY525), N($AU$61:$AU$65&gt;$AM525)),
SUMPRODUCT(INDEX($AV$46:$AX$55,,$AI525), INDEX($AY$46:$BE$55,,$AH525), 1 / ($BG$46:$BG$55*CC525 + (1-$BG$46:$BG$55)*BY525), N($AU$46:$AU$55&gt;$AM525))
) / 1000</f>
        <v>0</v>
      </c>
      <c r="CE525" s="234" cm="1">
        <f t="array" ref="CE525">$BM525 * IF($AH525&lt;=2,
SUMPRODUCT(INDEX($AV$22:$AX$60,,$AI525), INDEX($AY$22:$BE$60,,$AH525), 1 / ($BF$22:$BF$60*CC525), N($AU$22:$AU$60&gt;$AM525)),
SUMPRODUCT(INDEX($AV$22:$AX$45,,$AI525), INDEX($AY$22:$BE$45,,$AH525), 1 / ($BG$22:$BG$45*CC525), N($AU$22:$AU$45&gt;$AM525))
) / 1000</f>
        <v>0</v>
      </c>
      <c r="CF525" s="229">
        <f t="shared" si="684"/>
        <v>0</v>
      </c>
      <c r="CG525" s="246"/>
      <c r="CH525" s="229">
        <f t="shared" si="685"/>
        <v>0</v>
      </c>
      <c r="CI525" s="228">
        <v>35</v>
      </c>
      <c r="CJ525" s="229">
        <f t="shared" si="686"/>
        <v>48</v>
      </c>
      <c r="CK525" s="234">
        <f t="shared" si="687"/>
        <v>3.0748170731707316</v>
      </c>
      <c r="CL525" s="234" cm="1">
        <f t="array" ref="CL525">$BM525 * SUMPRODUCT(INDEX($AV$76:$AX$81,,$AI525),INDEX($AY$76:$BE$81,,$AH525), N($AU$76:$AU$81&gt;$AM525)) / CK525 / 1000</f>
        <v>0</v>
      </c>
      <c r="CM525" s="231">
        <f t="shared" si="667"/>
        <v>30</v>
      </c>
      <c r="CN525" s="229">
        <f t="shared" si="688"/>
        <v>43</v>
      </c>
      <c r="CO525" s="234">
        <f t="shared" si="689"/>
        <v>3.5018750000000001</v>
      </c>
      <c r="CP525" s="234" cm="1">
        <f t="array" ref="CP525">$BM525 * IF($AH525&lt;=2,
SUMPRODUCT(INDEX($AV$71:$AX$75,,$AI525), INDEX($AY$71:$BE$75,,$AH525), 1 / ($BF$71:$BF$75*CO525 + (1-$BF$71:$BF$75)*CK525), N($AU$71:$AU$75&gt;$AM525)),
SUMPRODUCT(INDEX($AV$66:$AX$75,,$AI525), INDEX($AY$66:$BE$75,,$AH525), 1 / ($BG$66:$BG$75*CO525 + (1-$BG$66:$BG$75)*CK525), N($AU$66:$AU$75&gt;$AM525))
) / 1000</f>
        <v>0</v>
      </c>
      <c r="CQ525" s="231">
        <f t="shared" si="668"/>
        <v>25</v>
      </c>
      <c r="CR525" s="229">
        <f t="shared" si="690"/>
        <v>38</v>
      </c>
      <c r="CS525" s="234">
        <f t="shared" si="691"/>
        <v>4.0666935483870965</v>
      </c>
      <c r="CT525" s="234" cm="1">
        <f t="array" ref="CT525">$BM525 * IF($AH525&lt;=2,
SUMPRODUCT(INDEX($AV$66:$AX$70,,$AI525), INDEX($AY$66:$BE$70,,$AH525), 1 / ($BF$66:$BF$70*CS525 + (1-$BF$66:$BF$70)*CO525), N($AU$66:$AU$70&gt;$AM525)),
SUMPRODUCT(INDEX($AV$56:$AX$65,,$AI525), INDEX($AY$56:$BE$65,,$AH525), 1 / ($BG$56:$BG$65*CS525 + (1-$BG$56:$BG$65)*CO525), N($AU$56:$AU$65&gt;$AM525))
) / 1000</f>
        <v>0</v>
      </c>
      <c r="CU525" s="231">
        <f t="shared" si="669"/>
        <v>20</v>
      </c>
      <c r="CV525" s="229">
        <f t="shared" si="692"/>
        <v>33</v>
      </c>
      <c r="CW525" s="234">
        <f t="shared" si="693"/>
        <v>4.8487499999999999</v>
      </c>
      <c r="CX525" s="234" cm="1">
        <f t="array" ref="CX525">$BM525 * IF($AH525&lt;=2,
SUMPRODUCT(INDEX($AV$61:$AX$65,,$AI525), INDEX($AY$61:$BE$65,,$AH525), 1 / ($BF$61:$BF$65*CW525 + (1-$BF$61:$BF$65)*CS525), N($AU$61:$AU$65&gt;$AM525)),
SUMPRODUCT(INDEX($AV$46:$AX$55,,$AI525), INDEX($AY$46:$BE$55,,$AH525), 1 / ($BG$46:$BG$55*CW525 + (1-$BG$46:$BG$55)*CS525), N($AU$46:$AU$55&gt;$AM525))
) / 1000</f>
        <v>0</v>
      </c>
      <c r="CY525" s="234" cm="1">
        <f t="array" ref="CY525">$BM525 * IF($AH525&lt;=2,
SUMPRODUCT(INDEX($AV$22:$AX$60,,$AI525), INDEX($AY$22:$BE$60,,$AH525), 1 / ($BF$22:$BF$60*CW525), N($AU$22:$AU$60&gt;$AM525)),
SUMPRODUCT(INDEX($AV$22:$AX$45,,$AI525), INDEX($AY$22:$BE$45,,$AH525), 1 / ($BG$22:$BG$45*CW525), N($AU$22:$AU$45&gt;$AM525))
) / 1000</f>
        <v>0</v>
      </c>
      <c r="CZ525" s="229">
        <f t="shared" si="694"/>
        <v>0</v>
      </c>
      <c r="DA525" s="246"/>
    </row>
    <row r="526" spans="1:105" s="75" customFormat="1" ht="14.25" customHeight="1" x14ac:dyDescent="0.2">
      <c r="A526" s="230" t="b">
        <f t="shared" si="661"/>
        <v>0</v>
      </c>
      <c r="B526" s="253">
        <v>505</v>
      </c>
      <c r="C526" s="266"/>
      <c r="D526" s="266"/>
      <c r="E526" s="254"/>
      <c r="F526" s="255" t="str">
        <f>IF(ISBLANK(E526), "", VLOOKUP(E526, Z!$A$2:$C$4127, 3, FALSE))</f>
        <v/>
      </c>
      <c r="G526" s="256"/>
      <c r="H526" s="256"/>
      <c r="I526" s="256"/>
      <c r="J526" s="257"/>
      <c r="K526" s="258"/>
      <c r="L526" s="267"/>
      <c r="M526" s="268"/>
      <c r="N526" s="259" t="str" cm="1">
        <f t="array" ref="N526">IF($L526&gt;0, INDEX(Clean,1+AK526,$D$1), "")</f>
        <v/>
      </c>
      <c r="O526" s="260"/>
      <c r="P526" s="260"/>
      <c r="Q526" s="261"/>
      <c r="R526" s="264">
        <f t="shared" si="670"/>
        <v>0</v>
      </c>
      <c r="S526" s="259" t="str" cm="1">
        <f t="array" ref="S526">IF($L526&gt;0, INDEX(Clean,1+AL526,$D$1), "")</f>
        <v/>
      </c>
      <c r="T526" s="260"/>
      <c r="U526" s="260"/>
      <c r="V526" s="261"/>
      <c r="W526" s="267"/>
      <c r="X526" s="267"/>
      <c r="Y526" s="257"/>
      <c r="Z526" s="264">
        <f t="shared" si="671"/>
        <v>0</v>
      </c>
      <c r="AA526" s="269"/>
      <c r="AB526" s="266"/>
      <c r="AC526" s="254"/>
      <c r="AD526" s="255" t="str">
        <f>IF(ISBLANK(AC526), "", VLOOKUP(AC526, Z!$A$2:$C$4127, 3, FALSE))</f>
        <v/>
      </c>
      <c r="AE526" s="270"/>
      <c r="AF526" s="265">
        <f t="shared" si="672"/>
        <v>0</v>
      </c>
      <c r="AG526" s="246"/>
      <c r="AH526" s="228">
        <f t="shared" si="695"/>
        <v>1</v>
      </c>
      <c r="AI526" s="228">
        <f t="shared" si="696"/>
        <v>1</v>
      </c>
      <c r="AJ526" s="228">
        <f t="shared" si="697"/>
        <v>0</v>
      </c>
      <c r="AK526" s="228">
        <v>0</v>
      </c>
      <c r="AL526" s="228">
        <v>0</v>
      </c>
      <c r="AM526" s="228">
        <f t="shared" si="673"/>
        <v>-100</v>
      </c>
      <c r="AN526" s="228" cm="1">
        <f t="array" ref="AN526">IF(ISBLANK(G526), 1, IFERROR(MATCH(G526, INDEX(Kat,,1), 0), IFERROR(MATCH(Kat, INDEX(Use,,2), 0), MATCH(Kat, INDEX(Use,,3), 0))))</f>
        <v>1</v>
      </c>
      <c r="AO526" s="246"/>
      <c r="AP526" s="228" cm="1">
        <f t="array" ref="AP526">IF(W526&gt;0, INDEX(Kat, AN526,4), 0)</f>
        <v>0</v>
      </c>
      <c r="AQ526" s="228">
        <f t="shared" si="698"/>
        <v>0</v>
      </c>
      <c r="AR526" s="228" cm="1">
        <f t="array" ref="AR526">IF(X526&gt;0, INDEX(Kat, $AN526, 4+AQ526), 0)</f>
        <v>0</v>
      </c>
      <c r="AS526" s="228" cm="1">
        <f t="array" ref="AS526">IF(X526&gt;0, INDEX(Kat, $AN526, 9+AQ526), 0)</f>
        <v>0</v>
      </c>
      <c r="AT526" s="246"/>
      <c r="AU526" s="262"/>
      <c r="AV526" s="262"/>
      <c r="AW526" s="263"/>
      <c r="AX526" s="263"/>
      <c r="AY526" s="263"/>
      <c r="AZ526" s="263"/>
      <c r="BA526" s="263"/>
      <c r="BB526" s="263"/>
      <c r="BC526" s="263"/>
      <c r="BD526" s="263"/>
      <c r="BE526" s="263"/>
      <c r="BF526" s="263"/>
      <c r="BG526" s="263"/>
      <c r="BH526" s="246"/>
      <c r="BI526" s="228" cm="1">
        <f t="array" ref="BI526">INDEX(Use, $AH526, 4)</f>
        <v>7</v>
      </c>
      <c r="BJ526" s="228">
        <f t="shared" si="674"/>
        <v>32</v>
      </c>
      <c r="BK526" s="228">
        <f t="shared" si="662"/>
        <v>13</v>
      </c>
      <c r="BL526" s="228">
        <f t="shared" si="663"/>
        <v>0</v>
      </c>
      <c r="BM526" s="233" cm="1">
        <f t="array" ref="BM526">L526/IF($M526&gt;0, INDEX($AY$22:$BE$76, $M526+20, $AH526), 1)</f>
        <v>0</v>
      </c>
      <c r="BN526" s="229">
        <f t="shared" si="675"/>
        <v>0</v>
      </c>
      <c r="BO526" s="228">
        <v>35</v>
      </c>
      <c r="BP526" s="229">
        <f t="shared" si="676"/>
        <v>48</v>
      </c>
      <c r="BQ526" s="234">
        <f t="shared" si="677"/>
        <v>3.0748170731707316</v>
      </c>
      <c r="BR526" s="234" cm="1">
        <f t="array" ref="BR526">$BM526 * SUMPRODUCT(INDEX($AV$76:$AX$81,,$AI526),INDEX($AY$76:$BE$81,,$AH526), N($AU$76:$AU$81&gt;$AM526)) / BQ526 / 1000</f>
        <v>0</v>
      </c>
      <c r="BS526" s="231">
        <f t="shared" si="664"/>
        <v>30</v>
      </c>
      <c r="BT526" s="229">
        <f t="shared" si="678"/>
        <v>43</v>
      </c>
      <c r="BU526" s="234">
        <f t="shared" si="679"/>
        <v>3.5018750000000001</v>
      </c>
      <c r="BV526" s="234" cm="1">
        <f t="array" ref="BV526">$BM526 * IF($AH526&lt;=2,
SUMPRODUCT(INDEX($AV$71:$AX$75,,$AI526), INDEX($AY$71:$BE$75,,$AH526), 1 / ($BF$71:$BF$75*BU526 + (1-$BF$71:$BF$75)*BQ526), N($AU$71:$AU$75&gt;$AM526)),
SUMPRODUCT(INDEX($AV$66:$AX$75,,$AI526), INDEX($AY$66:$BE$75,,$AH526), 1 / ($BG$66:$BG$75*BU526 + (1-$BG$66:$BG$75)*BQ526), N($AU$66:$AU$75&gt;$AM526))
) / 1000</f>
        <v>0</v>
      </c>
      <c r="BW526" s="231">
        <f t="shared" si="665"/>
        <v>25</v>
      </c>
      <c r="BX526" s="229">
        <f t="shared" si="680"/>
        <v>38</v>
      </c>
      <c r="BY526" s="234">
        <f t="shared" si="681"/>
        <v>4.0666935483870965</v>
      </c>
      <c r="BZ526" s="234" cm="1">
        <f t="array" ref="BZ526">$BM526 * IF($AH526&lt;=2,
SUMPRODUCT(INDEX($AV$66:$AX$70,,$AI526), INDEX($AY$66:$BE$70,,$AH526), 1 / ($BF$66:$BF$70*BY526 + (1-$BF$66:$BF$70)*BU526), N($AU$66:$AU$70&gt;$AM526)),
SUMPRODUCT(INDEX($AV$56:$AX$65,,$AI526), INDEX($AY$56:$BE$65,,$AH526), 1 / ($BG$56:$BG$65*BY526 + (1-$BG$56:$BG$65)*BU526), N($AU$56:$AU$65&gt;$AM526))
) / 1000</f>
        <v>0</v>
      </c>
      <c r="CA526" s="231">
        <f t="shared" si="666"/>
        <v>20</v>
      </c>
      <c r="CB526" s="229">
        <f t="shared" si="682"/>
        <v>33</v>
      </c>
      <c r="CC526" s="234">
        <f t="shared" si="683"/>
        <v>4.8487499999999999</v>
      </c>
      <c r="CD526" s="234" cm="1">
        <f t="array" ref="CD526">$BM526 * IF($AH526&lt;=2,
SUMPRODUCT(INDEX($AV$61:$AX$65,,$AI526), INDEX($AY$61:$BE$65,,$AH526), 1 / ($BF$61:$BF$65*CC526 + (1-$BF$61:$BF$65)*BY526), N($AU$61:$AU$65&gt;$AM526)),
SUMPRODUCT(INDEX($AV$46:$AX$55,,$AI526), INDEX($AY$46:$BE$55,,$AH526), 1 / ($BG$46:$BG$55*CC526 + (1-$BG$46:$BG$55)*BY526), N($AU$46:$AU$55&gt;$AM526))
) / 1000</f>
        <v>0</v>
      </c>
      <c r="CE526" s="234" cm="1">
        <f t="array" ref="CE526">$BM526 * IF($AH526&lt;=2,
SUMPRODUCT(INDEX($AV$22:$AX$60,,$AI526), INDEX($AY$22:$BE$60,,$AH526), 1 / ($BF$22:$BF$60*CC526), N($AU$22:$AU$60&gt;$AM526)),
SUMPRODUCT(INDEX($AV$22:$AX$45,,$AI526), INDEX($AY$22:$BE$45,,$AH526), 1 / ($BG$22:$BG$45*CC526), N($AU$22:$AU$45&gt;$AM526))
) / 1000</f>
        <v>0</v>
      </c>
      <c r="CF526" s="229">
        <f t="shared" si="684"/>
        <v>0</v>
      </c>
      <c r="CG526" s="246"/>
      <c r="CH526" s="229">
        <f t="shared" si="685"/>
        <v>0</v>
      </c>
      <c r="CI526" s="228">
        <v>35</v>
      </c>
      <c r="CJ526" s="229">
        <f t="shared" si="686"/>
        <v>48</v>
      </c>
      <c r="CK526" s="234">
        <f t="shared" si="687"/>
        <v>3.0748170731707316</v>
      </c>
      <c r="CL526" s="234" cm="1">
        <f t="array" ref="CL526">$BM526 * SUMPRODUCT(INDEX($AV$76:$AX$81,,$AI526),INDEX($AY$76:$BE$81,,$AH526), N($AU$76:$AU$81&gt;$AM526)) / CK526 / 1000</f>
        <v>0</v>
      </c>
      <c r="CM526" s="231">
        <f t="shared" si="667"/>
        <v>30</v>
      </c>
      <c r="CN526" s="229">
        <f t="shared" si="688"/>
        <v>43</v>
      </c>
      <c r="CO526" s="234">
        <f t="shared" si="689"/>
        <v>3.5018750000000001</v>
      </c>
      <c r="CP526" s="234" cm="1">
        <f t="array" ref="CP526">$BM526 * IF($AH526&lt;=2,
SUMPRODUCT(INDEX($AV$71:$AX$75,,$AI526), INDEX($AY$71:$BE$75,,$AH526), 1 / ($BF$71:$BF$75*CO526 + (1-$BF$71:$BF$75)*CK526), N($AU$71:$AU$75&gt;$AM526)),
SUMPRODUCT(INDEX($AV$66:$AX$75,,$AI526), INDEX($AY$66:$BE$75,,$AH526), 1 / ($BG$66:$BG$75*CO526 + (1-$BG$66:$BG$75)*CK526), N($AU$66:$AU$75&gt;$AM526))
) / 1000</f>
        <v>0</v>
      </c>
      <c r="CQ526" s="231">
        <f t="shared" si="668"/>
        <v>25</v>
      </c>
      <c r="CR526" s="229">
        <f t="shared" si="690"/>
        <v>38</v>
      </c>
      <c r="CS526" s="234">
        <f t="shared" si="691"/>
        <v>4.0666935483870965</v>
      </c>
      <c r="CT526" s="234" cm="1">
        <f t="array" ref="CT526">$BM526 * IF($AH526&lt;=2,
SUMPRODUCT(INDEX($AV$66:$AX$70,,$AI526), INDEX($AY$66:$BE$70,,$AH526), 1 / ($BF$66:$BF$70*CS526 + (1-$BF$66:$BF$70)*CO526), N($AU$66:$AU$70&gt;$AM526)),
SUMPRODUCT(INDEX($AV$56:$AX$65,,$AI526), INDEX($AY$56:$BE$65,,$AH526), 1 / ($BG$56:$BG$65*CS526 + (1-$BG$56:$BG$65)*CO526), N($AU$56:$AU$65&gt;$AM526))
) / 1000</f>
        <v>0</v>
      </c>
      <c r="CU526" s="231">
        <f t="shared" si="669"/>
        <v>20</v>
      </c>
      <c r="CV526" s="229">
        <f t="shared" si="692"/>
        <v>33</v>
      </c>
      <c r="CW526" s="234">
        <f t="shared" si="693"/>
        <v>4.8487499999999999</v>
      </c>
      <c r="CX526" s="234" cm="1">
        <f t="array" ref="CX526">$BM526 * IF($AH526&lt;=2,
SUMPRODUCT(INDEX($AV$61:$AX$65,,$AI526), INDEX($AY$61:$BE$65,,$AH526), 1 / ($BF$61:$BF$65*CW526 + (1-$BF$61:$BF$65)*CS526), N($AU$61:$AU$65&gt;$AM526)),
SUMPRODUCT(INDEX($AV$46:$AX$55,,$AI526), INDEX($AY$46:$BE$55,,$AH526), 1 / ($BG$46:$BG$55*CW526 + (1-$BG$46:$BG$55)*CS526), N($AU$46:$AU$55&gt;$AM526))
) / 1000</f>
        <v>0</v>
      </c>
      <c r="CY526" s="234" cm="1">
        <f t="array" ref="CY526">$BM526 * IF($AH526&lt;=2,
SUMPRODUCT(INDEX($AV$22:$AX$60,,$AI526), INDEX($AY$22:$BE$60,,$AH526), 1 / ($BF$22:$BF$60*CW526), N($AU$22:$AU$60&gt;$AM526)),
SUMPRODUCT(INDEX($AV$22:$AX$45,,$AI526), INDEX($AY$22:$BE$45,,$AH526), 1 / ($BG$22:$BG$45*CW526), N($AU$22:$AU$45&gt;$AM526))
) / 1000</f>
        <v>0</v>
      </c>
      <c r="CZ526" s="229">
        <f t="shared" si="694"/>
        <v>0</v>
      </c>
      <c r="DA526" s="246"/>
    </row>
    <row r="527" spans="1:105" s="75" customFormat="1" ht="14.25" customHeight="1" x14ac:dyDescent="0.2">
      <c r="A527" s="230" t="b">
        <f t="shared" si="661"/>
        <v>0</v>
      </c>
      <c r="B527" s="253">
        <v>506</v>
      </c>
      <c r="C527" s="266"/>
      <c r="D527" s="266"/>
      <c r="E527" s="254"/>
      <c r="F527" s="255" t="str">
        <f>IF(ISBLANK(E527), "", VLOOKUP(E527, Z!$A$2:$C$4127, 3, FALSE))</f>
        <v/>
      </c>
      <c r="G527" s="256"/>
      <c r="H527" s="256"/>
      <c r="I527" s="256"/>
      <c r="J527" s="257"/>
      <c r="K527" s="258"/>
      <c r="L527" s="267"/>
      <c r="M527" s="268"/>
      <c r="N527" s="259" t="str" cm="1">
        <f t="array" ref="N527">IF($L527&gt;0, INDEX(Clean,1+AK527,$D$1), "")</f>
        <v/>
      </c>
      <c r="O527" s="260"/>
      <c r="P527" s="260"/>
      <c r="Q527" s="261"/>
      <c r="R527" s="264">
        <f t="shared" si="670"/>
        <v>0</v>
      </c>
      <c r="S527" s="259" t="str" cm="1">
        <f t="array" ref="S527">IF($L527&gt;0, INDEX(Clean,1+AL527,$D$1), "")</f>
        <v/>
      </c>
      <c r="T527" s="260"/>
      <c r="U527" s="260"/>
      <c r="V527" s="261"/>
      <c r="W527" s="267"/>
      <c r="X527" s="267"/>
      <c r="Y527" s="257"/>
      <c r="Z527" s="264">
        <f t="shared" si="671"/>
        <v>0</v>
      </c>
      <c r="AA527" s="269"/>
      <c r="AB527" s="266"/>
      <c r="AC527" s="254"/>
      <c r="AD527" s="255" t="str">
        <f>IF(ISBLANK(AC527), "", VLOOKUP(AC527, Z!$A$2:$C$4127, 3, FALSE))</f>
        <v/>
      </c>
      <c r="AE527" s="270"/>
      <c r="AF527" s="265">
        <f t="shared" si="672"/>
        <v>0</v>
      </c>
      <c r="AG527" s="246"/>
      <c r="AH527" s="228">
        <f t="shared" si="695"/>
        <v>1</v>
      </c>
      <c r="AI527" s="228">
        <f t="shared" si="696"/>
        <v>1</v>
      </c>
      <c r="AJ527" s="228">
        <f t="shared" si="697"/>
        <v>0</v>
      </c>
      <c r="AK527" s="228">
        <v>0</v>
      </c>
      <c r="AL527" s="228">
        <v>0</v>
      </c>
      <c r="AM527" s="228">
        <f t="shared" si="673"/>
        <v>-100</v>
      </c>
      <c r="AN527" s="228" cm="1">
        <f t="array" ref="AN527">IF(ISBLANK(G527), 1, IFERROR(MATCH(G527, INDEX(Kat,,1), 0), IFERROR(MATCH(Kat, INDEX(Use,,2), 0), MATCH(Kat, INDEX(Use,,3), 0))))</f>
        <v>1</v>
      </c>
      <c r="AO527" s="246"/>
      <c r="AP527" s="228" cm="1">
        <f t="array" ref="AP527">IF(W527&gt;0, INDEX(Kat, AN527,4), 0)</f>
        <v>0</v>
      </c>
      <c r="AQ527" s="228">
        <f t="shared" si="698"/>
        <v>0</v>
      </c>
      <c r="AR527" s="228" cm="1">
        <f t="array" ref="AR527">IF(X527&gt;0, INDEX(Kat, $AN527, 4+AQ527), 0)</f>
        <v>0</v>
      </c>
      <c r="AS527" s="228" cm="1">
        <f t="array" ref="AS527">IF(X527&gt;0, INDEX(Kat, $AN527, 9+AQ527), 0)</f>
        <v>0</v>
      </c>
      <c r="AT527" s="246"/>
      <c r="AU527" s="262"/>
      <c r="AV527" s="262"/>
      <c r="AW527" s="263"/>
      <c r="AX527" s="263"/>
      <c r="AY527" s="263"/>
      <c r="AZ527" s="263"/>
      <c r="BA527" s="263"/>
      <c r="BB527" s="263"/>
      <c r="BC527" s="263"/>
      <c r="BD527" s="263"/>
      <c r="BE527" s="263"/>
      <c r="BF527" s="263"/>
      <c r="BG527" s="263"/>
      <c r="BH527" s="246"/>
      <c r="BI527" s="228" cm="1">
        <f t="array" ref="BI527">INDEX(Use, $AH527, 4)</f>
        <v>7</v>
      </c>
      <c r="BJ527" s="228">
        <f t="shared" si="674"/>
        <v>32</v>
      </c>
      <c r="BK527" s="228">
        <f t="shared" si="662"/>
        <v>13</v>
      </c>
      <c r="BL527" s="228">
        <f t="shared" si="663"/>
        <v>0</v>
      </c>
      <c r="BM527" s="233" cm="1">
        <f t="array" ref="BM527">L527/IF($M527&gt;0, INDEX($AY$22:$BE$76, $M527+20, $AH527), 1)</f>
        <v>0</v>
      </c>
      <c r="BN527" s="229">
        <f t="shared" si="675"/>
        <v>0</v>
      </c>
      <c r="BO527" s="228">
        <v>35</v>
      </c>
      <c r="BP527" s="229">
        <f t="shared" si="676"/>
        <v>48</v>
      </c>
      <c r="BQ527" s="234">
        <f t="shared" si="677"/>
        <v>3.0748170731707316</v>
      </c>
      <c r="BR527" s="234" cm="1">
        <f t="array" ref="BR527">$BM527 * SUMPRODUCT(INDEX($AV$76:$AX$81,,$AI527),INDEX($AY$76:$BE$81,,$AH527), N($AU$76:$AU$81&gt;$AM527)) / BQ527 / 1000</f>
        <v>0</v>
      </c>
      <c r="BS527" s="231">
        <f t="shared" si="664"/>
        <v>30</v>
      </c>
      <c r="BT527" s="229">
        <f t="shared" si="678"/>
        <v>43</v>
      </c>
      <c r="BU527" s="234">
        <f t="shared" si="679"/>
        <v>3.5018750000000001</v>
      </c>
      <c r="BV527" s="234" cm="1">
        <f t="array" ref="BV527">$BM527 * IF($AH527&lt;=2,
SUMPRODUCT(INDEX($AV$71:$AX$75,,$AI527), INDEX($AY$71:$BE$75,,$AH527), 1 / ($BF$71:$BF$75*BU527 + (1-$BF$71:$BF$75)*BQ527), N($AU$71:$AU$75&gt;$AM527)),
SUMPRODUCT(INDEX($AV$66:$AX$75,,$AI527), INDEX($AY$66:$BE$75,,$AH527), 1 / ($BG$66:$BG$75*BU527 + (1-$BG$66:$BG$75)*BQ527), N($AU$66:$AU$75&gt;$AM527))
) / 1000</f>
        <v>0</v>
      </c>
      <c r="BW527" s="231">
        <f t="shared" si="665"/>
        <v>25</v>
      </c>
      <c r="BX527" s="229">
        <f t="shared" si="680"/>
        <v>38</v>
      </c>
      <c r="BY527" s="234">
        <f t="shared" si="681"/>
        <v>4.0666935483870965</v>
      </c>
      <c r="BZ527" s="234" cm="1">
        <f t="array" ref="BZ527">$BM527 * IF($AH527&lt;=2,
SUMPRODUCT(INDEX($AV$66:$AX$70,,$AI527), INDEX($AY$66:$BE$70,,$AH527), 1 / ($BF$66:$BF$70*BY527 + (1-$BF$66:$BF$70)*BU527), N($AU$66:$AU$70&gt;$AM527)),
SUMPRODUCT(INDEX($AV$56:$AX$65,,$AI527), INDEX($AY$56:$BE$65,,$AH527), 1 / ($BG$56:$BG$65*BY527 + (1-$BG$56:$BG$65)*BU527), N($AU$56:$AU$65&gt;$AM527))
) / 1000</f>
        <v>0</v>
      </c>
      <c r="CA527" s="231">
        <f t="shared" si="666"/>
        <v>20</v>
      </c>
      <c r="CB527" s="229">
        <f t="shared" si="682"/>
        <v>33</v>
      </c>
      <c r="CC527" s="234">
        <f t="shared" si="683"/>
        <v>4.8487499999999999</v>
      </c>
      <c r="CD527" s="234" cm="1">
        <f t="array" ref="CD527">$BM527 * IF($AH527&lt;=2,
SUMPRODUCT(INDEX($AV$61:$AX$65,,$AI527), INDEX($AY$61:$BE$65,,$AH527), 1 / ($BF$61:$BF$65*CC527 + (1-$BF$61:$BF$65)*BY527), N($AU$61:$AU$65&gt;$AM527)),
SUMPRODUCT(INDEX($AV$46:$AX$55,,$AI527), INDEX($AY$46:$BE$55,,$AH527), 1 / ($BG$46:$BG$55*CC527 + (1-$BG$46:$BG$55)*BY527), N($AU$46:$AU$55&gt;$AM527))
) / 1000</f>
        <v>0</v>
      </c>
      <c r="CE527" s="234" cm="1">
        <f t="array" ref="CE527">$BM527 * IF($AH527&lt;=2,
SUMPRODUCT(INDEX($AV$22:$AX$60,,$AI527), INDEX($AY$22:$BE$60,,$AH527), 1 / ($BF$22:$BF$60*CC527), N($AU$22:$AU$60&gt;$AM527)),
SUMPRODUCT(INDEX($AV$22:$AX$45,,$AI527), INDEX($AY$22:$BE$45,,$AH527), 1 / ($BG$22:$BG$45*CC527), N($AU$22:$AU$45&gt;$AM527))
) / 1000</f>
        <v>0</v>
      </c>
      <c r="CF527" s="229">
        <f t="shared" si="684"/>
        <v>0</v>
      </c>
      <c r="CG527" s="246"/>
      <c r="CH527" s="229">
        <f t="shared" si="685"/>
        <v>0</v>
      </c>
      <c r="CI527" s="228">
        <v>35</v>
      </c>
      <c r="CJ527" s="229">
        <f t="shared" si="686"/>
        <v>48</v>
      </c>
      <c r="CK527" s="234">
        <f t="shared" si="687"/>
        <v>3.0748170731707316</v>
      </c>
      <c r="CL527" s="234" cm="1">
        <f t="array" ref="CL527">$BM527 * SUMPRODUCT(INDEX($AV$76:$AX$81,,$AI527),INDEX($AY$76:$BE$81,,$AH527), N($AU$76:$AU$81&gt;$AM527)) / CK527 / 1000</f>
        <v>0</v>
      </c>
      <c r="CM527" s="231">
        <f t="shared" si="667"/>
        <v>30</v>
      </c>
      <c r="CN527" s="229">
        <f t="shared" si="688"/>
        <v>43</v>
      </c>
      <c r="CO527" s="234">
        <f t="shared" si="689"/>
        <v>3.5018750000000001</v>
      </c>
      <c r="CP527" s="234" cm="1">
        <f t="array" ref="CP527">$BM527 * IF($AH527&lt;=2,
SUMPRODUCT(INDEX($AV$71:$AX$75,,$AI527), INDEX($AY$71:$BE$75,,$AH527), 1 / ($BF$71:$BF$75*CO527 + (1-$BF$71:$BF$75)*CK527), N($AU$71:$AU$75&gt;$AM527)),
SUMPRODUCT(INDEX($AV$66:$AX$75,,$AI527), INDEX($AY$66:$BE$75,,$AH527), 1 / ($BG$66:$BG$75*CO527 + (1-$BG$66:$BG$75)*CK527), N($AU$66:$AU$75&gt;$AM527))
) / 1000</f>
        <v>0</v>
      </c>
      <c r="CQ527" s="231">
        <f t="shared" si="668"/>
        <v>25</v>
      </c>
      <c r="CR527" s="229">
        <f t="shared" si="690"/>
        <v>38</v>
      </c>
      <c r="CS527" s="234">
        <f t="shared" si="691"/>
        <v>4.0666935483870965</v>
      </c>
      <c r="CT527" s="234" cm="1">
        <f t="array" ref="CT527">$BM527 * IF($AH527&lt;=2,
SUMPRODUCT(INDEX($AV$66:$AX$70,,$AI527), INDEX($AY$66:$BE$70,,$AH527), 1 / ($BF$66:$BF$70*CS527 + (1-$BF$66:$BF$70)*CO527), N($AU$66:$AU$70&gt;$AM527)),
SUMPRODUCT(INDEX($AV$56:$AX$65,,$AI527), INDEX($AY$56:$BE$65,,$AH527), 1 / ($BG$56:$BG$65*CS527 + (1-$BG$56:$BG$65)*CO527), N($AU$56:$AU$65&gt;$AM527))
) / 1000</f>
        <v>0</v>
      </c>
      <c r="CU527" s="231">
        <f t="shared" si="669"/>
        <v>20</v>
      </c>
      <c r="CV527" s="229">
        <f t="shared" si="692"/>
        <v>33</v>
      </c>
      <c r="CW527" s="234">
        <f t="shared" si="693"/>
        <v>4.8487499999999999</v>
      </c>
      <c r="CX527" s="234" cm="1">
        <f t="array" ref="CX527">$BM527 * IF($AH527&lt;=2,
SUMPRODUCT(INDEX($AV$61:$AX$65,,$AI527), INDEX($AY$61:$BE$65,,$AH527), 1 / ($BF$61:$BF$65*CW527 + (1-$BF$61:$BF$65)*CS527), N($AU$61:$AU$65&gt;$AM527)),
SUMPRODUCT(INDEX($AV$46:$AX$55,,$AI527), INDEX($AY$46:$BE$55,,$AH527), 1 / ($BG$46:$BG$55*CW527 + (1-$BG$46:$BG$55)*CS527), N($AU$46:$AU$55&gt;$AM527))
) / 1000</f>
        <v>0</v>
      </c>
      <c r="CY527" s="234" cm="1">
        <f t="array" ref="CY527">$BM527 * IF($AH527&lt;=2,
SUMPRODUCT(INDEX($AV$22:$AX$60,,$AI527), INDEX($AY$22:$BE$60,,$AH527), 1 / ($BF$22:$BF$60*CW527), N($AU$22:$AU$60&gt;$AM527)),
SUMPRODUCT(INDEX($AV$22:$AX$45,,$AI527), INDEX($AY$22:$BE$45,,$AH527), 1 / ($BG$22:$BG$45*CW527), N($AU$22:$AU$45&gt;$AM527))
) / 1000</f>
        <v>0</v>
      </c>
      <c r="CZ527" s="229">
        <f t="shared" si="694"/>
        <v>0</v>
      </c>
      <c r="DA527" s="246"/>
    </row>
    <row r="528" spans="1:105" s="75" customFormat="1" ht="14.25" customHeight="1" x14ac:dyDescent="0.2">
      <c r="A528" s="230" t="b">
        <f t="shared" si="661"/>
        <v>0</v>
      </c>
      <c r="B528" s="253">
        <v>507</v>
      </c>
      <c r="C528" s="266"/>
      <c r="D528" s="266"/>
      <c r="E528" s="254"/>
      <c r="F528" s="255" t="str">
        <f>IF(ISBLANK(E528), "", VLOOKUP(E528, Z!$A$2:$C$4127, 3, FALSE))</f>
        <v/>
      </c>
      <c r="G528" s="256"/>
      <c r="H528" s="256"/>
      <c r="I528" s="256"/>
      <c r="J528" s="257"/>
      <c r="K528" s="258"/>
      <c r="L528" s="267"/>
      <c r="M528" s="268"/>
      <c r="N528" s="259" t="str" cm="1">
        <f t="array" ref="N528">IF($L528&gt;0, INDEX(Clean,1+AK528,$D$1), "")</f>
        <v/>
      </c>
      <c r="O528" s="260"/>
      <c r="P528" s="260"/>
      <c r="Q528" s="261"/>
      <c r="R528" s="264">
        <f t="shared" si="670"/>
        <v>0</v>
      </c>
      <c r="S528" s="259" t="str" cm="1">
        <f t="array" ref="S528">IF($L528&gt;0, INDEX(Clean,1+AL528,$D$1), "")</f>
        <v/>
      </c>
      <c r="T528" s="260"/>
      <c r="U528" s="260"/>
      <c r="V528" s="261"/>
      <c r="W528" s="267"/>
      <c r="X528" s="267"/>
      <c r="Y528" s="257"/>
      <c r="Z528" s="264">
        <f t="shared" si="671"/>
        <v>0</v>
      </c>
      <c r="AA528" s="269"/>
      <c r="AB528" s="266"/>
      <c r="AC528" s="254"/>
      <c r="AD528" s="255" t="str">
        <f>IF(ISBLANK(AC528), "", VLOOKUP(AC528, Z!$A$2:$C$4127, 3, FALSE))</f>
        <v/>
      </c>
      <c r="AE528" s="270"/>
      <c r="AF528" s="265">
        <f t="shared" si="672"/>
        <v>0</v>
      </c>
      <c r="AG528" s="246"/>
      <c r="AH528" s="228">
        <f t="shared" si="695"/>
        <v>1</v>
      </c>
      <c r="AI528" s="228">
        <f t="shared" si="696"/>
        <v>1</v>
      </c>
      <c r="AJ528" s="228">
        <f t="shared" si="697"/>
        <v>0</v>
      </c>
      <c r="AK528" s="228">
        <v>0</v>
      </c>
      <c r="AL528" s="228">
        <v>0</v>
      </c>
      <c r="AM528" s="228">
        <f t="shared" si="673"/>
        <v>-100</v>
      </c>
      <c r="AN528" s="228" cm="1">
        <f t="array" ref="AN528">IF(ISBLANK(G528), 1, IFERROR(MATCH(G528, INDEX(Kat,,1), 0), IFERROR(MATCH(Kat, INDEX(Use,,2), 0), MATCH(Kat, INDEX(Use,,3), 0))))</f>
        <v>1</v>
      </c>
      <c r="AO528" s="246"/>
      <c r="AP528" s="228" cm="1">
        <f t="array" ref="AP528">IF(W528&gt;0, INDEX(Kat, AN528,4), 0)</f>
        <v>0</v>
      </c>
      <c r="AQ528" s="228">
        <f t="shared" si="698"/>
        <v>0</v>
      </c>
      <c r="AR528" s="228" cm="1">
        <f t="array" ref="AR528">IF(X528&gt;0, INDEX(Kat, $AN528, 4+AQ528), 0)</f>
        <v>0</v>
      </c>
      <c r="AS528" s="228" cm="1">
        <f t="array" ref="AS528">IF(X528&gt;0, INDEX(Kat, $AN528, 9+AQ528), 0)</f>
        <v>0</v>
      </c>
      <c r="AT528" s="246"/>
      <c r="AU528" s="262"/>
      <c r="AV528" s="262"/>
      <c r="AW528" s="263"/>
      <c r="AX528" s="263"/>
      <c r="AY528" s="263"/>
      <c r="AZ528" s="263"/>
      <c r="BA528" s="263"/>
      <c r="BB528" s="263"/>
      <c r="BC528" s="263"/>
      <c r="BD528" s="263"/>
      <c r="BE528" s="263"/>
      <c r="BF528" s="263"/>
      <c r="BG528" s="263"/>
      <c r="BH528" s="246"/>
      <c r="BI528" s="228" cm="1">
        <f t="array" ref="BI528">INDEX(Use, $AH528, 4)</f>
        <v>7</v>
      </c>
      <c r="BJ528" s="228">
        <f t="shared" si="674"/>
        <v>32</v>
      </c>
      <c r="BK528" s="228">
        <f t="shared" si="662"/>
        <v>13</v>
      </c>
      <c r="BL528" s="228">
        <f t="shared" si="663"/>
        <v>0</v>
      </c>
      <c r="BM528" s="233" cm="1">
        <f t="array" ref="BM528">L528/IF($M528&gt;0, INDEX($AY$22:$BE$76, $M528+20, $AH528), 1)</f>
        <v>0</v>
      </c>
      <c r="BN528" s="229">
        <f t="shared" si="675"/>
        <v>0</v>
      </c>
      <c r="BO528" s="228">
        <v>35</v>
      </c>
      <c r="BP528" s="229">
        <f t="shared" si="676"/>
        <v>48</v>
      </c>
      <c r="BQ528" s="234">
        <f t="shared" si="677"/>
        <v>3.0748170731707316</v>
      </c>
      <c r="BR528" s="234" cm="1">
        <f t="array" ref="BR528">$BM528 * SUMPRODUCT(INDEX($AV$76:$AX$81,,$AI528),INDEX($AY$76:$BE$81,,$AH528), N($AU$76:$AU$81&gt;$AM528)) / BQ528 / 1000</f>
        <v>0</v>
      </c>
      <c r="BS528" s="231">
        <f t="shared" si="664"/>
        <v>30</v>
      </c>
      <c r="BT528" s="229">
        <f t="shared" si="678"/>
        <v>43</v>
      </c>
      <c r="BU528" s="234">
        <f t="shared" si="679"/>
        <v>3.5018750000000001</v>
      </c>
      <c r="BV528" s="234" cm="1">
        <f t="array" ref="BV528">$BM528 * IF($AH528&lt;=2,
SUMPRODUCT(INDEX($AV$71:$AX$75,,$AI528), INDEX($AY$71:$BE$75,,$AH528), 1 / ($BF$71:$BF$75*BU528 + (1-$BF$71:$BF$75)*BQ528), N($AU$71:$AU$75&gt;$AM528)),
SUMPRODUCT(INDEX($AV$66:$AX$75,,$AI528), INDEX($AY$66:$BE$75,,$AH528), 1 / ($BG$66:$BG$75*BU528 + (1-$BG$66:$BG$75)*BQ528), N($AU$66:$AU$75&gt;$AM528))
) / 1000</f>
        <v>0</v>
      </c>
      <c r="BW528" s="231">
        <f t="shared" si="665"/>
        <v>25</v>
      </c>
      <c r="BX528" s="229">
        <f t="shared" si="680"/>
        <v>38</v>
      </c>
      <c r="BY528" s="234">
        <f t="shared" si="681"/>
        <v>4.0666935483870965</v>
      </c>
      <c r="BZ528" s="234" cm="1">
        <f t="array" ref="BZ528">$BM528 * IF($AH528&lt;=2,
SUMPRODUCT(INDEX($AV$66:$AX$70,,$AI528), INDEX($AY$66:$BE$70,,$AH528), 1 / ($BF$66:$BF$70*BY528 + (1-$BF$66:$BF$70)*BU528), N($AU$66:$AU$70&gt;$AM528)),
SUMPRODUCT(INDEX($AV$56:$AX$65,,$AI528), INDEX($AY$56:$BE$65,,$AH528), 1 / ($BG$56:$BG$65*BY528 + (1-$BG$56:$BG$65)*BU528), N($AU$56:$AU$65&gt;$AM528))
) / 1000</f>
        <v>0</v>
      </c>
      <c r="CA528" s="231">
        <f t="shared" si="666"/>
        <v>20</v>
      </c>
      <c r="CB528" s="229">
        <f t="shared" si="682"/>
        <v>33</v>
      </c>
      <c r="CC528" s="234">
        <f t="shared" si="683"/>
        <v>4.8487499999999999</v>
      </c>
      <c r="CD528" s="234" cm="1">
        <f t="array" ref="CD528">$BM528 * IF($AH528&lt;=2,
SUMPRODUCT(INDEX($AV$61:$AX$65,,$AI528), INDEX($AY$61:$BE$65,,$AH528), 1 / ($BF$61:$BF$65*CC528 + (1-$BF$61:$BF$65)*BY528), N($AU$61:$AU$65&gt;$AM528)),
SUMPRODUCT(INDEX($AV$46:$AX$55,,$AI528), INDEX($AY$46:$BE$55,,$AH528), 1 / ($BG$46:$BG$55*CC528 + (1-$BG$46:$BG$55)*BY528), N($AU$46:$AU$55&gt;$AM528))
) / 1000</f>
        <v>0</v>
      </c>
      <c r="CE528" s="234" cm="1">
        <f t="array" ref="CE528">$BM528 * IF($AH528&lt;=2,
SUMPRODUCT(INDEX($AV$22:$AX$60,,$AI528), INDEX($AY$22:$BE$60,,$AH528), 1 / ($BF$22:$BF$60*CC528), N($AU$22:$AU$60&gt;$AM528)),
SUMPRODUCT(INDEX($AV$22:$AX$45,,$AI528), INDEX($AY$22:$BE$45,,$AH528), 1 / ($BG$22:$BG$45*CC528), N($AU$22:$AU$45&gt;$AM528))
) / 1000</f>
        <v>0</v>
      </c>
      <c r="CF528" s="229">
        <f t="shared" si="684"/>
        <v>0</v>
      </c>
      <c r="CG528" s="246"/>
      <c r="CH528" s="229">
        <f t="shared" si="685"/>
        <v>0</v>
      </c>
      <c r="CI528" s="228">
        <v>35</v>
      </c>
      <c r="CJ528" s="229">
        <f t="shared" si="686"/>
        <v>48</v>
      </c>
      <c r="CK528" s="234">
        <f t="shared" si="687"/>
        <v>3.0748170731707316</v>
      </c>
      <c r="CL528" s="234" cm="1">
        <f t="array" ref="CL528">$BM528 * SUMPRODUCT(INDEX($AV$76:$AX$81,,$AI528),INDEX($AY$76:$BE$81,,$AH528), N($AU$76:$AU$81&gt;$AM528)) / CK528 / 1000</f>
        <v>0</v>
      </c>
      <c r="CM528" s="231">
        <f t="shared" si="667"/>
        <v>30</v>
      </c>
      <c r="CN528" s="229">
        <f t="shared" si="688"/>
        <v>43</v>
      </c>
      <c r="CO528" s="234">
        <f t="shared" si="689"/>
        <v>3.5018750000000001</v>
      </c>
      <c r="CP528" s="234" cm="1">
        <f t="array" ref="CP528">$BM528 * IF($AH528&lt;=2,
SUMPRODUCT(INDEX($AV$71:$AX$75,,$AI528), INDEX($AY$71:$BE$75,,$AH528), 1 / ($BF$71:$BF$75*CO528 + (1-$BF$71:$BF$75)*CK528), N($AU$71:$AU$75&gt;$AM528)),
SUMPRODUCT(INDEX($AV$66:$AX$75,,$AI528), INDEX($AY$66:$BE$75,,$AH528), 1 / ($BG$66:$BG$75*CO528 + (1-$BG$66:$BG$75)*CK528), N($AU$66:$AU$75&gt;$AM528))
) / 1000</f>
        <v>0</v>
      </c>
      <c r="CQ528" s="231">
        <f t="shared" si="668"/>
        <v>25</v>
      </c>
      <c r="CR528" s="229">
        <f t="shared" si="690"/>
        <v>38</v>
      </c>
      <c r="CS528" s="234">
        <f t="shared" si="691"/>
        <v>4.0666935483870965</v>
      </c>
      <c r="CT528" s="234" cm="1">
        <f t="array" ref="CT528">$BM528 * IF($AH528&lt;=2,
SUMPRODUCT(INDEX($AV$66:$AX$70,,$AI528), INDEX($AY$66:$BE$70,,$AH528), 1 / ($BF$66:$BF$70*CS528 + (1-$BF$66:$BF$70)*CO528), N($AU$66:$AU$70&gt;$AM528)),
SUMPRODUCT(INDEX($AV$56:$AX$65,,$AI528), INDEX($AY$56:$BE$65,,$AH528), 1 / ($BG$56:$BG$65*CS528 + (1-$BG$56:$BG$65)*CO528), N($AU$56:$AU$65&gt;$AM528))
) / 1000</f>
        <v>0</v>
      </c>
      <c r="CU528" s="231">
        <f t="shared" si="669"/>
        <v>20</v>
      </c>
      <c r="CV528" s="229">
        <f t="shared" si="692"/>
        <v>33</v>
      </c>
      <c r="CW528" s="234">
        <f t="shared" si="693"/>
        <v>4.8487499999999999</v>
      </c>
      <c r="CX528" s="234" cm="1">
        <f t="array" ref="CX528">$BM528 * IF($AH528&lt;=2,
SUMPRODUCT(INDEX($AV$61:$AX$65,,$AI528), INDEX($AY$61:$BE$65,,$AH528), 1 / ($BF$61:$BF$65*CW528 + (1-$BF$61:$BF$65)*CS528), N($AU$61:$AU$65&gt;$AM528)),
SUMPRODUCT(INDEX($AV$46:$AX$55,,$AI528), INDEX($AY$46:$BE$55,,$AH528), 1 / ($BG$46:$BG$55*CW528 + (1-$BG$46:$BG$55)*CS528), N($AU$46:$AU$55&gt;$AM528))
) / 1000</f>
        <v>0</v>
      </c>
      <c r="CY528" s="234" cm="1">
        <f t="array" ref="CY528">$BM528 * IF($AH528&lt;=2,
SUMPRODUCT(INDEX($AV$22:$AX$60,,$AI528), INDEX($AY$22:$BE$60,,$AH528), 1 / ($BF$22:$BF$60*CW528), N($AU$22:$AU$60&gt;$AM528)),
SUMPRODUCT(INDEX($AV$22:$AX$45,,$AI528), INDEX($AY$22:$BE$45,,$AH528), 1 / ($BG$22:$BG$45*CW528), N($AU$22:$AU$45&gt;$AM528))
) / 1000</f>
        <v>0</v>
      </c>
      <c r="CZ528" s="229">
        <f t="shared" si="694"/>
        <v>0</v>
      </c>
      <c r="DA528" s="246"/>
    </row>
    <row r="529" spans="1:105" s="75" customFormat="1" ht="14.25" customHeight="1" x14ac:dyDescent="0.2">
      <c r="A529" s="230" t="b">
        <f t="shared" si="661"/>
        <v>0</v>
      </c>
      <c r="B529" s="253">
        <v>508</v>
      </c>
      <c r="C529" s="266"/>
      <c r="D529" s="266"/>
      <c r="E529" s="254"/>
      <c r="F529" s="255" t="str">
        <f>IF(ISBLANK(E529), "", VLOOKUP(E529, Z!$A$2:$C$4127, 3, FALSE))</f>
        <v/>
      </c>
      <c r="G529" s="256"/>
      <c r="H529" s="256"/>
      <c r="I529" s="256"/>
      <c r="J529" s="257"/>
      <c r="K529" s="258"/>
      <c r="L529" s="267"/>
      <c r="M529" s="268"/>
      <c r="N529" s="259" t="str" cm="1">
        <f t="array" ref="N529">IF($L529&gt;0, INDEX(Clean,1+AK529,$D$1), "")</f>
        <v/>
      </c>
      <c r="O529" s="260"/>
      <c r="P529" s="260"/>
      <c r="Q529" s="261"/>
      <c r="R529" s="264">
        <f t="shared" si="670"/>
        <v>0</v>
      </c>
      <c r="S529" s="259" t="str" cm="1">
        <f t="array" ref="S529">IF($L529&gt;0, INDEX(Clean,1+AL529,$D$1), "")</f>
        <v/>
      </c>
      <c r="T529" s="260"/>
      <c r="U529" s="260"/>
      <c r="V529" s="261"/>
      <c r="W529" s="267"/>
      <c r="X529" s="267"/>
      <c r="Y529" s="257"/>
      <c r="Z529" s="264">
        <f t="shared" si="671"/>
        <v>0</v>
      </c>
      <c r="AA529" s="269"/>
      <c r="AB529" s="266"/>
      <c r="AC529" s="254"/>
      <c r="AD529" s="255" t="str">
        <f>IF(ISBLANK(AC529), "", VLOOKUP(AC529, Z!$A$2:$C$4127, 3, FALSE))</f>
        <v/>
      </c>
      <c r="AE529" s="270"/>
      <c r="AF529" s="265">
        <f t="shared" si="672"/>
        <v>0</v>
      </c>
      <c r="AG529" s="246"/>
      <c r="AH529" s="228">
        <f t="shared" si="695"/>
        <v>1</v>
      </c>
      <c r="AI529" s="228">
        <f t="shared" si="696"/>
        <v>1</v>
      </c>
      <c r="AJ529" s="228">
        <f t="shared" si="697"/>
        <v>0</v>
      </c>
      <c r="AK529" s="228">
        <v>0</v>
      </c>
      <c r="AL529" s="228">
        <v>0</v>
      </c>
      <c r="AM529" s="228">
        <f t="shared" si="673"/>
        <v>-100</v>
      </c>
      <c r="AN529" s="228" cm="1">
        <f t="array" ref="AN529">IF(ISBLANK(G529), 1, IFERROR(MATCH(G529, INDEX(Kat,,1), 0), IFERROR(MATCH(Kat, INDEX(Use,,2), 0), MATCH(Kat, INDEX(Use,,3), 0))))</f>
        <v>1</v>
      </c>
      <c r="AO529" s="246"/>
      <c r="AP529" s="228" cm="1">
        <f t="array" ref="AP529">IF(W529&gt;0, INDEX(Kat, AN529,4), 0)</f>
        <v>0</v>
      </c>
      <c r="AQ529" s="228">
        <f t="shared" si="698"/>
        <v>0</v>
      </c>
      <c r="AR529" s="228" cm="1">
        <f t="array" ref="AR529">IF(X529&gt;0, INDEX(Kat, $AN529, 4+AQ529), 0)</f>
        <v>0</v>
      </c>
      <c r="AS529" s="228" cm="1">
        <f t="array" ref="AS529">IF(X529&gt;0, INDEX(Kat, $AN529, 9+AQ529), 0)</f>
        <v>0</v>
      </c>
      <c r="AT529" s="246"/>
      <c r="AU529" s="262"/>
      <c r="AV529" s="262"/>
      <c r="AW529" s="263"/>
      <c r="AX529" s="263"/>
      <c r="AY529" s="263"/>
      <c r="AZ529" s="263"/>
      <c r="BA529" s="263"/>
      <c r="BB529" s="263"/>
      <c r="BC529" s="263"/>
      <c r="BD529" s="263"/>
      <c r="BE529" s="263"/>
      <c r="BF529" s="263"/>
      <c r="BG529" s="263"/>
      <c r="BH529" s="246"/>
      <c r="BI529" s="228" cm="1">
        <f t="array" ref="BI529">INDEX(Use, $AH529, 4)</f>
        <v>7</v>
      </c>
      <c r="BJ529" s="228">
        <f t="shared" si="674"/>
        <v>32</v>
      </c>
      <c r="BK529" s="228">
        <f t="shared" si="662"/>
        <v>13</v>
      </c>
      <c r="BL529" s="228">
        <f t="shared" si="663"/>
        <v>0</v>
      </c>
      <c r="BM529" s="233" cm="1">
        <f t="array" ref="BM529">L529/IF($M529&gt;0, INDEX($AY$22:$BE$76, $M529+20, $AH529), 1)</f>
        <v>0</v>
      </c>
      <c r="BN529" s="229">
        <f t="shared" si="675"/>
        <v>0</v>
      </c>
      <c r="BO529" s="228">
        <v>35</v>
      </c>
      <c r="BP529" s="229">
        <f t="shared" si="676"/>
        <v>48</v>
      </c>
      <c r="BQ529" s="234">
        <f t="shared" si="677"/>
        <v>3.0748170731707316</v>
      </c>
      <c r="BR529" s="234" cm="1">
        <f t="array" ref="BR529">$BM529 * SUMPRODUCT(INDEX($AV$76:$AX$81,,$AI529),INDEX($AY$76:$BE$81,,$AH529), N($AU$76:$AU$81&gt;$AM529)) / BQ529 / 1000</f>
        <v>0</v>
      </c>
      <c r="BS529" s="231">
        <f t="shared" si="664"/>
        <v>30</v>
      </c>
      <c r="BT529" s="229">
        <f t="shared" si="678"/>
        <v>43</v>
      </c>
      <c r="BU529" s="234">
        <f t="shared" si="679"/>
        <v>3.5018750000000001</v>
      </c>
      <c r="BV529" s="234" cm="1">
        <f t="array" ref="BV529">$BM529 * IF($AH529&lt;=2,
SUMPRODUCT(INDEX($AV$71:$AX$75,,$AI529), INDEX($AY$71:$BE$75,,$AH529), 1 / ($BF$71:$BF$75*BU529 + (1-$BF$71:$BF$75)*BQ529), N($AU$71:$AU$75&gt;$AM529)),
SUMPRODUCT(INDEX($AV$66:$AX$75,,$AI529), INDEX($AY$66:$BE$75,,$AH529), 1 / ($BG$66:$BG$75*BU529 + (1-$BG$66:$BG$75)*BQ529), N($AU$66:$AU$75&gt;$AM529))
) / 1000</f>
        <v>0</v>
      </c>
      <c r="BW529" s="231">
        <f t="shared" si="665"/>
        <v>25</v>
      </c>
      <c r="BX529" s="229">
        <f t="shared" si="680"/>
        <v>38</v>
      </c>
      <c r="BY529" s="234">
        <f t="shared" si="681"/>
        <v>4.0666935483870965</v>
      </c>
      <c r="BZ529" s="234" cm="1">
        <f t="array" ref="BZ529">$BM529 * IF($AH529&lt;=2,
SUMPRODUCT(INDEX($AV$66:$AX$70,,$AI529), INDEX($AY$66:$BE$70,,$AH529), 1 / ($BF$66:$BF$70*BY529 + (1-$BF$66:$BF$70)*BU529), N($AU$66:$AU$70&gt;$AM529)),
SUMPRODUCT(INDEX($AV$56:$AX$65,,$AI529), INDEX($AY$56:$BE$65,,$AH529), 1 / ($BG$56:$BG$65*BY529 + (1-$BG$56:$BG$65)*BU529), N($AU$56:$AU$65&gt;$AM529))
) / 1000</f>
        <v>0</v>
      </c>
      <c r="CA529" s="231">
        <f t="shared" si="666"/>
        <v>20</v>
      </c>
      <c r="CB529" s="229">
        <f t="shared" si="682"/>
        <v>33</v>
      </c>
      <c r="CC529" s="234">
        <f t="shared" si="683"/>
        <v>4.8487499999999999</v>
      </c>
      <c r="CD529" s="234" cm="1">
        <f t="array" ref="CD529">$BM529 * IF($AH529&lt;=2,
SUMPRODUCT(INDEX($AV$61:$AX$65,,$AI529), INDEX($AY$61:$BE$65,,$AH529), 1 / ($BF$61:$BF$65*CC529 + (1-$BF$61:$BF$65)*BY529), N($AU$61:$AU$65&gt;$AM529)),
SUMPRODUCT(INDEX($AV$46:$AX$55,,$AI529), INDEX($AY$46:$BE$55,,$AH529), 1 / ($BG$46:$BG$55*CC529 + (1-$BG$46:$BG$55)*BY529), N($AU$46:$AU$55&gt;$AM529))
) / 1000</f>
        <v>0</v>
      </c>
      <c r="CE529" s="234" cm="1">
        <f t="array" ref="CE529">$BM529 * IF($AH529&lt;=2,
SUMPRODUCT(INDEX($AV$22:$AX$60,,$AI529), INDEX($AY$22:$BE$60,,$AH529), 1 / ($BF$22:$BF$60*CC529), N($AU$22:$AU$60&gt;$AM529)),
SUMPRODUCT(INDEX($AV$22:$AX$45,,$AI529), INDEX($AY$22:$BE$45,,$AH529), 1 / ($BG$22:$BG$45*CC529), N($AU$22:$AU$45&gt;$AM529))
) / 1000</f>
        <v>0</v>
      </c>
      <c r="CF529" s="229">
        <f t="shared" si="684"/>
        <v>0</v>
      </c>
      <c r="CG529" s="246"/>
      <c r="CH529" s="229">
        <f t="shared" si="685"/>
        <v>0</v>
      </c>
      <c r="CI529" s="228">
        <v>35</v>
      </c>
      <c r="CJ529" s="229">
        <f t="shared" si="686"/>
        <v>48</v>
      </c>
      <c r="CK529" s="234">
        <f t="shared" si="687"/>
        <v>3.0748170731707316</v>
      </c>
      <c r="CL529" s="234" cm="1">
        <f t="array" ref="CL529">$BM529 * SUMPRODUCT(INDEX($AV$76:$AX$81,,$AI529),INDEX($AY$76:$BE$81,,$AH529), N($AU$76:$AU$81&gt;$AM529)) / CK529 / 1000</f>
        <v>0</v>
      </c>
      <c r="CM529" s="231">
        <f t="shared" si="667"/>
        <v>30</v>
      </c>
      <c r="CN529" s="229">
        <f t="shared" si="688"/>
        <v>43</v>
      </c>
      <c r="CO529" s="234">
        <f t="shared" si="689"/>
        <v>3.5018750000000001</v>
      </c>
      <c r="CP529" s="234" cm="1">
        <f t="array" ref="CP529">$BM529 * IF($AH529&lt;=2,
SUMPRODUCT(INDEX($AV$71:$AX$75,,$AI529), INDEX($AY$71:$BE$75,,$AH529), 1 / ($BF$71:$BF$75*CO529 + (1-$BF$71:$BF$75)*CK529), N($AU$71:$AU$75&gt;$AM529)),
SUMPRODUCT(INDEX($AV$66:$AX$75,,$AI529), INDEX($AY$66:$BE$75,,$AH529), 1 / ($BG$66:$BG$75*CO529 + (1-$BG$66:$BG$75)*CK529), N($AU$66:$AU$75&gt;$AM529))
) / 1000</f>
        <v>0</v>
      </c>
      <c r="CQ529" s="231">
        <f t="shared" si="668"/>
        <v>25</v>
      </c>
      <c r="CR529" s="229">
        <f t="shared" si="690"/>
        <v>38</v>
      </c>
      <c r="CS529" s="234">
        <f t="shared" si="691"/>
        <v>4.0666935483870965</v>
      </c>
      <c r="CT529" s="234" cm="1">
        <f t="array" ref="CT529">$BM529 * IF($AH529&lt;=2,
SUMPRODUCT(INDEX($AV$66:$AX$70,,$AI529), INDEX($AY$66:$BE$70,,$AH529), 1 / ($BF$66:$BF$70*CS529 + (1-$BF$66:$BF$70)*CO529), N($AU$66:$AU$70&gt;$AM529)),
SUMPRODUCT(INDEX($AV$56:$AX$65,,$AI529), INDEX($AY$56:$BE$65,,$AH529), 1 / ($BG$56:$BG$65*CS529 + (1-$BG$56:$BG$65)*CO529), N($AU$56:$AU$65&gt;$AM529))
) / 1000</f>
        <v>0</v>
      </c>
      <c r="CU529" s="231">
        <f t="shared" si="669"/>
        <v>20</v>
      </c>
      <c r="CV529" s="229">
        <f t="shared" si="692"/>
        <v>33</v>
      </c>
      <c r="CW529" s="234">
        <f t="shared" si="693"/>
        <v>4.8487499999999999</v>
      </c>
      <c r="CX529" s="234" cm="1">
        <f t="array" ref="CX529">$BM529 * IF($AH529&lt;=2,
SUMPRODUCT(INDEX($AV$61:$AX$65,,$AI529), INDEX($AY$61:$BE$65,,$AH529), 1 / ($BF$61:$BF$65*CW529 + (1-$BF$61:$BF$65)*CS529), N($AU$61:$AU$65&gt;$AM529)),
SUMPRODUCT(INDEX($AV$46:$AX$55,,$AI529), INDEX($AY$46:$BE$55,,$AH529), 1 / ($BG$46:$BG$55*CW529 + (1-$BG$46:$BG$55)*CS529), N($AU$46:$AU$55&gt;$AM529))
) / 1000</f>
        <v>0</v>
      </c>
      <c r="CY529" s="234" cm="1">
        <f t="array" ref="CY529">$BM529 * IF($AH529&lt;=2,
SUMPRODUCT(INDEX($AV$22:$AX$60,,$AI529), INDEX($AY$22:$BE$60,,$AH529), 1 / ($BF$22:$BF$60*CW529), N($AU$22:$AU$60&gt;$AM529)),
SUMPRODUCT(INDEX($AV$22:$AX$45,,$AI529), INDEX($AY$22:$BE$45,,$AH529), 1 / ($BG$22:$BG$45*CW529), N($AU$22:$AU$45&gt;$AM529))
) / 1000</f>
        <v>0</v>
      </c>
      <c r="CZ529" s="229">
        <f t="shared" si="694"/>
        <v>0</v>
      </c>
      <c r="DA529" s="246"/>
    </row>
    <row r="530" spans="1:105" s="75" customFormat="1" ht="14.25" customHeight="1" x14ac:dyDescent="0.2">
      <c r="A530" s="230" t="b">
        <f t="shared" si="661"/>
        <v>0</v>
      </c>
      <c r="B530" s="253">
        <v>509</v>
      </c>
      <c r="C530" s="266"/>
      <c r="D530" s="266"/>
      <c r="E530" s="254"/>
      <c r="F530" s="255" t="str">
        <f>IF(ISBLANK(E530), "", VLOOKUP(E530, Z!$A$2:$C$4127, 3, FALSE))</f>
        <v/>
      </c>
      <c r="G530" s="256"/>
      <c r="H530" s="256"/>
      <c r="I530" s="256"/>
      <c r="J530" s="257"/>
      <c r="K530" s="258"/>
      <c r="L530" s="267"/>
      <c r="M530" s="268"/>
      <c r="N530" s="259" t="str" cm="1">
        <f t="array" ref="N530">IF($L530&gt;0, INDEX(Clean,1+AK530,$D$1), "")</f>
        <v/>
      </c>
      <c r="O530" s="260"/>
      <c r="P530" s="260"/>
      <c r="Q530" s="261"/>
      <c r="R530" s="264">
        <f t="shared" si="670"/>
        <v>0</v>
      </c>
      <c r="S530" s="259" t="str" cm="1">
        <f t="array" ref="S530">IF($L530&gt;0, INDEX(Clean,1+AL530,$D$1), "")</f>
        <v/>
      </c>
      <c r="T530" s="260"/>
      <c r="U530" s="260"/>
      <c r="V530" s="261"/>
      <c r="W530" s="267"/>
      <c r="X530" s="267"/>
      <c r="Y530" s="257"/>
      <c r="Z530" s="264">
        <f t="shared" si="671"/>
        <v>0</v>
      </c>
      <c r="AA530" s="269"/>
      <c r="AB530" s="266"/>
      <c r="AC530" s="254"/>
      <c r="AD530" s="255" t="str">
        <f>IF(ISBLANK(AC530), "", VLOOKUP(AC530, Z!$A$2:$C$4127, 3, FALSE))</f>
        <v/>
      </c>
      <c r="AE530" s="270"/>
      <c r="AF530" s="265">
        <f t="shared" si="672"/>
        <v>0</v>
      </c>
      <c r="AG530" s="246"/>
      <c r="AH530" s="228">
        <f t="shared" si="695"/>
        <v>1</v>
      </c>
      <c r="AI530" s="228">
        <f t="shared" si="696"/>
        <v>1</v>
      </c>
      <c r="AJ530" s="228">
        <f t="shared" si="697"/>
        <v>0</v>
      </c>
      <c r="AK530" s="228">
        <v>0</v>
      </c>
      <c r="AL530" s="228">
        <v>0</v>
      </c>
      <c r="AM530" s="228">
        <f t="shared" si="673"/>
        <v>-100</v>
      </c>
      <c r="AN530" s="228" cm="1">
        <f t="array" ref="AN530">IF(ISBLANK(G530), 1, IFERROR(MATCH(G530, INDEX(Kat,,1), 0), IFERROR(MATCH(Kat, INDEX(Use,,2), 0), MATCH(Kat, INDEX(Use,,3), 0))))</f>
        <v>1</v>
      </c>
      <c r="AO530" s="246"/>
      <c r="AP530" s="228" cm="1">
        <f t="array" ref="AP530">IF(W530&gt;0, INDEX(Kat, AN530,4), 0)</f>
        <v>0</v>
      </c>
      <c r="AQ530" s="228">
        <f t="shared" si="698"/>
        <v>0</v>
      </c>
      <c r="AR530" s="228" cm="1">
        <f t="array" ref="AR530">IF(X530&gt;0, INDEX(Kat, $AN530, 4+AQ530), 0)</f>
        <v>0</v>
      </c>
      <c r="AS530" s="228" cm="1">
        <f t="array" ref="AS530">IF(X530&gt;0, INDEX(Kat, $AN530, 9+AQ530), 0)</f>
        <v>0</v>
      </c>
      <c r="AT530" s="246"/>
      <c r="AU530" s="262"/>
      <c r="AV530" s="262"/>
      <c r="AW530" s="263"/>
      <c r="AX530" s="263"/>
      <c r="AY530" s="263"/>
      <c r="AZ530" s="263"/>
      <c r="BA530" s="263"/>
      <c r="BB530" s="263"/>
      <c r="BC530" s="263"/>
      <c r="BD530" s="263"/>
      <c r="BE530" s="263"/>
      <c r="BF530" s="263"/>
      <c r="BG530" s="263"/>
      <c r="BH530" s="246"/>
      <c r="BI530" s="228" cm="1">
        <f t="array" ref="BI530">INDEX(Use, $AH530, 4)</f>
        <v>7</v>
      </c>
      <c r="BJ530" s="228">
        <f t="shared" si="674"/>
        <v>32</v>
      </c>
      <c r="BK530" s="228">
        <f t="shared" si="662"/>
        <v>13</v>
      </c>
      <c r="BL530" s="228">
        <f t="shared" si="663"/>
        <v>0</v>
      </c>
      <c r="BM530" s="233" cm="1">
        <f t="array" ref="BM530">L530/IF($M530&gt;0, INDEX($AY$22:$BE$76, $M530+20, $AH530), 1)</f>
        <v>0</v>
      </c>
      <c r="BN530" s="229">
        <f t="shared" si="675"/>
        <v>0</v>
      </c>
      <c r="BO530" s="228">
        <v>35</v>
      </c>
      <c r="BP530" s="229">
        <f t="shared" si="676"/>
        <v>48</v>
      </c>
      <c r="BQ530" s="234">
        <f t="shared" si="677"/>
        <v>3.0748170731707316</v>
      </c>
      <c r="BR530" s="234" cm="1">
        <f t="array" ref="BR530">$BM530 * SUMPRODUCT(INDEX($AV$76:$AX$81,,$AI530),INDEX($AY$76:$BE$81,,$AH530), N($AU$76:$AU$81&gt;$AM530)) / BQ530 / 1000</f>
        <v>0</v>
      </c>
      <c r="BS530" s="231">
        <f t="shared" si="664"/>
        <v>30</v>
      </c>
      <c r="BT530" s="229">
        <f t="shared" si="678"/>
        <v>43</v>
      </c>
      <c r="BU530" s="234">
        <f t="shared" si="679"/>
        <v>3.5018750000000001</v>
      </c>
      <c r="BV530" s="234" cm="1">
        <f t="array" ref="BV530">$BM530 * IF($AH530&lt;=2,
SUMPRODUCT(INDEX($AV$71:$AX$75,,$AI530), INDEX($AY$71:$BE$75,,$AH530), 1 / ($BF$71:$BF$75*BU530 + (1-$BF$71:$BF$75)*BQ530), N($AU$71:$AU$75&gt;$AM530)),
SUMPRODUCT(INDEX($AV$66:$AX$75,,$AI530), INDEX($AY$66:$BE$75,,$AH530), 1 / ($BG$66:$BG$75*BU530 + (1-$BG$66:$BG$75)*BQ530), N($AU$66:$AU$75&gt;$AM530))
) / 1000</f>
        <v>0</v>
      </c>
      <c r="BW530" s="231">
        <f t="shared" si="665"/>
        <v>25</v>
      </c>
      <c r="BX530" s="229">
        <f t="shared" si="680"/>
        <v>38</v>
      </c>
      <c r="BY530" s="234">
        <f t="shared" si="681"/>
        <v>4.0666935483870965</v>
      </c>
      <c r="BZ530" s="234" cm="1">
        <f t="array" ref="BZ530">$BM530 * IF($AH530&lt;=2,
SUMPRODUCT(INDEX($AV$66:$AX$70,,$AI530), INDEX($AY$66:$BE$70,,$AH530), 1 / ($BF$66:$BF$70*BY530 + (1-$BF$66:$BF$70)*BU530), N($AU$66:$AU$70&gt;$AM530)),
SUMPRODUCT(INDEX($AV$56:$AX$65,,$AI530), INDEX($AY$56:$BE$65,,$AH530), 1 / ($BG$56:$BG$65*BY530 + (1-$BG$56:$BG$65)*BU530), N($AU$56:$AU$65&gt;$AM530))
) / 1000</f>
        <v>0</v>
      </c>
      <c r="CA530" s="231">
        <f t="shared" si="666"/>
        <v>20</v>
      </c>
      <c r="CB530" s="229">
        <f t="shared" si="682"/>
        <v>33</v>
      </c>
      <c r="CC530" s="234">
        <f t="shared" si="683"/>
        <v>4.8487499999999999</v>
      </c>
      <c r="CD530" s="234" cm="1">
        <f t="array" ref="CD530">$BM530 * IF($AH530&lt;=2,
SUMPRODUCT(INDEX($AV$61:$AX$65,,$AI530), INDEX($AY$61:$BE$65,,$AH530), 1 / ($BF$61:$BF$65*CC530 + (1-$BF$61:$BF$65)*BY530), N($AU$61:$AU$65&gt;$AM530)),
SUMPRODUCT(INDEX($AV$46:$AX$55,,$AI530), INDEX($AY$46:$BE$55,,$AH530), 1 / ($BG$46:$BG$55*CC530 + (1-$BG$46:$BG$55)*BY530), N($AU$46:$AU$55&gt;$AM530))
) / 1000</f>
        <v>0</v>
      </c>
      <c r="CE530" s="234" cm="1">
        <f t="array" ref="CE530">$BM530 * IF($AH530&lt;=2,
SUMPRODUCT(INDEX($AV$22:$AX$60,,$AI530), INDEX($AY$22:$BE$60,,$AH530), 1 / ($BF$22:$BF$60*CC530), N($AU$22:$AU$60&gt;$AM530)),
SUMPRODUCT(INDEX($AV$22:$AX$45,,$AI530), INDEX($AY$22:$BE$45,,$AH530), 1 / ($BG$22:$BG$45*CC530), N($AU$22:$AU$45&gt;$AM530))
) / 1000</f>
        <v>0</v>
      </c>
      <c r="CF530" s="229">
        <f t="shared" si="684"/>
        <v>0</v>
      </c>
      <c r="CG530" s="246"/>
      <c r="CH530" s="229">
        <f t="shared" si="685"/>
        <v>0</v>
      </c>
      <c r="CI530" s="228">
        <v>35</v>
      </c>
      <c r="CJ530" s="229">
        <f t="shared" si="686"/>
        <v>48</v>
      </c>
      <c r="CK530" s="234">
        <f t="shared" si="687"/>
        <v>3.0748170731707316</v>
      </c>
      <c r="CL530" s="234" cm="1">
        <f t="array" ref="CL530">$BM530 * SUMPRODUCT(INDEX($AV$76:$AX$81,,$AI530),INDEX($AY$76:$BE$81,,$AH530), N($AU$76:$AU$81&gt;$AM530)) / CK530 / 1000</f>
        <v>0</v>
      </c>
      <c r="CM530" s="231">
        <f t="shared" si="667"/>
        <v>30</v>
      </c>
      <c r="CN530" s="229">
        <f t="shared" si="688"/>
        <v>43</v>
      </c>
      <c r="CO530" s="234">
        <f t="shared" si="689"/>
        <v>3.5018750000000001</v>
      </c>
      <c r="CP530" s="234" cm="1">
        <f t="array" ref="CP530">$BM530 * IF($AH530&lt;=2,
SUMPRODUCT(INDEX($AV$71:$AX$75,,$AI530), INDEX($AY$71:$BE$75,,$AH530), 1 / ($BF$71:$BF$75*CO530 + (1-$BF$71:$BF$75)*CK530), N($AU$71:$AU$75&gt;$AM530)),
SUMPRODUCT(INDEX($AV$66:$AX$75,,$AI530), INDEX($AY$66:$BE$75,,$AH530), 1 / ($BG$66:$BG$75*CO530 + (1-$BG$66:$BG$75)*CK530), N($AU$66:$AU$75&gt;$AM530))
) / 1000</f>
        <v>0</v>
      </c>
      <c r="CQ530" s="231">
        <f t="shared" si="668"/>
        <v>25</v>
      </c>
      <c r="CR530" s="229">
        <f t="shared" si="690"/>
        <v>38</v>
      </c>
      <c r="CS530" s="234">
        <f t="shared" si="691"/>
        <v>4.0666935483870965</v>
      </c>
      <c r="CT530" s="234" cm="1">
        <f t="array" ref="CT530">$BM530 * IF($AH530&lt;=2,
SUMPRODUCT(INDEX($AV$66:$AX$70,,$AI530), INDEX($AY$66:$BE$70,,$AH530), 1 / ($BF$66:$BF$70*CS530 + (1-$BF$66:$BF$70)*CO530), N($AU$66:$AU$70&gt;$AM530)),
SUMPRODUCT(INDEX($AV$56:$AX$65,,$AI530), INDEX($AY$56:$BE$65,,$AH530), 1 / ($BG$56:$BG$65*CS530 + (1-$BG$56:$BG$65)*CO530), N($AU$56:$AU$65&gt;$AM530))
) / 1000</f>
        <v>0</v>
      </c>
      <c r="CU530" s="231">
        <f t="shared" si="669"/>
        <v>20</v>
      </c>
      <c r="CV530" s="229">
        <f t="shared" si="692"/>
        <v>33</v>
      </c>
      <c r="CW530" s="234">
        <f t="shared" si="693"/>
        <v>4.8487499999999999</v>
      </c>
      <c r="CX530" s="234" cm="1">
        <f t="array" ref="CX530">$BM530 * IF($AH530&lt;=2,
SUMPRODUCT(INDEX($AV$61:$AX$65,,$AI530), INDEX($AY$61:$BE$65,,$AH530), 1 / ($BF$61:$BF$65*CW530 + (1-$BF$61:$BF$65)*CS530), N($AU$61:$AU$65&gt;$AM530)),
SUMPRODUCT(INDEX($AV$46:$AX$55,,$AI530), INDEX($AY$46:$BE$55,,$AH530), 1 / ($BG$46:$BG$55*CW530 + (1-$BG$46:$BG$55)*CS530), N($AU$46:$AU$55&gt;$AM530))
) / 1000</f>
        <v>0</v>
      </c>
      <c r="CY530" s="234" cm="1">
        <f t="array" ref="CY530">$BM530 * IF($AH530&lt;=2,
SUMPRODUCT(INDEX($AV$22:$AX$60,,$AI530), INDEX($AY$22:$BE$60,,$AH530), 1 / ($BF$22:$BF$60*CW530), N($AU$22:$AU$60&gt;$AM530)),
SUMPRODUCT(INDEX($AV$22:$AX$45,,$AI530), INDEX($AY$22:$BE$45,,$AH530), 1 / ($BG$22:$BG$45*CW530), N($AU$22:$AU$45&gt;$AM530))
) / 1000</f>
        <v>0</v>
      </c>
      <c r="CZ530" s="229">
        <f t="shared" si="694"/>
        <v>0</v>
      </c>
      <c r="DA530" s="246"/>
    </row>
    <row r="531" spans="1:105" s="75" customFormat="1" ht="14.25" customHeight="1" x14ac:dyDescent="0.2">
      <c r="A531" s="230" t="b">
        <f t="shared" si="661"/>
        <v>0</v>
      </c>
      <c r="B531" s="253">
        <v>510</v>
      </c>
      <c r="C531" s="266"/>
      <c r="D531" s="266"/>
      <c r="E531" s="254"/>
      <c r="F531" s="255" t="str">
        <f>IF(ISBLANK(E531), "", VLOOKUP(E531, Z!$A$2:$C$4127, 3, FALSE))</f>
        <v/>
      </c>
      <c r="G531" s="256"/>
      <c r="H531" s="256"/>
      <c r="I531" s="256"/>
      <c r="J531" s="257"/>
      <c r="K531" s="258"/>
      <c r="L531" s="267"/>
      <c r="M531" s="268"/>
      <c r="N531" s="259" t="str" cm="1">
        <f t="array" ref="N531">IF($L531&gt;0, INDEX(Clean,1+AK531,$D$1), "")</f>
        <v/>
      </c>
      <c r="O531" s="260"/>
      <c r="P531" s="260"/>
      <c r="Q531" s="261"/>
      <c r="R531" s="264">
        <f t="shared" si="670"/>
        <v>0</v>
      </c>
      <c r="S531" s="259" t="str" cm="1">
        <f t="array" ref="S531">IF($L531&gt;0, INDEX(Clean,1+AL531,$D$1), "")</f>
        <v/>
      </c>
      <c r="T531" s="260"/>
      <c r="U531" s="260"/>
      <c r="V531" s="261"/>
      <c r="W531" s="267"/>
      <c r="X531" s="267"/>
      <c r="Y531" s="257"/>
      <c r="Z531" s="264">
        <f t="shared" si="671"/>
        <v>0</v>
      </c>
      <c r="AA531" s="269"/>
      <c r="AB531" s="266"/>
      <c r="AC531" s="254"/>
      <c r="AD531" s="255" t="str">
        <f>IF(ISBLANK(AC531), "", VLOOKUP(AC531, Z!$A$2:$C$4127, 3, FALSE))</f>
        <v/>
      </c>
      <c r="AE531" s="270"/>
      <c r="AF531" s="265">
        <f t="shared" si="672"/>
        <v>0</v>
      </c>
      <c r="AG531" s="246"/>
      <c r="AH531" s="228">
        <f t="shared" si="695"/>
        <v>1</v>
      </c>
      <c r="AI531" s="228">
        <f t="shared" si="696"/>
        <v>1</v>
      </c>
      <c r="AJ531" s="228">
        <f t="shared" si="697"/>
        <v>0</v>
      </c>
      <c r="AK531" s="228">
        <v>0</v>
      </c>
      <c r="AL531" s="228">
        <v>0</v>
      </c>
      <c r="AM531" s="228">
        <f t="shared" si="673"/>
        <v>-100</v>
      </c>
      <c r="AN531" s="228" cm="1">
        <f t="array" ref="AN531">IF(ISBLANK(G531), 1, IFERROR(MATCH(G531, INDEX(Kat,,1), 0), IFERROR(MATCH(Kat, INDEX(Use,,2), 0), MATCH(Kat, INDEX(Use,,3), 0))))</f>
        <v>1</v>
      </c>
      <c r="AO531" s="246"/>
      <c r="AP531" s="228" cm="1">
        <f t="array" ref="AP531">IF(W531&gt;0, INDEX(Kat, AN531,4), 0)</f>
        <v>0</v>
      </c>
      <c r="AQ531" s="228">
        <f t="shared" si="698"/>
        <v>0</v>
      </c>
      <c r="AR531" s="228" cm="1">
        <f t="array" ref="AR531">IF(X531&gt;0, INDEX(Kat, $AN531, 4+AQ531), 0)</f>
        <v>0</v>
      </c>
      <c r="AS531" s="228" cm="1">
        <f t="array" ref="AS531">IF(X531&gt;0, INDEX(Kat, $AN531, 9+AQ531), 0)</f>
        <v>0</v>
      </c>
      <c r="AT531" s="246"/>
      <c r="AU531" s="262"/>
      <c r="AV531" s="262"/>
      <c r="AW531" s="263"/>
      <c r="AX531" s="263"/>
      <c r="AY531" s="263"/>
      <c r="AZ531" s="263"/>
      <c r="BA531" s="263"/>
      <c r="BB531" s="263"/>
      <c r="BC531" s="263"/>
      <c r="BD531" s="263"/>
      <c r="BE531" s="263"/>
      <c r="BF531" s="263"/>
      <c r="BG531" s="263"/>
      <c r="BH531" s="246"/>
      <c r="BI531" s="228" cm="1">
        <f t="array" ref="BI531">INDEX(Use, $AH531, 4)</f>
        <v>7</v>
      </c>
      <c r="BJ531" s="228">
        <f t="shared" si="674"/>
        <v>32</v>
      </c>
      <c r="BK531" s="228">
        <f t="shared" si="662"/>
        <v>13</v>
      </c>
      <c r="BL531" s="228">
        <f t="shared" si="663"/>
        <v>0</v>
      </c>
      <c r="BM531" s="233" cm="1">
        <f t="array" ref="BM531">L531/IF($M531&gt;0, INDEX($AY$22:$BE$76, $M531+20, $AH531), 1)</f>
        <v>0</v>
      </c>
      <c r="BN531" s="229">
        <f t="shared" si="675"/>
        <v>0</v>
      </c>
      <c r="BO531" s="228">
        <v>35</v>
      </c>
      <c r="BP531" s="229">
        <f t="shared" si="676"/>
        <v>48</v>
      </c>
      <c r="BQ531" s="234">
        <f t="shared" si="677"/>
        <v>3.0748170731707316</v>
      </c>
      <c r="BR531" s="234" cm="1">
        <f t="array" ref="BR531">$BM531 * SUMPRODUCT(INDEX($AV$76:$AX$81,,$AI531),INDEX($AY$76:$BE$81,,$AH531), N($AU$76:$AU$81&gt;$AM531)) / BQ531 / 1000</f>
        <v>0</v>
      </c>
      <c r="BS531" s="231">
        <f t="shared" si="664"/>
        <v>30</v>
      </c>
      <c r="BT531" s="229">
        <f t="shared" si="678"/>
        <v>43</v>
      </c>
      <c r="BU531" s="234">
        <f t="shared" si="679"/>
        <v>3.5018750000000001</v>
      </c>
      <c r="BV531" s="234" cm="1">
        <f t="array" ref="BV531">$BM531 * IF($AH531&lt;=2,
SUMPRODUCT(INDEX($AV$71:$AX$75,,$AI531), INDEX($AY$71:$BE$75,,$AH531), 1 / ($BF$71:$BF$75*BU531 + (1-$BF$71:$BF$75)*BQ531), N($AU$71:$AU$75&gt;$AM531)),
SUMPRODUCT(INDEX($AV$66:$AX$75,,$AI531), INDEX($AY$66:$BE$75,,$AH531), 1 / ($BG$66:$BG$75*BU531 + (1-$BG$66:$BG$75)*BQ531), N($AU$66:$AU$75&gt;$AM531))
) / 1000</f>
        <v>0</v>
      </c>
      <c r="BW531" s="231">
        <f t="shared" si="665"/>
        <v>25</v>
      </c>
      <c r="BX531" s="229">
        <f t="shared" si="680"/>
        <v>38</v>
      </c>
      <c r="BY531" s="234">
        <f t="shared" si="681"/>
        <v>4.0666935483870965</v>
      </c>
      <c r="BZ531" s="234" cm="1">
        <f t="array" ref="BZ531">$BM531 * IF($AH531&lt;=2,
SUMPRODUCT(INDEX($AV$66:$AX$70,,$AI531), INDEX($AY$66:$BE$70,,$AH531), 1 / ($BF$66:$BF$70*BY531 + (1-$BF$66:$BF$70)*BU531), N($AU$66:$AU$70&gt;$AM531)),
SUMPRODUCT(INDEX($AV$56:$AX$65,,$AI531), INDEX($AY$56:$BE$65,,$AH531), 1 / ($BG$56:$BG$65*BY531 + (1-$BG$56:$BG$65)*BU531), N($AU$56:$AU$65&gt;$AM531))
) / 1000</f>
        <v>0</v>
      </c>
      <c r="CA531" s="231">
        <f t="shared" si="666"/>
        <v>20</v>
      </c>
      <c r="CB531" s="229">
        <f t="shared" si="682"/>
        <v>33</v>
      </c>
      <c r="CC531" s="234">
        <f t="shared" si="683"/>
        <v>4.8487499999999999</v>
      </c>
      <c r="CD531" s="234" cm="1">
        <f t="array" ref="CD531">$BM531 * IF($AH531&lt;=2,
SUMPRODUCT(INDEX($AV$61:$AX$65,,$AI531), INDEX($AY$61:$BE$65,,$AH531), 1 / ($BF$61:$BF$65*CC531 + (1-$BF$61:$BF$65)*BY531), N($AU$61:$AU$65&gt;$AM531)),
SUMPRODUCT(INDEX($AV$46:$AX$55,,$AI531), INDEX($AY$46:$BE$55,,$AH531), 1 / ($BG$46:$BG$55*CC531 + (1-$BG$46:$BG$55)*BY531), N($AU$46:$AU$55&gt;$AM531))
) / 1000</f>
        <v>0</v>
      </c>
      <c r="CE531" s="234" cm="1">
        <f t="array" ref="CE531">$BM531 * IF($AH531&lt;=2,
SUMPRODUCT(INDEX($AV$22:$AX$60,,$AI531), INDEX($AY$22:$BE$60,,$AH531), 1 / ($BF$22:$BF$60*CC531), N($AU$22:$AU$60&gt;$AM531)),
SUMPRODUCT(INDEX($AV$22:$AX$45,,$AI531), INDEX($AY$22:$BE$45,,$AH531), 1 / ($BG$22:$BG$45*CC531), N($AU$22:$AU$45&gt;$AM531))
) / 1000</f>
        <v>0</v>
      </c>
      <c r="CF531" s="229">
        <f t="shared" si="684"/>
        <v>0</v>
      </c>
      <c r="CG531" s="246"/>
      <c r="CH531" s="229">
        <f t="shared" si="685"/>
        <v>0</v>
      </c>
      <c r="CI531" s="228">
        <v>35</v>
      </c>
      <c r="CJ531" s="229">
        <f t="shared" si="686"/>
        <v>48</v>
      </c>
      <c r="CK531" s="234">
        <f t="shared" si="687"/>
        <v>3.0748170731707316</v>
      </c>
      <c r="CL531" s="234" cm="1">
        <f t="array" ref="CL531">$BM531 * SUMPRODUCT(INDEX($AV$76:$AX$81,,$AI531),INDEX($AY$76:$BE$81,,$AH531), N($AU$76:$AU$81&gt;$AM531)) / CK531 / 1000</f>
        <v>0</v>
      </c>
      <c r="CM531" s="231">
        <f t="shared" si="667"/>
        <v>30</v>
      </c>
      <c r="CN531" s="229">
        <f t="shared" si="688"/>
        <v>43</v>
      </c>
      <c r="CO531" s="234">
        <f t="shared" si="689"/>
        <v>3.5018750000000001</v>
      </c>
      <c r="CP531" s="234" cm="1">
        <f t="array" ref="CP531">$BM531 * IF($AH531&lt;=2,
SUMPRODUCT(INDEX($AV$71:$AX$75,,$AI531), INDEX($AY$71:$BE$75,,$AH531), 1 / ($BF$71:$BF$75*CO531 + (1-$BF$71:$BF$75)*CK531), N($AU$71:$AU$75&gt;$AM531)),
SUMPRODUCT(INDEX($AV$66:$AX$75,,$AI531), INDEX($AY$66:$BE$75,,$AH531), 1 / ($BG$66:$BG$75*CO531 + (1-$BG$66:$BG$75)*CK531), N($AU$66:$AU$75&gt;$AM531))
) / 1000</f>
        <v>0</v>
      </c>
      <c r="CQ531" s="231">
        <f t="shared" si="668"/>
        <v>25</v>
      </c>
      <c r="CR531" s="229">
        <f t="shared" si="690"/>
        <v>38</v>
      </c>
      <c r="CS531" s="234">
        <f t="shared" si="691"/>
        <v>4.0666935483870965</v>
      </c>
      <c r="CT531" s="234" cm="1">
        <f t="array" ref="CT531">$BM531 * IF($AH531&lt;=2,
SUMPRODUCT(INDEX($AV$66:$AX$70,,$AI531), INDEX($AY$66:$BE$70,,$AH531), 1 / ($BF$66:$BF$70*CS531 + (1-$BF$66:$BF$70)*CO531), N($AU$66:$AU$70&gt;$AM531)),
SUMPRODUCT(INDEX($AV$56:$AX$65,,$AI531), INDEX($AY$56:$BE$65,,$AH531), 1 / ($BG$56:$BG$65*CS531 + (1-$BG$56:$BG$65)*CO531), N($AU$56:$AU$65&gt;$AM531))
) / 1000</f>
        <v>0</v>
      </c>
      <c r="CU531" s="231">
        <f t="shared" si="669"/>
        <v>20</v>
      </c>
      <c r="CV531" s="229">
        <f t="shared" si="692"/>
        <v>33</v>
      </c>
      <c r="CW531" s="234">
        <f t="shared" si="693"/>
        <v>4.8487499999999999</v>
      </c>
      <c r="CX531" s="234" cm="1">
        <f t="array" ref="CX531">$BM531 * IF($AH531&lt;=2,
SUMPRODUCT(INDEX($AV$61:$AX$65,,$AI531), INDEX($AY$61:$BE$65,,$AH531), 1 / ($BF$61:$BF$65*CW531 + (1-$BF$61:$BF$65)*CS531), N($AU$61:$AU$65&gt;$AM531)),
SUMPRODUCT(INDEX($AV$46:$AX$55,,$AI531), INDEX($AY$46:$BE$55,,$AH531), 1 / ($BG$46:$BG$55*CW531 + (1-$BG$46:$BG$55)*CS531), N($AU$46:$AU$55&gt;$AM531))
) / 1000</f>
        <v>0</v>
      </c>
      <c r="CY531" s="234" cm="1">
        <f t="array" ref="CY531">$BM531 * IF($AH531&lt;=2,
SUMPRODUCT(INDEX($AV$22:$AX$60,,$AI531), INDEX($AY$22:$BE$60,,$AH531), 1 / ($BF$22:$BF$60*CW531), N($AU$22:$AU$60&gt;$AM531)),
SUMPRODUCT(INDEX($AV$22:$AX$45,,$AI531), INDEX($AY$22:$BE$45,,$AH531), 1 / ($BG$22:$BG$45*CW531), N($AU$22:$AU$45&gt;$AM531))
) / 1000</f>
        <v>0</v>
      </c>
      <c r="CZ531" s="229">
        <f t="shared" si="694"/>
        <v>0</v>
      </c>
      <c r="DA531" s="246"/>
    </row>
    <row r="532" spans="1:105" s="75" customFormat="1" ht="14.25" customHeight="1" x14ac:dyDescent="0.2">
      <c r="A532" s="230" t="b">
        <f t="shared" si="661"/>
        <v>0</v>
      </c>
      <c r="B532" s="253">
        <v>511</v>
      </c>
      <c r="C532" s="266"/>
      <c r="D532" s="266"/>
      <c r="E532" s="254"/>
      <c r="F532" s="255" t="str">
        <f>IF(ISBLANK(E532), "", VLOOKUP(E532, Z!$A$2:$C$4127, 3, FALSE))</f>
        <v/>
      </c>
      <c r="G532" s="256"/>
      <c r="H532" s="256"/>
      <c r="I532" s="256"/>
      <c r="J532" s="257"/>
      <c r="K532" s="258"/>
      <c r="L532" s="267"/>
      <c r="M532" s="268"/>
      <c r="N532" s="259" t="str" cm="1">
        <f t="array" ref="N532">IF($L532&gt;0, INDEX(Clean,1+AK532,$D$1), "")</f>
        <v/>
      </c>
      <c r="O532" s="260"/>
      <c r="P532" s="260"/>
      <c r="Q532" s="261"/>
      <c r="R532" s="264">
        <f t="shared" si="670"/>
        <v>0</v>
      </c>
      <c r="S532" s="259" t="str" cm="1">
        <f t="array" ref="S532">IF($L532&gt;0, INDEX(Clean,1+AL532,$D$1), "")</f>
        <v/>
      </c>
      <c r="T532" s="260"/>
      <c r="U532" s="260"/>
      <c r="V532" s="261"/>
      <c r="W532" s="267"/>
      <c r="X532" s="267"/>
      <c r="Y532" s="257"/>
      <c r="Z532" s="264">
        <f t="shared" si="671"/>
        <v>0</v>
      </c>
      <c r="AA532" s="269"/>
      <c r="AB532" s="266"/>
      <c r="AC532" s="254"/>
      <c r="AD532" s="255" t="str">
        <f>IF(ISBLANK(AC532), "", VLOOKUP(AC532, Z!$A$2:$C$4127, 3, FALSE))</f>
        <v/>
      </c>
      <c r="AE532" s="270"/>
      <c r="AF532" s="265">
        <f t="shared" si="672"/>
        <v>0</v>
      </c>
      <c r="AG532" s="246"/>
      <c r="AH532" s="228">
        <f t="shared" si="695"/>
        <v>1</v>
      </c>
      <c r="AI532" s="228">
        <f t="shared" si="696"/>
        <v>1</v>
      </c>
      <c r="AJ532" s="228">
        <f t="shared" si="697"/>
        <v>0</v>
      </c>
      <c r="AK532" s="228">
        <v>0</v>
      </c>
      <c r="AL532" s="228">
        <v>0</v>
      </c>
      <c r="AM532" s="228">
        <f t="shared" si="673"/>
        <v>-100</v>
      </c>
      <c r="AN532" s="228" cm="1">
        <f t="array" ref="AN532">IF(ISBLANK(G532), 1, IFERROR(MATCH(G532, INDEX(Kat,,1), 0), IFERROR(MATCH(Kat, INDEX(Use,,2), 0), MATCH(Kat, INDEX(Use,,3), 0))))</f>
        <v>1</v>
      </c>
      <c r="AO532" s="246"/>
      <c r="AP532" s="228" cm="1">
        <f t="array" ref="AP532">IF(W532&gt;0, INDEX(Kat, AN532,4), 0)</f>
        <v>0</v>
      </c>
      <c r="AQ532" s="228">
        <f t="shared" si="698"/>
        <v>0</v>
      </c>
      <c r="AR532" s="228" cm="1">
        <f t="array" ref="AR532">IF(X532&gt;0, INDEX(Kat, $AN532, 4+AQ532), 0)</f>
        <v>0</v>
      </c>
      <c r="AS532" s="228" cm="1">
        <f t="array" ref="AS532">IF(X532&gt;0, INDEX(Kat, $AN532, 9+AQ532), 0)</f>
        <v>0</v>
      </c>
      <c r="AT532" s="246"/>
      <c r="AU532" s="262"/>
      <c r="AV532" s="262"/>
      <c r="AW532" s="263"/>
      <c r="AX532" s="263"/>
      <c r="AY532" s="263"/>
      <c r="AZ532" s="263"/>
      <c r="BA532" s="263"/>
      <c r="BB532" s="263"/>
      <c r="BC532" s="263"/>
      <c r="BD532" s="263"/>
      <c r="BE532" s="263"/>
      <c r="BF532" s="263"/>
      <c r="BG532" s="263"/>
      <c r="BH532" s="246"/>
      <c r="BI532" s="228" cm="1">
        <f t="array" ref="BI532">INDEX(Use, $AH532, 4)</f>
        <v>7</v>
      </c>
      <c r="BJ532" s="228">
        <f t="shared" si="674"/>
        <v>32</v>
      </c>
      <c r="BK532" s="228">
        <f t="shared" si="662"/>
        <v>13</v>
      </c>
      <c r="BL532" s="228">
        <f t="shared" si="663"/>
        <v>0</v>
      </c>
      <c r="BM532" s="233" cm="1">
        <f t="array" ref="BM532">L532/IF($M532&gt;0, INDEX($AY$22:$BE$76, $M532+20, $AH532), 1)</f>
        <v>0</v>
      </c>
      <c r="BN532" s="229">
        <f t="shared" si="675"/>
        <v>0</v>
      </c>
      <c r="BO532" s="228">
        <v>35</v>
      </c>
      <c r="BP532" s="229">
        <f t="shared" si="676"/>
        <v>48</v>
      </c>
      <c r="BQ532" s="234">
        <f t="shared" si="677"/>
        <v>3.0748170731707316</v>
      </c>
      <c r="BR532" s="234" cm="1">
        <f t="array" ref="BR532">$BM532 * SUMPRODUCT(INDEX($AV$76:$AX$81,,$AI532),INDEX($AY$76:$BE$81,,$AH532), N($AU$76:$AU$81&gt;$AM532)) / BQ532 / 1000</f>
        <v>0</v>
      </c>
      <c r="BS532" s="231">
        <f t="shared" si="664"/>
        <v>30</v>
      </c>
      <c r="BT532" s="229">
        <f t="shared" si="678"/>
        <v>43</v>
      </c>
      <c r="BU532" s="234">
        <f t="shared" si="679"/>
        <v>3.5018750000000001</v>
      </c>
      <c r="BV532" s="234" cm="1">
        <f t="array" ref="BV532">$BM532 * IF($AH532&lt;=2,
SUMPRODUCT(INDEX($AV$71:$AX$75,,$AI532), INDEX($AY$71:$BE$75,,$AH532), 1 / ($BF$71:$BF$75*BU532 + (1-$BF$71:$BF$75)*BQ532), N($AU$71:$AU$75&gt;$AM532)),
SUMPRODUCT(INDEX($AV$66:$AX$75,,$AI532), INDEX($AY$66:$BE$75,,$AH532), 1 / ($BG$66:$BG$75*BU532 + (1-$BG$66:$BG$75)*BQ532), N($AU$66:$AU$75&gt;$AM532))
) / 1000</f>
        <v>0</v>
      </c>
      <c r="BW532" s="231">
        <f t="shared" si="665"/>
        <v>25</v>
      </c>
      <c r="BX532" s="229">
        <f t="shared" si="680"/>
        <v>38</v>
      </c>
      <c r="BY532" s="234">
        <f t="shared" si="681"/>
        <v>4.0666935483870965</v>
      </c>
      <c r="BZ532" s="234" cm="1">
        <f t="array" ref="BZ532">$BM532 * IF($AH532&lt;=2,
SUMPRODUCT(INDEX($AV$66:$AX$70,,$AI532), INDEX($AY$66:$BE$70,,$AH532), 1 / ($BF$66:$BF$70*BY532 + (1-$BF$66:$BF$70)*BU532), N($AU$66:$AU$70&gt;$AM532)),
SUMPRODUCT(INDEX($AV$56:$AX$65,,$AI532), INDEX($AY$56:$BE$65,,$AH532), 1 / ($BG$56:$BG$65*BY532 + (1-$BG$56:$BG$65)*BU532), N($AU$56:$AU$65&gt;$AM532))
) / 1000</f>
        <v>0</v>
      </c>
      <c r="CA532" s="231">
        <f t="shared" si="666"/>
        <v>20</v>
      </c>
      <c r="CB532" s="229">
        <f t="shared" si="682"/>
        <v>33</v>
      </c>
      <c r="CC532" s="234">
        <f t="shared" si="683"/>
        <v>4.8487499999999999</v>
      </c>
      <c r="CD532" s="234" cm="1">
        <f t="array" ref="CD532">$BM532 * IF($AH532&lt;=2,
SUMPRODUCT(INDEX($AV$61:$AX$65,,$AI532), INDEX($AY$61:$BE$65,,$AH532), 1 / ($BF$61:$BF$65*CC532 + (1-$BF$61:$BF$65)*BY532), N($AU$61:$AU$65&gt;$AM532)),
SUMPRODUCT(INDEX($AV$46:$AX$55,,$AI532), INDEX($AY$46:$BE$55,,$AH532), 1 / ($BG$46:$BG$55*CC532 + (1-$BG$46:$BG$55)*BY532), N($AU$46:$AU$55&gt;$AM532))
) / 1000</f>
        <v>0</v>
      </c>
      <c r="CE532" s="234" cm="1">
        <f t="array" ref="CE532">$BM532 * IF($AH532&lt;=2,
SUMPRODUCT(INDEX($AV$22:$AX$60,,$AI532), INDEX($AY$22:$BE$60,,$AH532), 1 / ($BF$22:$BF$60*CC532), N($AU$22:$AU$60&gt;$AM532)),
SUMPRODUCT(INDEX($AV$22:$AX$45,,$AI532), INDEX($AY$22:$BE$45,,$AH532), 1 / ($BG$22:$BG$45*CC532), N($AU$22:$AU$45&gt;$AM532))
) / 1000</f>
        <v>0</v>
      </c>
      <c r="CF532" s="229">
        <f t="shared" si="684"/>
        <v>0</v>
      </c>
      <c r="CG532" s="246"/>
      <c r="CH532" s="229">
        <f t="shared" si="685"/>
        <v>0</v>
      </c>
      <c r="CI532" s="228">
        <v>35</v>
      </c>
      <c r="CJ532" s="229">
        <f t="shared" si="686"/>
        <v>48</v>
      </c>
      <c r="CK532" s="234">
        <f t="shared" si="687"/>
        <v>3.0748170731707316</v>
      </c>
      <c r="CL532" s="234" cm="1">
        <f t="array" ref="CL532">$BM532 * SUMPRODUCT(INDEX($AV$76:$AX$81,,$AI532),INDEX($AY$76:$BE$81,,$AH532), N($AU$76:$AU$81&gt;$AM532)) / CK532 / 1000</f>
        <v>0</v>
      </c>
      <c r="CM532" s="231">
        <f t="shared" si="667"/>
        <v>30</v>
      </c>
      <c r="CN532" s="229">
        <f t="shared" si="688"/>
        <v>43</v>
      </c>
      <c r="CO532" s="234">
        <f t="shared" si="689"/>
        <v>3.5018750000000001</v>
      </c>
      <c r="CP532" s="234" cm="1">
        <f t="array" ref="CP532">$BM532 * IF($AH532&lt;=2,
SUMPRODUCT(INDEX($AV$71:$AX$75,,$AI532), INDEX($AY$71:$BE$75,,$AH532), 1 / ($BF$71:$BF$75*CO532 + (1-$BF$71:$BF$75)*CK532), N($AU$71:$AU$75&gt;$AM532)),
SUMPRODUCT(INDEX($AV$66:$AX$75,,$AI532), INDEX($AY$66:$BE$75,,$AH532), 1 / ($BG$66:$BG$75*CO532 + (1-$BG$66:$BG$75)*CK532), N($AU$66:$AU$75&gt;$AM532))
) / 1000</f>
        <v>0</v>
      </c>
      <c r="CQ532" s="231">
        <f t="shared" si="668"/>
        <v>25</v>
      </c>
      <c r="CR532" s="229">
        <f t="shared" si="690"/>
        <v>38</v>
      </c>
      <c r="CS532" s="234">
        <f t="shared" si="691"/>
        <v>4.0666935483870965</v>
      </c>
      <c r="CT532" s="234" cm="1">
        <f t="array" ref="CT532">$BM532 * IF($AH532&lt;=2,
SUMPRODUCT(INDEX($AV$66:$AX$70,,$AI532), INDEX($AY$66:$BE$70,,$AH532), 1 / ($BF$66:$BF$70*CS532 + (1-$BF$66:$BF$70)*CO532), N($AU$66:$AU$70&gt;$AM532)),
SUMPRODUCT(INDEX($AV$56:$AX$65,,$AI532), INDEX($AY$56:$BE$65,,$AH532), 1 / ($BG$56:$BG$65*CS532 + (1-$BG$56:$BG$65)*CO532), N($AU$56:$AU$65&gt;$AM532))
) / 1000</f>
        <v>0</v>
      </c>
      <c r="CU532" s="231">
        <f t="shared" si="669"/>
        <v>20</v>
      </c>
      <c r="CV532" s="229">
        <f t="shared" si="692"/>
        <v>33</v>
      </c>
      <c r="CW532" s="234">
        <f t="shared" si="693"/>
        <v>4.8487499999999999</v>
      </c>
      <c r="CX532" s="234" cm="1">
        <f t="array" ref="CX532">$BM532 * IF($AH532&lt;=2,
SUMPRODUCT(INDEX($AV$61:$AX$65,,$AI532), INDEX($AY$61:$BE$65,,$AH532), 1 / ($BF$61:$BF$65*CW532 + (1-$BF$61:$BF$65)*CS532), N($AU$61:$AU$65&gt;$AM532)),
SUMPRODUCT(INDEX($AV$46:$AX$55,,$AI532), INDEX($AY$46:$BE$55,,$AH532), 1 / ($BG$46:$BG$55*CW532 + (1-$BG$46:$BG$55)*CS532), N($AU$46:$AU$55&gt;$AM532))
) / 1000</f>
        <v>0</v>
      </c>
      <c r="CY532" s="234" cm="1">
        <f t="array" ref="CY532">$BM532 * IF($AH532&lt;=2,
SUMPRODUCT(INDEX($AV$22:$AX$60,,$AI532), INDEX($AY$22:$BE$60,,$AH532), 1 / ($BF$22:$BF$60*CW532), N($AU$22:$AU$60&gt;$AM532)),
SUMPRODUCT(INDEX($AV$22:$AX$45,,$AI532), INDEX($AY$22:$BE$45,,$AH532), 1 / ($BG$22:$BG$45*CW532), N($AU$22:$AU$45&gt;$AM532))
) / 1000</f>
        <v>0</v>
      </c>
      <c r="CZ532" s="229">
        <f t="shared" si="694"/>
        <v>0</v>
      </c>
      <c r="DA532" s="246"/>
    </row>
    <row r="533" spans="1:105" s="75" customFormat="1" ht="14.25" customHeight="1" x14ac:dyDescent="0.2">
      <c r="A533" s="230" t="b">
        <f t="shared" ref="A533:A596" si="699">IF(OR(AND($L533&gt;80, $AH533=1), AND($L533&gt;40, $AH533=3), AND($L533&gt;30, $AH533=4),), TRUE, FALSE)</f>
        <v>0</v>
      </c>
      <c r="B533" s="253">
        <v>512</v>
      </c>
      <c r="C533" s="266"/>
      <c r="D533" s="266"/>
      <c r="E533" s="254"/>
      <c r="F533" s="255" t="str">
        <f>IF(ISBLANK(E533), "", VLOOKUP(E533, Z!$A$2:$C$4127, 3, FALSE))</f>
        <v/>
      </c>
      <c r="G533" s="256"/>
      <c r="H533" s="256"/>
      <c r="I533" s="256"/>
      <c r="J533" s="257"/>
      <c r="K533" s="258"/>
      <c r="L533" s="267"/>
      <c r="M533" s="268"/>
      <c r="N533" s="259" t="str" cm="1">
        <f t="array" ref="N533">IF($L533&gt;0, INDEX(Clean,1+AK533,$D$1), "")</f>
        <v/>
      </c>
      <c r="O533" s="260"/>
      <c r="P533" s="260"/>
      <c r="Q533" s="261"/>
      <c r="R533" s="264">
        <f t="shared" si="670"/>
        <v>0</v>
      </c>
      <c r="S533" s="259" t="str" cm="1">
        <f t="array" ref="S533">IF($L533&gt;0, INDEX(Clean,1+AL533,$D$1), "")</f>
        <v/>
      </c>
      <c r="T533" s="260"/>
      <c r="U533" s="260"/>
      <c r="V533" s="261"/>
      <c r="W533" s="267"/>
      <c r="X533" s="267"/>
      <c r="Y533" s="257"/>
      <c r="Z533" s="264">
        <f t="shared" si="671"/>
        <v>0</v>
      </c>
      <c r="AA533" s="269"/>
      <c r="AB533" s="266"/>
      <c r="AC533" s="254"/>
      <c r="AD533" s="255" t="str">
        <f>IF(ISBLANK(AC533), "", VLOOKUP(AC533, Z!$A$2:$C$4127, 3, FALSE))</f>
        <v/>
      </c>
      <c r="AE533" s="270"/>
      <c r="AF533" s="265">
        <f t="shared" si="672"/>
        <v>0</v>
      </c>
      <c r="AG533" s="246"/>
      <c r="AH533" s="228">
        <f t="shared" si="695"/>
        <v>1</v>
      </c>
      <c r="AI533" s="228">
        <f t="shared" si="696"/>
        <v>1</v>
      </c>
      <c r="AJ533" s="228">
        <f t="shared" si="697"/>
        <v>0</v>
      </c>
      <c r="AK533" s="228">
        <v>0</v>
      </c>
      <c r="AL533" s="228">
        <v>0</v>
      </c>
      <c r="AM533" s="228">
        <f t="shared" si="673"/>
        <v>-100</v>
      </c>
      <c r="AN533" s="228" cm="1">
        <f t="array" ref="AN533">IF(ISBLANK(G533), 1, IFERROR(MATCH(G533, INDEX(Kat,,1), 0), IFERROR(MATCH(Kat, INDEX(Use,,2), 0), MATCH(Kat, INDEX(Use,,3), 0))))</f>
        <v>1</v>
      </c>
      <c r="AO533" s="246"/>
      <c r="AP533" s="228" cm="1">
        <f t="array" ref="AP533">IF(W533&gt;0, INDEX(Kat, AN533,4), 0)</f>
        <v>0</v>
      </c>
      <c r="AQ533" s="228">
        <f t="shared" si="698"/>
        <v>0</v>
      </c>
      <c r="AR533" s="228" cm="1">
        <f t="array" ref="AR533">IF(X533&gt;0, INDEX(Kat, $AN533, 4+AQ533), 0)</f>
        <v>0</v>
      </c>
      <c r="AS533" s="228" cm="1">
        <f t="array" ref="AS533">IF(X533&gt;0, INDEX(Kat, $AN533, 9+AQ533), 0)</f>
        <v>0</v>
      </c>
      <c r="AT533" s="246"/>
      <c r="AU533" s="262"/>
      <c r="AV533" s="262"/>
      <c r="AW533" s="263"/>
      <c r="AX533" s="263"/>
      <c r="AY533" s="263"/>
      <c r="AZ533" s="263"/>
      <c r="BA533" s="263"/>
      <c r="BB533" s="263"/>
      <c r="BC533" s="263"/>
      <c r="BD533" s="263"/>
      <c r="BE533" s="263"/>
      <c r="BF533" s="263"/>
      <c r="BG533" s="263"/>
      <c r="BH533" s="246"/>
      <c r="BI533" s="228" cm="1">
        <f t="array" ref="BI533">INDEX(Use, $AH533, 4)</f>
        <v>7</v>
      </c>
      <c r="BJ533" s="228">
        <f t="shared" si="674"/>
        <v>32</v>
      </c>
      <c r="BK533" s="228">
        <f t="shared" si="662"/>
        <v>13</v>
      </c>
      <c r="BL533" s="228">
        <f t="shared" si="663"/>
        <v>0</v>
      </c>
      <c r="BM533" s="233" cm="1">
        <f t="array" ref="BM533">L533/IF($M533&gt;0, INDEX($AY$22:$BE$76, $M533+20, $AH533), 1)</f>
        <v>0</v>
      </c>
      <c r="BN533" s="229">
        <f t="shared" si="675"/>
        <v>0</v>
      </c>
      <c r="BO533" s="228">
        <v>35</v>
      </c>
      <c r="BP533" s="229">
        <f t="shared" si="676"/>
        <v>48</v>
      </c>
      <c r="BQ533" s="234">
        <f t="shared" si="677"/>
        <v>3.0748170731707316</v>
      </c>
      <c r="BR533" s="234" cm="1">
        <f t="array" ref="BR533">$BM533 * SUMPRODUCT(INDEX($AV$76:$AX$81,,$AI533),INDEX($AY$76:$BE$81,,$AH533), N($AU$76:$AU$81&gt;$AM533)) / BQ533 / 1000</f>
        <v>0</v>
      </c>
      <c r="BS533" s="231">
        <f t="shared" si="664"/>
        <v>30</v>
      </c>
      <c r="BT533" s="229">
        <f t="shared" si="678"/>
        <v>43</v>
      </c>
      <c r="BU533" s="234">
        <f t="shared" si="679"/>
        <v>3.5018750000000001</v>
      </c>
      <c r="BV533" s="234" cm="1">
        <f t="array" ref="BV533">$BM533 * IF($AH533&lt;=2,
SUMPRODUCT(INDEX($AV$71:$AX$75,,$AI533), INDEX($AY$71:$BE$75,,$AH533), 1 / ($BF$71:$BF$75*BU533 + (1-$BF$71:$BF$75)*BQ533), N($AU$71:$AU$75&gt;$AM533)),
SUMPRODUCT(INDEX($AV$66:$AX$75,,$AI533), INDEX($AY$66:$BE$75,,$AH533), 1 / ($BG$66:$BG$75*BU533 + (1-$BG$66:$BG$75)*BQ533), N($AU$66:$AU$75&gt;$AM533))
) / 1000</f>
        <v>0</v>
      </c>
      <c r="BW533" s="231">
        <f t="shared" si="665"/>
        <v>25</v>
      </c>
      <c r="BX533" s="229">
        <f t="shared" si="680"/>
        <v>38</v>
      </c>
      <c r="BY533" s="234">
        <f t="shared" si="681"/>
        <v>4.0666935483870965</v>
      </c>
      <c r="BZ533" s="234" cm="1">
        <f t="array" ref="BZ533">$BM533 * IF($AH533&lt;=2,
SUMPRODUCT(INDEX($AV$66:$AX$70,,$AI533), INDEX($AY$66:$BE$70,,$AH533), 1 / ($BF$66:$BF$70*BY533 + (1-$BF$66:$BF$70)*BU533), N($AU$66:$AU$70&gt;$AM533)),
SUMPRODUCT(INDEX($AV$56:$AX$65,,$AI533), INDEX($AY$56:$BE$65,,$AH533), 1 / ($BG$56:$BG$65*BY533 + (1-$BG$56:$BG$65)*BU533), N($AU$56:$AU$65&gt;$AM533))
) / 1000</f>
        <v>0</v>
      </c>
      <c r="CA533" s="231">
        <f t="shared" si="666"/>
        <v>20</v>
      </c>
      <c r="CB533" s="229">
        <f t="shared" si="682"/>
        <v>33</v>
      </c>
      <c r="CC533" s="234">
        <f t="shared" si="683"/>
        <v>4.8487499999999999</v>
      </c>
      <c r="CD533" s="234" cm="1">
        <f t="array" ref="CD533">$BM533 * IF($AH533&lt;=2,
SUMPRODUCT(INDEX($AV$61:$AX$65,,$AI533), INDEX($AY$61:$BE$65,,$AH533), 1 / ($BF$61:$BF$65*CC533 + (1-$BF$61:$BF$65)*BY533), N($AU$61:$AU$65&gt;$AM533)),
SUMPRODUCT(INDEX($AV$46:$AX$55,,$AI533), INDEX($AY$46:$BE$55,,$AH533), 1 / ($BG$46:$BG$55*CC533 + (1-$BG$46:$BG$55)*BY533), N($AU$46:$AU$55&gt;$AM533))
) / 1000</f>
        <v>0</v>
      </c>
      <c r="CE533" s="234" cm="1">
        <f t="array" ref="CE533">$BM533 * IF($AH533&lt;=2,
SUMPRODUCT(INDEX($AV$22:$AX$60,,$AI533), INDEX($AY$22:$BE$60,,$AH533), 1 / ($BF$22:$BF$60*CC533), N($AU$22:$AU$60&gt;$AM533)),
SUMPRODUCT(INDEX($AV$22:$AX$45,,$AI533), INDEX($AY$22:$BE$45,,$AH533), 1 / ($BG$22:$BG$45*CC533), N($AU$22:$AU$45&gt;$AM533))
) / 1000</f>
        <v>0</v>
      </c>
      <c r="CF533" s="229">
        <f t="shared" si="684"/>
        <v>0</v>
      </c>
      <c r="CG533" s="246"/>
      <c r="CH533" s="229">
        <f t="shared" si="685"/>
        <v>0</v>
      </c>
      <c r="CI533" s="228">
        <v>35</v>
      </c>
      <c r="CJ533" s="229">
        <f t="shared" si="686"/>
        <v>48</v>
      </c>
      <c r="CK533" s="234">
        <f t="shared" si="687"/>
        <v>3.0748170731707316</v>
      </c>
      <c r="CL533" s="234" cm="1">
        <f t="array" ref="CL533">$BM533 * SUMPRODUCT(INDEX($AV$76:$AX$81,,$AI533),INDEX($AY$76:$BE$81,,$AH533), N($AU$76:$AU$81&gt;$AM533)) / CK533 / 1000</f>
        <v>0</v>
      </c>
      <c r="CM533" s="231">
        <f t="shared" si="667"/>
        <v>30</v>
      </c>
      <c r="CN533" s="229">
        <f t="shared" si="688"/>
        <v>43</v>
      </c>
      <c r="CO533" s="234">
        <f t="shared" si="689"/>
        <v>3.5018750000000001</v>
      </c>
      <c r="CP533" s="234" cm="1">
        <f t="array" ref="CP533">$BM533 * IF($AH533&lt;=2,
SUMPRODUCT(INDEX($AV$71:$AX$75,,$AI533), INDEX($AY$71:$BE$75,,$AH533), 1 / ($BF$71:$BF$75*CO533 + (1-$BF$71:$BF$75)*CK533), N($AU$71:$AU$75&gt;$AM533)),
SUMPRODUCT(INDEX($AV$66:$AX$75,,$AI533), INDEX($AY$66:$BE$75,,$AH533), 1 / ($BG$66:$BG$75*CO533 + (1-$BG$66:$BG$75)*CK533), N($AU$66:$AU$75&gt;$AM533))
) / 1000</f>
        <v>0</v>
      </c>
      <c r="CQ533" s="231">
        <f t="shared" si="668"/>
        <v>25</v>
      </c>
      <c r="CR533" s="229">
        <f t="shared" si="690"/>
        <v>38</v>
      </c>
      <c r="CS533" s="234">
        <f t="shared" si="691"/>
        <v>4.0666935483870965</v>
      </c>
      <c r="CT533" s="234" cm="1">
        <f t="array" ref="CT533">$BM533 * IF($AH533&lt;=2,
SUMPRODUCT(INDEX($AV$66:$AX$70,,$AI533), INDEX($AY$66:$BE$70,,$AH533), 1 / ($BF$66:$BF$70*CS533 + (1-$BF$66:$BF$70)*CO533), N($AU$66:$AU$70&gt;$AM533)),
SUMPRODUCT(INDEX($AV$56:$AX$65,,$AI533), INDEX($AY$56:$BE$65,,$AH533), 1 / ($BG$56:$BG$65*CS533 + (1-$BG$56:$BG$65)*CO533), N($AU$56:$AU$65&gt;$AM533))
) / 1000</f>
        <v>0</v>
      </c>
      <c r="CU533" s="231">
        <f t="shared" si="669"/>
        <v>20</v>
      </c>
      <c r="CV533" s="229">
        <f t="shared" si="692"/>
        <v>33</v>
      </c>
      <c r="CW533" s="234">
        <f t="shared" si="693"/>
        <v>4.8487499999999999</v>
      </c>
      <c r="CX533" s="234" cm="1">
        <f t="array" ref="CX533">$BM533 * IF($AH533&lt;=2,
SUMPRODUCT(INDEX($AV$61:$AX$65,,$AI533), INDEX($AY$61:$BE$65,,$AH533), 1 / ($BF$61:$BF$65*CW533 + (1-$BF$61:$BF$65)*CS533), N($AU$61:$AU$65&gt;$AM533)),
SUMPRODUCT(INDEX($AV$46:$AX$55,,$AI533), INDEX($AY$46:$BE$55,,$AH533), 1 / ($BG$46:$BG$55*CW533 + (1-$BG$46:$BG$55)*CS533), N($AU$46:$AU$55&gt;$AM533))
) / 1000</f>
        <v>0</v>
      </c>
      <c r="CY533" s="234" cm="1">
        <f t="array" ref="CY533">$BM533 * IF($AH533&lt;=2,
SUMPRODUCT(INDEX($AV$22:$AX$60,,$AI533), INDEX($AY$22:$BE$60,,$AH533), 1 / ($BF$22:$BF$60*CW533), N($AU$22:$AU$60&gt;$AM533)),
SUMPRODUCT(INDEX($AV$22:$AX$45,,$AI533), INDEX($AY$22:$BE$45,,$AH533), 1 / ($BG$22:$BG$45*CW533), N($AU$22:$AU$45&gt;$AM533))
) / 1000</f>
        <v>0</v>
      </c>
      <c r="CZ533" s="229">
        <f t="shared" si="694"/>
        <v>0</v>
      </c>
      <c r="DA533" s="246"/>
    </row>
    <row r="534" spans="1:105" s="75" customFormat="1" ht="14.25" customHeight="1" x14ac:dyDescent="0.2">
      <c r="A534" s="230" t="b">
        <f t="shared" si="699"/>
        <v>0</v>
      </c>
      <c r="B534" s="253">
        <v>513</v>
      </c>
      <c r="C534" s="266"/>
      <c r="D534" s="266"/>
      <c r="E534" s="254"/>
      <c r="F534" s="255" t="str">
        <f>IF(ISBLANK(E534), "", VLOOKUP(E534, Z!$A$2:$C$4127, 3, FALSE))</f>
        <v/>
      </c>
      <c r="G534" s="256"/>
      <c r="H534" s="256"/>
      <c r="I534" s="256"/>
      <c r="J534" s="257"/>
      <c r="K534" s="258"/>
      <c r="L534" s="267"/>
      <c r="M534" s="268"/>
      <c r="N534" s="259" t="str" cm="1">
        <f t="array" ref="N534">IF($L534&gt;0, INDEX(Clean,1+AK534,$D$1), "")</f>
        <v/>
      </c>
      <c r="O534" s="260"/>
      <c r="P534" s="260"/>
      <c r="Q534" s="261"/>
      <c r="R534" s="264">
        <f t="shared" si="670"/>
        <v>0</v>
      </c>
      <c r="S534" s="259" t="str" cm="1">
        <f t="array" ref="S534">IF($L534&gt;0, INDEX(Clean,1+AL534,$D$1), "")</f>
        <v/>
      </c>
      <c r="T534" s="260"/>
      <c r="U534" s="260"/>
      <c r="V534" s="261"/>
      <c r="W534" s="267"/>
      <c r="X534" s="267"/>
      <c r="Y534" s="257"/>
      <c r="Z534" s="264">
        <f t="shared" si="671"/>
        <v>0</v>
      </c>
      <c r="AA534" s="269"/>
      <c r="AB534" s="266"/>
      <c r="AC534" s="254"/>
      <c r="AD534" s="255" t="str">
        <f>IF(ISBLANK(AC534), "", VLOOKUP(AC534, Z!$A$2:$C$4127, 3, FALSE))</f>
        <v/>
      </c>
      <c r="AE534" s="270"/>
      <c r="AF534" s="265">
        <f t="shared" si="672"/>
        <v>0</v>
      </c>
      <c r="AG534" s="246"/>
      <c r="AH534" s="228">
        <f t="shared" si="695"/>
        <v>1</v>
      </c>
      <c r="AI534" s="228">
        <f t="shared" si="696"/>
        <v>1</v>
      </c>
      <c r="AJ534" s="228">
        <f t="shared" si="697"/>
        <v>0</v>
      </c>
      <c r="AK534" s="228">
        <v>0</v>
      </c>
      <c r="AL534" s="228">
        <v>0</v>
      </c>
      <c r="AM534" s="228">
        <f t="shared" si="673"/>
        <v>-100</v>
      </c>
      <c r="AN534" s="228" cm="1">
        <f t="array" ref="AN534">IF(ISBLANK(G534), 1, IFERROR(MATCH(G534, INDEX(Kat,,1), 0), IFERROR(MATCH(Kat, INDEX(Use,,2), 0), MATCH(Kat, INDEX(Use,,3), 0))))</f>
        <v>1</v>
      </c>
      <c r="AO534" s="246"/>
      <c r="AP534" s="228" cm="1">
        <f t="array" ref="AP534">IF(W534&gt;0, INDEX(Kat, AN534,4), 0)</f>
        <v>0</v>
      </c>
      <c r="AQ534" s="228">
        <f t="shared" si="698"/>
        <v>0</v>
      </c>
      <c r="AR534" s="228" cm="1">
        <f t="array" ref="AR534">IF(X534&gt;0, INDEX(Kat, $AN534, 4+AQ534), 0)</f>
        <v>0</v>
      </c>
      <c r="AS534" s="228" cm="1">
        <f t="array" ref="AS534">IF(X534&gt;0, INDEX(Kat, $AN534, 9+AQ534), 0)</f>
        <v>0</v>
      </c>
      <c r="AT534" s="246"/>
      <c r="AU534" s="262"/>
      <c r="AV534" s="262"/>
      <c r="AW534" s="263"/>
      <c r="AX534" s="263"/>
      <c r="AY534" s="263"/>
      <c r="AZ534" s="263"/>
      <c r="BA534" s="263"/>
      <c r="BB534" s="263"/>
      <c r="BC534" s="263"/>
      <c r="BD534" s="263"/>
      <c r="BE534" s="263"/>
      <c r="BF534" s="263"/>
      <c r="BG534" s="263"/>
      <c r="BH534" s="246"/>
      <c r="BI534" s="228" cm="1">
        <f t="array" ref="BI534">INDEX(Use, $AH534, 4)</f>
        <v>7</v>
      </c>
      <c r="BJ534" s="228">
        <f t="shared" si="674"/>
        <v>32</v>
      </c>
      <c r="BK534" s="228">
        <f t="shared" ref="BK534:BK597" si="700">IF($AJ534=1, 6, IF($AH534=4, 10, 13))</f>
        <v>13</v>
      </c>
      <c r="BL534" s="228">
        <f t="shared" ref="BL534:BL597" si="701">IF($AJ534=1, 9, 0)</f>
        <v>0</v>
      </c>
      <c r="BM534" s="233" cm="1">
        <f t="array" ref="BM534">L534/IF($M534&gt;0, INDEX($AY$22:$BE$76, $M534+20, $AH534), 1)</f>
        <v>0</v>
      </c>
      <c r="BN534" s="229">
        <f t="shared" si="675"/>
        <v>0</v>
      </c>
      <c r="BO534" s="228">
        <v>35</v>
      </c>
      <c r="BP534" s="229">
        <f t="shared" si="676"/>
        <v>48</v>
      </c>
      <c r="BQ534" s="234">
        <f t="shared" si="677"/>
        <v>3.0748170731707316</v>
      </c>
      <c r="BR534" s="234" cm="1">
        <f t="array" ref="BR534">$BM534 * SUMPRODUCT(INDEX($AV$76:$AX$81,,$AI534),INDEX($AY$76:$BE$81,,$AH534), N($AU$76:$AU$81&gt;$AM534)) / BQ534 / 1000</f>
        <v>0</v>
      </c>
      <c r="BS534" s="231">
        <f t="shared" ref="BS534:BS597" si="702">IF($AH534&lt;=2, 30, 25)</f>
        <v>30</v>
      </c>
      <c r="BT534" s="229">
        <f t="shared" si="678"/>
        <v>43</v>
      </c>
      <c r="BU534" s="234">
        <f t="shared" si="679"/>
        <v>3.5018750000000001</v>
      </c>
      <c r="BV534" s="234" cm="1">
        <f t="array" ref="BV534">$BM534 * IF($AH534&lt;=2,
SUMPRODUCT(INDEX($AV$71:$AX$75,,$AI534), INDEX($AY$71:$BE$75,,$AH534), 1 / ($BF$71:$BF$75*BU534 + (1-$BF$71:$BF$75)*BQ534), N($AU$71:$AU$75&gt;$AM534)),
SUMPRODUCT(INDEX($AV$66:$AX$75,,$AI534), INDEX($AY$66:$BE$75,,$AH534), 1 / ($BG$66:$BG$75*BU534 + (1-$BG$66:$BG$75)*BQ534), N($AU$66:$AU$75&gt;$AM534))
) / 1000</f>
        <v>0</v>
      </c>
      <c r="BW534" s="231">
        <f t="shared" ref="BW534:BW597" si="703">IF($AH534&lt;=2, 25, 15)</f>
        <v>25</v>
      </c>
      <c r="BX534" s="229">
        <f t="shared" si="680"/>
        <v>38</v>
      </c>
      <c r="BY534" s="234">
        <f t="shared" si="681"/>
        <v>4.0666935483870965</v>
      </c>
      <c r="BZ534" s="234" cm="1">
        <f t="array" ref="BZ534">$BM534 * IF($AH534&lt;=2,
SUMPRODUCT(INDEX($AV$66:$AX$70,,$AI534), INDEX($AY$66:$BE$70,,$AH534), 1 / ($BF$66:$BF$70*BY534 + (1-$BF$66:$BF$70)*BU534), N($AU$66:$AU$70&gt;$AM534)),
SUMPRODUCT(INDEX($AV$56:$AX$65,,$AI534), INDEX($AY$56:$BE$65,,$AH534), 1 / ($BG$56:$BG$65*BY534 + (1-$BG$56:$BG$65)*BU534), N($AU$56:$AU$65&gt;$AM534))
) / 1000</f>
        <v>0</v>
      </c>
      <c r="CA534" s="231">
        <f t="shared" ref="CA534:CA597" si="704">IF($AH534&lt;=2, 20, 5)</f>
        <v>20</v>
      </c>
      <c r="CB534" s="229">
        <f t="shared" si="682"/>
        <v>33</v>
      </c>
      <c r="CC534" s="234">
        <f t="shared" si="683"/>
        <v>4.8487499999999999</v>
      </c>
      <c r="CD534" s="234" cm="1">
        <f t="array" ref="CD534">$BM534 * IF($AH534&lt;=2,
SUMPRODUCT(INDEX($AV$61:$AX$65,,$AI534), INDEX($AY$61:$BE$65,,$AH534), 1 / ($BF$61:$BF$65*CC534 + (1-$BF$61:$BF$65)*BY534), N($AU$61:$AU$65&gt;$AM534)),
SUMPRODUCT(INDEX($AV$46:$AX$55,,$AI534), INDEX($AY$46:$BE$55,,$AH534), 1 / ($BG$46:$BG$55*CC534 + (1-$BG$46:$BG$55)*BY534), N($AU$46:$AU$55&gt;$AM534))
) / 1000</f>
        <v>0</v>
      </c>
      <c r="CE534" s="234" cm="1">
        <f t="array" ref="CE534">$BM534 * IF($AH534&lt;=2,
SUMPRODUCT(INDEX($AV$22:$AX$60,,$AI534), INDEX($AY$22:$BE$60,,$AH534), 1 / ($BF$22:$BF$60*CC534), N($AU$22:$AU$60&gt;$AM534)),
SUMPRODUCT(INDEX($AV$22:$AX$45,,$AI534), INDEX($AY$22:$BE$45,,$AH534), 1 / ($BG$22:$BG$45*CC534), N($AU$22:$AU$45&gt;$AM534))
) / 1000</f>
        <v>0</v>
      </c>
      <c r="CF534" s="229">
        <f t="shared" si="684"/>
        <v>0</v>
      </c>
      <c r="CG534" s="246"/>
      <c r="CH534" s="229">
        <f t="shared" si="685"/>
        <v>0</v>
      </c>
      <c r="CI534" s="228">
        <v>35</v>
      </c>
      <c r="CJ534" s="229">
        <f t="shared" si="686"/>
        <v>48</v>
      </c>
      <c r="CK534" s="234">
        <f t="shared" si="687"/>
        <v>3.0748170731707316</v>
      </c>
      <c r="CL534" s="234" cm="1">
        <f t="array" ref="CL534">$BM534 * SUMPRODUCT(INDEX($AV$76:$AX$81,,$AI534),INDEX($AY$76:$BE$81,,$AH534), N($AU$76:$AU$81&gt;$AM534)) / CK534 / 1000</f>
        <v>0</v>
      </c>
      <c r="CM534" s="231">
        <f t="shared" ref="CM534:CM597" si="705">IF($AH534&lt;=2, 30, 25)</f>
        <v>30</v>
      </c>
      <c r="CN534" s="229">
        <f t="shared" si="688"/>
        <v>43</v>
      </c>
      <c r="CO534" s="234">
        <f t="shared" si="689"/>
        <v>3.5018750000000001</v>
      </c>
      <c r="CP534" s="234" cm="1">
        <f t="array" ref="CP534">$BM534 * IF($AH534&lt;=2,
SUMPRODUCT(INDEX($AV$71:$AX$75,,$AI534), INDEX($AY$71:$BE$75,,$AH534), 1 / ($BF$71:$BF$75*CO534 + (1-$BF$71:$BF$75)*CK534), N($AU$71:$AU$75&gt;$AM534)),
SUMPRODUCT(INDEX($AV$66:$AX$75,,$AI534), INDEX($AY$66:$BE$75,,$AH534), 1 / ($BG$66:$BG$75*CO534 + (1-$BG$66:$BG$75)*CK534), N($AU$66:$AU$75&gt;$AM534))
) / 1000</f>
        <v>0</v>
      </c>
      <c r="CQ534" s="231">
        <f t="shared" ref="CQ534:CQ597" si="706">IF($AH534&lt;=2, 25, 15)</f>
        <v>25</v>
      </c>
      <c r="CR534" s="229">
        <f t="shared" si="690"/>
        <v>38</v>
      </c>
      <c r="CS534" s="234">
        <f t="shared" si="691"/>
        <v>4.0666935483870965</v>
      </c>
      <c r="CT534" s="234" cm="1">
        <f t="array" ref="CT534">$BM534 * IF($AH534&lt;=2,
SUMPRODUCT(INDEX($AV$66:$AX$70,,$AI534), INDEX($AY$66:$BE$70,,$AH534), 1 / ($BF$66:$BF$70*CS534 + (1-$BF$66:$BF$70)*CO534), N($AU$66:$AU$70&gt;$AM534)),
SUMPRODUCT(INDEX($AV$56:$AX$65,,$AI534), INDEX($AY$56:$BE$65,,$AH534), 1 / ($BG$56:$BG$65*CS534 + (1-$BG$56:$BG$65)*CO534), N($AU$56:$AU$65&gt;$AM534))
) / 1000</f>
        <v>0</v>
      </c>
      <c r="CU534" s="231">
        <f t="shared" ref="CU534:CU597" si="707">IF($AH534&lt;=2, 20, 5)</f>
        <v>20</v>
      </c>
      <c r="CV534" s="229">
        <f t="shared" si="692"/>
        <v>33</v>
      </c>
      <c r="CW534" s="234">
        <f t="shared" si="693"/>
        <v>4.8487499999999999</v>
      </c>
      <c r="CX534" s="234" cm="1">
        <f t="array" ref="CX534">$BM534 * IF($AH534&lt;=2,
SUMPRODUCT(INDEX($AV$61:$AX$65,,$AI534), INDEX($AY$61:$BE$65,,$AH534), 1 / ($BF$61:$BF$65*CW534 + (1-$BF$61:$BF$65)*CS534), N($AU$61:$AU$65&gt;$AM534)),
SUMPRODUCT(INDEX($AV$46:$AX$55,,$AI534), INDEX($AY$46:$BE$55,,$AH534), 1 / ($BG$46:$BG$55*CW534 + (1-$BG$46:$BG$55)*CS534), N($AU$46:$AU$55&gt;$AM534))
) / 1000</f>
        <v>0</v>
      </c>
      <c r="CY534" s="234" cm="1">
        <f t="array" ref="CY534">$BM534 * IF($AH534&lt;=2,
SUMPRODUCT(INDEX($AV$22:$AX$60,,$AI534), INDEX($AY$22:$BE$60,,$AH534), 1 / ($BF$22:$BF$60*CW534), N($AU$22:$AU$60&gt;$AM534)),
SUMPRODUCT(INDEX($AV$22:$AX$45,,$AI534), INDEX($AY$22:$BE$45,,$AH534), 1 / ($BG$22:$BG$45*CW534), N($AU$22:$AU$45&gt;$AM534))
) / 1000</f>
        <v>0</v>
      </c>
      <c r="CZ534" s="229">
        <f t="shared" si="694"/>
        <v>0</v>
      </c>
      <c r="DA534" s="246"/>
    </row>
    <row r="535" spans="1:105" s="75" customFormat="1" ht="14.25" customHeight="1" x14ac:dyDescent="0.2">
      <c r="A535" s="230" t="b">
        <f t="shared" si="699"/>
        <v>0</v>
      </c>
      <c r="B535" s="253">
        <v>514</v>
      </c>
      <c r="C535" s="266"/>
      <c r="D535" s="266"/>
      <c r="E535" s="254"/>
      <c r="F535" s="255" t="str">
        <f>IF(ISBLANK(E535), "", VLOOKUP(E535, Z!$A$2:$C$4127, 3, FALSE))</f>
        <v/>
      </c>
      <c r="G535" s="256"/>
      <c r="H535" s="256"/>
      <c r="I535" s="256"/>
      <c r="J535" s="257"/>
      <c r="K535" s="258"/>
      <c r="L535" s="267"/>
      <c r="M535" s="268"/>
      <c r="N535" s="259" t="str" cm="1">
        <f t="array" ref="N535">IF($L535&gt;0, INDEX(Clean,1+AK535,$D$1), "")</f>
        <v/>
      </c>
      <c r="O535" s="260"/>
      <c r="P535" s="260"/>
      <c r="Q535" s="261"/>
      <c r="R535" s="264">
        <f t="shared" si="670"/>
        <v>0</v>
      </c>
      <c r="S535" s="259" t="str" cm="1">
        <f t="array" ref="S535">IF($L535&gt;0, INDEX(Clean,1+AL535,$D$1), "")</f>
        <v/>
      </c>
      <c r="T535" s="260"/>
      <c r="U535" s="260"/>
      <c r="V535" s="261"/>
      <c r="W535" s="267"/>
      <c r="X535" s="267"/>
      <c r="Y535" s="257"/>
      <c r="Z535" s="264">
        <f t="shared" si="671"/>
        <v>0</v>
      </c>
      <c r="AA535" s="269"/>
      <c r="AB535" s="266"/>
      <c r="AC535" s="254"/>
      <c r="AD535" s="255" t="str">
        <f>IF(ISBLANK(AC535), "", VLOOKUP(AC535, Z!$A$2:$C$4127, 3, FALSE))</f>
        <v/>
      </c>
      <c r="AE535" s="270"/>
      <c r="AF535" s="265">
        <f t="shared" si="672"/>
        <v>0</v>
      </c>
      <c r="AG535" s="246"/>
      <c r="AH535" s="228">
        <f t="shared" si="695"/>
        <v>1</v>
      </c>
      <c r="AI535" s="228">
        <f t="shared" si="696"/>
        <v>1</v>
      </c>
      <c r="AJ535" s="228">
        <f t="shared" si="697"/>
        <v>0</v>
      </c>
      <c r="AK535" s="228">
        <v>0</v>
      </c>
      <c r="AL535" s="228">
        <v>0</v>
      </c>
      <c r="AM535" s="228">
        <f t="shared" si="673"/>
        <v>-100</v>
      </c>
      <c r="AN535" s="228" cm="1">
        <f t="array" ref="AN535">IF(ISBLANK(G535), 1, IFERROR(MATCH(G535, INDEX(Kat,,1), 0), IFERROR(MATCH(Kat, INDEX(Use,,2), 0), MATCH(Kat, INDEX(Use,,3), 0))))</f>
        <v>1</v>
      </c>
      <c r="AO535" s="246"/>
      <c r="AP535" s="228" cm="1">
        <f t="array" ref="AP535">IF(W535&gt;0, INDEX(Kat, AN535,4), 0)</f>
        <v>0</v>
      </c>
      <c r="AQ535" s="228">
        <f t="shared" si="698"/>
        <v>0</v>
      </c>
      <c r="AR535" s="228" cm="1">
        <f t="array" ref="AR535">IF(X535&gt;0, INDEX(Kat, $AN535, 4+AQ535), 0)</f>
        <v>0</v>
      </c>
      <c r="AS535" s="228" cm="1">
        <f t="array" ref="AS535">IF(X535&gt;0, INDEX(Kat, $AN535, 9+AQ535), 0)</f>
        <v>0</v>
      </c>
      <c r="AT535" s="246"/>
      <c r="AU535" s="262"/>
      <c r="AV535" s="262"/>
      <c r="AW535" s="263"/>
      <c r="AX535" s="263"/>
      <c r="AY535" s="263"/>
      <c r="AZ535" s="263"/>
      <c r="BA535" s="263"/>
      <c r="BB535" s="263"/>
      <c r="BC535" s="263"/>
      <c r="BD535" s="263"/>
      <c r="BE535" s="263"/>
      <c r="BF535" s="263"/>
      <c r="BG535" s="263"/>
      <c r="BH535" s="246"/>
      <c r="BI535" s="228" cm="1">
        <f t="array" ref="BI535">INDEX(Use, $AH535, 4)</f>
        <v>7</v>
      </c>
      <c r="BJ535" s="228">
        <f t="shared" si="674"/>
        <v>32</v>
      </c>
      <c r="BK535" s="228">
        <f t="shared" si="700"/>
        <v>13</v>
      </c>
      <c r="BL535" s="228">
        <f t="shared" si="701"/>
        <v>0</v>
      </c>
      <c r="BM535" s="233" cm="1">
        <f t="array" ref="BM535">L535/IF($M535&gt;0, INDEX($AY$22:$BE$76, $M535+20, $AH535), 1)</f>
        <v>0</v>
      </c>
      <c r="BN535" s="229">
        <f t="shared" si="675"/>
        <v>0</v>
      </c>
      <c r="BO535" s="228">
        <v>35</v>
      </c>
      <c r="BP535" s="229">
        <f t="shared" si="676"/>
        <v>48</v>
      </c>
      <c r="BQ535" s="234">
        <f t="shared" si="677"/>
        <v>3.0748170731707316</v>
      </c>
      <c r="BR535" s="234" cm="1">
        <f t="array" ref="BR535">$BM535 * SUMPRODUCT(INDEX($AV$76:$AX$81,,$AI535),INDEX($AY$76:$BE$81,,$AH535), N($AU$76:$AU$81&gt;$AM535)) / BQ535 / 1000</f>
        <v>0</v>
      </c>
      <c r="BS535" s="231">
        <f t="shared" si="702"/>
        <v>30</v>
      </c>
      <c r="BT535" s="229">
        <f t="shared" si="678"/>
        <v>43</v>
      </c>
      <c r="BU535" s="234">
        <f t="shared" si="679"/>
        <v>3.5018750000000001</v>
      </c>
      <c r="BV535" s="234" cm="1">
        <f t="array" ref="BV535">$BM535 * IF($AH535&lt;=2,
SUMPRODUCT(INDEX($AV$71:$AX$75,,$AI535), INDEX($AY$71:$BE$75,,$AH535), 1 / ($BF$71:$BF$75*BU535 + (1-$BF$71:$BF$75)*BQ535), N($AU$71:$AU$75&gt;$AM535)),
SUMPRODUCT(INDEX($AV$66:$AX$75,,$AI535), INDEX($AY$66:$BE$75,,$AH535), 1 / ($BG$66:$BG$75*BU535 + (1-$BG$66:$BG$75)*BQ535), N($AU$66:$AU$75&gt;$AM535))
) / 1000</f>
        <v>0</v>
      </c>
      <c r="BW535" s="231">
        <f t="shared" si="703"/>
        <v>25</v>
      </c>
      <c r="BX535" s="229">
        <f t="shared" si="680"/>
        <v>38</v>
      </c>
      <c r="BY535" s="234">
        <f t="shared" si="681"/>
        <v>4.0666935483870965</v>
      </c>
      <c r="BZ535" s="234" cm="1">
        <f t="array" ref="BZ535">$BM535 * IF($AH535&lt;=2,
SUMPRODUCT(INDEX($AV$66:$AX$70,,$AI535), INDEX($AY$66:$BE$70,,$AH535), 1 / ($BF$66:$BF$70*BY535 + (1-$BF$66:$BF$70)*BU535), N($AU$66:$AU$70&gt;$AM535)),
SUMPRODUCT(INDEX($AV$56:$AX$65,,$AI535), INDEX($AY$56:$BE$65,,$AH535), 1 / ($BG$56:$BG$65*BY535 + (1-$BG$56:$BG$65)*BU535), N($AU$56:$AU$65&gt;$AM535))
) / 1000</f>
        <v>0</v>
      </c>
      <c r="CA535" s="231">
        <f t="shared" si="704"/>
        <v>20</v>
      </c>
      <c r="CB535" s="229">
        <f t="shared" si="682"/>
        <v>33</v>
      </c>
      <c r="CC535" s="234">
        <f t="shared" si="683"/>
        <v>4.8487499999999999</v>
      </c>
      <c r="CD535" s="234" cm="1">
        <f t="array" ref="CD535">$BM535 * IF($AH535&lt;=2,
SUMPRODUCT(INDEX($AV$61:$AX$65,,$AI535), INDEX($AY$61:$BE$65,,$AH535), 1 / ($BF$61:$BF$65*CC535 + (1-$BF$61:$BF$65)*BY535), N($AU$61:$AU$65&gt;$AM535)),
SUMPRODUCT(INDEX($AV$46:$AX$55,,$AI535), INDEX($AY$46:$BE$55,,$AH535), 1 / ($BG$46:$BG$55*CC535 + (1-$BG$46:$BG$55)*BY535), N($AU$46:$AU$55&gt;$AM535))
) / 1000</f>
        <v>0</v>
      </c>
      <c r="CE535" s="234" cm="1">
        <f t="array" ref="CE535">$BM535 * IF($AH535&lt;=2,
SUMPRODUCT(INDEX($AV$22:$AX$60,,$AI535), INDEX($AY$22:$BE$60,,$AH535), 1 / ($BF$22:$BF$60*CC535), N($AU$22:$AU$60&gt;$AM535)),
SUMPRODUCT(INDEX($AV$22:$AX$45,,$AI535), INDEX($AY$22:$BE$45,,$AH535), 1 / ($BG$22:$BG$45*CC535), N($AU$22:$AU$45&gt;$AM535))
) / 1000</f>
        <v>0</v>
      </c>
      <c r="CF535" s="229">
        <f t="shared" si="684"/>
        <v>0</v>
      </c>
      <c r="CG535" s="246"/>
      <c r="CH535" s="229">
        <f t="shared" si="685"/>
        <v>0</v>
      </c>
      <c r="CI535" s="228">
        <v>35</v>
      </c>
      <c r="CJ535" s="229">
        <f t="shared" si="686"/>
        <v>48</v>
      </c>
      <c r="CK535" s="234">
        <f t="shared" si="687"/>
        <v>3.0748170731707316</v>
      </c>
      <c r="CL535" s="234" cm="1">
        <f t="array" ref="CL535">$BM535 * SUMPRODUCT(INDEX($AV$76:$AX$81,,$AI535),INDEX($AY$76:$BE$81,,$AH535), N($AU$76:$AU$81&gt;$AM535)) / CK535 / 1000</f>
        <v>0</v>
      </c>
      <c r="CM535" s="231">
        <f t="shared" si="705"/>
        <v>30</v>
      </c>
      <c r="CN535" s="229">
        <f t="shared" si="688"/>
        <v>43</v>
      </c>
      <c r="CO535" s="234">
        <f t="shared" si="689"/>
        <v>3.5018750000000001</v>
      </c>
      <c r="CP535" s="234" cm="1">
        <f t="array" ref="CP535">$BM535 * IF($AH535&lt;=2,
SUMPRODUCT(INDEX($AV$71:$AX$75,,$AI535), INDEX($AY$71:$BE$75,,$AH535), 1 / ($BF$71:$BF$75*CO535 + (1-$BF$71:$BF$75)*CK535), N($AU$71:$AU$75&gt;$AM535)),
SUMPRODUCT(INDEX($AV$66:$AX$75,,$AI535), INDEX($AY$66:$BE$75,,$AH535), 1 / ($BG$66:$BG$75*CO535 + (1-$BG$66:$BG$75)*CK535), N($AU$66:$AU$75&gt;$AM535))
) / 1000</f>
        <v>0</v>
      </c>
      <c r="CQ535" s="231">
        <f t="shared" si="706"/>
        <v>25</v>
      </c>
      <c r="CR535" s="229">
        <f t="shared" si="690"/>
        <v>38</v>
      </c>
      <c r="CS535" s="234">
        <f t="shared" si="691"/>
        <v>4.0666935483870965</v>
      </c>
      <c r="CT535" s="234" cm="1">
        <f t="array" ref="CT535">$BM535 * IF($AH535&lt;=2,
SUMPRODUCT(INDEX($AV$66:$AX$70,,$AI535), INDEX($AY$66:$BE$70,,$AH535), 1 / ($BF$66:$BF$70*CS535 + (1-$BF$66:$BF$70)*CO535), N($AU$66:$AU$70&gt;$AM535)),
SUMPRODUCT(INDEX($AV$56:$AX$65,,$AI535), INDEX($AY$56:$BE$65,,$AH535), 1 / ($BG$56:$BG$65*CS535 + (1-$BG$56:$BG$65)*CO535), N($AU$56:$AU$65&gt;$AM535))
) / 1000</f>
        <v>0</v>
      </c>
      <c r="CU535" s="231">
        <f t="shared" si="707"/>
        <v>20</v>
      </c>
      <c r="CV535" s="229">
        <f t="shared" si="692"/>
        <v>33</v>
      </c>
      <c r="CW535" s="234">
        <f t="shared" si="693"/>
        <v>4.8487499999999999</v>
      </c>
      <c r="CX535" s="234" cm="1">
        <f t="array" ref="CX535">$BM535 * IF($AH535&lt;=2,
SUMPRODUCT(INDEX($AV$61:$AX$65,,$AI535), INDEX($AY$61:$BE$65,,$AH535), 1 / ($BF$61:$BF$65*CW535 + (1-$BF$61:$BF$65)*CS535), N($AU$61:$AU$65&gt;$AM535)),
SUMPRODUCT(INDEX($AV$46:$AX$55,,$AI535), INDEX($AY$46:$BE$55,,$AH535), 1 / ($BG$46:$BG$55*CW535 + (1-$BG$46:$BG$55)*CS535), N($AU$46:$AU$55&gt;$AM535))
) / 1000</f>
        <v>0</v>
      </c>
      <c r="CY535" s="234" cm="1">
        <f t="array" ref="CY535">$BM535 * IF($AH535&lt;=2,
SUMPRODUCT(INDEX($AV$22:$AX$60,,$AI535), INDEX($AY$22:$BE$60,,$AH535), 1 / ($BF$22:$BF$60*CW535), N($AU$22:$AU$60&gt;$AM535)),
SUMPRODUCT(INDEX($AV$22:$AX$45,,$AI535), INDEX($AY$22:$BE$45,,$AH535), 1 / ($BG$22:$BG$45*CW535), N($AU$22:$AU$45&gt;$AM535))
) / 1000</f>
        <v>0</v>
      </c>
      <c r="CZ535" s="229">
        <f t="shared" si="694"/>
        <v>0</v>
      </c>
      <c r="DA535" s="246"/>
    </row>
    <row r="536" spans="1:105" s="75" customFormat="1" ht="14.25" customHeight="1" x14ac:dyDescent="0.2">
      <c r="A536" s="230" t="b">
        <f t="shared" si="699"/>
        <v>0</v>
      </c>
      <c r="B536" s="253">
        <v>515</v>
      </c>
      <c r="C536" s="266"/>
      <c r="D536" s="266"/>
      <c r="E536" s="254"/>
      <c r="F536" s="255" t="str">
        <f>IF(ISBLANK(E536), "", VLOOKUP(E536, Z!$A$2:$C$4127, 3, FALSE))</f>
        <v/>
      </c>
      <c r="G536" s="256"/>
      <c r="H536" s="256"/>
      <c r="I536" s="256"/>
      <c r="J536" s="257"/>
      <c r="K536" s="258"/>
      <c r="L536" s="267"/>
      <c r="M536" s="268"/>
      <c r="N536" s="259" t="str" cm="1">
        <f t="array" ref="N536">IF($L536&gt;0, INDEX(Clean,1+AK536,$D$1), "")</f>
        <v/>
      </c>
      <c r="O536" s="260"/>
      <c r="P536" s="260"/>
      <c r="Q536" s="261"/>
      <c r="R536" s="264">
        <f t="shared" si="670"/>
        <v>0</v>
      </c>
      <c r="S536" s="259" t="str" cm="1">
        <f t="array" ref="S536">IF($L536&gt;0, INDEX(Clean,1+AL536,$D$1), "")</f>
        <v/>
      </c>
      <c r="T536" s="260"/>
      <c r="U536" s="260"/>
      <c r="V536" s="261"/>
      <c r="W536" s="267"/>
      <c r="X536" s="267"/>
      <c r="Y536" s="257"/>
      <c r="Z536" s="264">
        <f t="shared" si="671"/>
        <v>0</v>
      </c>
      <c r="AA536" s="269"/>
      <c r="AB536" s="266"/>
      <c r="AC536" s="254"/>
      <c r="AD536" s="255" t="str">
        <f>IF(ISBLANK(AC536), "", VLOOKUP(AC536, Z!$A$2:$C$4127, 3, FALSE))</f>
        <v/>
      </c>
      <c r="AE536" s="270"/>
      <c r="AF536" s="265">
        <f t="shared" si="672"/>
        <v>0</v>
      </c>
      <c r="AG536" s="246"/>
      <c r="AH536" s="228">
        <f t="shared" si="695"/>
        <v>1</v>
      </c>
      <c r="AI536" s="228">
        <f t="shared" si="696"/>
        <v>1</v>
      </c>
      <c r="AJ536" s="228">
        <f t="shared" si="697"/>
        <v>0</v>
      </c>
      <c r="AK536" s="228">
        <v>0</v>
      </c>
      <c r="AL536" s="228">
        <v>0</v>
      </c>
      <c r="AM536" s="228">
        <f t="shared" si="673"/>
        <v>-100</v>
      </c>
      <c r="AN536" s="228" cm="1">
        <f t="array" ref="AN536">IF(ISBLANK(G536), 1, IFERROR(MATCH(G536, INDEX(Kat,,1), 0), IFERROR(MATCH(Kat, INDEX(Use,,2), 0), MATCH(Kat, INDEX(Use,,3), 0))))</f>
        <v>1</v>
      </c>
      <c r="AO536" s="246"/>
      <c r="AP536" s="228" cm="1">
        <f t="array" ref="AP536">IF(W536&gt;0, INDEX(Kat, AN536,4), 0)</f>
        <v>0</v>
      </c>
      <c r="AQ536" s="228">
        <f t="shared" si="698"/>
        <v>0</v>
      </c>
      <c r="AR536" s="228" cm="1">
        <f t="array" ref="AR536">IF(X536&gt;0, INDEX(Kat, $AN536, 4+AQ536), 0)</f>
        <v>0</v>
      </c>
      <c r="AS536" s="228" cm="1">
        <f t="array" ref="AS536">IF(X536&gt;0, INDEX(Kat, $AN536, 9+AQ536), 0)</f>
        <v>0</v>
      </c>
      <c r="AT536" s="246"/>
      <c r="AU536" s="262"/>
      <c r="AV536" s="262"/>
      <c r="AW536" s="263"/>
      <c r="AX536" s="263"/>
      <c r="AY536" s="263"/>
      <c r="AZ536" s="263"/>
      <c r="BA536" s="263"/>
      <c r="BB536" s="263"/>
      <c r="BC536" s="263"/>
      <c r="BD536" s="263"/>
      <c r="BE536" s="263"/>
      <c r="BF536" s="263"/>
      <c r="BG536" s="263"/>
      <c r="BH536" s="246"/>
      <c r="BI536" s="228" cm="1">
        <f t="array" ref="BI536">INDEX(Use, $AH536, 4)</f>
        <v>7</v>
      </c>
      <c r="BJ536" s="228">
        <f t="shared" si="674"/>
        <v>32</v>
      </c>
      <c r="BK536" s="228">
        <f t="shared" si="700"/>
        <v>13</v>
      </c>
      <c r="BL536" s="228">
        <f t="shared" si="701"/>
        <v>0</v>
      </c>
      <c r="BM536" s="233" cm="1">
        <f t="array" ref="BM536">L536/IF($M536&gt;0, INDEX($AY$22:$BE$76, $M536+20, $AH536), 1)</f>
        <v>0</v>
      </c>
      <c r="BN536" s="229">
        <f t="shared" si="675"/>
        <v>0</v>
      </c>
      <c r="BO536" s="228">
        <v>35</v>
      </c>
      <c r="BP536" s="229">
        <f t="shared" si="676"/>
        <v>48</v>
      </c>
      <c r="BQ536" s="234">
        <f t="shared" si="677"/>
        <v>3.0748170731707316</v>
      </c>
      <c r="BR536" s="234" cm="1">
        <f t="array" ref="BR536">$BM536 * SUMPRODUCT(INDEX($AV$76:$AX$81,,$AI536),INDEX($AY$76:$BE$81,,$AH536), N($AU$76:$AU$81&gt;$AM536)) / BQ536 / 1000</f>
        <v>0</v>
      </c>
      <c r="BS536" s="231">
        <f t="shared" si="702"/>
        <v>30</v>
      </c>
      <c r="BT536" s="229">
        <f t="shared" si="678"/>
        <v>43</v>
      </c>
      <c r="BU536" s="234">
        <f t="shared" si="679"/>
        <v>3.5018750000000001</v>
      </c>
      <c r="BV536" s="234" cm="1">
        <f t="array" ref="BV536">$BM536 * IF($AH536&lt;=2,
SUMPRODUCT(INDEX($AV$71:$AX$75,,$AI536), INDEX($AY$71:$BE$75,,$AH536), 1 / ($BF$71:$BF$75*BU536 + (1-$BF$71:$BF$75)*BQ536), N($AU$71:$AU$75&gt;$AM536)),
SUMPRODUCT(INDEX($AV$66:$AX$75,,$AI536), INDEX($AY$66:$BE$75,,$AH536), 1 / ($BG$66:$BG$75*BU536 + (1-$BG$66:$BG$75)*BQ536), N($AU$66:$AU$75&gt;$AM536))
) / 1000</f>
        <v>0</v>
      </c>
      <c r="BW536" s="231">
        <f t="shared" si="703"/>
        <v>25</v>
      </c>
      <c r="BX536" s="229">
        <f t="shared" si="680"/>
        <v>38</v>
      </c>
      <c r="BY536" s="234">
        <f t="shared" si="681"/>
        <v>4.0666935483870965</v>
      </c>
      <c r="BZ536" s="234" cm="1">
        <f t="array" ref="BZ536">$BM536 * IF($AH536&lt;=2,
SUMPRODUCT(INDEX($AV$66:$AX$70,,$AI536), INDEX($AY$66:$BE$70,,$AH536), 1 / ($BF$66:$BF$70*BY536 + (1-$BF$66:$BF$70)*BU536), N($AU$66:$AU$70&gt;$AM536)),
SUMPRODUCT(INDEX($AV$56:$AX$65,,$AI536), INDEX($AY$56:$BE$65,,$AH536), 1 / ($BG$56:$BG$65*BY536 + (1-$BG$56:$BG$65)*BU536), N($AU$56:$AU$65&gt;$AM536))
) / 1000</f>
        <v>0</v>
      </c>
      <c r="CA536" s="231">
        <f t="shared" si="704"/>
        <v>20</v>
      </c>
      <c r="CB536" s="229">
        <f t="shared" si="682"/>
        <v>33</v>
      </c>
      <c r="CC536" s="234">
        <f t="shared" si="683"/>
        <v>4.8487499999999999</v>
      </c>
      <c r="CD536" s="234" cm="1">
        <f t="array" ref="CD536">$BM536 * IF($AH536&lt;=2,
SUMPRODUCT(INDEX($AV$61:$AX$65,,$AI536), INDEX($AY$61:$BE$65,,$AH536), 1 / ($BF$61:$BF$65*CC536 + (1-$BF$61:$BF$65)*BY536), N($AU$61:$AU$65&gt;$AM536)),
SUMPRODUCT(INDEX($AV$46:$AX$55,,$AI536), INDEX($AY$46:$BE$55,,$AH536), 1 / ($BG$46:$BG$55*CC536 + (1-$BG$46:$BG$55)*BY536), N($AU$46:$AU$55&gt;$AM536))
) / 1000</f>
        <v>0</v>
      </c>
      <c r="CE536" s="234" cm="1">
        <f t="array" ref="CE536">$BM536 * IF($AH536&lt;=2,
SUMPRODUCT(INDEX($AV$22:$AX$60,,$AI536), INDEX($AY$22:$BE$60,,$AH536), 1 / ($BF$22:$BF$60*CC536), N($AU$22:$AU$60&gt;$AM536)),
SUMPRODUCT(INDEX($AV$22:$AX$45,,$AI536), INDEX($AY$22:$BE$45,,$AH536), 1 / ($BG$22:$BG$45*CC536), N($AU$22:$AU$45&gt;$AM536))
) / 1000</f>
        <v>0</v>
      </c>
      <c r="CF536" s="229">
        <f t="shared" si="684"/>
        <v>0</v>
      </c>
      <c r="CG536" s="246"/>
      <c r="CH536" s="229">
        <f t="shared" si="685"/>
        <v>0</v>
      </c>
      <c r="CI536" s="228">
        <v>35</v>
      </c>
      <c r="CJ536" s="229">
        <f t="shared" si="686"/>
        <v>48</v>
      </c>
      <c r="CK536" s="234">
        <f t="shared" si="687"/>
        <v>3.0748170731707316</v>
      </c>
      <c r="CL536" s="234" cm="1">
        <f t="array" ref="CL536">$BM536 * SUMPRODUCT(INDEX($AV$76:$AX$81,,$AI536),INDEX($AY$76:$BE$81,,$AH536), N($AU$76:$AU$81&gt;$AM536)) / CK536 / 1000</f>
        <v>0</v>
      </c>
      <c r="CM536" s="231">
        <f t="shared" si="705"/>
        <v>30</v>
      </c>
      <c r="CN536" s="229">
        <f t="shared" si="688"/>
        <v>43</v>
      </c>
      <c r="CO536" s="234">
        <f t="shared" si="689"/>
        <v>3.5018750000000001</v>
      </c>
      <c r="CP536" s="234" cm="1">
        <f t="array" ref="CP536">$BM536 * IF($AH536&lt;=2,
SUMPRODUCT(INDEX($AV$71:$AX$75,,$AI536), INDEX($AY$71:$BE$75,,$AH536), 1 / ($BF$71:$BF$75*CO536 + (1-$BF$71:$BF$75)*CK536), N($AU$71:$AU$75&gt;$AM536)),
SUMPRODUCT(INDEX($AV$66:$AX$75,,$AI536), INDEX($AY$66:$BE$75,,$AH536), 1 / ($BG$66:$BG$75*CO536 + (1-$BG$66:$BG$75)*CK536), N($AU$66:$AU$75&gt;$AM536))
) / 1000</f>
        <v>0</v>
      </c>
      <c r="CQ536" s="231">
        <f t="shared" si="706"/>
        <v>25</v>
      </c>
      <c r="CR536" s="229">
        <f t="shared" si="690"/>
        <v>38</v>
      </c>
      <c r="CS536" s="234">
        <f t="shared" si="691"/>
        <v>4.0666935483870965</v>
      </c>
      <c r="CT536" s="234" cm="1">
        <f t="array" ref="CT536">$BM536 * IF($AH536&lt;=2,
SUMPRODUCT(INDEX($AV$66:$AX$70,,$AI536), INDEX($AY$66:$BE$70,,$AH536), 1 / ($BF$66:$BF$70*CS536 + (1-$BF$66:$BF$70)*CO536), N($AU$66:$AU$70&gt;$AM536)),
SUMPRODUCT(INDEX($AV$56:$AX$65,,$AI536), INDEX($AY$56:$BE$65,,$AH536), 1 / ($BG$56:$BG$65*CS536 + (1-$BG$56:$BG$65)*CO536), N($AU$56:$AU$65&gt;$AM536))
) / 1000</f>
        <v>0</v>
      </c>
      <c r="CU536" s="231">
        <f t="shared" si="707"/>
        <v>20</v>
      </c>
      <c r="CV536" s="229">
        <f t="shared" si="692"/>
        <v>33</v>
      </c>
      <c r="CW536" s="234">
        <f t="shared" si="693"/>
        <v>4.8487499999999999</v>
      </c>
      <c r="CX536" s="234" cm="1">
        <f t="array" ref="CX536">$BM536 * IF($AH536&lt;=2,
SUMPRODUCT(INDEX($AV$61:$AX$65,,$AI536), INDEX($AY$61:$BE$65,,$AH536), 1 / ($BF$61:$BF$65*CW536 + (1-$BF$61:$BF$65)*CS536), N($AU$61:$AU$65&gt;$AM536)),
SUMPRODUCT(INDEX($AV$46:$AX$55,,$AI536), INDEX($AY$46:$BE$55,,$AH536), 1 / ($BG$46:$BG$55*CW536 + (1-$BG$46:$BG$55)*CS536), N($AU$46:$AU$55&gt;$AM536))
) / 1000</f>
        <v>0</v>
      </c>
      <c r="CY536" s="234" cm="1">
        <f t="array" ref="CY536">$BM536 * IF($AH536&lt;=2,
SUMPRODUCT(INDEX($AV$22:$AX$60,,$AI536), INDEX($AY$22:$BE$60,,$AH536), 1 / ($BF$22:$BF$60*CW536), N($AU$22:$AU$60&gt;$AM536)),
SUMPRODUCT(INDEX($AV$22:$AX$45,,$AI536), INDEX($AY$22:$BE$45,,$AH536), 1 / ($BG$22:$BG$45*CW536), N($AU$22:$AU$45&gt;$AM536))
) / 1000</f>
        <v>0</v>
      </c>
      <c r="CZ536" s="229">
        <f t="shared" si="694"/>
        <v>0</v>
      </c>
      <c r="DA536" s="246"/>
    </row>
    <row r="537" spans="1:105" s="75" customFormat="1" ht="14.25" customHeight="1" x14ac:dyDescent="0.2">
      <c r="A537" s="230" t="b">
        <f t="shared" si="699"/>
        <v>0</v>
      </c>
      <c r="B537" s="253">
        <v>516</v>
      </c>
      <c r="C537" s="266"/>
      <c r="D537" s="266"/>
      <c r="E537" s="254"/>
      <c r="F537" s="255" t="str">
        <f>IF(ISBLANK(E537), "", VLOOKUP(E537, Z!$A$2:$C$4127, 3, FALSE))</f>
        <v/>
      </c>
      <c r="G537" s="256"/>
      <c r="H537" s="256"/>
      <c r="I537" s="256"/>
      <c r="J537" s="257"/>
      <c r="K537" s="258"/>
      <c r="L537" s="267"/>
      <c r="M537" s="268"/>
      <c r="N537" s="259" t="str" cm="1">
        <f t="array" ref="N537">IF($L537&gt;0, INDEX(Clean,1+AK537,$D$1), "")</f>
        <v/>
      </c>
      <c r="O537" s="260"/>
      <c r="P537" s="260"/>
      <c r="Q537" s="261"/>
      <c r="R537" s="264">
        <f t="shared" si="670"/>
        <v>0</v>
      </c>
      <c r="S537" s="259" t="str" cm="1">
        <f t="array" ref="S537">IF($L537&gt;0, INDEX(Clean,1+AL537,$D$1), "")</f>
        <v/>
      </c>
      <c r="T537" s="260"/>
      <c r="U537" s="260"/>
      <c r="V537" s="261"/>
      <c r="W537" s="267"/>
      <c r="X537" s="267"/>
      <c r="Y537" s="257"/>
      <c r="Z537" s="264">
        <f t="shared" si="671"/>
        <v>0</v>
      </c>
      <c r="AA537" s="269"/>
      <c r="AB537" s="266"/>
      <c r="AC537" s="254"/>
      <c r="AD537" s="255" t="str">
        <f>IF(ISBLANK(AC537), "", VLOOKUP(AC537, Z!$A$2:$C$4127, 3, FALSE))</f>
        <v/>
      </c>
      <c r="AE537" s="270"/>
      <c r="AF537" s="265">
        <f t="shared" si="672"/>
        <v>0</v>
      </c>
      <c r="AG537" s="246"/>
      <c r="AH537" s="228">
        <f t="shared" si="695"/>
        <v>1</v>
      </c>
      <c r="AI537" s="228">
        <f t="shared" si="696"/>
        <v>1</v>
      </c>
      <c r="AJ537" s="228">
        <f t="shared" si="697"/>
        <v>0</v>
      </c>
      <c r="AK537" s="228">
        <v>0</v>
      </c>
      <c r="AL537" s="228">
        <v>0</v>
      </c>
      <c r="AM537" s="228">
        <f t="shared" si="673"/>
        <v>-100</v>
      </c>
      <c r="AN537" s="228" cm="1">
        <f t="array" ref="AN537">IF(ISBLANK(G537), 1, IFERROR(MATCH(G537, INDEX(Kat,,1), 0), IFERROR(MATCH(Kat, INDEX(Use,,2), 0), MATCH(Kat, INDEX(Use,,3), 0))))</f>
        <v>1</v>
      </c>
      <c r="AO537" s="246"/>
      <c r="AP537" s="228" cm="1">
        <f t="array" ref="AP537">IF(W537&gt;0, INDEX(Kat, AN537,4), 0)</f>
        <v>0</v>
      </c>
      <c r="AQ537" s="228">
        <f t="shared" si="698"/>
        <v>0</v>
      </c>
      <c r="AR537" s="228" cm="1">
        <f t="array" ref="AR537">IF(X537&gt;0, INDEX(Kat, $AN537, 4+AQ537), 0)</f>
        <v>0</v>
      </c>
      <c r="AS537" s="228" cm="1">
        <f t="array" ref="AS537">IF(X537&gt;0, INDEX(Kat, $AN537, 9+AQ537), 0)</f>
        <v>0</v>
      </c>
      <c r="AT537" s="246"/>
      <c r="AU537" s="262"/>
      <c r="AV537" s="262"/>
      <c r="AW537" s="263"/>
      <c r="AX537" s="263"/>
      <c r="AY537" s="263"/>
      <c r="AZ537" s="263"/>
      <c r="BA537" s="263"/>
      <c r="BB537" s="263"/>
      <c r="BC537" s="263"/>
      <c r="BD537" s="263"/>
      <c r="BE537" s="263"/>
      <c r="BF537" s="263"/>
      <c r="BG537" s="263"/>
      <c r="BH537" s="246"/>
      <c r="BI537" s="228" cm="1">
        <f t="array" ref="BI537">INDEX(Use, $AH537, 4)</f>
        <v>7</v>
      </c>
      <c r="BJ537" s="228">
        <f t="shared" si="674"/>
        <v>32</v>
      </c>
      <c r="BK537" s="228">
        <f t="shared" si="700"/>
        <v>13</v>
      </c>
      <c r="BL537" s="228">
        <f t="shared" si="701"/>
        <v>0</v>
      </c>
      <c r="BM537" s="233" cm="1">
        <f t="array" ref="BM537">L537/IF($M537&gt;0, INDEX($AY$22:$BE$76, $M537+20, $AH537), 1)</f>
        <v>0</v>
      </c>
      <c r="BN537" s="229">
        <f t="shared" si="675"/>
        <v>0</v>
      </c>
      <c r="BO537" s="228">
        <v>35</v>
      </c>
      <c r="BP537" s="229">
        <f t="shared" si="676"/>
        <v>48</v>
      </c>
      <c r="BQ537" s="234">
        <f t="shared" si="677"/>
        <v>3.0748170731707316</v>
      </c>
      <c r="BR537" s="234" cm="1">
        <f t="array" ref="BR537">$BM537 * SUMPRODUCT(INDEX($AV$76:$AX$81,,$AI537),INDEX($AY$76:$BE$81,,$AH537), N($AU$76:$AU$81&gt;$AM537)) / BQ537 / 1000</f>
        <v>0</v>
      </c>
      <c r="BS537" s="231">
        <f t="shared" si="702"/>
        <v>30</v>
      </c>
      <c r="BT537" s="229">
        <f t="shared" si="678"/>
        <v>43</v>
      </c>
      <c r="BU537" s="234">
        <f t="shared" si="679"/>
        <v>3.5018750000000001</v>
      </c>
      <c r="BV537" s="234" cm="1">
        <f t="array" ref="BV537">$BM537 * IF($AH537&lt;=2,
SUMPRODUCT(INDEX($AV$71:$AX$75,,$AI537), INDEX($AY$71:$BE$75,,$AH537), 1 / ($BF$71:$BF$75*BU537 + (1-$BF$71:$BF$75)*BQ537), N($AU$71:$AU$75&gt;$AM537)),
SUMPRODUCT(INDEX($AV$66:$AX$75,,$AI537), INDEX($AY$66:$BE$75,,$AH537), 1 / ($BG$66:$BG$75*BU537 + (1-$BG$66:$BG$75)*BQ537), N($AU$66:$AU$75&gt;$AM537))
) / 1000</f>
        <v>0</v>
      </c>
      <c r="BW537" s="231">
        <f t="shared" si="703"/>
        <v>25</v>
      </c>
      <c r="BX537" s="229">
        <f t="shared" si="680"/>
        <v>38</v>
      </c>
      <c r="BY537" s="234">
        <f t="shared" si="681"/>
        <v>4.0666935483870965</v>
      </c>
      <c r="BZ537" s="234" cm="1">
        <f t="array" ref="BZ537">$BM537 * IF($AH537&lt;=2,
SUMPRODUCT(INDEX($AV$66:$AX$70,,$AI537), INDEX($AY$66:$BE$70,,$AH537), 1 / ($BF$66:$BF$70*BY537 + (1-$BF$66:$BF$70)*BU537), N($AU$66:$AU$70&gt;$AM537)),
SUMPRODUCT(INDEX($AV$56:$AX$65,,$AI537), INDEX($AY$56:$BE$65,,$AH537), 1 / ($BG$56:$BG$65*BY537 + (1-$BG$56:$BG$65)*BU537), N($AU$56:$AU$65&gt;$AM537))
) / 1000</f>
        <v>0</v>
      </c>
      <c r="CA537" s="231">
        <f t="shared" si="704"/>
        <v>20</v>
      </c>
      <c r="CB537" s="229">
        <f t="shared" si="682"/>
        <v>33</v>
      </c>
      <c r="CC537" s="234">
        <f t="shared" si="683"/>
        <v>4.8487499999999999</v>
      </c>
      <c r="CD537" s="234" cm="1">
        <f t="array" ref="CD537">$BM537 * IF($AH537&lt;=2,
SUMPRODUCT(INDEX($AV$61:$AX$65,,$AI537), INDEX($AY$61:$BE$65,,$AH537), 1 / ($BF$61:$BF$65*CC537 + (1-$BF$61:$BF$65)*BY537), N($AU$61:$AU$65&gt;$AM537)),
SUMPRODUCT(INDEX($AV$46:$AX$55,,$AI537), INDEX($AY$46:$BE$55,,$AH537), 1 / ($BG$46:$BG$55*CC537 + (1-$BG$46:$BG$55)*BY537), N($AU$46:$AU$55&gt;$AM537))
) / 1000</f>
        <v>0</v>
      </c>
      <c r="CE537" s="234" cm="1">
        <f t="array" ref="CE537">$BM537 * IF($AH537&lt;=2,
SUMPRODUCT(INDEX($AV$22:$AX$60,,$AI537), INDEX($AY$22:$BE$60,,$AH537), 1 / ($BF$22:$BF$60*CC537), N($AU$22:$AU$60&gt;$AM537)),
SUMPRODUCT(INDEX($AV$22:$AX$45,,$AI537), INDEX($AY$22:$BE$45,,$AH537), 1 / ($BG$22:$BG$45*CC537), N($AU$22:$AU$45&gt;$AM537))
) / 1000</f>
        <v>0</v>
      </c>
      <c r="CF537" s="229">
        <f t="shared" si="684"/>
        <v>0</v>
      </c>
      <c r="CG537" s="246"/>
      <c r="CH537" s="229">
        <f t="shared" si="685"/>
        <v>0</v>
      </c>
      <c r="CI537" s="228">
        <v>35</v>
      </c>
      <c r="CJ537" s="229">
        <f t="shared" si="686"/>
        <v>48</v>
      </c>
      <c r="CK537" s="234">
        <f t="shared" si="687"/>
        <v>3.0748170731707316</v>
      </c>
      <c r="CL537" s="234" cm="1">
        <f t="array" ref="CL537">$BM537 * SUMPRODUCT(INDEX($AV$76:$AX$81,,$AI537),INDEX($AY$76:$BE$81,,$AH537), N($AU$76:$AU$81&gt;$AM537)) / CK537 / 1000</f>
        <v>0</v>
      </c>
      <c r="CM537" s="231">
        <f t="shared" si="705"/>
        <v>30</v>
      </c>
      <c r="CN537" s="229">
        <f t="shared" si="688"/>
        <v>43</v>
      </c>
      <c r="CO537" s="234">
        <f t="shared" si="689"/>
        <v>3.5018750000000001</v>
      </c>
      <c r="CP537" s="234" cm="1">
        <f t="array" ref="CP537">$BM537 * IF($AH537&lt;=2,
SUMPRODUCT(INDEX($AV$71:$AX$75,,$AI537), INDEX($AY$71:$BE$75,,$AH537), 1 / ($BF$71:$BF$75*CO537 + (1-$BF$71:$BF$75)*CK537), N($AU$71:$AU$75&gt;$AM537)),
SUMPRODUCT(INDEX($AV$66:$AX$75,,$AI537), INDEX($AY$66:$BE$75,,$AH537), 1 / ($BG$66:$BG$75*CO537 + (1-$BG$66:$BG$75)*CK537), N($AU$66:$AU$75&gt;$AM537))
) / 1000</f>
        <v>0</v>
      </c>
      <c r="CQ537" s="231">
        <f t="shared" si="706"/>
        <v>25</v>
      </c>
      <c r="CR537" s="229">
        <f t="shared" si="690"/>
        <v>38</v>
      </c>
      <c r="CS537" s="234">
        <f t="shared" si="691"/>
        <v>4.0666935483870965</v>
      </c>
      <c r="CT537" s="234" cm="1">
        <f t="array" ref="CT537">$BM537 * IF($AH537&lt;=2,
SUMPRODUCT(INDEX($AV$66:$AX$70,,$AI537), INDEX($AY$66:$BE$70,,$AH537), 1 / ($BF$66:$BF$70*CS537 + (1-$BF$66:$BF$70)*CO537), N($AU$66:$AU$70&gt;$AM537)),
SUMPRODUCT(INDEX($AV$56:$AX$65,,$AI537), INDEX($AY$56:$BE$65,,$AH537), 1 / ($BG$56:$BG$65*CS537 + (1-$BG$56:$BG$65)*CO537), N($AU$56:$AU$65&gt;$AM537))
) / 1000</f>
        <v>0</v>
      </c>
      <c r="CU537" s="231">
        <f t="shared" si="707"/>
        <v>20</v>
      </c>
      <c r="CV537" s="229">
        <f t="shared" si="692"/>
        <v>33</v>
      </c>
      <c r="CW537" s="234">
        <f t="shared" si="693"/>
        <v>4.8487499999999999</v>
      </c>
      <c r="CX537" s="234" cm="1">
        <f t="array" ref="CX537">$BM537 * IF($AH537&lt;=2,
SUMPRODUCT(INDEX($AV$61:$AX$65,,$AI537), INDEX($AY$61:$BE$65,,$AH537), 1 / ($BF$61:$BF$65*CW537 + (1-$BF$61:$BF$65)*CS537), N($AU$61:$AU$65&gt;$AM537)),
SUMPRODUCT(INDEX($AV$46:$AX$55,,$AI537), INDEX($AY$46:$BE$55,,$AH537), 1 / ($BG$46:$BG$55*CW537 + (1-$BG$46:$BG$55)*CS537), N($AU$46:$AU$55&gt;$AM537))
) / 1000</f>
        <v>0</v>
      </c>
      <c r="CY537" s="234" cm="1">
        <f t="array" ref="CY537">$BM537 * IF($AH537&lt;=2,
SUMPRODUCT(INDEX($AV$22:$AX$60,,$AI537), INDEX($AY$22:$BE$60,,$AH537), 1 / ($BF$22:$BF$60*CW537), N($AU$22:$AU$60&gt;$AM537)),
SUMPRODUCT(INDEX($AV$22:$AX$45,,$AI537), INDEX($AY$22:$BE$45,,$AH537), 1 / ($BG$22:$BG$45*CW537), N($AU$22:$AU$45&gt;$AM537))
) / 1000</f>
        <v>0</v>
      </c>
      <c r="CZ537" s="229">
        <f t="shared" si="694"/>
        <v>0</v>
      </c>
      <c r="DA537" s="246"/>
    </row>
    <row r="538" spans="1:105" s="75" customFormat="1" ht="14.25" customHeight="1" x14ac:dyDescent="0.2">
      <c r="A538" s="230" t="b">
        <f t="shared" si="699"/>
        <v>0</v>
      </c>
      <c r="B538" s="253">
        <v>517</v>
      </c>
      <c r="C538" s="266"/>
      <c r="D538" s="266"/>
      <c r="E538" s="254"/>
      <c r="F538" s="255" t="str">
        <f>IF(ISBLANK(E538), "", VLOOKUP(E538, Z!$A$2:$C$4127, 3, FALSE))</f>
        <v/>
      </c>
      <c r="G538" s="256"/>
      <c r="H538" s="256"/>
      <c r="I538" s="256"/>
      <c r="J538" s="257"/>
      <c r="K538" s="258"/>
      <c r="L538" s="267"/>
      <c r="M538" s="268"/>
      <c r="N538" s="259" t="str" cm="1">
        <f t="array" ref="N538">IF($L538&gt;0, INDEX(Clean,1+AK538,$D$1), "")</f>
        <v/>
      </c>
      <c r="O538" s="260"/>
      <c r="P538" s="260"/>
      <c r="Q538" s="261"/>
      <c r="R538" s="264">
        <f t="shared" si="670"/>
        <v>0</v>
      </c>
      <c r="S538" s="259" t="str" cm="1">
        <f t="array" ref="S538">IF($L538&gt;0, INDEX(Clean,1+AL538,$D$1), "")</f>
        <v/>
      </c>
      <c r="T538" s="260"/>
      <c r="U538" s="260"/>
      <c r="V538" s="261"/>
      <c r="W538" s="267"/>
      <c r="X538" s="267"/>
      <c r="Y538" s="257"/>
      <c r="Z538" s="264">
        <f t="shared" si="671"/>
        <v>0</v>
      </c>
      <c r="AA538" s="269"/>
      <c r="AB538" s="266"/>
      <c r="AC538" s="254"/>
      <c r="AD538" s="255" t="str">
        <f>IF(ISBLANK(AC538), "", VLOOKUP(AC538, Z!$A$2:$C$4127, 3, FALSE))</f>
        <v/>
      </c>
      <c r="AE538" s="270"/>
      <c r="AF538" s="265">
        <f t="shared" si="672"/>
        <v>0</v>
      </c>
      <c r="AG538" s="246"/>
      <c r="AH538" s="228">
        <f t="shared" si="695"/>
        <v>1</v>
      </c>
      <c r="AI538" s="228">
        <f t="shared" si="696"/>
        <v>1</v>
      </c>
      <c r="AJ538" s="228">
        <f t="shared" si="697"/>
        <v>0</v>
      </c>
      <c r="AK538" s="228">
        <v>0</v>
      </c>
      <c r="AL538" s="228">
        <v>0</v>
      </c>
      <c r="AM538" s="228">
        <f t="shared" si="673"/>
        <v>-100</v>
      </c>
      <c r="AN538" s="228" cm="1">
        <f t="array" ref="AN538">IF(ISBLANK(G538), 1, IFERROR(MATCH(G538, INDEX(Kat,,1), 0), IFERROR(MATCH(Kat, INDEX(Use,,2), 0), MATCH(Kat, INDEX(Use,,3), 0))))</f>
        <v>1</v>
      </c>
      <c r="AO538" s="246"/>
      <c r="AP538" s="228" cm="1">
        <f t="array" ref="AP538">IF(W538&gt;0, INDEX(Kat, AN538,4), 0)</f>
        <v>0</v>
      </c>
      <c r="AQ538" s="228">
        <f t="shared" si="698"/>
        <v>0</v>
      </c>
      <c r="AR538" s="228" cm="1">
        <f t="array" ref="AR538">IF(X538&gt;0, INDEX(Kat, $AN538, 4+AQ538), 0)</f>
        <v>0</v>
      </c>
      <c r="AS538" s="228" cm="1">
        <f t="array" ref="AS538">IF(X538&gt;0, INDEX(Kat, $AN538, 9+AQ538), 0)</f>
        <v>0</v>
      </c>
      <c r="AT538" s="246"/>
      <c r="AU538" s="262"/>
      <c r="AV538" s="262"/>
      <c r="AW538" s="263"/>
      <c r="AX538" s="263"/>
      <c r="AY538" s="263"/>
      <c r="AZ538" s="263"/>
      <c r="BA538" s="263"/>
      <c r="BB538" s="263"/>
      <c r="BC538" s="263"/>
      <c r="BD538" s="263"/>
      <c r="BE538" s="263"/>
      <c r="BF538" s="263"/>
      <c r="BG538" s="263"/>
      <c r="BH538" s="246"/>
      <c r="BI538" s="228" cm="1">
        <f t="array" ref="BI538">INDEX(Use, $AH538, 4)</f>
        <v>7</v>
      </c>
      <c r="BJ538" s="228">
        <f t="shared" si="674"/>
        <v>32</v>
      </c>
      <c r="BK538" s="228">
        <f t="shared" si="700"/>
        <v>13</v>
      </c>
      <c r="BL538" s="228">
        <f t="shared" si="701"/>
        <v>0</v>
      </c>
      <c r="BM538" s="233" cm="1">
        <f t="array" ref="BM538">L538/IF($M538&gt;0, INDEX($AY$22:$BE$76, $M538+20, $AH538), 1)</f>
        <v>0</v>
      </c>
      <c r="BN538" s="229">
        <f t="shared" si="675"/>
        <v>0</v>
      </c>
      <c r="BO538" s="228">
        <v>35</v>
      </c>
      <c r="BP538" s="229">
        <f t="shared" si="676"/>
        <v>48</v>
      </c>
      <c r="BQ538" s="234">
        <f t="shared" si="677"/>
        <v>3.0748170731707316</v>
      </c>
      <c r="BR538" s="234" cm="1">
        <f t="array" ref="BR538">$BM538 * SUMPRODUCT(INDEX($AV$76:$AX$81,,$AI538),INDEX($AY$76:$BE$81,,$AH538), N($AU$76:$AU$81&gt;$AM538)) / BQ538 / 1000</f>
        <v>0</v>
      </c>
      <c r="BS538" s="231">
        <f t="shared" si="702"/>
        <v>30</v>
      </c>
      <c r="BT538" s="229">
        <f t="shared" si="678"/>
        <v>43</v>
      </c>
      <c r="BU538" s="234">
        <f t="shared" si="679"/>
        <v>3.5018750000000001</v>
      </c>
      <c r="BV538" s="234" cm="1">
        <f t="array" ref="BV538">$BM538 * IF($AH538&lt;=2,
SUMPRODUCT(INDEX($AV$71:$AX$75,,$AI538), INDEX($AY$71:$BE$75,,$AH538), 1 / ($BF$71:$BF$75*BU538 + (1-$BF$71:$BF$75)*BQ538), N($AU$71:$AU$75&gt;$AM538)),
SUMPRODUCT(INDEX($AV$66:$AX$75,,$AI538), INDEX($AY$66:$BE$75,,$AH538), 1 / ($BG$66:$BG$75*BU538 + (1-$BG$66:$BG$75)*BQ538), N($AU$66:$AU$75&gt;$AM538))
) / 1000</f>
        <v>0</v>
      </c>
      <c r="BW538" s="231">
        <f t="shared" si="703"/>
        <v>25</v>
      </c>
      <c r="BX538" s="229">
        <f t="shared" si="680"/>
        <v>38</v>
      </c>
      <c r="BY538" s="234">
        <f t="shared" si="681"/>
        <v>4.0666935483870965</v>
      </c>
      <c r="BZ538" s="234" cm="1">
        <f t="array" ref="BZ538">$BM538 * IF($AH538&lt;=2,
SUMPRODUCT(INDEX($AV$66:$AX$70,,$AI538), INDEX($AY$66:$BE$70,,$AH538), 1 / ($BF$66:$BF$70*BY538 + (1-$BF$66:$BF$70)*BU538), N($AU$66:$AU$70&gt;$AM538)),
SUMPRODUCT(INDEX($AV$56:$AX$65,,$AI538), INDEX($AY$56:$BE$65,,$AH538), 1 / ($BG$56:$BG$65*BY538 + (1-$BG$56:$BG$65)*BU538), N($AU$56:$AU$65&gt;$AM538))
) / 1000</f>
        <v>0</v>
      </c>
      <c r="CA538" s="231">
        <f t="shared" si="704"/>
        <v>20</v>
      </c>
      <c r="CB538" s="229">
        <f t="shared" si="682"/>
        <v>33</v>
      </c>
      <c r="CC538" s="234">
        <f t="shared" si="683"/>
        <v>4.8487499999999999</v>
      </c>
      <c r="CD538" s="234" cm="1">
        <f t="array" ref="CD538">$BM538 * IF($AH538&lt;=2,
SUMPRODUCT(INDEX($AV$61:$AX$65,,$AI538), INDEX($AY$61:$BE$65,,$AH538), 1 / ($BF$61:$BF$65*CC538 + (1-$BF$61:$BF$65)*BY538), N($AU$61:$AU$65&gt;$AM538)),
SUMPRODUCT(INDEX($AV$46:$AX$55,,$AI538), INDEX($AY$46:$BE$55,,$AH538), 1 / ($BG$46:$BG$55*CC538 + (1-$BG$46:$BG$55)*BY538), N($AU$46:$AU$55&gt;$AM538))
) / 1000</f>
        <v>0</v>
      </c>
      <c r="CE538" s="234" cm="1">
        <f t="array" ref="CE538">$BM538 * IF($AH538&lt;=2,
SUMPRODUCT(INDEX($AV$22:$AX$60,,$AI538), INDEX($AY$22:$BE$60,,$AH538), 1 / ($BF$22:$BF$60*CC538), N($AU$22:$AU$60&gt;$AM538)),
SUMPRODUCT(INDEX($AV$22:$AX$45,,$AI538), INDEX($AY$22:$BE$45,,$AH538), 1 / ($BG$22:$BG$45*CC538), N($AU$22:$AU$45&gt;$AM538))
) / 1000</f>
        <v>0</v>
      </c>
      <c r="CF538" s="229">
        <f t="shared" si="684"/>
        <v>0</v>
      </c>
      <c r="CG538" s="246"/>
      <c r="CH538" s="229">
        <f t="shared" si="685"/>
        <v>0</v>
      </c>
      <c r="CI538" s="228">
        <v>35</v>
      </c>
      <c r="CJ538" s="229">
        <f t="shared" si="686"/>
        <v>48</v>
      </c>
      <c r="CK538" s="234">
        <f t="shared" si="687"/>
        <v>3.0748170731707316</v>
      </c>
      <c r="CL538" s="234" cm="1">
        <f t="array" ref="CL538">$BM538 * SUMPRODUCT(INDEX($AV$76:$AX$81,,$AI538),INDEX($AY$76:$BE$81,,$AH538), N($AU$76:$AU$81&gt;$AM538)) / CK538 / 1000</f>
        <v>0</v>
      </c>
      <c r="CM538" s="231">
        <f t="shared" si="705"/>
        <v>30</v>
      </c>
      <c r="CN538" s="229">
        <f t="shared" si="688"/>
        <v>43</v>
      </c>
      <c r="CO538" s="234">
        <f t="shared" si="689"/>
        <v>3.5018750000000001</v>
      </c>
      <c r="CP538" s="234" cm="1">
        <f t="array" ref="CP538">$BM538 * IF($AH538&lt;=2,
SUMPRODUCT(INDEX($AV$71:$AX$75,,$AI538), INDEX($AY$71:$BE$75,,$AH538), 1 / ($BF$71:$BF$75*CO538 + (1-$BF$71:$BF$75)*CK538), N($AU$71:$AU$75&gt;$AM538)),
SUMPRODUCT(INDEX($AV$66:$AX$75,,$AI538), INDEX($AY$66:$BE$75,,$AH538), 1 / ($BG$66:$BG$75*CO538 + (1-$BG$66:$BG$75)*CK538), N($AU$66:$AU$75&gt;$AM538))
) / 1000</f>
        <v>0</v>
      </c>
      <c r="CQ538" s="231">
        <f t="shared" si="706"/>
        <v>25</v>
      </c>
      <c r="CR538" s="229">
        <f t="shared" si="690"/>
        <v>38</v>
      </c>
      <c r="CS538" s="234">
        <f t="shared" si="691"/>
        <v>4.0666935483870965</v>
      </c>
      <c r="CT538" s="234" cm="1">
        <f t="array" ref="CT538">$BM538 * IF($AH538&lt;=2,
SUMPRODUCT(INDEX($AV$66:$AX$70,,$AI538), INDEX($AY$66:$BE$70,,$AH538), 1 / ($BF$66:$BF$70*CS538 + (1-$BF$66:$BF$70)*CO538), N($AU$66:$AU$70&gt;$AM538)),
SUMPRODUCT(INDEX($AV$56:$AX$65,,$AI538), INDEX($AY$56:$BE$65,,$AH538), 1 / ($BG$56:$BG$65*CS538 + (1-$BG$56:$BG$65)*CO538), N($AU$56:$AU$65&gt;$AM538))
) / 1000</f>
        <v>0</v>
      </c>
      <c r="CU538" s="231">
        <f t="shared" si="707"/>
        <v>20</v>
      </c>
      <c r="CV538" s="229">
        <f t="shared" si="692"/>
        <v>33</v>
      </c>
      <c r="CW538" s="234">
        <f t="shared" si="693"/>
        <v>4.8487499999999999</v>
      </c>
      <c r="CX538" s="234" cm="1">
        <f t="array" ref="CX538">$BM538 * IF($AH538&lt;=2,
SUMPRODUCT(INDEX($AV$61:$AX$65,,$AI538), INDEX($AY$61:$BE$65,,$AH538), 1 / ($BF$61:$BF$65*CW538 + (1-$BF$61:$BF$65)*CS538), N($AU$61:$AU$65&gt;$AM538)),
SUMPRODUCT(INDEX($AV$46:$AX$55,,$AI538), INDEX($AY$46:$BE$55,,$AH538), 1 / ($BG$46:$BG$55*CW538 + (1-$BG$46:$BG$55)*CS538), N($AU$46:$AU$55&gt;$AM538))
) / 1000</f>
        <v>0</v>
      </c>
      <c r="CY538" s="234" cm="1">
        <f t="array" ref="CY538">$BM538 * IF($AH538&lt;=2,
SUMPRODUCT(INDEX($AV$22:$AX$60,,$AI538), INDEX($AY$22:$BE$60,,$AH538), 1 / ($BF$22:$BF$60*CW538), N($AU$22:$AU$60&gt;$AM538)),
SUMPRODUCT(INDEX($AV$22:$AX$45,,$AI538), INDEX($AY$22:$BE$45,,$AH538), 1 / ($BG$22:$BG$45*CW538), N($AU$22:$AU$45&gt;$AM538))
) / 1000</f>
        <v>0</v>
      </c>
      <c r="CZ538" s="229">
        <f t="shared" si="694"/>
        <v>0</v>
      </c>
      <c r="DA538" s="246"/>
    </row>
    <row r="539" spans="1:105" s="75" customFormat="1" ht="14.25" customHeight="1" x14ac:dyDescent="0.2">
      <c r="A539" s="230" t="b">
        <f t="shared" si="699"/>
        <v>0</v>
      </c>
      <c r="B539" s="253">
        <v>518</v>
      </c>
      <c r="C539" s="266"/>
      <c r="D539" s="266"/>
      <c r="E539" s="254"/>
      <c r="F539" s="255" t="str">
        <f>IF(ISBLANK(E539), "", VLOOKUP(E539, Z!$A$2:$C$4127, 3, FALSE))</f>
        <v/>
      </c>
      <c r="G539" s="256"/>
      <c r="H539" s="256"/>
      <c r="I539" s="256"/>
      <c r="J539" s="257"/>
      <c r="K539" s="258"/>
      <c r="L539" s="267"/>
      <c r="M539" s="268"/>
      <c r="N539" s="259" t="str" cm="1">
        <f t="array" ref="N539">IF($L539&gt;0, INDEX(Clean,1+AK539,$D$1), "")</f>
        <v/>
      </c>
      <c r="O539" s="260"/>
      <c r="P539" s="260"/>
      <c r="Q539" s="261"/>
      <c r="R539" s="264">
        <f t="shared" si="670"/>
        <v>0</v>
      </c>
      <c r="S539" s="259" t="str" cm="1">
        <f t="array" ref="S539">IF($L539&gt;0, INDEX(Clean,1+AL539,$D$1), "")</f>
        <v/>
      </c>
      <c r="T539" s="260"/>
      <c r="U539" s="260"/>
      <c r="V539" s="261"/>
      <c r="W539" s="267"/>
      <c r="X539" s="267"/>
      <c r="Y539" s="257"/>
      <c r="Z539" s="264">
        <f t="shared" si="671"/>
        <v>0</v>
      </c>
      <c r="AA539" s="269"/>
      <c r="AB539" s="266"/>
      <c r="AC539" s="254"/>
      <c r="AD539" s="255" t="str">
        <f>IF(ISBLANK(AC539), "", VLOOKUP(AC539, Z!$A$2:$C$4127, 3, FALSE))</f>
        <v/>
      </c>
      <c r="AE539" s="270"/>
      <c r="AF539" s="265">
        <f t="shared" si="672"/>
        <v>0</v>
      </c>
      <c r="AG539" s="246"/>
      <c r="AH539" s="228">
        <f t="shared" si="695"/>
        <v>1</v>
      </c>
      <c r="AI539" s="228">
        <f t="shared" si="696"/>
        <v>1</v>
      </c>
      <c r="AJ539" s="228">
        <f t="shared" si="697"/>
        <v>0</v>
      </c>
      <c r="AK539" s="228">
        <v>0</v>
      </c>
      <c r="AL539" s="228">
        <v>0</v>
      </c>
      <c r="AM539" s="228">
        <f t="shared" si="673"/>
        <v>-100</v>
      </c>
      <c r="AN539" s="228" cm="1">
        <f t="array" ref="AN539">IF(ISBLANK(G539), 1, IFERROR(MATCH(G539, INDEX(Kat,,1), 0), IFERROR(MATCH(Kat, INDEX(Use,,2), 0), MATCH(Kat, INDEX(Use,,3), 0))))</f>
        <v>1</v>
      </c>
      <c r="AO539" s="246"/>
      <c r="AP539" s="228" cm="1">
        <f t="array" ref="AP539">IF(W539&gt;0, INDEX(Kat, AN539,4), 0)</f>
        <v>0</v>
      </c>
      <c r="AQ539" s="228">
        <f t="shared" si="698"/>
        <v>0</v>
      </c>
      <c r="AR539" s="228" cm="1">
        <f t="array" ref="AR539">IF(X539&gt;0, INDEX(Kat, $AN539, 4+AQ539), 0)</f>
        <v>0</v>
      </c>
      <c r="AS539" s="228" cm="1">
        <f t="array" ref="AS539">IF(X539&gt;0, INDEX(Kat, $AN539, 9+AQ539), 0)</f>
        <v>0</v>
      </c>
      <c r="AT539" s="246"/>
      <c r="AU539" s="262"/>
      <c r="AV539" s="262"/>
      <c r="AW539" s="263"/>
      <c r="AX539" s="263"/>
      <c r="AY539" s="263"/>
      <c r="AZ539" s="263"/>
      <c r="BA539" s="263"/>
      <c r="BB539" s="263"/>
      <c r="BC539" s="263"/>
      <c r="BD539" s="263"/>
      <c r="BE539" s="263"/>
      <c r="BF539" s="263"/>
      <c r="BG539" s="263"/>
      <c r="BH539" s="246"/>
      <c r="BI539" s="228" cm="1">
        <f t="array" ref="BI539">INDEX(Use, $AH539, 4)</f>
        <v>7</v>
      </c>
      <c r="BJ539" s="228">
        <f t="shared" si="674"/>
        <v>32</v>
      </c>
      <c r="BK539" s="228">
        <f t="shared" si="700"/>
        <v>13</v>
      </c>
      <c r="BL539" s="228">
        <f t="shared" si="701"/>
        <v>0</v>
      </c>
      <c r="BM539" s="233" cm="1">
        <f t="array" ref="BM539">L539/IF($M539&gt;0, INDEX($AY$22:$BE$76, $M539+20, $AH539), 1)</f>
        <v>0</v>
      </c>
      <c r="BN539" s="229">
        <f t="shared" si="675"/>
        <v>0</v>
      </c>
      <c r="BO539" s="228">
        <v>35</v>
      </c>
      <c r="BP539" s="229">
        <f t="shared" si="676"/>
        <v>48</v>
      </c>
      <c r="BQ539" s="234">
        <f t="shared" si="677"/>
        <v>3.0748170731707316</v>
      </c>
      <c r="BR539" s="234" cm="1">
        <f t="array" ref="BR539">$BM539 * SUMPRODUCT(INDEX($AV$76:$AX$81,,$AI539),INDEX($AY$76:$BE$81,,$AH539), N($AU$76:$AU$81&gt;$AM539)) / BQ539 / 1000</f>
        <v>0</v>
      </c>
      <c r="BS539" s="231">
        <f t="shared" si="702"/>
        <v>30</v>
      </c>
      <c r="BT539" s="229">
        <f t="shared" si="678"/>
        <v>43</v>
      </c>
      <c r="BU539" s="234">
        <f t="shared" si="679"/>
        <v>3.5018750000000001</v>
      </c>
      <c r="BV539" s="234" cm="1">
        <f t="array" ref="BV539">$BM539 * IF($AH539&lt;=2,
SUMPRODUCT(INDEX($AV$71:$AX$75,,$AI539), INDEX($AY$71:$BE$75,,$AH539), 1 / ($BF$71:$BF$75*BU539 + (1-$BF$71:$BF$75)*BQ539), N($AU$71:$AU$75&gt;$AM539)),
SUMPRODUCT(INDEX($AV$66:$AX$75,,$AI539), INDEX($AY$66:$BE$75,,$AH539), 1 / ($BG$66:$BG$75*BU539 + (1-$BG$66:$BG$75)*BQ539), N($AU$66:$AU$75&gt;$AM539))
) / 1000</f>
        <v>0</v>
      </c>
      <c r="BW539" s="231">
        <f t="shared" si="703"/>
        <v>25</v>
      </c>
      <c r="BX539" s="229">
        <f t="shared" si="680"/>
        <v>38</v>
      </c>
      <c r="BY539" s="234">
        <f t="shared" si="681"/>
        <v>4.0666935483870965</v>
      </c>
      <c r="BZ539" s="234" cm="1">
        <f t="array" ref="BZ539">$BM539 * IF($AH539&lt;=2,
SUMPRODUCT(INDEX($AV$66:$AX$70,,$AI539), INDEX($AY$66:$BE$70,,$AH539), 1 / ($BF$66:$BF$70*BY539 + (1-$BF$66:$BF$70)*BU539), N($AU$66:$AU$70&gt;$AM539)),
SUMPRODUCT(INDEX($AV$56:$AX$65,,$AI539), INDEX($AY$56:$BE$65,,$AH539), 1 / ($BG$56:$BG$65*BY539 + (1-$BG$56:$BG$65)*BU539), N($AU$56:$AU$65&gt;$AM539))
) / 1000</f>
        <v>0</v>
      </c>
      <c r="CA539" s="231">
        <f t="shared" si="704"/>
        <v>20</v>
      </c>
      <c r="CB539" s="229">
        <f t="shared" si="682"/>
        <v>33</v>
      </c>
      <c r="CC539" s="234">
        <f t="shared" si="683"/>
        <v>4.8487499999999999</v>
      </c>
      <c r="CD539" s="234" cm="1">
        <f t="array" ref="CD539">$BM539 * IF($AH539&lt;=2,
SUMPRODUCT(INDEX($AV$61:$AX$65,,$AI539), INDEX($AY$61:$BE$65,,$AH539), 1 / ($BF$61:$BF$65*CC539 + (1-$BF$61:$BF$65)*BY539), N($AU$61:$AU$65&gt;$AM539)),
SUMPRODUCT(INDEX($AV$46:$AX$55,,$AI539), INDEX($AY$46:$BE$55,,$AH539), 1 / ($BG$46:$BG$55*CC539 + (1-$BG$46:$BG$55)*BY539), N($AU$46:$AU$55&gt;$AM539))
) / 1000</f>
        <v>0</v>
      </c>
      <c r="CE539" s="234" cm="1">
        <f t="array" ref="CE539">$BM539 * IF($AH539&lt;=2,
SUMPRODUCT(INDEX($AV$22:$AX$60,,$AI539), INDEX($AY$22:$BE$60,,$AH539), 1 / ($BF$22:$BF$60*CC539), N($AU$22:$AU$60&gt;$AM539)),
SUMPRODUCT(INDEX($AV$22:$AX$45,,$AI539), INDEX($AY$22:$BE$45,,$AH539), 1 / ($BG$22:$BG$45*CC539), N($AU$22:$AU$45&gt;$AM539))
) / 1000</f>
        <v>0</v>
      </c>
      <c r="CF539" s="229">
        <f t="shared" si="684"/>
        <v>0</v>
      </c>
      <c r="CG539" s="246"/>
      <c r="CH539" s="229">
        <f t="shared" si="685"/>
        <v>0</v>
      </c>
      <c r="CI539" s="228">
        <v>35</v>
      </c>
      <c r="CJ539" s="229">
        <f t="shared" si="686"/>
        <v>48</v>
      </c>
      <c r="CK539" s="234">
        <f t="shared" si="687"/>
        <v>3.0748170731707316</v>
      </c>
      <c r="CL539" s="234" cm="1">
        <f t="array" ref="CL539">$BM539 * SUMPRODUCT(INDEX($AV$76:$AX$81,,$AI539),INDEX($AY$76:$BE$81,,$AH539), N($AU$76:$AU$81&gt;$AM539)) / CK539 / 1000</f>
        <v>0</v>
      </c>
      <c r="CM539" s="231">
        <f t="shared" si="705"/>
        <v>30</v>
      </c>
      <c r="CN539" s="229">
        <f t="shared" si="688"/>
        <v>43</v>
      </c>
      <c r="CO539" s="234">
        <f t="shared" si="689"/>
        <v>3.5018750000000001</v>
      </c>
      <c r="CP539" s="234" cm="1">
        <f t="array" ref="CP539">$BM539 * IF($AH539&lt;=2,
SUMPRODUCT(INDEX($AV$71:$AX$75,,$AI539), INDEX($AY$71:$BE$75,,$AH539), 1 / ($BF$71:$BF$75*CO539 + (1-$BF$71:$BF$75)*CK539), N($AU$71:$AU$75&gt;$AM539)),
SUMPRODUCT(INDEX($AV$66:$AX$75,,$AI539), INDEX($AY$66:$BE$75,,$AH539), 1 / ($BG$66:$BG$75*CO539 + (1-$BG$66:$BG$75)*CK539), N($AU$66:$AU$75&gt;$AM539))
) / 1000</f>
        <v>0</v>
      </c>
      <c r="CQ539" s="231">
        <f t="shared" si="706"/>
        <v>25</v>
      </c>
      <c r="CR539" s="229">
        <f t="shared" si="690"/>
        <v>38</v>
      </c>
      <c r="CS539" s="234">
        <f t="shared" si="691"/>
        <v>4.0666935483870965</v>
      </c>
      <c r="CT539" s="234" cm="1">
        <f t="array" ref="CT539">$BM539 * IF($AH539&lt;=2,
SUMPRODUCT(INDEX($AV$66:$AX$70,,$AI539), INDEX($AY$66:$BE$70,,$AH539), 1 / ($BF$66:$BF$70*CS539 + (1-$BF$66:$BF$70)*CO539), N($AU$66:$AU$70&gt;$AM539)),
SUMPRODUCT(INDEX($AV$56:$AX$65,,$AI539), INDEX($AY$56:$BE$65,,$AH539), 1 / ($BG$56:$BG$65*CS539 + (1-$BG$56:$BG$65)*CO539), N($AU$56:$AU$65&gt;$AM539))
) / 1000</f>
        <v>0</v>
      </c>
      <c r="CU539" s="231">
        <f t="shared" si="707"/>
        <v>20</v>
      </c>
      <c r="CV539" s="229">
        <f t="shared" si="692"/>
        <v>33</v>
      </c>
      <c r="CW539" s="234">
        <f t="shared" si="693"/>
        <v>4.8487499999999999</v>
      </c>
      <c r="CX539" s="234" cm="1">
        <f t="array" ref="CX539">$BM539 * IF($AH539&lt;=2,
SUMPRODUCT(INDEX($AV$61:$AX$65,,$AI539), INDEX($AY$61:$BE$65,,$AH539), 1 / ($BF$61:$BF$65*CW539 + (1-$BF$61:$BF$65)*CS539), N($AU$61:$AU$65&gt;$AM539)),
SUMPRODUCT(INDEX($AV$46:$AX$55,,$AI539), INDEX($AY$46:$BE$55,,$AH539), 1 / ($BG$46:$BG$55*CW539 + (1-$BG$46:$BG$55)*CS539), N($AU$46:$AU$55&gt;$AM539))
) / 1000</f>
        <v>0</v>
      </c>
      <c r="CY539" s="234" cm="1">
        <f t="array" ref="CY539">$BM539 * IF($AH539&lt;=2,
SUMPRODUCT(INDEX($AV$22:$AX$60,,$AI539), INDEX($AY$22:$BE$60,,$AH539), 1 / ($BF$22:$BF$60*CW539), N($AU$22:$AU$60&gt;$AM539)),
SUMPRODUCT(INDEX($AV$22:$AX$45,,$AI539), INDEX($AY$22:$BE$45,,$AH539), 1 / ($BG$22:$BG$45*CW539), N($AU$22:$AU$45&gt;$AM539))
) / 1000</f>
        <v>0</v>
      </c>
      <c r="CZ539" s="229">
        <f t="shared" si="694"/>
        <v>0</v>
      </c>
      <c r="DA539" s="246"/>
    </row>
    <row r="540" spans="1:105" s="75" customFormat="1" ht="14.25" customHeight="1" x14ac:dyDescent="0.2">
      <c r="A540" s="230" t="b">
        <f t="shared" si="699"/>
        <v>0</v>
      </c>
      <c r="B540" s="253">
        <v>519</v>
      </c>
      <c r="C540" s="266"/>
      <c r="D540" s="266"/>
      <c r="E540" s="254"/>
      <c r="F540" s="255" t="str">
        <f>IF(ISBLANK(E540), "", VLOOKUP(E540, Z!$A$2:$C$4127, 3, FALSE))</f>
        <v/>
      </c>
      <c r="G540" s="256"/>
      <c r="H540" s="256"/>
      <c r="I540" s="256"/>
      <c r="J540" s="257"/>
      <c r="K540" s="258"/>
      <c r="L540" s="267"/>
      <c r="M540" s="268"/>
      <c r="N540" s="259" t="str" cm="1">
        <f t="array" ref="N540">IF($L540&gt;0, INDEX(Clean,1+AK540,$D$1), "")</f>
        <v/>
      </c>
      <c r="O540" s="260"/>
      <c r="P540" s="260"/>
      <c r="Q540" s="261"/>
      <c r="R540" s="264">
        <f t="shared" si="670"/>
        <v>0</v>
      </c>
      <c r="S540" s="259" t="str" cm="1">
        <f t="array" ref="S540">IF($L540&gt;0, INDEX(Clean,1+AL540,$D$1), "")</f>
        <v/>
      </c>
      <c r="T540" s="260"/>
      <c r="U540" s="260"/>
      <c r="V540" s="261"/>
      <c r="W540" s="267"/>
      <c r="X540" s="267"/>
      <c r="Y540" s="257"/>
      <c r="Z540" s="264">
        <f t="shared" si="671"/>
        <v>0</v>
      </c>
      <c r="AA540" s="269"/>
      <c r="AB540" s="266"/>
      <c r="AC540" s="254"/>
      <c r="AD540" s="255" t="str">
        <f>IF(ISBLANK(AC540), "", VLOOKUP(AC540, Z!$A$2:$C$4127, 3, FALSE))</f>
        <v/>
      </c>
      <c r="AE540" s="270"/>
      <c r="AF540" s="265">
        <f t="shared" si="672"/>
        <v>0</v>
      </c>
      <c r="AG540" s="246"/>
      <c r="AH540" s="228">
        <f t="shared" si="695"/>
        <v>1</v>
      </c>
      <c r="AI540" s="228">
        <f t="shared" si="696"/>
        <v>1</v>
      </c>
      <c r="AJ540" s="228">
        <f t="shared" si="697"/>
        <v>0</v>
      </c>
      <c r="AK540" s="228">
        <v>0</v>
      </c>
      <c r="AL540" s="228">
        <v>0</v>
      </c>
      <c r="AM540" s="228">
        <f t="shared" si="673"/>
        <v>-100</v>
      </c>
      <c r="AN540" s="228" cm="1">
        <f t="array" ref="AN540">IF(ISBLANK(G540), 1, IFERROR(MATCH(G540, INDEX(Kat,,1), 0), IFERROR(MATCH(Kat, INDEX(Use,,2), 0), MATCH(Kat, INDEX(Use,,3), 0))))</f>
        <v>1</v>
      </c>
      <c r="AO540" s="246"/>
      <c r="AP540" s="228" cm="1">
        <f t="array" ref="AP540">IF(W540&gt;0, INDEX(Kat, AN540,4), 0)</f>
        <v>0</v>
      </c>
      <c r="AQ540" s="228">
        <f t="shared" si="698"/>
        <v>0</v>
      </c>
      <c r="AR540" s="228" cm="1">
        <f t="array" ref="AR540">IF(X540&gt;0, INDEX(Kat, $AN540, 4+AQ540), 0)</f>
        <v>0</v>
      </c>
      <c r="AS540" s="228" cm="1">
        <f t="array" ref="AS540">IF(X540&gt;0, INDEX(Kat, $AN540, 9+AQ540), 0)</f>
        <v>0</v>
      </c>
      <c r="AT540" s="246"/>
      <c r="AU540" s="262"/>
      <c r="AV540" s="262"/>
      <c r="AW540" s="263"/>
      <c r="AX540" s="263"/>
      <c r="AY540" s="263"/>
      <c r="AZ540" s="263"/>
      <c r="BA540" s="263"/>
      <c r="BB540" s="263"/>
      <c r="BC540" s="263"/>
      <c r="BD540" s="263"/>
      <c r="BE540" s="263"/>
      <c r="BF540" s="263"/>
      <c r="BG540" s="263"/>
      <c r="BH540" s="246"/>
      <c r="BI540" s="228" cm="1">
        <f t="array" ref="BI540">INDEX(Use, $AH540, 4)</f>
        <v>7</v>
      </c>
      <c r="BJ540" s="228">
        <f t="shared" si="674"/>
        <v>32</v>
      </c>
      <c r="BK540" s="228">
        <f t="shared" si="700"/>
        <v>13</v>
      </c>
      <c r="BL540" s="228">
        <f t="shared" si="701"/>
        <v>0</v>
      </c>
      <c r="BM540" s="233" cm="1">
        <f t="array" ref="BM540">L540/IF($M540&gt;0, INDEX($AY$22:$BE$76, $M540+20, $AH540), 1)</f>
        <v>0</v>
      </c>
      <c r="BN540" s="229">
        <f t="shared" si="675"/>
        <v>0</v>
      </c>
      <c r="BO540" s="228">
        <v>35</v>
      </c>
      <c r="BP540" s="229">
        <f t="shared" si="676"/>
        <v>48</v>
      </c>
      <c r="BQ540" s="234">
        <f t="shared" si="677"/>
        <v>3.0748170731707316</v>
      </c>
      <c r="BR540" s="234" cm="1">
        <f t="array" ref="BR540">$BM540 * SUMPRODUCT(INDEX($AV$76:$AX$81,,$AI540),INDEX($AY$76:$BE$81,,$AH540), N($AU$76:$AU$81&gt;$AM540)) / BQ540 / 1000</f>
        <v>0</v>
      </c>
      <c r="BS540" s="231">
        <f t="shared" si="702"/>
        <v>30</v>
      </c>
      <c r="BT540" s="229">
        <f t="shared" si="678"/>
        <v>43</v>
      </c>
      <c r="BU540" s="234">
        <f t="shared" si="679"/>
        <v>3.5018750000000001</v>
      </c>
      <c r="BV540" s="234" cm="1">
        <f t="array" ref="BV540">$BM540 * IF($AH540&lt;=2,
SUMPRODUCT(INDEX($AV$71:$AX$75,,$AI540), INDEX($AY$71:$BE$75,,$AH540), 1 / ($BF$71:$BF$75*BU540 + (1-$BF$71:$BF$75)*BQ540), N($AU$71:$AU$75&gt;$AM540)),
SUMPRODUCT(INDEX($AV$66:$AX$75,,$AI540), INDEX($AY$66:$BE$75,,$AH540), 1 / ($BG$66:$BG$75*BU540 + (1-$BG$66:$BG$75)*BQ540), N($AU$66:$AU$75&gt;$AM540))
) / 1000</f>
        <v>0</v>
      </c>
      <c r="BW540" s="231">
        <f t="shared" si="703"/>
        <v>25</v>
      </c>
      <c r="BX540" s="229">
        <f t="shared" si="680"/>
        <v>38</v>
      </c>
      <c r="BY540" s="234">
        <f t="shared" si="681"/>
        <v>4.0666935483870965</v>
      </c>
      <c r="BZ540" s="234" cm="1">
        <f t="array" ref="BZ540">$BM540 * IF($AH540&lt;=2,
SUMPRODUCT(INDEX($AV$66:$AX$70,,$AI540), INDEX($AY$66:$BE$70,,$AH540), 1 / ($BF$66:$BF$70*BY540 + (1-$BF$66:$BF$70)*BU540), N($AU$66:$AU$70&gt;$AM540)),
SUMPRODUCT(INDEX($AV$56:$AX$65,,$AI540), INDEX($AY$56:$BE$65,,$AH540), 1 / ($BG$56:$BG$65*BY540 + (1-$BG$56:$BG$65)*BU540), N($AU$56:$AU$65&gt;$AM540))
) / 1000</f>
        <v>0</v>
      </c>
      <c r="CA540" s="231">
        <f t="shared" si="704"/>
        <v>20</v>
      </c>
      <c r="CB540" s="229">
        <f t="shared" si="682"/>
        <v>33</v>
      </c>
      <c r="CC540" s="234">
        <f t="shared" si="683"/>
        <v>4.8487499999999999</v>
      </c>
      <c r="CD540" s="234" cm="1">
        <f t="array" ref="CD540">$BM540 * IF($AH540&lt;=2,
SUMPRODUCT(INDEX($AV$61:$AX$65,,$AI540), INDEX($AY$61:$BE$65,,$AH540), 1 / ($BF$61:$BF$65*CC540 + (1-$BF$61:$BF$65)*BY540), N($AU$61:$AU$65&gt;$AM540)),
SUMPRODUCT(INDEX($AV$46:$AX$55,,$AI540), INDEX($AY$46:$BE$55,,$AH540), 1 / ($BG$46:$BG$55*CC540 + (1-$BG$46:$BG$55)*BY540), N($AU$46:$AU$55&gt;$AM540))
) / 1000</f>
        <v>0</v>
      </c>
      <c r="CE540" s="234" cm="1">
        <f t="array" ref="CE540">$BM540 * IF($AH540&lt;=2,
SUMPRODUCT(INDEX($AV$22:$AX$60,,$AI540), INDEX($AY$22:$BE$60,,$AH540), 1 / ($BF$22:$BF$60*CC540), N($AU$22:$AU$60&gt;$AM540)),
SUMPRODUCT(INDEX($AV$22:$AX$45,,$AI540), INDEX($AY$22:$BE$45,,$AH540), 1 / ($BG$22:$BG$45*CC540), N($AU$22:$AU$45&gt;$AM540))
) / 1000</f>
        <v>0</v>
      </c>
      <c r="CF540" s="229">
        <f t="shared" si="684"/>
        <v>0</v>
      </c>
      <c r="CG540" s="246"/>
      <c r="CH540" s="229">
        <f t="shared" si="685"/>
        <v>0</v>
      </c>
      <c r="CI540" s="228">
        <v>35</v>
      </c>
      <c r="CJ540" s="229">
        <f t="shared" si="686"/>
        <v>48</v>
      </c>
      <c r="CK540" s="234">
        <f t="shared" si="687"/>
        <v>3.0748170731707316</v>
      </c>
      <c r="CL540" s="234" cm="1">
        <f t="array" ref="CL540">$BM540 * SUMPRODUCT(INDEX($AV$76:$AX$81,,$AI540),INDEX($AY$76:$BE$81,,$AH540), N($AU$76:$AU$81&gt;$AM540)) / CK540 / 1000</f>
        <v>0</v>
      </c>
      <c r="CM540" s="231">
        <f t="shared" si="705"/>
        <v>30</v>
      </c>
      <c r="CN540" s="229">
        <f t="shared" si="688"/>
        <v>43</v>
      </c>
      <c r="CO540" s="234">
        <f t="shared" si="689"/>
        <v>3.5018750000000001</v>
      </c>
      <c r="CP540" s="234" cm="1">
        <f t="array" ref="CP540">$BM540 * IF($AH540&lt;=2,
SUMPRODUCT(INDEX($AV$71:$AX$75,,$AI540), INDEX($AY$71:$BE$75,,$AH540), 1 / ($BF$71:$BF$75*CO540 + (1-$BF$71:$BF$75)*CK540), N($AU$71:$AU$75&gt;$AM540)),
SUMPRODUCT(INDEX($AV$66:$AX$75,,$AI540), INDEX($AY$66:$BE$75,,$AH540), 1 / ($BG$66:$BG$75*CO540 + (1-$BG$66:$BG$75)*CK540), N($AU$66:$AU$75&gt;$AM540))
) / 1000</f>
        <v>0</v>
      </c>
      <c r="CQ540" s="231">
        <f t="shared" si="706"/>
        <v>25</v>
      </c>
      <c r="CR540" s="229">
        <f t="shared" si="690"/>
        <v>38</v>
      </c>
      <c r="CS540" s="234">
        <f t="shared" si="691"/>
        <v>4.0666935483870965</v>
      </c>
      <c r="CT540" s="234" cm="1">
        <f t="array" ref="CT540">$BM540 * IF($AH540&lt;=2,
SUMPRODUCT(INDEX($AV$66:$AX$70,,$AI540), INDEX($AY$66:$BE$70,,$AH540), 1 / ($BF$66:$BF$70*CS540 + (1-$BF$66:$BF$70)*CO540), N($AU$66:$AU$70&gt;$AM540)),
SUMPRODUCT(INDEX($AV$56:$AX$65,,$AI540), INDEX($AY$56:$BE$65,,$AH540), 1 / ($BG$56:$BG$65*CS540 + (1-$BG$56:$BG$65)*CO540), N($AU$56:$AU$65&gt;$AM540))
) / 1000</f>
        <v>0</v>
      </c>
      <c r="CU540" s="231">
        <f t="shared" si="707"/>
        <v>20</v>
      </c>
      <c r="CV540" s="229">
        <f t="shared" si="692"/>
        <v>33</v>
      </c>
      <c r="CW540" s="234">
        <f t="shared" si="693"/>
        <v>4.8487499999999999</v>
      </c>
      <c r="CX540" s="234" cm="1">
        <f t="array" ref="CX540">$BM540 * IF($AH540&lt;=2,
SUMPRODUCT(INDEX($AV$61:$AX$65,,$AI540), INDEX($AY$61:$BE$65,,$AH540), 1 / ($BF$61:$BF$65*CW540 + (1-$BF$61:$BF$65)*CS540), N($AU$61:$AU$65&gt;$AM540)),
SUMPRODUCT(INDEX($AV$46:$AX$55,,$AI540), INDEX($AY$46:$BE$55,,$AH540), 1 / ($BG$46:$BG$55*CW540 + (1-$BG$46:$BG$55)*CS540), N($AU$46:$AU$55&gt;$AM540))
) / 1000</f>
        <v>0</v>
      </c>
      <c r="CY540" s="234" cm="1">
        <f t="array" ref="CY540">$BM540 * IF($AH540&lt;=2,
SUMPRODUCT(INDEX($AV$22:$AX$60,,$AI540), INDEX($AY$22:$BE$60,,$AH540), 1 / ($BF$22:$BF$60*CW540), N($AU$22:$AU$60&gt;$AM540)),
SUMPRODUCT(INDEX($AV$22:$AX$45,,$AI540), INDEX($AY$22:$BE$45,,$AH540), 1 / ($BG$22:$BG$45*CW540), N($AU$22:$AU$45&gt;$AM540))
) / 1000</f>
        <v>0</v>
      </c>
      <c r="CZ540" s="229">
        <f t="shared" si="694"/>
        <v>0</v>
      </c>
      <c r="DA540" s="246"/>
    </row>
    <row r="541" spans="1:105" s="75" customFormat="1" ht="14.25" customHeight="1" x14ac:dyDescent="0.2">
      <c r="A541" s="230" t="b">
        <f t="shared" si="699"/>
        <v>0</v>
      </c>
      <c r="B541" s="253">
        <v>520</v>
      </c>
      <c r="C541" s="266"/>
      <c r="D541" s="266"/>
      <c r="E541" s="254"/>
      <c r="F541" s="255" t="str">
        <f>IF(ISBLANK(E541), "", VLOOKUP(E541, Z!$A$2:$C$4127, 3, FALSE))</f>
        <v/>
      </c>
      <c r="G541" s="256"/>
      <c r="H541" s="256"/>
      <c r="I541" s="256"/>
      <c r="J541" s="257"/>
      <c r="K541" s="258"/>
      <c r="L541" s="267"/>
      <c r="M541" s="268"/>
      <c r="N541" s="259" t="str" cm="1">
        <f t="array" ref="N541">IF($L541&gt;0, INDEX(Clean,1+AK541,$D$1), "")</f>
        <v/>
      </c>
      <c r="O541" s="260"/>
      <c r="P541" s="260"/>
      <c r="Q541" s="261"/>
      <c r="R541" s="264">
        <f t="shared" si="670"/>
        <v>0</v>
      </c>
      <c r="S541" s="259" t="str" cm="1">
        <f t="array" ref="S541">IF($L541&gt;0, INDEX(Clean,1+AL541,$D$1), "")</f>
        <v/>
      </c>
      <c r="T541" s="260"/>
      <c r="U541" s="260"/>
      <c r="V541" s="261"/>
      <c r="W541" s="267"/>
      <c r="X541" s="267"/>
      <c r="Y541" s="257"/>
      <c r="Z541" s="264">
        <f t="shared" si="671"/>
        <v>0</v>
      </c>
      <c r="AA541" s="269"/>
      <c r="AB541" s="266"/>
      <c r="AC541" s="254"/>
      <c r="AD541" s="255" t="str">
        <f>IF(ISBLANK(AC541), "", VLOOKUP(AC541, Z!$A$2:$C$4127, 3, FALSE))</f>
        <v/>
      </c>
      <c r="AE541" s="270"/>
      <c r="AF541" s="265">
        <f t="shared" si="672"/>
        <v>0</v>
      </c>
      <c r="AG541" s="246"/>
      <c r="AH541" s="228">
        <f t="shared" si="695"/>
        <v>1</v>
      </c>
      <c r="AI541" s="228">
        <f t="shared" si="696"/>
        <v>1</v>
      </c>
      <c r="AJ541" s="228">
        <f t="shared" si="697"/>
        <v>0</v>
      </c>
      <c r="AK541" s="228">
        <v>0</v>
      </c>
      <c r="AL541" s="228">
        <v>0</v>
      </c>
      <c r="AM541" s="228">
        <f t="shared" si="673"/>
        <v>-100</v>
      </c>
      <c r="AN541" s="228" cm="1">
        <f t="array" ref="AN541">IF(ISBLANK(G541), 1, IFERROR(MATCH(G541, INDEX(Kat,,1), 0), IFERROR(MATCH(Kat, INDEX(Use,,2), 0), MATCH(Kat, INDEX(Use,,3), 0))))</f>
        <v>1</v>
      </c>
      <c r="AO541" s="246"/>
      <c r="AP541" s="228" cm="1">
        <f t="array" ref="AP541">IF(W541&gt;0, INDEX(Kat, AN541,4), 0)</f>
        <v>0</v>
      </c>
      <c r="AQ541" s="228">
        <f t="shared" si="698"/>
        <v>0</v>
      </c>
      <c r="AR541" s="228" cm="1">
        <f t="array" ref="AR541">IF(X541&gt;0, INDEX(Kat, $AN541, 4+AQ541), 0)</f>
        <v>0</v>
      </c>
      <c r="AS541" s="228" cm="1">
        <f t="array" ref="AS541">IF(X541&gt;0, INDEX(Kat, $AN541, 9+AQ541), 0)</f>
        <v>0</v>
      </c>
      <c r="AT541" s="246"/>
      <c r="AU541" s="262"/>
      <c r="AV541" s="262"/>
      <c r="AW541" s="263"/>
      <c r="AX541" s="263"/>
      <c r="AY541" s="263"/>
      <c r="AZ541" s="263"/>
      <c r="BA541" s="263"/>
      <c r="BB541" s="263"/>
      <c r="BC541" s="263"/>
      <c r="BD541" s="263"/>
      <c r="BE541" s="263"/>
      <c r="BF541" s="263"/>
      <c r="BG541" s="263"/>
      <c r="BH541" s="246"/>
      <c r="BI541" s="228" cm="1">
        <f t="array" ref="BI541">INDEX(Use, $AH541, 4)</f>
        <v>7</v>
      </c>
      <c r="BJ541" s="228">
        <f t="shared" si="674"/>
        <v>32</v>
      </c>
      <c r="BK541" s="228">
        <f t="shared" si="700"/>
        <v>13</v>
      </c>
      <c r="BL541" s="228">
        <f t="shared" si="701"/>
        <v>0</v>
      </c>
      <c r="BM541" s="233" cm="1">
        <f t="array" ref="BM541">L541/IF($M541&gt;0, INDEX($AY$22:$BE$76, $M541+20, $AH541), 1)</f>
        <v>0</v>
      </c>
      <c r="BN541" s="229">
        <f t="shared" si="675"/>
        <v>0</v>
      </c>
      <c r="BO541" s="228">
        <v>35</v>
      </c>
      <c r="BP541" s="229">
        <f t="shared" si="676"/>
        <v>48</v>
      </c>
      <c r="BQ541" s="234">
        <f t="shared" si="677"/>
        <v>3.0748170731707316</v>
      </c>
      <c r="BR541" s="234" cm="1">
        <f t="array" ref="BR541">$BM541 * SUMPRODUCT(INDEX($AV$76:$AX$81,,$AI541),INDEX($AY$76:$BE$81,,$AH541), N($AU$76:$AU$81&gt;$AM541)) / BQ541 / 1000</f>
        <v>0</v>
      </c>
      <c r="BS541" s="231">
        <f t="shared" si="702"/>
        <v>30</v>
      </c>
      <c r="BT541" s="229">
        <f t="shared" si="678"/>
        <v>43</v>
      </c>
      <c r="BU541" s="234">
        <f t="shared" si="679"/>
        <v>3.5018750000000001</v>
      </c>
      <c r="BV541" s="234" cm="1">
        <f t="array" ref="BV541">$BM541 * IF($AH541&lt;=2,
SUMPRODUCT(INDEX($AV$71:$AX$75,,$AI541), INDEX($AY$71:$BE$75,,$AH541), 1 / ($BF$71:$BF$75*BU541 + (1-$BF$71:$BF$75)*BQ541), N($AU$71:$AU$75&gt;$AM541)),
SUMPRODUCT(INDEX($AV$66:$AX$75,,$AI541), INDEX($AY$66:$BE$75,,$AH541), 1 / ($BG$66:$BG$75*BU541 + (1-$BG$66:$BG$75)*BQ541), N($AU$66:$AU$75&gt;$AM541))
) / 1000</f>
        <v>0</v>
      </c>
      <c r="BW541" s="231">
        <f t="shared" si="703"/>
        <v>25</v>
      </c>
      <c r="BX541" s="229">
        <f t="shared" si="680"/>
        <v>38</v>
      </c>
      <c r="BY541" s="234">
        <f t="shared" si="681"/>
        <v>4.0666935483870965</v>
      </c>
      <c r="BZ541" s="234" cm="1">
        <f t="array" ref="BZ541">$BM541 * IF($AH541&lt;=2,
SUMPRODUCT(INDEX($AV$66:$AX$70,,$AI541), INDEX($AY$66:$BE$70,,$AH541), 1 / ($BF$66:$BF$70*BY541 + (1-$BF$66:$BF$70)*BU541), N($AU$66:$AU$70&gt;$AM541)),
SUMPRODUCT(INDEX($AV$56:$AX$65,,$AI541), INDEX($AY$56:$BE$65,,$AH541), 1 / ($BG$56:$BG$65*BY541 + (1-$BG$56:$BG$65)*BU541), N($AU$56:$AU$65&gt;$AM541))
) / 1000</f>
        <v>0</v>
      </c>
      <c r="CA541" s="231">
        <f t="shared" si="704"/>
        <v>20</v>
      </c>
      <c r="CB541" s="229">
        <f t="shared" si="682"/>
        <v>33</v>
      </c>
      <c r="CC541" s="234">
        <f t="shared" si="683"/>
        <v>4.8487499999999999</v>
      </c>
      <c r="CD541" s="234" cm="1">
        <f t="array" ref="CD541">$BM541 * IF($AH541&lt;=2,
SUMPRODUCT(INDEX($AV$61:$AX$65,,$AI541), INDEX($AY$61:$BE$65,,$AH541), 1 / ($BF$61:$BF$65*CC541 + (1-$BF$61:$BF$65)*BY541), N($AU$61:$AU$65&gt;$AM541)),
SUMPRODUCT(INDEX($AV$46:$AX$55,,$AI541), INDEX($AY$46:$BE$55,,$AH541), 1 / ($BG$46:$BG$55*CC541 + (1-$BG$46:$BG$55)*BY541), N($AU$46:$AU$55&gt;$AM541))
) / 1000</f>
        <v>0</v>
      </c>
      <c r="CE541" s="234" cm="1">
        <f t="array" ref="CE541">$BM541 * IF($AH541&lt;=2,
SUMPRODUCT(INDEX($AV$22:$AX$60,,$AI541), INDEX($AY$22:$BE$60,,$AH541), 1 / ($BF$22:$BF$60*CC541), N($AU$22:$AU$60&gt;$AM541)),
SUMPRODUCT(INDEX($AV$22:$AX$45,,$AI541), INDEX($AY$22:$BE$45,,$AH541), 1 / ($BG$22:$BG$45*CC541), N($AU$22:$AU$45&gt;$AM541))
) / 1000</f>
        <v>0</v>
      </c>
      <c r="CF541" s="229">
        <f t="shared" si="684"/>
        <v>0</v>
      </c>
      <c r="CG541" s="246"/>
      <c r="CH541" s="229">
        <f t="shared" si="685"/>
        <v>0</v>
      </c>
      <c r="CI541" s="228">
        <v>35</v>
      </c>
      <c r="CJ541" s="229">
        <f t="shared" si="686"/>
        <v>48</v>
      </c>
      <c r="CK541" s="234">
        <f t="shared" si="687"/>
        <v>3.0748170731707316</v>
      </c>
      <c r="CL541" s="234" cm="1">
        <f t="array" ref="CL541">$BM541 * SUMPRODUCT(INDEX($AV$76:$AX$81,,$AI541),INDEX($AY$76:$BE$81,,$AH541), N($AU$76:$AU$81&gt;$AM541)) / CK541 / 1000</f>
        <v>0</v>
      </c>
      <c r="CM541" s="231">
        <f t="shared" si="705"/>
        <v>30</v>
      </c>
      <c r="CN541" s="229">
        <f t="shared" si="688"/>
        <v>43</v>
      </c>
      <c r="CO541" s="234">
        <f t="shared" si="689"/>
        <v>3.5018750000000001</v>
      </c>
      <c r="CP541" s="234" cm="1">
        <f t="array" ref="CP541">$BM541 * IF($AH541&lt;=2,
SUMPRODUCT(INDEX($AV$71:$AX$75,,$AI541), INDEX($AY$71:$BE$75,,$AH541), 1 / ($BF$71:$BF$75*CO541 + (1-$BF$71:$BF$75)*CK541), N($AU$71:$AU$75&gt;$AM541)),
SUMPRODUCT(INDEX($AV$66:$AX$75,,$AI541), INDEX($AY$66:$BE$75,,$AH541), 1 / ($BG$66:$BG$75*CO541 + (1-$BG$66:$BG$75)*CK541), N($AU$66:$AU$75&gt;$AM541))
) / 1000</f>
        <v>0</v>
      </c>
      <c r="CQ541" s="231">
        <f t="shared" si="706"/>
        <v>25</v>
      </c>
      <c r="CR541" s="229">
        <f t="shared" si="690"/>
        <v>38</v>
      </c>
      <c r="CS541" s="234">
        <f t="shared" si="691"/>
        <v>4.0666935483870965</v>
      </c>
      <c r="CT541" s="234" cm="1">
        <f t="array" ref="CT541">$BM541 * IF($AH541&lt;=2,
SUMPRODUCT(INDEX($AV$66:$AX$70,,$AI541), INDEX($AY$66:$BE$70,,$AH541), 1 / ($BF$66:$BF$70*CS541 + (1-$BF$66:$BF$70)*CO541), N($AU$66:$AU$70&gt;$AM541)),
SUMPRODUCT(INDEX($AV$56:$AX$65,,$AI541), INDEX($AY$56:$BE$65,,$AH541), 1 / ($BG$56:$BG$65*CS541 + (1-$BG$56:$BG$65)*CO541), N($AU$56:$AU$65&gt;$AM541))
) / 1000</f>
        <v>0</v>
      </c>
      <c r="CU541" s="231">
        <f t="shared" si="707"/>
        <v>20</v>
      </c>
      <c r="CV541" s="229">
        <f t="shared" si="692"/>
        <v>33</v>
      </c>
      <c r="CW541" s="234">
        <f t="shared" si="693"/>
        <v>4.8487499999999999</v>
      </c>
      <c r="CX541" s="234" cm="1">
        <f t="array" ref="CX541">$BM541 * IF($AH541&lt;=2,
SUMPRODUCT(INDEX($AV$61:$AX$65,,$AI541), INDEX($AY$61:$BE$65,,$AH541), 1 / ($BF$61:$BF$65*CW541 + (1-$BF$61:$BF$65)*CS541), N($AU$61:$AU$65&gt;$AM541)),
SUMPRODUCT(INDEX($AV$46:$AX$55,,$AI541), INDEX($AY$46:$BE$55,,$AH541), 1 / ($BG$46:$BG$55*CW541 + (1-$BG$46:$BG$55)*CS541), N($AU$46:$AU$55&gt;$AM541))
) / 1000</f>
        <v>0</v>
      </c>
      <c r="CY541" s="234" cm="1">
        <f t="array" ref="CY541">$BM541 * IF($AH541&lt;=2,
SUMPRODUCT(INDEX($AV$22:$AX$60,,$AI541), INDEX($AY$22:$BE$60,,$AH541), 1 / ($BF$22:$BF$60*CW541), N($AU$22:$AU$60&gt;$AM541)),
SUMPRODUCT(INDEX($AV$22:$AX$45,,$AI541), INDEX($AY$22:$BE$45,,$AH541), 1 / ($BG$22:$BG$45*CW541), N($AU$22:$AU$45&gt;$AM541))
) / 1000</f>
        <v>0</v>
      </c>
      <c r="CZ541" s="229">
        <f t="shared" si="694"/>
        <v>0</v>
      </c>
      <c r="DA541" s="246"/>
    </row>
    <row r="542" spans="1:105" s="75" customFormat="1" ht="14.25" customHeight="1" x14ac:dyDescent="0.2">
      <c r="A542" s="230" t="b">
        <f t="shared" si="699"/>
        <v>0</v>
      </c>
      <c r="B542" s="253">
        <v>521</v>
      </c>
      <c r="C542" s="266"/>
      <c r="D542" s="266"/>
      <c r="E542" s="254"/>
      <c r="F542" s="255" t="str">
        <f>IF(ISBLANK(E542), "", VLOOKUP(E542, Z!$A$2:$C$4127, 3, FALSE))</f>
        <v/>
      </c>
      <c r="G542" s="256"/>
      <c r="H542" s="256"/>
      <c r="I542" s="256"/>
      <c r="J542" s="257"/>
      <c r="K542" s="258"/>
      <c r="L542" s="267"/>
      <c r="M542" s="268"/>
      <c r="N542" s="259" t="str" cm="1">
        <f t="array" ref="N542">IF($L542&gt;0, INDEX(Clean,1+AK542,$D$1), "")</f>
        <v/>
      </c>
      <c r="O542" s="260"/>
      <c r="P542" s="260"/>
      <c r="Q542" s="261"/>
      <c r="R542" s="264">
        <f t="shared" si="670"/>
        <v>0</v>
      </c>
      <c r="S542" s="259" t="str" cm="1">
        <f t="array" ref="S542">IF($L542&gt;0, INDEX(Clean,1+AL542,$D$1), "")</f>
        <v/>
      </c>
      <c r="T542" s="260"/>
      <c r="U542" s="260"/>
      <c r="V542" s="261"/>
      <c r="W542" s="267"/>
      <c r="X542" s="267"/>
      <c r="Y542" s="257"/>
      <c r="Z542" s="264">
        <f t="shared" si="671"/>
        <v>0</v>
      </c>
      <c r="AA542" s="269"/>
      <c r="AB542" s="266"/>
      <c r="AC542" s="254"/>
      <c r="AD542" s="255" t="str">
        <f>IF(ISBLANK(AC542), "", VLOOKUP(AC542, Z!$A$2:$C$4127, 3, FALSE))</f>
        <v/>
      </c>
      <c r="AE542" s="270"/>
      <c r="AF542" s="265">
        <f t="shared" si="672"/>
        <v>0</v>
      </c>
      <c r="AG542" s="246"/>
      <c r="AH542" s="228">
        <f t="shared" si="695"/>
        <v>1</v>
      </c>
      <c r="AI542" s="228">
        <f t="shared" si="696"/>
        <v>1</v>
      </c>
      <c r="AJ542" s="228">
        <f t="shared" si="697"/>
        <v>0</v>
      </c>
      <c r="AK542" s="228">
        <v>0</v>
      </c>
      <c r="AL542" s="228">
        <v>0</v>
      </c>
      <c r="AM542" s="228">
        <f t="shared" si="673"/>
        <v>-100</v>
      </c>
      <c r="AN542" s="228" cm="1">
        <f t="array" ref="AN542">IF(ISBLANK(G542), 1, IFERROR(MATCH(G542, INDEX(Kat,,1), 0), IFERROR(MATCH(Kat, INDEX(Use,,2), 0), MATCH(Kat, INDEX(Use,,3), 0))))</f>
        <v>1</v>
      </c>
      <c r="AO542" s="246"/>
      <c r="AP542" s="228" cm="1">
        <f t="array" ref="AP542">IF(W542&gt;0, INDEX(Kat, AN542,4), 0)</f>
        <v>0</v>
      </c>
      <c r="AQ542" s="228">
        <f t="shared" si="698"/>
        <v>0</v>
      </c>
      <c r="AR542" s="228" cm="1">
        <f t="array" ref="AR542">IF(X542&gt;0, INDEX(Kat, $AN542, 4+AQ542), 0)</f>
        <v>0</v>
      </c>
      <c r="AS542" s="228" cm="1">
        <f t="array" ref="AS542">IF(X542&gt;0, INDEX(Kat, $AN542, 9+AQ542), 0)</f>
        <v>0</v>
      </c>
      <c r="AT542" s="246"/>
      <c r="AU542" s="262"/>
      <c r="AV542" s="262"/>
      <c r="AW542" s="263"/>
      <c r="AX542" s="263"/>
      <c r="AY542" s="263"/>
      <c r="AZ542" s="263"/>
      <c r="BA542" s="263"/>
      <c r="BB542" s="263"/>
      <c r="BC542" s="263"/>
      <c r="BD542" s="263"/>
      <c r="BE542" s="263"/>
      <c r="BF542" s="263"/>
      <c r="BG542" s="263"/>
      <c r="BH542" s="246"/>
      <c r="BI542" s="228" cm="1">
        <f t="array" ref="BI542">INDEX(Use, $AH542, 4)</f>
        <v>7</v>
      </c>
      <c r="BJ542" s="228">
        <f t="shared" si="674"/>
        <v>32</v>
      </c>
      <c r="BK542" s="228">
        <f t="shared" si="700"/>
        <v>13</v>
      </c>
      <c r="BL542" s="228">
        <f t="shared" si="701"/>
        <v>0</v>
      </c>
      <c r="BM542" s="233" cm="1">
        <f t="array" ref="BM542">L542/IF($M542&gt;0, INDEX($AY$22:$BE$76, $M542+20, $AH542), 1)</f>
        <v>0</v>
      </c>
      <c r="BN542" s="229">
        <f t="shared" si="675"/>
        <v>0</v>
      </c>
      <c r="BO542" s="228">
        <v>35</v>
      </c>
      <c r="BP542" s="229">
        <f t="shared" si="676"/>
        <v>48</v>
      </c>
      <c r="BQ542" s="234">
        <f t="shared" si="677"/>
        <v>3.0748170731707316</v>
      </c>
      <c r="BR542" s="234" cm="1">
        <f t="array" ref="BR542">$BM542 * SUMPRODUCT(INDEX($AV$76:$AX$81,,$AI542),INDEX($AY$76:$BE$81,,$AH542), N($AU$76:$AU$81&gt;$AM542)) / BQ542 / 1000</f>
        <v>0</v>
      </c>
      <c r="BS542" s="231">
        <f t="shared" si="702"/>
        <v>30</v>
      </c>
      <c r="BT542" s="229">
        <f t="shared" si="678"/>
        <v>43</v>
      </c>
      <c r="BU542" s="234">
        <f t="shared" si="679"/>
        <v>3.5018750000000001</v>
      </c>
      <c r="BV542" s="234" cm="1">
        <f t="array" ref="BV542">$BM542 * IF($AH542&lt;=2,
SUMPRODUCT(INDEX($AV$71:$AX$75,,$AI542), INDEX($AY$71:$BE$75,,$AH542), 1 / ($BF$71:$BF$75*BU542 + (1-$BF$71:$BF$75)*BQ542), N($AU$71:$AU$75&gt;$AM542)),
SUMPRODUCT(INDEX($AV$66:$AX$75,,$AI542), INDEX($AY$66:$BE$75,,$AH542), 1 / ($BG$66:$BG$75*BU542 + (1-$BG$66:$BG$75)*BQ542), N($AU$66:$AU$75&gt;$AM542))
) / 1000</f>
        <v>0</v>
      </c>
      <c r="BW542" s="231">
        <f t="shared" si="703"/>
        <v>25</v>
      </c>
      <c r="BX542" s="229">
        <f t="shared" si="680"/>
        <v>38</v>
      </c>
      <c r="BY542" s="234">
        <f t="shared" si="681"/>
        <v>4.0666935483870965</v>
      </c>
      <c r="BZ542" s="234" cm="1">
        <f t="array" ref="BZ542">$BM542 * IF($AH542&lt;=2,
SUMPRODUCT(INDEX($AV$66:$AX$70,,$AI542), INDEX($AY$66:$BE$70,,$AH542), 1 / ($BF$66:$BF$70*BY542 + (1-$BF$66:$BF$70)*BU542), N($AU$66:$AU$70&gt;$AM542)),
SUMPRODUCT(INDEX($AV$56:$AX$65,,$AI542), INDEX($AY$56:$BE$65,,$AH542), 1 / ($BG$56:$BG$65*BY542 + (1-$BG$56:$BG$65)*BU542), N($AU$56:$AU$65&gt;$AM542))
) / 1000</f>
        <v>0</v>
      </c>
      <c r="CA542" s="231">
        <f t="shared" si="704"/>
        <v>20</v>
      </c>
      <c r="CB542" s="229">
        <f t="shared" si="682"/>
        <v>33</v>
      </c>
      <c r="CC542" s="234">
        <f t="shared" si="683"/>
        <v>4.8487499999999999</v>
      </c>
      <c r="CD542" s="234" cm="1">
        <f t="array" ref="CD542">$BM542 * IF($AH542&lt;=2,
SUMPRODUCT(INDEX($AV$61:$AX$65,,$AI542), INDEX($AY$61:$BE$65,,$AH542), 1 / ($BF$61:$BF$65*CC542 + (1-$BF$61:$BF$65)*BY542), N($AU$61:$AU$65&gt;$AM542)),
SUMPRODUCT(INDEX($AV$46:$AX$55,,$AI542), INDEX($AY$46:$BE$55,,$AH542), 1 / ($BG$46:$BG$55*CC542 + (1-$BG$46:$BG$55)*BY542), N($AU$46:$AU$55&gt;$AM542))
) / 1000</f>
        <v>0</v>
      </c>
      <c r="CE542" s="234" cm="1">
        <f t="array" ref="CE542">$BM542 * IF($AH542&lt;=2,
SUMPRODUCT(INDEX($AV$22:$AX$60,,$AI542), INDEX($AY$22:$BE$60,,$AH542), 1 / ($BF$22:$BF$60*CC542), N($AU$22:$AU$60&gt;$AM542)),
SUMPRODUCT(INDEX($AV$22:$AX$45,,$AI542), INDEX($AY$22:$BE$45,,$AH542), 1 / ($BG$22:$BG$45*CC542), N($AU$22:$AU$45&gt;$AM542))
) / 1000</f>
        <v>0</v>
      </c>
      <c r="CF542" s="229">
        <f t="shared" si="684"/>
        <v>0</v>
      </c>
      <c r="CG542" s="246"/>
      <c r="CH542" s="229">
        <f t="shared" si="685"/>
        <v>0</v>
      </c>
      <c r="CI542" s="228">
        <v>35</v>
      </c>
      <c r="CJ542" s="229">
        <f t="shared" si="686"/>
        <v>48</v>
      </c>
      <c r="CK542" s="234">
        <f t="shared" si="687"/>
        <v>3.0748170731707316</v>
      </c>
      <c r="CL542" s="234" cm="1">
        <f t="array" ref="CL542">$BM542 * SUMPRODUCT(INDEX($AV$76:$AX$81,,$AI542),INDEX($AY$76:$BE$81,,$AH542), N($AU$76:$AU$81&gt;$AM542)) / CK542 / 1000</f>
        <v>0</v>
      </c>
      <c r="CM542" s="231">
        <f t="shared" si="705"/>
        <v>30</v>
      </c>
      <c r="CN542" s="229">
        <f t="shared" si="688"/>
        <v>43</v>
      </c>
      <c r="CO542" s="234">
        <f t="shared" si="689"/>
        <v>3.5018750000000001</v>
      </c>
      <c r="CP542" s="234" cm="1">
        <f t="array" ref="CP542">$BM542 * IF($AH542&lt;=2,
SUMPRODUCT(INDEX($AV$71:$AX$75,,$AI542), INDEX($AY$71:$BE$75,,$AH542), 1 / ($BF$71:$BF$75*CO542 + (1-$BF$71:$BF$75)*CK542), N($AU$71:$AU$75&gt;$AM542)),
SUMPRODUCT(INDEX($AV$66:$AX$75,,$AI542), INDEX($AY$66:$BE$75,,$AH542), 1 / ($BG$66:$BG$75*CO542 + (1-$BG$66:$BG$75)*CK542), N($AU$66:$AU$75&gt;$AM542))
) / 1000</f>
        <v>0</v>
      </c>
      <c r="CQ542" s="231">
        <f t="shared" si="706"/>
        <v>25</v>
      </c>
      <c r="CR542" s="229">
        <f t="shared" si="690"/>
        <v>38</v>
      </c>
      <c r="CS542" s="234">
        <f t="shared" si="691"/>
        <v>4.0666935483870965</v>
      </c>
      <c r="CT542" s="234" cm="1">
        <f t="array" ref="CT542">$BM542 * IF($AH542&lt;=2,
SUMPRODUCT(INDEX($AV$66:$AX$70,,$AI542), INDEX($AY$66:$BE$70,,$AH542), 1 / ($BF$66:$BF$70*CS542 + (1-$BF$66:$BF$70)*CO542), N($AU$66:$AU$70&gt;$AM542)),
SUMPRODUCT(INDEX($AV$56:$AX$65,,$AI542), INDEX($AY$56:$BE$65,,$AH542), 1 / ($BG$56:$BG$65*CS542 + (1-$BG$56:$BG$65)*CO542), N($AU$56:$AU$65&gt;$AM542))
) / 1000</f>
        <v>0</v>
      </c>
      <c r="CU542" s="231">
        <f t="shared" si="707"/>
        <v>20</v>
      </c>
      <c r="CV542" s="229">
        <f t="shared" si="692"/>
        <v>33</v>
      </c>
      <c r="CW542" s="234">
        <f t="shared" si="693"/>
        <v>4.8487499999999999</v>
      </c>
      <c r="CX542" s="234" cm="1">
        <f t="array" ref="CX542">$BM542 * IF($AH542&lt;=2,
SUMPRODUCT(INDEX($AV$61:$AX$65,,$AI542), INDEX($AY$61:$BE$65,,$AH542), 1 / ($BF$61:$BF$65*CW542 + (1-$BF$61:$BF$65)*CS542), N($AU$61:$AU$65&gt;$AM542)),
SUMPRODUCT(INDEX($AV$46:$AX$55,,$AI542), INDEX($AY$46:$BE$55,,$AH542), 1 / ($BG$46:$BG$55*CW542 + (1-$BG$46:$BG$55)*CS542), N($AU$46:$AU$55&gt;$AM542))
) / 1000</f>
        <v>0</v>
      </c>
      <c r="CY542" s="234" cm="1">
        <f t="array" ref="CY542">$BM542 * IF($AH542&lt;=2,
SUMPRODUCT(INDEX($AV$22:$AX$60,,$AI542), INDEX($AY$22:$BE$60,,$AH542), 1 / ($BF$22:$BF$60*CW542), N($AU$22:$AU$60&gt;$AM542)),
SUMPRODUCT(INDEX($AV$22:$AX$45,,$AI542), INDEX($AY$22:$BE$45,,$AH542), 1 / ($BG$22:$BG$45*CW542), N($AU$22:$AU$45&gt;$AM542))
) / 1000</f>
        <v>0</v>
      </c>
      <c r="CZ542" s="229">
        <f t="shared" si="694"/>
        <v>0</v>
      </c>
      <c r="DA542" s="246"/>
    </row>
    <row r="543" spans="1:105" s="75" customFormat="1" ht="14.25" customHeight="1" x14ac:dyDescent="0.2">
      <c r="A543" s="230" t="b">
        <f t="shared" si="699"/>
        <v>0</v>
      </c>
      <c r="B543" s="253">
        <v>522</v>
      </c>
      <c r="C543" s="266"/>
      <c r="D543" s="266"/>
      <c r="E543" s="254"/>
      <c r="F543" s="255" t="str">
        <f>IF(ISBLANK(E543), "", VLOOKUP(E543, Z!$A$2:$C$4127, 3, FALSE))</f>
        <v/>
      </c>
      <c r="G543" s="256"/>
      <c r="H543" s="256"/>
      <c r="I543" s="256"/>
      <c r="J543" s="257"/>
      <c r="K543" s="258"/>
      <c r="L543" s="267"/>
      <c r="M543" s="268"/>
      <c r="N543" s="259" t="str" cm="1">
        <f t="array" ref="N543">IF($L543&gt;0, INDEX(Clean,1+AK543,$D$1), "")</f>
        <v/>
      </c>
      <c r="O543" s="260"/>
      <c r="P543" s="260"/>
      <c r="Q543" s="261"/>
      <c r="R543" s="264">
        <f t="shared" si="670"/>
        <v>0</v>
      </c>
      <c r="S543" s="259" t="str" cm="1">
        <f t="array" ref="S543">IF($L543&gt;0, INDEX(Clean,1+AL543,$D$1), "")</f>
        <v/>
      </c>
      <c r="T543" s="260"/>
      <c r="U543" s="260"/>
      <c r="V543" s="261"/>
      <c r="W543" s="267"/>
      <c r="X543" s="267"/>
      <c r="Y543" s="257"/>
      <c r="Z543" s="264">
        <f t="shared" si="671"/>
        <v>0</v>
      </c>
      <c r="AA543" s="269"/>
      <c r="AB543" s="266"/>
      <c r="AC543" s="254"/>
      <c r="AD543" s="255" t="str">
        <f>IF(ISBLANK(AC543), "", VLOOKUP(AC543, Z!$A$2:$C$4127, 3, FALSE))</f>
        <v/>
      </c>
      <c r="AE543" s="270"/>
      <c r="AF543" s="265">
        <f t="shared" si="672"/>
        <v>0</v>
      </c>
      <c r="AG543" s="246"/>
      <c r="AH543" s="228">
        <f t="shared" si="695"/>
        <v>1</v>
      </c>
      <c r="AI543" s="228">
        <f t="shared" si="696"/>
        <v>1</v>
      </c>
      <c r="AJ543" s="228">
        <f t="shared" si="697"/>
        <v>0</v>
      </c>
      <c r="AK543" s="228">
        <v>0</v>
      </c>
      <c r="AL543" s="228">
        <v>0</v>
      </c>
      <c r="AM543" s="228">
        <f t="shared" si="673"/>
        <v>-100</v>
      </c>
      <c r="AN543" s="228" cm="1">
        <f t="array" ref="AN543">IF(ISBLANK(G543), 1, IFERROR(MATCH(G543, INDEX(Kat,,1), 0), IFERROR(MATCH(Kat, INDEX(Use,,2), 0), MATCH(Kat, INDEX(Use,,3), 0))))</f>
        <v>1</v>
      </c>
      <c r="AO543" s="246"/>
      <c r="AP543" s="228" cm="1">
        <f t="array" ref="AP543">IF(W543&gt;0, INDEX(Kat, AN543,4), 0)</f>
        <v>0</v>
      </c>
      <c r="AQ543" s="228">
        <f t="shared" si="698"/>
        <v>0</v>
      </c>
      <c r="AR543" s="228" cm="1">
        <f t="array" ref="AR543">IF(X543&gt;0, INDEX(Kat, $AN543, 4+AQ543), 0)</f>
        <v>0</v>
      </c>
      <c r="AS543" s="228" cm="1">
        <f t="array" ref="AS543">IF(X543&gt;0, INDEX(Kat, $AN543, 9+AQ543), 0)</f>
        <v>0</v>
      </c>
      <c r="AT543" s="246"/>
      <c r="AU543" s="262"/>
      <c r="AV543" s="262"/>
      <c r="AW543" s="263"/>
      <c r="AX543" s="263"/>
      <c r="AY543" s="263"/>
      <c r="AZ543" s="263"/>
      <c r="BA543" s="263"/>
      <c r="BB543" s="263"/>
      <c r="BC543" s="263"/>
      <c r="BD543" s="263"/>
      <c r="BE543" s="263"/>
      <c r="BF543" s="263"/>
      <c r="BG543" s="263"/>
      <c r="BH543" s="246"/>
      <c r="BI543" s="228" cm="1">
        <f t="array" ref="BI543">INDEX(Use, $AH543, 4)</f>
        <v>7</v>
      </c>
      <c r="BJ543" s="228">
        <f t="shared" si="674"/>
        <v>32</v>
      </c>
      <c r="BK543" s="228">
        <f t="shared" si="700"/>
        <v>13</v>
      </c>
      <c r="BL543" s="228">
        <f t="shared" si="701"/>
        <v>0</v>
      </c>
      <c r="BM543" s="233" cm="1">
        <f t="array" ref="BM543">L543/IF($M543&gt;0, INDEX($AY$22:$BE$76, $M543+20, $AH543), 1)</f>
        <v>0</v>
      </c>
      <c r="BN543" s="229">
        <f t="shared" si="675"/>
        <v>0</v>
      </c>
      <c r="BO543" s="228">
        <v>35</v>
      </c>
      <c r="BP543" s="229">
        <f t="shared" si="676"/>
        <v>48</v>
      </c>
      <c r="BQ543" s="234">
        <f t="shared" si="677"/>
        <v>3.0748170731707316</v>
      </c>
      <c r="BR543" s="234" cm="1">
        <f t="array" ref="BR543">$BM543 * SUMPRODUCT(INDEX($AV$76:$AX$81,,$AI543),INDEX($AY$76:$BE$81,,$AH543), N($AU$76:$AU$81&gt;$AM543)) / BQ543 / 1000</f>
        <v>0</v>
      </c>
      <c r="BS543" s="231">
        <f t="shared" si="702"/>
        <v>30</v>
      </c>
      <c r="BT543" s="229">
        <f t="shared" si="678"/>
        <v>43</v>
      </c>
      <c r="BU543" s="234">
        <f t="shared" si="679"/>
        <v>3.5018750000000001</v>
      </c>
      <c r="BV543" s="234" cm="1">
        <f t="array" ref="BV543">$BM543 * IF($AH543&lt;=2,
SUMPRODUCT(INDEX($AV$71:$AX$75,,$AI543), INDEX($AY$71:$BE$75,,$AH543), 1 / ($BF$71:$BF$75*BU543 + (1-$BF$71:$BF$75)*BQ543), N($AU$71:$AU$75&gt;$AM543)),
SUMPRODUCT(INDEX($AV$66:$AX$75,,$AI543), INDEX($AY$66:$BE$75,,$AH543), 1 / ($BG$66:$BG$75*BU543 + (1-$BG$66:$BG$75)*BQ543), N($AU$66:$AU$75&gt;$AM543))
) / 1000</f>
        <v>0</v>
      </c>
      <c r="BW543" s="231">
        <f t="shared" si="703"/>
        <v>25</v>
      </c>
      <c r="BX543" s="229">
        <f t="shared" si="680"/>
        <v>38</v>
      </c>
      <c r="BY543" s="234">
        <f t="shared" si="681"/>
        <v>4.0666935483870965</v>
      </c>
      <c r="BZ543" s="234" cm="1">
        <f t="array" ref="BZ543">$BM543 * IF($AH543&lt;=2,
SUMPRODUCT(INDEX($AV$66:$AX$70,,$AI543), INDEX($AY$66:$BE$70,,$AH543), 1 / ($BF$66:$BF$70*BY543 + (1-$BF$66:$BF$70)*BU543), N($AU$66:$AU$70&gt;$AM543)),
SUMPRODUCT(INDEX($AV$56:$AX$65,,$AI543), INDEX($AY$56:$BE$65,,$AH543), 1 / ($BG$56:$BG$65*BY543 + (1-$BG$56:$BG$65)*BU543), N($AU$56:$AU$65&gt;$AM543))
) / 1000</f>
        <v>0</v>
      </c>
      <c r="CA543" s="231">
        <f t="shared" si="704"/>
        <v>20</v>
      </c>
      <c r="CB543" s="229">
        <f t="shared" si="682"/>
        <v>33</v>
      </c>
      <c r="CC543" s="234">
        <f t="shared" si="683"/>
        <v>4.8487499999999999</v>
      </c>
      <c r="CD543" s="234" cm="1">
        <f t="array" ref="CD543">$BM543 * IF($AH543&lt;=2,
SUMPRODUCT(INDEX($AV$61:$AX$65,,$AI543), INDEX($AY$61:$BE$65,,$AH543), 1 / ($BF$61:$BF$65*CC543 + (1-$BF$61:$BF$65)*BY543), N($AU$61:$AU$65&gt;$AM543)),
SUMPRODUCT(INDEX($AV$46:$AX$55,,$AI543), INDEX($AY$46:$BE$55,,$AH543), 1 / ($BG$46:$BG$55*CC543 + (1-$BG$46:$BG$55)*BY543), N($AU$46:$AU$55&gt;$AM543))
) / 1000</f>
        <v>0</v>
      </c>
      <c r="CE543" s="234" cm="1">
        <f t="array" ref="CE543">$BM543 * IF($AH543&lt;=2,
SUMPRODUCT(INDEX($AV$22:$AX$60,,$AI543), INDEX($AY$22:$BE$60,,$AH543), 1 / ($BF$22:$BF$60*CC543), N($AU$22:$AU$60&gt;$AM543)),
SUMPRODUCT(INDEX($AV$22:$AX$45,,$AI543), INDEX($AY$22:$BE$45,,$AH543), 1 / ($BG$22:$BG$45*CC543), N($AU$22:$AU$45&gt;$AM543))
) / 1000</f>
        <v>0</v>
      </c>
      <c r="CF543" s="229">
        <f t="shared" si="684"/>
        <v>0</v>
      </c>
      <c r="CG543" s="246"/>
      <c r="CH543" s="229">
        <f t="shared" si="685"/>
        <v>0</v>
      </c>
      <c r="CI543" s="228">
        <v>35</v>
      </c>
      <c r="CJ543" s="229">
        <f t="shared" si="686"/>
        <v>48</v>
      </c>
      <c r="CK543" s="234">
        <f t="shared" si="687"/>
        <v>3.0748170731707316</v>
      </c>
      <c r="CL543" s="234" cm="1">
        <f t="array" ref="CL543">$BM543 * SUMPRODUCT(INDEX($AV$76:$AX$81,,$AI543),INDEX($AY$76:$BE$81,,$AH543), N($AU$76:$AU$81&gt;$AM543)) / CK543 / 1000</f>
        <v>0</v>
      </c>
      <c r="CM543" s="231">
        <f t="shared" si="705"/>
        <v>30</v>
      </c>
      <c r="CN543" s="229">
        <f t="shared" si="688"/>
        <v>43</v>
      </c>
      <c r="CO543" s="234">
        <f t="shared" si="689"/>
        <v>3.5018750000000001</v>
      </c>
      <c r="CP543" s="234" cm="1">
        <f t="array" ref="CP543">$BM543 * IF($AH543&lt;=2,
SUMPRODUCT(INDEX($AV$71:$AX$75,,$AI543), INDEX($AY$71:$BE$75,,$AH543), 1 / ($BF$71:$BF$75*CO543 + (1-$BF$71:$BF$75)*CK543), N($AU$71:$AU$75&gt;$AM543)),
SUMPRODUCT(INDEX($AV$66:$AX$75,,$AI543), INDEX($AY$66:$BE$75,,$AH543), 1 / ($BG$66:$BG$75*CO543 + (1-$BG$66:$BG$75)*CK543), N($AU$66:$AU$75&gt;$AM543))
) / 1000</f>
        <v>0</v>
      </c>
      <c r="CQ543" s="231">
        <f t="shared" si="706"/>
        <v>25</v>
      </c>
      <c r="CR543" s="229">
        <f t="shared" si="690"/>
        <v>38</v>
      </c>
      <c r="CS543" s="234">
        <f t="shared" si="691"/>
        <v>4.0666935483870965</v>
      </c>
      <c r="CT543" s="234" cm="1">
        <f t="array" ref="CT543">$BM543 * IF($AH543&lt;=2,
SUMPRODUCT(INDEX($AV$66:$AX$70,,$AI543), INDEX($AY$66:$BE$70,,$AH543), 1 / ($BF$66:$BF$70*CS543 + (1-$BF$66:$BF$70)*CO543), N($AU$66:$AU$70&gt;$AM543)),
SUMPRODUCT(INDEX($AV$56:$AX$65,,$AI543), INDEX($AY$56:$BE$65,,$AH543), 1 / ($BG$56:$BG$65*CS543 + (1-$BG$56:$BG$65)*CO543), N($AU$56:$AU$65&gt;$AM543))
) / 1000</f>
        <v>0</v>
      </c>
      <c r="CU543" s="231">
        <f t="shared" si="707"/>
        <v>20</v>
      </c>
      <c r="CV543" s="229">
        <f t="shared" si="692"/>
        <v>33</v>
      </c>
      <c r="CW543" s="234">
        <f t="shared" si="693"/>
        <v>4.8487499999999999</v>
      </c>
      <c r="CX543" s="234" cm="1">
        <f t="array" ref="CX543">$BM543 * IF($AH543&lt;=2,
SUMPRODUCT(INDEX($AV$61:$AX$65,,$AI543), INDEX($AY$61:$BE$65,,$AH543), 1 / ($BF$61:$BF$65*CW543 + (1-$BF$61:$BF$65)*CS543), N($AU$61:$AU$65&gt;$AM543)),
SUMPRODUCT(INDEX($AV$46:$AX$55,,$AI543), INDEX($AY$46:$BE$55,,$AH543), 1 / ($BG$46:$BG$55*CW543 + (1-$BG$46:$BG$55)*CS543), N($AU$46:$AU$55&gt;$AM543))
) / 1000</f>
        <v>0</v>
      </c>
      <c r="CY543" s="234" cm="1">
        <f t="array" ref="CY543">$BM543 * IF($AH543&lt;=2,
SUMPRODUCT(INDEX($AV$22:$AX$60,,$AI543), INDEX($AY$22:$BE$60,,$AH543), 1 / ($BF$22:$BF$60*CW543), N($AU$22:$AU$60&gt;$AM543)),
SUMPRODUCT(INDEX($AV$22:$AX$45,,$AI543), INDEX($AY$22:$BE$45,,$AH543), 1 / ($BG$22:$BG$45*CW543), N($AU$22:$AU$45&gt;$AM543))
) / 1000</f>
        <v>0</v>
      </c>
      <c r="CZ543" s="229">
        <f t="shared" si="694"/>
        <v>0</v>
      </c>
      <c r="DA543" s="246"/>
    </row>
    <row r="544" spans="1:105" s="75" customFormat="1" ht="14.25" customHeight="1" x14ac:dyDescent="0.2">
      <c r="A544" s="230" t="b">
        <f t="shared" si="699"/>
        <v>0</v>
      </c>
      <c r="B544" s="253">
        <v>523</v>
      </c>
      <c r="C544" s="266"/>
      <c r="D544" s="266"/>
      <c r="E544" s="254"/>
      <c r="F544" s="255" t="str">
        <f>IF(ISBLANK(E544), "", VLOOKUP(E544, Z!$A$2:$C$4127, 3, FALSE))</f>
        <v/>
      </c>
      <c r="G544" s="256"/>
      <c r="H544" s="256"/>
      <c r="I544" s="256"/>
      <c r="J544" s="257"/>
      <c r="K544" s="258"/>
      <c r="L544" s="267"/>
      <c r="M544" s="268"/>
      <c r="N544" s="259" t="str" cm="1">
        <f t="array" ref="N544">IF($L544&gt;0, INDEX(Clean,1+AK544,$D$1), "")</f>
        <v/>
      </c>
      <c r="O544" s="260"/>
      <c r="P544" s="260"/>
      <c r="Q544" s="261"/>
      <c r="R544" s="264">
        <f t="shared" si="670"/>
        <v>0</v>
      </c>
      <c r="S544" s="259" t="str" cm="1">
        <f t="array" ref="S544">IF($L544&gt;0, INDEX(Clean,1+AL544,$D$1), "")</f>
        <v/>
      </c>
      <c r="T544" s="260"/>
      <c r="U544" s="260"/>
      <c r="V544" s="261"/>
      <c r="W544" s="267"/>
      <c r="X544" s="267"/>
      <c r="Y544" s="257"/>
      <c r="Z544" s="264">
        <f t="shared" si="671"/>
        <v>0</v>
      </c>
      <c r="AA544" s="269"/>
      <c r="AB544" s="266"/>
      <c r="AC544" s="254"/>
      <c r="AD544" s="255" t="str">
        <f>IF(ISBLANK(AC544), "", VLOOKUP(AC544, Z!$A$2:$C$4127, 3, FALSE))</f>
        <v/>
      </c>
      <c r="AE544" s="270"/>
      <c r="AF544" s="265">
        <f t="shared" si="672"/>
        <v>0</v>
      </c>
      <c r="AG544" s="246"/>
      <c r="AH544" s="228">
        <f t="shared" si="695"/>
        <v>1</v>
      </c>
      <c r="AI544" s="228">
        <f t="shared" si="696"/>
        <v>1</v>
      </c>
      <c r="AJ544" s="228">
        <f t="shared" si="697"/>
        <v>0</v>
      </c>
      <c r="AK544" s="228">
        <v>0</v>
      </c>
      <c r="AL544" s="228">
        <v>0</v>
      </c>
      <c r="AM544" s="228">
        <f t="shared" si="673"/>
        <v>-100</v>
      </c>
      <c r="AN544" s="228" cm="1">
        <f t="array" ref="AN544">IF(ISBLANK(G544), 1, IFERROR(MATCH(G544, INDEX(Kat,,1), 0), IFERROR(MATCH(Kat, INDEX(Use,,2), 0), MATCH(Kat, INDEX(Use,,3), 0))))</f>
        <v>1</v>
      </c>
      <c r="AO544" s="246"/>
      <c r="AP544" s="228" cm="1">
        <f t="array" ref="AP544">IF(W544&gt;0, INDEX(Kat, AN544,4), 0)</f>
        <v>0</v>
      </c>
      <c r="AQ544" s="228">
        <f t="shared" si="698"/>
        <v>0</v>
      </c>
      <c r="AR544" s="228" cm="1">
        <f t="array" ref="AR544">IF(X544&gt;0, INDEX(Kat, $AN544, 4+AQ544), 0)</f>
        <v>0</v>
      </c>
      <c r="AS544" s="228" cm="1">
        <f t="array" ref="AS544">IF(X544&gt;0, INDEX(Kat, $AN544, 9+AQ544), 0)</f>
        <v>0</v>
      </c>
      <c r="AT544" s="246"/>
      <c r="AU544" s="262"/>
      <c r="AV544" s="262"/>
      <c r="AW544" s="263"/>
      <c r="AX544" s="263"/>
      <c r="AY544" s="263"/>
      <c r="AZ544" s="263"/>
      <c r="BA544" s="263"/>
      <c r="BB544" s="263"/>
      <c r="BC544" s="263"/>
      <c r="BD544" s="263"/>
      <c r="BE544" s="263"/>
      <c r="BF544" s="263"/>
      <c r="BG544" s="263"/>
      <c r="BH544" s="246"/>
      <c r="BI544" s="228" cm="1">
        <f t="array" ref="BI544">INDEX(Use, $AH544, 4)</f>
        <v>7</v>
      </c>
      <c r="BJ544" s="228">
        <f t="shared" si="674"/>
        <v>32</v>
      </c>
      <c r="BK544" s="228">
        <f t="shared" si="700"/>
        <v>13</v>
      </c>
      <c r="BL544" s="228">
        <f t="shared" si="701"/>
        <v>0</v>
      </c>
      <c r="BM544" s="233" cm="1">
        <f t="array" ref="BM544">L544/IF($M544&gt;0, INDEX($AY$22:$BE$76, $M544+20, $AH544), 1)</f>
        <v>0</v>
      </c>
      <c r="BN544" s="229">
        <f t="shared" si="675"/>
        <v>0</v>
      </c>
      <c r="BO544" s="228">
        <v>35</v>
      </c>
      <c r="BP544" s="229">
        <f t="shared" si="676"/>
        <v>48</v>
      </c>
      <c r="BQ544" s="234">
        <f t="shared" si="677"/>
        <v>3.0748170731707316</v>
      </c>
      <c r="BR544" s="234" cm="1">
        <f t="array" ref="BR544">$BM544 * SUMPRODUCT(INDEX($AV$76:$AX$81,,$AI544),INDEX($AY$76:$BE$81,,$AH544), N($AU$76:$AU$81&gt;$AM544)) / BQ544 / 1000</f>
        <v>0</v>
      </c>
      <c r="BS544" s="231">
        <f t="shared" si="702"/>
        <v>30</v>
      </c>
      <c r="BT544" s="229">
        <f t="shared" si="678"/>
        <v>43</v>
      </c>
      <c r="BU544" s="234">
        <f t="shared" si="679"/>
        <v>3.5018750000000001</v>
      </c>
      <c r="BV544" s="234" cm="1">
        <f t="array" ref="BV544">$BM544 * IF($AH544&lt;=2,
SUMPRODUCT(INDEX($AV$71:$AX$75,,$AI544), INDEX($AY$71:$BE$75,,$AH544), 1 / ($BF$71:$BF$75*BU544 + (1-$BF$71:$BF$75)*BQ544), N($AU$71:$AU$75&gt;$AM544)),
SUMPRODUCT(INDEX($AV$66:$AX$75,,$AI544), INDEX($AY$66:$BE$75,,$AH544), 1 / ($BG$66:$BG$75*BU544 + (1-$BG$66:$BG$75)*BQ544), N($AU$66:$AU$75&gt;$AM544))
) / 1000</f>
        <v>0</v>
      </c>
      <c r="BW544" s="231">
        <f t="shared" si="703"/>
        <v>25</v>
      </c>
      <c r="BX544" s="229">
        <f t="shared" si="680"/>
        <v>38</v>
      </c>
      <c r="BY544" s="234">
        <f t="shared" si="681"/>
        <v>4.0666935483870965</v>
      </c>
      <c r="BZ544" s="234" cm="1">
        <f t="array" ref="BZ544">$BM544 * IF($AH544&lt;=2,
SUMPRODUCT(INDEX($AV$66:$AX$70,,$AI544), INDEX($AY$66:$BE$70,,$AH544), 1 / ($BF$66:$BF$70*BY544 + (1-$BF$66:$BF$70)*BU544), N($AU$66:$AU$70&gt;$AM544)),
SUMPRODUCT(INDEX($AV$56:$AX$65,,$AI544), INDEX($AY$56:$BE$65,,$AH544), 1 / ($BG$56:$BG$65*BY544 + (1-$BG$56:$BG$65)*BU544), N($AU$56:$AU$65&gt;$AM544))
) / 1000</f>
        <v>0</v>
      </c>
      <c r="CA544" s="231">
        <f t="shared" si="704"/>
        <v>20</v>
      </c>
      <c r="CB544" s="229">
        <f t="shared" si="682"/>
        <v>33</v>
      </c>
      <c r="CC544" s="234">
        <f t="shared" si="683"/>
        <v>4.8487499999999999</v>
      </c>
      <c r="CD544" s="234" cm="1">
        <f t="array" ref="CD544">$BM544 * IF($AH544&lt;=2,
SUMPRODUCT(INDEX($AV$61:$AX$65,,$AI544), INDEX($AY$61:$BE$65,,$AH544), 1 / ($BF$61:$BF$65*CC544 + (1-$BF$61:$BF$65)*BY544), N($AU$61:$AU$65&gt;$AM544)),
SUMPRODUCT(INDEX($AV$46:$AX$55,,$AI544), INDEX($AY$46:$BE$55,,$AH544), 1 / ($BG$46:$BG$55*CC544 + (1-$BG$46:$BG$55)*BY544), N($AU$46:$AU$55&gt;$AM544))
) / 1000</f>
        <v>0</v>
      </c>
      <c r="CE544" s="234" cm="1">
        <f t="array" ref="CE544">$BM544 * IF($AH544&lt;=2,
SUMPRODUCT(INDEX($AV$22:$AX$60,,$AI544), INDEX($AY$22:$BE$60,,$AH544), 1 / ($BF$22:$BF$60*CC544), N($AU$22:$AU$60&gt;$AM544)),
SUMPRODUCT(INDEX($AV$22:$AX$45,,$AI544), INDEX($AY$22:$BE$45,,$AH544), 1 / ($BG$22:$BG$45*CC544), N($AU$22:$AU$45&gt;$AM544))
) / 1000</f>
        <v>0</v>
      </c>
      <c r="CF544" s="229">
        <f t="shared" si="684"/>
        <v>0</v>
      </c>
      <c r="CG544" s="246"/>
      <c r="CH544" s="229">
        <f t="shared" si="685"/>
        <v>0</v>
      </c>
      <c r="CI544" s="228">
        <v>35</v>
      </c>
      <c r="CJ544" s="229">
        <f t="shared" si="686"/>
        <v>48</v>
      </c>
      <c r="CK544" s="234">
        <f t="shared" si="687"/>
        <v>3.0748170731707316</v>
      </c>
      <c r="CL544" s="234" cm="1">
        <f t="array" ref="CL544">$BM544 * SUMPRODUCT(INDEX($AV$76:$AX$81,,$AI544),INDEX($AY$76:$BE$81,,$AH544), N($AU$76:$AU$81&gt;$AM544)) / CK544 / 1000</f>
        <v>0</v>
      </c>
      <c r="CM544" s="231">
        <f t="shared" si="705"/>
        <v>30</v>
      </c>
      <c r="CN544" s="229">
        <f t="shared" si="688"/>
        <v>43</v>
      </c>
      <c r="CO544" s="234">
        <f t="shared" si="689"/>
        <v>3.5018750000000001</v>
      </c>
      <c r="CP544" s="234" cm="1">
        <f t="array" ref="CP544">$BM544 * IF($AH544&lt;=2,
SUMPRODUCT(INDEX($AV$71:$AX$75,,$AI544), INDEX($AY$71:$BE$75,,$AH544), 1 / ($BF$71:$BF$75*CO544 + (1-$BF$71:$BF$75)*CK544), N($AU$71:$AU$75&gt;$AM544)),
SUMPRODUCT(INDEX($AV$66:$AX$75,,$AI544), INDEX($AY$66:$BE$75,,$AH544), 1 / ($BG$66:$BG$75*CO544 + (1-$BG$66:$BG$75)*CK544), N($AU$66:$AU$75&gt;$AM544))
) / 1000</f>
        <v>0</v>
      </c>
      <c r="CQ544" s="231">
        <f t="shared" si="706"/>
        <v>25</v>
      </c>
      <c r="CR544" s="229">
        <f t="shared" si="690"/>
        <v>38</v>
      </c>
      <c r="CS544" s="234">
        <f t="shared" si="691"/>
        <v>4.0666935483870965</v>
      </c>
      <c r="CT544" s="234" cm="1">
        <f t="array" ref="CT544">$BM544 * IF($AH544&lt;=2,
SUMPRODUCT(INDEX($AV$66:$AX$70,,$AI544), INDEX($AY$66:$BE$70,,$AH544), 1 / ($BF$66:$BF$70*CS544 + (1-$BF$66:$BF$70)*CO544), N($AU$66:$AU$70&gt;$AM544)),
SUMPRODUCT(INDEX($AV$56:$AX$65,,$AI544), INDEX($AY$56:$BE$65,,$AH544), 1 / ($BG$56:$BG$65*CS544 + (1-$BG$56:$BG$65)*CO544), N($AU$56:$AU$65&gt;$AM544))
) / 1000</f>
        <v>0</v>
      </c>
      <c r="CU544" s="231">
        <f t="shared" si="707"/>
        <v>20</v>
      </c>
      <c r="CV544" s="229">
        <f t="shared" si="692"/>
        <v>33</v>
      </c>
      <c r="CW544" s="234">
        <f t="shared" si="693"/>
        <v>4.8487499999999999</v>
      </c>
      <c r="CX544" s="234" cm="1">
        <f t="array" ref="CX544">$BM544 * IF($AH544&lt;=2,
SUMPRODUCT(INDEX($AV$61:$AX$65,,$AI544), INDEX($AY$61:$BE$65,,$AH544), 1 / ($BF$61:$BF$65*CW544 + (1-$BF$61:$BF$65)*CS544), N($AU$61:$AU$65&gt;$AM544)),
SUMPRODUCT(INDEX($AV$46:$AX$55,,$AI544), INDEX($AY$46:$BE$55,,$AH544), 1 / ($BG$46:$BG$55*CW544 + (1-$BG$46:$BG$55)*CS544), N($AU$46:$AU$55&gt;$AM544))
) / 1000</f>
        <v>0</v>
      </c>
      <c r="CY544" s="234" cm="1">
        <f t="array" ref="CY544">$BM544 * IF($AH544&lt;=2,
SUMPRODUCT(INDEX($AV$22:$AX$60,,$AI544), INDEX($AY$22:$BE$60,,$AH544), 1 / ($BF$22:$BF$60*CW544), N($AU$22:$AU$60&gt;$AM544)),
SUMPRODUCT(INDEX($AV$22:$AX$45,,$AI544), INDEX($AY$22:$BE$45,,$AH544), 1 / ($BG$22:$BG$45*CW544), N($AU$22:$AU$45&gt;$AM544))
) / 1000</f>
        <v>0</v>
      </c>
      <c r="CZ544" s="229">
        <f t="shared" si="694"/>
        <v>0</v>
      </c>
      <c r="DA544" s="246"/>
    </row>
    <row r="545" spans="1:105" s="75" customFormat="1" ht="14.25" customHeight="1" x14ac:dyDescent="0.2">
      <c r="A545" s="230" t="b">
        <f t="shared" si="699"/>
        <v>0</v>
      </c>
      <c r="B545" s="253">
        <v>524</v>
      </c>
      <c r="C545" s="266"/>
      <c r="D545" s="266"/>
      <c r="E545" s="254"/>
      <c r="F545" s="255" t="str">
        <f>IF(ISBLANK(E545), "", VLOOKUP(E545, Z!$A$2:$C$4127, 3, FALSE))</f>
        <v/>
      </c>
      <c r="G545" s="256"/>
      <c r="H545" s="256"/>
      <c r="I545" s="256"/>
      <c r="J545" s="257"/>
      <c r="K545" s="258"/>
      <c r="L545" s="267"/>
      <c r="M545" s="268"/>
      <c r="N545" s="259" t="str" cm="1">
        <f t="array" ref="N545">IF($L545&gt;0, INDEX(Clean,1+AK545,$D$1), "")</f>
        <v/>
      </c>
      <c r="O545" s="260"/>
      <c r="P545" s="260"/>
      <c r="Q545" s="261"/>
      <c r="R545" s="264">
        <f t="shared" si="670"/>
        <v>0</v>
      </c>
      <c r="S545" s="259" t="str" cm="1">
        <f t="array" ref="S545">IF($L545&gt;0, INDEX(Clean,1+AL545,$D$1), "")</f>
        <v/>
      </c>
      <c r="T545" s="260"/>
      <c r="U545" s="260"/>
      <c r="V545" s="261"/>
      <c r="W545" s="267"/>
      <c r="X545" s="267"/>
      <c r="Y545" s="257"/>
      <c r="Z545" s="264">
        <f t="shared" si="671"/>
        <v>0</v>
      </c>
      <c r="AA545" s="269"/>
      <c r="AB545" s="266"/>
      <c r="AC545" s="254"/>
      <c r="AD545" s="255" t="str">
        <f>IF(ISBLANK(AC545), "", VLOOKUP(AC545, Z!$A$2:$C$4127, 3, FALSE))</f>
        <v/>
      </c>
      <c r="AE545" s="270"/>
      <c r="AF545" s="265">
        <f t="shared" si="672"/>
        <v>0</v>
      </c>
      <c r="AG545" s="246"/>
      <c r="AH545" s="228">
        <f t="shared" si="695"/>
        <v>1</v>
      </c>
      <c r="AI545" s="228">
        <f t="shared" si="696"/>
        <v>1</v>
      </c>
      <c r="AJ545" s="228">
        <f t="shared" si="697"/>
        <v>0</v>
      </c>
      <c r="AK545" s="228">
        <v>0</v>
      </c>
      <c r="AL545" s="228">
        <v>0</v>
      </c>
      <c r="AM545" s="228">
        <f t="shared" si="673"/>
        <v>-100</v>
      </c>
      <c r="AN545" s="228" cm="1">
        <f t="array" ref="AN545">IF(ISBLANK(G545), 1, IFERROR(MATCH(G545, INDEX(Kat,,1), 0), IFERROR(MATCH(Kat, INDEX(Use,,2), 0), MATCH(Kat, INDEX(Use,,3), 0))))</f>
        <v>1</v>
      </c>
      <c r="AO545" s="246"/>
      <c r="AP545" s="228" cm="1">
        <f t="array" ref="AP545">IF(W545&gt;0, INDEX(Kat, AN545,4), 0)</f>
        <v>0</v>
      </c>
      <c r="AQ545" s="228">
        <f t="shared" si="698"/>
        <v>0</v>
      </c>
      <c r="AR545" s="228" cm="1">
        <f t="array" ref="AR545">IF(X545&gt;0, INDEX(Kat, $AN545, 4+AQ545), 0)</f>
        <v>0</v>
      </c>
      <c r="AS545" s="228" cm="1">
        <f t="array" ref="AS545">IF(X545&gt;0, INDEX(Kat, $AN545, 9+AQ545), 0)</f>
        <v>0</v>
      </c>
      <c r="AT545" s="246"/>
      <c r="AU545" s="262"/>
      <c r="AV545" s="262"/>
      <c r="AW545" s="263"/>
      <c r="AX545" s="263"/>
      <c r="AY545" s="263"/>
      <c r="AZ545" s="263"/>
      <c r="BA545" s="263"/>
      <c r="BB545" s="263"/>
      <c r="BC545" s="263"/>
      <c r="BD545" s="263"/>
      <c r="BE545" s="263"/>
      <c r="BF545" s="263"/>
      <c r="BG545" s="263"/>
      <c r="BH545" s="246"/>
      <c r="BI545" s="228" cm="1">
        <f t="array" ref="BI545">INDEX(Use, $AH545, 4)</f>
        <v>7</v>
      </c>
      <c r="BJ545" s="228">
        <f t="shared" si="674"/>
        <v>32</v>
      </c>
      <c r="BK545" s="228">
        <f t="shared" si="700"/>
        <v>13</v>
      </c>
      <c r="BL545" s="228">
        <f t="shared" si="701"/>
        <v>0</v>
      </c>
      <c r="BM545" s="233" cm="1">
        <f t="array" ref="BM545">L545/IF($M545&gt;0, INDEX($AY$22:$BE$76, $M545+20, $AH545), 1)</f>
        <v>0</v>
      </c>
      <c r="BN545" s="229">
        <f t="shared" si="675"/>
        <v>0</v>
      </c>
      <c r="BO545" s="228">
        <v>35</v>
      </c>
      <c r="BP545" s="229">
        <f t="shared" si="676"/>
        <v>48</v>
      </c>
      <c r="BQ545" s="234">
        <f t="shared" si="677"/>
        <v>3.0748170731707316</v>
      </c>
      <c r="BR545" s="234" cm="1">
        <f t="array" ref="BR545">$BM545 * SUMPRODUCT(INDEX($AV$76:$AX$81,,$AI545),INDEX($AY$76:$BE$81,,$AH545), N($AU$76:$AU$81&gt;$AM545)) / BQ545 / 1000</f>
        <v>0</v>
      </c>
      <c r="BS545" s="231">
        <f t="shared" si="702"/>
        <v>30</v>
      </c>
      <c r="BT545" s="229">
        <f t="shared" si="678"/>
        <v>43</v>
      </c>
      <c r="BU545" s="234">
        <f t="shared" si="679"/>
        <v>3.5018750000000001</v>
      </c>
      <c r="BV545" s="234" cm="1">
        <f t="array" ref="BV545">$BM545 * IF($AH545&lt;=2,
SUMPRODUCT(INDEX($AV$71:$AX$75,,$AI545), INDEX($AY$71:$BE$75,,$AH545), 1 / ($BF$71:$BF$75*BU545 + (1-$BF$71:$BF$75)*BQ545), N($AU$71:$AU$75&gt;$AM545)),
SUMPRODUCT(INDEX($AV$66:$AX$75,,$AI545), INDEX($AY$66:$BE$75,,$AH545), 1 / ($BG$66:$BG$75*BU545 + (1-$BG$66:$BG$75)*BQ545), N($AU$66:$AU$75&gt;$AM545))
) / 1000</f>
        <v>0</v>
      </c>
      <c r="BW545" s="231">
        <f t="shared" si="703"/>
        <v>25</v>
      </c>
      <c r="BX545" s="229">
        <f t="shared" si="680"/>
        <v>38</v>
      </c>
      <c r="BY545" s="234">
        <f t="shared" si="681"/>
        <v>4.0666935483870965</v>
      </c>
      <c r="BZ545" s="234" cm="1">
        <f t="array" ref="BZ545">$BM545 * IF($AH545&lt;=2,
SUMPRODUCT(INDEX($AV$66:$AX$70,,$AI545), INDEX($AY$66:$BE$70,,$AH545), 1 / ($BF$66:$BF$70*BY545 + (1-$BF$66:$BF$70)*BU545), N($AU$66:$AU$70&gt;$AM545)),
SUMPRODUCT(INDEX($AV$56:$AX$65,,$AI545), INDEX($AY$56:$BE$65,,$AH545), 1 / ($BG$56:$BG$65*BY545 + (1-$BG$56:$BG$65)*BU545), N($AU$56:$AU$65&gt;$AM545))
) / 1000</f>
        <v>0</v>
      </c>
      <c r="CA545" s="231">
        <f t="shared" si="704"/>
        <v>20</v>
      </c>
      <c r="CB545" s="229">
        <f t="shared" si="682"/>
        <v>33</v>
      </c>
      <c r="CC545" s="234">
        <f t="shared" si="683"/>
        <v>4.8487499999999999</v>
      </c>
      <c r="CD545" s="234" cm="1">
        <f t="array" ref="CD545">$BM545 * IF($AH545&lt;=2,
SUMPRODUCT(INDEX($AV$61:$AX$65,,$AI545), INDEX($AY$61:$BE$65,,$AH545), 1 / ($BF$61:$BF$65*CC545 + (1-$BF$61:$BF$65)*BY545), N($AU$61:$AU$65&gt;$AM545)),
SUMPRODUCT(INDEX($AV$46:$AX$55,,$AI545), INDEX($AY$46:$BE$55,,$AH545), 1 / ($BG$46:$BG$55*CC545 + (1-$BG$46:$BG$55)*BY545), N($AU$46:$AU$55&gt;$AM545))
) / 1000</f>
        <v>0</v>
      </c>
      <c r="CE545" s="234" cm="1">
        <f t="array" ref="CE545">$BM545 * IF($AH545&lt;=2,
SUMPRODUCT(INDEX($AV$22:$AX$60,,$AI545), INDEX($AY$22:$BE$60,,$AH545), 1 / ($BF$22:$BF$60*CC545), N($AU$22:$AU$60&gt;$AM545)),
SUMPRODUCT(INDEX($AV$22:$AX$45,,$AI545), INDEX($AY$22:$BE$45,,$AH545), 1 / ($BG$22:$BG$45*CC545), N($AU$22:$AU$45&gt;$AM545))
) / 1000</f>
        <v>0</v>
      </c>
      <c r="CF545" s="229">
        <f t="shared" si="684"/>
        <v>0</v>
      </c>
      <c r="CG545" s="246"/>
      <c r="CH545" s="229">
        <f t="shared" si="685"/>
        <v>0</v>
      </c>
      <c r="CI545" s="228">
        <v>35</v>
      </c>
      <c r="CJ545" s="229">
        <f t="shared" si="686"/>
        <v>48</v>
      </c>
      <c r="CK545" s="234">
        <f t="shared" si="687"/>
        <v>3.0748170731707316</v>
      </c>
      <c r="CL545" s="234" cm="1">
        <f t="array" ref="CL545">$BM545 * SUMPRODUCT(INDEX($AV$76:$AX$81,,$AI545),INDEX($AY$76:$BE$81,,$AH545), N($AU$76:$AU$81&gt;$AM545)) / CK545 / 1000</f>
        <v>0</v>
      </c>
      <c r="CM545" s="231">
        <f t="shared" si="705"/>
        <v>30</v>
      </c>
      <c r="CN545" s="229">
        <f t="shared" si="688"/>
        <v>43</v>
      </c>
      <c r="CO545" s="234">
        <f t="shared" si="689"/>
        <v>3.5018750000000001</v>
      </c>
      <c r="CP545" s="234" cm="1">
        <f t="array" ref="CP545">$BM545 * IF($AH545&lt;=2,
SUMPRODUCT(INDEX($AV$71:$AX$75,,$AI545), INDEX($AY$71:$BE$75,,$AH545), 1 / ($BF$71:$BF$75*CO545 + (1-$BF$71:$BF$75)*CK545), N($AU$71:$AU$75&gt;$AM545)),
SUMPRODUCT(INDEX($AV$66:$AX$75,,$AI545), INDEX($AY$66:$BE$75,,$AH545), 1 / ($BG$66:$BG$75*CO545 + (1-$BG$66:$BG$75)*CK545), N($AU$66:$AU$75&gt;$AM545))
) / 1000</f>
        <v>0</v>
      </c>
      <c r="CQ545" s="231">
        <f t="shared" si="706"/>
        <v>25</v>
      </c>
      <c r="CR545" s="229">
        <f t="shared" si="690"/>
        <v>38</v>
      </c>
      <c r="CS545" s="234">
        <f t="shared" si="691"/>
        <v>4.0666935483870965</v>
      </c>
      <c r="CT545" s="234" cm="1">
        <f t="array" ref="CT545">$BM545 * IF($AH545&lt;=2,
SUMPRODUCT(INDEX($AV$66:$AX$70,,$AI545), INDEX($AY$66:$BE$70,,$AH545), 1 / ($BF$66:$BF$70*CS545 + (1-$BF$66:$BF$70)*CO545), N($AU$66:$AU$70&gt;$AM545)),
SUMPRODUCT(INDEX($AV$56:$AX$65,,$AI545), INDEX($AY$56:$BE$65,,$AH545), 1 / ($BG$56:$BG$65*CS545 + (1-$BG$56:$BG$65)*CO545), N($AU$56:$AU$65&gt;$AM545))
) / 1000</f>
        <v>0</v>
      </c>
      <c r="CU545" s="231">
        <f t="shared" si="707"/>
        <v>20</v>
      </c>
      <c r="CV545" s="229">
        <f t="shared" si="692"/>
        <v>33</v>
      </c>
      <c r="CW545" s="234">
        <f t="shared" si="693"/>
        <v>4.8487499999999999</v>
      </c>
      <c r="CX545" s="234" cm="1">
        <f t="array" ref="CX545">$BM545 * IF($AH545&lt;=2,
SUMPRODUCT(INDEX($AV$61:$AX$65,,$AI545), INDEX($AY$61:$BE$65,,$AH545), 1 / ($BF$61:$BF$65*CW545 + (1-$BF$61:$BF$65)*CS545), N($AU$61:$AU$65&gt;$AM545)),
SUMPRODUCT(INDEX($AV$46:$AX$55,,$AI545), INDEX($AY$46:$BE$55,,$AH545), 1 / ($BG$46:$BG$55*CW545 + (1-$BG$46:$BG$55)*CS545), N($AU$46:$AU$55&gt;$AM545))
) / 1000</f>
        <v>0</v>
      </c>
      <c r="CY545" s="234" cm="1">
        <f t="array" ref="CY545">$BM545 * IF($AH545&lt;=2,
SUMPRODUCT(INDEX($AV$22:$AX$60,,$AI545), INDEX($AY$22:$BE$60,,$AH545), 1 / ($BF$22:$BF$60*CW545), N($AU$22:$AU$60&gt;$AM545)),
SUMPRODUCT(INDEX($AV$22:$AX$45,,$AI545), INDEX($AY$22:$BE$45,,$AH545), 1 / ($BG$22:$BG$45*CW545), N($AU$22:$AU$45&gt;$AM545))
) / 1000</f>
        <v>0</v>
      </c>
      <c r="CZ545" s="229">
        <f t="shared" si="694"/>
        <v>0</v>
      </c>
      <c r="DA545" s="246"/>
    </row>
    <row r="546" spans="1:105" s="75" customFormat="1" ht="14.25" customHeight="1" x14ac:dyDescent="0.2">
      <c r="A546" s="230" t="b">
        <f t="shared" si="699"/>
        <v>0</v>
      </c>
      <c r="B546" s="253">
        <v>525</v>
      </c>
      <c r="C546" s="266"/>
      <c r="D546" s="266"/>
      <c r="E546" s="254"/>
      <c r="F546" s="255" t="str">
        <f>IF(ISBLANK(E546), "", VLOOKUP(E546, Z!$A$2:$C$4127, 3, FALSE))</f>
        <v/>
      </c>
      <c r="G546" s="256"/>
      <c r="H546" s="256"/>
      <c r="I546" s="256"/>
      <c r="J546" s="257"/>
      <c r="K546" s="258"/>
      <c r="L546" s="267"/>
      <c r="M546" s="268"/>
      <c r="N546" s="259" t="str" cm="1">
        <f t="array" ref="N546">IF($L546&gt;0, INDEX(Clean,1+AK546,$D$1), "")</f>
        <v/>
      </c>
      <c r="O546" s="260"/>
      <c r="P546" s="260"/>
      <c r="Q546" s="261"/>
      <c r="R546" s="264">
        <f t="shared" si="670"/>
        <v>0</v>
      </c>
      <c r="S546" s="259" t="str" cm="1">
        <f t="array" ref="S546">IF($L546&gt;0, INDEX(Clean,1+AL546,$D$1), "")</f>
        <v/>
      </c>
      <c r="T546" s="260"/>
      <c r="U546" s="260"/>
      <c r="V546" s="261"/>
      <c r="W546" s="267"/>
      <c r="X546" s="267"/>
      <c r="Y546" s="257"/>
      <c r="Z546" s="264">
        <f t="shared" si="671"/>
        <v>0</v>
      </c>
      <c r="AA546" s="269"/>
      <c r="AB546" s="266"/>
      <c r="AC546" s="254"/>
      <c r="AD546" s="255" t="str">
        <f>IF(ISBLANK(AC546), "", VLOOKUP(AC546, Z!$A$2:$C$4127, 3, FALSE))</f>
        <v/>
      </c>
      <c r="AE546" s="270"/>
      <c r="AF546" s="265">
        <f t="shared" si="672"/>
        <v>0</v>
      </c>
      <c r="AG546" s="246"/>
      <c r="AH546" s="228">
        <f t="shared" si="695"/>
        <v>1</v>
      </c>
      <c r="AI546" s="228">
        <f t="shared" si="696"/>
        <v>1</v>
      </c>
      <c r="AJ546" s="228">
        <f t="shared" si="697"/>
        <v>0</v>
      </c>
      <c r="AK546" s="228">
        <v>0</v>
      </c>
      <c r="AL546" s="228">
        <v>0</v>
      </c>
      <c r="AM546" s="228">
        <f t="shared" si="673"/>
        <v>-100</v>
      </c>
      <c r="AN546" s="228" cm="1">
        <f t="array" ref="AN546">IF(ISBLANK(G546), 1, IFERROR(MATCH(G546, INDEX(Kat,,1), 0), IFERROR(MATCH(Kat, INDEX(Use,,2), 0), MATCH(Kat, INDEX(Use,,3), 0))))</f>
        <v>1</v>
      </c>
      <c r="AO546" s="246"/>
      <c r="AP546" s="228" cm="1">
        <f t="array" ref="AP546">IF(W546&gt;0, INDEX(Kat, AN546,4), 0)</f>
        <v>0</v>
      </c>
      <c r="AQ546" s="228">
        <f t="shared" si="698"/>
        <v>0</v>
      </c>
      <c r="AR546" s="228" cm="1">
        <f t="array" ref="AR546">IF(X546&gt;0, INDEX(Kat, $AN546, 4+AQ546), 0)</f>
        <v>0</v>
      </c>
      <c r="AS546" s="228" cm="1">
        <f t="array" ref="AS546">IF(X546&gt;0, INDEX(Kat, $AN546, 9+AQ546), 0)</f>
        <v>0</v>
      </c>
      <c r="AT546" s="246"/>
      <c r="AU546" s="262"/>
      <c r="AV546" s="262"/>
      <c r="AW546" s="263"/>
      <c r="AX546" s="263"/>
      <c r="AY546" s="263"/>
      <c r="AZ546" s="263"/>
      <c r="BA546" s="263"/>
      <c r="BB546" s="263"/>
      <c r="BC546" s="263"/>
      <c r="BD546" s="263"/>
      <c r="BE546" s="263"/>
      <c r="BF546" s="263"/>
      <c r="BG546" s="263"/>
      <c r="BH546" s="246"/>
      <c r="BI546" s="228" cm="1">
        <f t="array" ref="BI546">INDEX(Use, $AH546, 4)</f>
        <v>7</v>
      </c>
      <c r="BJ546" s="228">
        <f t="shared" si="674"/>
        <v>32</v>
      </c>
      <c r="BK546" s="228">
        <f t="shared" si="700"/>
        <v>13</v>
      </c>
      <c r="BL546" s="228">
        <f t="shared" si="701"/>
        <v>0</v>
      </c>
      <c r="BM546" s="233" cm="1">
        <f t="array" ref="BM546">L546/IF($M546&gt;0, INDEX($AY$22:$BE$76, $M546+20, $AH546), 1)</f>
        <v>0</v>
      </c>
      <c r="BN546" s="229">
        <f t="shared" si="675"/>
        <v>0</v>
      </c>
      <c r="BO546" s="228">
        <v>35</v>
      </c>
      <c r="BP546" s="229">
        <f t="shared" si="676"/>
        <v>48</v>
      </c>
      <c r="BQ546" s="234">
        <f t="shared" si="677"/>
        <v>3.0748170731707316</v>
      </c>
      <c r="BR546" s="234" cm="1">
        <f t="array" ref="BR546">$BM546 * SUMPRODUCT(INDEX($AV$76:$AX$81,,$AI546),INDEX($AY$76:$BE$81,,$AH546), N($AU$76:$AU$81&gt;$AM546)) / BQ546 / 1000</f>
        <v>0</v>
      </c>
      <c r="BS546" s="231">
        <f t="shared" si="702"/>
        <v>30</v>
      </c>
      <c r="BT546" s="229">
        <f t="shared" si="678"/>
        <v>43</v>
      </c>
      <c r="BU546" s="234">
        <f t="shared" si="679"/>
        <v>3.5018750000000001</v>
      </c>
      <c r="BV546" s="234" cm="1">
        <f t="array" ref="BV546">$BM546 * IF($AH546&lt;=2,
SUMPRODUCT(INDEX($AV$71:$AX$75,,$AI546), INDEX($AY$71:$BE$75,,$AH546), 1 / ($BF$71:$BF$75*BU546 + (1-$BF$71:$BF$75)*BQ546), N($AU$71:$AU$75&gt;$AM546)),
SUMPRODUCT(INDEX($AV$66:$AX$75,,$AI546), INDEX($AY$66:$BE$75,,$AH546), 1 / ($BG$66:$BG$75*BU546 + (1-$BG$66:$BG$75)*BQ546), N($AU$66:$AU$75&gt;$AM546))
) / 1000</f>
        <v>0</v>
      </c>
      <c r="BW546" s="231">
        <f t="shared" si="703"/>
        <v>25</v>
      </c>
      <c r="BX546" s="229">
        <f t="shared" si="680"/>
        <v>38</v>
      </c>
      <c r="BY546" s="234">
        <f t="shared" si="681"/>
        <v>4.0666935483870965</v>
      </c>
      <c r="BZ546" s="234" cm="1">
        <f t="array" ref="BZ546">$BM546 * IF($AH546&lt;=2,
SUMPRODUCT(INDEX($AV$66:$AX$70,,$AI546), INDEX($AY$66:$BE$70,,$AH546), 1 / ($BF$66:$BF$70*BY546 + (1-$BF$66:$BF$70)*BU546), N($AU$66:$AU$70&gt;$AM546)),
SUMPRODUCT(INDEX($AV$56:$AX$65,,$AI546), INDEX($AY$56:$BE$65,,$AH546), 1 / ($BG$56:$BG$65*BY546 + (1-$BG$56:$BG$65)*BU546), N($AU$56:$AU$65&gt;$AM546))
) / 1000</f>
        <v>0</v>
      </c>
      <c r="CA546" s="231">
        <f t="shared" si="704"/>
        <v>20</v>
      </c>
      <c r="CB546" s="229">
        <f t="shared" si="682"/>
        <v>33</v>
      </c>
      <c r="CC546" s="234">
        <f t="shared" si="683"/>
        <v>4.8487499999999999</v>
      </c>
      <c r="CD546" s="234" cm="1">
        <f t="array" ref="CD546">$BM546 * IF($AH546&lt;=2,
SUMPRODUCT(INDEX($AV$61:$AX$65,,$AI546), INDEX($AY$61:$BE$65,,$AH546), 1 / ($BF$61:$BF$65*CC546 + (1-$BF$61:$BF$65)*BY546), N($AU$61:$AU$65&gt;$AM546)),
SUMPRODUCT(INDEX($AV$46:$AX$55,,$AI546), INDEX($AY$46:$BE$55,,$AH546), 1 / ($BG$46:$BG$55*CC546 + (1-$BG$46:$BG$55)*BY546), N($AU$46:$AU$55&gt;$AM546))
) / 1000</f>
        <v>0</v>
      </c>
      <c r="CE546" s="234" cm="1">
        <f t="array" ref="CE546">$BM546 * IF($AH546&lt;=2,
SUMPRODUCT(INDEX($AV$22:$AX$60,,$AI546), INDEX($AY$22:$BE$60,,$AH546), 1 / ($BF$22:$BF$60*CC546), N($AU$22:$AU$60&gt;$AM546)),
SUMPRODUCT(INDEX($AV$22:$AX$45,,$AI546), INDEX($AY$22:$BE$45,,$AH546), 1 / ($BG$22:$BG$45*CC546), N($AU$22:$AU$45&gt;$AM546))
) / 1000</f>
        <v>0</v>
      </c>
      <c r="CF546" s="229">
        <f t="shared" si="684"/>
        <v>0</v>
      </c>
      <c r="CG546" s="246"/>
      <c r="CH546" s="229">
        <f t="shared" si="685"/>
        <v>0</v>
      </c>
      <c r="CI546" s="228">
        <v>35</v>
      </c>
      <c r="CJ546" s="229">
        <f t="shared" si="686"/>
        <v>48</v>
      </c>
      <c r="CK546" s="234">
        <f t="shared" si="687"/>
        <v>3.0748170731707316</v>
      </c>
      <c r="CL546" s="234" cm="1">
        <f t="array" ref="CL546">$BM546 * SUMPRODUCT(INDEX($AV$76:$AX$81,,$AI546),INDEX($AY$76:$BE$81,,$AH546), N($AU$76:$AU$81&gt;$AM546)) / CK546 / 1000</f>
        <v>0</v>
      </c>
      <c r="CM546" s="231">
        <f t="shared" si="705"/>
        <v>30</v>
      </c>
      <c r="CN546" s="229">
        <f t="shared" si="688"/>
        <v>43</v>
      </c>
      <c r="CO546" s="234">
        <f t="shared" si="689"/>
        <v>3.5018750000000001</v>
      </c>
      <c r="CP546" s="234" cm="1">
        <f t="array" ref="CP546">$BM546 * IF($AH546&lt;=2,
SUMPRODUCT(INDEX($AV$71:$AX$75,,$AI546), INDEX($AY$71:$BE$75,,$AH546), 1 / ($BF$71:$BF$75*CO546 + (1-$BF$71:$BF$75)*CK546), N($AU$71:$AU$75&gt;$AM546)),
SUMPRODUCT(INDEX($AV$66:$AX$75,,$AI546), INDEX($AY$66:$BE$75,,$AH546), 1 / ($BG$66:$BG$75*CO546 + (1-$BG$66:$BG$75)*CK546), N($AU$66:$AU$75&gt;$AM546))
) / 1000</f>
        <v>0</v>
      </c>
      <c r="CQ546" s="231">
        <f t="shared" si="706"/>
        <v>25</v>
      </c>
      <c r="CR546" s="229">
        <f t="shared" si="690"/>
        <v>38</v>
      </c>
      <c r="CS546" s="234">
        <f t="shared" si="691"/>
        <v>4.0666935483870965</v>
      </c>
      <c r="CT546" s="234" cm="1">
        <f t="array" ref="CT546">$BM546 * IF($AH546&lt;=2,
SUMPRODUCT(INDEX($AV$66:$AX$70,,$AI546), INDEX($AY$66:$BE$70,,$AH546), 1 / ($BF$66:$BF$70*CS546 + (1-$BF$66:$BF$70)*CO546), N($AU$66:$AU$70&gt;$AM546)),
SUMPRODUCT(INDEX($AV$56:$AX$65,,$AI546), INDEX($AY$56:$BE$65,,$AH546), 1 / ($BG$56:$BG$65*CS546 + (1-$BG$56:$BG$65)*CO546), N($AU$56:$AU$65&gt;$AM546))
) / 1000</f>
        <v>0</v>
      </c>
      <c r="CU546" s="231">
        <f t="shared" si="707"/>
        <v>20</v>
      </c>
      <c r="CV546" s="229">
        <f t="shared" si="692"/>
        <v>33</v>
      </c>
      <c r="CW546" s="234">
        <f t="shared" si="693"/>
        <v>4.8487499999999999</v>
      </c>
      <c r="CX546" s="234" cm="1">
        <f t="array" ref="CX546">$BM546 * IF($AH546&lt;=2,
SUMPRODUCT(INDEX($AV$61:$AX$65,,$AI546), INDEX($AY$61:$BE$65,,$AH546), 1 / ($BF$61:$BF$65*CW546 + (1-$BF$61:$BF$65)*CS546), N($AU$61:$AU$65&gt;$AM546)),
SUMPRODUCT(INDEX($AV$46:$AX$55,,$AI546), INDEX($AY$46:$BE$55,,$AH546), 1 / ($BG$46:$BG$55*CW546 + (1-$BG$46:$BG$55)*CS546), N($AU$46:$AU$55&gt;$AM546))
) / 1000</f>
        <v>0</v>
      </c>
      <c r="CY546" s="234" cm="1">
        <f t="array" ref="CY546">$BM546 * IF($AH546&lt;=2,
SUMPRODUCT(INDEX($AV$22:$AX$60,,$AI546), INDEX($AY$22:$BE$60,,$AH546), 1 / ($BF$22:$BF$60*CW546), N($AU$22:$AU$60&gt;$AM546)),
SUMPRODUCT(INDEX($AV$22:$AX$45,,$AI546), INDEX($AY$22:$BE$45,,$AH546), 1 / ($BG$22:$BG$45*CW546), N($AU$22:$AU$45&gt;$AM546))
) / 1000</f>
        <v>0</v>
      </c>
      <c r="CZ546" s="229">
        <f t="shared" si="694"/>
        <v>0</v>
      </c>
      <c r="DA546" s="246"/>
    </row>
    <row r="547" spans="1:105" s="75" customFormat="1" ht="14.25" customHeight="1" x14ac:dyDescent="0.2">
      <c r="A547" s="230" t="b">
        <f t="shared" si="699"/>
        <v>0</v>
      </c>
      <c r="B547" s="253">
        <v>526</v>
      </c>
      <c r="C547" s="266"/>
      <c r="D547" s="266"/>
      <c r="E547" s="254"/>
      <c r="F547" s="255" t="str">
        <f>IF(ISBLANK(E547), "", VLOOKUP(E547, Z!$A$2:$C$4127, 3, FALSE))</f>
        <v/>
      </c>
      <c r="G547" s="256"/>
      <c r="H547" s="256"/>
      <c r="I547" s="256"/>
      <c r="J547" s="257"/>
      <c r="K547" s="258"/>
      <c r="L547" s="267"/>
      <c r="M547" s="268"/>
      <c r="N547" s="259" t="str" cm="1">
        <f t="array" ref="N547">IF($L547&gt;0, INDEX(Clean,1+AK547,$D$1), "")</f>
        <v/>
      </c>
      <c r="O547" s="260"/>
      <c r="P547" s="260"/>
      <c r="Q547" s="261"/>
      <c r="R547" s="264">
        <f t="shared" si="670"/>
        <v>0</v>
      </c>
      <c r="S547" s="259" t="str" cm="1">
        <f t="array" ref="S547">IF($L547&gt;0, INDEX(Clean,1+AL547,$D$1), "")</f>
        <v/>
      </c>
      <c r="T547" s="260"/>
      <c r="U547" s="260"/>
      <c r="V547" s="261"/>
      <c r="W547" s="267"/>
      <c r="X547" s="267"/>
      <c r="Y547" s="257"/>
      <c r="Z547" s="264">
        <f t="shared" si="671"/>
        <v>0</v>
      </c>
      <c r="AA547" s="269"/>
      <c r="AB547" s="266"/>
      <c r="AC547" s="254"/>
      <c r="AD547" s="255" t="str">
        <f>IF(ISBLANK(AC547), "", VLOOKUP(AC547, Z!$A$2:$C$4127, 3, FALSE))</f>
        <v/>
      </c>
      <c r="AE547" s="270"/>
      <c r="AF547" s="265">
        <f t="shared" si="672"/>
        <v>0</v>
      </c>
      <c r="AG547" s="246"/>
      <c r="AH547" s="228">
        <f t="shared" si="695"/>
        <v>1</v>
      </c>
      <c r="AI547" s="228">
        <f t="shared" si="696"/>
        <v>1</v>
      </c>
      <c r="AJ547" s="228">
        <f t="shared" si="697"/>
        <v>0</v>
      </c>
      <c r="AK547" s="228">
        <v>0</v>
      </c>
      <c r="AL547" s="228">
        <v>0</v>
      </c>
      <c r="AM547" s="228">
        <f t="shared" si="673"/>
        <v>-100</v>
      </c>
      <c r="AN547" s="228" cm="1">
        <f t="array" ref="AN547">IF(ISBLANK(G547), 1, IFERROR(MATCH(G547, INDEX(Kat,,1), 0), IFERROR(MATCH(Kat, INDEX(Use,,2), 0), MATCH(Kat, INDEX(Use,,3), 0))))</f>
        <v>1</v>
      </c>
      <c r="AO547" s="246"/>
      <c r="AP547" s="228" cm="1">
        <f t="array" ref="AP547">IF(W547&gt;0, INDEX(Kat, AN547,4), 0)</f>
        <v>0</v>
      </c>
      <c r="AQ547" s="228">
        <f t="shared" si="698"/>
        <v>0</v>
      </c>
      <c r="AR547" s="228" cm="1">
        <f t="array" ref="AR547">IF(X547&gt;0, INDEX(Kat, $AN547, 4+AQ547), 0)</f>
        <v>0</v>
      </c>
      <c r="AS547" s="228" cm="1">
        <f t="array" ref="AS547">IF(X547&gt;0, INDEX(Kat, $AN547, 9+AQ547), 0)</f>
        <v>0</v>
      </c>
      <c r="AT547" s="246"/>
      <c r="AU547" s="262"/>
      <c r="AV547" s="262"/>
      <c r="AW547" s="263"/>
      <c r="AX547" s="263"/>
      <c r="AY547" s="263"/>
      <c r="AZ547" s="263"/>
      <c r="BA547" s="263"/>
      <c r="BB547" s="263"/>
      <c r="BC547" s="263"/>
      <c r="BD547" s="263"/>
      <c r="BE547" s="263"/>
      <c r="BF547" s="263"/>
      <c r="BG547" s="263"/>
      <c r="BH547" s="246"/>
      <c r="BI547" s="228" cm="1">
        <f t="array" ref="BI547">INDEX(Use, $AH547, 4)</f>
        <v>7</v>
      </c>
      <c r="BJ547" s="228">
        <f t="shared" si="674"/>
        <v>32</v>
      </c>
      <c r="BK547" s="228">
        <f t="shared" si="700"/>
        <v>13</v>
      </c>
      <c r="BL547" s="228">
        <f t="shared" si="701"/>
        <v>0</v>
      </c>
      <c r="BM547" s="233" cm="1">
        <f t="array" ref="BM547">L547/IF($M547&gt;0, INDEX($AY$22:$BE$76, $M547+20, $AH547), 1)</f>
        <v>0</v>
      </c>
      <c r="BN547" s="229">
        <f t="shared" si="675"/>
        <v>0</v>
      </c>
      <c r="BO547" s="228">
        <v>35</v>
      </c>
      <c r="BP547" s="229">
        <f t="shared" si="676"/>
        <v>48</v>
      </c>
      <c r="BQ547" s="234">
        <f t="shared" si="677"/>
        <v>3.0748170731707316</v>
      </c>
      <c r="BR547" s="234" cm="1">
        <f t="array" ref="BR547">$BM547 * SUMPRODUCT(INDEX($AV$76:$AX$81,,$AI547),INDEX($AY$76:$BE$81,,$AH547), N($AU$76:$AU$81&gt;$AM547)) / BQ547 / 1000</f>
        <v>0</v>
      </c>
      <c r="BS547" s="231">
        <f t="shared" si="702"/>
        <v>30</v>
      </c>
      <c r="BT547" s="229">
        <f t="shared" si="678"/>
        <v>43</v>
      </c>
      <c r="BU547" s="234">
        <f t="shared" si="679"/>
        <v>3.5018750000000001</v>
      </c>
      <c r="BV547" s="234" cm="1">
        <f t="array" ref="BV547">$BM547 * IF($AH547&lt;=2,
SUMPRODUCT(INDEX($AV$71:$AX$75,,$AI547), INDEX($AY$71:$BE$75,,$AH547), 1 / ($BF$71:$BF$75*BU547 + (1-$BF$71:$BF$75)*BQ547), N($AU$71:$AU$75&gt;$AM547)),
SUMPRODUCT(INDEX($AV$66:$AX$75,,$AI547), INDEX($AY$66:$BE$75,,$AH547), 1 / ($BG$66:$BG$75*BU547 + (1-$BG$66:$BG$75)*BQ547), N($AU$66:$AU$75&gt;$AM547))
) / 1000</f>
        <v>0</v>
      </c>
      <c r="BW547" s="231">
        <f t="shared" si="703"/>
        <v>25</v>
      </c>
      <c r="BX547" s="229">
        <f t="shared" si="680"/>
        <v>38</v>
      </c>
      <c r="BY547" s="234">
        <f t="shared" si="681"/>
        <v>4.0666935483870965</v>
      </c>
      <c r="BZ547" s="234" cm="1">
        <f t="array" ref="BZ547">$BM547 * IF($AH547&lt;=2,
SUMPRODUCT(INDEX($AV$66:$AX$70,,$AI547), INDEX($AY$66:$BE$70,,$AH547), 1 / ($BF$66:$BF$70*BY547 + (1-$BF$66:$BF$70)*BU547), N($AU$66:$AU$70&gt;$AM547)),
SUMPRODUCT(INDEX($AV$56:$AX$65,,$AI547), INDEX($AY$56:$BE$65,,$AH547), 1 / ($BG$56:$BG$65*BY547 + (1-$BG$56:$BG$65)*BU547), N($AU$56:$AU$65&gt;$AM547))
) / 1000</f>
        <v>0</v>
      </c>
      <c r="CA547" s="231">
        <f t="shared" si="704"/>
        <v>20</v>
      </c>
      <c r="CB547" s="229">
        <f t="shared" si="682"/>
        <v>33</v>
      </c>
      <c r="CC547" s="234">
        <f t="shared" si="683"/>
        <v>4.8487499999999999</v>
      </c>
      <c r="CD547" s="234" cm="1">
        <f t="array" ref="CD547">$BM547 * IF($AH547&lt;=2,
SUMPRODUCT(INDEX($AV$61:$AX$65,,$AI547), INDEX($AY$61:$BE$65,,$AH547), 1 / ($BF$61:$BF$65*CC547 + (1-$BF$61:$BF$65)*BY547), N($AU$61:$AU$65&gt;$AM547)),
SUMPRODUCT(INDEX($AV$46:$AX$55,,$AI547), INDEX($AY$46:$BE$55,,$AH547), 1 / ($BG$46:$BG$55*CC547 + (1-$BG$46:$BG$55)*BY547), N($AU$46:$AU$55&gt;$AM547))
) / 1000</f>
        <v>0</v>
      </c>
      <c r="CE547" s="234" cm="1">
        <f t="array" ref="CE547">$BM547 * IF($AH547&lt;=2,
SUMPRODUCT(INDEX($AV$22:$AX$60,,$AI547), INDEX($AY$22:$BE$60,,$AH547), 1 / ($BF$22:$BF$60*CC547), N($AU$22:$AU$60&gt;$AM547)),
SUMPRODUCT(INDEX($AV$22:$AX$45,,$AI547), INDEX($AY$22:$BE$45,,$AH547), 1 / ($BG$22:$BG$45*CC547), N($AU$22:$AU$45&gt;$AM547))
) / 1000</f>
        <v>0</v>
      </c>
      <c r="CF547" s="229">
        <f t="shared" si="684"/>
        <v>0</v>
      </c>
      <c r="CG547" s="246"/>
      <c r="CH547" s="229">
        <f t="shared" si="685"/>
        <v>0</v>
      </c>
      <c r="CI547" s="228">
        <v>35</v>
      </c>
      <c r="CJ547" s="229">
        <f t="shared" si="686"/>
        <v>48</v>
      </c>
      <c r="CK547" s="234">
        <f t="shared" si="687"/>
        <v>3.0748170731707316</v>
      </c>
      <c r="CL547" s="234" cm="1">
        <f t="array" ref="CL547">$BM547 * SUMPRODUCT(INDEX($AV$76:$AX$81,,$AI547),INDEX($AY$76:$BE$81,,$AH547), N($AU$76:$AU$81&gt;$AM547)) / CK547 / 1000</f>
        <v>0</v>
      </c>
      <c r="CM547" s="231">
        <f t="shared" si="705"/>
        <v>30</v>
      </c>
      <c r="CN547" s="229">
        <f t="shared" si="688"/>
        <v>43</v>
      </c>
      <c r="CO547" s="234">
        <f t="shared" si="689"/>
        <v>3.5018750000000001</v>
      </c>
      <c r="CP547" s="234" cm="1">
        <f t="array" ref="CP547">$BM547 * IF($AH547&lt;=2,
SUMPRODUCT(INDEX($AV$71:$AX$75,,$AI547), INDEX($AY$71:$BE$75,,$AH547), 1 / ($BF$71:$BF$75*CO547 + (1-$BF$71:$BF$75)*CK547), N($AU$71:$AU$75&gt;$AM547)),
SUMPRODUCT(INDEX($AV$66:$AX$75,,$AI547), INDEX($AY$66:$BE$75,,$AH547), 1 / ($BG$66:$BG$75*CO547 + (1-$BG$66:$BG$75)*CK547), N($AU$66:$AU$75&gt;$AM547))
) / 1000</f>
        <v>0</v>
      </c>
      <c r="CQ547" s="231">
        <f t="shared" si="706"/>
        <v>25</v>
      </c>
      <c r="CR547" s="229">
        <f t="shared" si="690"/>
        <v>38</v>
      </c>
      <c r="CS547" s="234">
        <f t="shared" si="691"/>
        <v>4.0666935483870965</v>
      </c>
      <c r="CT547" s="234" cm="1">
        <f t="array" ref="CT547">$BM547 * IF($AH547&lt;=2,
SUMPRODUCT(INDEX($AV$66:$AX$70,,$AI547), INDEX($AY$66:$BE$70,,$AH547), 1 / ($BF$66:$BF$70*CS547 + (1-$BF$66:$BF$70)*CO547), N($AU$66:$AU$70&gt;$AM547)),
SUMPRODUCT(INDEX($AV$56:$AX$65,,$AI547), INDEX($AY$56:$BE$65,,$AH547), 1 / ($BG$56:$BG$65*CS547 + (1-$BG$56:$BG$65)*CO547), N($AU$56:$AU$65&gt;$AM547))
) / 1000</f>
        <v>0</v>
      </c>
      <c r="CU547" s="231">
        <f t="shared" si="707"/>
        <v>20</v>
      </c>
      <c r="CV547" s="229">
        <f t="shared" si="692"/>
        <v>33</v>
      </c>
      <c r="CW547" s="234">
        <f t="shared" si="693"/>
        <v>4.8487499999999999</v>
      </c>
      <c r="CX547" s="234" cm="1">
        <f t="array" ref="CX547">$BM547 * IF($AH547&lt;=2,
SUMPRODUCT(INDEX($AV$61:$AX$65,,$AI547), INDEX($AY$61:$BE$65,,$AH547), 1 / ($BF$61:$BF$65*CW547 + (1-$BF$61:$BF$65)*CS547), N($AU$61:$AU$65&gt;$AM547)),
SUMPRODUCT(INDEX($AV$46:$AX$55,,$AI547), INDEX($AY$46:$BE$55,,$AH547), 1 / ($BG$46:$BG$55*CW547 + (1-$BG$46:$BG$55)*CS547), N($AU$46:$AU$55&gt;$AM547))
) / 1000</f>
        <v>0</v>
      </c>
      <c r="CY547" s="234" cm="1">
        <f t="array" ref="CY547">$BM547 * IF($AH547&lt;=2,
SUMPRODUCT(INDEX($AV$22:$AX$60,,$AI547), INDEX($AY$22:$BE$60,,$AH547), 1 / ($BF$22:$BF$60*CW547), N($AU$22:$AU$60&gt;$AM547)),
SUMPRODUCT(INDEX($AV$22:$AX$45,,$AI547), INDEX($AY$22:$BE$45,,$AH547), 1 / ($BG$22:$BG$45*CW547), N($AU$22:$AU$45&gt;$AM547))
) / 1000</f>
        <v>0</v>
      </c>
      <c r="CZ547" s="229">
        <f t="shared" si="694"/>
        <v>0</v>
      </c>
      <c r="DA547" s="246"/>
    </row>
    <row r="548" spans="1:105" s="75" customFormat="1" ht="14.25" customHeight="1" x14ac:dyDescent="0.2">
      <c r="A548" s="230" t="b">
        <f t="shared" si="699"/>
        <v>0</v>
      </c>
      <c r="B548" s="253">
        <v>527</v>
      </c>
      <c r="C548" s="266"/>
      <c r="D548" s="266"/>
      <c r="E548" s="254"/>
      <c r="F548" s="255" t="str">
        <f>IF(ISBLANK(E548), "", VLOOKUP(E548, Z!$A$2:$C$4127, 3, FALSE))</f>
        <v/>
      </c>
      <c r="G548" s="256"/>
      <c r="H548" s="256"/>
      <c r="I548" s="256"/>
      <c r="J548" s="257"/>
      <c r="K548" s="258"/>
      <c r="L548" s="267"/>
      <c r="M548" s="268"/>
      <c r="N548" s="259" t="str" cm="1">
        <f t="array" ref="N548">IF($L548&gt;0, INDEX(Clean,1+AK548,$D$1), "")</f>
        <v/>
      </c>
      <c r="O548" s="260"/>
      <c r="P548" s="260"/>
      <c r="Q548" s="261"/>
      <c r="R548" s="264">
        <f t="shared" si="670"/>
        <v>0</v>
      </c>
      <c r="S548" s="259" t="str" cm="1">
        <f t="array" ref="S548">IF($L548&gt;0, INDEX(Clean,1+AL548,$D$1), "")</f>
        <v/>
      </c>
      <c r="T548" s="260"/>
      <c r="U548" s="260"/>
      <c r="V548" s="261"/>
      <c r="W548" s="267"/>
      <c r="X548" s="267"/>
      <c r="Y548" s="257"/>
      <c r="Z548" s="264">
        <f t="shared" si="671"/>
        <v>0</v>
      </c>
      <c r="AA548" s="269"/>
      <c r="AB548" s="266"/>
      <c r="AC548" s="254"/>
      <c r="AD548" s="255" t="str">
        <f>IF(ISBLANK(AC548), "", VLOOKUP(AC548, Z!$A$2:$C$4127, 3, FALSE))</f>
        <v/>
      </c>
      <c r="AE548" s="270"/>
      <c r="AF548" s="265">
        <f t="shared" si="672"/>
        <v>0</v>
      </c>
      <c r="AG548" s="246"/>
      <c r="AH548" s="228">
        <f t="shared" si="695"/>
        <v>1</v>
      </c>
      <c r="AI548" s="228">
        <f t="shared" si="696"/>
        <v>1</v>
      </c>
      <c r="AJ548" s="228">
        <f t="shared" si="697"/>
        <v>0</v>
      </c>
      <c r="AK548" s="228">
        <v>0</v>
      </c>
      <c r="AL548" s="228">
        <v>0</v>
      </c>
      <c r="AM548" s="228">
        <f t="shared" si="673"/>
        <v>-100</v>
      </c>
      <c r="AN548" s="228" cm="1">
        <f t="array" ref="AN548">IF(ISBLANK(G548), 1, IFERROR(MATCH(G548, INDEX(Kat,,1), 0), IFERROR(MATCH(Kat, INDEX(Use,,2), 0), MATCH(Kat, INDEX(Use,,3), 0))))</f>
        <v>1</v>
      </c>
      <c r="AO548" s="246"/>
      <c r="AP548" s="228" cm="1">
        <f t="array" ref="AP548">IF(W548&gt;0, INDEX(Kat, AN548,4), 0)</f>
        <v>0</v>
      </c>
      <c r="AQ548" s="228">
        <f t="shared" si="698"/>
        <v>0</v>
      </c>
      <c r="AR548" s="228" cm="1">
        <f t="array" ref="AR548">IF(X548&gt;0, INDEX(Kat, $AN548, 4+AQ548), 0)</f>
        <v>0</v>
      </c>
      <c r="AS548" s="228" cm="1">
        <f t="array" ref="AS548">IF(X548&gt;0, INDEX(Kat, $AN548, 9+AQ548), 0)</f>
        <v>0</v>
      </c>
      <c r="AT548" s="246"/>
      <c r="AU548" s="262"/>
      <c r="AV548" s="262"/>
      <c r="AW548" s="263"/>
      <c r="AX548" s="263"/>
      <c r="AY548" s="263"/>
      <c r="AZ548" s="263"/>
      <c r="BA548" s="263"/>
      <c r="BB548" s="263"/>
      <c r="BC548" s="263"/>
      <c r="BD548" s="263"/>
      <c r="BE548" s="263"/>
      <c r="BF548" s="263"/>
      <c r="BG548" s="263"/>
      <c r="BH548" s="246"/>
      <c r="BI548" s="228" cm="1">
        <f t="array" ref="BI548">INDEX(Use, $AH548, 4)</f>
        <v>7</v>
      </c>
      <c r="BJ548" s="228">
        <f t="shared" si="674"/>
        <v>32</v>
      </c>
      <c r="BK548" s="228">
        <f t="shared" si="700"/>
        <v>13</v>
      </c>
      <c r="BL548" s="228">
        <f t="shared" si="701"/>
        <v>0</v>
      </c>
      <c r="BM548" s="233" cm="1">
        <f t="array" ref="BM548">L548/IF($M548&gt;0, INDEX($AY$22:$BE$76, $M548+20, $AH548), 1)</f>
        <v>0</v>
      </c>
      <c r="BN548" s="229">
        <f t="shared" si="675"/>
        <v>0</v>
      </c>
      <c r="BO548" s="228">
        <v>35</v>
      </c>
      <c r="BP548" s="229">
        <f t="shared" si="676"/>
        <v>48</v>
      </c>
      <c r="BQ548" s="234">
        <f t="shared" si="677"/>
        <v>3.0748170731707316</v>
      </c>
      <c r="BR548" s="234" cm="1">
        <f t="array" ref="BR548">$BM548 * SUMPRODUCT(INDEX($AV$76:$AX$81,,$AI548),INDEX($AY$76:$BE$81,,$AH548), N($AU$76:$AU$81&gt;$AM548)) / BQ548 / 1000</f>
        <v>0</v>
      </c>
      <c r="BS548" s="231">
        <f t="shared" si="702"/>
        <v>30</v>
      </c>
      <c r="BT548" s="229">
        <f t="shared" si="678"/>
        <v>43</v>
      </c>
      <c r="BU548" s="234">
        <f t="shared" si="679"/>
        <v>3.5018750000000001</v>
      </c>
      <c r="BV548" s="234" cm="1">
        <f t="array" ref="BV548">$BM548 * IF($AH548&lt;=2,
SUMPRODUCT(INDEX($AV$71:$AX$75,,$AI548), INDEX($AY$71:$BE$75,,$AH548), 1 / ($BF$71:$BF$75*BU548 + (1-$BF$71:$BF$75)*BQ548), N($AU$71:$AU$75&gt;$AM548)),
SUMPRODUCT(INDEX($AV$66:$AX$75,,$AI548), INDEX($AY$66:$BE$75,,$AH548), 1 / ($BG$66:$BG$75*BU548 + (1-$BG$66:$BG$75)*BQ548), N($AU$66:$AU$75&gt;$AM548))
) / 1000</f>
        <v>0</v>
      </c>
      <c r="BW548" s="231">
        <f t="shared" si="703"/>
        <v>25</v>
      </c>
      <c r="BX548" s="229">
        <f t="shared" si="680"/>
        <v>38</v>
      </c>
      <c r="BY548" s="234">
        <f t="shared" si="681"/>
        <v>4.0666935483870965</v>
      </c>
      <c r="BZ548" s="234" cm="1">
        <f t="array" ref="BZ548">$BM548 * IF($AH548&lt;=2,
SUMPRODUCT(INDEX($AV$66:$AX$70,,$AI548), INDEX($AY$66:$BE$70,,$AH548), 1 / ($BF$66:$BF$70*BY548 + (1-$BF$66:$BF$70)*BU548), N($AU$66:$AU$70&gt;$AM548)),
SUMPRODUCT(INDEX($AV$56:$AX$65,,$AI548), INDEX($AY$56:$BE$65,,$AH548), 1 / ($BG$56:$BG$65*BY548 + (1-$BG$56:$BG$65)*BU548), N($AU$56:$AU$65&gt;$AM548))
) / 1000</f>
        <v>0</v>
      </c>
      <c r="CA548" s="231">
        <f t="shared" si="704"/>
        <v>20</v>
      </c>
      <c r="CB548" s="229">
        <f t="shared" si="682"/>
        <v>33</v>
      </c>
      <c r="CC548" s="234">
        <f t="shared" si="683"/>
        <v>4.8487499999999999</v>
      </c>
      <c r="CD548" s="234" cm="1">
        <f t="array" ref="CD548">$BM548 * IF($AH548&lt;=2,
SUMPRODUCT(INDEX($AV$61:$AX$65,,$AI548), INDEX($AY$61:$BE$65,,$AH548), 1 / ($BF$61:$BF$65*CC548 + (1-$BF$61:$BF$65)*BY548), N($AU$61:$AU$65&gt;$AM548)),
SUMPRODUCT(INDEX($AV$46:$AX$55,,$AI548), INDEX($AY$46:$BE$55,,$AH548), 1 / ($BG$46:$BG$55*CC548 + (1-$BG$46:$BG$55)*BY548), N($AU$46:$AU$55&gt;$AM548))
) / 1000</f>
        <v>0</v>
      </c>
      <c r="CE548" s="234" cm="1">
        <f t="array" ref="CE548">$BM548 * IF($AH548&lt;=2,
SUMPRODUCT(INDEX($AV$22:$AX$60,,$AI548), INDEX($AY$22:$BE$60,,$AH548), 1 / ($BF$22:$BF$60*CC548), N($AU$22:$AU$60&gt;$AM548)),
SUMPRODUCT(INDEX($AV$22:$AX$45,,$AI548), INDEX($AY$22:$BE$45,,$AH548), 1 / ($BG$22:$BG$45*CC548), N($AU$22:$AU$45&gt;$AM548))
) / 1000</f>
        <v>0</v>
      </c>
      <c r="CF548" s="229">
        <f t="shared" si="684"/>
        <v>0</v>
      </c>
      <c r="CG548" s="246"/>
      <c r="CH548" s="229">
        <f t="shared" si="685"/>
        <v>0</v>
      </c>
      <c r="CI548" s="228">
        <v>35</v>
      </c>
      <c r="CJ548" s="229">
        <f t="shared" si="686"/>
        <v>48</v>
      </c>
      <c r="CK548" s="234">
        <f t="shared" si="687"/>
        <v>3.0748170731707316</v>
      </c>
      <c r="CL548" s="234" cm="1">
        <f t="array" ref="CL548">$BM548 * SUMPRODUCT(INDEX($AV$76:$AX$81,,$AI548),INDEX($AY$76:$BE$81,,$AH548), N($AU$76:$AU$81&gt;$AM548)) / CK548 / 1000</f>
        <v>0</v>
      </c>
      <c r="CM548" s="231">
        <f t="shared" si="705"/>
        <v>30</v>
      </c>
      <c r="CN548" s="229">
        <f t="shared" si="688"/>
        <v>43</v>
      </c>
      <c r="CO548" s="234">
        <f t="shared" si="689"/>
        <v>3.5018750000000001</v>
      </c>
      <c r="CP548" s="234" cm="1">
        <f t="array" ref="CP548">$BM548 * IF($AH548&lt;=2,
SUMPRODUCT(INDEX($AV$71:$AX$75,,$AI548), INDEX($AY$71:$BE$75,,$AH548), 1 / ($BF$71:$BF$75*CO548 + (1-$BF$71:$BF$75)*CK548), N($AU$71:$AU$75&gt;$AM548)),
SUMPRODUCT(INDEX($AV$66:$AX$75,,$AI548), INDEX($AY$66:$BE$75,,$AH548), 1 / ($BG$66:$BG$75*CO548 + (1-$BG$66:$BG$75)*CK548), N($AU$66:$AU$75&gt;$AM548))
) / 1000</f>
        <v>0</v>
      </c>
      <c r="CQ548" s="231">
        <f t="shared" si="706"/>
        <v>25</v>
      </c>
      <c r="CR548" s="229">
        <f t="shared" si="690"/>
        <v>38</v>
      </c>
      <c r="CS548" s="234">
        <f t="shared" si="691"/>
        <v>4.0666935483870965</v>
      </c>
      <c r="CT548" s="234" cm="1">
        <f t="array" ref="CT548">$BM548 * IF($AH548&lt;=2,
SUMPRODUCT(INDEX($AV$66:$AX$70,,$AI548), INDEX($AY$66:$BE$70,,$AH548), 1 / ($BF$66:$BF$70*CS548 + (1-$BF$66:$BF$70)*CO548), N($AU$66:$AU$70&gt;$AM548)),
SUMPRODUCT(INDEX($AV$56:$AX$65,,$AI548), INDEX($AY$56:$BE$65,,$AH548), 1 / ($BG$56:$BG$65*CS548 + (1-$BG$56:$BG$65)*CO548), N($AU$56:$AU$65&gt;$AM548))
) / 1000</f>
        <v>0</v>
      </c>
      <c r="CU548" s="231">
        <f t="shared" si="707"/>
        <v>20</v>
      </c>
      <c r="CV548" s="229">
        <f t="shared" si="692"/>
        <v>33</v>
      </c>
      <c r="CW548" s="234">
        <f t="shared" si="693"/>
        <v>4.8487499999999999</v>
      </c>
      <c r="CX548" s="234" cm="1">
        <f t="array" ref="CX548">$BM548 * IF($AH548&lt;=2,
SUMPRODUCT(INDEX($AV$61:$AX$65,,$AI548), INDEX($AY$61:$BE$65,,$AH548), 1 / ($BF$61:$BF$65*CW548 + (1-$BF$61:$BF$65)*CS548), N($AU$61:$AU$65&gt;$AM548)),
SUMPRODUCT(INDEX($AV$46:$AX$55,,$AI548), INDEX($AY$46:$BE$55,,$AH548), 1 / ($BG$46:$BG$55*CW548 + (1-$BG$46:$BG$55)*CS548), N($AU$46:$AU$55&gt;$AM548))
) / 1000</f>
        <v>0</v>
      </c>
      <c r="CY548" s="234" cm="1">
        <f t="array" ref="CY548">$BM548 * IF($AH548&lt;=2,
SUMPRODUCT(INDEX($AV$22:$AX$60,,$AI548), INDEX($AY$22:$BE$60,,$AH548), 1 / ($BF$22:$BF$60*CW548), N($AU$22:$AU$60&gt;$AM548)),
SUMPRODUCT(INDEX($AV$22:$AX$45,,$AI548), INDEX($AY$22:$BE$45,,$AH548), 1 / ($BG$22:$BG$45*CW548), N($AU$22:$AU$45&gt;$AM548))
) / 1000</f>
        <v>0</v>
      </c>
      <c r="CZ548" s="229">
        <f t="shared" si="694"/>
        <v>0</v>
      </c>
      <c r="DA548" s="246"/>
    </row>
    <row r="549" spans="1:105" s="75" customFormat="1" ht="14.25" customHeight="1" x14ac:dyDescent="0.2">
      <c r="A549" s="230" t="b">
        <f t="shared" si="699"/>
        <v>0</v>
      </c>
      <c r="B549" s="253">
        <v>528</v>
      </c>
      <c r="C549" s="266"/>
      <c r="D549" s="266"/>
      <c r="E549" s="254"/>
      <c r="F549" s="255" t="str">
        <f>IF(ISBLANK(E549), "", VLOOKUP(E549, Z!$A$2:$C$4127, 3, FALSE))</f>
        <v/>
      </c>
      <c r="G549" s="256"/>
      <c r="H549" s="256"/>
      <c r="I549" s="256"/>
      <c r="J549" s="257"/>
      <c r="K549" s="258"/>
      <c r="L549" s="267"/>
      <c r="M549" s="268"/>
      <c r="N549" s="259" t="str" cm="1">
        <f t="array" ref="N549">IF($L549&gt;0, INDEX(Clean,1+AK549,$D$1), "")</f>
        <v/>
      </c>
      <c r="O549" s="260"/>
      <c r="P549" s="260"/>
      <c r="Q549" s="261"/>
      <c r="R549" s="264">
        <f t="shared" si="670"/>
        <v>0</v>
      </c>
      <c r="S549" s="259" t="str" cm="1">
        <f t="array" ref="S549">IF($L549&gt;0, INDEX(Clean,1+AL549,$D$1), "")</f>
        <v/>
      </c>
      <c r="T549" s="260"/>
      <c r="U549" s="260"/>
      <c r="V549" s="261"/>
      <c r="W549" s="267"/>
      <c r="X549" s="267"/>
      <c r="Y549" s="257"/>
      <c r="Z549" s="264">
        <f t="shared" si="671"/>
        <v>0</v>
      </c>
      <c r="AA549" s="269"/>
      <c r="AB549" s="266"/>
      <c r="AC549" s="254"/>
      <c r="AD549" s="255" t="str">
        <f>IF(ISBLANK(AC549), "", VLOOKUP(AC549, Z!$A$2:$C$4127, 3, FALSE))</f>
        <v/>
      </c>
      <c r="AE549" s="270"/>
      <c r="AF549" s="265">
        <f t="shared" si="672"/>
        <v>0</v>
      </c>
      <c r="AG549" s="246"/>
      <c r="AH549" s="228">
        <f t="shared" si="695"/>
        <v>1</v>
      </c>
      <c r="AI549" s="228">
        <f t="shared" si="696"/>
        <v>1</v>
      </c>
      <c r="AJ549" s="228">
        <f t="shared" si="697"/>
        <v>0</v>
      </c>
      <c r="AK549" s="228">
        <v>0</v>
      </c>
      <c r="AL549" s="228">
        <v>0</v>
      </c>
      <c r="AM549" s="228">
        <f t="shared" si="673"/>
        <v>-100</v>
      </c>
      <c r="AN549" s="228" cm="1">
        <f t="array" ref="AN549">IF(ISBLANK(G549), 1, IFERROR(MATCH(G549, INDEX(Kat,,1), 0), IFERROR(MATCH(Kat, INDEX(Use,,2), 0), MATCH(Kat, INDEX(Use,,3), 0))))</f>
        <v>1</v>
      </c>
      <c r="AO549" s="246"/>
      <c r="AP549" s="228" cm="1">
        <f t="array" ref="AP549">IF(W549&gt;0, INDEX(Kat, AN549,4), 0)</f>
        <v>0</v>
      </c>
      <c r="AQ549" s="228">
        <f t="shared" si="698"/>
        <v>0</v>
      </c>
      <c r="AR549" s="228" cm="1">
        <f t="array" ref="AR549">IF(X549&gt;0, INDEX(Kat, $AN549, 4+AQ549), 0)</f>
        <v>0</v>
      </c>
      <c r="AS549" s="228" cm="1">
        <f t="array" ref="AS549">IF(X549&gt;0, INDEX(Kat, $AN549, 9+AQ549), 0)</f>
        <v>0</v>
      </c>
      <c r="AT549" s="246"/>
      <c r="AU549" s="262"/>
      <c r="AV549" s="262"/>
      <c r="AW549" s="263"/>
      <c r="AX549" s="263"/>
      <c r="AY549" s="263"/>
      <c r="AZ549" s="263"/>
      <c r="BA549" s="263"/>
      <c r="BB549" s="263"/>
      <c r="BC549" s="263"/>
      <c r="BD549" s="263"/>
      <c r="BE549" s="263"/>
      <c r="BF549" s="263"/>
      <c r="BG549" s="263"/>
      <c r="BH549" s="246"/>
      <c r="BI549" s="228" cm="1">
        <f t="array" ref="BI549">INDEX(Use, $AH549, 4)</f>
        <v>7</v>
      </c>
      <c r="BJ549" s="228">
        <f t="shared" si="674"/>
        <v>32</v>
      </c>
      <c r="BK549" s="228">
        <f t="shared" si="700"/>
        <v>13</v>
      </c>
      <c r="BL549" s="228">
        <f t="shared" si="701"/>
        <v>0</v>
      </c>
      <c r="BM549" s="233" cm="1">
        <f t="array" ref="BM549">L549/IF($M549&gt;0, INDEX($AY$22:$BE$76, $M549+20, $AH549), 1)</f>
        <v>0</v>
      </c>
      <c r="BN549" s="229">
        <f t="shared" si="675"/>
        <v>0</v>
      </c>
      <c r="BO549" s="228">
        <v>35</v>
      </c>
      <c r="BP549" s="229">
        <f t="shared" si="676"/>
        <v>48</v>
      </c>
      <c r="BQ549" s="234">
        <f t="shared" si="677"/>
        <v>3.0748170731707316</v>
      </c>
      <c r="BR549" s="234" cm="1">
        <f t="array" ref="BR549">$BM549 * SUMPRODUCT(INDEX($AV$76:$AX$81,,$AI549),INDEX($AY$76:$BE$81,,$AH549), N($AU$76:$AU$81&gt;$AM549)) / BQ549 / 1000</f>
        <v>0</v>
      </c>
      <c r="BS549" s="231">
        <f t="shared" si="702"/>
        <v>30</v>
      </c>
      <c r="BT549" s="229">
        <f t="shared" si="678"/>
        <v>43</v>
      </c>
      <c r="BU549" s="234">
        <f t="shared" si="679"/>
        <v>3.5018750000000001</v>
      </c>
      <c r="BV549" s="234" cm="1">
        <f t="array" ref="BV549">$BM549 * IF($AH549&lt;=2,
SUMPRODUCT(INDEX($AV$71:$AX$75,,$AI549), INDEX($AY$71:$BE$75,,$AH549), 1 / ($BF$71:$BF$75*BU549 + (1-$BF$71:$BF$75)*BQ549), N($AU$71:$AU$75&gt;$AM549)),
SUMPRODUCT(INDEX($AV$66:$AX$75,,$AI549), INDEX($AY$66:$BE$75,,$AH549), 1 / ($BG$66:$BG$75*BU549 + (1-$BG$66:$BG$75)*BQ549), N($AU$66:$AU$75&gt;$AM549))
) / 1000</f>
        <v>0</v>
      </c>
      <c r="BW549" s="231">
        <f t="shared" si="703"/>
        <v>25</v>
      </c>
      <c r="BX549" s="229">
        <f t="shared" si="680"/>
        <v>38</v>
      </c>
      <c r="BY549" s="234">
        <f t="shared" si="681"/>
        <v>4.0666935483870965</v>
      </c>
      <c r="BZ549" s="234" cm="1">
        <f t="array" ref="BZ549">$BM549 * IF($AH549&lt;=2,
SUMPRODUCT(INDEX($AV$66:$AX$70,,$AI549), INDEX($AY$66:$BE$70,,$AH549), 1 / ($BF$66:$BF$70*BY549 + (1-$BF$66:$BF$70)*BU549), N($AU$66:$AU$70&gt;$AM549)),
SUMPRODUCT(INDEX($AV$56:$AX$65,,$AI549), INDEX($AY$56:$BE$65,,$AH549), 1 / ($BG$56:$BG$65*BY549 + (1-$BG$56:$BG$65)*BU549), N($AU$56:$AU$65&gt;$AM549))
) / 1000</f>
        <v>0</v>
      </c>
      <c r="CA549" s="231">
        <f t="shared" si="704"/>
        <v>20</v>
      </c>
      <c r="CB549" s="229">
        <f t="shared" si="682"/>
        <v>33</v>
      </c>
      <c r="CC549" s="234">
        <f t="shared" si="683"/>
        <v>4.8487499999999999</v>
      </c>
      <c r="CD549" s="234" cm="1">
        <f t="array" ref="CD549">$BM549 * IF($AH549&lt;=2,
SUMPRODUCT(INDEX($AV$61:$AX$65,,$AI549), INDEX($AY$61:$BE$65,,$AH549), 1 / ($BF$61:$BF$65*CC549 + (1-$BF$61:$BF$65)*BY549), N($AU$61:$AU$65&gt;$AM549)),
SUMPRODUCT(INDEX($AV$46:$AX$55,,$AI549), INDEX($AY$46:$BE$55,,$AH549), 1 / ($BG$46:$BG$55*CC549 + (1-$BG$46:$BG$55)*BY549), N($AU$46:$AU$55&gt;$AM549))
) / 1000</f>
        <v>0</v>
      </c>
      <c r="CE549" s="234" cm="1">
        <f t="array" ref="CE549">$BM549 * IF($AH549&lt;=2,
SUMPRODUCT(INDEX($AV$22:$AX$60,,$AI549), INDEX($AY$22:$BE$60,,$AH549), 1 / ($BF$22:$BF$60*CC549), N($AU$22:$AU$60&gt;$AM549)),
SUMPRODUCT(INDEX($AV$22:$AX$45,,$AI549), INDEX($AY$22:$BE$45,,$AH549), 1 / ($BG$22:$BG$45*CC549), N($AU$22:$AU$45&gt;$AM549))
) / 1000</f>
        <v>0</v>
      </c>
      <c r="CF549" s="229">
        <f t="shared" si="684"/>
        <v>0</v>
      </c>
      <c r="CG549" s="246"/>
      <c r="CH549" s="229">
        <f t="shared" si="685"/>
        <v>0</v>
      </c>
      <c r="CI549" s="228">
        <v>35</v>
      </c>
      <c r="CJ549" s="229">
        <f t="shared" si="686"/>
        <v>48</v>
      </c>
      <c r="CK549" s="234">
        <f t="shared" si="687"/>
        <v>3.0748170731707316</v>
      </c>
      <c r="CL549" s="234" cm="1">
        <f t="array" ref="CL549">$BM549 * SUMPRODUCT(INDEX($AV$76:$AX$81,,$AI549),INDEX($AY$76:$BE$81,,$AH549), N($AU$76:$AU$81&gt;$AM549)) / CK549 / 1000</f>
        <v>0</v>
      </c>
      <c r="CM549" s="231">
        <f t="shared" si="705"/>
        <v>30</v>
      </c>
      <c r="CN549" s="229">
        <f t="shared" si="688"/>
        <v>43</v>
      </c>
      <c r="CO549" s="234">
        <f t="shared" si="689"/>
        <v>3.5018750000000001</v>
      </c>
      <c r="CP549" s="234" cm="1">
        <f t="array" ref="CP549">$BM549 * IF($AH549&lt;=2,
SUMPRODUCT(INDEX($AV$71:$AX$75,,$AI549), INDEX($AY$71:$BE$75,,$AH549), 1 / ($BF$71:$BF$75*CO549 + (1-$BF$71:$BF$75)*CK549), N($AU$71:$AU$75&gt;$AM549)),
SUMPRODUCT(INDEX($AV$66:$AX$75,,$AI549), INDEX($AY$66:$BE$75,,$AH549), 1 / ($BG$66:$BG$75*CO549 + (1-$BG$66:$BG$75)*CK549), N($AU$66:$AU$75&gt;$AM549))
) / 1000</f>
        <v>0</v>
      </c>
      <c r="CQ549" s="231">
        <f t="shared" si="706"/>
        <v>25</v>
      </c>
      <c r="CR549" s="229">
        <f t="shared" si="690"/>
        <v>38</v>
      </c>
      <c r="CS549" s="234">
        <f t="shared" si="691"/>
        <v>4.0666935483870965</v>
      </c>
      <c r="CT549" s="234" cm="1">
        <f t="array" ref="CT549">$BM549 * IF($AH549&lt;=2,
SUMPRODUCT(INDEX($AV$66:$AX$70,,$AI549), INDEX($AY$66:$BE$70,,$AH549), 1 / ($BF$66:$BF$70*CS549 + (1-$BF$66:$BF$70)*CO549), N($AU$66:$AU$70&gt;$AM549)),
SUMPRODUCT(INDEX($AV$56:$AX$65,,$AI549), INDEX($AY$56:$BE$65,,$AH549), 1 / ($BG$56:$BG$65*CS549 + (1-$BG$56:$BG$65)*CO549), N($AU$56:$AU$65&gt;$AM549))
) / 1000</f>
        <v>0</v>
      </c>
      <c r="CU549" s="231">
        <f t="shared" si="707"/>
        <v>20</v>
      </c>
      <c r="CV549" s="229">
        <f t="shared" si="692"/>
        <v>33</v>
      </c>
      <c r="CW549" s="234">
        <f t="shared" si="693"/>
        <v>4.8487499999999999</v>
      </c>
      <c r="CX549" s="234" cm="1">
        <f t="array" ref="CX549">$BM549 * IF($AH549&lt;=2,
SUMPRODUCT(INDEX($AV$61:$AX$65,,$AI549), INDEX($AY$61:$BE$65,,$AH549), 1 / ($BF$61:$BF$65*CW549 + (1-$BF$61:$BF$65)*CS549), N($AU$61:$AU$65&gt;$AM549)),
SUMPRODUCT(INDEX($AV$46:$AX$55,,$AI549), INDEX($AY$46:$BE$55,,$AH549), 1 / ($BG$46:$BG$55*CW549 + (1-$BG$46:$BG$55)*CS549), N($AU$46:$AU$55&gt;$AM549))
) / 1000</f>
        <v>0</v>
      </c>
      <c r="CY549" s="234" cm="1">
        <f t="array" ref="CY549">$BM549 * IF($AH549&lt;=2,
SUMPRODUCT(INDEX($AV$22:$AX$60,,$AI549), INDEX($AY$22:$BE$60,,$AH549), 1 / ($BF$22:$BF$60*CW549), N($AU$22:$AU$60&gt;$AM549)),
SUMPRODUCT(INDEX($AV$22:$AX$45,,$AI549), INDEX($AY$22:$BE$45,,$AH549), 1 / ($BG$22:$BG$45*CW549), N($AU$22:$AU$45&gt;$AM549))
) / 1000</f>
        <v>0</v>
      </c>
      <c r="CZ549" s="229">
        <f t="shared" si="694"/>
        <v>0</v>
      </c>
      <c r="DA549" s="246"/>
    </row>
    <row r="550" spans="1:105" s="75" customFormat="1" ht="14.25" customHeight="1" x14ac:dyDescent="0.2">
      <c r="A550" s="230" t="b">
        <f t="shared" si="699"/>
        <v>0</v>
      </c>
      <c r="B550" s="253">
        <v>529</v>
      </c>
      <c r="C550" s="266"/>
      <c r="D550" s="266"/>
      <c r="E550" s="254"/>
      <c r="F550" s="255" t="str">
        <f>IF(ISBLANK(E550), "", VLOOKUP(E550, Z!$A$2:$C$4127, 3, FALSE))</f>
        <v/>
      </c>
      <c r="G550" s="256"/>
      <c r="H550" s="256"/>
      <c r="I550" s="256"/>
      <c r="J550" s="257"/>
      <c r="K550" s="258"/>
      <c r="L550" s="267"/>
      <c r="M550" s="268"/>
      <c r="N550" s="259" t="str" cm="1">
        <f t="array" ref="N550">IF($L550&gt;0, INDEX(Clean,1+AK550,$D$1), "")</f>
        <v/>
      </c>
      <c r="O550" s="260"/>
      <c r="P550" s="260"/>
      <c r="Q550" s="261"/>
      <c r="R550" s="264">
        <f t="shared" si="670"/>
        <v>0</v>
      </c>
      <c r="S550" s="259" t="str" cm="1">
        <f t="array" ref="S550">IF($L550&gt;0, INDEX(Clean,1+AL550,$D$1), "")</f>
        <v/>
      </c>
      <c r="T550" s="260"/>
      <c r="U550" s="260"/>
      <c r="V550" s="261"/>
      <c r="W550" s="267"/>
      <c r="X550" s="267"/>
      <c r="Y550" s="257"/>
      <c r="Z550" s="264">
        <f t="shared" si="671"/>
        <v>0</v>
      </c>
      <c r="AA550" s="269"/>
      <c r="AB550" s="266"/>
      <c r="AC550" s="254"/>
      <c r="AD550" s="255" t="str">
        <f>IF(ISBLANK(AC550), "", VLOOKUP(AC550, Z!$A$2:$C$4127, 3, FALSE))</f>
        <v/>
      </c>
      <c r="AE550" s="270"/>
      <c r="AF550" s="265">
        <f t="shared" si="672"/>
        <v>0</v>
      </c>
      <c r="AG550" s="246"/>
      <c r="AH550" s="228">
        <f t="shared" si="695"/>
        <v>1</v>
      </c>
      <c r="AI550" s="228">
        <f t="shared" si="696"/>
        <v>1</v>
      </c>
      <c r="AJ550" s="228">
        <f t="shared" si="697"/>
        <v>0</v>
      </c>
      <c r="AK550" s="228">
        <v>0</v>
      </c>
      <c r="AL550" s="228">
        <v>0</v>
      </c>
      <c r="AM550" s="228">
        <f t="shared" si="673"/>
        <v>-100</v>
      </c>
      <c r="AN550" s="228" cm="1">
        <f t="array" ref="AN550">IF(ISBLANK(G550), 1, IFERROR(MATCH(G550, INDEX(Kat,,1), 0), IFERROR(MATCH(Kat, INDEX(Use,,2), 0), MATCH(Kat, INDEX(Use,,3), 0))))</f>
        <v>1</v>
      </c>
      <c r="AO550" s="246"/>
      <c r="AP550" s="228" cm="1">
        <f t="array" ref="AP550">IF(W550&gt;0, INDEX(Kat, AN550,4), 0)</f>
        <v>0</v>
      </c>
      <c r="AQ550" s="228">
        <f t="shared" si="698"/>
        <v>0</v>
      </c>
      <c r="AR550" s="228" cm="1">
        <f t="array" ref="AR550">IF(X550&gt;0, INDEX(Kat, $AN550, 4+AQ550), 0)</f>
        <v>0</v>
      </c>
      <c r="AS550" s="228" cm="1">
        <f t="array" ref="AS550">IF(X550&gt;0, INDEX(Kat, $AN550, 9+AQ550), 0)</f>
        <v>0</v>
      </c>
      <c r="AT550" s="246"/>
      <c r="AU550" s="262"/>
      <c r="AV550" s="262"/>
      <c r="AW550" s="263"/>
      <c r="AX550" s="263"/>
      <c r="AY550" s="263"/>
      <c r="AZ550" s="263"/>
      <c r="BA550" s="263"/>
      <c r="BB550" s="263"/>
      <c r="BC550" s="263"/>
      <c r="BD550" s="263"/>
      <c r="BE550" s="263"/>
      <c r="BF550" s="263"/>
      <c r="BG550" s="263"/>
      <c r="BH550" s="246"/>
      <c r="BI550" s="228" cm="1">
        <f t="array" ref="BI550">INDEX(Use, $AH550, 4)</f>
        <v>7</v>
      </c>
      <c r="BJ550" s="228">
        <f t="shared" si="674"/>
        <v>32</v>
      </c>
      <c r="BK550" s="228">
        <f t="shared" si="700"/>
        <v>13</v>
      </c>
      <c r="BL550" s="228">
        <f t="shared" si="701"/>
        <v>0</v>
      </c>
      <c r="BM550" s="233" cm="1">
        <f t="array" ref="BM550">L550/IF($M550&gt;0, INDEX($AY$22:$BE$76, $M550+20, $AH550), 1)</f>
        <v>0</v>
      </c>
      <c r="BN550" s="229">
        <f t="shared" si="675"/>
        <v>0</v>
      </c>
      <c r="BO550" s="228">
        <v>35</v>
      </c>
      <c r="BP550" s="229">
        <f t="shared" si="676"/>
        <v>48</v>
      </c>
      <c r="BQ550" s="234">
        <f t="shared" si="677"/>
        <v>3.0748170731707316</v>
      </c>
      <c r="BR550" s="234" cm="1">
        <f t="array" ref="BR550">$BM550 * SUMPRODUCT(INDEX($AV$76:$AX$81,,$AI550),INDEX($AY$76:$BE$81,,$AH550), N($AU$76:$AU$81&gt;$AM550)) / BQ550 / 1000</f>
        <v>0</v>
      </c>
      <c r="BS550" s="231">
        <f t="shared" si="702"/>
        <v>30</v>
      </c>
      <c r="BT550" s="229">
        <f t="shared" si="678"/>
        <v>43</v>
      </c>
      <c r="BU550" s="234">
        <f t="shared" si="679"/>
        <v>3.5018750000000001</v>
      </c>
      <c r="BV550" s="234" cm="1">
        <f t="array" ref="BV550">$BM550 * IF($AH550&lt;=2,
SUMPRODUCT(INDEX($AV$71:$AX$75,,$AI550), INDEX($AY$71:$BE$75,,$AH550), 1 / ($BF$71:$BF$75*BU550 + (1-$BF$71:$BF$75)*BQ550), N($AU$71:$AU$75&gt;$AM550)),
SUMPRODUCT(INDEX($AV$66:$AX$75,,$AI550), INDEX($AY$66:$BE$75,,$AH550), 1 / ($BG$66:$BG$75*BU550 + (1-$BG$66:$BG$75)*BQ550), N($AU$66:$AU$75&gt;$AM550))
) / 1000</f>
        <v>0</v>
      </c>
      <c r="BW550" s="231">
        <f t="shared" si="703"/>
        <v>25</v>
      </c>
      <c r="BX550" s="229">
        <f t="shared" si="680"/>
        <v>38</v>
      </c>
      <c r="BY550" s="234">
        <f t="shared" si="681"/>
        <v>4.0666935483870965</v>
      </c>
      <c r="BZ550" s="234" cm="1">
        <f t="array" ref="BZ550">$BM550 * IF($AH550&lt;=2,
SUMPRODUCT(INDEX($AV$66:$AX$70,,$AI550), INDEX($AY$66:$BE$70,,$AH550), 1 / ($BF$66:$BF$70*BY550 + (1-$BF$66:$BF$70)*BU550), N($AU$66:$AU$70&gt;$AM550)),
SUMPRODUCT(INDEX($AV$56:$AX$65,,$AI550), INDEX($AY$56:$BE$65,,$AH550), 1 / ($BG$56:$BG$65*BY550 + (1-$BG$56:$BG$65)*BU550), N($AU$56:$AU$65&gt;$AM550))
) / 1000</f>
        <v>0</v>
      </c>
      <c r="CA550" s="231">
        <f t="shared" si="704"/>
        <v>20</v>
      </c>
      <c r="CB550" s="229">
        <f t="shared" si="682"/>
        <v>33</v>
      </c>
      <c r="CC550" s="234">
        <f t="shared" si="683"/>
        <v>4.8487499999999999</v>
      </c>
      <c r="CD550" s="234" cm="1">
        <f t="array" ref="CD550">$BM550 * IF($AH550&lt;=2,
SUMPRODUCT(INDEX($AV$61:$AX$65,,$AI550), INDEX($AY$61:$BE$65,,$AH550), 1 / ($BF$61:$BF$65*CC550 + (1-$BF$61:$BF$65)*BY550), N($AU$61:$AU$65&gt;$AM550)),
SUMPRODUCT(INDEX($AV$46:$AX$55,,$AI550), INDEX($AY$46:$BE$55,,$AH550), 1 / ($BG$46:$BG$55*CC550 + (1-$BG$46:$BG$55)*BY550), N($AU$46:$AU$55&gt;$AM550))
) / 1000</f>
        <v>0</v>
      </c>
      <c r="CE550" s="234" cm="1">
        <f t="array" ref="CE550">$BM550 * IF($AH550&lt;=2,
SUMPRODUCT(INDEX($AV$22:$AX$60,,$AI550), INDEX($AY$22:$BE$60,,$AH550), 1 / ($BF$22:$BF$60*CC550), N($AU$22:$AU$60&gt;$AM550)),
SUMPRODUCT(INDEX($AV$22:$AX$45,,$AI550), INDEX($AY$22:$BE$45,,$AH550), 1 / ($BG$22:$BG$45*CC550), N($AU$22:$AU$45&gt;$AM550))
) / 1000</f>
        <v>0</v>
      </c>
      <c r="CF550" s="229">
        <f t="shared" si="684"/>
        <v>0</v>
      </c>
      <c r="CG550" s="246"/>
      <c r="CH550" s="229">
        <f t="shared" si="685"/>
        <v>0</v>
      </c>
      <c r="CI550" s="228">
        <v>35</v>
      </c>
      <c r="CJ550" s="229">
        <f t="shared" si="686"/>
        <v>48</v>
      </c>
      <c r="CK550" s="234">
        <f t="shared" si="687"/>
        <v>3.0748170731707316</v>
      </c>
      <c r="CL550" s="234" cm="1">
        <f t="array" ref="CL550">$BM550 * SUMPRODUCT(INDEX($AV$76:$AX$81,,$AI550),INDEX($AY$76:$BE$81,,$AH550), N($AU$76:$AU$81&gt;$AM550)) / CK550 / 1000</f>
        <v>0</v>
      </c>
      <c r="CM550" s="231">
        <f t="shared" si="705"/>
        <v>30</v>
      </c>
      <c r="CN550" s="229">
        <f t="shared" si="688"/>
        <v>43</v>
      </c>
      <c r="CO550" s="234">
        <f t="shared" si="689"/>
        <v>3.5018750000000001</v>
      </c>
      <c r="CP550" s="234" cm="1">
        <f t="array" ref="CP550">$BM550 * IF($AH550&lt;=2,
SUMPRODUCT(INDEX($AV$71:$AX$75,,$AI550), INDEX($AY$71:$BE$75,,$AH550), 1 / ($BF$71:$BF$75*CO550 + (1-$BF$71:$BF$75)*CK550), N($AU$71:$AU$75&gt;$AM550)),
SUMPRODUCT(INDEX($AV$66:$AX$75,,$AI550), INDEX($AY$66:$BE$75,,$AH550), 1 / ($BG$66:$BG$75*CO550 + (1-$BG$66:$BG$75)*CK550), N($AU$66:$AU$75&gt;$AM550))
) / 1000</f>
        <v>0</v>
      </c>
      <c r="CQ550" s="231">
        <f t="shared" si="706"/>
        <v>25</v>
      </c>
      <c r="CR550" s="229">
        <f t="shared" si="690"/>
        <v>38</v>
      </c>
      <c r="CS550" s="234">
        <f t="shared" si="691"/>
        <v>4.0666935483870965</v>
      </c>
      <c r="CT550" s="234" cm="1">
        <f t="array" ref="CT550">$BM550 * IF($AH550&lt;=2,
SUMPRODUCT(INDEX($AV$66:$AX$70,,$AI550), INDEX($AY$66:$BE$70,,$AH550), 1 / ($BF$66:$BF$70*CS550 + (1-$BF$66:$BF$70)*CO550), N($AU$66:$AU$70&gt;$AM550)),
SUMPRODUCT(INDEX($AV$56:$AX$65,,$AI550), INDEX($AY$56:$BE$65,,$AH550), 1 / ($BG$56:$BG$65*CS550 + (1-$BG$56:$BG$65)*CO550), N($AU$56:$AU$65&gt;$AM550))
) / 1000</f>
        <v>0</v>
      </c>
      <c r="CU550" s="231">
        <f t="shared" si="707"/>
        <v>20</v>
      </c>
      <c r="CV550" s="229">
        <f t="shared" si="692"/>
        <v>33</v>
      </c>
      <c r="CW550" s="234">
        <f t="shared" si="693"/>
        <v>4.8487499999999999</v>
      </c>
      <c r="CX550" s="234" cm="1">
        <f t="array" ref="CX550">$BM550 * IF($AH550&lt;=2,
SUMPRODUCT(INDEX($AV$61:$AX$65,,$AI550), INDEX($AY$61:$BE$65,,$AH550), 1 / ($BF$61:$BF$65*CW550 + (1-$BF$61:$BF$65)*CS550), N($AU$61:$AU$65&gt;$AM550)),
SUMPRODUCT(INDEX($AV$46:$AX$55,,$AI550), INDEX($AY$46:$BE$55,,$AH550), 1 / ($BG$46:$BG$55*CW550 + (1-$BG$46:$BG$55)*CS550), N($AU$46:$AU$55&gt;$AM550))
) / 1000</f>
        <v>0</v>
      </c>
      <c r="CY550" s="234" cm="1">
        <f t="array" ref="CY550">$BM550 * IF($AH550&lt;=2,
SUMPRODUCT(INDEX($AV$22:$AX$60,,$AI550), INDEX($AY$22:$BE$60,,$AH550), 1 / ($BF$22:$BF$60*CW550), N($AU$22:$AU$60&gt;$AM550)),
SUMPRODUCT(INDEX($AV$22:$AX$45,,$AI550), INDEX($AY$22:$BE$45,,$AH550), 1 / ($BG$22:$BG$45*CW550), N($AU$22:$AU$45&gt;$AM550))
) / 1000</f>
        <v>0</v>
      </c>
      <c r="CZ550" s="229">
        <f t="shared" si="694"/>
        <v>0</v>
      </c>
      <c r="DA550" s="246"/>
    </row>
    <row r="551" spans="1:105" s="75" customFormat="1" ht="14.25" customHeight="1" x14ac:dyDescent="0.2">
      <c r="A551" s="230" t="b">
        <f t="shared" si="699"/>
        <v>0</v>
      </c>
      <c r="B551" s="253">
        <v>530</v>
      </c>
      <c r="C551" s="266"/>
      <c r="D551" s="266"/>
      <c r="E551" s="254"/>
      <c r="F551" s="255" t="str">
        <f>IF(ISBLANK(E551), "", VLOOKUP(E551, Z!$A$2:$C$4127, 3, FALSE))</f>
        <v/>
      </c>
      <c r="G551" s="256"/>
      <c r="H551" s="256"/>
      <c r="I551" s="256"/>
      <c r="J551" s="257"/>
      <c r="K551" s="258"/>
      <c r="L551" s="267"/>
      <c r="M551" s="268"/>
      <c r="N551" s="259" t="str" cm="1">
        <f t="array" ref="N551">IF($L551&gt;0, INDEX(Clean,1+AK551,$D$1), "")</f>
        <v/>
      </c>
      <c r="O551" s="260"/>
      <c r="P551" s="260"/>
      <c r="Q551" s="261"/>
      <c r="R551" s="264">
        <f t="shared" si="670"/>
        <v>0</v>
      </c>
      <c r="S551" s="259" t="str" cm="1">
        <f t="array" ref="S551">IF($L551&gt;0, INDEX(Clean,1+AL551,$D$1), "")</f>
        <v/>
      </c>
      <c r="T551" s="260"/>
      <c r="U551" s="260"/>
      <c r="V551" s="261"/>
      <c r="W551" s="267"/>
      <c r="X551" s="267"/>
      <c r="Y551" s="257"/>
      <c r="Z551" s="264">
        <f t="shared" si="671"/>
        <v>0</v>
      </c>
      <c r="AA551" s="269"/>
      <c r="AB551" s="266"/>
      <c r="AC551" s="254"/>
      <c r="AD551" s="255" t="str">
        <f>IF(ISBLANK(AC551), "", VLOOKUP(AC551, Z!$A$2:$C$4127, 3, FALSE))</f>
        <v/>
      </c>
      <c r="AE551" s="270"/>
      <c r="AF551" s="265">
        <f t="shared" si="672"/>
        <v>0</v>
      </c>
      <c r="AG551" s="246"/>
      <c r="AH551" s="228">
        <f t="shared" si="695"/>
        <v>1</v>
      </c>
      <c r="AI551" s="228">
        <f t="shared" si="696"/>
        <v>1</v>
      </c>
      <c r="AJ551" s="228">
        <f t="shared" si="697"/>
        <v>0</v>
      </c>
      <c r="AK551" s="228">
        <v>0</v>
      </c>
      <c r="AL551" s="228">
        <v>0</v>
      </c>
      <c r="AM551" s="228">
        <f t="shared" si="673"/>
        <v>-100</v>
      </c>
      <c r="AN551" s="228" cm="1">
        <f t="array" ref="AN551">IF(ISBLANK(G551), 1, IFERROR(MATCH(G551, INDEX(Kat,,1), 0), IFERROR(MATCH(Kat, INDEX(Use,,2), 0), MATCH(Kat, INDEX(Use,,3), 0))))</f>
        <v>1</v>
      </c>
      <c r="AO551" s="246"/>
      <c r="AP551" s="228" cm="1">
        <f t="array" ref="AP551">IF(W551&gt;0, INDEX(Kat, AN551,4), 0)</f>
        <v>0</v>
      </c>
      <c r="AQ551" s="228">
        <f t="shared" si="698"/>
        <v>0</v>
      </c>
      <c r="AR551" s="228" cm="1">
        <f t="array" ref="AR551">IF(X551&gt;0, INDEX(Kat, $AN551, 4+AQ551), 0)</f>
        <v>0</v>
      </c>
      <c r="AS551" s="228" cm="1">
        <f t="array" ref="AS551">IF(X551&gt;0, INDEX(Kat, $AN551, 9+AQ551), 0)</f>
        <v>0</v>
      </c>
      <c r="AT551" s="246"/>
      <c r="AU551" s="262"/>
      <c r="AV551" s="262"/>
      <c r="AW551" s="263"/>
      <c r="AX551" s="263"/>
      <c r="AY551" s="263"/>
      <c r="AZ551" s="263"/>
      <c r="BA551" s="263"/>
      <c r="BB551" s="263"/>
      <c r="BC551" s="263"/>
      <c r="BD551" s="263"/>
      <c r="BE551" s="263"/>
      <c r="BF551" s="263"/>
      <c r="BG551" s="263"/>
      <c r="BH551" s="246"/>
      <c r="BI551" s="228" cm="1">
        <f t="array" ref="BI551">INDEX(Use, $AH551, 4)</f>
        <v>7</v>
      </c>
      <c r="BJ551" s="228">
        <f t="shared" si="674"/>
        <v>32</v>
      </c>
      <c r="BK551" s="228">
        <f t="shared" si="700"/>
        <v>13</v>
      </c>
      <c r="BL551" s="228">
        <f t="shared" si="701"/>
        <v>0</v>
      </c>
      <c r="BM551" s="233" cm="1">
        <f t="array" ref="BM551">L551/IF($M551&gt;0, INDEX($AY$22:$BE$76, $M551+20, $AH551), 1)</f>
        <v>0</v>
      </c>
      <c r="BN551" s="229">
        <f t="shared" si="675"/>
        <v>0</v>
      </c>
      <c r="BO551" s="228">
        <v>35</v>
      </c>
      <c r="BP551" s="229">
        <f t="shared" si="676"/>
        <v>48</v>
      </c>
      <c r="BQ551" s="234">
        <f t="shared" si="677"/>
        <v>3.0748170731707316</v>
      </c>
      <c r="BR551" s="234" cm="1">
        <f t="array" ref="BR551">$BM551 * SUMPRODUCT(INDEX($AV$76:$AX$81,,$AI551),INDEX($AY$76:$BE$81,,$AH551), N($AU$76:$AU$81&gt;$AM551)) / BQ551 / 1000</f>
        <v>0</v>
      </c>
      <c r="BS551" s="231">
        <f t="shared" si="702"/>
        <v>30</v>
      </c>
      <c r="BT551" s="229">
        <f t="shared" si="678"/>
        <v>43</v>
      </c>
      <c r="BU551" s="234">
        <f t="shared" si="679"/>
        <v>3.5018750000000001</v>
      </c>
      <c r="BV551" s="234" cm="1">
        <f t="array" ref="BV551">$BM551 * IF($AH551&lt;=2,
SUMPRODUCT(INDEX($AV$71:$AX$75,,$AI551), INDEX($AY$71:$BE$75,,$AH551), 1 / ($BF$71:$BF$75*BU551 + (1-$BF$71:$BF$75)*BQ551), N($AU$71:$AU$75&gt;$AM551)),
SUMPRODUCT(INDEX($AV$66:$AX$75,,$AI551), INDEX($AY$66:$BE$75,,$AH551), 1 / ($BG$66:$BG$75*BU551 + (1-$BG$66:$BG$75)*BQ551), N($AU$66:$AU$75&gt;$AM551))
) / 1000</f>
        <v>0</v>
      </c>
      <c r="BW551" s="231">
        <f t="shared" si="703"/>
        <v>25</v>
      </c>
      <c r="BX551" s="229">
        <f t="shared" si="680"/>
        <v>38</v>
      </c>
      <c r="BY551" s="234">
        <f t="shared" si="681"/>
        <v>4.0666935483870965</v>
      </c>
      <c r="BZ551" s="234" cm="1">
        <f t="array" ref="BZ551">$BM551 * IF($AH551&lt;=2,
SUMPRODUCT(INDEX($AV$66:$AX$70,,$AI551), INDEX($AY$66:$BE$70,,$AH551), 1 / ($BF$66:$BF$70*BY551 + (1-$BF$66:$BF$70)*BU551), N($AU$66:$AU$70&gt;$AM551)),
SUMPRODUCT(INDEX($AV$56:$AX$65,,$AI551), INDEX($AY$56:$BE$65,,$AH551), 1 / ($BG$56:$BG$65*BY551 + (1-$BG$56:$BG$65)*BU551), N($AU$56:$AU$65&gt;$AM551))
) / 1000</f>
        <v>0</v>
      </c>
      <c r="CA551" s="231">
        <f t="shared" si="704"/>
        <v>20</v>
      </c>
      <c r="CB551" s="229">
        <f t="shared" si="682"/>
        <v>33</v>
      </c>
      <c r="CC551" s="234">
        <f t="shared" si="683"/>
        <v>4.8487499999999999</v>
      </c>
      <c r="CD551" s="234" cm="1">
        <f t="array" ref="CD551">$BM551 * IF($AH551&lt;=2,
SUMPRODUCT(INDEX($AV$61:$AX$65,,$AI551), INDEX($AY$61:$BE$65,,$AH551), 1 / ($BF$61:$BF$65*CC551 + (1-$BF$61:$BF$65)*BY551), N($AU$61:$AU$65&gt;$AM551)),
SUMPRODUCT(INDEX($AV$46:$AX$55,,$AI551), INDEX($AY$46:$BE$55,,$AH551), 1 / ($BG$46:$BG$55*CC551 + (1-$BG$46:$BG$55)*BY551), N($AU$46:$AU$55&gt;$AM551))
) / 1000</f>
        <v>0</v>
      </c>
      <c r="CE551" s="234" cm="1">
        <f t="array" ref="CE551">$BM551 * IF($AH551&lt;=2,
SUMPRODUCT(INDEX($AV$22:$AX$60,,$AI551), INDEX($AY$22:$BE$60,,$AH551), 1 / ($BF$22:$BF$60*CC551), N($AU$22:$AU$60&gt;$AM551)),
SUMPRODUCT(INDEX($AV$22:$AX$45,,$AI551), INDEX($AY$22:$BE$45,,$AH551), 1 / ($BG$22:$BG$45*CC551), N($AU$22:$AU$45&gt;$AM551))
) / 1000</f>
        <v>0</v>
      </c>
      <c r="CF551" s="229">
        <f t="shared" si="684"/>
        <v>0</v>
      </c>
      <c r="CG551" s="246"/>
      <c r="CH551" s="229">
        <f t="shared" si="685"/>
        <v>0</v>
      </c>
      <c r="CI551" s="228">
        <v>35</v>
      </c>
      <c r="CJ551" s="229">
        <f t="shared" si="686"/>
        <v>48</v>
      </c>
      <c r="CK551" s="234">
        <f t="shared" si="687"/>
        <v>3.0748170731707316</v>
      </c>
      <c r="CL551" s="234" cm="1">
        <f t="array" ref="CL551">$BM551 * SUMPRODUCT(INDEX($AV$76:$AX$81,,$AI551),INDEX($AY$76:$BE$81,,$AH551), N($AU$76:$AU$81&gt;$AM551)) / CK551 / 1000</f>
        <v>0</v>
      </c>
      <c r="CM551" s="231">
        <f t="shared" si="705"/>
        <v>30</v>
      </c>
      <c r="CN551" s="229">
        <f t="shared" si="688"/>
        <v>43</v>
      </c>
      <c r="CO551" s="234">
        <f t="shared" si="689"/>
        <v>3.5018750000000001</v>
      </c>
      <c r="CP551" s="234" cm="1">
        <f t="array" ref="CP551">$BM551 * IF($AH551&lt;=2,
SUMPRODUCT(INDEX($AV$71:$AX$75,,$AI551), INDEX($AY$71:$BE$75,,$AH551), 1 / ($BF$71:$BF$75*CO551 + (1-$BF$71:$BF$75)*CK551), N($AU$71:$AU$75&gt;$AM551)),
SUMPRODUCT(INDEX($AV$66:$AX$75,,$AI551), INDEX($AY$66:$BE$75,,$AH551), 1 / ($BG$66:$BG$75*CO551 + (1-$BG$66:$BG$75)*CK551), N($AU$66:$AU$75&gt;$AM551))
) / 1000</f>
        <v>0</v>
      </c>
      <c r="CQ551" s="231">
        <f t="shared" si="706"/>
        <v>25</v>
      </c>
      <c r="CR551" s="229">
        <f t="shared" si="690"/>
        <v>38</v>
      </c>
      <c r="CS551" s="234">
        <f t="shared" si="691"/>
        <v>4.0666935483870965</v>
      </c>
      <c r="CT551" s="234" cm="1">
        <f t="array" ref="CT551">$BM551 * IF($AH551&lt;=2,
SUMPRODUCT(INDEX($AV$66:$AX$70,,$AI551), INDEX($AY$66:$BE$70,,$AH551), 1 / ($BF$66:$BF$70*CS551 + (1-$BF$66:$BF$70)*CO551), N($AU$66:$AU$70&gt;$AM551)),
SUMPRODUCT(INDEX($AV$56:$AX$65,,$AI551), INDEX($AY$56:$BE$65,,$AH551), 1 / ($BG$56:$BG$65*CS551 + (1-$BG$56:$BG$65)*CO551), N($AU$56:$AU$65&gt;$AM551))
) / 1000</f>
        <v>0</v>
      </c>
      <c r="CU551" s="231">
        <f t="shared" si="707"/>
        <v>20</v>
      </c>
      <c r="CV551" s="229">
        <f t="shared" si="692"/>
        <v>33</v>
      </c>
      <c r="CW551" s="234">
        <f t="shared" si="693"/>
        <v>4.8487499999999999</v>
      </c>
      <c r="CX551" s="234" cm="1">
        <f t="array" ref="CX551">$BM551 * IF($AH551&lt;=2,
SUMPRODUCT(INDEX($AV$61:$AX$65,,$AI551), INDEX($AY$61:$BE$65,,$AH551), 1 / ($BF$61:$BF$65*CW551 + (1-$BF$61:$BF$65)*CS551), N($AU$61:$AU$65&gt;$AM551)),
SUMPRODUCT(INDEX($AV$46:$AX$55,,$AI551), INDEX($AY$46:$BE$55,,$AH551), 1 / ($BG$46:$BG$55*CW551 + (1-$BG$46:$BG$55)*CS551), N($AU$46:$AU$55&gt;$AM551))
) / 1000</f>
        <v>0</v>
      </c>
      <c r="CY551" s="234" cm="1">
        <f t="array" ref="CY551">$BM551 * IF($AH551&lt;=2,
SUMPRODUCT(INDEX($AV$22:$AX$60,,$AI551), INDEX($AY$22:$BE$60,,$AH551), 1 / ($BF$22:$BF$60*CW551), N($AU$22:$AU$60&gt;$AM551)),
SUMPRODUCT(INDEX($AV$22:$AX$45,,$AI551), INDEX($AY$22:$BE$45,,$AH551), 1 / ($BG$22:$BG$45*CW551), N($AU$22:$AU$45&gt;$AM551))
) / 1000</f>
        <v>0</v>
      </c>
      <c r="CZ551" s="229">
        <f t="shared" si="694"/>
        <v>0</v>
      </c>
      <c r="DA551" s="246"/>
    </row>
    <row r="552" spans="1:105" s="75" customFormat="1" ht="14.25" customHeight="1" x14ac:dyDescent="0.2">
      <c r="A552" s="230" t="b">
        <f t="shared" si="699"/>
        <v>0</v>
      </c>
      <c r="B552" s="253">
        <v>531</v>
      </c>
      <c r="C552" s="266"/>
      <c r="D552" s="266"/>
      <c r="E552" s="254"/>
      <c r="F552" s="255" t="str">
        <f>IF(ISBLANK(E552), "", VLOOKUP(E552, Z!$A$2:$C$4127, 3, FALSE))</f>
        <v/>
      </c>
      <c r="G552" s="256"/>
      <c r="H552" s="256"/>
      <c r="I552" s="256"/>
      <c r="J552" s="257"/>
      <c r="K552" s="258"/>
      <c r="L552" s="267"/>
      <c r="M552" s="268"/>
      <c r="N552" s="259" t="str" cm="1">
        <f t="array" ref="N552">IF($L552&gt;0, INDEX(Clean,1+AK552,$D$1), "")</f>
        <v/>
      </c>
      <c r="O552" s="260"/>
      <c r="P552" s="260"/>
      <c r="Q552" s="261"/>
      <c r="R552" s="264">
        <f t="shared" si="670"/>
        <v>0</v>
      </c>
      <c r="S552" s="259" t="str" cm="1">
        <f t="array" ref="S552">IF($L552&gt;0, INDEX(Clean,1+AL552,$D$1), "")</f>
        <v/>
      </c>
      <c r="T552" s="260"/>
      <c r="U552" s="260"/>
      <c r="V552" s="261"/>
      <c r="W552" s="267"/>
      <c r="X552" s="267"/>
      <c r="Y552" s="257"/>
      <c r="Z552" s="264">
        <f t="shared" si="671"/>
        <v>0</v>
      </c>
      <c r="AA552" s="269"/>
      <c r="AB552" s="266"/>
      <c r="AC552" s="254"/>
      <c r="AD552" s="255" t="str">
        <f>IF(ISBLANK(AC552), "", VLOOKUP(AC552, Z!$A$2:$C$4127, 3, FALSE))</f>
        <v/>
      </c>
      <c r="AE552" s="270"/>
      <c r="AF552" s="265">
        <f t="shared" si="672"/>
        <v>0</v>
      </c>
      <c r="AG552" s="246"/>
      <c r="AH552" s="228">
        <f t="shared" si="695"/>
        <v>1</v>
      </c>
      <c r="AI552" s="228">
        <f t="shared" si="696"/>
        <v>1</v>
      </c>
      <c r="AJ552" s="228">
        <f t="shared" si="697"/>
        <v>0</v>
      </c>
      <c r="AK552" s="228">
        <v>0</v>
      </c>
      <c r="AL552" s="228">
        <v>0</v>
      </c>
      <c r="AM552" s="228">
        <f t="shared" si="673"/>
        <v>-100</v>
      </c>
      <c r="AN552" s="228" cm="1">
        <f t="array" ref="AN552">IF(ISBLANK(G552), 1, IFERROR(MATCH(G552, INDEX(Kat,,1), 0), IFERROR(MATCH(Kat, INDEX(Use,,2), 0), MATCH(Kat, INDEX(Use,,3), 0))))</f>
        <v>1</v>
      </c>
      <c r="AO552" s="246"/>
      <c r="AP552" s="228" cm="1">
        <f t="array" ref="AP552">IF(W552&gt;0, INDEX(Kat, AN552,4), 0)</f>
        <v>0</v>
      </c>
      <c r="AQ552" s="228">
        <f t="shared" si="698"/>
        <v>0</v>
      </c>
      <c r="AR552" s="228" cm="1">
        <f t="array" ref="AR552">IF(X552&gt;0, INDEX(Kat, $AN552, 4+AQ552), 0)</f>
        <v>0</v>
      </c>
      <c r="AS552" s="228" cm="1">
        <f t="array" ref="AS552">IF(X552&gt;0, INDEX(Kat, $AN552, 9+AQ552), 0)</f>
        <v>0</v>
      </c>
      <c r="AT552" s="246"/>
      <c r="AU552" s="262"/>
      <c r="AV552" s="262"/>
      <c r="AW552" s="263"/>
      <c r="AX552" s="263"/>
      <c r="AY552" s="263"/>
      <c r="AZ552" s="263"/>
      <c r="BA552" s="263"/>
      <c r="BB552" s="263"/>
      <c r="BC552" s="263"/>
      <c r="BD552" s="263"/>
      <c r="BE552" s="263"/>
      <c r="BF552" s="263"/>
      <c r="BG552" s="263"/>
      <c r="BH552" s="246"/>
      <c r="BI552" s="228" cm="1">
        <f t="array" ref="BI552">INDEX(Use, $AH552, 4)</f>
        <v>7</v>
      </c>
      <c r="BJ552" s="228">
        <f t="shared" si="674"/>
        <v>32</v>
      </c>
      <c r="BK552" s="228">
        <f t="shared" si="700"/>
        <v>13</v>
      </c>
      <c r="BL552" s="228">
        <f t="shared" si="701"/>
        <v>0</v>
      </c>
      <c r="BM552" s="233" cm="1">
        <f t="array" ref="BM552">L552/IF($M552&gt;0, INDEX($AY$22:$BE$76, $M552+20, $AH552), 1)</f>
        <v>0</v>
      </c>
      <c r="BN552" s="229">
        <f t="shared" si="675"/>
        <v>0</v>
      </c>
      <c r="BO552" s="228">
        <v>35</v>
      </c>
      <c r="BP552" s="229">
        <f t="shared" si="676"/>
        <v>48</v>
      </c>
      <c r="BQ552" s="234">
        <f t="shared" si="677"/>
        <v>3.0748170731707316</v>
      </c>
      <c r="BR552" s="234" cm="1">
        <f t="array" ref="BR552">$BM552 * SUMPRODUCT(INDEX($AV$76:$AX$81,,$AI552),INDEX($AY$76:$BE$81,,$AH552), N($AU$76:$AU$81&gt;$AM552)) / BQ552 / 1000</f>
        <v>0</v>
      </c>
      <c r="BS552" s="231">
        <f t="shared" si="702"/>
        <v>30</v>
      </c>
      <c r="BT552" s="229">
        <f t="shared" si="678"/>
        <v>43</v>
      </c>
      <c r="BU552" s="234">
        <f t="shared" si="679"/>
        <v>3.5018750000000001</v>
      </c>
      <c r="BV552" s="234" cm="1">
        <f t="array" ref="BV552">$BM552 * IF($AH552&lt;=2,
SUMPRODUCT(INDEX($AV$71:$AX$75,,$AI552), INDEX($AY$71:$BE$75,,$AH552), 1 / ($BF$71:$BF$75*BU552 + (1-$BF$71:$BF$75)*BQ552), N($AU$71:$AU$75&gt;$AM552)),
SUMPRODUCT(INDEX($AV$66:$AX$75,,$AI552), INDEX($AY$66:$BE$75,,$AH552), 1 / ($BG$66:$BG$75*BU552 + (1-$BG$66:$BG$75)*BQ552), N($AU$66:$AU$75&gt;$AM552))
) / 1000</f>
        <v>0</v>
      </c>
      <c r="BW552" s="231">
        <f t="shared" si="703"/>
        <v>25</v>
      </c>
      <c r="BX552" s="229">
        <f t="shared" si="680"/>
        <v>38</v>
      </c>
      <c r="BY552" s="234">
        <f t="shared" si="681"/>
        <v>4.0666935483870965</v>
      </c>
      <c r="BZ552" s="234" cm="1">
        <f t="array" ref="BZ552">$BM552 * IF($AH552&lt;=2,
SUMPRODUCT(INDEX($AV$66:$AX$70,,$AI552), INDEX($AY$66:$BE$70,,$AH552), 1 / ($BF$66:$BF$70*BY552 + (1-$BF$66:$BF$70)*BU552), N($AU$66:$AU$70&gt;$AM552)),
SUMPRODUCT(INDEX($AV$56:$AX$65,,$AI552), INDEX($AY$56:$BE$65,,$AH552), 1 / ($BG$56:$BG$65*BY552 + (1-$BG$56:$BG$65)*BU552), N($AU$56:$AU$65&gt;$AM552))
) / 1000</f>
        <v>0</v>
      </c>
      <c r="CA552" s="231">
        <f t="shared" si="704"/>
        <v>20</v>
      </c>
      <c r="CB552" s="229">
        <f t="shared" si="682"/>
        <v>33</v>
      </c>
      <c r="CC552" s="234">
        <f t="shared" si="683"/>
        <v>4.8487499999999999</v>
      </c>
      <c r="CD552" s="234" cm="1">
        <f t="array" ref="CD552">$BM552 * IF($AH552&lt;=2,
SUMPRODUCT(INDEX($AV$61:$AX$65,,$AI552), INDEX($AY$61:$BE$65,,$AH552), 1 / ($BF$61:$BF$65*CC552 + (1-$BF$61:$BF$65)*BY552), N($AU$61:$AU$65&gt;$AM552)),
SUMPRODUCT(INDEX($AV$46:$AX$55,,$AI552), INDEX($AY$46:$BE$55,,$AH552), 1 / ($BG$46:$BG$55*CC552 + (1-$BG$46:$BG$55)*BY552), N($AU$46:$AU$55&gt;$AM552))
) / 1000</f>
        <v>0</v>
      </c>
      <c r="CE552" s="234" cm="1">
        <f t="array" ref="CE552">$BM552 * IF($AH552&lt;=2,
SUMPRODUCT(INDEX($AV$22:$AX$60,,$AI552), INDEX($AY$22:$BE$60,,$AH552), 1 / ($BF$22:$BF$60*CC552), N($AU$22:$AU$60&gt;$AM552)),
SUMPRODUCT(INDEX($AV$22:$AX$45,,$AI552), INDEX($AY$22:$BE$45,,$AH552), 1 / ($BG$22:$BG$45*CC552), N($AU$22:$AU$45&gt;$AM552))
) / 1000</f>
        <v>0</v>
      </c>
      <c r="CF552" s="229">
        <f t="shared" si="684"/>
        <v>0</v>
      </c>
      <c r="CG552" s="246"/>
      <c r="CH552" s="229">
        <f t="shared" si="685"/>
        <v>0</v>
      </c>
      <c r="CI552" s="228">
        <v>35</v>
      </c>
      <c r="CJ552" s="229">
        <f t="shared" si="686"/>
        <v>48</v>
      </c>
      <c r="CK552" s="234">
        <f t="shared" si="687"/>
        <v>3.0748170731707316</v>
      </c>
      <c r="CL552" s="234" cm="1">
        <f t="array" ref="CL552">$BM552 * SUMPRODUCT(INDEX($AV$76:$AX$81,,$AI552),INDEX($AY$76:$BE$81,,$AH552), N($AU$76:$AU$81&gt;$AM552)) / CK552 / 1000</f>
        <v>0</v>
      </c>
      <c r="CM552" s="231">
        <f t="shared" si="705"/>
        <v>30</v>
      </c>
      <c r="CN552" s="229">
        <f t="shared" si="688"/>
        <v>43</v>
      </c>
      <c r="CO552" s="234">
        <f t="shared" si="689"/>
        <v>3.5018750000000001</v>
      </c>
      <c r="CP552" s="234" cm="1">
        <f t="array" ref="CP552">$BM552 * IF($AH552&lt;=2,
SUMPRODUCT(INDEX($AV$71:$AX$75,,$AI552), INDEX($AY$71:$BE$75,,$AH552), 1 / ($BF$71:$BF$75*CO552 + (1-$BF$71:$BF$75)*CK552), N($AU$71:$AU$75&gt;$AM552)),
SUMPRODUCT(INDEX($AV$66:$AX$75,,$AI552), INDEX($AY$66:$BE$75,,$AH552), 1 / ($BG$66:$BG$75*CO552 + (1-$BG$66:$BG$75)*CK552), N($AU$66:$AU$75&gt;$AM552))
) / 1000</f>
        <v>0</v>
      </c>
      <c r="CQ552" s="231">
        <f t="shared" si="706"/>
        <v>25</v>
      </c>
      <c r="CR552" s="229">
        <f t="shared" si="690"/>
        <v>38</v>
      </c>
      <c r="CS552" s="234">
        <f t="shared" si="691"/>
        <v>4.0666935483870965</v>
      </c>
      <c r="CT552" s="234" cm="1">
        <f t="array" ref="CT552">$BM552 * IF($AH552&lt;=2,
SUMPRODUCT(INDEX($AV$66:$AX$70,,$AI552), INDEX($AY$66:$BE$70,,$AH552), 1 / ($BF$66:$BF$70*CS552 + (1-$BF$66:$BF$70)*CO552), N($AU$66:$AU$70&gt;$AM552)),
SUMPRODUCT(INDEX($AV$56:$AX$65,,$AI552), INDEX($AY$56:$BE$65,,$AH552), 1 / ($BG$56:$BG$65*CS552 + (1-$BG$56:$BG$65)*CO552), N($AU$56:$AU$65&gt;$AM552))
) / 1000</f>
        <v>0</v>
      </c>
      <c r="CU552" s="231">
        <f t="shared" si="707"/>
        <v>20</v>
      </c>
      <c r="CV552" s="229">
        <f t="shared" si="692"/>
        <v>33</v>
      </c>
      <c r="CW552" s="234">
        <f t="shared" si="693"/>
        <v>4.8487499999999999</v>
      </c>
      <c r="CX552" s="234" cm="1">
        <f t="array" ref="CX552">$BM552 * IF($AH552&lt;=2,
SUMPRODUCT(INDEX($AV$61:$AX$65,,$AI552), INDEX($AY$61:$BE$65,,$AH552), 1 / ($BF$61:$BF$65*CW552 + (1-$BF$61:$BF$65)*CS552), N($AU$61:$AU$65&gt;$AM552)),
SUMPRODUCT(INDEX($AV$46:$AX$55,,$AI552), INDEX($AY$46:$BE$55,,$AH552), 1 / ($BG$46:$BG$55*CW552 + (1-$BG$46:$BG$55)*CS552), N($AU$46:$AU$55&gt;$AM552))
) / 1000</f>
        <v>0</v>
      </c>
      <c r="CY552" s="234" cm="1">
        <f t="array" ref="CY552">$BM552 * IF($AH552&lt;=2,
SUMPRODUCT(INDEX($AV$22:$AX$60,,$AI552), INDEX($AY$22:$BE$60,,$AH552), 1 / ($BF$22:$BF$60*CW552), N($AU$22:$AU$60&gt;$AM552)),
SUMPRODUCT(INDEX($AV$22:$AX$45,,$AI552), INDEX($AY$22:$BE$45,,$AH552), 1 / ($BG$22:$BG$45*CW552), N($AU$22:$AU$45&gt;$AM552))
) / 1000</f>
        <v>0</v>
      </c>
      <c r="CZ552" s="229">
        <f t="shared" si="694"/>
        <v>0</v>
      </c>
      <c r="DA552" s="246"/>
    </row>
    <row r="553" spans="1:105" s="75" customFormat="1" ht="14.25" customHeight="1" x14ac:dyDescent="0.2">
      <c r="A553" s="230" t="b">
        <f t="shared" si="699"/>
        <v>0</v>
      </c>
      <c r="B553" s="253">
        <v>532</v>
      </c>
      <c r="C553" s="266"/>
      <c r="D553" s="266"/>
      <c r="E553" s="254"/>
      <c r="F553" s="255" t="str">
        <f>IF(ISBLANK(E553), "", VLOOKUP(E553, Z!$A$2:$C$4127, 3, FALSE))</f>
        <v/>
      </c>
      <c r="G553" s="256"/>
      <c r="H553" s="256"/>
      <c r="I553" s="256"/>
      <c r="J553" s="257"/>
      <c r="K553" s="258"/>
      <c r="L553" s="267"/>
      <c r="M553" s="268"/>
      <c r="N553" s="259" t="str" cm="1">
        <f t="array" ref="N553">IF($L553&gt;0, INDEX(Clean,1+AK553,$D$1), "")</f>
        <v/>
      </c>
      <c r="O553" s="260"/>
      <c r="P553" s="260"/>
      <c r="Q553" s="261"/>
      <c r="R553" s="264">
        <f t="shared" si="670"/>
        <v>0</v>
      </c>
      <c r="S553" s="259" t="str" cm="1">
        <f t="array" ref="S553">IF($L553&gt;0, INDEX(Clean,1+AL553,$D$1), "")</f>
        <v/>
      </c>
      <c r="T553" s="260"/>
      <c r="U553" s="260"/>
      <c r="V553" s="261"/>
      <c r="W553" s="267"/>
      <c r="X553" s="267"/>
      <c r="Y553" s="257"/>
      <c r="Z553" s="264">
        <f t="shared" si="671"/>
        <v>0</v>
      </c>
      <c r="AA553" s="269"/>
      <c r="AB553" s="266"/>
      <c r="AC553" s="254"/>
      <c r="AD553" s="255" t="str">
        <f>IF(ISBLANK(AC553), "", VLOOKUP(AC553, Z!$A$2:$C$4127, 3, FALSE))</f>
        <v/>
      </c>
      <c r="AE553" s="270"/>
      <c r="AF553" s="265">
        <f t="shared" si="672"/>
        <v>0</v>
      </c>
      <c r="AG553" s="246"/>
      <c r="AH553" s="228">
        <f t="shared" si="695"/>
        <v>1</v>
      </c>
      <c r="AI553" s="228">
        <f t="shared" si="696"/>
        <v>1</v>
      </c>
      <c r="AJ553" s="228">
        <f t="shared" si="697"/>
        <v>0</v>
      </c>
      <c r="AK553" s="228">
        <v>0</v>
      </c>
      <c r="AL553" s="228">
        <v>0</v>
      </c>
      <c r="AM553" s="228">
        <f t="shared" si="673"/>
        <v>-100</v>
      </c>
      <c r="AN553" s="228" cm="1">
        <f t="array" ref="AN553">IF(ISBLANK(G553), 1, IFERROR(MATCH(G553, INDEX(Kat,,1), 0), IFERROR(MATCH(Kat, INDEX(Use,,2), 0), MATCH(Kat, INDEX(Use,,3), 0))))</f>
        <v>1</v>
      </c>
      <c r="AO553" s="246"/>
      <c r="AP553" s="228" cm="1">
        <f t="array" ref="AP553">IF(W553&gt;0, INDEX(Kat, AN553,4), 0)</f>
        <v>0</v>
      </c>
      <c r="AQ553" s="228">
        <f t="shared" si="698"/>
        <v>0</v>
      </c>
      <c r="AR553" s="228" cm="1">
        <f t="array" ref="AR553">IF(X553&gt;0, INDEX(Kat, $AN553, 4+AQ553), 0)</f>
        <v>0</v>
      </c>
      <c r="AS553" s="228" cm="1">
        <f t="array" ref="AS553">IF(X553&gt;0, INDEX(Kat, $AN553, 9+AQ553), 0)</f>
        <v>0</v>
      </c>
      <c r="AT553" s="246"/>
      <c r="AU553" s="262"/>
      <c r="AV553" s="262"/>
      <c r="AW553" s="263"/>
      <c r="AX553" s="263"/>
      <c r="AY553" s="263"/>
      <c r="AZ553" s="263"/>
      <c r="BA553" s="263"/>
      <c r="BB553" s="263"/>
      <c r="BC553" s="263"/>
      <c r="BD553" s="263"/>
      <c r="BE553" s="263"/>
      <c r="BF553" s="263"/>
      <c r="BG553" s="263"/>
      <c r="BH553" s="246"/>
      <c r="BI553" s="228" cm="1">
        <f t="array" ref="BI553">INDEX(Use, $AH553, 4)</f>
        <v>7</v>
      </c>
      <c r="BJ553" s="228">
        <f t="shared" si="674"/>
        <v>32</v>
      </c>
      <c r="BK553" s="228">
        <f t="shared" si="700"/>
        <v>13</v>
      </c>
      <c r="BL553" s="228">
        <f t="shared" si="701"/>
        <v>0</v>
      </c>
      <c r="BM553" s="233" cm="1">
        <f t="array" ref="BM553">L553/IF($M553&gt;0, INDEX($AY$22:$BE$76, $M553+20, $AH553), 1)</f>
        <v>0</v>
      </c>
      <c r="BN553" s="229">
        <f t="shared" si="675"/>
        <v>0</v>
      </c>
      <c r="BO553" s="228">
        <v>35</v>
      </c>
      <c r="BP553" s="229">
        <f t="shared" si="676"/>
        <v>48</v>
      </c>
      <c r="BQ553" s="234">
        <f t="shared" si="677"/>
        <v>3.0748170731707316</v>
      </c>
      <c r="BR553" s="234" cm="1">
        <f t="array" ref="BR553">$BM553 * SUMPRODUCT(INDEX($AV$76:$AX$81,,$AI553),INDEX($AY$76:$BE$81,,$AH553), N($AU$76:$AU$81&gt;$AM553)) / BQ553 / 1000</f>
        <v>0</v>
      </c>
      <c r="BS553" s="231">
        <f t="shared" si="702"/>
        <v>30</v>
      </c>
      <c r="BT553" s="229">
        <f t="shared" si="678"/>
        <v>43</v>
      </c>
      <c r="BU553" s="234">
        <f t="shared" si="679"/>
        <v>3.5018750000000001</v>
      </c>
      <c r="BV553" s="234" cm="1">
        <f t="array" ref="BV553">$BM553 * IF($AH553&lt;=2,
SUMPRODUCT(INDEX($AV$71:$AX$75,,$AI553), INDEX($AY$71:$BE$75,,$AH553), 1 / ($BF$71:$BF$75*BU553 + (1-$BF$71:$BF$75)*BQ553), N($AU$71:$AU$75&gt;$AM553)),
SUMPRODUCT(INDEX($AV$66:$AX$75,,$AI553), INDEX($AY$66:$BE$75,,$AH553), 1 / ($BG$66:$BG$75*BU553 + (1-$BG$66:$BG$75)*BQ553), N($AU$66:$AU$75&gt;$AM553))
) / 1000</f>
        <v>0</v>
      </c>
      <c r="BW553" s="231">
        <f t="shared" si="703"/>
        <v>25</v>
      </c>
      <c r="BX553" s="229">
        <f t="shared" si="680"/>
        <v>38</v>
      </c>
      <c r="BY553" s="234">
        <f t="shared" si="681"/>
        <v>4.0666935483870965</v>
      </c>
      <c r="BZ553" s="234" cm="1">
        <f t="array" ref="BZ553">$BM553 * IF($AH553&lt;=2,
SUMPRODUCT(INDEX($AV$66:$AX$70,,$AI553), INDEX($AY$66:$BE$70,,$AH553), 1 / ($BF$66:$BF$70*BY553 + (1-$BF$66:$BF$70)*BU553), N($AU$66:$AU$70&gt;$AM553)),
SUMPRODUCT(INDEX($AV$56:$AX$65,,$AI553), INDEX($AY$56:$BE$65,,$AH553), 1 / ($BG$56:$BG$65*BY553 + (1-$BG$56:$BG$65)*BU553), N($AU$56:$AU$65&gt;$AM553))
) / 1000</f>
        <v>0</v>
      </c>
      <c r="CA553" s="231">
        <f t="shared" si="704"/>
        <v>20</v>
      </c>
      <c r="CB553" s="229">
        <f t="shared" si="682"/>
        <v>33</v>
      </c>
      <c r="CC553" s="234">
        <f t="shared" si="683"/>
        <v>4.8487499999999999</v>
      </c>
      <c r="CD553" s="234" cm="1">
        <f t="array" ref="CD553">$BM553 * IF($AH553&lt;=2,
SUMPRODUCT(INDEX($AV$61:$AX$65,,$AI553), INDEX($AY$61:$BE$65,,$AH553), 1 / ($BF$61:$BF$65*CC553 + (1-$BF$61:$BF$65)*BY553), N($AU$61:$AU$65&gt;$AM553)),
SUMPRODUCT(INDEX($AV$46:$AX$55,,$AI553), INDEX($AY$46:$BE$55,,$AH553), 1 / ($BG$46:$BG$55*CC553 + (1-$BG$46:$BG$55)*BY553), N($AU$46:$AU$55&gt;$AM553))
) / 1000</f>
        <v>0</v>
      </c>
      <c r="CE553" s="234" cm="1">
        <f t="array" ref="CE553">$BM553 * IF($AH553&lt;=2,
SUMPRODUCT(INDEX($AV$22:$AX$60,,$AI553), INDEX($AY$22:$BE$60,,$AH553), 1 / ($BF$22:$BF$60*CC553), N($AU$22:$AU$60&gt;$AM553)),
SUMPRODUCT(INDEX($AV$22:$AX$45,,$AI553), INDEX($AY$22:$BE$45,,$AH553), 1 / ($BG$22:$BG$45*CC553), N($AU$22:$AU$45&gt;$AM553))
) / 1000</f>
        <v>0</v>
      </c>
      <c r="CF553" s="229">
        <f t="shared" si="684"/>
        <v>0</v>
      </c>
      <c r="CG553" s="246"/>
      <c r="CH553" s="229">
        <f t="shared" si="685"/>
        <v>0</v>
      </c>
      <c r="CI553" s="228">
        <v>35</v>
      </c>
      <c r="CJ553" s="229">
        <f t="shared" si="686"/>
        <v>48</v>
      </c>
      <c r="CK553" s="234">
        <f t="shared" si="687"/>
        <v>3.0748170731707316</v>
      </c>
      <c r="CL553" s="234" cm="1">
        <f t="array" ref="CL553">$BM553 * SUMPRODUCT(INDEX($AV$76:$AX$81,,$AI553),INDEX($AY$76:$BE$81,,$AH553), N($AU$76:$AU$81&gt;$AM553)) / CK553 / 1000</f>
        <v>0</v>
      </c>
      <c r="CM553" s="231">
        <f t="shared" si="705"/>
        <v>30</v>
      </c>
      <c r="CN553" s="229">
        <f t="shared" si="688"/>
        <v>43</v>
      </c>
      <c r="CO553" s="234">
        <f t="shared" si="689"/>
        <v>3.5018750000000001</v>
      </c>
      <c r="CP553" s="234" cm="1">
        <f t="array" ref="CP553">$BM553 * IF($AH553&lt;=2,
SUMPRODUCT(INDEX($AV$71:$AX$75,,$AI553), INDEX($AY$71:$BE$75,,$AH553), 1 / ($BF$71:$BF$75*CO553 + (1-$BF$71:$BF$75)*CK553), N($AU$71:$AU$75&gt;$AM553)),
SUMPRODUCT(INDEX($AV$66:$AX$75,,$AI553), INDEX($AY$66:$BE$75,,$AH553), 1 / ($BG$66:$BG$75*CO553 + (1-$BG$66:$BG$75)*CK553), N($AU$66:$AU$75&gt;$AM553))
) / 1000</f>
        <v>0</v>
      </c>
      <c r="CQ553" s="231">
        <f t="shared" si="706"/>
        <v>25</v>
      </c>
      <c r="CR553" s="229">
        <f t="shared" si="690"/>
        <v>38</v>
      </c>
      <c r="CS553" s="234">
        <f t="shared" si="691"/>
        <v>4.0666935483870965</v>
      </c>
      <c r="CT553" s="234" cm="1">
        <f t="array" ref="CT553">$BM553 * IF($AH553&lt;=2,
SUMPRODUCT(INDEX($AV$66:$AX$70,,$AI553), INDEX($AY$66:$BE$70,,$AH553), 1 / ($BF$66:$BF$70*CS553 + (1-$BF$66:$BF$70)*CO553), N($AU$66:$AU$70&gt;$AM553)),
SUMPRODUCT(INDEX($AV$56:$AX$65,,$AI553), INDEX($AY$56:$BE$65,,$AH553), 1 / ($BG$56:$BG$65*CS553 + (1-$BG$56:$BG$65)*CO553), N($AU$56:$AU$65&gt;$AM553))
) / 1000</f>
        <v>0</v>
      </c>
      <c r="CU553" s="231">
        <f t="shared" si="707"/>
        <v>20</v>
      </c>
      <c r="CV553" s="229">
        <f t="shared" si="692"/>
        <v>33</v>
      </c>
      <c r="CW553" s="234">
        <f t="shared" si="693"/>
        <v>4.8487499999999999</v>
      </c>
      <c r="CX553" s="234" cm="1">
        <f t="array" ref="CX553">$BM553 * IF($AH553&lt;=2,
SUMPRODUCT(INDEX($AV$61:$AX$65,,$AI553), INDEX($AY$61:$BE$65,,$AH553), 1 / ($BF$61:$BF$65*CW553 + (1-$BF$61:$BF$65)*CS553), N($AU$61:$AU$65&gt;$AM553)),
SUMPRODUCT(INDEX($AV$46:$AX$55,,$AI553), INDEX($AY$46:$BE$55,,$AH553), 1 / ($BG$46:$BG$55*CW553 + (1-$BG$46:$BG$55)*CS553), N($AU$46:$AU$55&gt;$AM553))
) / 1000</f>
        <v>0</v>
      </c>
      <c r="CY553" s="234" cm="1">
        <f t="array" ref="CY553">$BM553 * IF($AH553&lt;=2,
SUMPRODUCT(INDEX($AV$22:$AX$60,,$AI553), INDEX($AY$22:$BE$60,,$AH553), 1 / ($BF$22:$BF$60*CW553), N($AU$22:$AU$60&gt;$AM553)),
SUMPRODUCT(INDEX($AV$22:$AX$45,,$AI553), INDEX($AY$22:$BE$45,,$AH553), 1 / ($BG$22:$BG$45*CW553), N($AU$22:$AU$45&gt;$AM553))
) / 1000</f>
        <v>0</v>
      </c>
      <c r="CZ553" s="229">
        <f t="shared" si="694"/>
        <v>0</v>
      </c>
      <c r="DA553" s="246"/>
    </row>
    <row r="554" spans="1:105" s="75" customFormat="1" ht="14.25" customHeight="1" x14ac:dyDescent="0.2">
      <c r="A554" s="230" t="b">
        <f t="shared" si="699"/>
        <v>0</v>
      </c>
      <c r="B554" s="253">
        <v>533</v>
      </c>
      <c r="C554" s="266"/>
      <c r="D554" s="266"/>
      <c r="E554" s="254"/>
      <c r="F554" s="255" t="str">
        <f>IF(ISBLANK(E554), "", VLOOKUP(E554, Z!$A$2:$C$4127, 3, FALSE))</f>
        <v/>
      </c>
      <c r="G554" s="256"/>
      <c r="H554" s="256"/>
      <c r="I554" s="256"/>
      <c r="J554" s="257"/>
      <c r="K554" s="258"/>
      <c r="L554" s="267"/>
      <c r="M554" s="268"/>
      <c r="N554" s="259" t="str" cm="1">
        <f t="array" ref="N554">IF($L554&gt;0, INDEX(Clean,1+AK554,$D$1), "")</f>
        <v/>
      </c>
      <c r="O554" s="260"/>
      <c r="P554" s="260"/>
      <c r="Q554" s="261"/>
      <c r="R554" s="264">
        <f t="shared" si="670"/>
        <v>0</v>
      </c>
      <c r="S554" s="259" t="str" cm="1">
        <f t="array" ref="S554">IF($L554&gt;0, INDEX(Clean,1+AL554,$D$1), "")</f>
        <v/>
      </c>
      <c r="T554" s="260"/>
      <c r="U554" s="260"/>
      <c r="V554" s="261"/>
      <c r="W554" s="267"/>
      <c r="X554" s="267"/>
      <c r="Y554" s="257"/>
      <c r="Z554" s="264">
        <f t="shared" si="671"/>
        <v>0</v>
      </c>
      <c r="AA554" s="269"/>
      <c r="AB554" s="266"/>
      <c r="AC554" s="254"/>
      <c r="AD554" s="255" t="str">
        <f>IF(ISBLANK(AC554), "", VLOOKUP(AC554, Z!$A$2:$C$4127, 3, FALSE))</f>
        <v/>
      </c>
      <c r="AE554" s="270"/>
      <c r="AF554" s="265">
        <f t="shared" si="672"/>
        <v>0</v>
      </c>
      <c r="AG554" s="246"/>
      <c r="AH554" s="228">
        <f t="shared" si="695"/>
        <v>1</v>
      </c>
      <c r="AI554" s="228">
        <f t="shared" si="696"/>
        <v>1</v>
      </c>
      <c r="AJ554" s="228">
        <f t="shared" si="697"/>
        <v>0</v>
      </c>
      <c r="AK554" s="228">
        <v>0</v>
      </c>
      <c r="AL554" s="228">
        <v>0</v>
      </c>
      <c r="AM554" s="228">
        <f t="shared" si="673"/>
        <v>-100</v>
      </c>
      <c r="AN554" s="228" cm="1">
        <f t="array" ref="AN554">IF(ISBLANK(G554), 1, IFERROR(MATCH(G554, INDEX(Kat,,1), 0), IFERROR(MATCH(Kat, INDEX(Use,,2), 0), MATCH(Kat, INDEX(Use,,3), 0))))</f>
        <v>1</v>
      </c>
      <c r="AO554" s="246"/>
      <c r="AP554" s="228" cm="1">
        <f t="array" ref="AP554">IF(W554&gt;0, INDEX(Kat, AN554,4), 0)</f>
        <v>0</v>
      </c>
      <c r="AQ554" s="228">
        <f t="shared" si="698"/>
        <v>0</v>
      </c>
      <c r="AR554" s="228" cm="1">
        <f t="array" ref="AR554">IF(X554&gt;0, INDEX(Kat, $AN554, 4+AQ554), 0)</f>
        <v>0</v>
      </c>
      <c r="AS554" s="228" cm="1">
        <f t="array" ref="AS554">IF(X554&gt;0, INDEX(Kat, $AN554, 9+AQ554), 0)</f>
        <v>0</v>
      </c>
      <c r="AT554" s="246"/>
      <c r="AU554" s="262"/>
      <c r="AV554" s="262"/>
      <c r="AW554" s="263"/>
      <c r="AX554" s="263"/>
      <c r="AY554" s="263"/>
      <c r="AZ554" s="263"/>
      <c r="BA554" s="263"/>
      <c r="BB554" s="263"/>
      <c r="BC554" s="263"/>
      <c r="BD554" s="263"/>
      <c r="BE554" s="263"/>
      <c r="BF554" s="263"/>
      <c r="BG554" s="263"/>
      <c r="BH554" s="246"/>
      <c r="BI554" s="228" cm="1">
        <f t="array" ref="BI554">INDEX(Use, $AH554, 4)</f>
        <v>7</v>
      </c>
      <c r="BJ554" s="228">
        <f t="shared" si="674"/>
        <v>32</v>
      </c>
      <c r="BK554" s="228">
        <f t="shared" si="700"/>
        <v>13</v>
      </c>
      <c r="BL554" s="228">
        <f t="shared" si="701"/>
        <v>0</v>
      </c>
      <c r="BM554" s="233" cm="1">
        <f t="array" ref="BM554">L554/IF($M554&gt;0, INDEX($AY$22:$BE$76, $M554+20, $AH554), 1)</f>
        <v>0</v>
      </c>
      <c r="BN554" s="229">
        <f t="shared" si="675"/>
        <v>0</v>
      </c>
      <c r="BO554" s="228">
        <v>35</v>
      </c>
      <c r="BP554" s="229">
        <f t="shared" si="676"/>
        <v>48</v>
      </c>
      <c r="BQ554" s="234">
        <f t="shared" si="677"/>
        <v>3.0748170731707316</v>
      </c>
      <c r="BR554" s="234" cm="1">
        <f t="array" ref="BR554">$BM554 * SUMPRODUCT(INDEX($AV$76:$AX$81,,$AI554),INDEX($AY$76:$BE$81,,$AH554), N($AU$76:$AU$81&gt;$AM554)) / BQ554 / 1000</f>
        <v>0</v>
      </c>
      <c r="BS554" s="231">
        <f t="shared" si="702"/>
        <v>30</v>
      </c>
      <c r="BT554" s="229">
        <f t="shared" si="678"/>
        <v>43</v>
      </c>
      <c r="BU554" s="234">
        <f t="shared" si="679"/>
        <v>3.5018750000000001</v>
      </c>
      <c r="BV554" s="234" cm="1">
        <f t="array" ref="BV554">$BM554 * IF($AH554&lt;=2,
SUMPRODUCT(INDEX($AV$71:$AX$75,,$AI554), INDEX($AY$71:$BE$75,,$AH554), 1 / ($BF$71:$BF$75*BU554 + (1-$BF$71:$BF$75)*BQ554), N($AU$71:$AU$75&gt;$AM554)),
SUMPRODUCT(INDEX($AV$66:$AX$75,,$AI554), INDEX($AY$66:$BE$75,,$AH554), 1 / ($BG$66:$BG$75*BU554 + (1-$BG$66:$BG$75)*BQ554), N($AU$66:$AU$75&gt;$AM554))
) / 1000</f>
        <v>0</v>
      </c>
      <c r="BW554" s="231">
        <f t="shared" si="703"/>
        <v>25</v>
      </c>
      <c r="BX554" s="229">
        <f t="shared" si="680"/>
        <v>38</v>
      </c>
      <c r="BY554" s="234">
        <f t="shared" si="681"/>
        <v>4.0666935483870965</v>
      </c>
      <c r="BZ554" s="234" cm="1">
        <f t="array" ref="BZ554">$BM554 * IF($AH554&lt;=2,
SUMPRODUCT(INDEX($AV$66:$AX$70,,$AI554), INDEX($AY$66:$BE$70,,$AH554), 1 / ($BF$66:$BF$70*BY554 + (1-$BF$66:$BF$70)*BU554), N($AU$66:$AU$70&gt;$AM554)),
SUMPRODUCT(INDEX($AV$56:$AX$65,,$AI554), INDEX($AY$56:$BE$65,,$AH554), 1 / ($BG$56:$BG$65*BY554 + (1-$BG$56:$BG$65)*BU554), N($AU$56:$AU$65&gt;$AM554))
) / 1000</f>
        <v>0</v>
      </c>
      <c r="CA554" s="231">
        <f t="shared" si="704"/>
        <v>20</v>
      </c>
      <c r="CB554" s="229">
        <f t="shared" si="682"/>
        <v>33</v>
      </c>
      <c r="CC554" s="234">
        <f t="shared" si="683"/>
        <v>4.8487499999999999</v>
      </c>
      <c r="CD554" s="234" cm="1">
        <f t="array" ref="CD554">$BM554 * IF($AH554&lt;=2,
SUMPRODUCT(INDEX($AV$61:$AX$65,,$AI554), INDEX($AY$61:$BE$65,,$AH554), 1 / ($BF$61:$BF$65*CC554 + (1-$BF$61:$BF$65)*BY554), N($AU$61:$AU$65&gt;$AM554)),
SUMPRODUCT(INDEX($AV$46:$AX$55,,$AI554), INDEX($AY$46:$BE$55,,$AH554), 1 / ($BG$46:$BG$55*CC554 + (1-$BG$46:$BG$55)*BY554), N($AU$46:$AU$55&gt;$AM554))
) / 1000</f>
        <v>0</v>
      </c>
      <c r="CE554" s="234" cm="1">
        <f t="array" ref="CE554">$BM554 * IF($AH554&lt;=2,
SUMPRODUCT(INDEX($AV$22:$AX$60,,$AI554), INDEX($AY$22:$BE$60,,$AH554), 1 / ($BF$22:$BF$60*CC554), N($AU$22:$AU$60&gt;$AM554)),
SUMPRODUCT(INDEX($AV$22:$AX$45,,$AI554), INDEX($AY$22:$BE$45,,$AH554), 1 / ($BG$22:$BG$45*CC554), N($AU$22:$AU$45&gt;$AM554))
) / 1000</f>
        <v>0</v>
      </c>
      <c r="CF554" s="229">
        <f t="shared" si="684"/>
        <v>0</v>
      </c>
      <c r="CG554" s="246"/>
      <c r="CH554" s="229">
        <f t="shared" si="685"/>
        <v>0</v>
      </c>
      <c r="CI554" s="228">
        <v>35</v>
      </c>
      <c r="CJ554" s="229">
        <f t="shared" si="686"/>
        <v>48</v>
      </c>
      <c r="CK554" s="234">
        <f t="shared" si="687"/>
        <v>3.0748170731707316</v>
      </c>
      <c r="CL554" s="234" cm="1">
        <f t="array" ref="CL554">$BM554 * SUMPRODUCT(INDEX($AV$76:$AX$81,,$AI554),INDEX($AY$76:$BE$81,,$AH554), N($AU$76:$AU$81&gt;$AM554)) / CK554 / 1000</f>
        <v>0</v>
      </c>
      <c r="CM554" s="231">
        <f t="shared" si="705"/>
        <v>30</v>
      </c>
      <c r="CN554" s="229">
        <f t="shared" si="688"/>
        <v>43</v>
      </c>
      <c r="CO554" s="234">
        <f t="shared" si="689"/>
        <v>3.5018750000000001</v>
      </c>
      <c r="CP554" s="234" cm="1">
        <f t="array" ref="CP554">$BM554 * IF($AH554&lt;=2,
SUMPRODUCT(INDEX($AV$71:$AX$75,,$AI554), INDEX($AY$71:$BE$75,,$AH554), 1 / ($BF$71:$BF$75*CO554 + (1-$BF$71:$BF$75)*CK554), N($AU$71:$AU$75&gt;$AM554)),
SUMPRODUCT(INDEX($AV$66:$AX$75,,$AI554), INDEX($AY$66:$BE$75,,$AH554), 1 / ($BG$66:$BG$75*CO554 + (1-$BG$66:$BG$75)*CK554), N($AU$66:$AU$75&gt;$AM554))
) / 1000</f>
        <v>0</v>
      </c>
      <c r="CQ554" s="231">
        <f t="shared" si="706"/>
        <v>25</v>
      </c>
      <c r="CR554" s="229">
        <f t="shared" si="690"/>
        <v>38</v>
      </c>
      <c r="CS554" s="234">
        <f t="shared" si="691"/>
        <v>4.0666935483870965</v>
      </c>
      <c r="CT554" s="234" cm="1">
        <f t="array" ref="CT554">$BM554 * IF($AH554&lt;=2,
SUMPRODUCT(INDEX($AV$66:$AX$70,,$AI554), INDEX($AY$66:$BE$70,,$AH554), 1 / ($BF$66:$BF$70*CS554 + (1-$BF$66:$BF$70)*CO554), N($AU$66:$AU$70&gt;$AM554)),
SUMPRODUCT(INDEX($AV$56:$AX$65,,$AI554), INDEX($AY$56:$BE$65,,$AH554), 1 / ($BG$56:$BG$65*CS554 + (1-$BG$56:$BG$65)*CO554), N($AU$56:$AU$65&gt;$AM554))
) / 1000</f>
        <v>0</v>
      </c>
      <c r="CU554" s="231">
        <f t="shared" si="707"/>
        <v>20</v>
      </c>
      <c r="CV554" s="229">
        <f t="shared" si="692"/>
        <v>33</v>
      </c>
      <c r="CW554" s="234">
        <f t="shared" si="693"/>
        <v>4.8487499999999999</v>
      </c>
      <c r="CX554" s="234" cm="1">
        <f t="array" ref="CX554">$BM554 * IF($AH554&lt;=2,
SUMPRODUCT(INDEX($AV$61:$AX$65,,$AI554), INDEX($AY$61:$BE$65,,$AH554), 1 / ($BF$61:$BF$65*CW554 + (1-$BF$61:$BF$65)*CS554), N($AU$61:$AU$65&gt;$AM554)),
SUMPRODUCT(INDEX($AV$46:$AX$55,,$AI554), INDEX($AY$46:$BE$55,,$AH554), 1 / ($BG$46:$BG$55*CW554 + (1-$BG$46:$BG$55)*CS554), N($AU$46:$AU$55&gt;$AM554))
) / 1000</f>
        <v>0</v>
      </c>
      <c r="CY554" s="234" cm="1">
        <f t="array" ref="CY554">$BM554 * IF($AH554&lt;=2,
SUMPRODUCT(INDEX($AV$22:$AX$60,,$AI554), INDEX($AY$22:$BE$60,,$AH554), 1 / ($BF$22:$BF$60*CW554), N($AU$22:$AU$60&gt;$AM554)),
SUMPRODUCT(INDEX($AV$22:$AX$45,,$AI554), INDEX($AY$22:$BE$45,,$AH554), 1 / ($BG$22:$BG$45*CW554), N($AU$22:$AU$45&gt;$AM554))
) / 1000</f>
        <v>0</v>
      </c>
      <c r="CZ554" s="229">
        <f t="shared" si="694"/>
        <v>0</v>
      </c>
      <c r="DA554" s="246"/>
    </row>
    <row r="555" spans="1:105" s="75" customFormat="1" ht="14.25" customHeight="1" x14ac:dyDescent="0.2">
      <c r="A555" s="230" t="b">
        <f t="shared" si="699"/>
        <v>0</v>
      </c>
      <c r="B555" s="253">
        <v>534</v>
      </c>
      <c r="C555" s="266"/>
      <c r="D555" s="266"/>
      <c r="E555" s="254"/>
      <c r="F555" s="255" t="str">
        <f>IF(ISBLANK(E555), "", VLOOKUP(E555, Z!$A$2:$C$4127, 3, FALSE))</f>
        <v/>
      </c>
      <c r="G555" s="256"/>
      <c r="H555" s="256"/>
      <c r="I555" s="256"/>
      <c r="J555" s="257"/>
      <c r="K555" s="258"/>
      <c r="L555" s="267"/>
      <c r="M555" s="268"/>
      <c r="N555" s="259" t="str" cm="1">
        <f t="array" ref="N555">IF($L555&gt;0, INDEX(Clean,1+AK555,$D$1), "")</f>
        <v/>
      </c>
      <c r="O555" s="260"/>
      <c r="P555" s="260"/>
      <c r="Q555" s="261"/>
      <c r="R555" s="264">
        <f t="shared" si="670"/>
        <v>0</v>
      </c>
      <c r="S555" s="259" t="str" cm="1">
        <f t="array" ref="S555">IF($L555&gt;0, INDEX(Clean,1+AL555,$D$1), "")</f>
        <v/>
      </c>
      <c r="T555" s="260"/>
      <c r="U555" s="260"/>
      <c r="V555" s="261"/>
      <c r="W555" s="267"/>
      <c r="X555" s="267"/>
      <c r="Y555" s="257"/>
      <c r="Z555" s="264">
        <f t="shared" si="671"/>
        <v>0</v>
      </c>
      <c r="AA555" s="269"/>
      <c r="AB555" s="266"/>
      <c r="AC555" s="254"/>
      <c r="AD555" s="255" t="str">
        <f>IF(ISBLANK(AC555), "", VLOOKUP(AC555, Z!$A$2:$C$4127, 3, FALSE))</f>
        <v/>
      </c>
      <c r="AE555" s="270"/>
      <c r="AF555" s="265">
        <f t="shared" si="672"/>
        <v>0</v>
      </c>
      <c r="AG555" s="246"/>
      <c r="AH555" s="228">
        <f t="shared" si="695"/>
        <v>1</v>
      </c>
      <c r="AI555" s="228">
        <f t="shared" si="696"/>
        <v>1</v>
      </c>
      <c r="AJ555" s="228">
        <f t="shared" si="697"/>
        <v>0</v>
      </c>
      <c r="AK555" s="228">
        <v>0</v>
      </c>
      <c r="AL555" s="228">
        <v>0</v>
      </c>
      <c r="AM555" s="228">
        <f t="shared" si="673"/>
        <v>-100</v>
      </c>
      <c r="AN555" s="228" cm="1">
        <f t="array" ref="AN555">IF(ISBLANK(G555), 1, IFERROR(MATCH(G555, INDEX(Kat,,1), 0), IFERROR(MATCH(Kat, INDEX(Use,,2), 0), MATCH(Kat, INDEX(Use,,3), 0))))</f>
        <v>1</v>
      </c>
      <c r="AO555" s="246"/>
      <c r="AP555" s="228" cm="1">
        <f t="array" ref="AP555">IF(W555&gt;0, INDEX(Kat, AN555,4), 0)</f>
        <v>0</v>
      </c>
      <c r="AQ555" s="228">
        <f t="shared" si="698"/>
        <v>0</v>
      </c>
      <c r="AR555" s="228" cm="1">
        <f t="array" ref="AR555">IF(X555&gt;0, INDEX(Kat, $AN555, 4+AQ555), 0)</f>
        <v>0</v>
      </c>
      <c r="AS555" s="228" cm="1">
        <f t="array" ref="AS555">IF(X555&gt;0, INDEX(Kat, $AN555, 9+AQ555), 0)</f>
        <v>0</v>
      </c>
      <c r="AT555" s="246"/>
      <c r="AU555" s="262"/>
      <c r="AV555" s="262"/>
      <c r="AW555" s="263"/>
      <c r="AX555" s="263"/>
      <c r="AY555" s="263"/>
      <c r="AZ555" s="263"/>
      <c r="BA555" s="263"/>
      <c r="BB555" s="263"/>
      <c r="BC555" s="263"/>
      <c r="BD555" s="263"/>
      <c r="BE555" s="263"/>
      <c r="BF555" s="263"/>
      <c r="BG555" s="263"/>
      <c r="BH555" s="246"/>
      <c r="BI555" s="228" cm="1">
        <f t="array" ref="BI555">INDEX(Use, $AH555, 4)</f>
        <v>7</v>
      </c>
      <c r="BJ555" s="228">
        <f t="shared" si="674"/>
        <v>32</v>
      </c>
      <c r="BK555" s="228">
        <f t="shared" si="700"/>
        <v>13</v>
      </c>
      <c r="BL555" s="228">
        <f t="shared" si="701"/>
        <v>0</v>
      </c>
      <c r="BM555" s="233" cm="1">
        <f t="array" ref="BM555">L555/IF($M555&gt;0, INDEX($AY$22:$BE$76, $M555+20, $AH555), 1)</f>
        <v>0</v>
      </c>
      <c r="BN555" s="229">
        <f t="shared" si="675"/>
        <v>0</v>
      </c>
      <c r="BO555" s="228">
        <v>35</v>
      </c>
      <c r="BP555" s="229">
        <f t="shared" si="676"/>
        <v>48</v>
      </c>
      <c r="BQ555" s="234">
        <f t="shared" si="677"/>
        <v>3.0748170731707316</v>
      </c>
      <c r="BR555" s="234" cm="1">
        <f t="array" ref="BR555">$BM555 * SUMPRODUCT(INDEX($AV$76:$AX$81,,$AI555),INDEX($AY$76:$BE$81,,$AH555), N($AU$76:$AU$81&gt;$AM555)) / BQ555 / 1000</f>
        <v>0</v>
      </c>
      <c r="BS555" s="231">
        <f t="shared" si="702"/>
        <v>30</v>
      </c>
      <c r="BT555" s="229">
        <f t="shared" si="678"/>
        <v>43</v>
      </c>
      <c r="BU555" s="234">
        <f t="shared" si="679"/>
        <v>3.5018750000000001</v>
      </c>
      <c r="BV555" s="234" cm="1">
        <f t="array" ref="BV555">$BM555 * IF($AH555&lt;=2,
SUMPRODUCT(INDEX($AV$71:$AX$75,,$AI555), INDEX($AY$71:$BE$75,,$AH555), 1 / ($BF$71:$BF$75*BU555 + (1-$BF$71:$BF$75)*BQ555), N($AU$71:$AU$75&gt;$AM555)),
SUMPRODUCT(INDEX($AV$66:$AX$75,,$AI555), INDEX($AY$66:$BE$75,,$AH555), 1 / ($BG$66:$BG$75*BU555 + (1-$BG$66:$BG$75)*BQ555), N($AU$66:$AU$75&gt;$AM555))
) / 1000</f>
        <v>0</v>
      </c>
      <c r="BW555" s="231">
        <f t="shared" si="703"/>
        <v>25</v>
      </c>
      <c r="BX555" s="229">
        <f t="shared" si="680"/>
        <v>38</v>
      </c>
      <c r="BY555" s="234">
        <f t="shared" si="681"/>
        <v>4.0666935483870965</v>
      </c>
      <c r="BZ555" s="234" cm="1">
        <f t="array" ref="BZ555">$BM555 * IF($AH555&lt;=2,
SUMPRODUCT(INDEX($AV$66:$AX$70,,$AI555), INDEX($AY$66:$BE$70,,$AH555), 1 / ($BF$66:$BF$70*BY555 + (1-$BF$66:$BF$70)*BU555), N($AU$66:$AU$70&gt;$AM555)),
SUMPRODUCT(INDEX($AV$56:$AX$65,,$AI555), INDEX($AY$56:$BE$65,,$AH555), 1 / ($BG$56:$BG$65*BY555 + (1-$BG$56:$BG$65)*BU555), N($AU$56:$AU$65&gt;$AM555))
) / 1000</f>
        <v>0</v>
      </c>
      <c r="CA555" s="231">
        <f t="shared" si="704"/>
        <v>20</v>
      </c>
      <c r="CB555" s="229">
        <f t="shared" si="682"/>
        <v>33</v>
      </c>
      <c r="CC555" s="234">
        <f t="shared" si="683"/>
        <v>4.8487499999999999</v>
      </c>
      <c r="CD555" s="234" cm="1">
        <f t="array" ref="CD555">$BM555 * IF($AH555&lt;=2,
SUMPRODUCT(INDEX($AV$61:$AX$65,,$AI555), INDEX($AY$61:$BE$65,,$AH555), 1 / ($BF$61:$BF$65*CC555 + (1-$BF$61:$BF$65)*BY555), N($AU$61:$AU$65&gt;$AM555)),
SUMPRODUCT(INDEX($AV$46:$AX$55,,$AI555), INDEX($AY$46:$BE$55,,$AH555), 1 / ($BG$46:$BG$55*CC555 + (1-$BG$46:$BG$55)*BY555), N($AU$46:$AU$55&gt;$AM555))
) / 1000</f>
        <v>0</v>
      </c>
      <c r="CE555" s="234" cm="1">
        <f t="array" ref="CE555">$BM555 * IF($AH555&lt;=2,
SUMPRODUCT(INDEX($AV$22:$AX$60,,$AI555), INDEX($AY$22:$BE$60,,$AH555), 1 / ($BF$22:$BF$60*CC555), N($AU$22:$AU$60&gt;$AM555)),
SUMPRODUCT(INDEX($AV$22:$AX$45,,$AI555), INDEX($AY$22:$BE$45,,$AH555), 1 / ($BG$22:$BG$45*CC555), N($AU$22:$AU$45&gt;$AM555))
) / 1000</f>
        <v>0</v>
      </c>
      <c r="CF555" s="229">
        <f t="shared" si="684"/>
        <v>0</v>
      </c>
      <c r="CG555" s="246"/>
      <c r="CH555" s="229">
        <f t="shared" si="685"/>
        <v>0</v>
      </c>
      <c r="CI555" s="228">
        <v>35</v>
      </c>
      <c r="CJ555" s="229">
        <f t="shared" si="686"/>
        <v>48</v>
      </c>
      <c r="CK555" s="234">
        <f t="shared" si="687"/>
        <v>3.0748170731707316</v>
      </c>
      <c r="CL555" s="234" cm="1">
        <f t="array" ref="CL555">$BM555 * SUMPRODUCT(INDEX($AV$76:$AX$81,,$AI555),INDEX($AY$76:$BE$81,,$AH555), N($AU$76:$AU$81&gt;$AM555)) / CK555 / 1000</f>
        <v>0</v>
      </c>
      <c r="CM555" s="231">
        <f t="shared" si="705"/>
        <v>30</v>
      </c>
      <c r="CN555" s="229">
        <f t="shared" si="688"/>
        <v>43</v>
      </c>
      <c r="CO555" s="234">
        <f t="shared" si="689"/>
        <v>3.5018750000000001</v>
      </c>
      <c r="CP555" s="234" cm="1">
        <f t="array" ref="CP555">$BM555 * IF($AH555&lt;=2,
SUMPRODUCT(INDEX($AV$71:$AX$75,,$AI555), INDEX($AY$71:$BE$75,,$AH555), 1 / ($BF$71:$BF$75*CO555 + (1-$BF$71:$BF$75)*CK555), N($AU$71:$AU$75&gt;$AM555)),
SUMPRODUCT(INDEX($AV$66:$AX$75,,$AI555), INDEX($AY$66:$BE$75,,$AH555), 1 / ($BG$66:$BG$75*CO555 + (1-$BG$66:$BG$75)*CK555), N($AU$66:$AU$75&gt;$AM555))
) / 1000</f>
        <v>0</v>
      </c>
      <c r="CQ555" s="231">
        <f t="shared" si="706"/>
        <v>25</v>
      </c>
      <c r="CR555" s="229">
        <f t="shared" si="690"/>
        <v>38</v>
      </c>
      <c r="CS555" s="234">
        <f t="shared" si="691"/>
        <v>4.0666935483870965</v>
      </c>
      <c r="CT555" s="234" cm="1">
        <f t="array" ref="CT555">$BM555 * IF($AH555&lt;=2,
SUMPRODUCT(INDEX($AV$66:$AX$70,,$AI555), INDEX($AY$66:$BE$70,,$AH555), 1 / ($BF$66:$BF$70*CS555 + (1-$BF$66:$BF$70)*CO555), N($AU$66:$AU$70&gt;$AM555)),
SUMPRODUCT(INDEX($AV$56:$AX$65,,$AI555), INDEX($AY$56:$BE$65,,$AH555), 1 / ($BG$56:$BG$65*CS555 + (1-$BG$56:$BG$65)*CO555), N($AU$56:$AU$65&gt;$AM555))
) / 1000</f>
        <v>0</v>
      </c>
      <c r="CU555" s="231">
        <f t="shared" si="707"/>
        <v>20</v>
      </c>
      <c r="CV555" s="229">
        <f t="shared" si="692"/>
        <v>33</v>
      </c>
      <c r="CW555" s="234">
        <f t="shared" si="693"/>
        <v>4.8487499999999999</v>
      </c>
      <c r="CX555" s="234" cm="1">
        <f t="array" ref="CX555">$BM555 * IF($AH555&lt;=2,
SUMPRODUCT(INDEX($AV$61:$AX$65,,$AI555), INDEX($AY$61:$BE$65,,$AH555), 1 / ($BF$61:$BF$65*CW555 + (1-$BF$61:$BF$65)*CS555), N($AU$61:$AU$65&gt;$AM555)),
SUMPRODUCT(INDEX($AV$46:$AX$55,,$AI555), INDEX($AY$46:$BE$55,,$AH555), 1 / ($BG$46:$BG$55*CW555 + (1-$BG$46:$BG$55)*CS555), N($AU$46:$AU$55&gt;$AM555))
) / 1000</f>
        <v>0</v>
      </c>
      <c r="CY555" s="234" cm="1">
        <f t="array" ref="CY555">$BM555 * IF($AH555&lt;=2,
SUMPRODUCT(INDEX($AV$22:$AX$60,,$AI555), INDEX($AY$22:$BE$60,,$AH555), 1 / ($BF$22:$BF$60*CW555), N($AU$22:$AU$60&gt;$AM555)),
SUMPRODUCT(INDEX($AV$22:$AX$45,,$AI555), INDEX($AY$22:$BE$45,,$AH555), 1 / ($BG$22:$BG$45*CW555), N($AU$22:$AU$45&gt;$AM555))
) / 1000</f>
        <v>0</v>
      </c>
      <c r="CZ555" s="229">
        <f t="shared" si="694"/>
        <v>0</v>
      </c>
      <c r="DA555" s="246"/>
    </row>
    <row r="556" spans="1:105" s="75" customFormat="1" ht="14.25" customHeight="1" x14ac:dyDescent="0.2">
      <c r="A556" s="230" t="b">
        <f t="shared" si="699"/>
        <v>0</v>
      </c>
      <c r="B556" s="253">
        <v>535</v>
      </c>
      <c r="C556" s="266"/>
      <c r="D556" s="266"/>
      <c r="E556" s="254"/>
      <c r="F556" s="255" t="str">
        <f>IF(ISBLANK(E556), "", VLOOKUP(E556, Z!$A$2:$C$4127, 3, FALSE))</f>
        <v/>
      </c>
      <c r="G556" s="256"/>
      <c r="H556" s="256"/>
      <c r="I556" s="256"/>
      <c r="J556" s="257"/>
      <c r="K556" s="258"/>
      <c r="L556" s="267"/>
      <c r="M556" s="268"/>
      <c r="N556" s="259" t="str" cm="1">
        <f t="array" ref="N556">IF($L556&gt;0, INDEX(Clean,1+AK556,$D$1), "")</f>
        <v/>
      </c>
      <c r="O556" s="260"/>
      <c r="P556" s="260"/>
      <c r="Q556" s="261"/>
      <c r="R556" s="264">
        <f t="shared" si="670"/>
        <v>0</v>
      </c>
      <c r="S556" s="259" t="str" cm="1">
        <f t="array" ref="S556">IF($L556&gt;0, INDEX(Clean,1+AL556,$D$1), "")</f>
        <v/>
      </c>
      <c r="T556" s="260"/>
      <c r="U556" s="260"/>
      <c r="V556" s="261"/>
      <c r="W556" s="267"/>
      <c r="X556" s="267"/>
      <c r="Y556" s="257"/>
      <c r="Z556" s="264">
        <f t="shared" si="671"/>
        <v>0</v>
      </c>
      <c r="AA556" s="269"/>
      <c r="AB556" s="266"/>
      <c r="AC556" s="254"/>
      <c r="AD556" s="255" t="str">
        <f>IF(ISBLANK(AC556), "", VLOOKUP(AC556, Z!$A$2:$C$4127, 3, FALSE))</f>
        <v/>
      </c>
      <c r="AE556" s="270"/>
      <c r="AF556" s="265">
        <f t="shared" si="672"/>
        <v>0</v>
      </c>
      <c r="AG556" s="246"/>
      <c r="AH556" s="228">
        <f t="shared" si="695"/>
        <v>1</v>
      </c>
      <c r="AI556" s="228">
        <f t="shared" si="696"/>
        <v>1</v>
      </c>
      <c r="AJ556" s="228">
        <f t="shared" si="697"/>
        <v>0</v>
      </c>
      <c r="AK556" s="228">
        <v>0</v>
      </c>
      <c r="AL556" s="228">
        <v>0</v>
      </c>
      <c r="AM556" s="228">
        <f t="shared" si="673"/>
        <v>-100</v>
      </c>
      <c r="AN556" s="228" cm="1">
        <f t="array" ref="AN556">IF(ISBLANK(G556), 1, IFERROR(MATCH(G556, INDEX(Kat,,1), 0), IFERROR(MATCH(Kat, INDEX(Use,,2), 0), MATCH(Kat, INDEX(Use,,3), 0))))</f>
        <v>1</v>
      </c>
      <c r="AO556" s="246"/>
      <c r="AP556" s="228" cm="1">
        <f t="array" ref="AP556">IF(W556&gt;0, INDEX(Kat, AN556,4), 0)</f>
        <v>0</v>
      </c>
      <c r="AQ556" s="228">
        <f t="shared" si="698"/>
        <v>0</v>
      </c>
      <c r="AR556" s="228" cm="1">
        <f t="array" ref="AR556">IF(X556&gt;0, INDEX(Kat, $AN556, 4+AQ556), 0)</f>
        <v>0</v>
      </c>
      <c r="AS556" s="228" cm="1">
        <f t="array" ref="AS556">IF(X556&gt;0, INDEX(Kat, $AN556, 9+AQ556), 0)</f>
        <v>0</v>
      </c>
      <c r="AT556" s="246"/>
      <c r="AU556" s="262"/>
      <c r="AV556" s="262"/>
      <c r="AW556" s="263"/>
      <c r="AX556" s="263"/>
      <c r="AY556" s="263"/>
      <c r="AZ556" s="263"/>
      <c r="BA556" s="263"/>
      <c r="BB556" s="263"/>
      <c r="BC556" s="263"/>
      <c r="BD556" s="263"/>
      <c r="BE556" s="263"/>
      <c r="BF556" s="263"/>
      <c r="BG556" s="263"/>
      <c r="BH556" s="246"/>
      <c r="BI556" s="228" cm="1">
        <f t="array" ref="BI556">INDEX(Use, $AH556, 4)</f>
        <v>7</v>
      </c>
      <c r="BJ556" s="228">
        <f t="shared" si="674"/>
        <v>32</v>
      </c>
      <c r="BK556" s="228">
        <f t="shared" si="700"/>
        <v>13</v>
      </c>
      <c r="BL556" s="228">
        <f t="shared" si="701"/>
        <v>0</v>
      </c>
      <c r="BM556" s="233" cm="1">
        <f t="array" ref="BM556">L556/IF($M556&gt;0, INDEX($AY$22:$BE$76, $M556+20, $AH556), 1)</f>
        <v>0</v>
      </c>
      <c r="BN556" s="229">
        <f t="shared" si="675"/>
        <v>0</v>
      </c>
      <c r="BO556" s="228">
        <v>35</v>
      </c>
      <c r="BP556" s="229">
        <f t="shared" si="676"/>
        <v>48</v>
      </c>
      <c r="BQ556" s="234">
        <f t="shared" si="677"/>
        <v>3.0748170731707316</v>
      </c>
      <c r="BR556" s="234" cm="1">
        <f t="array" ref="BR556">$BM556 * SUMPRODUCT(INDEX($AV$76:$AX$81,,$AI556),INDEX($AY$76:$BE$81,,$AH556), N($AU$76:$AU$81&gt;$AM556)) / BQ556 / 1000</f>
        <v>0</v>
      </c>
      <c r="BS556" s="231">
        <f t="shared" si="702"/>
        <v>30</v>
      </c>
      <c r="BT556" s="229">
        <f t="shared" si="678"/>
        <v>43</v>
      </c>
      <c r="BU556" s="234">
        <f t="shared" si="679"/>
        <v>3.5018750000000001</v>
      </c>
      <c r="BV556" s="234" cm="1">
        <f t="array" ref="BV556">$BM556 * IF($AH556&lt;=2,
SUMPRODUCT(INDEX($AV$71:$AX$75,,$AI556), INDEX($AY$71:$BE$75,,$AH556), 1 / ($BF$71:$BF$75*BU556 + (1-$BF$71:$BF$75)*BQ556), N($AU$71:$AU$75&gt;$AM556)),
SUMPRODUCT(INDEX($AV$66:$AX$75,,$AI556), INDEX($AY$66:$BE$75,,$AH556), 1 / ($BG$66:$BG$75*BU556 + (1-$BG$66:$BG$75)*BQ556), N($AU$66:$AU$75&gt;$AM556))
) / 1000</f>
        <v>0</v>
      </c>
      <c r="BW556" s="231">
        <f t="shared" si="703"/>
        <v>25</v>
      </c>
      <c r="BX556" s="229">
        <f t="shared" si="680"/>
        <v>38</v>
      </c>
      <c r="BY556" s="234">
        <f t="shared" si="681"/>
        <v>4.0666935483870965</v>
      </c>
      <c r="BZ556" s="234" cm="1">
        <f t="array" ref="BZ556">$BM556 * IF($AH556&lt;=2,
SUMPRODUCT(INDEX($AV$66:$AX$70,,$AI556), INDEX($AY$66:$BE$70,,$AH556), 1 / ($BF$66:$BF$70*BY556 + (1-$BF$66:$BF$70)*BU556), N($AU$66:$AU$70&gt;$AM556)),
SUMPRODUCT(INDEX($AV$56:$AX$65,,$AI556), INDEX($AY$56:$BE$65,,$AH556), 1 / ($BG$56:$BG$65*BY556 + (1-$BG$56:$BG$65)*BU556), N($AU$56:$AU$65&gt;$AM556))
) / 1000</f>
        <v>0</v>
      </c>
      <c r="CA556" s="231">
        <f t="shared" si="704"/>
        <v>20</v>
      </c>
      <c r="CB556" s="229">
        <f t="shared" si="682"/>
        <v>33</v>
      </c>
      <c r="CC556" s="234">
        <f t="shared" si="683"/>
        <v>4.8487499999999999</v>
      </c>
      <c r="CD556" s="234" cm="1">
        <f t="array" ref="CD556">$BM556 * IF($AH556&lt;=2,
SUMPRODUCT(INDEX($AV$61:$AX$65,,$AI556), INDEX($AY$61:$BE$65,,$AH556), 1 / ($BF$61:$BF$65*CC556 + (1-$BF$61:$BF$65)*BY556), N($AU$61:$AU$65&gt;$AM556)),
SUMPRODUCT(INDEX($AV$46:$AX$55,,$AI556), INDEX($AY$46:$BE$55,,$AH556), 1 / ($BG$46:$BG$55*CC556 + (1-$BG$46:$BG$55)*BY556), N($AU$46:$AU$55&gt;$AM556))
) / 1000</f>
        <v>0</v>
      </c>
      <c r="CE556" s="234" cm="1">
        <f t="array" ref="CE556">$BM556 * IF($AH556&lt;=2,
SUMPRODUCT(INDEX($AV$22:$AX$60,,$AI556), INDEX($AY$22:$BE$60,,$AH556), 1 / ($BF$22:$BF$60*CC556), N($AU$22:$AU$60&gt;$AM556)),
SUMPRODUCT(INDEX($AV$22:$AX$45,,$AI556), INDEX($AY$22:$BE$45,,$AH556), 1 / ($BG$22:$BG$45*CC556), N($AU$22:$AU$45&gt;$AM556))
) / 1000</f>
        <v>0</v>
      </c>
      <c r="CF556" s="229">
        <f t="shared" si="684"/>
        <v>0</v>
      </c>
      <c r="CG556" s="246"/>
      <c r="CH556" s="229">
        <f t="shared" si="685"/>
        <v>0</v>
      </c>
      <c r="CI556" s="228">
        <v>35</v>
      </c>
      <c r="CJ556" s="229">
        <f t="shared" si="686"/>
        <v>48</v>
      </c>
      <c r="CK556" s="234">
        <f t="shared" si="687"/>
        <v>3.0748170731707316</v>
      </c>
      <c r="CL556" s="234" cm="1">
        <f t="array" ref="CL556">$BM556 * SUMPRODUCT(INDEX($AV$76:$AX$81,,$AI556),INDEX($AY$76:$BE$81,,$AH556), N($AU$76:$AU$81&gt;$AM556)) / CK556 / 1000</f>
        <v>0</v>
      </c>
      <c r="CM556" s="231">
        <f t="shared" si="705"/>
        <v>30</v>
      </c>
      <c r="CN556" s="229">
        <f t="shared" si="688"/>
        <v>43</v>
      </c>
      <c r="CO556" s="234">
        <f t="shared" si="689"/>
        <v>3.5018750000000001</v>
      </c>
      <c r="CP556" s="234" cm="1">
        <f t="array" ref="CP556">$BM556 * IF($AH556&lt;=2,
SUMPRODUCT(INDEX($AV$71:$AX$75,,$AI556), INDEX($AY$71:$BE$75,,$AH556), 1 / ($BF$71:$BF$75*CO556 + (1-$BF$71:$BF$75)*CK556), N($AU$71:$AU$75&gt;$AM556)),
SUMPRODUCT(INDEX($AV$66:$AX$75,,$AI556), INDEX($AY$66:$BE$75,,$AH556), 1 / ($BG$66:$BG$75*CO556 + (1-$BG$66:$BG$75)*CK556), N($AU$66:$AU$75&gt;$AM556))
) / 1000</f>
        <v>0</v>
      </c>
      <c r="CQ556" s="231">
        <f t="shared" si="706"/>
        <v>25</v>
      </c>
      <c r="CR556" s="229">
        <f t="shared" si="690"/>
        <v>38</v>
      </c>
      <c r="CS556" s="234">
        <f t="shared" si="691"/>
        <v>4.0666935483870965</v>
      </c>
      <c r="CT556" s="234" cm="1">
        <f t="array" ref="CT556">$BM556 * IF($AH556&lt;=2,
SUMPRODUCT(INDEX($AV$66:$AX$70,,$AI556), INDEX($AY$66:$BE$70,,$AH556), 1 / ($BF$66:$BF$70*CS556 + (1-$BF$66:$BF$70)*CO556), N($AU$66:$AU$70&gt;$AM556)),
SUMPRODUCT(INDEX($AV$56:$AX$65,,$AI556), INDEX($AY$56:$BE$65,,$AH556), 1 / ($BG$56:$BG$65*CS556 + (1-$BG$56:$BG$65)*CO556), N($AU$56:$AU$65&gt;$AM556))
) / 1000</f>
        <v>0</v>
      </c>
      <c r="CU556" s="231">
        <f t="shared" si="707"/>
        <v>20</v>
      </c>
      <c r="CV556" s="229">
        <f t="shared" si="692"/>
        <v>33</v>
      </c>
      <c r="CW556" s="234">
        <f t="shared" si="693"/>
        <v>4.8487499999999999</v>
      </c>
      <c r="CX556" s="234" cm="1">
        <f t="array" ref="CX556">$BM556 * IF($AH556&lt;=2,
SUMPRODUCT(INDEX($AV$61:$AX$65,,$AI556), INDEX($AY$61:$BE$65,,$AH556), 1 / ($BF$61:$BF$65*CW556 + (1-$BF$61:$BF$65)*CS556), N($AU$61:$AU$65&gt;$AM556)),
SUMPRODUCT(INDEX($AV$46:$AX$55,,$AI556), INDEX($AY$46:$BE$55,,$AH556), 1 / ($BG$46:$BG$55*CW556 + (1-$BG$46:$BG$55)*CS556), N($AU$46:$AU$55&gt;$AM556))
) / 1000</f>
        <v>0</v>
      </c>
      <c r="CY556" s="234" cm="1">
        <f t="array" ref="CY556">$BM556 * IF($AH556&lt;=2,
SUMPRODUCT(INDEX($AV$22:$AX$60,,$AI556), INDEX($AY$22:$BE$60,,$AH556), 1 / ($BF$22:$BF$60*CW556), N($AU$22:$AU$60&gt;$AM556)),
SUMPRODUCT(INDEX($AV$22:$AX$45,,$AI556), INDEX($AY$22:$BE$45,,$AH556), 1 / ($BG$22:$BG$45*CW556), N($AU$22:$AU$45&gt;$AM556))
) / 1000</f>
        <v>0</v>
      </c>
      <c r="CZ556" s="229">
        <f t="shared" si="694"/>
        <v>0</v>
      </c>
      <c r="DA556" s="246"/>
    </row>
    <row r="557" spans="1:105" s="75" customFormat="1" ht="14.25" customHeight="1" x14ac:dyDescent="0.2">
      <c r="A557" s="230" t="b">
        <f t="shared" si="699"/>
        <v>0</v>
      </c>
      <c r="B557" s="253">
        <v>536</v>
      </c>
      <c r="C557" s="266"/>
      <c r="D557" s="266"/>
      <c r="E557" s="254"/>
      <c r="F557" s="255" t="str">
        <f>IF(ISBLANK(E557), "", VLOOKUP(E557, Z!$A$2:$C$4127, 3, FALSE))</f>
        <v/>
      </c>
      <c r="G557" s="256"/>
      <c r="H557" s="256"/>
      <c r="I557" s="256"/>
      <c r="J557" s="257"/>
      <c r="K557" s="258"/>
      <c r="L557" s="267"/>
      <c r="M557" s="268"/>
      <c r="N557" s="259" t="str" cm="1">
        <f t="array" ref="N557">IF($L557&gt;0, INDEX(Clean,1+AK557,$D$1), "")</f>
        <v/>
      </c>
      <c r="O557" s="260"/>
      <c r="P557" s="260"/>
      <c r="Q557" s="261"/>
      <c r="R557" s="264">
        <f t="shared" si="670"/>
        <v>0</v>
      </c>
      <c r="S557" s="259" t="str" cm="1">
        <f t="array" ref="S557">IF($L557&gt;0, INDEX(Clean,1+AL557,$D$1), "")</f>
        <v/>
      </c>
      <c r="T557" s="260"/>
      <c r="U557" s="260"/>
      <c r="V557" s="261"/>
      <c r="W557" s="267"/>
      <c r="X557" s="267"/>
      <c r="Y557" s="257"/>
      <c r="Z557" s="264">
        <f t="shared" si="671"/>
        <v>0</v>
      </c>
      <c r="AA557" s="269"/>
      <c r="AB557" s="266"/>
      <c r="AC557" s="254"/>
      <c r="AD557" s="255" t="str">
        <f>IF(ISBLANK(AC557), "", VLOOKUP(AC557, Z!$A$2:$C$4127, 3, FALSE))</f>
        <v/>
      </c>
      <c r="AE557" s="270"/>
      <c r="AF557" s="265">
        <f t="shared" si="672"/>
        <v>0</v>
      </c>
      <c r="AG557" s="246"/>
      <c r="AH557" s="228">
        <f t="shared" si="695"/>
        <v>1</v>
      </c>
      <c r="AI557" s="228">
        <f t="shared" si="696"/>
        <v>1</v>
      </c>
      <c r="AJ557" s="228">
        <f t="shared" si="697"/>
        <v>0</v>
      </c>
      <c r="AK557" s="228">
        <v>0</v>
      </c>
      <c r="AL557" s="228">
        <v>0</v>
      </c>
      <c r="AM557" s="228">
        <f t="shared" si="673"/>
        <v>-100</v>
      </c>
      <c r="AN557" s="228" cm="1">
        <f t="array" ref="AN557">IF(ISBLANK(G557), 1, IFERROR(MATCH(G557, INDEX(Kat,,1), 0), IFERROR(MATCH(Kat, INDEX(Use,,2), 0), MATCH(Kat, INDEX(Use,,3), 0))))</f>
        <v>1</v>
      </c>
      <c r="AO557" s="246"/>
      <c r="AP557" s="228" cm="1">
        <f t="array" ref="AP557">IF(W557&gt;0, INDEX(Kat, AN557,4), 0)</f>
        <v>0</v>
      </c>
      <c r="AQ557" s="228">
        <f t="shared" si="698"/>
        <v>0</v>
      </c>
      <c r="AR557" s="228" cm="1">
        <f t="array" ref="AR557">IF(X557&gt;0, INDEX(Kat, $AN557, 4+AQ557), 0)</f>
        <v>0</v>
      </c>
      <c r="AS557" s="228" cm="1">
        <f t="array" ref="AS557">IF(X557&gt;0, INDEX(Kat, $AN557, 9+AQ557), 0)</f>
        <v>0</v>
      </c>
      <c r="AT557" s="246"/>
      <c r="AU557" s="262"/>
      <c r="AV557" s="262"/>
      <c r="AW557" s="263"/>
      <c r="AX557" s="263"/>
      <c r="AY557" s="263"/>
      <c r="AZ557" s="263"/>
      <c r="BA557" s="263"/>
      <c r="BB557" s="263"/>
      <c r="BC557" s="263"/>
      <c r="BD557" s="263"/>
      <c r="BE557" s="263"/>
      <c r="BF557" s="263"/>
      <c r="BG557" s="263"/>
      <c r="BH557" s="246"/>
      <c r="BI557" s="228" cm="1">
        <f t="array" ref="BI557">INDEX(Use, $AH557, 4)</f>
        <v>7</v>
      </c>
      <c r="BJ557" s="228">
        <f t="shared" si="674"/>
        <v>32</v>
      </c>
      <c r="BK557" s="228">
        <f t="shared" si="700"/>
        <v>13</v>
      </c>
      <c r="BL557" s="228">
        <f t="shared" si="701"/>
        <v>0</v>
      </c>
      <c r="BM557" s="233" cm="1">
        <f t="array" ref="BM557">L557/IF($M557&gt;0, INDEX($AY$22:$BE$76, $M557+20, $AH557), 1)</f>
        <v>0</v>
      </c>
      <c r="BN557" s="229">
        <f t="shared" si="675"/>
        <v>0</v>
      </c>
      <c r="BO557" s="228">
        <v>35</v>
      </c>
      <c r="BP557" s="229">
        <f t="shared" si="676"/>
        <v>48</v>
      </c>
      <c r="BQ557" s="234">
        <f t="shared" si="677"/>
        <v>3.0748170731707316</v>
      </c>
      <c r="BR557" s="234" cm="1">
        <f t="array" ref="BR557">$BM557 * SUMPRODUCT(INDEX($AV$76:$AX$81,,$AI557),INDEX($AY$76:$BE$81,,$AH557), N($AU$76:$AU$81&gt;$AM557)) / BQ557 / 1000</f>
        <v>0</v>
      </c>
      <c r="BS557" s="231">
        <f t="shared" si="702"/>
        <v>30</v>
      </c>
      <c r="BT557" s="229">
        <f t="shared" si="678"/>
        <v>43</v>
      </c>
      <c r="BU557" s="234">
        <f t="shared" si="679"/>
        <v>3.5018750000000001</v>
      </c>
      <c r="BV557" s="234" cm="1">
        <f t="array" ref="BV557">$BM557 * IF($AH557&lt;=2,
SUMPRODUCT(INDEX($AV$71:$AX$75,,$AI557), INDEX($AY$71:$BE$75,,$AH557), 1 / ($BF$71:$BF$75*BU557 + (1-$BF$71:$BF$75)*BQ557), N($AU$71:$AU$75&gt;$AM557)),
SUMPRODUCT(INDEX($AV$66:$AX$75,,$AI557), INDEX($AY$66:$BE$75,,$AH557), 1 / ($BG$66:$BG$75*BU557 + (1-$BG$66:$BG$75)*BQ557), N($AU$66:$AU$75&gt;$AM557))
) / 1000</f>
        <v>0</v>
      </c>
      <c r="BW557" s="231">
        <f t="shared" si="703"/>
        <v>25</v>
      </c>
      <c r="BX557" s="229">
        <f t="shared" si="680"/>
        <v>38</v>
      </c>
      <c r="BY557" s="234">
        <f t="shared" si="681"/>
        <v>4.0666935483870965</v>
      </c>
      <c r="BZ557" s="234" cm="1">
        <f t="array" ref="BZ557">$BM557 * IF($AH557&lt;=2,
SUMPRODUCT(INDEX($AV$66:$AX$70,,$AI557), INDEX($AY$66:$BE$70,,$AH557), 1 / ($BF$66:$BF$70*BY557 + (1-$BF$66:$BF$70)*BU557), N($AU$66:$AU$70&gt;$AM557)),
SUMPRODUCT(INDEX($AV$56:$AX$65,,$AI557), INDEX($AY$56:$BE$65,,$AH557), 1 / ($BG$56:$BG$65*BY557 + (1-$BG$56:$BG$65)*BU557), N($AU$56:$AU$65&gt;$AM557))
) / 1000</f>
        <v>0</v>
      </c>
      <c r="CA557" s="231">
        <f t="shared" si="704"/>
        <v>20</v>
      </c>
      <c r="CB557" s="229">
        <f t="shared" si="682"/>
        <v>33</v>
      </c>
      <c r="CC557" s="234">
        <f t="shared" si="683"/>
        <v>4.8487499999999999</v>
      </c>
      <c r="CD557" s="234" cm="1">
        <f t="array" ref="CD557">$BM557 * IF($AH557&lt;=2,
SUMPRODUCT(INDEX($AV$61:$AX$65,,$AI557), INDEX($AY$61:$BE$65,,$AH557), 1 / ($BF$61:$BF$65*CC557 + (1-$BF$61:$BF$65)*BY557), N($AU$61:$AU$65&gt;$AM557)),
SUMPRODUCT(INDEX($AV$46:$AX$55,,$AI557), INDEX($AY$46:$BE$55,,$AH557), 1 / ($BG$46:$BG$55*CC557 + (1-$BG$46:$BG$55)*BY557), N($AU$46:$AU$55&gt;$AM557))
) / 1000</f>
        <v>0</v>
      </c>
      <c r="CE557" s="234" cm="1">
        <f t="array" ref="CE557">$BM557 * IF($AH557&lt;=2,
SUMPRODUCT(INDEX($AV$22:$AX$60,,$AI557), INDEX($AY$22:$BE$60,,$AH557), 1 / ($BF$22:$BF$60*CC557), N($AU$22:$AU$60&gt;$AM557)),
SUMPRODUCT(INDEX($AV$22:$AX$45,,$AI557), INDEX($AY$22:$BE$45,,$AH557), 1 / ($BG$22:$BG$45*CC557), N($AU$22:$AU$45&gt;$AM557))
) / 1000</f>
        <v>0</v>
      </c>
      <c r="CF557" s="229">
        <f t="shared" si="684"/>
        <v>0</v>
      </c>
      <c r="CG557" s="246"/>
      <c r="CH557" s="229">
        <f t="shared" si="685"/>
        <v>0</v>
      </c>
      <c r="CI557" s="228">
        <v>35</v>
      </c>
      <c r="CJ557" s="229">
        <f t="shared" si="686"/>
        <v>48</v>
      </c>
      <c r="CK557" s="234">
        <f t="shared" si="687"/>
        <v>3.0748170731707316</v>
      </c>
      <c r="CL557" s="234" cm="1">
        <f t="array" ref="CL557">$BM557 * SUMPRODUCT(INDEX($AV$76:$AX$81,,$AI557),INDEX($AY$76:$BE$81,,$AH557), N($AU$76:$AU$81&gt;$AM557)) / CK557 / 1000</f>
        <v>0</v>
      </c>
      <c r="CM557" s="231">
        <f t="shared" si="705"/>
        <v>30</v>
      </c>
      <c r="CN557" s="229">
        <f t="shared" si="688"/>
        <v>43</v>
      </c>
      <c r="CO557" s="234">
        <f t="shared" si="689"/>
        <v>3.5018750000000001</v>
      </c>
      <c r="CP557" s="234" cm="1">
        <f t="array" ref="CP557">$BM557 * IF($AH557&lt;=2,
SUMPRODUCT(INDEX($AV$71:$AX$75,,$AI557), INDEX($AY$71:$BE$75,,$AH557), 1 / ($BF$71:$BF$75*CO557 + (1-$BF$71:$BF$75)*CK557), N($AU$71:$AU$75&gt;$AM557)),
SUMPRODUCT(INDEX($AV$66:$AX$75,,$AI557), INDEX($AY$66:$BE$75,,$AH557), 1 / ($BG$66:$BG$75*CO557 + (1-$BG$66:$BG$75)*CK557), N($AU$66:$AU$75&gt;$AM557))
) / 1000</f>
        <v>0</v>
      </c>
      <c r="CQ557" s="231">
        <f t="shared" si="706"/>
        <v>25</v>
      </c>
      <c r="CR557" s="229">
        <f t="shared" si="690"/>
        <v>38</v>
      </c>
      <c r="CS557" s="234">
        <f t="shared" si="691"/>
        <v>4.0666935483870965</v>
      </c>
      <c r="CT557" s="234" cm="1">
        <f t="array" ref="CT557">$BM557 * IF($AH557&lt;=2,
SUMPRODUCT(INDEX($AV$66:$AX$70,,$AI557), INDEX($AY$66:$BE$70,,$AH557), 1 / ($BF$66:$BF$70*CS557 + (1-$BF$66:$BF$70)*CO557), N($AU$66:$AU$70&gt;$AM557)),
SUMPRODUCT(INDEX($AV$56:$AX$65,,$AI557), INDEX($AY$56:$BE$65,,$AH557), 1 / ($BG$56:$BG$65*CS557 + (1-$BG$56:$BG$65)*CO557), N($AU$56:$AU$65&gt;$AM557))
) / 1000</f>
        <v>0</v>
      </c>
      <c r="CU557" s="231">
        <f t="shared" si="707"/>
        <v>20</v>
      </c>
      <c r="CV557" s="229">
        <f t="shared" si="692"/>
        <v>33</v>
      </c>
      <c r="CW557" s="234">
        <f t="shared" si="693"/>
        <v>4.8487499999999999</v>
      </c>
      <c r="CX557" s="234" cm="1">
        <f t="array" ref="CX557">$BM557 * IF($AH557&lt;=2,
SUMPRODUCT(INDEX($AV$61:$AX$65,,$AI557), INDEX($AY$61:$BE$65,,$AH557), 1 / ($BF$61:$BF$65*CW557 + (1-$BF$61:$BF$65)*CS557), N($AU$61:$AU$65&gt;$AM557)),
SUMPRODUCT(INDEX($AV$46:$AX$55,,$AI557), INDEX($AY$46:$BE$55,,$AH557), 1 / ($BG$46:$BG$55*CW557 + (1-$BG$46:$BG$55)*CS557), N($AU$46:$AU$55&gt;$AM557))
) / 1000</f>
        <v>0</v>
      </c>
      <c r="CY557" s="234" cm="1">
        <f t="array" ref="CY557">$BM557 * IF($AH557&lt;=2,
SUMPRODUCT(INDEX($AV$22:$AX$60,,$AI557), INDEX($AY$22:$BE$60,,$AH557), 1 / ($BF$22:$BF$60*CW557), N($AU$22:$AU$60&gt;$AM557)),
SUMPRODUCT(INDEX($AV$22:$AX$45,,$AI557), INDEX($AY$22:$BE$45,,$AH557), 1 / ($BG$22:$BG$45*CW557), N($AU$22:$AU$45&gt;$AM557))
) / 1000</f>
        <v>0</v>
      </c>
      <c r="CZ557" s="229">
        <f t="shared" si="694"/>
        <v>0</v>
      </c>
      <c r="DA557" s="246"/>
    </row>
    <row r="558" spans="1:105" s="75" customFormat="1" ht="14.25" customHeight="1" x14ac:dyDescent="0.2">
      <c r="A558" s="230" t="b">
        <f t="shared" si="699"/>
        <v>0</v>
      </c>
      <c r="B558" s="253">
        <v>537</v>
      </c>
      <c r="C558" s="266"/>
      <c r="D558" s="266"/>
      <c r="E558" s="254"/>
      <c r="F558" s="255" t="str">
        <f>IF(ISBLANK(E558), "", VLOOKUP(E558, Z!$A$2:$C$4127, 3, FALSE))</f>
        <v/>
      </c>
      <c r="G558" s="256"/>
      <c r="H558" s="256"/>
      <c r="I558" s="256"/>
      <c r="J558" s="257"/>
      <c r="K558" s="258"/>
      <c r="L558" s="267"/>
      <c r="M558" s="268"/>
      <c r="N558" s="259" t="str" cm="1">
        <f t="array" ref="N558">IF($L558&gt;0, INDEX(Clean,1+AK558,$D$1), "")</f>
        <v/>
      </c>
      <c r="O558" s="260"/>
      <c r="P558" s="260"/>
      <c r="Q558" s="261"/>
      <c r="R558" s="264">
        <f t="shared" si="670"/>
        <v>0</v>
      </c>
      <c r="S558" s="259" t="str" cm="1">
        <f t="array" ref="S558">IF($L558&gt;0, INDEX(Clean,1+AL558,$D$1), "")</f>
        <v/>
      </c>
      <c r="T558" s="260"/>
      <c r="U558" s="260"/>
      <c r="V558" s="261"/>
      <c r="W558" s="267"/>
      <c r="X558" s="267"/>
      <c r="Y558" s="257"/>
      <c r="Z558" s="264">
        <f t="shared" si="671"/>
        <v>0</v>
      </c>
      <c r="AA558" s="269"/>
      <c r="AB558" s="266"/>
      <c r="AC558" s="254"/>
      <c r="AD558" s="255" t="str">
        <f>IF(ISBLANK(AC558), "", VLOOKUP(AC558, Z!$A$2:$C$4127, 3, FALSE))</f>
        <v/>
      </c>
      <c r="AE558" s="270"/>
      <c r="AF558" s="265">
        <f t="shared" si="672"/>
        <v>0</v>
      </c>
      <c r="AG558" s="246"/>
      <c r="AH558" s="228">
        <f t="shared" si="695"/>
        <v>1</v>
      </c>
      <c r="AI558" s="228">
        <f t="shared" si="696"/>
        <v>1</v>
      </c>
      <c r="AJ558" s="228">
        <f t="shared" si="697"/>
        <v>0</v>
      </c>
      <c r="AK558" s="228">
        <v>0</v>
      </c>
      <c r="AL558" s="228">
        <v>0</v>
      </c>
      <c r="AM558" s="228">
        <f t="shared" si="673"/>
        <v>-100</v>
      </c>
      <c r="AN558" s="228" cm="1">
        <f t="array" ref="AN558">IF(ISBLANK(G558), 1, IFERROR(MATCH(G558, INDEX(Kat,,1), 0), IFERROR(MATCH(Kat, INDEX(Use,,2), 0), MATCH(Kat, INDEX(Use,,3), 0))))</f>
        <v>1</v>
      </c>
      <c r="AO558" s="246"/>
      <c r="AP558" s="228" cm="1">
        <f t="array" ref="AP558">IF(W558&gt;0, INDEX(Kat, AN558,4), 0)</f>
        <v>0</v>
      </c>
      <c r="AQ558" s="228">
        <f t="shared" si="698"/>
        <v>0</v>
      </c>
      <c r="AR558" s="228" cm="1">
        <f t="array" ref="AR558">IF(X558&gt;0, INDEX(Kat, $AN558, 4+AQ558), 0)</f>
        <v>0</v>
      </c>
      <c r="AS558" s="228" cm="1">
        <f t="array" ref="AS558">IF(X558&gt;0, INDEX(Kat, $AN558, 9+AQ558), 0)</f>
        <v>0</v>
      </c>
      <c r="AT558" s="246"/>
      <c r="AU558" s="262"/>
      <c r="AV558" s="262"/>
      <c r="AW558" s="263"/>
      <c r="AX558" s="263"/>
      <c r="AY558" s="263"/>
      <c r="AZ558" s="263"/>
      <c r="BA558" s="263"/>
      <c r="BB558" s="263"/>
      <c r="BC558" s="263"/>
      <c r="BD558" s="263"/>
      <c r="BE558" s="263"/>
      <c r="BF558" s="263"/>
      <c r="BG558" s="263"/>
      <c r="BH558" s="246"/>
      <c r="BI558" s="228" cm="1">
        <f t="array" ref="BI558">INDEX(Use, $AH558, 4)</f>
        <v>7</v>
      </c>
      <c r="BJ558" s="228">
        <f t="shared" si="674"/>
        <v>32</v>
      </c>
      <c r="BK558" s="228">
        <f t="shared" si="700"/>
        <v>13</v>
      </c>
      <c r="BL558" s="228">
        <f t="shared" si="701"/>
        <v>0</v>
      </c>
      <c r="BM558" s="233" cm="1">
        <f t="array" ref="BM558">L558/IF($M558&gt;0, INDEX($AY$22:$BE$76, $M558+20, $AH558), 1)</f>
        <v>0</v>
      </c>
      <c r="BN558" s="229">
        <f t="shared" si="675"/>
        <v>0</v>
      </c>
      <c r="BO558" s="228">
        <v>35</v>
      </c>
      <c r="BP558" s="229">
        <f t="shared" si="676"/>
        <v>48</v>
      </c>
      <c r="BQ558" s="234">
        <f t="shared" si="677"/>
        <v>3.0748170731707316</v>
      </c>
      <c r="BR558" s="234" cm="1">
        <f t="array" ref="BR558">$BM558 * SUMPRODUCT(INDEX($AV$76:$AX$81,,$AI558),INDEX($AY$76:$BE$81,,$AH558), N($AU$76:$AU$81&gt;$AM558)) / BQ558 / 1000</f>
        <v>0</v>
      </c>
      <c r="BS558" s="231">
        <f t="shared" si="702"/>
        <v>30</v>
      </c>
      <c r="BT558" s="229">
        <f t="shared" si="678"/>
        <v>43</v>
      </c>
      <c r="BU558" s="234">
        <f t="shared" si="679"/>
        <v>3.5018750000000001</v>
      </c>
      <c r="BV558" s="234" cm="1">
        <f t="array" ref="BV558">$BM558 * IF($AH558&lt;=2,
SUMPRODUCT(INDEX($AV$71:$AX$75,,$AI558), INDEX($AY$71:$BE$75,,$AH558), 1 / ($BF$71:$BF$75*BU558 + (1-$BF$71:$BF$75)*BQ558), N($AU$71:$AU$75&gt;$AM558)),
SUMPRODUCT(INDEX($AV$66:$AX$75,,$AI558), INDEX($AY$66:$BE$75,,$AH558), 1 / ($BG$66:$BG$75*BU558 + (1-$BG$66:$BG$75)*BQ558), N($AU$66:$AU$75&gt;$AM558))
) / 1000</f>
        <v>0</v>
      </c>
      <c r="BW558" s="231">
        <f t="shared" si="703"/>
        <v>25</v>
      </c>
      <c r="BX558" s="229">
        <f t="shared" si="680"/>
        <v>38</v>
      </c>
      <c r="BY558" s="234">
        <f t="shared" si="681"/>
        <v>4.0666935483870965</v>
      </c>
      <c r="BZ558" s="234" cm="1">
        <f t="array" ref="BZ558">$BM558 * IF($AH558&lt;=2,
SUMPRODUCT(INDEX($AV$66:$AX$70,,$AI558), INDEX($AY$66:$BE$70,,$AH558), 1 / ($BF$66:$BF$70*BY558 + (1-$BF$66:$BF$70)*BU558), N($AU$66:$AU$70&gt;$AM558)),
SUMPRODUCT(INDEX($AV$56:$AX$65,,$AI558), INDEX($AY$56:$BE$65,,$AH558), 1 / ($BG$56:$BG$65*BY558 + (1-$BG$56:$BG$65)*BU558), N($AU$56:$AU$65&gt;$AM558))
) / 1000</f>
        <v>0</v>
      </c>
      <c r="CA558" s="231">
        <f t="shared" si="704"/>
        <v>20</v>
      </c>
      <c r="CB558" s="229">
        <f t="shared" si="682"/>
        <v>33</v>
      </c>
      <c r="CC558" s="234">
        <f t="shared" si="683"/>
        <v>4.8487499999999999</v>
      </c>
      <c r="CD558" s="234" cm="1">
        <f t="array" ref="CD558">$BM558 * IF($AH558&lt;=2,
SUMPRODUCT(INDEX($AV$61:$AX$65,,$AI558), INDEX($AY$61:$BE$65,,$AH558), 1 / ($BF$61:$BF$65*CC558 + (1-$BF$61:$BF$65)*BY558), N($AU$61:$AU$65&gt;$AM558)),
SUMPRODUCT(INDEX($AV$46:$AX$55,,$AI558), INDEX($AY$46:$BE$55,,$AH558), 1 / ($BG$46:$BG$55*CC558 + (1-$BG$46:$BG$55)*BY558), N($AU$46:$AU$55&gt;$AM558))
) / 1000</f>
        <v>0</v>
      </c>
      <c r="CE558" s="234" cm="1">
        <f t="array" ref="CE558">$BM558 * IF($AH558&lt;=2,
SUMPRODUCT(INDEX($AV$22:$AX$60,,$AI558), INDEX($AY$22:$BE$60,,$AH558), 1 / ($BF$22:$BF$60*CC558), N($AU$22:$AU$60&gt;$AM558)),
SUMPRODUCT(INDEX($AV$22:$AX$45,,$AI558), INDEX($AY$22:$BE$45,,$AH558), 1 / ($BG$22:$BG$45*CC558), N($AU$22:$AU$45&gt;$AM558))
) / 1000</f>
        <v>0</v>
      </c>
      <c r="CF558" s="229">
        <f t="shared" si="684"/>
        <v>0</v>
      </c>
      <c r="CG558" s="246"/>
      <c r="CH558" s="229">
        <f t="shared" si="685"/>
        <v>0</v>
      </c>
      <c r="CI558" s="228">
        <v>35</v>
      </c>
      <c r="CJ558" s="229">
        <f t="shared" si="686"/>
        <v>48</v>
      </c>
      <c r="CK558" s="234">
        <f t="shared" si="687"/>
        <v>3.0748170731707316</v>
      </c>
      <c r="CL558" s="234" cm="1">
        <f t="array" ref="CL558">$BM558 * SUMPRODUCT(INDEX($AV$76:$AX$81,,$AI558),INDEX($AY$76:$BE$81,,$AH558), N($AU$76:$AU$81&gt;$AM558)) / CK558 / 1000</f>
        <v>0</v>
      </c>
      <c r="CM558" s="231">
        <f t="shared" si="705"/>
        <v>30</v>
      </c>
      <c r="CN558" s="229">
        <f t="shared" si="688"/>
        <v>43</v>
      </c>
      <c r="CO558" s="234">
        <f t="shared" si="689"/>
        <v>3.5018750000000001</v>
      </c>
      <c r="CP558" s="234" cm="1">
        <f t="array" ref="CP558">$BM558 * IF($AH558&lt;=2,
SUMPRODUCT(INDEX($AV$71:$AX$75,,$AI558), INDEX($AY$71:$BE$75,,$AH558), 1 / ($BF$71:$BF$75*CO558 + (1-$BF$71:$BF$75)*CK558), N($AU$71:$AU$75&gt;$AM558)),
SUMPRODUCT(INDEX($AV$66:$AX$75,,$AI558), INDEX($AY$66:$BE$75,,$AH558), 1 / ($BG$66:$BG$75*CO558 + (1-$BG$66:$BG$75)*CK558), N($AU$66:$AU$75&gt;$AM558))
) / 1000</f>
        <v>0</v>
      </c>
      <c r="CQ558" s="231">
        <f t="shared" si="706"/>
        <v>25</v>
      </c>
      <c r="CR558" s="229">
        <f t="shared" si="690"/>
        <v>38</v>
      </c>
      <c r="CS558" s="234">
        <f t="shared" si="691"/>
        <v>4.0666935483870965</v>
      </c>
      <c r="CT558" s="234" cm="1">
        <f t="array" ref="CT558">$BM558 * IF($AH558&lt;=2,
SUMPRODUCT(INDEX($AV$66:$AX$70,,$AI558), INDEX($AY$66:$BE$70,,$AH558), 1 / ($BF$66:$BF$70*CS558 + (1-$BF$66:$BF$70)*CO558), N($AU$66:$AU$70&gt;$AM558)),
SUMPRODUCT(INDEX($AV$56:$AX$65,,$AI558), INDEX($AY$56:$BE$65,,$AH558), 1 / ($BG$56:$BG$65*CS558 + (1-$BG$56:$BG$65)*CO558), N($AU$56:$AU$65&gt;$AM558))
) / 1000</f>
        <v>0</v>
      </c>
      <c r="CU558" s="231">
        <f t="shared" si="707"/>
        <v>20</v>
      </c>
      <c r="CV558" s="229">
        <f t="shared" si="692"/>
        <v>33</v>
      </c>
      <c r="CW558" s="234">
        <f t="shared" si="693"/>
        <v>4.8487499999999999</v>
      </c>
      <c r="CX558" s="234" cm="1">
        <f t="array" ref="CX558">$BM558 * IF($AH558&lt;=2,
SUMPRODUCT(INDEX($AV$61:$AX$65,,$AI558), INDEX($AY$61:$BE$65,,$AH558), 1 / ($BF$61:$BF$65*CW558 + (1-$BF$61:$BF$65)*CS558), N($AU$61:$AU$65&gt;$AM558)),
SUMPRODUCT(INDEX($AV$46:$AX$55,,$AI558), INDEX($AY$46:$BE$55,,$AH558), 1 / ($BG$46:$BG$55*CW558 + (1-$BG$46:$BG$55)*CS558), N($AU$46:$AU$55&gt;$AM558))
) / 1000</f>
        <v>0</v>
      </c>
      <c r="CY558" s="234" cm="1">
        <f t="array" ref="CY558">$BM558 * IF($AH558&lt;=2,
SUMPRODUCT(INDEX($AV$22:$AX$60,,$AI558), INDEX($AY$22:$BE$60,,$AH558), 1 / ($BF$22:$BF$60*CW558), N($AU$22:$AU$60&gt;$AM558)),
SUMPRODUCT(INDEX($AV$22:$AX$45,,$AI558), INDEX($AY$22:$BE$45,,$AH558), 1 / ($BG$22:$BG$45*CW558), N($AU$22:$AU$45&gt;$AM558))
) / 1000</f>
        <v>0</v>
      </c>
      <c r="CZ558" s="229">
        <f t="shared" si="694"/>
        <v>0</v>
      </c>
      <c r="DA558" s="246"/>
    </row>
    <row r="559" spans="1:105" s="75" customFormat="1" ht="14.25" customHeight="1" x14ac:dyDescent="0.2">
      <c r="A559" s="230" t="b">
        <f t="shared" si="699"/>
        <v>0</v>
      </c>
      <c r="B559" s="253">
        <v>538</v>
      </c>
      <c r="C559" s="266"/>
      <c r="D559" s="266"/>
      <c r="E559" s="254"/>
      <c r="F559" s="255" t="str">
        <f>IF(ISBLANK(E559), "", VLOOKUP(E559, Z!$A$2:$C$4127, 3, FALSE))</f>
        <v/>
      </c>
      <c r="G559" s="256"/>
      <c r="H559" s="256"/>
      <c r="I559" s="256"/>
      <c r="J559" s="257"/>
      <c r="K559" s="258"/>
      <c r="L559" s="267"/>
      <c r="M559" s="268"/>
      <c r="N559" s="259" t="str" cm="1">
        <f t="array" ref="N559">IF($L559&gt;0, INDEX(Clean,1+AK559,$D$1), "")</f>
        <v/>
      </c>
      <c r="O559" s="260"/>
      <c r="P559" s="260"/>
      <c r="Q559" s="261"/>
      <c r="R559" s="264">
        <f t="shared" si="670"/>
        <v>0</v>
      </c>
      <c r="S559" s="259" t="str" cm="1">
        <f t="array" ref="S559">IF($L559&gt;0, INDEX(Clean,1+AL559,$D$1), "")</f>
        <v/>
      </c>
      <c r="T559" s="260"/>
      <c r="U559" s="260"/>
      <c r="V559" s="261"/>
      <c r="W559" s="267"/>
      <c r="X559" s="267"/>
      <c r="Y559" s="257"/>
      <c r="Z559" s="264">
        <f t="shared" si="671"/>
        <v>0</v>
      </c>
      <c r="AA559" s="269"/>
      <c r="AB559" s="266"/>
      <c r="AC559" s="254"/>
      <c r="AD559" s="255" t="str">
        <f>IF(ISBLANK(AC559), "", VLOOKUP(AC559, Z!$A$2:$C$4127, 3, FALSE))</f>
        <v/>
      </c>
      <c r="AE559" s="270"/>
      <c r="AF559" s="265">
        <f t="shared" si="672"/>
        <v>0</v>
      </c>
      <c r="AG559" s="246"/>
      <c r="AH559" s="228">
        <f t="shared" si="695"/>
        <v>1</v>
      </c>
      <c r="AI559" s="228">
        <f t="shared" si="696"/>
        <v>1</v>
      </c>
      <c r="AJ559" s="228">
        <f t="shared" si="697"/>
        <v>0</v>
      </c>
      <c r="AK559" s="228">
        <v>0</v>
      </c>
      <c r="AL559" s="228">
        <v>0</v>
      </c>
      <c r="AM559" s="228">
        <f t="shared" si="673"/>
        <v>-100</v>
      </c>
      <c r="AN559" s="228" cm="1">
        <f t="array" ref="AN559">IF(ISBLANK(G559), 1, IFERROR(MATCH(G559, INDEX(Kat,,1), 0), IFERROR(MATCH(Kat, INDEX(Use,,2), 0), MATCH(Kat, INDEX(Use,,3), 0))))</f>
        <v>1</v>
      </c>
      <c r="AO559" s="246"/>
      <c r="AP559" s="228" cm="1">
        <f t="array" ref="AP559">IF(W559&gt;0, INDEX(Kat, AN559,4), 0)</f>
        <v>0</v>
      </c>
      <c r="AQ559" s="228">
        <f t="shared" si="698"/>
        <v>0</v>
      </c>
      <c r="AR559" s="228" cm="1">
        <f t="array" ref="AR559">IF(X559&gt;0, INDEX(Kat, $AN559, 4+AQ559), 0)</f>
        <v>0</v>
      </c>
      <c r="AS559" s="228" cm="1">
        <f t="array" ref="AS559">IF(X559&gt;0, INDEX(Kat, $AN559, 9+AQ559), 0)</f>
        <v>0</v>
      </c>
      <c r="AT559" s="246"/>
      <c r="AU559" s="262"/>
      <c r="AV559" s="262"/>
      <c r="AW559" s="263"/>
      <c r="AX559" s="263"/>
      <c r="AY559" s="263"/>
      <c r="AZ559" s="263"/>
      <c r="BA559" s="263"/>
      <c r="BB559" s="263"/>
      <c r="BC559" s="263"/>
      <c r="BD559" s="263"/>
      <c r="BE559" s="263"/>
      <c r="BF559" s="263"/>
      <c r="BG559" s="263"/>
      <c r="BH559" s="246"/>
      <c r="BI559" s="228" cm="1">
        <f t="array" ref="BI559">INDEX(Use, $AH559, 4)</f>
        <v>7</v>
      </c>
      <c r="BJ559" s="228">
        <f t="shared" si="674"/>
        <v>32</v>
      </c>
      <c r="BK559" s="228">
        <f t="shared" si="700"/>
        <v>13</v>
      </c>
      <c r="BL559" s="228">
        <f t="shared" si="701"/>
        <v>0</v>
      </c>
      <c r="BM559" s="233" cm="1">
        <f t="array" ref="BM559">L559/IF($M559&gt;0, INDEX($AY$22:$BE$76, $M559+20, $AH559), 1)</f>
        <v>0</v>
      </c>
      <c r="BN559" s="229">
        <f t="shared" si="675"/>
        <v>0</v>
      </c>
      <c r="BO559" s="228">
        <v>35</v>
      </c>
      <c r="BP559" s="229">
        <f t="shared" si="676"/>
        <v>48</v>
      </c>
      <c r="BQ559" s="234">
        <f t="shared" si="677"/>
        <v>3.0748170731707316</v>
      </c>
      <c r="BR559" s="234" cm="1">
        <f t="array" ref="BR559">$BM559 * SUMPRODUCT(INDEX($AV$76:$AX$81,,$AI559),INDEX($AY$76:$BE$81,,$AH559), N($AU$76:$AU$81&gt;$AM559)) / BQ559 / 1000</f>
        <v>0</v>
      </c>
      <c r="BS559" s="231">
        <f t="shared" si="702"/>
        <v>30</v>
      </c>
      <c r="BT559" s="229">
        <f t="shared" si="678"/>
        <v>43</v>
      </c>
      <c r="BU559" s="234">
        <f t="shared" si="679"/>
        <v>3.5018750000000001</v>
      </c>
      <c r="BV559" s="234" cm="1">
        <f t="array" ref="BV559">$BM559 * IF($AH559&lt;=2,
SUMPRODUCT(INDEX($AV$71:$AX$75,,$AI559), INDEX($AY$71:$BE$75,,$AH559), 1 / ($BF$71:$BF$75*BU559 + (1-$BF$71:$BF$75)*BQ559), N($AU$71:$AU$75&gt;$AM559)),
SUMPRODUCT(INDEX($AV$66:$AX$75,,$AI559), INDEX($AY$66:$BE$75,,$AH559), 1 / ($BG$66:$BG$75*BU559 + (1-$BG$66:$BG$75)*BQ559), N($AU$66:$AU$75&gt;$AM559))
) / 1000</f>
        <v>0</v>
      </c>
      <c r="BW559" s="231">
        <f t="shared" si="703"/>
        <v>25</v>
      </c>
      <c r="BX559" s="229">
        <f t="shared" si="680"/>
        <v>38</v>
      </c>
      <c r="BY559" s="234">
        <f t="shared" si="681"/>
        <v>4.0666935483870965</v>
      </c>
      <c r="BZ559" s="234" cm="1">
        <f t="array" ref="BZ559">$BM559 * IF($AH559&lt;=2,
SUMPRODUCT(INDEX($AV$66:$AX$70,,$AI559), INDEX($AY$66:$BE$70,,$AH559), 1 / ($BF$66:$BF$70*BY559 + (1-$BF$66:$BF$70)*BU559), N($AU$66:$AU$70&gt;$AM559)),
SUMPRODUCT(INDEX($AV$56:$AX$65,,$AI559), INDEX($AY$56:$BE$65,,$AH559), 1 / ($BG$56:$BG$65*BY559 + (1-$BG$56:$BG$65)*BU559), N($AU$56:$AU$65&gt;$AM559))
) / 1000</f>
        <v>0</v>
      </c>
      <c r="CA559" s="231">
        <f t="shared" si="704"/>
        <v>20</v>
      </c>
      <c r="CB559" s="229">
        <f t="shared" si="682"/>
        <v>33</v>
      </c>
      <c r="CC559" s="234">
        <f t="shared" si="683"/>
        <v>4.8487499999999999</v>
      </c>
      <c r="CD559" s="234" cm="1">
        <f t="array" ref="CD559">$BM559 * IF($AH559&lt;=2,
SUMPRODUCT(INDEX($AV$61:$AX$65,,$AI559), INDEX($AY$61:$BE$65,,$AH559), 1 / ($BF$61:$BF$65*CC559 + (1-$BF$61:$BF$65)*BY559), N($AU$61:$AU$65&gt;$AM559)),
SUMPRODUCT(INDEX($AV$46:$AX$55,,$AI559), INDEX($AY$46:$BE$55,,$AH559), 1 / ($BG$46:$BG$55*CC559 + (1-$BG$46:$BG$55)*BY559), N($AU$46:$AU$55&gt;$AM559))
) / 1000</f>
        <v>0</v>
      </c>
      <c r="CE559" s="234" cm="1">
        <f t="array" ref="CE559">$BM559 * IF($AH559&lt;=2,
SUMPRODUCT(INDEX($AV$22:$AX$60,,$AI559), INDEX($AY$22:$BE$60,,$AH559), 1 / ($BF$22:$BF$60*CC559), N($AU$22:$AU$60&gt;$AM559)),
SUMPRODUCT(INDEX($AV$22:$AX$45,,$AI559), INDEX($AY$22:$BE$45,,$AH559), 1 / ($BG$22:$BG$45*CC559), N($AU$22:$AU$45&gt;$AM559))
) / 1000</f>
        <v>0</v>
      </c>
      <c r="CF559" s="229">
        <f t="shared" si="684"/>
        <v>0</v>
      </c>
      <c r="CG559" s="246"/>
      <c r="CH559" s="229">
        <f t="shared" si="685"/>
        <v>0</v>
      </c>
      <c r="CI559" s="228">
        <v>35</v>
      </c>
      <c r="CJ559" s="229">
        <f t="shared" si="686"/>
        <v>48</v>
      </c>
      <c r="CK559" s="234">
        <f t="shared" si="687"/>
        <v>3.0748170731707316</v>
      </c>
      <c r="CL559" s="234" cm="1">
        <f t="array" ref="CL559">$BM559 * SUMPRODUCT(INDEX($AV$76:$AX$81,,$AI559),INDEX($AY$76:$BE$81,,$AH559), N($AU$76:$AU$81&gt;$AM559)) / CK559 / 1000</f>
        <v>0</v>
      </c>
      <c r="CM559" s="231">
        <f t="shared" si="705"/>
        <v>30</v>
      </c>
      <c r="CN559" s="229">
        <f t="shared" si="688"/>
        <v>43</v>
      </c>
      <c r="CO559" s="234">
        <f t="shared" si="689"/>
        <v>3.5018750000000001</v>
      </c>
      <c r="CP559" s="234" cm="1">
        <f t="array" ref="CP559">$BM559 * IF($AH559&lt;=2,
SUMPRODUCT(INDEX($AV$71:$AX$75,,$AI559), INDEX($AY$71:$BE$75,,$AH559), 1 / ($BF$71:$BF$75*CO559 + (1-$BF$71:$BF$75)*CK559), N($AU$71:$AU$75&gt;$AM559)),
SUMPRODUCT(INDEX($AV$66:$AX$75,,$AI559), INDEX($AY$66:$BE$75,,$AH559), 1 / ($BG$66:$BG$75*CO559 + (1-$BG$66:$BG$75)*CK559), N($AU$66:$AU$75&gt;$AM559))
) / 1000</f>
        <v>0</v>
      </c>
      <c r="CQ559" s="231">
        <f t="shared" si="706"/>
        <v>25</v>
      </c>
      <c r="CR559" s="229">
        <f t="shared" si="690"/>
        <v>38</v>
      </c>
      <c r="CS559" s="234">
        <f t="shared" si="691"/>
        <v>4.0666935483870965</v>
      </c>
      <c r="CT559" s="234" cm="1">
        <f t="array" ref="CT559">$BM559 * IF($AH559&lt;=2,
SUMPRODUCT(INDEX($AV$66:$AX$70,,$AI559), INDEX($AY$66:$BE$70,,$AH559), 1 / ($BF$66:$BF$70*CS559 + (1-$BF$66:$BF$70)*CO559), N($AU$66:$AU$70&gt;$AM559)),
SUMPRODUCT(INDEX($AV$56:$AX$65,,$AI559), INDEX($AY$56:$BE$65,,$AH559), 1 / ($BG$56:$BG$65*CS559 + (1-$BG$56:$BG$65)*CO559), N($AU$56:$AU$65&gt;$AM559))
) / 1000</f>
        <v>0</v>
      </c>
      <c r="CU559" s="231">
        <f t="shared" si="707"/>
        <v>20</v>
      </c>
      <c r="CV559" s="229">
        <f t="shared" si="692"/>
        <v>33</v>
      </c>
      <c r="CW559" s="234">
        <f t="shared" si="693"/>
        <v>4.8487499999999999</v>
      </c>
      <c r="CX559" s="234" cm="1">
        <f t="array" ref="CX559">$BM559 * IF($AH559&lt;=2,
SUMPRODUCT(INDEX($AV$61:$AX$65,,$AI559), INDEX($AY$61:$BE$65,,$AH559), 1 / ($BF$61:$BF$65*CW559 + (1-$BF$61:$BF$65)*CS559), N($AU$61:$AU$65&gt;$AM559)),
SUMPRODUCT(INDEX($AV$46:$AX$55,,$AI559), INDEX($AY$46:$BE$55,,$AH559), 1 / ($BG$46:$BG$55*CW559 + (1-$BG$46:$BG$55)*CS559), N($AU$46:$AU$55&gt;$AM559))
) / 1000</f>
        <v>0</v>
      </c>
      <c r="CY559" s="234" cm="1">
        <f t="array" ref="CY559">$BM559 * IF($AH559&lt;=2,
SUMPRODUCT(INDEX($AV$22:$AX$60,,$AI559), INDEX($AY$22:$BE$60,,$AH559), 1 / ($BF$22:$BF$60*CW559), N($AU$22:$AU$60&gt;$AM559)),
SUMPRODUCT(INDEX($AV$22:$AX$45,,$AI559), INDEX($AY$22:$BE$45,,$AH559), 1 / ($BG$22:$BG$45*CW559), N($AU$22:$AU$45&gt;$AM559))
) / 1000</f>
        <v>0</v>
      </c>
      <c r="CZ559" s="229">
        <f t="shared" si="694"/>
        <v>0</v>
      </c>
      <c r="DA559" s="246"/>
    </row>
    <row r="560" spans="1:105" s="75" customFormat="1" ht="14.25" customHeight="1" x14ac:dyDescent="0.2">
      <c r="A560" s="230" t="b">
        <f t="shared" si="699"/>
        <v>0</v>
      </c>
      <c r="B560" s="253">
        <v>539</v>
      </c>
      <c r="C560" s="266"/>
      <c r="D560" s="266"/>
      <c r="E560" s="254"/>
      <c r="F560" s="255" t="str">
        <f>IF(ISBLANK(E560), "", VLOOKUP(E560, Z!$A$2:$C$4127, 3, FALSE))</f>
        <v/>
      </c>
      <c r="G560" s="256"/>
      <c r="H560" s="256"/>
      <c r="I560" s="256"/>
      <c r="J560" s="257"/>
      <c r="K560" s="258"/>
      <c r="L560" s="267"/>
      <c r="M560" s="268"/>
      <c r="N560" s="259" t="str" cm="1">
        <f t="array" ref="N560">IF($L560&gt;0, INDEX(Clean,1+AK560,$D$1), "")</f>
        <v/>
      </c>
      <c r="O560" s="260"/>
      <c r="P560" s="260"/>
      <c r="Q560" s="261"/>
      <c r="R560" s="264">
        <f t="shared" si="670"/>
        <v>0</v>
      </c>
      <c r="S560" s="259" t="str" cm="1">
        <f t="array" ref="S560">IF($L560&gt;0, INDEX(Clean,1+AL560,$D$1), "")</f>
        <v/>
      </c>
      <c r="T560" s="260"/>
      <c r="U560" s="260"/>
      <c r="V560" s="261"/>
      <c r="W560" s="267"/>
      <c r="X560" s="267"/>
      <c r="Y560" s="257"/>
      <c r="Z560" s="264">
        <f t="shared" si="671"/>
        <v>0</v>
      </c>
      <c r="AA560" s="269"/>
      <c r="AB560" s="266"/>
      <c r="AC560" s="254"/>
      <c r="AD560" s="255" t="str">
        <f>IF(ISBLANK(AC560), "", VLOOKUP(AC560, Z!$A$2:$C$4127, 3, FALSE))</f>
        <v/>
      </c>
      <c r="AE560" s="270"/>
      <c r="AF560" s="265">
        <f t="shared" si="672"/>
        <v>0</v>
      </c>
      <c r="AG560" s="246"/>
      <c r="AH560" s="228">
        <f t="shared" si="695"/>
        <v>1</v>
      </c>
      <c r="AI560" s="228">
        <f t="shared" si="696"/>
        <v>1</v>
      </c>
      <c r="AJ560" s="228">
        <f t="shared" si="697"/>
        <v>0</v>
      </c>
      <c r="AK560" s="228">
        <v>0</v>
      </c>
      <c r="AL560" s="228">
        <v>0</v>
      </c>
      <c r="AM560" s="228">
        <f t="shared" si="673"/>
        <v>-100</v>
      </c>
      <c r="AN560" s="228" cm="1">
        <f t="array" ref="AN560">IF(ISBLANK(G560), 1, IFERROR(MATCH(G560, INDEX(Kat,,1), 0), IFERROR(MATCH(Kat, INDEX(Use,,2), 0), MATCH(Kat, INDEX(Use,,3), 0))))</f>
        <v>1</v>
      </c>
      <c r="AO560" s="246"/>
      <c r="AP560" s="228" cm="1">
        <f t="array" ref="AP560">IF(W560&gt;0, INDEX(Kat, AN560,4), 0)</f>
        <v>0</v>
      </c>
      <c r="AQ560" s="228">
        <f t="shared" si="698"/>
        <v>0</v>
      </c>
      <c r="AR560" s="228" cm="1">
        <f t="array" ref="AR560">IF(X560&gt;0, INDEX(Kat, $AN560, 4+AQ560), 0)</f>
        <v>0</v>
      </c>
      <c r="AS560" s="228" cm="1">
        <f t="array" ref="AS560">IF(X560&gt;0, INDEX(Kat, $AN560, 9+AQ560), 0)</f>
        <v>0</v>
      </c>
      <c r="AT560" s="246"/>
      <c r="AU560" s="262"/>
      <c r="AV560" s="262"/>
      <c r="AW560" s="263"/>
      <c r="AX560" s="263"/>
      <c r="AY560" s="263"/>
      <c r="AZ560" s="263"/>
      <c r="BA560" s="263"/>
      <c r="BB560" s="263"/>
      <c r="BC560" s="263"/>
      <c r="BD560" s="263"/>
      <c r="BE560" s="263"/>
      <c r="BF560" s="263"/>
      <c r="BG560" s="263"/>
      <c r="BH560" s="246"/>
      <c r="BI560" s="228" cm="1">
        <f t="array" ref="BI560">INDEX(Use, $AH560, 4)</f>
        <v>7</v>
      </c>
      <c r="BJ560" s="228">
        <f t="shared" si="674"/>
        <v>32</v>
      </c>
      <c r="BK560" s="228">
        <f t="shared" si="700"/>
        <v>13</v>
      </c>
      <c r="BL560" s="228">
        <f t="shared" si="701"/>
        <v>0</v>
      </c>
      <c r="BM560" s="233" cm="1">
        <f t="array" ref="BM560">L560/IF($M560&gt;0, INDEX($AY$22:$BE$76, $M560+20, $AH560), 1)</f>
        <v>0</v>
      </c>
      <c r="BN560" s="229">
        <f t="shared" si="675"/>
        <v>0</v>
      </c>
      <c r="BO560" s="228">
        <v>35</v>
      </c>
      <c r="BP560" s="229">
        <f t="shared" si="676"/>
        <v>48</v>
      </c>
      <c r="BQ560" s="234">
        <f t="shared" si="677"/>
        <v>3.0748170731707316</v>
      </c>
      <c r="BR560" s="234" cm="1">
        <f t="array" ref="BR560">$BM560 * SUMPRODUCT(INDEX($AV$76:$AX$81,,$AI560),INDEX($AY$76:$BE$81,,$AH560), N($AU$76:$AU$81&gt;$AM560)) / BQ560 / 1000</f>
        <v>0</v>
      </c>
      <c r="BS560" s="231">
        <f t="shared" si="702"/>
        <v>30</v>
      </c>
      <c r="BT560" s="229">
        <f t="shared" si="678"/>
        <v>43</v>
      </c>
      <c r="BU560" s="234">
        <f t="shared" si="679"/>
        <v>3.5018750000000001</v>
      </c>
      <c r="BV560" s="234" cm="1">
        <f t="array" ref="BV560">$BM560 * IF($AH560&lt;=2,
SUMPRODUCT(INDEX($AV$71:$AX$75,,$AI560), INDEX($AY$71:$BE$75,,$AH560), 1 / ($BF$71:$BF$75*BU560 + (1-$BF$71:$BF$75)*BQ560), N($AU$71:$AU$75&gt;$AM560)),
SUMPRODUCT(INDEX($AV$66:$AX$75,,$AI560), INDEX($AY$66:$BE$75,,$AH560), 1 / ($BG$66:$BG$75*BU560 + (1-$BG$66:$BG$75)*BQ560), N($AU$66:$AU$75&gt;$AM560))
) / 1000</f>
        <v>0</v>
      </c>
      <c r="BW560" s="231">
        <f t="shared" si="703"/>
        <v>25</v>
      </c>
      <c r="BX560" s="229">
        <f t="shared" si="680"/>
        <v>38</v>
      </c>
      <c r="BY560" s="234">
        <f t="shared" si="681"/>
        <v>4.0666935483870965</v>
      </c>
      <c r="BZ560" s="234" cm="1">
        <f t="array" ref="BZ560">$BM560 * IF($AH560&lt;=2,
SUMPRODUCT(INDEX($AV$66:$AX$70,,$AI560), INDEX($AY$66:$BE$70,,$AH560), 1 / ($BF$66:$BF$70*BY560 + (1-$BF$66:$BF$70)*BU560), N($AU$66:$AU$70&gt;$AM560)),
SUMPRODUCT(INDEX($AV$56:$AX$65,,$AI560), INDEX($AY$56:$BE$65,,$AH560), 1 / ($BG$56:$BG$65*BY560 + (1-$BG$56:$BG$65)*BU560), N($AU$56:$AU$65&gt;$AM560))
) / 1000</f>
        <v>0</v>
      </c>
      <c r="CA560" s="231">
        <f t="shared" si="704"/>
        <v>20</v>
      </c>
      <c r="CB560" s="229">
        <f t="shared" si="682"/>
        <v>33</v>
      </c>
      <c r="CC560" s="234">
        <f t="shared" si="683"/>
        <v>4.8487499999999999</v>
      </c>
      <c r="CD560" s="234" cm="1">
        <f t="array" ref="CD560">$BM560 * IF($AH560&lt;=2,
SUMPRODUCT(INDEX($AV$61:$AX$65,,$AI560), INDEX($AY$61:$BE$65,,$AH560), 1 / ($BF$61:$BF$65*CC560 + (1-$BF$61:$BF$65)*BY560), N($AU$61:$AU$65&gt;$AM560)),
SUMPRODUCT(INDEX($AV$46:$AX$55,,$AI560), INDEX($AY$46:$BE$55,,$AH560), 1 / ($BG$46:$BG$55*CC560 + (1-$BG$46:$BG$55)*BY560), N($AU$46:$AU$55&gt;$AM560))
) / 1000</f>
        <v>0</v>
      </c>
      <c r="CE560" s="234" cm="1">
        <f t="array" ref="CE560">$BM560 * IF($AH560&lt;=2,
SUMPRODUCT(INDEX($AV$22:$AX$60,,$AI560), INDEX($AY$22:$BE$60,,$AH560), 1 / ($BF$22:$BF$60*CC560), N($AU$22:$AU$60&gt;$AM560)),
SUMPRODUCT(INDEX($AV$22:$AX$45,,$AI560), INDEX($AY$22:$BE$45,,$AH560), 1 / ($BG$22:$BG$45*CC560), N($AU$22:$AU$45&gt;$AM560))
) / 1000</f>
        <v>0</v>
      </c>
      <c r="CF560" s="229">
        <f t="shared" si="684"/>
        <v>0</v>
      </c>
      <c r="CG560" s="246"/>
      <c r="CH560" s="229">
        <f t="shared" si="685"/>
        <v>0</v>
      </c>
      <c r="CI560" s="228">
        <v>35</v>
      </c>
      <c r="CJ560" s="229">
        <f t="shared" si="686"/>
        <v>48</v>
      </c>
      <c r="CK560" s="234">
        <f t="shared" si="687"/>
        <v>3.0748170731707316</v>
      </c>
      <c r="CL560" s="234" cm="1">
        <f t="array" ref="CL560">$BM560 * SUMPRODUCT(INDEX($AV$76:$AX$81,,$AI560),INDEX($AY$76:$BE$81,,$AH560), N($AU$76:$AU$81&gt;$AM560)) / CK560 / 1000</f>
        <v>0</v>
      </c>
      <c r="CM560" s="231">
        <f t="shared" si="705"/>
        <v>30</v>
      </c>
      <c r="CN560" s="229">
        <f t="shared" si="688"/>
        <v>43</v>
      </c>
      <c r="CO560" s="234">
        <f t="shared" si="689"/>
        <v>3.5018750000000001</v>
      </c>
      <c r="CP560" s="234" cm="1">
        <f t="array" ref="CP560">$BM560 * IF($AH560&lt;=2,
SUMPRODUCT(INDEX($AV$71:$AX$75,,$AI560), INDEX($AY$71:$BE$75,,$AH560), 1 / ($BF$71:$BF$75*CO560 + (1-$BF$71:$BF$75)*CK560), N($AU$71:$AU$75&gt;$AM560)),
SUMPRODUCT(INDEX($AV$66:$AX$75,,$AI560), INDEX($AY$66:$BE$75,,$AH560), 1 / ($BG$66:$BG$75*CO560 + (1-$BG$66:$BG$75)*CK560), N($AU$66:$AU$75&gt;$AM560))
) / 1000</f>
        <v>0</v>
      </c>
      <c r="CQ560" s="231">
        <f t="shared" si="706"/>
        <v>25</v>
      </c>
      <c r="CR560" s="229">
        <f t="shared" si="690"/>
        <v>38</v>
      </c>
      <c r="CS560" s="234">
        <f t="shared" si="691"/>
        <v>4.0666935483870965</v>
      </c>
      <c r="CT560" s="234" cm="1">
        <f t="array" ref="CT560">$BM560 * IF($AH560&lt;=2,
SUMPRODUCT(INDEX($AV$66:$AX$70,,$AI560), INDEX($AY$66:$BE$70,,$AH560), 1 / ($BF$66:$BF$70*CS560 + (1-$BF$66:$BF$70)*CO560), N($AU$66:$AU$70&gt;$AM560)),
SUMPRODUCT(INDEX($AV$56:$AX$65,,$AI560), INDEX($AY$56:$BE$65,,$AH560), 1 / ($BG$56:$BG$65*CS560 + (1-$BG$56:$BG$65)*CO560), N($AU$56:$AU$65&gt;$AM560))
) / 1000</f>
        <v>0</v>
      </c>
      <c r="CU560" s="231">
        <f t="shared" si="707"/>
        <v>20</v>
      </c>
      <c r="CV560" s="229">
        <f t="shared" si="692"/>
        <v>33</v>
      </c>
      <c r="CW560" s="234">
        <f t="shared" si="693"/>
        <v>4.8487499999999999</v>
      </c>
      <c r="CX560" s="234" cm="1">
        <f t="array" ref="CX560">$BM560 * IF($AH560&lt;=2,
SUMPRODUCT(INDEX($AV$61:$AX$65,,$AI560), INDEX($AY$61:$BE$65,,$AH560), 1 / ($BF$61:$BF$65*CW560 + (1-$BF$61:$BF$65)*CS560), N($AU$61:$AU$65&gt;$AM560)),
SUMPRODUCT(INDEX($AV$46:$AX$55,,$AI560), INDEX($AY$46:$BE$55,,$AH560), 1 / ($BG$46:$BG$55*CW560 + (1-$BG$46:$BG$55)*CS560), N($AU$46:$AU$55&gt;$AM560))
) / 1000</f>
        <v>0</v>
      </c>
      <c r="CY560" s="234" cm="1">
        <f t="array" ref="CY560">$BM560 * IF($AH560&lt;=2,
SUMPRODUCT(INDEX($AV$22:$AX$60,,$AI560), INDEX($AY$22:$BE$60,,$AH560), 1 / ($BF$22:$BF$60*CW560), N($AU$22:$AU$60&gt;$AM560)),
SUMPRODUCT(INDEX($AV$22:$AX$45,,$AI560), INDEX($AY$22:$BE$45,,$AH560), 1 / ($BG$22:$BG$45*CW560), N($AU$22:$AU$45&gt;$AM560))
) / 1000</f>
        <v>0</v>
      </c>
      <c r="CZ560" s="229">
        <f t="shared" si="694"/>
        <v>0</v>
      </c>
      <c r="DA560" s="246"/>
    </row>
    <row r="561" spans="1:105" s="75" customFormat="1" ht="14.25" customHeight="1" x14ac:dyDescent="0.2">
      <c r="A561" s="230" t="b">
        <f t="shared" si="699"/>
        <v>0</v>
      </c>
      <c r="B561" s="253">
        <v>540</v>
      </c>
      <c r="C561" s="266"/>
      <c r="D561" s="266"/>
      <c r="E561" s="254"/>
      <c r="F561" s="255" t="str">
        <f>IF(ISBLANK(E561), "", VLOOKUP(E561, Z!$A$2:$C$4127, 3, FALSE))</f>
        <v/>
      </c>
      <c r="G561" s="256"/>
      <c r="H561" s="256"/>
      <c r="I561" s="256"/>
      <c r="J561" s="257"/>
      <c r="K561" s="258"/>
      <c r="L561" s="267"/>
      <c r="M561" s="268"/>
      <c r="N561" s="259" t="str" cm="1">
        <f t="array" ref="N561">IF($L561&gt;0, INDEX(Clean,1+AK561,$D$1), "")</f>
        <v/>
      </c>
      <c r="O561" s="260"/>
      <c r="P561" s="260"/>
      <c r="Q561" s="261"/>
      <c r="R561" s="264">
        <f t="shared" si="670"/>
        <v>0</v>
      </c>
      <c r="S561" s="259" t="str" cm="1">
        <f t="array" ref="S561">IF($L561&gt;0, INDEX(Clean,1+AL561,$D$1), "")</f>
        <v/>
      </c>
      <c r="T561" s="260"/>
      <c r="U561" s="260"/>
      <c r="V561" s="261"/>
      <c r="W561" s="267"/>
      <c r="X561" s="267"/>
      <c r="Y561" s="257"/>
      <c r="Z561" s="264">
        <f t="shared" si="671"/>
        <v>0</v>
      </c>
      <c r="AA561" s="269"/>
      <c r="AB561" s="266"/>
      <c r="AC561" s="254"/>
      <c r="AD561" s="255" t="str">
        <f>IF(ISBLANK(AC561), "", VLOOKUP(AC561, Z!$A$2:$C$4127, 3, FALSE))</f>
        <v/>
      </c>
      <c r="AE561" s="270"/>
      <c r="AF561" s="265">
        <f t="shared" si="672"/>
        <v>0</v>
      </c>
      <c r="AG561" s="246"/>
      <c r="AH561" s="228">
        <f t="shared" si="695"/>
        <v>1</v>
      </c>
      <c r="AI561" s="228">
        <f t="shared" si="696"/>
        <v>1</v>
      </c>
      <c r="AJ561" s="228">
        <f t="shared" si="697"/>
        <v>0</v>
      </c>
      <c r="AK561" s="228">
        <v>0</v>
      </c>
      <c r="AL561" s="228">
        <v>0</v>
      </c>
      <c r="AM561" s="228">
        <f t="shared" si="673"/>
        <v>-100</v>
      </c>
      <c r="AN561" s="228" cm="1">
        <f t="array" ref="AN561">IF(ISBLANK(G561), 1, IFERROR(MATCH(G561, INDEX(Kat,,1), 0), IFERROR(MATCH(Kat, INDEX(Use,,2), 0), MATCH(Kat, INDEX(Use,,3), 0))))</f>
        <v>1</v>
      </c>
      <c r="AO561" s="246"/>
      <c r="AP561" s="228" cm="1">
        <f t="array" ref="AP561">IF(W561&gt;0, INDEX(Kat, AN561,4), 0)</f>
        <v>0</v>
      </c>
      <c r="AQ561" s="228">
        <f t="shared" si="698"/>
        <v>0</v>
      </c>
      <c r="AR561" s="228" cm="1">
        <f t="array" ref="AR561">IF(X561&gt;0, INDEX(Kat, $AN561, 4+AQ561), 0)</f>
        <v>0</v>
      </c>
      <c r="AS561" s="228" cm="1">
        <f t="array" ref="AS561">IF(X561&gt;0, INDEX(Kat, $AN561, 9+AQ561), 0)</f>
        <v>0</v>
      </c>
      <c r="AT561" s="246"/>
      <c r="AU561" s="262"/>
      <c r="AV561" s="262"/>
      <c r="AW561" s="263"/>
      <c r="AX561" s="263"/>
      <c r="AY561" s="263"/>
      <c r="AZ561" s="263"/>
      <c r="BA561" s="263"/>
      <c r="BB561" s="263"/>
      <c r="BC561" s="263"/>
      <c r="BD561" s="263"/>
      <c r="BE561" s="263"/>
      <c r="BF561" s="263"/>
      <c r="BG561" s="263"/>
      <c r="BH561" s="246"/>
      <c r="BI561" s="228" cm="1">
        <f t="array" ref="BI561">INDEX(Use, $AH561, 4)</f>
        <v>7</v>
      </c>
      <c r="BJ561" s="228">
        <f t="shared" si="674"/>
        <v>32</v>
      </c>
      <c r="BK561" s="228">
        <f t="shared" si="700"/>
        <v>13</v>
      </c>
      <c r="BL561" s="228">
        <f t="shared" si="701"/>
        <v>0</v>
      </c>
      <c r="BM561" s="233" cm="1">
        <f t="array" ref="BM561">L561/IF($M561&gt;0, INDEX($AY$22:$BE$76, $M561+20, $AH561), 1)</f>
        <v>0</v>
      </c>
      <c r="BN561" s="229">
        <f t="shared" si="675"/>
        <v>0</v>
      </c>
      <c r="BO561" s="228">
        <v>35</v>
      </c>
      <c r="BP561" s="229">
        <f t="shared" si="676"/>
        <v>48</v>
      </c>
      <c r="BQ561" s="234">
        <f t="shared" si="677"/>
        <v>3.0748170731707316</v>
      </c>
      <c r="BR561" s="234" cm="1">
        <f t="array" ref="BR561">$BM561 * SUMPRODUCT(INDEX($AV$76:$AX$81,,$AI561),INDEX($AY$76:$BE$81,,$AH561), N($AU$76:$AU$81&gt;$AM561)) / BQ561 / 1000</f>
        <v>0</v>
      </c>
      <c r="BS561" s="231">
        <f t="shared" si="702"/>
        <v>30</v>
      </c>
      <c r="BT561" s="229">
        <f t="shared" si="678"/>
        <v>43</v>
      </c>
      <c r="BU561" s="234">
        <f t="shared" si="679"/>
        <v>3.5018750000000001</v>
      </c>
      <c r="BV561" s="234" cm="1">
        <f t="array" ref="BV561">$BM561 * IF($AH561&lt;=2,
SUMPRODUCT(INDEX($AV$71:$AX$75,,$AI561), INDEX($AY$71:$BE$75,,$AH561), 1 / ($BF$71:$BF$75*BU561 + (1-$BF$71:$BF$75)*BQ561), N($AU$71:$AU$75&gt;$AM561)),
SUMPRODUCT(INDEX($AV$66:$AX$75,,$AI561), INDEX($AY$66:$BE$75,,$AH561), 1 / ($BG$66:$BG$75*BU561 + (1-$BG$66:$BG$75)*BQ561), N($AU$66:$AU$75&gt;$AM561))
) / 1000</f>
        <v>0</v>
      </c>
      <c r="BW561" s="231">
        <f t="shared" si="703"/>
        <v>25</v>
      </c>
      <c r="BX561" s="229">
        <f t="shared" si="680"/>
        <v>38</v>
      </c>
      <c r="BY561" s="234">
        <f t="shared" si="681"/>
        <v>4.0666935483870965</v>
      </c>
      <c r="BZ561" s="234" cm="1">
        <f t="array" ref="BZ561">$BM561 * IF($AH561&lt;=2,
SUMPRODUCT(INDEX($AV$66:$AX$70,,$AI561), INDEX($AY$66:$BE$70,,$AH561), 1 / ($BF$66:$BF$70*BY561 + (1-$BF$66:$BF$70)*BU561), N($AU$66:$AU$70&gt;$AM561)),
SUMPRODUCT(INDEX($AV$56:$AX$65,,$AI561), INDEX($AY$56:$BE$65,,$AH561), 1 / ($BG$56:$BG$65*BY561 + (1-$BG$56:$BG$65)*BU561), N($AU$56:$AU$65&gt;$AM561))
) / 1000</f>
        <v>0</v>
      </c>
      <c r="CA561" s="231">
        <f t="shared" si="704"/>
        <v>20</v>
      </c>
      <c r="CB561" s="229">
        <f t="shared" si="682"/>
        <v>33</v>
      </c>
      <c r="CC561" s="234">
        <f t="shared" si="683"/>
        <v>4.8487499999999999</v>
      </c>
      <c r="CD561" s="234" cm="1">
        <f t="array" ref="CD561">$BM561 * IF($AH561&lt;=2,
SUMPRODUCT(INDEX($AV$61:$AX$65,,$AI561), INDEX($AY$61:$BE$65,,$AH561), 1 / ($BF$61:$BF$65*CC561 + (1-$BF$61:$BF$65)*BY561), N($AU$61:$AU$65&gt;$AM561)),
SUMPRODUCT(INDEX($AV$46:$AX$55,,$AI561), INDEX($AY$46:$BE$55,,$AH561), 1 / ($BG$46:$BG$55*CC561 + (1-$BG$46:$BG$55)*BY561), N($AU$46:$AU$55&gt;$AM561))
) / 1000</f>
        <v>0</v>
      </c>
      <c r="CE561" s="234" cm="1">
        <f t="array" ref="CE561">$BM561 * IF($AH561&lt;=2,
SUMPRODUCT(INDEX($AV$22:$AX$60,,$AI561), INDEX($AY$22:$BE$60,,$AH561), 1 / ($BF$22:$BF$60*CC561), N($AU$22:$AU$60&gt;$AM561)),
SUMPRODUCT(INDEX($AV$22:$AX$45,,$AI561), INDEX($AY$22:$BE$45,,$AH561), 1 / ($BG$22:$BG$45*CC561), N($AU$22:$AU$45&gt;$AM561))
) / 1000</f>
        <v>0</v>
      </c>
      <c r="CF561" s="229">
        <f t="shared" si="684"/>
        <v>0</v>
      </c>
      <c r="CG561" s="246"/>
      <c r="CH561" s="229">
        <f t="shared" si="685"/>
        <v>0</v>
      </c>
      <c r="CI561" s="228">
        <v>35</v>
      </c>
      <c r="CJ561" s="229">
        <f t="shared" si="686"/>
        <v>48</v>
      </c>
      <c r="CK561" s="234">
        <f t="shared" si="687"/>
        <v>3.0748170731707316</v>
      </c>
      <c r="CL561" s="234" cm="1">
        <f t="array" ref="CL561">$BM561 * SUMPRODUCT(INDEX($AV$76:$AX$81,,$AI561),INDEX($AY$76:$BE$81,,$AH561), N($AU$76:$AU$81&gt;$AM561)) / CK561 / 1000</f>
        <v>0</v>
      </c>
      <c r="CM561" s="231">
        <f t="shared" si="705"/>
        <v>30</v>
      </c>
      <c r="CN561" s="229">
        <f t="shared" si="688"/>
        <v>43</v>
      </c>
      <c r="CO561" s="234">
        <f t="shared" si="689"/>
        <v>3.5018750000000001</v>
      </c>
      <c r="CP561" s="234" cm="1">
        <f t="array" ref="CP561">$BM561 * IF($AH561&lt;=2,
SUMPRODUCT(INDEX($AV$71:$AX$75,,$AI561), INDEX($AY$71:$BE$75,,$AH561), 1 / ($BF$71:$BF$75*CO561 + (1-$BF$71:$BF$75)*CK561), N($AU$71:$AU$75&gt;$AM561)),
SUMPRODUCT(INDEX($AV$66:$AX$75,,$AI561), INDEX($AY$66:$BE$75,,$AH561), 1 / ($BG$66:$BG$75*CO561 + (1-$BG$66:$BG$75)*CK561), N($AU$66:$AU$75&gt;$AM561))
) / 1000</f>
        <v>0</v>
      </c>
      <c r="CQ561" s="231">
        <f t="shared" si="706"/>
        <v>25</v>
      </c>
      <c r="CR561" s="229">
        <f t="shared" si="690"/>
        <v>38</v>
      </c>
      <c r="CS561" s="234">
        <f t="shared" si="691"/>
        <v>4.0666935483870965</v>
      </c>
      <c r="CT561" s="234" cm="1">
        <f t="array" ref="CT561">$BM561 * IF($AH561&lt;=2,
SUMPRODUCT(INDEX($AV$66:$AX$70,,$AI561), INDEX($AY$66:$BE$70,,$AH561), 1 / ($BF$66:$BF$70*CS561 + (1-$BF$66:$BF$70)*CO561), N($AU$66:$AU$70&gt;$AM561)),
SUMPRODUCT(INDEX($AV$56:$AX$65,,$AI561), INDEX($AY$56:$BE$65,,$AH561), 1 / ($BG$56:$BG$65*CS561 + (1-$BG$56:$BG$65)*CO561), N($AU$56:$AU$65&gt;$AM561))
) / 1000</f>
        <v>0</v>
      </c>
      <c r="CU561" s="231">
        <f t="shared" si="707"/>
        <v>20</v>
      </c>
      <c r="CV561" s="229">
        <f t="shared" si="692"/>
        <v>33</v>
      </c>
      <c r="CW561" s="234">
        <f t="shared" si="693"/>
        <v>4.8487499999999999</v>
      </c>
      <c r="CX561" s="234" cm="1">
        <f t="array" ref="CX561">$BM561 * IF($AH561&lt;=2,
SUMPRODUCT(INDEX($AV$61:$AX$65,,$AI561), INDEX($AY$61:$BE$65,,$AH561), 1 / ($BF$61:$BF$65*CW561 + (1-$BF$61:$BF$65)*CS561), N($AU$61:$AU$65&gt;$AM561)),
SUMPRODUCT(INDEX($AV$46:$AX$55,,$AI561), INDEX($AY$46:$BE$55,,$AH561), 1 / ($BG$46:$BG$55*CW561 + (1-$BG$46:$BG$55)*CS561), N($AU$46:$AU$55&gt;$AM561))
) / 1000</f>
        <v>0</v>
      </c>
      <c r="CY561" s="234" cm="1">
        <f t="array" ref="CY561">$BM561 * IF($AH561&lt;=2,
SUMPRODUCT(INDEX($AV$22:$AX$60,,$AI561), INDEX($AY$22:$BE$60,,$AH561), 1 / ($BF$22:$BF$60*CW561), N($AU$22:$AU$60&gt;$AM561)),
SUMPRODUCT(INDEX($AV$22:$AX$45,,$AI561), INDEX($AY$22:$BE$45,,$AH561), 1 / ($BG$22:$BG$45*CW561), N($AU$22:$AU$45&gt;$AM561))
) / 1000</f>
        <v>0</v>
      </c>
      <c r="CZ561" s="229">
        <f t="shared" si="694"/>
        <v>0</v>
      </c>
      <c r="DA561" s="246"/>
    </row>
    <row r="562" spans="1:105" s="75" customFormat="1" ht="14.25" customHeight="1" x14ac:dyDescent="0.2">
      <c r="A562" s="230" t="b">
        <f t="shared" si="699"/>
        <v>0</v>
      </c>
      <c r="B562" s="253">
        <v>541</v>
      </c>
      <c r="C562" s="266"/>
      <c r="D562" s="266"/>
      <c r="E562" s="254"/>
      <c r="F562" s="255" t="str">
        <f>IF(ISBLANK(E562), "", VLOOKUP(E562, Z!$A$2:$C$4127, 3, FALSE))</f>
        <v/>
      </c>
      <c r="G562" s="256"/>
      <c r="H562" s="256"/>
      <c r="I562" s="256"/>
      <c r="J562" s="257"/>
      <c r="K562" s="258"/>
      <c r="L562" s="267"/>
      <c r="M562" s="268"/>
      <c r="N562" s="259" t="str" cm="1">
        <f t="array" ref="N562">IF($L562&gt;0, INDEX(Clean,1+AK562,$D$1), "")</f>
        <v/>
      </c>
      <c r="O562" s="260"/>
      <c r="P562" s="260"/>
      <c r="Q562" s="261"/>
      <c r="R562" s="264">
        <f t="shared" si="670"/>
        <v>0</v>
      </c>
      <c r="S562" s="259" t="str" cm="1">
        <f t="array" ref="S562">IF($L562&gt;0, INDEX(Clean,1+AL562,$D$1), "")</f>
        <v/>
      </c>
      <c r="T562" s="260"/>
      <c r="U562" s="260"/>
      <c r="V562" s="261"/>
      <c r="W562" s="267"/>
      <c r="X562" s="267"/>
      <c r="Y562" s="257"/>
      <c r="Z562" s="264">
        <f t="shared" si="671"/>
        <v>0</v>
      </c>
      <c r="AA562" s="269"/>
      <c r="AB562" s="266"/>
      <c r="AC562" s="254"/>
      <c r="AD562" s="255" t="str">
        <f>IF(ISBLANK(AC562), "", VLOOKUP(AC562, Z!$A$2:$C$4127, 3, FALSE))</f>
        <v/>
      </c>
      <c r="AE562" s="270"/>
      <c r="AF562" s="265">
        <f t="shared" si="672"/>
        <v>0</v>
      </c>
      <c r="AG562" s="246"/>
      <c r="AH562" s="228">
        <f t="shared" si="695"/>
        <v>1</v>
      </c>
      <c r="AI562" s="228">
        <f t="shared" si="696"/>
        <v>1</v>
      </c>
      <c r="AJ562" s="228">
        <f t="shared" si="697"/>
        <v>0</v>
      </c>
      <c r="AK562" s="228">
        <v>0</v>
      </c>
      <c r="AL562" s="228">
        <v>0</v>
      </c>
      <c r="AM562" s="228">
        <f t="shared" si="673"/>
        <v>-100</v>
      </c>
      <c r="AN562" s="228" cm="1">
        <f t="array" ref="AN562">IF(ISBLANK(G562), 1, IFERROR(MATCH(G562, INDEX(Kat,,1), 0), IFERROR(MATCH(Kat, INDEX(Use,,2), 0), MATCH(Kat, INDEX(Use,,3), 0))))</f>
        <v>1</v>
      </c>
      <c r="AO562" s="246"/>
      <c r="AP562" s="228" cm="1">
        <f t="array" ref="AP562">IF(W562&gt;0, INDEX(Kat, AN562,4), 0)</f>
        <v>0</v>
      </c>
      <c r="AQ562" s="228">
        <f t="shared" si="698"/>
        <v>0</v>
      </c>
      <c r="AR562" s="228" cm="1">
        <f t="array" ref="AR562">IF(X562&gt;0, INDEX(Kat, $AN562, 4+AQ562), 0)</f>
        <v>0</v>
      </c>
      <c r="AS562" s="228" cm="1">
        <f t="array" ref="AS562">IF(X562&gt;0, INDEX(Kat, $AN562, 9+AQ562), 0)</f>
        <v>0</v>
      </c>
      <c r="AT562" s="246"/>
      <c r="AU562" s="262"/>
      <c r="AV562" s="262"/>
      <c r="AW562" s="263"/>
      <c r="AX562" s="263"/>
      <c r="AY562" s="263"/>
      <c r="AZ562" s="263"/>
      <c r="BA562" s="263"/>
      <c r="BB562" s="263"/>
      <c r="BC562" s="263"/>
      <c r="BD562" s="263"/>
      <c r="BE562" s="263"/>
      <c r="BF562" s="263"/>
      <c r="BG562" s="263"/>
      <c r="BH562" s="246"/>
      <c r="BI562" s="228" cm="1">
        <f t="array" ref="BI562">INDEX(Use, $AH562, 4)</f>
        <v>7</v>
      </c>
      <c r="BJ562" s="228">
        <f t="shared" si="674"/>
        <v>32</v>
      </c>
      <c r="BK562" s="228">
        <f t="shared" si="700"/>
        <v>13</v>
      </c>
      <c r="BL562" s="228">
        <f t="shared" si="701"/>
        <v>0</v>
      </c>
      <c r="BM562" s="233" cm="1">
        <f t="array" ref="BM562">L562/IF($M562&gt;0, INDEX($AY$22:$BE$76, $M562+20, $AH562), 1)</f>
        <v>0</v>
      </c>
      <c r="BN562" s="229">
        <f t="shared" si="675"/>
        <v>0</v>
      </c>
      <c r="BO562" s="228">
        <v>35</v>
      </c>
      <c r="BP562" s="229">
        <f t="shared" si="676"/>
        <v>48</v>
      </c>
      <c r="BQ562" s="234">
        <f t="shared" si="677"/>
        <v>3.0748170731707316</v>
      </c>
      <c r="BR562" s="234" cm="1">
        <f t="array" ref="BR562">$BM562 * SUMPRODUCT(INDEX($AV$76:$AX$81,,$AI562),INDEX($AY$76:$BE$81,,$AH562), N($AU$76:$AU$81&gt;$AM562)) / BQ562 / 1000</f>
        <v>0</v>
      </c>
      <c r="BS562" s="231">
        <f t="shared" si="702"/>
        <v>30</v>
      </c>
      <c r="BT562" s="229">
        <f t="shared" si="678"/>
        <v>43</v>
      </c>
      <c r="BU562" s="234">
        <f t="shared" si="679"/>
        <v>3.5018750000000001</v>
      </c>
      <c r="BV562" s="234" cm="1">
        <f t="array" ref="BV562">$BM562 * IF($AH562&lt;=2,
SUMPRODUCT(INDEX($AV$71:$AX$75,,$AI562), INDEX($AY$71:$BE$75,,$AH562), 1 / ($BF$71:$BF$75*BU562 + (1-$BF$71:$BF$75)*BQ562), N($AU$71:$AU$75&gt;$AM562)),
SUMPRODUCT(INDEX($AV$66:$AX$75,,$AI562), INDEX($AY$66:$BE$75,,$AH562), 1 / ($BG$66:$BG$75*BU562 + (1-$BG$66:$BG$75)*BQ562), N($AU$66:$AU$75&gt;$AM562))
) / 1000</f>
        <v>0</v>
      </c>
      <c r="BW562" s="231">
        <f t="shared" si="703"/>
        <v>25</v>
      </c>
      <c r="BX562" s="229">
        <f t="shared" si="680"/>
        <v>38</v>
      </c>
      <c r="BY562" s="234">
        <f t="shared" si="681"/>
        <v>4.0666935483870965</v>
      </c>
      <c r="BZ562" s="234" cm="1">
        <f t="array" ref="BZ562">$BM562 * IF($AH562&lt;=2,
SUMPRODUCT(INDEX($AV$66:$AX$70,,$AI562), INDEX($AY$66:$BE$70,,$AH562), 1 / ($BF$66:$BF$70*BY562 + (1-$BF$66:$BF$70)*BU562), N($AU$66:$AU$70&gt;$AM562)),
SUMPRODUCT(INDEX($AV$56:$AX$65,,$AI562), INDEX($AY$56:$BE$65,,$AH562), 1 / ($BG$56:$BG$65*BY562 + (1-$BG$56:$BG$65)*BU562), N($AU$56:$AU$65&gt;$AM562))
) / 1000</f>
        <v>0</v>
      </c>
      <c r="CA562" s="231">
        <f t="shared" si="704"/>
        <v>20</v>
      </c>
      <c r="CB562" s="229">
        <f t="shared" si="682"/>
        <v>33</v>
      </c>
      <c r="CC562" s="234">
        <f t="shared" si="683"/>
        <v>4.8487499999999999</v>
      </c>
      <c r="CD562" s="234" cm="1">
        <f t="array" ref="CD562">$BM562 * IF($AH562&lt;=2,
SUMPRODUCT(INDEX($AV$61:$AX$65,,$AI562), INDEX($AY$61:$BE$65,,$AH562), 1 / ($BF$61:$BF$65*CC562 + (1-$BF$61:$BF$65)*BY562), N($AU$61:$AU$65&gt;$AM562)),
SUMPRODUCT(INDEX($AV$46:$AX$55,,$AI562), INDEX($AY$46:$BE$55,,$AH562), 1 / ($BG$46:$BG$55*CC562 + (1-$BG$46:$BG$55)*BY562), N($AU$46:$AU$55&gt;$AM562))
) / 1000</f>
        <v>0</v>
      </c>
      <c r="CE562" s="234" cm="1">
        <f t="array" ref="CE562">$BM562 * IF($AH562&lt;=2,
SUMPRODUCT(INDEX($AV$22:$AX$60,,$AI562), INDEX($AY$22:$BE$60,,$AH562), 1 / ($BF$22:$BF$60*CC562), N($AU$22:$AU$60&gt;$AM562)),
SUMPRODUCT(INDEX($AV$22:$AX$45,,$AI562), INDEX($AY$22:$BE$45,,$AH562), 1 / ($BG$22:$BG$45*CC562), N($AU$22:$AU$45&gt;$AM562))
) / 1000</f>
        <v>0</v>
      </c>
      <c r="CF562" s="229">
        <f t="shared" si="684"/>
        <v>0</v>
      </c>
      <c r="CG562" s="246"/>
      <c r="CH562" s="229">
        <f t="shared" si="685"/>
        <v>0</v>
      </c>
      <c r="CI562" s="228">
        <v>35</v>
      </c>
      <c r="CJ562" s="229">
        <f t="shared" si="686"/>
        <v>48</v>
      </c>
      <c r="CK562" s="234">
        <f t="shared" si="687"/>
        <v>3.0748170731707316</v>
      </c>
      <c r="CL562" s="234" cm="1">
        <f t="array" ref="CL562">$BM562 * SUMPRODUCT(INDEX($AV$76:$AX$81,,$AI562),INDEX($AY$76:$BE$81,,$AH562), N($AU$76:$AU$81&gt;$AM562)) / CK562 / 1000</f>
        <v>0</v>
      </c>
      <c r="CM562" s="231">
        <f t="shared" si="705"/>
        <v>30</v>
      </c>
      <c r="CN562" s="229">
        <f t="shared" si="688"/>
        <v>43</v>
      </c>
      <c r="CO562" s="234">
        <f t="shared" si="689"/>
        <v>3.5018750000000001</v>
      </c>
      <c r="CP562" s="234" cm="1">
        <f t="array" ref="CP562">$BM562 * IF($AH562&lt;=2,
SUMPRODUCT(INDEX($AV$71:$AX$75,,$AI562), INDEX($AY$71:$BE$75,,$AH562), 1 / ($BF$71:$BF$75*CO562 + (1-$BF$71:$BF$75)*CK562), N($AU$71:$AU$75&gt;$AM562)),
SUMPRODUCT(INDEX($AV$66:$AX$75,,$AI562), INDEX($AY$66:$BE$75,,$AH562), 1 / ($BG$66:$BG$75*CO562 + (1-$BG$66:$BG$75)*CK562), N($AU$66:$AU$75&gt;$AM562))
) / 1000</f>
        <v>0</v>
      </c>
      <c r="CQ562" s="231">
        <f t="shared" si="706"/>
        <v>25</v>
      </c>
      <c r="CR562" s="229">
        <f t="shared" si="690"/>
        <v>38</v>
      </c>
      <c r="CS562" s="234">
        <f t="shared" si="691"/>
        <v>4.0666935483870965</v>
      </c>
      <c r="CT562" s="234" cm="1">
        <f t="array" ref="CT562">$BM562 * IF($AH562&lt;=2,
SUMPRODUCT(INDEX($AV$66:$AX$70,,$AI562), INDEX($AY$66:$BE$70,,$AH562), 1 / ($BF$66:$BF$70*CS562 + (1-$BF$66:$BF$70)*CO562), N($AU$66:$AU$70&gt;$AM562)),
SUMPRODUCT(INDEX($AV$56:$AX$65,,$AI562), INDEX($AY$56:$BE$65,,$AH562), 1 / ($BG$56:$BG$65*CS562 + (1-$BG$56:$BG$65)*CO562), N($AU$56:$AU$65&gt;$AM562))
) / 1000</f>
        <v>0</v>
      </c>
      <c r="CU562" s="231">
        <f t="shared" si="707"/>
        <v>20</v>
      </c>
      <c r="CV562" s="229">
        <f t="shared" si="692"/>
        <v>33</v>
      </c>
      <c r="CW562" s="234">
        <f t="shared" si="693"/>
        <v>4.8487499999999999</v>
      </c>
      <c r="CX562" s="234" cm="1">
        <f t="array" ref="CX562">$BM562 * IF($AH562&lt;=2,
SUMPRODUCT(INDEX($AV$61:$AX$65,,$AI562), INDEX($AY$61:$BE$65,,$AH562), 1 / ($BF$61:$BF$65*CW562 + (1-$BF$61:$BF$65)*CS562), N($AU$61:$AU$65&gt;$AM562)),
SUMPRODUCT(INDEX($AV$46:$AX$55,,$AI562), INDEX($AY$46:$BE$55,,$AH562), 1 / ($BG$46:$BG$55*CW562 + (1-$BG$46:$BG$55)*CS562), N($AU$46:$AU$55&gt;$AM562))
) / 1000</f>
        <v>0</v>
      </c>
      <c r="CY562" s="234" cm="1">
        <f t="array" ref="CY562">$BM562 * IF($AH562&lt;=2,
SUMPRODUCT(INDEX($AV$22:$AX$60,,$AI562), INDEX($AY$22:$BE$60,,$AH562), 1 / ($BF$22:$BF$60*CW562), N($AU$22:$AU$60&gt;$AM562)),
SUMPRODUCT(INDEX($AV$22:$AX$45,,$AI562), INDEX($AY$22:$BE$45,,$AH562), 1 / ($BG$22:$BG$45*CW562), N($AU$22:$AU$45&gt;$AM562))
) / 1000</f>
        <v>0</v>
      </c>
      <c r="CZ562" s="229">
        <f t="shared" si="694"/>
        <v>0</v>
      </c>
      <c r="DA562" s="246"/>
    </row>
    <row r="563" spans="1:105" s="75" customFormat="1" ht="14.25" customHeight="1" x14ac:dyDescent="0.2">
      <c r="A563" s="230" t="b">
        <f t="shared" si="699"/>
        <v>0</v>
      </c>
      <c r="B563" s="253">
        <v>542</v>
      </c>
      <c r="C563" s="266"/>
      <c r="D563" s="266"/>
      <c r="E563" s="254"/>
      <c r="F563" s="255" t="str">
        <f>IF(ISBLANK(E563), "", VLOOKUP(E563, Z!$A$2:$C$4127, 3, FALSE))</f>
        <v/>
      </c>
      <c r="G563" s="256"/>
      <c r="H563" s="256"/>
      <c r="I563" s="256"/>
      <c r="J563" s="257"/>
      <c r="K563" s="258"/>
      <c r="L563" s="267"/>
      <c r="M563" s="268"/>
      <c r="N563" s="259" t="str" cm="1">
        <f t="array" ref="N563">IF($L563&gt;0, INDEX(Clean,1+AK563,$D$1), "")</f>
        <v/>
      </c>
      <c r="O563" s="260"/>
      <c r="P563" s="260"/>
      <c r="Q563" s="261"/>
      <c r="R563" s="264">
        <f t="shared" si="670"/>
        <v>0</v>
      </c>
      <c r="S563" s="259" t="str" cm="1">
        <f t="array" ref="S563">IF($L563&gt;0, INDEX(Clean,1+AL563,$D$1), "")</f>
        <v/>
      </c>
      <c r="T563" s="260"/>
      <c r="U563" s="260"/>
      <c r="V563" s="261"/>
      <c r="W563" s="267"/>
      <c r="X563" s="267"/>
      <c r="Y563" s="257"/>
      <c r="Z563" s="264">
        <f t="shared" si="671"/>
        <v>0</v>
      </c>
      <c r="AA563" s="269"/>
      <c r="AB563" s="266"/>
      <c r="AC563" s="254"/>
      <c r="AD563" s="255" t="str">
        <f>IF(ISBLANK(AC563), "", VLOOKUP(AC563, Z!$A$2:$C$4127, 3, FALSE))</f>
        <v/>
      </c>
      <c r="AE563" s="270"/>
      <c r="AF563" s="265">
        <f t="shared" si="672"/>
        <v>0</v>
      </c>
      <c r="AG563" s="246"/>
      <c r="AH563" s="228">
        <f t="shared" si="695"/>
        <v>1</v>
      </c>
      <c r="AI563" s="228">
        <f t="shared" si="696"/>
        <v>1</v>
      </c>
      <c r="AJ563" s="228">
        <f t="shared" si="697"/>
        <v>0</v>
      </c>
      <c r="AK563" s="228">
        <v>0</v>
      </c>
      <c r="AL563" s="228">
        <v>0</v>
      </c>
      <c r="AM563" s="228">
        <f t="shared" si="673"/>
        <v>-100</v>
      </c>
      <c r="AN563" s="228" cm="1">
        <f t="array" ref="AN563">IF(ISBLANK(G563), 1, IFERROR(MATCH(G563, INDEX(Kat,,1), 0), IFERROR(MATCH(Kat, INDEX(Use,,2), 0), MATCH(Kat, INDEX(Use,,3), 0))))</f>
        <v>1</v>
      </c>
      <c r="AO563" s="246"/>
      <c r="AP563" s="228" cm="1">
        <f t="array" ref="AP563">IF(W563&gt;0, INDEX(Kat, AN563,4), 0)</f>
        <v>0</v>
      </c>
      <c r="AQ563" s="228">
        <f t="shared" si="698"/>
        <v>0</v>
      </c>
      <c r="AR563" s="228" cm="1">
        <f t="array" ref="AR563">IF(X563&gt;0, INDEX(Kat, $AN563, 4+AQ563), 0)</f>
        <v>0</v>
      </c>
      <c r="AS563" s="228" cm="1">
        <f t="array" ref="AS563">IF(X563&gt;0, INDEX(Kat, $AN563, 9+AQ563), 0)</f>
        <v>0</v>
      </c>
      <c r="AT563" s="246"/>
      <c r="AU563" s="262"/>
      <c r="AV563" s="262"/>
      <c r="AW563" s="263"/>
      <c r="AX563" s="263"/>
      <c r="AY563" s="263"/>
      <c r="AZ563" s="263"/>
      <c r="BA563" s="263"/>
      <c r="BB563" s="263"/>
      <c r="BC563" s="263"/>
      <c r="BD563" s="263"/>
      <c r="BE563" s="263"/>
      <c r="BF563" s="263"/>
      <c r="BG563" s="263"/>
      <c r="BH563" s="246"/>
      <c r="BI563" s="228" cm="1">
        <f t="array" ref="BI563">INDEX(Use, $AH563, 4)</f>
        <v>7</v>
      </c>
      <c r="BJ563" s="228">
        <f t="shared" si="674"/>
        <v>32</v>
      </c>
      <c r="BK563" s="228">
        <f t="shared" si="700"/>
        <v>13</v>
      </c>
      <c r="BL563" s="228">
        <f t="shared" si="701"/>
        <v>0</v>
      </c>
      <c r="BM563" s="233" cm="1">
        <f t="array" ref="BM563">L563/IF($M563&gt;0, INDEX($AY$22:$BE$76, $M563+20, $AH563), 1)</f>
        <v>0</v>
      </c>
      <c r="BN563" s="229">
        <f t="shared" si="675"/>
        <v>0</v>
      </c>
      <c r="BO563" s="228">
        <v>35</v>
      </c>
      <c r="BP563" s="229">
        <f t="shared" si="676"/>
        <v>48</v>
      </c>
      <c r="BQ563" s="234">
        <f t="shared" si="677"/>
        <v>3.0748170731707316</v>
      </c>
      <c r="BR563" s="234" cm="1">
        <f t="array" ref="BR563">$BM563 * SUMPRODUCT(INDEX($AV$76:$AX$81,,$AI563),INDEX($AY$76:$BE$81,,$AH563), N($AU$76:$AU$81&gt;$AM563)) / BQ563 / 1000</f>
        <v>0</v>
      </c>
      <c r="BS563" s="231">
        <f t="shared" si="702"/>
        <v>30</v>
      </c>
      <c r="BT563" s="229">
        <f t="shared" si="678"/>
        <v>43</v>
      </c>
      <c r="BU563" s="234">
        <f t="shared" si="679"/>
        <v>3.5018750000000001</v>
      </c>
      <c r="BV563" s="234" cm="1">
        <f t="array" ref="BV563">$BM563 * IF($AH563&lt;=2,
SUMPRODUCT(INDEX($AV$71:$AX$75,,$AI563), INDEX($AY$71:$BE$75,,$AH563), 1 / ($BF$71:$BF$75*BU563 + (1-$BF$71:$BF$75)*BQ563), N($AU$71:$AU$75&gt;$AM563)),
SUMPRODUCT(INDEX($AV$66:$AX$75,,$AI563), INDEX($AY$66:$BE$75,,$AH563), 1 / ($BG$66:$BG$75*BU563 + (1-$BG$66:$BG$75)*BQ563), N($AU$66:$AU$75&gt;$AM563))
) / 1000</f>
        <v>0</v>
      </c>
      <c r="BW563" s="231">
        <f t="shared" si="703"/>
        <v>25</v>
      </c>
      <c r="BX563" s="229">
        <f t="shared" si="680"/>
        <v>38</v>
      </c>
      <c r="BY563" s="234">
        <f t="shared" si="681"/>
        <v>4.0666935483870965</v>
      </c>
      <c r="BZ563" s="234" cm="1">
        <f t="array" ref="BZ563">$BM563 * IF($AH563&lt;=2,
SUMPRODUCT(INDEX($AV$66:$AX$70,,$AI563), INDEX($AY$66:$BE$70,,$AH563), 1 / ($BF$66:$BF$70*BY563 + (1-$BF$66:$BF$70)*BU563), N($AU$66:$AU$70&gt;$AM563)),
SUMPRODUCT(INDEX($AV$56:$AX$65,,$AI563), INDEX($AY$56:$BE$65,,$AH563), 1 / ($BG$56:$BG$65*BY563 + (1-$BG$56:$BG$65)*BU563), N($AU$56:$AU$65&gt;$AM563))
) / 1000</f>
        <v>0</v>
      </c>
      <c r="CA563" s="231">
        <f t="shared" si="704"/>
        <v>20</v>
      </c>
      <c r="CB563" s="229">
        <f t="shared" si="682"/>
        <v>33</v>
      </c>
      <c r="CC563" s="234">
        <f t="shared" si="683"/>
        <v>4.8487499999999999</v>
      </c>
      <c r="CD563" s="234" cm="1">
        <f t="array" ref="CD563">$BM563 * IF($AH563&lt;=2,
SUMPRODUCT(INDEX($AV$61:$AX$65,,$AI563), INDEX($AY$61:$BE$65,,$AH563), 1 / ($BF$61:$BF$65*CC563 + (1-$BF$61:$BF$65)*BY563), N($AU$61:$AU$65&gt;$AM563)),
SUMPRODUCT(INDEX($AV$46:$AX$55,,$AI563), INDEX($AY$46:$BE$55,,$AH563), 1 / ($BG$46:$BG$55*CC563 + (1-$BG$46:$BG$55)*BY563), N($AU$46:$AU$55&gt;$AM563))
) / 1000</f>
        <v>0</v>
      </c>
      <c r="CE563" s="234" cm="1">
        <f t="array" ref="CE563">$BM563 * IF($AH563&lt;=2,
SUMPRODUCT(INDEX($AV$22:$AX$60,,$AI563), INDEX($AY$22:$BE$60,,$AH563), 1 / ($BF$22:$BF$60*CC563), N($AU$22:$AU$60&gt;$AM563)),
SUMPRODUCT(INDEX($AV$22:$AX$45,,$AI563), INDEX($AY$22:$BE$45,,$AH563), 1 / ($BG$22:$BG$45*CC563), N($AU$22:$AU$45&gt;$AM563))
) / 1000</f>
        <v>0</v>
      </c>
      <c r="CF563" s="229">
        <f t="shared" si="684"/>
        <v>0</v>
      </c>
      <c r="CG563" s="246"/>
      <c r="CH563" s="229">
        <f t="shared" si="685"/>
        <v>0</v>
      </c>
      <c r="CI563" s="228">
        <v>35</v>
      </c>
      <c r="CJ563" s="229">
        <f t="shared" si="686"/>
        <v>48</v>
      </c>
      <c r="CK563" s="234">
        <f t="shared" si="687"/>
        <v>3.0748170731707316</v>
      </c>
      <c r="CL563" s="234" cm="1">
        <f t="array" ref="CL563">$BM563 * SUMPRODUCT(INDEX($AV$76:$AX$81,,$AI563),INDEX($AY$76:$BE$81,,$AH563), N($AU$76:$AU$81&gt;$AM563)) / CK563 / 1000</f>
        <v>0</v>
      </c>
      <c r="CM563" s="231">
        <f t="shared" si="705"/>
        <v>30</v>
      </c>
      <c r="CN563" s="229">
        <f t="shared" si="688"/>
        <v>43</v>
      </c>
      <c r="CO563" s="234">
        <f t="shared" si="689"/>
        <v>3.5018750000000001</v>
      </c>
      <c r="CP563" s="234" cm="1">
        <f t="array" ref="CP563">$BM563 * IF($AH563&lt;=2,
SUMPRODUCT(INDEX($AV$71:$AX$75,,$AI563), INDEX($AY$71:$BE$75,,$AH563), 1 / ($BF$71:$BF$75*CO563 + (1-$BF$71:$BF$75)*CK563), N($AU$71:$AU$75&gt;$AM563)),
SUMPRODUCT(INDEX($AV$66:$AX$75,,$AI563), INDEX($AY$66:$BE$75,,$AH563), 1 / ($BG$66:$BG$75*CO563 + (1-$BG$66:$BG$75)*CK563), N($AU$66:$AU$75&gt;$AM563))
) / 1000</f>
        <v>0</v>
      </c>
      <c r="CQ563" s="231">
        <f t="shared" si="706"/>
        <v>25</v>
      </c>
      <c r="CR563" s="229">
        <f t="shared" si="690"/>
        <v>38</v>
      </c>
      <c r="CS563" s="234">
        <f t="shared" si="691"/>
        <v>4.0666935483870965</v>
      </c>
      <c r="CT563" s="234" cm="1">
        <f t="array" ref="CT563">$BM563 * IF($AH563&lt;=2,
SUMPRODUCT(INDEX($AV$66:$AX$70,,$AI563), INDEX($AY$66:$BE$70,,$AH563), 1 / ($BF$66:$BF$70*CS563 + (1-$BF$66:$BF$70)*CO563), N($AU$66:$AU$70&gt;$AM563)),
SUMPRODUCT(INDEX($AV$56:$AX$65,,$AI563), INDEX($AY$56:$BE$65,,$AH563), 1 / ($BG$56:$BG$65*CS563 + (1-$BG$56:$BG$65)*CO563), N($AU$56:$AU$65&gt;$AM563))
) / 1000</f>
        <v>0</v>
      </c>
      <c r="CU563" s="231">
        <f t="shared" si="707"/>
        <v>20</v>
      </c>
      <c r="CV563" s="229">
        <f t="shared" si="692"/>
        <v>33</v>
      </c>
      <c r="CW563" s="234">
        <f t="shared" si="693"/>
        <v>4.8487499999999999</v>
      </c>
      <c r="CX563" s="234" cm="1">
        <f t="array" ref="CX563">$BM563 * IF($AH563&lt;=2,
SUMPRODUCT(INDEX($AV$61:$AX$65,,$AI563), INDEX($AY$61:$BE$65,,$AH563), 1 / ($BF$61:$BF$65*CW563 + (1-$BF$61:$BF$65)*CS563), N($AU$61:$AU$65&gt;$AM563)),
SUMPRODUCT(INDEX($AV$46:$AX$55,,$AI563), INDEX($AY$46:$BE$55,,$AH563), 1 / ($BG$46:$BG$55*CW563 + (1-$BG$46:$BG$55)*CS563), N($AU$46:$AU$55&gt;$AM563))
) / 1000</f>
        <v>0</v>
      </c>
      <c r="CY563" s="234" cm="1">
        <f t="array" ref="CY563">$BM563 * IF($AH563&lt;=2,
SUMPRODUCT(INDEX($AV$22:$AX$60,,$AI563), INDEX($AY$22:$BE$60,,$AH563), 1 / ($BF$22:$BF$60*CW563), N($AU$22:$AU$60&gt;$AM563)),
SUMPRODUCT(INDEX($AV$22:$AX$45,,$AI563), INDEX($AY$22:$BE$45,,$AH563), 1 / ($BG$22:$BG$45*CW563), N($AU$22:$AU$45&gt;$AM563))
) / 1000</f>
        <v>0</v>
      </c>
      <c r="CZ563" s="229">
        <f t="shared" si="694"/>
        <v>0</v>
      </c>
      <c r="DA563" s="246"/>
    </row>
    <row r="564" spans="1:105" s="75" customFormat="1" ht="14.25" customHeight="1" x14ac:dyDescent="0.2">
      <c r="A564" s="230" t="b">
        <f t="shared" si="699"/>
        <v>0</v>
      </c>
      <c r="B564" s="253">
        <v>543</v>
      </c>
      <c r="C564" s="266"/>
      <c r="D564" s="266"/>
      <c r="E564" s="254"/>
      <c r="F564" s="255" t="str">
        <f>IF(ISBLANK(E564), "", VLOOKUP(E564, Z!$A$2:$C$4127, 3, FALSE))</f>
        <v/>
      </c>
      <c r="G564" s="256"/>
      <c r="H564" s="256"/>
      <c r="I564" s="256"/>
      <c r="J564" s="257"/>
      <c r="K564" s="258"/>
      <c r="L564" s="267"/>
      <c r="M564" s="268"/>
      <c r="N564" s="259" t="str" cm="1">
        <f t="array" ref="N564">IF($L564&gt;0, INDEX(Clean,1+AK564,$D$1), "")</f>
        <v/>
      </c>
      <c r="O564" s="260"/>
      <c r="P564" s="260"/>
      <c r="Q564" s="261"/>
      <c r="R564" s="264">
        <f t="shared" si="670"/>
        <v>0</v>
      </c>
      <c r="S564" s="259" t="str" cm="1">
        <f t="array" ref="S564">IF($L564&gt;0, INDEX(Clean,1+AL564,$D$1), "")</f>
        <v/>
      </c>
      <c r="T564" s="260"/>
      <c r="U564" s="260"/>
      <c r="V564" s="261"/>
      <c r="W564" s="267"/>
      <c r="X564" s="267"/>
      <c r="Y564" s="257"/>
      <c r="Z564" s="264">
        <f t="shared" si="671"/>
        <v>0</v>
      </c>
      <c r="AA564" s="269"/>
      <c r="AB564" s="266"/>
      <c r="AC564" s="254"/>
      <c r="AD564" s="255" t="str">
        <f>IF(ISBLANK(AC564), "", VLOOKUP(AC564, Z!$A$2:$C$4127, 3, FALSE))</f>
        <v/>
      </c>
      <c r="AE564" s="270"/>
      <c r="AF564" s="265">
        <f t="shared" si="672"/>
        <v>0</v>
      </c>
      <c r="AG564" s="246"/>
      <c r="AH564" s="228">
        <f t="shared" si="695"/>
        <v>1</v>
      </c>
      <c r="AI564" s="228">
        <f t="shared" si="696"/>
        <v>1</v>
      </c>
      <c r="AJ564" s="228">
        <f t="shared" si="697"/>
        <v>0</v>
      </c>
      <c r="AK564" s="228">
        <v>0</v>
      </c>
      <c r="AL564" s="228">
        <v>0</v>
      </c>
      <c r="AM564" s="228">
        <f t="shared" si="673"/>
        <v>-100</v>
      </c>
      <c r="AN564" s="228" cm="1">
        <f t="array" ref="AN564">IF(ISBLANK(G564), 1, IFERROR(MATCH(G564, INDEX(Kat,,1), 0), IFERROR(MATCH(Kat, INDEX(Use,,2), 0), MATCH(Kat, INDEX(Use,,3), 0))))</f>
        <v>1</v>
      </c>
      <c r="AO564" s="246"/>
      <c r="AP564" s="228" cm="1">
        <f t="array" ref="AP564">IF(W564&gt;0, INDEX(Kat, AN564,4), 0)</f>
        <v>0</v>
      </c>
      <c r="AQ564" s="228">
        <f t="shared" si="698"/>
        <v>0</v>
      </c>
      <c r="AR564" s="228" cm="1">
        <f t="array" ref="AR564">IF(X564&gt;0, INDEX(Kat, $AN564, 4+AQ564), 0)</f>
        <v>0</v>
      </c>
      <c r="AS564" s="228" cm="1">
        <f t="array" ref="AS564">IF(X564&gt;0, INDEX(Kat, $AN564, 9+AQ564), 0)</f>
        <v>0</v>
      </c>
      <c r="AT564" s="246"/>
      <c r="AU564" s="262"/>
      <c r="AV564" s="262"/>
      <c r="AW564" s="263"/>
      <c r="AX564" s="263"/>
      <c r="AY564" s="263"/>
      <c r="AZ564" s="263"/>
      <c r="BA564" s="263"/>
      <c r="BB564" s="263"/>
      <c r="BC564" s="263"/>
      <c r="BD564" s="263"/>
      <c r="BE564" s="263"/>
      <c r="BF564" s="263"/>
      <c r="BG564" s="263"/>
      <c r="BH564" s="246"/>
      <c r="BI564" s="228" cm="1">
        <f t="array" ref="BI564">INDEX(Use, $AH564, 4)</f>
        <v>7</v>
      </c>
      <c r="BJ564" s="228">
        <f t="shared" si="674"/>
        <v>32</v>
      </c>
      <c r="BK564" s="228">
        <f t="shared" si="700"/>
        <v>13</v>
      </c>
      <c r="BL564" s="228">
        <f t="shared" si="701"/>
        <v>0</v>
      </c>
      <c r="BM564" s="233" cm="1">
        <f t="array" ref="BM564">L564/IF($M564&gt;0, INDEX($AY$22:$BE$76, $M564+20, $AH564), 1)</f>
        <v>0</v>
      </c>
      <c r="BN564" s="229">
        <f t="shared" si="675"/>
        <v>0</v>
      </c>
      <c r="BO564" s="228">
        <v>35</v>
      </c>
      <c r="BP564" s="229">
        <f t="shared" si="676"/>
        <v>48</v>
      </c>
      <c r="BQ564" s="234">
        <f t="shared" si="677"/>
        <v>3.0748170731707316</v>
      </c>
      <c r="BR564" s="234" cm="1">
        <f t="array" ref="BR564">$BM564 * SUMPRODUCT(INDEX($AV$76:$AX$81,,$AI564),INDEX($AY$76:$BE$81,,$AH564), N($AU$76:$AU$81&gt;$AM564)) / BQ564 / 1000</f>
        <v>0</v>
      </c>
      <c r="BS564" s="231">
        <f t="shared" si="702"/>
        <v>30</v>
      </c>
      <c r="BT564" s="229">
        <f t="shared" si="678"/>
        <v>43</v>
      </c>
      <c r="BU564" s="234">
        <f t="shared" si="679"/>
        <v>3.5018750000000001</v>
      </c>
      <c r="BV564" s="234" cm="1">
        <f t="array" ref="BV564">$BM564 * IF($AH564&lt;=2,
SUMPRODUCT(INDEX($AV$71:$AX$75,,$AI564), INDEX($AY$71:$BE$75,,$AH564), 1 / ($BF$71:$BF$75*BU564 + (1-$BF$71:$BF$75)*BQ564), N($AU$71:$AU$75&gt;$AM564)),
SUMPRODUCT(INDEX($AV$66:$AX$75,,$AI564), INDEX($AY$66:$BE$75,,$AH564), 1 / ($BG$66:$BG$75*BU564 + (1-$BG$66:$BG$75)*BQ564), N($AU$66:$AU$75&gt;$AM564))
) / 1000</f>
        <v>0</v>
      </c>
      <c r="BW564" s="231">
        <f t="shared" si="703"/>
        <v>25</v>
      </c>
      <c r="BX564" s="229">
        <f t="shared" si="680"/>
        <v>38</v>
      </c>
      <c r="BY564" s="234">
        <f t="shared" si="681"/>
        <v>4.0666935483870965</v>
      </c>
      <c r="BZ564" s="234" cm="1">
        <f t="array" ref="BZ564">$BM564 * IF($AH564&lt;=2,
SUMPRODUCT(INDEX($AV$66:$AX$70,,$AI564), INDEX($AY$66:$BE$70,,$AH564), 1 / ($BF$66:$BF$70*BY564 + (1-$BF$66:$BF$70)*BU564), N($AU$66:$AU$70&gt;$AM564)),
SUMPRODUCT(INDEX($AV$56:$AX$65,,$AI564), INDEX($AY$56:$BE$65,,$AH564), 1 / ($BG$56:$BG$65*BY564 + (1-$BG$56:$BG$65)*BU564), N($AU$56:$AU$65&gt;$AM564))
) / 1000</f>
        <v>0</v>
      </c>
      <c r="CA564" s="231">
        <f t="shared" si="704"/>
        <v>20</v>
      </c>
      <c r="CB564" s="229">
        <f t="shared" si="682"/>
        <v>33</v>
      </c>
      <c r="CC564" s="234">
        <f t="shared" si="683"/>
        <v>4.8487499999999999</v>
      </c>
      <c r="CD564" s="234" cm="1">
        <f t="array" ref="CD564">$BM564 * IF($AH564&lt;=2,
SUMPRODUCT(INDEX($AV$61:$AX$65,,$AI564), INDEX($AY$61:$BE$65,,$AH564), 1 / ($BF$61:$BF$65*CC564 + (1-$BF$61:$BF$65)*BY564), N($AU$61:$AU$65&gt;$AM564)),
SUMPRODUCT(INDEX($AV$46:$AX$55,,$AI564), INDEX($AY$46:$BE$55,,$AH564), 1 / ($BG$46:$BG$55*CC564 + (1-$BG$46:$BG$55)*BY564), N($AU$46:$AU$55&gt;$AM564))
) / 1000</f>
        <v>0</v>
      </c>
      <c r="CE564" s="234" cm="1">
        <f t="array" ref="CE564">$BM564 * IF($AH564&lt;=2,
SUMPRODUCT(INDEX($AV$22:$AX$60,,$AI564), INDEX($AY$22:$BE$60,,$AH564), 1 / ($BF$22:$BF$60*CC564), N($AU$22:$AU$60&gt;$AM564)),
SUMPRODUCT(INDEX($AV$22:$AX$45,,$AI564), INDEX($AY$22:$BE$45,,$AH564), 1 / ($BG$22:$BG$45*CC564), N($AU$22:$AU$45&gt;$AM564))
) / 1000</f>
        <v>0</v>
      </c>
      <c r="CF564" s="229">
        <f t="shared" si="684"/>
        <v>0</v>
      </c>
      <c r="CG564" s="246"/>
      <c r="CH564" s="229">
        <f t="shared" si="685"/>
        <v>0</v>
      </c>
      <c r="CI564" s="228">
        <v>35</v>
      </c>
      <c r="CJ564" s="229">
        <f t="shared" si="686"/>
        <v>48</v>
      </c>
      <c r="CK564" s="234">
        <f t="shared" si="687"/>
        <v>3.0748170731707316</v>
      </c>
      <c r="CL564" s="234" cm="1">
        <f t="array" ref="CL564">$BM564 * SUMPRODUCT(INDEX($AV$76:$AX$81,,$AI564),INDEX($AY$76:$BE$81,,$AH564), N($AU$76:$AU$81&gt;$AM564)) / CK564 / 1000</f>
        <v>0</v>
      </c>
      <c r="CM564" s="231">
        <f t="shared" si="705"/>
        <v>30</v>
      </c>
      <c r="CN564" s="229">
        <f t="shared" si="688"/>
        <v>43</v>
      </c>
      <c r="CO564" s="234">
        <f t="shared" si="689"/>
        <v>3.5018750000000001</v>
      </c>
      <c r="CP564" s="234" cm="1">
        <f t="array" ref="CP564">$BM564 * IF($AH564&lt;=2,
SUMPRODUCT(INDEX($AV$71:$AX$75,,$AI564), INDEX($AY$71:$BE$75,,$AH564), 1 / ($BF$71:$BF$75*CO564 + (1-$BF$71:$BF$75)*CK564), N($AU$71:$AU$75&gt;$AM564)),
SUMPRODUCT(INDEX($AV$66:$AX$75,,$AI564), INDEX($AY$66:$BE$75,,$AH564), 1 / ($BG$66:$BG$75*CO564 + (1-$BG$66:$BG$75)*CK564), N($AU$66:$AU$75&gt;$AM564))
) / 1000</f>
        <v>0</v>
      </c>
      <c r="CQ564" s="231">
        <f t="shared" si="706"/>
        <v>25</v>
      </c>
      <c r="CR564" s="229">
        <f t="shared" si="690"/>
        <v>38</v>
      </c>
      <c r="CS564" s="234">
        <f t="shared" si="691"/>
        <v>4.0666935483870965</v>
      </c>
      <c r="CT564" s="234" cm="1">
        <f t="array" ref="CT564">$BM564 * IF($AH564&lt;=2,
SUMPRODUCT(INDEX($AV$66:$AX$70,,$AI564), INDEX($AY$66:$BE$70,,$AH564), 1 / ($BF$66:$BF$70*CS564 + (1-$BF$66:$BF$70)*CO564), N($AU$66:$AU$70&gt;$AM564)),
SUMPRODUCT(INDEX($AV$56:$AX$65,,$AI564), INDEX($AY$56:$BE$65,,$AH564), 1 / ($BG$56:$BG$65*CS564 + (1-$BG$56:$BG$65)*CO564), N($AU$56:$AU$65&gt;$AM564))
) / 1000</f>
        <v>0</v>
      </c>
      <c r="CU564" s="231">
        <f t="shared" si="707"/>
        <v>20</v>
      </c>
      <c r="CV564" s="229">
        <f t="shared" si="692"/>
        <v>33</v>
      </c>
      <c r="CW564" s="234">
        <f t="shared" si="693"/>
        <v>4.8487499999999999</v>
      </c>
      <c r="CX564" s="234" cm="1">
        <f t="array" ref="CX564">$BM564 * IF($AH564&lt;=2,
SUMPRODUCT(INDEX($AV$61:$AX$65,,$AI564), INDEX($AY$61:$BE$65,,$AH564), 1 / ($BF$61:$BF$65*CW564 + (1-$BF$61:$BF$65)*CS564), N($AU$61:$AU$65&gt;$AM564)),
SUMPRODUCT(INDEX($AV$46:$AX$55,,$AI564), INDEX($AY$46:$BE$55,,$AH564), 1 / ($BG$46:$BG$55*CW564 + (1-$BG$46:$BG$55)*CS564), N($AU$46:$AU$55&gt;$AM564))
) / 1000</f>
        <v>0</v>
      </c>
      <c r="CY564" s="234" cm="1">
        <f t="array" ref="CY564">$BM564 * IF($AH564&lt;=2,
SUMPRODUCT(INDEX($AV$22:$AX$60,,$AI564), INDEX($AY$22:$BE$60,,$AH564), 1 / ($BF$22:$BF$60*CW564), N($AU$22:$AU$60&gt;$AM564)),
SUMPRODUCT(INDEX($AV$22:$AX$45,,$AI564), INDEX($AY$22:$BE$45,,$AH564), 1 / ($BG$22:$BG$45*CW564), N($AU$22:$AU$45&gt;$AM564))
) / 1000</f>
        <v>0</v>
      </c>
      <c r="CZ564" s="229">
        <f t="shared" si="694"/>
        <v>0</v>
      </c>
      <c r="DA564" s="246"/>
    </row>
    <row r="565" spans="1:105" s="75" customFormat="1" ht="14.25" customHeight="1" x14ac:dyDescent="0.2">
      <c r="A565" s="230" t="b">
        <f t="shared" si="699"/>
        <v>0</v>
      </c>
      <c r="B565" s="253">
        <v>544</v>
      </c>
      <c r="C565" s="266"/>
      <c r="D565" s="266"/>
      <c r="E565" s="254"/>
      <c r="F565" s="255" t="str">
        <f>IF(ISBLANK(E565), "", VLOOKUP(E565, Z!$A$2:$C$4127, 3, FALSE))</f>
        <v/>
      </c>
      <c r="G565" s="256"/>
      <c r="H565" s="256"/>
      <c r="I565" s="256"/>
      <c r="J565" s="257"/>
      <c r="K565" s="258"/>
      <c r="L565" s="267"/>
      <c r="M565" s="268"/>
      <c r="N565" s="259" t="str" cm="1">
        <f t="array" ref="N565">IF($L565&gt;0, INDEX(Clean,1+AK565,$D$1), "")</f>
        <v/>
      </c>
      <c r="O565" s="260"/>
      <c r="P565" s="260"/>
      <c r="Q565" s="261"/>
      <c r="R565" s="264">
        <f t="shared" si="670"/>
        <v>0</v>
      </c>
      <c r="S565" s="259" t="str" cm="1">
        <f t="array" ref="S565">IF($L565&gt;0, INDEX(Clean,1+AL565,$D$1), "")</f>
        <v/>
      </c>
      <c r="T565" s="260"/>
      <c r="U565" s="260"/>
      <c r="V565" s="261"/>
      <c r="W565" s="267"/>
      <c r="X565" s="267"/>
      <c r="Y565" s="257"/>
      <c r="Z565" s="264">
        <f t="shared" si="671"/>
        <v>0</v>
      </c>
      <c r="AA565" s="269"/>
      <c r="AB565" s="266"/>
      <c r="AC565" s="254"/>
      <c r="AD565" s="255" t="str">
        <f>IF(ISBLANK(AC565), "", VLOOKUP(AC565, Z!$A$2:$C$4127, 3, FALSE))</f>
        <v/>
      </c>
      <c r="AE565" s="270"/>
      <c r="AF565" s="265">
        <f t="shared" si="672"/>
        <v>0</v>
      </c>
      <c r="AG565" s="246"/>
      <c r="AH565" s="228">
        <f t="shared" si="695"/>
        <v>1</v>
      </c>
      <c r="AI565" s="228">
        <f t="shared" si="696"/>
        <v>1</v>
      </c>
      <c r="AJ565" s="228">
        <f t="shared" si="697"/>
        <v>0</v>
      </c>
      <c r="AK565" s="228">
        <v>0</v>
      </c>
      <c r="AL565" s="228">
        <v>0</v>
      </c>
      <c r="AM565" s="228">
        <f t="shared" si="673"/>
        <v>-100</v>
      </c>
      <c r="AN565" s="228" cm="1">
        <f t="array" ref="AN565">IF(ISBLANK(G565), 1, IFERROR(MATCH(G565, INDEX(Kat,,1), 0), IFERROR(MATCH(Kat, INDEX(Use,,2), 0), MATCH(Kat, INDEX(Use,,3), 0))))</f>
        <v>1</v>
      </c>
      <c r="AO565" s="246"/>
      <c r="AP565" s="228" cm="1">
        <f t="array" ref="AP565">IF(W565&gt;0, INDEX(Kat, AN565,4), 0)</f>
        <v>0</v>
      </c>
      <c r="AQ565" s="228">
        <f t="shared" si="698"/>
        <v>0</v>
      </c>
      <c r="AR565" s="228" cm="1">
        <f t="array" ref="AR565">IF(X565&gt;0, INDEX(Kat, $AN565, 4+AQ565), 0)</f>
        <v>0</v>
      </c>
      <c r="AS565" s="228" cm="1">
        <f t="array" ref="AS565">IF(X565&gt;0, INDEX(Kat, $AN565, 9+AQ565), 0)</f>
        <v>0</v>
      </c>
      <c r="AT565" s="246"/>
      <c r="AU565" s="262"/>
      <c r="AV565" s="262"/>
      <c r="AW565" s="263"/>
      <c r="AX565" s="263"/>
      <c r="AY565" s="263"/>
      <c r="AZ565" s="263"/>
      <c r="BA565" s="263"/>
      <c r="BB565" s="263"/>
      <c r="BC565" s="263"/>
      <c r="BD565" s="263"/>
      <c r="BE565" s="263"/>
      <c r="BF565" s="263"/>
      <c r="BG565" s="263"/>
      <c r="BH565" s="246"/>
      <c r="BI565" s="228" cm="1">
        <f t="array" ref="BI565">INDEX(Use, $AH565, 4)</f>
        <v>7</v>
      </c>
      <c r="BJ565" s="228">
        <f t="shared" si="674"/>
        <v>32</v>
      </c>
      <c r="BK565" s="228">
        <f t="shared" si="700"/>
        <v>13</v>
      </c>
      <c r="BL565" s="228">
        <f t="shared" si="701"/>
        <v>0</v>
      </c>
      <c r="BM565" s="233" cm="1">
        <f t="array" ref="BM565">L565/IF($M565&gt;0, INDEX($AY$22:$BE$76, $M565+20, $AH565), 1)</f>
        <v>0</v>
      </c>
      <c r="BN565" s="229">
        <f t="shared" si="675"/>
        <v>0</v>
      </c>
      <c r="BO565" s="228">
        <v>35</v>
      </c>
      <c r="BP565" s="229">
        <f t="shared" si="676"/>
        <v>48</v>
      </c>
      <c r="BQ565" s="234">
        <f t="shared" si="677"/>
        <v>3.0748170731707316</v>
      </c>
      <c r="BR565" s="234" cm="1">
        <f t="array" ref="BR565">$BM565 * SUMPRODUCT(INDEX($AV$76:$AX$81,,$AI565),INDEX($AY$76:$BE$81,,$AH565), N($AU$76:$AU$81&gt;$AM565)) / BQ565 / 1000</f>
        <v>0</v>
      </c>
      <c r="BS565" s="231">
        <f t="shared" si="702"/>
        <v>30</v>
      </c>
      <c r="BT565" s="229">
        <f t="shared" si="678"/>
        <v>43</v>
      </c>
      <c r="BU565" s="234">
        <f t="shared" si="679"/>
        <v>3.5018750000000001</v>
      </c>
      <c r="BV565" s="234" cm="1">
        <f t="array" ref="BV565">$BM565 * IF($AH565&lt;=2,
SUMPRODUCT(INDEX($AV$71:$AX$75,,$AI565), INDEX($AY$71:$BE$75,,$AH565), 1 / ($BF$71:$BF$75*BU565 + (1-$BF$71:$BF$75)*BQ565), N($AU$71:$AU$75&gt;$AM565)),
SUMPRODUCT(INDEX($AV$66:$AX$75,,$AI565), INDEX($AY$66:$BE$75,,$AH565), 1 / ($BG$66:$BG$75*BU565 + (1-$BG$66:$BG$75)*BQ565), N($AU$66:$AU$75&gt;$AM565))
) / 1000</f>
        <v>0</v>
      </c>
      <c r="BW565" s="231">
        <f t="shared" si="703"/>
        <v>25</v>
      </c>
      <c r="BX565" s="229">
        <f t="shared" si="680"/>
        <v>38</v>
      </c>
      <c r="BY565" s="234">
        <f t="shared" si="681"/>
        <v>4.0666935483870965</v>
      </c>
      <c r="BZ565" s="234" cm="1">
        <f t="array" ref="BZ565">$BM565 * IF($AH565&lt;=2,
SUMPRODUCT(INDEX($AV$66:$AX$70,,$AI565), INDEX($AY$66:$BE$70,,$AH565), 1 / ($BF$66:$BF$70*BY565 + (1-$BF$66:$BF$70)*BU565), N($AU$66:$AU$70&gt;$AM565)),
SUMPRODUCT(INDEX($AV$56:$AX$65,,$AI565), INDEX($AY$56:$BE$65,,$AH565), 1 / ($BG$56:$BG$65*BY565 + (1-$BG$56:$BG$65)*BU565), N($AU$56:$AU$65&gt;$AM565))
) / 1000</f>
        <v>0</v>
      </c>
      <c r="CA565" s="231">
        <f t="shared" si="704"/>
        <v>20</v>
      </c>
      <c r="CB565" s="229">
        <f t="shared" si="682"/>
        <v>33</v>
      </c>
      <c r="CC565" s="234">
        <f t="shared" si="683"/>
        <v>4.8487499999999999</v>
      </c>
      <c r="CD565" s="234" cm="1">
        <f t="array" ref="CD565">$BM565 * IF($AH565&lt;=2,
SUMPRODUCT(INDEX($AV$61:$AX$65,,$AI565), INDEX($AY$61:$BE$65,,$AH565), 1 / ($BF$61:$BF$65*CC565 + (1-$BF$61:$BF$65)*BY565), N($AU$61:$AU$65&gt;$AM565)),
SUMPRODUCT(INDEX($AV$46:$AX$55,,$AI565), INDEX($AY$46:$BE$55,,$AH565), 1 / ($BG$46:$BG$55*CC565 + (1-$BG$46:$BG$55)*BY565), N($AU$46:$AU$55&gt;$AM565))
) / 1000</f>
        <v>0</v>
      </c>
      <c r="CE565" s="234" cm="1">
        <f t="array" ref="CE565">$BM565 * IF($AH565&lt;=2,
SUMPRODUCT(INDEX($AV$22:$AX$60,,$AI565), INDEX($AY$22:$BE$60,,$AH565), 1 / ($BF$22:$BF$60*CC565), N($AU$22:$AU$60&gt;$AM565)),
SUMPRODUCT(INDEX($AV$22:$AX$45,,$AI565), INDEX($AY$22:$BE$45,,$AH565), 1 / ($BG$22:$BG$45*CC565), N($AU$22:$AU$45&gt;$AM565))
) / 1000</f>
        <v>0</v>
      </c>
      <c r="CF565" s="229">
        <f t="shared" si="684"/>
        <v>0</v>
      </c>
      <c r="CG565" s="246"/>
      <c r="CH565" s="229">
        <f t="shared" si="685"/>
        <v>0</v>
      </c>
      <c r="CI565" s="228">
        <v>35</v>
      </c>
      <c r="CJ565" s="229">
        <f t="shared" si="686"/>
        <v>48</v>
      </c>
      <c r="CK565" s="234">
        <f t="shared" si="687"/>
        <v>3.0748170731707316</v>
      </c>
      <c r="CL565" s="234" cm="1">
        <f t="array" ref="CL565">$BM565 * SUMPRODUCT(INDEX($AV$76:$AX$81,,$AI565),INDEX($AY$76:$BE$81,,$AH565), N($AU$76:$AU$81&gt;$AM565)) / CK565 / 1000</f>
        <v>0</v>
      </c>
      <c r="CM565" s="231">
        <f t="shared" si="705"/>
        <v>30</v>
      </c>
      <c r="CN565" s="229">
        <f t="shared" si="688"/>
        <v>43</v>
      </c>
      <c r="CO565" s="234">
        <f t="shared" si="689"/>
        <v>3.5018750000000001</v>
      </c>
      <c r="CP565" s="234" cm="1">
        <f t="array" ref="CP565">$BM565 * IF($AH565&lt;=2,
SUMPRODUCT(INDEX($AV$71:$AX$75,,$AI565), INDEX($AY$71:$BE$75,,$AH565), 1 / ($BF$71:$BF$75*CO565 + (1-$BF$71:$BF$75)*CK565), N($AU$71:$AU$75&gt;$AM565)),
SUMPRODUCT(INDEX($AV$66:$AX$75,,$AI565), INDEX($AY$66:$BE$75,,$AH565), 1 / ($BG$66:$BG$75*CO565 + (1-$BG$66:$BG$75)*CK565), N($AU$66:$AU$75&gt;$AM565))
) / 1000</f>
        <v>0</v>
      </c>
      <c r="CQ565" s="231">
        <f t="shared" si="706"/>
        <v>25</v>
      </c>
      <c r="CR565" s="229">
        <f t="shared" si="690"/>
        <v>38</v>
      </c>
      <c r="CS565" s="234">
        <f t="shared" si="691"/>
        <v>4.0666935483870965</v>
      </c>
      <c r="CT565" s="234" cm="1">
        <f t="array" ref="CT565">$BM565 * IF($AH565&lt;=2,
SUMPRODUCT(INDEX($AV$66:$AX$70,,$AI565), INDEX($AY$66:$BE$70,,$AH565), 1 / ($BF$66:$BF$70*CS565 + (1-$BF$66:$BF$70)*CO565), N($AU$66:$AU$70&gt;$AM565)),
SUMPRODUCT(INDEX($AV$56:$AX$65,,$AI565), INDEX($AY$56:$BE$65,,$AH565), 1 / ($BG$56:$BG$65*CS565 + (1-$BG$56:$BG$65)*CO565), N($AU$56:$AU$65&gt;$AM565))
) / 1000</f>
        <v>0</v>
      </c>
      <c r="CU565" s="231">
        <f t="shared" si="707"/>
        <v>20</v>
      </c>
      <c r="CV565" s="229">
        <f t="shared" si="692"/>
        <v>33</v>
      </c>
      <c r="CW565" s="234">
        <f t="shared" si="693"/>
        <v>4.8487499999999999</v>
      </c>
      <c r="CX565" s="234" cm="1">
        <f t="array" ref="CX565">$BM565 * IF($AH565&lt;=2,
SUMPRODUCT(INDEX($AV$61:$AX$65,,$AI565), INDEX($AY$61:$BE$65,,$AH565), 1 / ($BF$61:$BF$65*CW565 + (1-$BF$61:$BF$65)*CS565), N($AU$61:$AU$65&gt;$AM565)),
SUMPRODUCT(INDEX($AV$46:$AX$55,,$AI565), INDEX($AY$46:$BE$55,,$AH565), 1 / ($BG$46:$BG$55*CW565 + (1-$BG$46:$BG$55)*CS565), N($AU$46:$AU$55&gt;$AM565))
) / 1000</f>
        <v>0</v>
      </c>
      <c r="CY565" s="234" cm="1">
        <f t="array" ref="CY565">$BM565 * IF($AH565&lt;=2,
SUMPRODUCT(INDEX($AV$22:$AX$60,,$AI565), INDEX($AY$22:$BE$60,,$AH565), 1 / ($BF$22:$BF$60*CW565), N($AU$22:$AU$60&gt;$AM565)),
SUMPRODUCT(INDEX($AV$22:$AX$45,,$AI565), INDEX($AY$22:$BE$45,,$AH565), 1 / ($BG$22:$BG$45*CW565), N($AU$22:$AU$45&gt;$AM565))
) / 1000</f>
        <v>0</v>
      </c>
      <c r="CZ565" s="229">
        <f t="shared" si="694"/>
        <v>0</v>
      </c>
      <c r="DA565" s="246"/>
    </row>
    <row r="566" spans="1:105" s="75" customFormat="1" ht="14.25" customHeight="1" x14ac:dyDescent="0.2">
      <c r="A566" s="230" t="b">
        <f t="shared" si="699"/>
        <v>0</v>
      </c>
      <c r="B566" s="253">
        <v>545</v>
      </c>
      <c r="C566" s="266"/>
      <c r="D566" s="266"/>
      <c r="E566" s="254"/>
      <c r="F566" s="255" t="str">
        <f>IF(ISBLANK(E566), "", VLOOKUP(E566, Z!$A$2:$C$4127, 3, FALSE))</f>
        <v/>
      </c>
      <c r="G566" s="256"/>
      <c r="H566" s="256"/>
      <c r="I566" s="256"/>
      <c r="J566" s="257"/>
      <c r="K566" s="258"/>
      <c r="L566" s="267"/>
      <c r="M566" s="268"/>
      <c r="N566" s="259" t="str" cm="1">
        <f t="array" ref="N566">IF($L566&gt;0, INDEX(Clean,1+AK566,$D$1), "")</f>
        <v/>
      </c>
      <c r="O566" s="260"/>
      <c r="P566" s="260"/>
      <c r="Q566" s="261"/>
      <c r="R566" s="264">
        <f t="shared" si="670"/>
        <v>0</v>
      </c>
      <c r="S566" s="259" t="str" cm="1">
        <f t="array" ref="S566">IF($L566&gt;0, INDEX(Clean,1+AL566,$D$1), "")</f>
        <v/>
      </c>
      <c r="T566" s="260"/>
      <c r="U566" s="260"/>
      <c r="V566" s="261"/>
      <c r="W566" s="267"/>
      <c r="X566" s="267"/>
      <c r="Y566" s="257"/>
      <c r="Z566" s="264">
        <f t="shared" si="671"/>
        <v>0</v>
      </c>
      <c r="AA566" s="269"/>
      <c r="AB566" s="266"/>
      <c r="AC566" s="254"/>
      <c r="AD566" s="255" t="str">
        <f>IF(ISBLANK(AC566), "", VLOOKUP(AC566, Z!$A$2:$C$4127, 3, FALSE))</f>
        <v/>
      </c>
      <c r="AE566" s="270"/>
      <c r="AF566" s="265">
        <f t="shared" si="672"/>
        <v>0</v>
      </c>
      <c r="AG566" s="246"/>
      <c r="AH566" s="228">
        <f t="shared" si="695"/>
        <v>1</v>
      </c>
      <c r="AI566" s="228">
        <f t="shared" si="696"/>
        <v>1</v>
      </c>
      <c r="AJ566" s="228">
        <f t="shared" si="697"/>
        <v>0</v>
      </c>
      <c r="AK566" s="228">
        <v>0</v>
      </c>
      <c r="AL566" s="228">
        <v>0</v>
      </c>
      <c r="AM566" s="228">
        <f t="shared" si="673"/>
        <v>-100</v>
      </c>
      <c r="AN566" s="228" cm="1">
        <f t="array" ref="AN566">IF(ISBLANK(G566), 1, IFERROR(MATCH(G566, INDEX(Kat,,1), 0), IFERROR(MATCH(Kat, INDEX(Use,,2), 0), MATCH(Kat, INDEX(Use,,3), 0))))</f>
        <v>1</v>
      </c>
      <c r="AO566" s="246"/>
      <c r="AP566" s="228" cm="1">
        <f t="array" ref="AP566">IF(W566&gt;0, INDEX(Kat, AN566,4), 0)</f>
        <v>0</v>
      </c>
      <c r="AQ566" s="228">
        <f t="shared" si="698"/>
        <v>0</v>
      </c>
      <c r="AR566" s="228" cm="1">
        <f t="array" ref="AR566">IF(X566&gt;0, INDEX(Kat, $AN566, 4+AQ566), 0)</f>
        <v>0</v>
      </c>
      <c r="AS566" s="228" cm="1">
        <f t="array" ref="AS566">IF(X566&gt;0, INDEX(Kat, $AN566, 9+AQ566), 0)</f>
        <v>0</v>
      </c>
      <c r="AT566" s="246"/>
      <c r="AU566" s="262"/>
      <c r="AV566" s="262"/>
      <c r="AW566" s="263"/>
      <c r="AX566" s="263"/>
      <c r="AY566" s="263"/>
      <c r="AZ566" s="263"/>
      <c r="BA566" s="263"/>
      <c r="BB566" s="263"/>
      <c r="BC566" s="263"/>
      <c r="BD566" s="263"/>
      <c r="BE566" s="263"/>
      <c r="BF566" s="263"/>
      <c r="BG566" s="263"/>
      <c r="BH566" s="246"/>
      <c r="BI566" s="228" cm="1">
        <f t="array" ref="BI566">INDEX(Use, $AH566, 4)</f>
        <v>7</v>
      </c>
      <c r="BJ566" s="228">
        <f t="shared" si="674"/>
        <v>32</v>
      </c>
      <c r="BK566" s="228">
        <f t="shared" si="700"/>
        <v>13</v>
      </c>
      <c r="BL566" s="228">
        <f t="shared" si="701"/>
        <v>0</v>
      </c>
      <c r="BM566" s="233" cm="1">
        <f t="array" ref="BM566">L566/IF($M566&gt;0, INDEX($AY$22:$BE$76, $M566+20, $AH566), 1)</f>
        <v>0</v>
      </c>
      <c r="BN566" s="229">
        <f t="shared" si="675"/>
        <v>0</v>
      </c>
      <c r="BO566" s="228">
        <v>35</v>
      </c>
      <c r="BP566" s="229">
        <f t="shared" si="676"/>
        <v>48</v>
      </c>
      <c r="BQ566" s="234">
        <f t="shared" si="677"/>
        <v>3.0748170731707316</v>
      </c>
      <c r="BR566" s="234" cm="1">
        <f t="array" ref="BR566">$BM566 * SUMPRODUCT(INDEX($AV$76:$AX$81,,$AI566),INDEX($AY$76:$BE$81,,$AH566), N($AU$76:$AU$81&gt;$AM566)) / BQ566 / 1000</f>
        <v>0</v>
      </c>
      <c r="BS566" s="231">
        <f t="shared" si="702"/>
        <v>30</v>
      </c>
      <c r="BT566" s="229">
        <f t="shared" si="678"/>
        <v>43</v>
      </c>
      <c r="BU566" s="234">
        <f t="shared" si="679"/>
        <v>3.5018750000000001</v>
      </c>
      <c r="BV566" s="234" cm="1">
        <f t="array" ref="BV566">$BM566 * IF($AH566&lt;=2,
SUMPRODUCT(INDEX($AV$71:$AX$75,,$AI566), INDEX($AY$71:$BE$75,,$AH566), 1 / ($BF$71:$BF$75*BU566 + (1-$BF$71:$BF$75)*BQ566), N($AU$71:$AU$75&gt;$AM566)),
SUMPRODUCT(INDEX($AV$66:$AX$75,,$AI566), INDEX($AY$66:$BE$75,,$AH566), 1 / ($BG$66:$BG$75*BU566 + (1-$BG$66:$BG$75)*BQ566), N($AU$66:$AU$75&gt;$AM566))
) / 1000</f>
        <v>0</v>
      </c>
      <c r="BW566" s="231">
        <f t="shared" si="703"/>
        <v>25</v>
      </c>
      <c r="BX566" s="229">
        <f t="shared" si="680"/>
        <v>38</v>
      </c>
      <c r="BY566" s="234">
        <f t="shared" si="681"/>
        <v>4.0666935483870965</v>
      </c>
      <c r="BZ566" s="234" cm="1">
        <f t="array" ref="BZ566">$BM566 * IF($AH566&lt;=2,
SUMPRODUCT(INDEX($AV$66:$AX$70,,$AI566), INDEX($AY$66:$BE$70,,$AH566), 1 / ($BF$66:$BF$70*BY566 + (1-$BF$66:$BF$70)*BU566), N($AU$66:$AU$70&gt;$AM566)),
SUMPRODUCT(INDEX($AV$56:$AX$65,,$AI566), INDEX($AY$56:$BE$65,,$AH566), 1 / ($BG$56:$BG$65*BY566 + (1-$BG$56:$BG$65)*BU566), N($AU$56:$AU$65&gt;$AM566))
) / 1000</f>
        <v>0</v>
      </c>
      <c r="CA566" s="231">
        <f t="shared" si="704"/>
        <v>20</v>
      </c>
      <c r="CB566" s="229">
        <f t="shared" si="682"/>
        <v>33</v>
      </c>
      <c r="CC566" s="234">
        <f t="shared" si="683"/>
        <v>4.8487499999999999</v>
      </c>
      <c r="CD566" s="234" cm="1">
        <f t="array" ref="CD566">$BM566 * IF($AH566&lt;=2,
SUMPRODUCT(INDEX($AV$61:$AX$65,,$AI566), INDEX($AY$61:$BE$65,,$AH566), 1 / ($BF$61:$BF$65*CC566 + (1-$BF$61:$BF$65)*BY566), N($AU$61:$AU$65&gt;$AM566)),
SUMPRODUCT(INDEX($AV$46:$AX$55,,$AI566), INDEX($AY$46:$BE$55,,$AH566), 1 / ($BG$46:$BG$55*CC566 + (1-$BG$46:$BG$55)*BY566), N($AU$46:$AU$55&gt;$AM566))
) / 1000</f>
        <v>0</v>
      </c>
      <c r="CE566" s="234" cm="1">
        <f t="array" ref="CE566">$BM566 * IF($AH566&lt;=2,
SUMPRODUCT(INDEX($AV$22:$AX$60,,$AI566), INDEX($AY$22:$BE$60,,$AH566), 1 / ($BF$22:$BF$60*CC566), N($AU$22:$AU$60&gt;$AM566)),
SUMPRODUCT(INDEX($AV$22:$AX$45,,$AI566), INDEX($AY$22:$BE$45,,$AH566), 1 / ($BG$22:$BG$45*CC566), N($AU$22:$AU$45&gt;$AM566))
) / 1000</f>
        <v>0</v>
      </c>
      <c r="CF566" s="229">
        <f t="shared" si="684"/>
        <v>0</v>
      </c>
      <c r="CG566" s="246"/>
      <c r="CH566" s="229">
        <f t="shared" si="685"/>
        <v>0</v>
      </c>
      <c r="CI566" s="228">
        <v>35</v>
      </c>
      <c r="CJ566" s="229">
        <f t="shared" si="686"/>
        <v>48</v>
      </c>
      <c r="CK566" s="234">
        <f t="shared" si="687"/>
        <v>3.0748170731707316</v>
      </c>
      <c r="CL566" s="234" cm="1">
        <f t="array" ref="CL566">$BM566 * SUMPRODUCT(INDEX($AV$76:$AX$81,,$AI566),INDEX($AY$76:$BE$81,,$AH566), N($AU$76:$AU$81&gt;$AM566)) / CK566 / 1000</f>
        <v>0</v>
      </c>
      <c r="CM566" s="231">
        <f t="shared" si="705"/>
        <v>30</v>
      </c>
      <c r="CN566" s="229">
        <f t="shared" si="688"/>
        <v>43</v>
      </c>
      <c r="CO566" s="234">
        <f t="shared" si="689"/>
        <v>3.5018750000000001</v>
      </c>
      <c r="CP566" s="234" cm="1">
        <f t="array" ref="CP566">$BM566 * IF($AH566&lt;=2,
SUMPRODUCT(INDEX($AV$71:$AX$75,,$AI566), INDEX($AY$71:$BE$75,,$AH566), 1 / ($BF$71:$BF$75*CO566 + (1-$BF$71:$BF$75)*CK566), N($AU$71:$AU$75&gt;$AM566)),
SUMPRODUCT(INDEX($AV$66:$AX$75,,$AI566), INDEX($AY$66:$BE$75,,$AH566), 1 / ($BG$66:$BG$75*CO566 + (1-$BG$66:$BG$75)*CK566), N($AU$66:$AU$75&gt;$AM566))
) / 1000</f>
        <v>0</v>
      </c>
      <c r="CQ566" s="231">
        <f t="shared" si="706"/>
        <v>25</v>
      </c>
      <c r="CR566" s="229">
        <f t="shared" si="690"/>
        <v>38</v>
      </c>
      <c r="CS566" s="234">
        <f t="shared" si="691"/>
        <v>4.0666935483870965</v>
      </c>
      <c r="CT566" s="234" cm="1">
        <f t="array" ref="CT566">$BM566 * IF($AH566&lt;=2,
SUMPRODUCT(INDEX($AV$66:$AX$70,,$AI566), INDEX($AY$66:$BE$70,,$AH566), 1 / ($BF$66:$BF$70*CS566 + (1-$BF$66:$BF$70)*CO566), N($AU$66:$AU$70&gt;$AM566)),
SUMPRODUCT(INDEX($AV$56:$AX$65,,$AI566), INDEX($AY$56:$BE$65,,$AH566), 1 / ($BG$56:$BG$65*CS566 + (1-$BG$56:$BG$65)*CO566), N($AU$56:$AU$65&gt;$AM566))
) / 1000</f>
        <v>0</v>
      </c>
      <c r="CU566" s="231">
        <f t="shared" si="707"/>
        <v>20</v>
      </c>
      <c r="CV566" s="229">
        <f t="shared" si="692"/>
        <v>33</v>
      </c>
      <c r="CW566" s="234">
        <f t="shared" si="693"/>
        <v>4.8487499999999999</v>
      </c>
      <c r="CX566" s="234" cm="1">
        <f t="array" ref="CX566">$BM566 * IF($AH566&lt;=2,
SUMPRODUCT(INDEX($AV$61:$AX$65,,$AI566), INDEX($AY$61:$BE$65,,$AH566), 1 / ($BF$61:$BF$65*CW566 + (1-$BF$61:$BF$65)*CS566), N($AU$61:$AU$65&gt;$AM566)),
SUMPRODUCT(INDEX($AV$46:$AX$55,,$AI566), INDEX($AY$46:$BE$55,,$AH566), 1 / ($BG$46:$BG$55*CW566 + (1-$BG$46:$BG$55)*CS566), N($AU$46:$AU$55&gt;$AM566))
) / 1000</f>
        <v>0</v>
      </c>
      <c r="CY566" s="234" cm="1">
        <f t="array" ref="CY566">$BM566 * IF($AH566&lt;=2,
SUMPRODUCT(INDEX($AV$22:$AX$60,,$AI566), INDEX($AY$22:$BE$60,,$AH566), 1 / ($BF$22:$BF$60*CW566), N($AU$22:$AU$60&gt;$AM566)),
SUMPRODUCT(INDEX($AV$22:$AX$45,,$AI566), INDEX($AY$22:$BE$45,,$AH566), 1 / ($BG$22:$BG$45*CW566), N($AU$22:$AU$45&gt;$AM566))
) / 1000</f>
        <v>0</v>
      </c>
      <c r="CZ566" s="229">
        <f t="shared" si="694"/>
        <v>0</v>
      </c>
      <c r="DA566" s="246"/>
    </row>
    <row r="567" spans="1:105" s="75" customFormat="1" ht="14.25" customHeight="1" x14ac:dyDescent="0.2">
      <c r="A567" s="230" t="b">
        <f t="shared" si="699"/>
        <v>0</v>
      </c>
      <c r="B567" s="253">
        <v>546</v>
      </c>
      <c r="C567" s="266"/>
      <c r="D567" s="266"/>
      <c r="E567" s="254"/>
      <c r="F567" s="255" t="str">
        <f>IF(ISBLANK(E567), "", VLOOKUP(E567, Z!$A$2:$C$4127, 3, FALSE))</f>
        <v/>
      </c>
      <c r="G567" s="256"/>
      <c r="H567" s="256"/>
      <c r="I567" s="256"/>
      <c r="J567" s="257"/>
      <c r="K567" s="258"/>
      <c r="L567" s="267"/>
      <c r="M567" s="268"/>
      <c r="N567" s="259" t="str" cm="1">
        <f t="array" ref="N567">IF($L567&gt;0, INDEX(Clean,1+AK567,$D$1), "")</f>
        <v/>
      </c>
      <c r="O567" s="260"/>
      <c r="P567" s="260"/>
      <c r="Q567" s="261"/>
      <c r="R567" s="264">
        <f t="shared" si="670"/>
        <v>0</v>
      </c>
      <c r="S567" s="259" t="str" cm="1">
        <f t="array" ref="S567">IF($L567&gt;0, INDEX(Clean,1+AL567,$D$1), "")</f>
        <v/>
      </c>
      <c r="T567" s="260"/>
      <c r="U567" s="260"/>
      <c r="V567" s="261"/>
      <c r="W567" s="267"/>
      <c r="X567" s="267"/>
      <c r="Y567" s="257"/>
      <c r="Z567" s="264">
        <f t="shared" si="671"/>
        <v>0</v>
      </c>
      <c r="AA567" s="269"/>
      <c r="AB567" s="266"/>
      <c r="AC567" s="254"/>
      <c r="AD567" s="255" t="str">
        <f>IF(ISBLANK(AC567), "", VLOOKUP(AC567, Z!$A$2:$C$4127, 3, FALSE))</f>
        <v/>
      </c>
      <c r="AE567" s="270"/>
      <c r="AF567" s="265">
        <f t="shared" si="672"/>
        <v>0</v>
      </c>
      <c r="AG567" s="246"/>
      <c r="AH567" s="228">
        <f t="shared" si="695"/>
        <v>1</v>
      </c>
      <c r="AI567" s="228">
        <f t="shared" si="696"/>
        <v>1</v>
      </c>
      <c r="AJ567" s="228">
        <f t="shared" si="697"/>
        <v>0</v>
      </c>
      <c r="AK567" s="228">
        <v>0</v>
      </c>
      <c r="AL567" s="228">
        <v>0</v>
      </c>
      <c r="AM567" s="228">
        <f t="shared" si="673"/>
        <v>-100</v>
      </c>
      <c r="AN567" s="228" cm="1">
        <f t="array" ref="AN567">IF(ISBLANK(G567), 1, IFERROR(MATCH(G567, INDEX(Kat,,1), 0), IFERROR(MATCH(Kat, INDEX(Use,,2), 0), MATCH(Kat, INDEX(Use,,3), 0))))</f>
        <v>1</v>
      </c>
      <c r="AO567" s="246"/>
      <c r="AP567" s="228" cm="1">
        <f t="array" ref="AP567">IF(W567&gt;0, INDEX(Kat, AN567,4), 0)</f>
        <v>0</v>
      </c>
      <c r="AQ567" s="228">
        <f t="shared" si="698"/>
        <v>0</v>
      </c>
      <c r="AR567" s="228" cm="1">
        <f t="array" ref="AR567">IF(X567&gt;0, INDEX(Kat, $AN567, 4+AQ567), 0)</f>
        <v>0</v>
      </c>
      <c r="AS567" s="228" cm="1">
        <f t="array" ref="AS567">IF(X567&gt;0, INDEX(Kat, $AN567, 9+AQ567), 0)</f>
        <v>0</v>
      </c>
      <c r="AT567" s="246"/>
      <c r="AU567" s="262"/>
      <c r="AV567" s="262"/>
      <c r="AW567" s="263"/>
      <c r="AX567" s="263"/>
      <c r="AY567" s="263"/>
      <c r="AZ567" s="263"/>
      <c r="BA567" s="263"/>
      <c r="BB567" s="263"/>
      <c r="BC567" s="263"/>
      <c r="BD567" s="263"/>
      <c r="BE567" s="263"/>
      <c r="BF567" s="263"/>
      <c r="BG567" s="263"/>
      <c r="BH567" s="246"/>
      <c r="BI567" s="228" cm="1">
        <f t="array" ref="BI567">INDEX(Use, $AH567, 4)</f>
        <v>7</v>
      </c>
      <c r="BJ567" s="228">
        <f t="shared" si="674"/>
        <v>32</v>
      </c>
      <c r="BK567" s="228">
        <f t="shared" si="700"/>
        <v>13</v>
      </c>
      <c r="BL567" s="228">
        <f t="shared" si="701"/>
        <v>0</v>
      </c>
      <c r="BM567" s="233" cm="1">
        <f t="array" ref="BM567">L567/IF($M567&gt;0, INDEX($AY$22:$BE$76, $M567+20, $AH567), 1)</f>
        <v>0</v>
      </c>
      <c r="BN567" s="229">
        <f t="shared" si="675"/>
        <v>0</v>
      </c>
      <c r="BO567" s="228">
        <v>35</v>
      </c>
      <c r="BP567" s="229">
        <f t="shared" si="676"/>
        <v>48</v>
      </c>
      <c r="BQ567" s="234">
        <f t="shared" si="677"/>
        <v>3.0748170731707316</v>
      </c>
      <c r="BR567" s="234" cm="1">
        <f t="array" ref="BR567">$BM567 * SUMPRODUCT(INDEX($AV$76:$AX$81,,$AI567),INDEX($AY$76:$BE$81,,$AH567), N($AU$76:$AU$81&gt;$AM567)) / BQ567 / 1000</f>
        <v>0</v>
      </c>
      <c r="BS567" s="231">
        <f t="shared" si="702"/>
        <v>30</v>
      </c>
      <c r="BT567" s="229">
        <f t="shared" si="678"/>
        <v>43</v>
      </c>
      <c r="BU567" s="234">
        <f t="shared" si="679"/>
        <v>3.5018750000000001</v>
      </c>
      <c r="BV567" s="234" cm="1">
        <f t="array" ref="BV567">$BM567 * IF($AH567&lt;=2,
SUMPRODUCT(INDEX($AV$71:$AX$75,,$AI567), INDEX($AY$71:$BE$75,,$AH567), 1 / ($BF$71:$BF$75*BU567 + (1-$BF$71:$BF$75)*BQ567), N($AU$71:$AU$75&gt;$AM567)),
SUMPRODUCT(INDEX($AV$66:$AX$75,,$AI567), INDEX($AY$66:$BE$75,,$AH567), 1 / ($BG$66:$BG$75*BU567 + (1-$BG$66:$BG$75)*BQ567), N($AU$66:$AU$75&gt;$AM567))
) / 1000</f>
        <v>0</v>
      </c>
      <c r="BW567" s="231">
        <f t="shared" si="703"/>
        <v>25</v>
      </c>
      <c r="BX567" s="229">
        <f t="shared" si="680"/>
        <v>38</v>
      </c>
      <c r="BY567" s="234">
        <f t="shared" si="681"/>
        <v>4.0666935483870965</v>
      </c>
      <c r="BZ567" s="234" cm="1">
        <f t="array" ref="BZ567">$BM567 * IF($AH567&lt;=2,
SUMPRODUCT(INDEX($AV$66:$AX$70,,$AI567), INDEX($AY$66:$BE$70,,$AH567), 1 / ($BF$66:$BF$70*BY567 + (1-$BF$66:$BF$70)*BU567), N($AU$66:$AU$70&gt;$AM567)),
SUMPRODUCT(INDEX($AV$56:$AX$65,,$AI567), INDEX($AY$56:$BE$65,,$AH567), 1 / ($BG$56:$BG$65*BY567 + (1-$BG$56:$BG$65)*BU567), N($AU$56:$AU$65&gt;$AM567))
) / 1000</f>
        <v>0</v>
      </c>
      <c r="CA567" s="231">
        <f t="shared" si="704"/>
        <v>20</v>
      </c>
      <c r="CB567" s="229">
        <f t="shared" si="682"/>
        <v>33</v>
      </c>
      <c r="CC567" s="234">
        <f t="shared" si="683"/>
        <v>4.8487499999999999</v>
      </c>
      <c r="CD567" s="234" cm="1">
        <f t="array" ref="CD567">$BM567 * IF($AH567&lt;=2,
SUMPRODUCT(INDEX($AV$61:$AX$65,,$AI567), INDEX($AY$61:$BE$65,,$AH567), 1 / ($BF$61:$BF$65*CC567 + (1-$BF$61:$BF$65)*BY567), N($AU$61:$AU$65&gt;$AM567)),
SUMPRODUCT(INDEX($AV$46:$AX$55,,$AI567), INDEX($AY$46:$BE$55,,$AH567), 1 / ($BG$46:$BG$55*CC567 + (1-$BG$46:$BG$55)*BY567), N($AU$46:$AU$55&gt;$AM567))
) / 1000</f>
        <v>0</v>
      </c>
      <c r="CE567" s="234" cm="1">
        <f t="array" ref="CE567">$BM567 * IF($AH567&lt;=2,
SUMPRODUCT(INDEX($AV$22:$AX$60,,$AI567), INDEX($AY$22:$BE$60,,$AH567), 1 / ($BF$22:$BF$60*CC567), N($AU$22:$AU$60&gt;$AM567)),
SUMPRODUCT(INDEX($AV$22:$AX$45,,$AI567), INDEX($AY$22:$BE$45,,$AH567), 1 / ($BG$22:$BG$45*CC567), N($AU$22:$AU$45&gt;$AM567))
) / 1000</f>
        <v>0</v>
      </c>
      <c r="CF567" s="229">
        <f t="shared" si="684"/>
        <v>0</v>
      </c>
      <c r="CG567" s="246"/>
      <c r="CH567" s="229">
        <f t="shared" si="685"/>
        <v>0</v>
      </c>
      <c r="CI567" s="228">
        <v>35</v>
      </c>
      <c r="CJ567" s="229">
        <f t="shared" si="686"/>
        <v>48</v>
      </c>
      <c r="CK567" s="234">
        <f t="shared" si="687"/>
        <v>3.0748170731707316</v>
      </c>
      <c r="CL567" s="234" cm="1">
        <f t="array" ref="CL567">$BM567 * SUMPRODUCT(INDEX($AV$76:$AX$81,,$AI567),INDEX($AY$76:$BE$81,,$AH567), N($AU$76:$AU$81&gt;$AM567)) / CK567 / 1000</f>
        <v>0</v>
      </c>
      <c r="CM567" s="231">
        <f t="shared" si="705"/>
        <v>30</v>
      </c>
      <c r="CN567" s="229">
        <f t="shared" si="688"/>
        <v>43</v>
      </c>
      <c r="CO567" s="234">
        <f t="shared" si="689"/>
        <v>3.5018750000000001</v>
      </c>
      <c r="CP567" s="234" cm="1">
        <f t="array" ref="CP567">$BM567 * IF($AH567&lt;=2,
SUMPRODUCT(INDEX($AV$71:$AX$75,,$AI567), INDEX($AY$71:$BE$75,,$AH567), 1 / ($BF$71:$BF$75*CO567 + (1-$BF$71:$BF$75)*CK567), N($AU$71:$AU$75&gt;$AM567)),
SUMPRODUCT(INDEX($AV$66:$AX$75,,$AI567), INDEX($AY$66:$BE$75,,$AH567), 1 / ($BG$66:$BG$75*CO567 + (1-$BG$66:$BG$75)*CK567), N($AU$66:$AU$75&gt;$AM567))
) / 1000</f>
        <v>0</v>
      </c>
      <c r="CQ567" s="231">
        <f t="shared" si="706"/>
        <v>25</v>
      </c>
      <c r="CR567" s="229">
        <f t="shared" si="690"/>
        <v>38</v>
      </c>
      <c r="CS567" s="234">
        <f t="shared" si="691"/>
        <v>4.0666935483870965</v>
      </c>
      <c r="CT567" s="234" cm="1">
        <f t="array" ref="CT567">$BM567 * IF($AH567&lt;=2,
SUMPRODUCT(INDEX($AV$66:$AX$70,,$AI567), INDEX($AY$66:$BE$70,,$AH567), 1 / ($BF$66:$BF$70*CS567 + (1-$BF$66:$BF$70)*CO567), N($AU$66:$AU$70&gt;$AM567)),
SUMPRODUCT(INDEX($AV$56:$AX$65,,$AI567), INDEX($AY$56:$BE$65,,$AH567), 1 / ($BG$56:$BG$65*CS567 + (1-$BG$56:$BG$65)*CO567), N($AU$56:$AU$65&gt;$AM567))
) / 1000</f>
        <v>0</v>
      </c>
      <c r="CU567" s="231">
        <f t="shared" si="707"/>
        <v>20</v>
      </c>
      <c r="CV567" s="229">
        <f t="shared" si="692"/>
        <v>33</v>
      </c>
      <c r="CW567" s="234">
        <f t="shared" si="693"/>
        <v>4.8487499999999999</v>
      </c>
      <c r="CX567" s="234" cm="1">
        <f t="array" ref="CX567">$BM567 * IF($AH567&lt;=2,
SUMPRODUCT(INDEX($AV$61:$AX$65,,$AI567), INDEX($AY$61:$BE$65,,$AH567), 1 / ($BF$61:$BF$65*CW567 + (1-$BF$61:$BF$65)*CS567), N($AU$61:$AU$65&gt;$AM567)),
SUMPRODUCT(INDEX($AV$46:$AX$55,,$AI567), INDEX($AY$46:$BE$55,,$AH567), 1 / ($BG$46:$BG$55*CW567 + (1-$BG$46:$BG$55)*CS567), N($AU$46:$AU$55&gt;$AM567))
) / 1000</f>
        <v>0</v>
      </c>
      <c r="CY567" s="234" cm="1">
        <f t="array" ref="CY567">$BM567 * IF($AH567&lt;=2,
SUMPRODUCT(INDEX($AV$22:$AX$60,,$AI567), INDEX($AY$22:$BE$60,,$AH567), 1 / ($BF$22:$BF$60*CW567), N($AU$22:$AU$60&gt;$AM567)),
SUMPRODUCT(INDEX($AV$22:$AX$45,,$AI567), INDEX($AY$22:$BE$45,,$AH567), 1 / ($BG$22:$BG$45*CW567), N($AU$22:$AU$45&gt;$AM567))
) / 1000</f>
        <v>0</v>
      </c>
      <c r="CZ567" s="229">
        <f t="shared" si="694"/>
        <v>0</v>
      </c>
      <c r="DA567" s="246"/>
    </row>
    <row r="568" spans="1:105" s="75" customFormat="1" ht="14.25" customHeight="1" x14ac:dyDescent="0.2">
      <c r="A568" s="230" t="b">
        <f t="shared" si="699"/>
        <v>0</v>
      </c>
      <c r="B568" s="253">
        <v>547</v>
      </c>
      <c r="C568" s="266"/>
      <c r="D568" s="266"/>
      <c r="E568" s="254"/>
      <c r="F568" s="255" t="str">
        <f>IF(ISBLANK(E568), "", VLOOKUP(E568, Z!$A$2:$C$4127, 3, FALSE))</f>
        <v/>
      </c>
      <c r="G568" s="256"/>
      <c r="H568" s="256"/>
      <c r="I568" s="256"/>
      <c r="J568" s="257"/>
      <c r="K568" s="258"/>
      <c r="L568" s="267"/>
      <c r="M568" s="268"/>
      <c r="N568" s="259" t="str" cm="1">
        <f t="array" ref="N568">IF($L568&gt;0, INDEX(Clean,1+AK568,$D$1), "")</f>
        <v/>
      </c>
      <c r="O568" s="260"/>
      <c r="P568" s="260"/>
      <c r="Q568" s="261"/>
      <c r="R568" s="264">
        <f t="shared" si="670"/>
        <v>0</v>
      </c>
      <c r="S568" s="259" t="str" cm="1">
        <f t="array" ref="S568">IF($L568&gt;0, INDEX(Clean,1+AL568,$D$1), "")</f>
        <v/>
      </c>
      <c r="T568" s="260"/>
      <c r="U568" s="260"/>
      <c r="V568" s="261"/>
      <c r="W568" s="267"/>
      <c r="X568" s="267"/>
      <c r="Y568" s="257"/>
      <c r="Z568" s="264">
        <f t="shared" si="671"/>
        <v>0</v>
      </c>
      <c r="AA568" s="269"/>
      <c r="AB568" s="266"/>
      <c r="AC568" s="254"/>
      <c r="AD568" s="255" t="str">
        <f>IF(ISBLANK(AC568), "", VLOOKUP(AC568, Z!$A$2:$C$4127, 3, FALSE))</f>
        <v/>
      </c>
      <c r="AE568" s="270"/>
      <c r="AF568" s="265">
        <f t="shared" si="672"/>
        <v>0</v>
      </c>
      <c r="AG568" s="246"/>
      <c r="AH568" s="228">
        <f t="shared" si="695"/>
        <v>1</v>
      </c>
      <c r="AI568" s="228">
        <f t="shared" si="696"/>
        <v>1</v>
      </c>
      <c r="AJ568" s="228">
        <f t="shared" si="697"/>
        <v>0</v>
      </c>
      <c r="AK568" s="228">
        <v>0</v>
      </c>
      <c r="AL568" s="228">
        <v>0</v>
      </c>
      <c r="AM568" s="228">
        <f t="shared" si="673"/>
        <v>-100</v>
      </c>
      <c r="AN568" s="228" cm="1">
        <f t="array" ref="AN568">IF(ISBLANK(G568), 1, IFERROR(MATCH(G568, INDEX(Kat,,1), 0), IFERROR(MATCH(Kat, INDEX(Use,,2), 0), MATCH(Kat, INDEX(Use,,3), 0))))</f>
        <v>1</v>
      </c>
      <c r="AO568" s="246"/>
      <c r="AP568" s="228" cm="1">
        <f t="array" ref="AP568">IF(W568&gt;0, INDEX(Kat, AN568,4), 0)</f>
        <v>0</v>
      </c>
      <c r="AQ568" s="228">
        <f t="shared" si="698"/>
        <v>0</v>
      </c>
      <c r="AR568" s="228" cm="1">
        <f t="array" ref="AR568">IF(X568&gt;0, INDEX(Kat, $AN568, 4+AQ568), 0)</f>
        <v>0</v>
      </c>
      <c r="AS568" s="228" cm="1">
        <f t="array" ref="AS568">IF(X568&gt;0, INDEX(Kat, $AN568, 9+AQ568), 0)</f>
        <v>0</v>
      </c>
      <c r="AT568" s="246"/>
      <c r="AU568" s="262"/>
      <c r="AV568" s="262"/>
      <c r="AW568" s="263"/>
      <c r="AX568" s="263"/>
      <c r="AY568" s="263"/>
      <c r="AZ568" s="263"/>
      <c r="BA568" s="263"/>
      <c r="BB568" s="263"/>
      <c r="BC568" s="263"/>
      <c r="BD568" s="263"/>
      <c r="BE568" s="263"/>
      <c r="BF568" s="263"/>
      <c r="BG568" s="263"/>
      <c r="BH568" s="246"/>
      <c r="BI568" s="228" cm="1">
        <f t="array" ref="BI568">INDEX(Use, $AH568, 4)</f>
        <v>7</v>
      </c>
      <c r="BJ568" s="228">
        <f t="shared" si="674"/>
        <v>32</v>
      </c>
      <c r="BK568" s="228">
        <f t="shared" si="700"/>
        <v>13</v>
      </c>
      <c r="BL568" s="228">
        <f t="shared" si="701"/>
        <v>0</v>
      </c>
      <c r="BM568" s="233" cm="1">
        <f t="array" ref="BM568">L568/IF($M568&gt;0, INDEX($AY$22:$BE$76, $M568+20, $AH568), 1)</f>
        <v>0</v>
      </c>
      <c r="BN568" s="229">
        <f t="shared" si="675"/>
        <v>0</v>
      </c>
      <c r="BO568" s="228">
        <v>35</v>
      </c>
      <c r="BP568" s="229">
        <f t="shared" si="676"/>
        <v>48</v>
      </c>
      <c r="BQ568" s="234">
        <f t="shared" si="677"/>
        <v>3.0748170731707316</v>
      </c>
      <c r="BR568" s="234" cm="1">
        <f t="array" ref="BR568">$BM568 * SUMPRODUCT(INDEX($AV$76:$AX$81,,$AI568),INDEX($AY$76:$BE$81,,$AH568), N($AU$76:$AU$81&gt;$AM568)) / BQ568 / 1000</f>
        <v>0</v>
      </c>
      <c r="BS568" s="231">
        <f t="shared" si="702"/>
        <v>30</v>
      </c>
      <c r="BT568" s="229">
        <f t="shared" si="678"/>
        <v>43</v>
      </c>
      <c r="BU568" s="234">
        <f t="shared" si="679"/>
        <v>3.5018750000000001</v>
      </c>
      <c r="BV568" s="234" cm="1">
        <f t="array" ref="BV568">$BM568 * IF($AH568&lt;=2,
SUMPRODUCT(INDEX($AV$71:$AX$75,,$AI568), INDEX($AY$71:$BE$75,,$AH568), 1 / ($BF$71:$BF$75*BU568 + (1-$BF$71:$BF$75)*BQ568), N($AU$71:$AU$75&gt;$AM568)),
SUMPRODUCT(INDEX($AV$66:$AX$75,,$AI568), INDEX($AY$66:$BE$75,,$AH568), 1 / ($BG$66:$BG$75*BU568 + (1-$BG$66:$BG$75)*BQ568), N($AU$66:$AU$75&gt;$AM568))
) / 1000</f>
        <v>0</v>
      </c>
      <c r="BW568" s="231">
        <f t="shared" si="703"/>
        <v>25</v>
      </c>
      <c r="BX568" s="229">
        <f t="shared" si="680"/>
        <v>38</v>
      </c>
      <c r="BY568" s="234">
        <f t="shared" si="681"/>
        <v>4.0666935483870965</v>
      </c>
      <c r="BZ568" s="234" cm="1">
        <f t="array" ref="BZ568">$BM568 * IF($AH568&lt;=2,
SUMPRODUCT(INDEX($AV$66:$AX$70,,$AI568), INDEX($AY$66:$BE$70,,$AH568), 1 / ($BF$66:$BF$70*BY568 + (1-$BF$66:$BF$70)*BU568), N($AU$66:$AU$70&gt;$AM568)),
SUMPRODUCT(INDEX($AV$56:$AX$65,,$AI568), INDEX($AY$56:$BE$65,,$AH568), 1 / ($BG$56:$BG$65*BY568 + (1-$BG$56:$BG$65)*BU568), N($AU$56:$AU$65&gt;$AM568))
) / 1000</f>
        <v>0</v>
      </c>
      <c r="CA568" s="231">
        <f t="shared" si="704"/>
        <v>20</v>
      </c>
      <c r="CB568" s="229">
        <f t="shared" si="682"/>
        <v>33</v>
      </c>
      <c r="CC568" s="234">
        <f t="shared" si="683"/>
        <v>4.8487499999999999</v>
      </c>
      <c r="CD568" s="234" cm="1">
        <f t="array" ref="CD568">$BM568 * IF($AH568&lt;=2,
SUMPRODUCT(INDEX($AV$61:$AX$65,,$AI568), INDEX($AY$61:$BE$65,,$AH568), 1 / ($BF$61:$BF$65*CC568 + (1-$BF$61:$BF$65)*BY568), N($AU$61:$AU$65&gt;$AM568)),
SUMPRODUCT(INDEX($AV$46:$AX$55,,$AI568), INDEX($AY$46:$BE$55,,$AH568), 1 / ($BG$46:$BG$55*CC568 + (1-$BG$46:$BG$55)*BY568), N($AU$46:$AU$55&gt;$AM568))
) / 1000</f>
        <v>0</v>
      </c>
      <c r="CE568" s="234" cm="1">
        <f t="array" ref="CE568">$BM568 * IF($AH568&lt;=2,
SUMPRODUCT(INDEX($AV$22:$AX$60,,$AI568), INDEX($AY$22:$BE$60,,$AH568), 1 / ($BF$22:$BF$60*CC568), N($AU$22:$AU$60&gt;$AM568)),
SUMPRODUCT(INDEX($AV$22:$AX$45,,$AI568), INDEX($AY$22:$BE$45,,$AH568), 1 / ($BG$22:$BG$45*CC568), N($AU$22:$AU$45&gt;$AM568))
) / 1000</f>
        <v>0</v>
      </c>
      <c r="CF568" s="229">
        <f t="shared" si="684"/>
        <v>0</v>
      </c>
      <c r="CG568" s="246"/>
      <c r="CH568" s="229">
        <f t="shared" si="685"/>
        <v>0</v>
      </c>
      <c r="CI568" s="228">
        <v>35</v>
      </c>
      <c r="CJ568" s="229">
        <f t="shared" si="686"/>
        <v>48</v>
      </c>
      <c r="CK568" s="234">
        <f t="shared" si="687"/>
        <v>3.0748170731707316</v>
      </c>
      <c r="CL568" s="234" cm="1">
        <f t="array" ref="CL568">$BM568 * SUMPRODUCT(INDEX($AV$76:$AX$81,,$AI568),INDEX($AY$76:$BE$81,,$AH568), N($AU$76:$AU$81&gt;$AM568)) / CK568 / 1000</f>
        <v>0</v>
      </c>
      <c r="CM568" s="231">
        <f t="shared" si="705"/>
        <v>30</v>
      </c>
      <c r="CN568" s="229">
        <f t="shared" si="688"/>
        <v>43</v>
      </c>
      <c r="CO568" s="234">
        <f t="shared" si="689"/>
        <v>3.5018750000000001</v>
      </c>
      <c r="CP568" s="234" cm="1">
        <f t="array" ref="CP568">$BM568 * IF($AH568&lt;=2,
SUMPRODUCT(INDEX($AV$71:$AX$75,,$AI568), INDEX($AY$71:$BE$75,,$AH568), 1 / ($BF$71:$BF$75*CO568 + (1-$BF$71:$BF$75)*CK568), N($AU$71:$AU$75&gt;$AM568)),
SUMPRODUCT(INDEX($AV$66:$AX$75,,$AI568), INDEX($AY$66:$BE$75,,$AH568), 1 / ($BG$66:$BG$75*CO568 + (1-$BG$66:$BG$75)*CK568), N($AU$66:$AU$75&gt;$AM568))
) / 1000</f>
        <v>0</v>
      </c>
      <c r="CQ568" s="231">
        <f t="shared" si="706"/>
        <v>25</v>
      </c>
      <c r="CR568" s="229">
        <f t="shared" si="690"/>
        <v>38</v>
      </c>
      <c r="CS568" s="234">
        <f t="shared" si="691"/>
        <v>4.0666935483870965</v>
      </c>
      <c r="CT568" s="234" cm="1">
        <f t="array" ref="CT568">$BM568 * IF($AH568&lt;=2,
SUMPRODUCT(INDEX($AV$66:$AX$70,,$AI568), INDEX($AY$66:$BE$70,,$AH568), 1 / ($BF$66:$BF$70*CS568 + (1-$BF$66:$BF$70)*CO568), N($AU$66:$AU$70&gt;$AM568)),
SUMPRODUCT(INDEX($AV$56:$AX$65,,$AI568), INDEX($AY$56:$BE$65,,$AH568), 1 / ($BG$56:$BG$65*CS568 + (1-$BG$56:$BG$65)*CO568), N($AU$56:$AU$65&gt;$AM568))
) / 1000</f>
        <v>0</v>
      </c>
      <c r="CU568" s="231">
        <f t="shared" si="707"/>
        <v>20</v>
      </c>
      <c r="CV568" s="229">
        <f t="shared" si="692"/>
        <v>33</v>
      </c>
      <c r="CW568" s="234">
        <f t="shared" si="693"/>
        <v>4.8487499999999999</v>
      </c>
      <c r="CX568" s="234" cm="1">
        <f t="array" ref="CX568">$BM568 * IF($AH568&lt;=2,
SUMPRODUCT(INDEX($AV$61:$AX$65,,$AI568), INDEX($AY$61:$BE$65,,$AH568), 1 / ($BF$61:$BF$65*CW568 + (1-$BF$61:$BF$65)*CS568), N($AU$61:$AU$65&gt;$AM568)),
SUMPRODUCT(INDEX($AV$46:$AX$55,,$AI568), INDEX($AY$46:$BE$55,,$AH568), 1 / ($BG$46:$BG$55*CW568 + (1-$BG$46:$BG$55)*CS568), N($AU$46:$AU$55&gt;$AM568))
) / 1000</f>
        <v>0</v>
      </c>
      <c r="CY568" s="234" cm="1">
        <f t="array" ref="CY568">$BM568 * IF($AH568&lt;=2,
SUMPRODUCT(INDEX($AV$22:$AX$60,,$AI568), INDEX($AY$22:$BE$60,,$AH568), 1 / ($BF$22:$BF$60*CW568), N($AU$22:$AU$60&gt;$AM568)),
SUMPRODUCT(INDEX($AV$22:$AX$45,,$AI568), INDEX($AY$22:$BE$45,,$AH568), 1 / ($BG$22:$BG$45*CW568), N($AU$22:$AU$45&gt;$AM568))
) / 1000</f>
        <v>0</v>
      </c>
      <c r="CZ568" s="229">
        <f t="shared" si="694"/>
        <v>0</v>
      </c>
      <c r="DA568" s="246"/>
    </row>
    <row r="569" spans="1:105" s="75" customFormat="1" ht="14.25" customHeight="1" x14ac:dyDescent="0.2">
      <c r="A569" s="230" t="b">
        <f t="shared" si="699"/>
        <v>0</v>
      </c>
      <c r="B569" s="253">
        <v>548</v>
      </c>
      <c r="C569" s="266"/>
      <c r="D569" s="266"/>
      <c r="E569" s="254"/>
      <c r="F569" s="255" t="str">
        <f>IF(ISBLANK(E569), "", VLOOKUP(E569, Z!$A$2:$C$4127, 3, FALSE))</f>
        <v/>
      </c>
      <c r="G569" s="256"/>
      <c r="H569" s="256"/>
      <c r="I569" s="256"/>
      <c r="J569" s="257"/>
      <c r="K569" s="258"/>
      <c r="L569" s="267"/>
      <c r="M569" s="268"/>
      <c r="N569" s="259" t="str" cm="1">
        <f t="array" ref="N569">IF($L569&gt;0, INDEX(Clean,1+AK569,$D$1), "")</f>
        <v/>
      </c>
      <c r="O569" s="260"/>
      <c r="P569" s="260"/>
      <c r="Q569" s="261"/>
      <c r="R569" s="264">
        <f t="shared" si="670"/>
        <v>0</v>
      </c>
      <c r="S569" s="259" t="str" cm="1">
        <f t="array" ref="S569">IF($L569&gt;0, INDEX(Clean,1+AL569,$D$1), "")</f>
        <v/>
      </c>
      <c r="T569" s="260"/>
      <c r="U569" s="260"/>
      <c r="V569" s="261"/>
      <c r="W569" s="267"/>
      <c r="X569" s="267"/>
      <c r="Y569" s="257"/>
      <c r="Z569" s="264">
        <f t="shared" si="671"/>
        <v>0</v>
      </c>
      <c r="AA569" s="269"/>
      <c r="AB569" s="266"/>
      <c r="AC569" s="254"/>
      <c r="AD569" s="255" t="str">
        <f>IF(ISBLANK(AC569), "", VLOOKUP(AC569, Z!$A$2:$C$4127, 3, FALSE))</f>
        <v/>
      </c>
      <c r="AE569" s="270"/>
      <c r="AF569" s="265">
        <f t="shared" si="672"/>
        <v>0</v>
      </c>
      <c r="AG569" s="246"/>
      <c r="AH569" s="228">
        <f t="shared" si="695"/>
        <v>1</v>
      </c>
      <c r="AI569" s="228">
        <f t="shared" si="696"/>
        <v>1</v>
      </c>
      <c r="AJ569" s="228">
        <f t="shared" si="697"/>
        <v>0</v>
      </c>
      <c r="AK569" s="228">
        <v>0</v>
      </c>
      <c r="AL569" s="228">
        <v>0</v>
      </c>
      <c r="AM569" s="228">
        <f t="shared" si="673"/>
        <v>-100</v>
      </c>
      <c r="AN569" s="228" cm="1">
        <f t="array" ref="AN569">IF(ISBLANK(G569), 1, IFERROR(MATCH(G569, INDEX(Kat,,1), 0), IFERROR(MATCH(Kat, INDEX(Use,,2), 0), MATCH(Kat, INDEX(Use,,3), 0))))</f>
        <v>1</v>
      </c>
      <c r="AO569" s="246"/>
      <c r="AP569" s="228" cm="1">
        <f t="array" ref="AP569">IF(W569&gt;0, INDEX(Kat, AN569,4), 0)</f>
        <v>0</v>
      </c>
      <c r="AQ569" s="228">
        <f t="shared" si="698"/>
        <v>0</v>
      </c>
      <c r="AR569" s="228" cm="1">
        <f t="array" ref="AR569">IF(X569&gt;0, INDEX(Kat, $AN569, 4+AQ569), 0)</f>
        <v>0</v>
      </c>
      <c r="AS569" s="228" cm="1">
        <f t="array" ref="AS569">IF(X569&gt;0, INDEX(Kat, $AN569, 9+AQ569), 0)</f>
        <v>0</v>
      </c>
      <c r="AT569" s="246"/>
      <c r="AU569" s="262"/>
      <c r="AV569" s="262"/>
      <c r="AW569" s="263"/>
      <c r="AX569" s="263"/>
      <c r="AY569" s="263"/>
      <c r="AZ569" s="263"/>
      <c r="BA569" s="263"/>
      <c r="BB569" s="263"/>
      <c r="BC569" s="263"/>
      <c r="BD569" s="263"/>
      <c r="BE569" s="263"/>
      <c r="BF569" s="263"/>
      <c r="BG569" s="263"/>
      <c r="BH569" s="246"/>
      <c r="BI569" s="228" cm="1">
        <f t="array" ref="BI569">INDEX(Use, $AH569, 4)</f>
        <v>7</v>
      </c>
      <c r="BJ569" s="228">
        <f t="shared" si="674"/>
        <v>32</v>
      </c>
      <c r="BK569" s="228">
        <f t="shared" si="700"/>
        <v>13</v>
      </c>
      <c r="BL569" s="228">
        <f t="shared" si="701"/>
        <v>0</v>
      </c>
      <c r="BM569" s="233" cm="1">
        <f t="array" ref="BM569">L569/IF($M569&gt;0, INDEX($AY$22:$BE$76, $M569+20, $AH569), 1)</f>
        <v>0</v>
      </c>
      <c r="BN569" s="229">
        <f t="shared" si="675"/>
        <v>0</v>
      </c>
      <c r="BO569" s="228">
        <v>35</v>
      </c>
      <c r="BP569" s="229">
        <f t="shared" si="676"/>
        <v>48</v>
      </c>
      <c r="BQ569" s="234">
        <f t="shared" si="677"/>
        <v>3.0748170731707316</v>
      </c>
      <c r="BR569" s="234" cm="1">
        <f t="array" ref="BR569">$BM569 * SUMPRODUCT(INDEX($AV$76:$AX$81,,$AI569),INDEX($AY$76:$BE$81,,$AH569), N($AU$76:$AU$81&gt;$AM569)) / BQ569 / 1000</f>
        <v>0</v>
      </c>
      <c r="BS569" s="231">
        <f t="shared" si="702"/>
        <v>30</v>
      </c>
      <c r="BT569" s="229">
        <f t="shared" si="678"/>
        <v>43</v>
      </c>
      <c r="BU569" s="234">
        <f t="shared" si="679"/>
        <v>3.5018750000000001</v>
      </c>
      <c r="BV569" s="234" cm="1">
        <f t="array" ref="BV569">$BM569 * IF($AH569&lt;=2,
SUMPRODUCT(INDEX($AV$71:$AX$75,,$AI569), INDEX($AY$71:$BE$75,,$AH569), 1 / ($BF$71:$BF$75*BU569 + (1-$BF$71:$BF$75)*BQ569), N($AU$71:$AU$75&gt;$AM569)),
SUMPRODUCT(INDEX($AV$66:$AX$75,,$AI569), INDEX($AY$66:$BE$75,,$AH569), 1 / ($BG$66:$BG$75*BU569 + (1-$BG$66:$BG$75)*BQ569), N($AU$66:$AU$75&gt;$AM569))
) / 1000</f>
        <v>0</v>
      </c>
      <c r="BW569" s="231">
        <f t="shared" si="703"/>
        <v>25</v>
      </c>
      <c r="BX569" s="229">
        <f t="shared" si="680"/>
        <v>38</v>
      </c>
      <c r="BY569" s="234">
        <f t="shared" si="681"/>
        <v>4.0666935483870965</v>
      </c>
      <c r="BZ569" s="234" cm="1">
        <f t="array" ref="BZ569">$BM569 * IF($AH569&lt;=2,
SUMPRODUCT(INDEX($AV$66:$AX$70,,$AI569), INDEX($AY$66:$BE$70,,$AH569), 1 / ($BF$66:$BF$70*BY569 + (1-$BF$66:$BF$70)*BU569), N($AU$66:$AU$70&gt;$AM569)),
SUMPRODUCT(INDEX($AV$56:$AX$65,,$AI569), INDEX($AY$56:$BE$65,,$AH569), 1 / ($BG$56:$BG$65*BY569 + (1-$BG$56:$BG$65)*BU569), N($AU$56:$AU$65&gt;$AM569))
) / 1000</f>
        <v>0</v>
      </c>
      <c r="CA569" s="231">
        <f t="shared" si="704"/>
        <v>20</v>
      </c>
      <c r="CB569" s="229">
        <f t="shared" si="682"/>
        <v>33</v>
      </c>
      <c r="CC569" s="234">
        <f t="shared" si="683"/>
        <v>4.8487499999999999</v>
      </c>
      <c r="CD569" s="234" cm="1">
        <f t="array" ref="CD569">$BM569 * IF($AH569&lt;=2,
SUMPRODUCT(INDEX($AV$61:$AX$65,,$AI569), INDEX($AY$61:$BE$65,,$AH569), 1 / ($BF$61:$BF$65*CC569 + (1-$BF$61:$BF$65)*BY569), N($AU$61:$AU$65&gt;$AM569)),
SUMPRODUCT(INDEX($AV$46:$AX$55,,$AI569), INDEX($AY$46:$BE$55,,$AH569), 1 / ($BG$46:$BG$55*CC569 + (1-$BG$46:$BG$55)*BY569), N($AU$46:$AU$55&gt;$AM569))
) / 1000</f>
        <v>0</v>
      </c>
      <c r="CE569" s="234" cm="1">
        <f t="array" ref="CE569">$BM569 * IF($AH569&lt;=2,
SUMPRODUCT(INDEX($AV$22:$AX$60,,$AI569), INDEX($AY$22:$BE$60,,$AH569), 1 / ($BF$22:$BF$60*CC569), N($AU$22:$AU$60&gt;$AM569)),
SUMPRODUCT(INDEX($AV$22:$AX$45,,$AI569), INDEX($AY$22:$BE$45,,$AH569), 1 / ($BG$22:$BG$45*CC569), N($AU$22:$AU$45&gt;$AM569))
) / 1000</f>
        <v>0</v>
      </c>
      <c r="CF569" s="229">
        <f t="shared" si="684"/>
        <v>0</v>
      </c>
      <c r="CG569" s="246"/>
      <c r="CH569" s="229">
        <f t="shared" si="685"/>
        <v>0</v>
      </c>
      <c r="CI569" s="228">
        <v>35</v>
      </c>
      <c r="CJ569" s="229">
        <f t="shared" si="686"/>
        <v>48</v>
      </c>
      <c r="CK569" s="234">
        <f t="shared" si="687"/>
        <v>3.0748170731707316</v>
      </c>
      <c r="CL569" s="234" cm="1">
        <f t="array" ref="CL569">$BM569 * SUMPRODUCT(INDEX($AV$76:$AX$81,,$AI569),INDEX($AY$76:$BE$81,,$AH569), N($AU$76:$AU$81&gt;$AM569)) / CK569 / 1000</f>
        <v>0</v>
      </c>
      <c r="CM569" s="231">
        <f t="shared" si="705"/>
        <v>30</v>
      </c>
      <c r="CN569" s="229">
        <f t="shared" si="688"/>
        <v>43</v>
      </c>
      <c r="CO569" s="234">
        <f t="shared" si="689"/>
        <v>3.5018750000000001</v>
      </c>
      <c r="CP569" s="234" cm="1">
        <f t="array" ref="CP569">$BM569 * IF($AH569&lt;=2,
SUMPRODUCT(INDEX($AV$71:$AX$75,,$AI569), INDEX($AY$71:$BE$75,,$AH569), 1 / ($BF$71:$BF$75*CO569 + (1-$BF$71:$BF$75)*CK569), N($AU$71:$AU$75&gt;$AM569)),
SUMPRODUCT(INDEX($AV$66:$AX$75,,$AI569), INDEX($AY$66:$BE$75,,$AH569), 1 / ($BG$66:$BG$75*CO569 + (1-$BG$66:$BG$75)*CK569), N($AU$66:$AU$75&gt;$AM569))
) / 1000</f>
        <v>0</v>
      </c>
      <c r="CQ569" s="231">
        <f t="shared" si="706"/>
        <v>25</v>
      </c>
      <c r="CR569" s="229">
        <f t="shared" si="690"/>
        <v>38</v>
      </c>
      <c r="CS569" s="234">
        <f t="shared" si="691"/>
        <v>4.0666935483870965</v>
      </c>
      <c r="CT569" s="234" cm="1">
        <f t="array" ref="CT569">$BM569 * IF($AH569&lt;=2,
SUMPRODUCT(INDEX($AV$66:$AX$70,,$AI569), INDEX($AY$66:$BE$70,,$AH569), 1 / ($BF$66:$BF$70*CS569 + (1-$BF$66:$BF$70)*CO569), N($AU$66:$AU$70&gt;$AM569)),
SUMPRODUCT(INDEX($AV$56:$AX$65,,$AI569), INDEX($AY$56:$BE$65,,$AH569), 1 / ($BG$56:$BG$65*CS569 + (1-$BG$56:$BG$65)*CO569), N($AU$56:$AU$65&gt;$AM569))
) / 1000</f>
        <v>0</v>
      </c>
      <c r="CU569" s="231">
        <f t="shared" si="707"/>
        <v>20</v>
      </c>
      <c r="CV569" s="229">
        <f t="shared" si="692"/>
        <v>33</v>
      </c>
      <c r="CW569" s="234">
        <f t="shared" si="693"/>
        <v>4.8487499999999999</v>
      </c>
      <c r="CX569" s="234" cm="1">
        <f t="array" ref="CX569">$BM569 * IF($AH569&lt;=2,
SUMPRODUCT(INDEX($AV$61:$AX$65,,$AI569), INDEX($AY$61:$BE$65,,$AH569), 1 / ($BF$61:$BF$65*CW569 + (1-$BF$61:$BF$65)*CS569), N($AU$61:$AU$65&gt;$AM569)),
SUMPRODUCT(INDEX($AV$46:$AX$55,,$AI569), INDEX($AY$46:$BE$55,,$AH569), 1 / ($BG$46:$BG$55*CW569 + (1-$BG$46:$BG$55)*CS569), N($AU$46:$AU$55&gt;$AM569))
) / 1000</f>
        <v>0</v>
      </c>
      <c r="CY569" s="234" cm="1">
        <f t="array" ref="CY569">$BM569 * IF($AH569&lt;=2,
SUMPRODUCT(INDEX($AV$22:$AX$60,,$AI569), INDEX($AY$22:$BE$60,,$AH569), 1 / ($BF$22:$BF$60*CW569), N($AU$22:$AU$60&gt;$AM569)),
SUMPRODUCT(INDEX($AV$22:$AX$45,,$AI569), INDEX($AY$22:$BE$45,,$AH569), 1 / ($BG$22:$BG$45*CW569), N($AU$22:$AU$45&gt;$AM569))
) / 1000</f>
        <v>0</v>
      </c>
      <c r="CZ569" s="229">
        <f t="shared" si="694"/>
        <v>0</v>
      </c>
      <c r="DA569" s="246"/>
    </row>
    <row r="570" spans="1:105" s="75" customFormat="1" ht="14.25" customHeight="1" x14ac:dyDescent="0.2">
      <c r="A570" s="230" t="b">
        <f t="shared" si="699"/>
        <v>0</v>
      </c>
      <c r="B570" s="253">
        <v>549</v>
      </c>
      <c r="C570" s="266"/>
      <c r="D570" s="266"/>
      <c r="E570" s="254"/>
      <c r="F570" s="255" t="str">
        <f>IF(ISBLANK(E570), "", VLOOKUP(E570, Z!$A$2:$C$4127, 3, FALSE))</f>
        <v/>
      </c>
      <c r="G570" s="256"/>
      <c r="H570" s="256"/>
      <c r="I570" s="256"/>
      <c r="J570" s="257"/>
      <c r="K570" s="258"/>
      <c r="L570" s="267"/>
      <c r="M570" s="268"/>
      <c r="N570" s="259" t="str" cm="1">
        <f t="array" ref="N570">IF($L570&gt;0, INDEX(Clean,1+AK570,$D$1), "")</f>
        <v/>
      </c>
      <c r="O570" s="260"/>
      <c r="P570" s="260"/>
      <c r="Q570" s="261"/>
      <c r="R570" s="264">
        <f t="shared" ref="R570:R633" si="708">CF570*1000</f>
        <v>0</v>
      </c>
      <c r="S570" s="259" t="str" cm="1">
        <f t="array" ref="S570">IF($L570&gt;0, INDEX(Clean,1+AL570,$D$1), "")</f>
        <v/>
      </c>
      <c r="T570" s="260"/>
      <c r="U570" s="260"/>
      <c r="V570" s="261"/>
      <c r="W570" s="267"/>
      <c r="X570" s="267"/>
      <c r="Y570" s="257"/>
      <c r="Z570" s="264">
        <f t="shared" ref="Z570:Z633" si="709">(CZ570 - IF(W570&gt;0, CZ570*(W570/7)*AP570, 0) - IF(X570&gt;0, CZ570*(X570*AR570*AS570), 0))*1000</f>
        <v>0</v>
      </c>
      <c r="AA570" s="269"/>
      <c r="AB570" s="266"/>
      <c r="AC570" s="254"/>
      <c r="AD570" s="255" t="str">
        <f>IF(ISBLANK(AC570), "", VLOOKUP(AC570, Z!$A$2:$C$4127, 3, FALSE))</f>
        <v/>
      </c>
      <c r="AE570" s="270"/>
      <c r="AF570" s="265">
        <f t="shared" ref="AF570:AF633" si="710">0.75*AO$22*(R570-Z570)</f>
        <v>0</v>
      </c>
      <c r="AG570" s="246"/>
      <c r="AH570" s="228">
        <f t="shared" si="695"/>
        <v>1</v>
      </c>
      <c r="AI570" s="228">
        <f t="shared" si="696"/>
        <v>1</v>
      </c>
      <c r="AJ570" s="228">
        <f t="shared" si="697"/>
        <v>0</v>
      </c>
      <c r="AK570" s="228">
        <v>0</v>
      </c>
      <c r="AL570" s="228">
        <v>0</v>
      </c>
      <c r="AM570" s="228">
        <f t="shared" ref="AM570:AM633" si="711">IF(AND(K570="x", AH570=5), 11, IF(AND(K570="x", AH570=6), 19, -100))</f>
        <v>-100</v>
      </c>
      <c r="AN570" s="228" cm="1">
        <f t="array" ref="AN570">IF(ISBLANK(G570), 1, IFERROR(MATCH(G570, INDEX(Kat,,1), 0), IFERROR(MATCH(Kat, INDEX(Use,,2), 0), MATCH(Kat, INDEX(Use,,3), 0))))</f>
        <v>1</v>
      </c>
      <c r="AO570" s="246"/>
      <c r="AP570" s="228" cm="1">
        <f t="array" ref="AP570">IF(W570&gt;0, INDEX(Kat, AN570,4), 0)</f>
        <v>0</v>
      </c>
      <c r="AQ570" s="228">
        <f t="shared" si="698"/>
        <v>0</v>
      </c>
      <c r="AR570" s="228" cm="1">
        <f t="array" ref="AR570">IF(X570&gt;0, INDEX(Kat, $AN570, 4+AQ570), 0)</f>
        <v>0</v>
      </c>
      <c r="AS570" s="228" cm="1">
        <f t="array" ref="AS570">IF(X570&gt;0, INDEX(Kat, $AN570, 9+AQ570), 0)</f>
        <v>0</v>
      </c>
      <c r="AT570" s="246"/>
      <c r="AU570" s="262"/>
      <c r="AV570" s="262"/>
      <c r="AW570" s="263"/>
      <c r="AX570" s="263"/>
      <c r="AY570" s="263"/>
      <c r="AZ570" s="263"/>
      <c r="BA570" s="263"/>
      <c r="BB570" s="263"/>
      <c r="BC570" s="263"/>
      <c r="BD570" s="263"/>
      <c r="BE570" s="263"/>
      <c r="BF570" s="263"/>
      <c r="BG570" s="263"/>
      <c r="BH570" s="246"/>
      <c r="BI570" s="228" cm="1">
        <f t="array" ref="BI570">INDEX(Use, $AH570, 4)</f>
        <v>7</v>
      </c>
      <c r="BJ570" s="228">
        <f t="shared" ref="BJ570:BJ633" si="712">MAX(25, BI570+25)</f>
        <v>32</v>
      </c>
      <c r="BK570" s="228">
        <f t="shared" si="700"/>
        <v>13</v>
      </c>
      <c r="BL570" s="228">
        <f t="shared" si="701"/>
        <v>0</v>
      </c>
      <c r="BM570" s="233" cm="1">
        <f t="array" ref="BM570">L570/IF($M570&gt;0, INDEX($AY$22:$BE$76, $M570+20, $AH570), 1)</f>
        <v>0</v>
      </c>
      <c r="BN570" s="229">
        <f t="shared" ref="BN570:BN633" si="713">Q570 /  IF(AH570&lt;=2, 0.7 + 0.3 * (P570-20)/(35-20), 0.4 + 0.6 * (P570-5)/(35-5))</f>
        <v>0</v>
      </c>
      <c r="BO570" s="228">
        <v>35</v>
      </c>
      <c r="BP570" s="229">
        <f t="shared" ref="BP570:BP633" si="714">MAX($O570, MAX($BJ570, $BO570 + $BK570 + $BL570 + 0.35*$AK570*$BK570 + BN570))</f>
        <v>48</v>
      </c>
      <c r="BQ570" s="234">
        <f t="shared" ref="BQ570:BQ633" si="715">0.45*($BI570+273.15)/(BP570-$BI570)</f>
        <v>3.0748170731707316</v>
      </c>
      <c r="BR570" s="234" cm="1">
        <f t="array" ref="BR570">$BM570 * SUMPRODUCT(INDEX($AV$76:$AX$81,,$AI570),INDEX($AY$76:$BE$81,,$AH570), N($AU$76:$AU$81&gt;$AM570)) / BQ570 / 1000</f>
        <v>0</v>
      </c>
      <c r="BS570" s="231">
        <f t="shared" si="702"/>
        <v>30</v>
      </c>
      <c r="BT570" s="229">
        <f t="shared" ref="BT570:BT633" si="716">MAX($O570, MAX($BJ570, BS570 + $BK570 + $BL570 + IF($AH570&lt;=2, (BS570-20)/(35-20), 0.6+0.4*(BS570-5)/(35-5))*0.35*$AK570*$BK570) + IF($AH570&lt;=2,0.9,0.8)*$BN570)</f>
        <v>43</v>
      </c>
      <c r="BU570" s="234">
        <f t="shared" ref="BU570:BU633" si="717">0.45*($BI570+273.15)/(BT570-$BI570)</f>
        <v>3.5018750000000001</v>
      </c>
      <c r="BV570" s="234" cm="1">
        <f t="array" ref="BV570">$BM570 * IF($AH570&lt;=2,
SUMPRODUCT(INDEX($AV$71:$AX$75,,$AI570), INDEX($AY$71:$BE$75,,$AH570), 1 / ($BF$71:$BF$75*BU570 + (1-$BF$71:$BF$75)*BQ570), N($AU$71:$AU$75&gt;$AM570)),
SUMPRODUCT(INDEX($AV$66:$AX$75,,$AI570), INDEX($AY$66:$BE$75,,$AH570), 1 / ($BG$66:$BG$75*BU570 + (1-$BG$66:$BG$75)*BQ570), N($AU$66:$AU$75&gt;$AM570))
) / 1000</f>
        <v>0</v>
      </c>
      <c r="BW570" s="231">
        <f t="shared" si="703"/>
        <v>25</v>
      </c>
      <c r="BX570" s="229">
        <f t="shared" ref="BX570:BX633" si="718">MAX($O570, MAX($BJ570, BW570 + $BK570 + $BL570 + IF($AH570&lt;=2, (BW570-20)/(35-20), 0.6+0.4*(BW570-5)/(35-5))*0.35*$AK570*$BK570) + IF($AH570&lt;=2,0.8,0.6)*$BN570)</f>
        <v>38</v>
      </c>
      <c r="BY570" s="234">
        <f t="shared" ref="BY570:BY633" si="719">0.45*($BI570+273.15)/(BX570-$BI570)</f>
        <v>4.0666935483870965</v>
      </c>
      <c r="BZ570" s="234" cm="1">
        <f t="array" ref="BZ570">$BM570 * IF($AH570&lt;=2,
SUMPRODUCT(INDEX($AV$66:$AX$70,,$AI570), INDEX($AY$66:$BE$70,,$AH570), 1 / ($BF$66:$BF$70*BY570 + (1-$BF$66:$BF$70)*BU570), N($AU$66:$AU$70&gt;$AM570)),
SUMPRODUCT(INDEX($AV$56:$AX$65,,$AI570), INDEX($AY$56:$BE$65,,$AH570), 1 / ($BG$56:$BG$65*BY570 + (1-$BG$56:$BG$65)*BU570), N($AU$56:$AU$65&gt;$AM570))
) / 1000</f>
        <v>0</v>
      </c>
      <c r="CA570" s="231">
        <f t="shared" si="704"/>
        <v>20</v>
      </c>
      <c r="CB570" s="229">
        <f t="shared" ref="CB570:CB633" si="720">MAX($O570, MAX($BJ570, CA570 + $BK570 + $BL570 + IF($AH570&lt;=2, (CA570-20)/(35-20), 0.6+0.4*(CA570-5)/(35-5))*0.35*$AK570*$BK570) + IF($AH570&lt;=2,0.7,0.4)*$BN570)</f>
        <v>33</v>
      </c>
      <c r="CC570" s="234">
        <f t="shared" ref="CC570:CC633" si="721">0.45*($BI570+273.15)/(CB570-$BI570)</f>
        <v>4.8487499999999999</v>
      </c>
      <c r="CD570" s="234" cm="1">
        <f t="array" ref="CD570">$BM570 * IF($AH570&lt;=2,
SUMPRODUCT(INDEX($AV$61:$AX$65,,$AI570), INDEX($AY$61:$BE$65,,$AH570), 1 / ($BF$61:$BF$65*CC570 + (1-$BF$61:$BF$65)*BY570), N($AU$61:$AU$65&gt;$AM570)),
SUMPRODUCT(INDEX($AV$46:$AX$55,,$AI570), INDEX($AY$46:$BE$55,,$AH570), 1 / ($BG$46:$BG$55*CC570 + (1-$BG$46:$BG$55)*BY570), N($AU$46:$AU$55&gt;$AM570))
) / 1000</f>
        <v>0</v>
      </c>
      <c r="CE570" s="234" cm="1">
        <f t="array" ref="CE570">$BM570 * IF($AH570&lt;=2,
SUMPRODUCT(INDEX($AV$22:$AX$60,,$AI570), INDEX($AY$22:$BE$60,,$AH570), 1 / ($BF$22:$BF$60*CC570), N($AU$22:$AU$60&gt;$AM570)),
SUMPRODUCT(INDEX($AV$22:$AX$45,,$AI570), INDEX($AY$22:$BE$45,,$AH570), 1 / ($BG$22:$BG$45*CC570), N($AU$22:$AU$45&gt;$AM570))
) / 1000</f>
        <v>0</v>
      </c>
      <c r="CF570" s="229">
        <f t="shared" ref="CF570:CF633" si="722">BR570+BV570+BZ570+CD570+CE570</f>
        <v>0</v>
      </c>
      <c r="CG570" s="246"/>
      <c r="CH570" s="229">
        <f t="shared" ref="CH570:CH633" si="723">V570 /  IF(AH570&lt;=2, 0.7 + 0.3 * (U570-20)/(35-20), 0.4 + 0.6 * (U570-5)/(35-5))</f>
        <v>0</v>
      </c>
      <c r="CI570" s="228">
        <v>35</v>
      </c>
      <c r="CJ570" s="229">
        <f t="shared" ref="CJ570:CJ633" si="724">MAX($T570, MAX($BJ570, $BO570 + $BK570 + $BL570 + 0.35*$AL570*$BK570 + CH570))</f>
        <v>48</v>
      </c>
      <c r="CK570" s="234">
        <f t="shared" ref="CK570:CK633" si="725">0.45*($BI570+273.15)/(CJ570-$BI570)</f>
        <v>3.0748170731707316</v>
      </c>
      <c r="CL570" s="234" cm="1">
        <f t="array" ref="CL570">$BM570 * SUMPRODUCT(INDEX($AV$76:$AX$81,,$AI570),INDEX($AY$76:$BE$81,,$AH570), N($AU$76:$AU$81&gt;$AM570)) / CK570 / 1000</f>
        <v>0</v>
      </c>
      <c r="CM570" s="231">
        <f t="shared" si="705"/>
        <v>30</v>
      </c>
      <c r="CN570" s="229">
        <f t="shared" ref="CN570:CN633" si="726">MAX($T570, MAX($BJ570, CM570 + $BK570 + $BL570 + IF($AH570&lt;=2, (CM570-20)/(35-20), 0.6+0.4*(CM570-5)/(35-5))*0.35*$AL570*$BK570) + IF($AH570&lt;=2,0.9,0.8)*$CH570)</f>
        <v>43</v>
      </c>
      <c r="CO570" s="234">
        <f t="shared" ref="CO570:CO633" si="727">0.45*($BI570+273.15)/(CN570-$BI570)</f>
        <v>3.5018750000000001</v>
      </c>
      <c r="CP570" s="234" cm="1">
        <f t="array" ref="CP570">$BM570 * IF($AH570&lt;=2,
SUMPRODUCT(INDEX($AV$71:$AX$75,,$AI570), INDEX($AY$71:$BE$75,,$AH570), 1 / ($BF$71:$BF$75*CO570 + (1-$BF$71:$BF$75)*CK570), N($AU$71:$AU$75&gt;$AM570)),
SUMPRODUCT(INDEX($AV$66:$AX$75,,$AI570), INDEX($AY$66:$BE$75,,$AH570), 1 / ($BG$66:$BG$75*CO570 + (1-$BG$66:$BG$75)*CK570), N($AU$66:$AU$75&gt;$AM570))
) / 1000</f>
        <v>0</v>
      </c>
      <c r="CQ570" s="231">
        <f t="shared" si="706"/>
        <v>25</v>
      </c>
      <c r="CR570" s="229">
        <f t="shared" ref="CR570:CR633" si="728">MAX($T570, MAX($BJ570, CQ570 + $BK570 + $BL570 + IF($AH570&lt;=2, (CQ570-20)/(35-20), 0.6+0.4*(CQ570-5)/(35-5))*0.35*$AL570*$BK570) + IF($AH570&lt;=2,0.8,0.6)*$CH570)</f>
        <v>38</v>
      </c>
      <c r="CS570" s="234">
        <f t="shared" ref="CS570:CS633" si="729">0.45*($BI570+273.15)/(CR570-$BI570)</f>
        <v>4.0666935483870965</v>
      </c>
      <c r="CT570" s="234" cm="1">
        <f t="array" ref="CT570">$BM570 * IF($AH570&lt;=2,
SUMPRODUCT(INDEX($AV$66:$AX$70,,$AI570), INDEX($AY$66:$BE$70,,$AH570), 1 / ($BF$66:$BF$70*CS570 + (1-$BF$66:$BF$70)*CO570), N($AU$66:$AU$70&gt;$AM570)),
SUMPRODUCT(INDEX($AV$56:$AX$65,,$AI570), INDEX($AY$56:$BE$65,,$AH570), 1 / ($BG$56:$BG$65*CS570 + (1-$BG$56:$BG$65)*CO570), N($AU$56:$AU$65&gt;$AM570))
) / 1000</f>
        <v>0</v>
      </c>
      <c r="CU570" s="231">
        <f t="shared" si="707"/>
        <v>20</v>
      </c>
      <c r="CV570" s="229">
        <f t="shared" ref="CV570:CV633" si="730">MAX($T570, MAX($BJ570, CU570 + $BK570 + $BL570 + IF($AH570&lt;=2, (CU570-20)/(35-20), 0.6+0.4*(CU570-5)/(35-5))*0.35*$AL570*$BK570) + IF($AH570&lt;=2,0.7,0.4)*$CH570)</f>
        <v>33</v>
      </c>
      <c r="CW570" s="234">
        <f t="shared" ref="CW570:CW633" si="731">0.45*($BI570+273.15)/(CV570-$BI570)</f>
        <v>4.8487499999999999</v>
      </c>
      <c r="CX570" s="234" cm="1">
        <f t="array" ref="CX570">$BM570 * IF($AH570&lt;=2,
SUMPRODUCT(INDEX($AV$61:$AX$65,,$AI570), INDEX($AY$61:$BE$65,,$AH570), 1 / ($BF$61:$BF$65*CW570 + (1-$BF$61:$BF$65)*CS570), N($AU$61:$AU$65&gt;$AM570)),
SUMPRODUCT(INDEX($AV$46:$AX$55,,$AI570), INDEX($AY$46:$BE$55,,$AH570), 1 / ($BG$46:$BG$55*CW570 + (1-$BG$46:$BG$55)*CS570), N($AU$46:$AU$55&gt;$AM570))
) / 1000</f>
        <v>0</v>
      </c>
      <c r="CY570" s="234" cm="1">
        <f t="array" ref="CY570">$BM570 * IF($AH570&lt;=2,
SUMPRODUCT(INDEX($AV$22:$AX$60,,$AI570), INDEX($AY$22:$BE$60,,$AH570), 1 / ($BF$22:$BF$60*CW570), N($AU$22:$AU$60&gt;$AM570)),
SUMPRODUCT(INDEX($AV$22:$AX$45,,$AI570), INDEX($AY$22:$BE$45,,$AH570), 1 / ($BG$22:$BG$45*CW570), N($AU$22:$AU$45&gt;$AM570))
) / 1000</f>
        <v>0</v>
      </c>
      <c r="CZ570" s="229">
        <f t="shared" ref="CZ570:CZ633" si="732">CL570+CP570+CT570+CX570+CY570</f>
        <v>0</v>
      </c>
      <c r="DA570" s="246"/>
    </row>
    <row r="571" spans="1:105" s="75" customFormat="1" ht="14.25" customHeight="1" x14ac:dyDescent="0.2">
      <c r="A571" s="230" t="b">
        <f t="shared" si="699"/>
        <v>0</v>
      </c>
      <c r="B571" s="253">
        <v>550</v>
      </c>
      <c r="C571" s="266"/>
      <c r="D571" s="266"/>
      <c r="E571" s="254"/>
      <c r="F571" s="255" t="str">
        <f>IF(ISBLANK(E571), "", VLOOKUP(E571, Z!$A$2:$C$4127, 3, FALSE))</f>
        <v/>
      </c>
      <c r="G571" s="256"/>
      <c r="H571" s="256"/>
      <c r="I571" s="256"/>
      <c r="J571" s="257"/>
      <c r="K571" s="258"/>
      <c r="L571" s="267"/>
      <c r="M571" s="268"/>
      <c r="N571" s="259" t="str" cm="1">
        <f t="array" ref="N571">IF($L571&gt;0, INDEX(Clean,1+AK571,$D$1), "")</f>
        <v/>
      </c>
      <c r="O571" s="260"/>
      <c r="P571" s="260"/>
      <c r="Q571" s="261"/>
      <c r="R571" s="264">
        <f t="shared" si="708"/>
        <v>0</v>
      </c>
      <c r="S571" s="259" t="str" cm="1">
        <f t="array" ref="S571">IF($L571&gt;0, INDEX(Clean,1+AL571,$D$1), "")</f>
        <v/>
      </c>
      <c r="T571" s="260"/>
      <c r="U571" s="260"/>
      <c r="V571" s="261"/>
      <c r="W571" s="267"/>
      <c r="X571" s="267"/>
      <c r="Y571" s="257"/>
      <c r="Z571" s="264">
        <f t="shared" si="709"/>
        <v>0</v>
      </c>
      <c r="AA571" s="269"/>
      <c r="AB571" s="266"/>
      <c r="AC571" s="254"/>
      <c r="AD571" s="255" t="str">
        <f>IF(ISBLANK(AC571), "", VLOOKUP(AC571, Z!$A$2:$C$4127, 3, FALSE))</f>
        <v/>
      </c>
      <c r="AE571" s="270"/>
      <c r="AF571" s="265">
        <f t="shared" si="710"/>
        <v>0</v>
      </c>
      <c r="AG571" s="246"/>
      <c r="AH571" s="228">
        <f t="shared" ref="AH571:AH634" si="733">IF(ISBLANK(I571), 1, IFERROR(MATCH(I571, INDEX(Use,,1), 0), IFERROR(MATCH(I571, INDEX(Use,,2), 0), MATCH(I571, INDEX(Use,,3), 0))))</f>
        <v>1</v>
      </c>
      <c r="AI571" s="228">
        <f t="shared" ref="AI571:AI634" si="734">IF(ISBLANK(H571), 1, IFERROR(MATCH(H571, INDEX(Loc,,1), 0), IFERROR(MATCH(H571, INDEX(Loc,,2), 0), MATCH(H571, INDEX(Loc,,3), 0))))</f>
        <v>1</v>
      </c>
      <c r="AJ571" s="228">
        <f t="shared" ref="AJ571:AJ634" si="735">_xlfn.IFNA(IF(IFERROR(MATCH(J571, INDEX(Medium,,1), 0), IFERROR(MATCH(J571, INDEX(Medium,,2), 0), MATCH(J571, INDEX(Medium,,3), 0))) = 2, 1, 0), 0)</f>
        <v>0</v>
      </c>
      <c r="AK571" s="228">
        <v>0</v>
      </c>
      <c r="AL571" s="228">
        <v>0</v>
      </c>
      <c r="AM571" s="228">
        <f t="shared" si="711"/>
        <v>-100</v>
      </c>
      <c r="AN571" s="228" cm="1">
        <f t="array" ref="AN571">IF(ISBLANK(G571), 1, IFERROR(MATCH(G571, INDEX(Kat,,1), 0), IFERROR(MATCH(Kat, INDEX(Use,,2), 0), MATCH(Kat, INDEX(Use,,3), 0))))</f>
        <v>1</v>
      </c>
      <c r="AO571" s="246"/>
      <c r="AP571" s="228" cm="1">
        <f t="array" ref="AP571">IF(W571&gt;0, INDEX(Kat, AN571,4), 0)</f>
        <v>0</v>
      </c>
      <c r="AQ571" s="228">
        <f t="shared" ref="AQ571:AQ634" si="736">IF(ISBLANK(Y571), 0, IFERROR(MATCH(Y571, INDEX(Month,,1), 0), IFERROR(MATCH(Y571, INDEX(Month,,2), 0), MATCH(Y571, INDEX(Month,,3), 0))))</f>
        <v>0</v>
      </c>
      <c r="AR571" s="228" cm="1">
        <f t="array" ref="AR571">IF(X571&gt;0, INDEX(Kat, $AN571, 4+AQ571), 0)</f>
        <v>0</v>
      </c>
      <c r="AS571" s="228" cm="1">
        <f t="array" ref="AS571">IF(X571&gt;0, INDEX(Kat, $AN571, 9+AQ571), 0)</f>
        <v>0</v>
      </c>
      <c r="AT571" s="246"/>
      <c r="AU571" s="262"/>
      <c r="AV571" s="262"/>
      <c r="AW571" s="263"/>
      <c r="AX571" s="263"/>
      <c r="AY571" s="263"/>
      <c r="AZ571" s="263"/>
      <c r="BA571" s="263"/>
      <c r="BB571" s="263"/>
      <c r="BC571" s="263"/>
      <c r="BD571" s="263"/>
      <c r="BE571" s="263"/>
      <c r="BF571" s="263"/>
      <c r="BG571" s="263"/>
      <c r="BH571" s="246"/>
      <c r="BI571" s="228" cm="1">
        <f t="array" ref="BI571">INDEX(Use, $AH571, 4)</f>
        <v>7</v>
      </c>
      <c r="BJ571" s="228">
        <f t="shared" si="712"/>
        <v>32</v>
      </c>
      <c r="BK571" s="228">
        <f t="shared" si="700"/>
        <v>13</v>
      </c>
      <c r="BL571" s="228">
        <f t="shared" si="701"/>
        <v>0</v>
      </c>
      <c r="BM571" s="233" cm="1">
        <f t="array" ref="BM571">L571/IF($M571&gt;0, INDEX($AY$22:$BE$76, $M571+20, $AH571), 1)</f>
        <v>0</v>
      </c>
      <c r="BN571" s="229">
        <f t="shared" si="713"/>
        <v>0</v>
      </c>
      <c r="BO571" s="228">
        <v>35</v>
      </c>
      <c r="BP571" s="229">
        <f t="shared" si="714"/>
        <v>48</v>
      </c>
      <c r="BQ571" s="234">
        <f t="shared" si="715"/>
        <v>3.0748170731707316</v>
      </c>
      <c r="BR571" s="234" cm="1">
        <f t="array" ref="BR571">$BM571 * SUMPRODUCT(INDEX($AV$76:$AX$81,,$AI571),INDEX($AY$76:$BE$81,,$AH571), N($AU$76:$AU$81&gt;$AM571)) / BQ571 / 1000</f>
        <v>0</v>
      </c>
      <c r="BS571" s="231">
        <f t="shared" si="702"/>
        <v>30</v>
      </c>
      <c r="BT571" s="229">
        <f t="shared" si="716"/>
        <v>43</v>
      </c>
      <c r="BU571" s="234">
        <f t="shared" si="717"/>
        <v>3.5018750000000001</v>
      </c>
      <c r="BV571" s="234" cm="1">
        <f t="array" ref="BV571">$BM571 * IF($AH571&lt;=2,
SUMPRODUCT(INDEX($AV$71:$AX$75,,$AI571), INDEX($AY$71:$BE$75,,$AH571), 1 / ($BF$71:$BF$75*BU571 + (1-$BF$71:$BF$75)*BQ571), N($AU$71:$AU$75&gt;$AM571)),
SUMPRODUCT(INDEX($AV$66:$AX$75,,$AI571), INDEX($AY$66:$BE$75,,$AH571), 1 / ($BG$66:$BG$75*BU571 + (1-$BG$66:$BG$75)*BQ571), N($AU$66:$AU$75&gt;$AM571))
) / 1000</f>
        <v>0</v>
      </c>
      <c r="BW571" s="231">
        <f t="shared" si="703"/>
        <v>25</v>
      </c>
      <c r="BX571" s="229">
        <f t="shared" si="718"/>
        <v>38</v>
      </c>
      <c r="BY571" s="234">
        <f t="shared" si="719"/>
        <v>4.0666935483870965</v>
      </c>
      <c r="BZ571" s="234" cm="1">
        <f t="array" ref="BZ571">$BM571 * IF($AH571&lt;=2,
SUMPRODUCT(INDEX($AV$66:$AX$70,,$AI571), INDEX($AY$66:$BE$70,,$AH571), 1 / ($BF$66:$BF$70*BY571 + (1-$BF$66:$BF$70)*BU571), N($AU$66:$AU$70&gt;$AM571)),
SUMPRODUCT(INDEX($AV$56:$AX$65,,$AI571), INDEX($AY$56:$BE$65,,$AH571), 1 / ($BG$56:$BG$65*BY571 + (1-$BG$56:$BG$65)*BU571), N($AU$56:$AU$65&gt;$AM571))
) / 1000</f>
        <v>0</v>
      </c>
      <c r="CA571" s="231">
        <f t="shared" si="704"/>
        <v>20</v>
      </c>
      <c r="CB571" s="229">
        <f t="shared" si="720"/>
        <v>33</v>
      </c>
      <c r="CC571" s="234">
        <f t="shared" si="721"/>
        <v>4.8487499999999999</v>
      </c>
      <c r="CD571" s="234" cm="1">
        <f t="array" ref="CD571">$BM571 * IF($AH571&lt;=2,
SUMPRODUCT(INDEX($AV$61:$AX$65,,$AI571), INDEX($AY$61:$BE$65,,$AH571), 1 / ($BF$61:$BF$65*CC571 + (1-$BF$61:$BF$65)*BY571), N($AU$61:$AU$65&gt;$AM571)),
SUMPRODUCT(INDEX($AV$46:$AX$55,,$AI571), INDEX($AY$46:$BE$55,,$AH571), 1 / ($BG$46:$BG$55*CC571 + (1-$BG$46:$BG$55)*BY571), N($AU$46:$AU$55&gt;$AM571))
) / 1000</f>
        <v>0</v>
      </c>
      <c r="CE571" s="234" cm="1">
        <f t="array" ref="CE571">$BM571 * IF($AH571&lt;=2,
SUMPRODUCT(INDEX($AV$22:$AX$60,,$AI571), INDEX($AY$22:$BE$60,,$AH571), 1 / ($BF$22:$BF$60*CC571), N($AU$22:$AU$60&gt;$AM571)),
SUMPRODUCT(INDEX($AV$22:$AX$45,,$AI571), INDEX($AY$22:$BE$45,,$AH571), 1 / ($BG$22:$BG$45*CC571), N($AU$22:$AU$45&gt;$AM571))
) / 1000</f>
        <v>0</v>
      </c>
      <c r="CF571" s="229">
        <f t="shared" si="722"/>
        <v>0</v>
      </c>
      <c r="CG571" s="246"/>
      <c r="CH571" s="229">
        <f t="shared" si="723"/>
        <v>0</v>
      </c>
      <c r="CI571" s="228">
        <v>35</v>
      </c>
      <c r="CJ571" s="229">
        <f t="shared" si="724"/>
        <v>48</v>
      </c>
      <c r="CK571" s="234">
        <f t="shared" si="725"/>
        <v>3.0748170731707316</v>
      </c>
      <c r="CL571" s="234" cm="1">
        <f t="array" ref="CL571">$BM571 * SUMPRODUCT(INDEX($AV$76:$AX$81,,$AI571),INDEX($AY$76:$BE$81,,$AH571), N($AU$76:$AU$81&gt;$AM571)) / CK571 / 1000</f>
        <v>0</v>
      </c>
      <c r="CM571" s="231">
        <f t="shared" si="705"/>
        <v>30</v>
      </c>
      <c r="CN571" s="229">
        <f t="shared" si="726"/>
        <v>43</v>
      </c>
      <c r="CO571" s="234">
        <f t="shared" si="727"/>
        <v>3.5018750000000001</v>
      </c>
      <c r="CP571" s="234" cm="1">
        <f t="array" ref="CP571">$BM571 * IF($AH571&lt;=2,
SUMPRODUCT(INDEX($AV$71:$AX$75,,$AI571), INDEX($AY$71:$BE$75,,$AH571), 1 / ($BF$71:$BF$75*CO571 + (1-$BF$71:$BF$75)*CK571), N($AU$71:$AU$75&gt;$AM571)),
SUMPRODUCT(INDEX($AV$66:$AX$75,,$AI571), INDEX($AY$66:$BE$75,,$AH571), 1 / ($BG$66:$BG$75*CO571 + (1-$BG$66:$BG$75)*CK571), N($AU$66:$AU$75&gt;$AM571))
) / 1000</f>
        <v>0</v>
      </c>
      <c r="CQ571" s="231">
        <f t="shared" si="706"/>
        <v>25</v>
      </c>
      <c r="CR571" s="229">
        <f t="shared" si="728"/>
        <v>38</v>
      </c>
      <c r="CS571" s="234">
        <f t="shared" si="729"/>
        <v>4.0666935483870965</v>
      </c>
      <c r="CT571" s="234" cm="1">
        <f t="array" ref="CT571">$BM571 * IF($AH571&lt;=2,
SUMPRODUCT(INDEX($AV$66:$AX$70,,$AI571), INDEX($AY$66:$BE$70,,$AH571), 1 / ($BF$66:$BF$70*CS571 + (1-$BF$66:$BF$70)*CO571), N($AU$66:$AU$70&gt;$AM571)),
SUMPRODUCT(INDEX($AV$56:$AX$65,,$AI571), INDEX($AY$56:$BE$65,,$AH571), 1 / ($BG$56:$BG$65*CS571 + (1-$BG$56:$BG$65)*CO571), N($AU$56:$AU$65&gt;$AM571))
) / 1000</f>
        <v>0</v>
      </c>
      <c r="CU571" s="231">
        <f t="shared" si="707"/>
        <v>20</v>
      </c>
      <c r="CV571" s="229">
        <f t="shared" si="730"/>
        <v>33</v>
      </c>
      <c r="CW571" s="234">
        <f t="shared" si="731"/>
        <v>4.8487499999999999</v>
      </c>
      <c r="CX571" s="234" cm="1">
        <f t="array" ref="CX571">$BM571 * IF($AH571&lt;=2,
SUMPRODUCT(INDEX($AV$61:$AX$65,,$AI571), INDEX($AY$61:$BE$65,,$AH571), 1 / ($BF$61:$BF$65*CW571 + (1-$BF$61:$BF$65)*CS571), N($AU$61:$AU$65&gt;$AM571)),
SUMPRODUCT(INDEX($AV$46:$AX$55,,$AI571), INDEX($AY$46:$BE$55,,$AH571), 1 / ($BG$46:$BG$55*CW571 + (1-$BG$46:$BG$55)*CS571), N($AU$46:$AU$55&gt;$AM571))
) / 1000</f>
        <v>0</v>
      </c>
      <c r="CY571" s="234" cm="1">
        <f t="array" ref="CY571">$BM571 * IF($AH571&lt;=2,
SUMPRODUCT(INDEX($AV$22:$AX$60,,$AI571), INDEX($AY$22:$BE$60,,$AH571), 1 / ($BF$22:$BF$60*CW571), N($AU$22:$AU$60&gt;$AM571)),
SUMPRODUCT(INDEX($AV$22:$AX$45,,$AI571), INDEX($AY$22:$BE$45,,$AH571), 1 / ($BG$22:$BG$45*CW571), N($AU$22:$AU$45&gt;$AM571))
) / 1000</f>
        <v>0</v>
      </c>
      <c r="CZ571" s="229">
        <f t="shared" si="732"/>
        <v>0</v>
      </c>
      <c r="DA571" s="246"/>
    </row>
    <row r="572" spans="1:105" s="75" customFormat="1" ht="14.25" customHeight="1" x14ac:dyDescent="0.2">
      <c r="A572" s="230" t="b">
        <f t="shared" si="699"/>
        <v>0</v>
      </c>
      <c r="B572" s="253">
        <v>551</v>
      </c>
      <c r="C572" s="266"/>
      <c r="D572" s="266"/>
      <c r="E572" s="254"/>
      <c r="F572" s="255" t="str">
        <f>IF(ISBLANK(E572), "", VLOOKUP(E572, Z!$A$2:$C$4127, 3, FALSE))</f>
        <v/>
      </c>
      <c r="G572" s="256"/>
      <c r="H572" s="256"/>
      <c r="I572" s="256"/>
      <c r="J572" s="257"/>
      <c r="K572" s="258"/>
      <c r="L572" s="267"/>
      <c r="M572" s="268"/>
      <c r="N572" s="259" t="str" cm="1">
        <f t="array" ref="N572">IF($L572&gt;0, INDEX(Clean,1+AK572,$D$1), "")</f>
        <v/>
      </c>
      <c r="O572" s="260"/>
      <c r="P572" s="260"/>
      <c r="Q572" s="261"/>
      <c r="R572" s="264">
        <f t="shared" si="708"/>
        <v>0</v>
      </c>
      <c r="S572" s="259" t="str" cm="1">
        <f t="array" ref="S572">IF($L572&gt;0, INDEX(Clean,1+AL572,$D$1), "")</f>
        <v/>
      </c>
      <c r="T572" s="260"/>
      <c r="U572" s="260"/>
      <c r="V572" s="261"/>
      <c r="W572" s="267"/>
      <c r="X572" s="267"/>
      <c r="Y572" s="257"/>
      <c r="Z572" s="264">
        <f t="shared" si="709"/>
        <v>0</v>
      </c>
      <c r="AA572" s="269"/>
      <c r="AB572" s="266"/>
      <c r="AC572" s="254"/>
      <c r="AD572" s="255" t="str">
        <f>IF(ISBLANK(AC572), "", VLOOKUP(AC572, Z!$A$2:$C$4127, 3, FALSE))</f>
        <v/>
      </c>
      <c r="AE572" s="270"/>
      <c r="AF572" s="265">
        <f t="shared" si="710"/>
        <v>0</v>
      </c>
      <c r="AG572" s="246"/>
      <c r="AH572" s="228">
        <f t="shared" si="733"/>
        <v>1</v>
      </c>
      <c r="AI572" s="228">
        <f t="shared" si="734"/>
        <v>1</v>
      </c>
      <c r="AJ572" s="228">
        <f t="shared" si="735"/>
        <v>0</v>
      </c>
      <c r="AK572" s="228">
        <v>0</v>
      </c>
      <c r="AL572" s="228">
        <v>0</v>
      </c>
      <c r="AM572" s="228">
        <f t="shared" si="711"/>
        <v>-100</v>
      </c>
      <c r="AN572" s="228" cm="1">
        <f t="array" ref="AN572">IF(ISBLANK(G572), 1, IFERROR(MATCH(G572, INDEX(Kat,,1), 0), IFERROR(MATCH(Kat, INDEX(Use,,2), 0), MATCH(Kat, INDEX(Use,,3), 0))))</f>
        <v>1</v>
      </c>
      <c r="AO572" s="246"/>
      <c r="AP572" s="228" cm="1">
        <f t="array" ref="AP572">IF(W572&gt;0, INDEX(Kat, AN572,4), 0)</f>
        <v>0</v>
      </c>
      <c r="AQ572" s="228">
        <f t="shared" si="736"/>
        <v>0</v>
      </c>
      <c r="AR572" s="228" cm="1">
        <f t="array" ref="AR572">IF(X572&gt;0, INDEX(Kat, $AN572, 4+AQ572), 0)</f>
        <v>0</v>
      </c>
      <c r="AS572" s="228" cm="1">
        <f t="array" ref="AS572">IF(X572&gt;0, INDEX(Kat, $AN572, 9+AQ572), 0)</f>
        <v>0</v>
      </c>
      <c r="AT572" s="246"/>
      <c r="AU572" s="262"/>
      <c r="AV572" s="262"/>
      <c r="AW572" s="263"/>
      <c r="AX572" s="263"/>
      <c r="AY572" s="263"/>
      <c r="AZ572" s="263"/>
      <c r="BA572" s="263"/>
      <c r="BB572" s="263"/>
      <c r="BC572" s="263"/>
      <c r="BD572" s="263"/>
      <c r="BE572" s="263"/>
      <c r="BF572" s="263"/>
      <c r="BG572" s="263"/>
      <c r="BH572" s="246"/>
      <c r="BI572" s="228" cm="1">
        <f t="array" ref="BI572">INDEX(Use, $AH572, 4)</f>
        <v>7</v>
      </c>
      <c r="BJ572" s="228">
        <f t="shared" si="712"/>
        <v>32</v>
      </c>
      <c r="BK572" s="228">
        <f t="shared" si="700"/>
        <v>13</v>
      </c>
      <c r="BL572" s="228">
        <f t="shared" si="701"/>
        <v>0</v>
      </c>
      <c r="BM572" s="233" cm="1">
        <f t="array" ref="BM572">L572/IF($M572&gt;0, INDEX($AY$22:$BE$76, $M572+20, $AH572), 1)</f>
        <v>0</v>
      </c>
      <c r="BN572" s="229">
        <f t="shared" si="713"/>
        <v>0</v>
      </c>
      <c r="BO572" s="228">
        <v>35</v>
      </c>
      <c r="BP572" s="229">
        <f t="shared" si="714"/>
        <v>48</v>
      </c>
      <c r="BQ572" s="234">
        <f t="shared" si="715"/>
        <v>3.0748170731707316</v>
      </c>
      <c r="BR572" s="234" cm="1">
        <f t="array" ref="BR572">$BM572 * SUMPRODUCT(INDEX($AV$76:$AX$81,,$AI572),INDEX($AY$76:$BE$81,,$AH572), N($AU$76:$AU$81&gt;$AM572)) / BQ572 / 1000</f>
        <v>0</v>
      </c>
      <c r="BS572" s="231">
        <f t="shared" si="702"/>
        <v>30</v>
      </c>
      <c r="BT572" s="229">
        <f t="shared" si="716"/>
        <v>43</v>
      </c>
      <c r="BU572" s="234">
        <f t="shared" si="717"/>
        <v>3.5018750000000001</v>
      </c>
      <c r="BV572" s="234" cm="1">
        <f t="array" ref="BV572">$BM572 * IF($AH572&lt;=2,
SUMPRODUCT(INDEX($AV$71:$AX$75,,$AI572), INDEX($AY$71:$BE$75,,$AH572), 1 / ($BF$71:$BF$75*BU572 + (1-$BF$71:$BF$75)*BQ572), N($AU$71:$AU$75&gt;$AM572)),
SUMPRODUCT(INDEX($AV$66:$AX$75,,$AI572), INDEX($AY$66:$BE$75,,$AH572), 1 / ($BG$66:$BG$75*BU572 + (1-$BG$66:$BG$75)*BQ572), N($AU$66:$AU$75&gt;$AM572))
) / 1000</f>
        <v>0</v>
      </c>
      <c r="BW572" s="231">
        <f t="shared" si="703"/>
        <v>25</v>
      </c>
      <c r="BX572" s="229">
        <f t="shared" si="718"/>
        <v>38</v>
      </c>
      <c r="BY572" s="234">
        <f t="shared" si="719"/>
        <v>4.0666935483870965</v>
      </c>
      <c r="BZ572" s="234" cm="1">
        <f t="array" ref="BZ572">$BM572 * IF($AH572&lt;=2,
SUMPRODUCT(INDEX($AV$66:$AX$70,,$AI572), INDEX($AY$66:$BE$70,,$AH572), 1 / ($BF$66:$BF$70*BY572 + (1-$BF$66:$BF$70)*BU572), N($AU$66:$AU$70&gt;$AM572)),
SUMPRODUCT(INDEX($AV$56:$AX$65,,$AI572), INDEX($AY$56:$BE$65,,$AH572), 1 / ($BG$56:$BG$65*BY572 + (1-$BG$56:$BG$65)*BU572), N($AU$56:$AU$65&gt;$AM572))
) / 1000</f>
        <v>0</v>
      </c>
      <c r="CA572" s="231">
        <f t="shared" si="704"/>
        <v>20</v>
      </c>
      <c r="CB572" s="229">
        <f t="shared" si="720"/>
        <v>33</v>
      </c>
      <c r="CC572" s="234">
        <f t="shared" si="721"/>
        <v>4.8487499999999999</v>
      </c>
      <c r="CD572" s="234" cm="1">
        <f t="array" ref="CD572">$BM572 * IF($AH572&lt;=2,
SUMPRODUCT(INDEX($AV$61:$AX$65,,$AI572), INDEX($AY$61:$BE$65,,$AH572), 1 / ($BF$61:$BF$65*CC572 + (1-$BF$61:$BF$65)*BY572), N($AU$61:$AU$65&gt;$AM572)),
SUMPRODUCT(INDEX($AV$46:$AX$55,,$AI572), INDEX($AY$46:$BE$55,,$AH572), 1 / ($BG$46:$BG$55*CC572 + (1-$BG$46:$BG$55)*BY572), N($AU$46:$AU$55&gt;$AM572))
) / 1000</f>
        <v>0</v>
      </c>
      <c r="CE572" s="234" cm="1">
        <f t="array" ref="CE572">$BM572 * IF($AH572&lt;=2,
SUMPRODUCT(INDEX($AV$22:$AX$60,,$AI572), INDEX($AY$22:$BE$60,,$AH572), 1 / ($BF$22:$BF$60*CC572), N($AU$22:$AU$60&gt;$AM572)),
SUMPRODUCT(INDEX($AV$22:$AX$45,,$AI572), INDEX($AY$22:$BE$45,,$AH572), 1 / ($BG$22:$BG$45*CC572), N($AU$22:$AU$45&gt;$AM572))
) / 1000</f>
        <v>0</v>
      </c>
      <c r="CF572" s="229">
        <f t="shared" si="722"/>
        <v>0</v>
      </c>
      <c r="CG572" s="246"/>
      <c r="CH572" s="229">
        <f t="shared" si="723"/>
        <v>0</v>
      </c>
      <c r="CI572" s="228">
        <v>35</v>
      </c>
      <c r="CJ572" s="229">
        <f t="shared" si="724"/>
        <v>48</v>
      </c>
      <c r="CK572" s="234">
        <f t="shared" si="725"/>
        <v>3.0748170731707316</v>
      </c>
      <c r="CL572" s="234" cm="1">
        <f t="array" ref="CL572">$BM572 * SUMPRODUCT(INDEX($AV$76:$AX$81,,$AI572),INDEX($AY$76:$BE$81,,$AH572), N($AU$76:$AU$81&gt;$AM572)) / CK572 / 1000</f>
        <v>0</v>
      </c>
      <c r="CM572" s="231">
        <f t="shared" si="705"/>
        <v>30</v>
      </c>
      <c r="CN572" s="229">
        <f t="shared" si="726"/>
        <v>43</v>
      </c>
      <c r="CO572" s="234">
        <f t="shared" si="727"/>
        <v>3.5018750000000001</v>
      </c>
      <c r="CP572" s="234" cm="1">
        <f t="array" ref="CP572">$BM572 * IF($AH572&lt;=2,
SUMPRODUCT(INDEX($AV$71:$AX$75,,$AI572), INDEX($AY$71:$BE$75,,$AH572), 1 / ($BF$71:$BF$75*CO572 + (1-$BF$71:$BF$75)*CK572), N($AU$71:$AU$75&gt;$AM572)),
SUMPRODUCT(INDEX($AV$66:$AX$75,,$AI572), INDEX($AY$66:$BE$75,,$AH572), 1 / ($BG$66:$BG$75*CO572 + (1-$BG$66:$BG$75)*CK572), N($AU$66:$AU$75&gt;$AM572))
) / 1000</f>
        <v>0</v>
      </c>
      <c r="CQ572" s="231">
        <f t="shared" si="706"/>
        <v>25</v>
      </c>
      <c r="CR572" s="229">
        <f t="shared" si="728"/>
        <v>38</v>
      </c>
      <c r="CS572" s="234">
        <f t="shared" si="729"/>
        <v>4.0666935483870965</v>
      </c>
      <c r="CT572" s="234" cm="1">
        <f t="array" ref="CT572">$BM572 * IF($AH572&lt;=2,
SUMPRODUCT(INDEX($AV$66:$AX$70,,$AI572), INDEX($AY$66:$BE$70,,$AH572), 1 / ($BF$66:$BF$70*CS572 + (1-$BF$66:$BF$70)*CO572), N($AU$66:$AU$70&gt;$AM572)),
SUMPRODUCT(INDEX($AV$56:$AX$65,,$AI572), INDEX($AY$56:$BE$65,,$AH572), 1 / ($BG$56:$BG$65*CS572 + (1-$BG$56:$BG$65)*CO572), N($AU$56:$AU$65&gt;$AM572))
) / 1000</f>
        <v>0</v>
      </c>
      <c r="CU572" s="231">
        <f t="shared" si="707"/>
        <v>20</v>
      </c>
      <c r="CV572" s="229">
        <f t="shared" si="730"/>
        <v>33</v>
      </c>
      <c r="CW572" s="234">
        <f t="shared" si="731"/>
        <v>4.8487499999999999</v>
      </c>
      <c r="CX572" s="234" cm="1">
        <f t="array" ref="CX572">$BM572 * IF($AH572&lt;=2,
SUMPRODUCT(INDEX($AV$61:$AX$65,,$AI572), INDEX($AY$61:$BE$65,,$AH572), 1 / ($BF$61:$BF$65*CW572 + (1-$BF$61:$BF$65)*CS572), N($AU$61:$AU$65&gt;$AM572)),
SUMPRODUCT(INDEX($AV$46:$AX$55,,$AI572), INDEX($AY$46:$BE$55,,$AH572), 1 / ($BG$46:$BG$55*CW572 + (1-$BG$46:$BG$55)*CS572), N($AU$46:$AU$55&gt;$AM572))
) / 1000</f>
        <v>0</v>
      </c>
      <c r="CY572" s="234" cm="1">
        <f t="array" ref="CY572">$BM572 * IF($AH572&lt;=2,
SUMPRODUCT(INDEX($AV$22:$AX$60,,$AI572), INDEX($AY$22:$BE$60,,$AH572), 1 / ($BF$22:$BF$60*CW572), N($AU$22:$AU$60&gt;$AM572)),
SUMPRODUCT(INDEX($AV$22:$AX$45,,$AI572), INDEX($AY$22:$BE$45,,$AH572), 1 / ($BG$22:$BG$45*CW572), N($AU$22:$AU$45&gt;$AM572))
) / 1000</f>
        <v>0</v>
      </c>
      <c r="CZ572" s="229">
        <f t="shared" si="732"/>
        <v>0</v>
      </c>
      <c r="DA572" s="246"/>
    </row>
    <row r="573" spans="1:105" s="75" customFormat="1" ht="14.25" customHeight="1" x14ac:dyDescent="0.2">
      <c r="A573" s="230" t="b">
        <f t="shared" si="699"/>
        <v>0</v>
      </c>
      <c r="B573" s="253">
        <v>552</v>
      </c>
      <c r="C573" s="266"/>
      <c r="D573" s="266"/>
      <c r="E573" s="254"/>
      <c r="F573" s="255" t="str">
        <f>IF(ISBLANK(E573), "", VLOOKUP(E573, Z!$A$2:$C$4127, 3, FALSE))</f>
        <v/>
      </c>
      <c r="G573" s="256"/>
      <c r="H573" s="256"/>
      <c r="I573" s="256"/>
      <c r="J573" s="257"/>
      <c r="K573" s="258"/>
      <c r="L573" s="267"/>
      <c r="M573" s="268"/>
      <c r="N573" s="259" t="str" cm="1">
        <f t="array" ref="N573">IF($L573&gt;0, INDEX(Clean,1+AK573,$D$1), "")</f>
        <v/>
      </c>
      <c r="O573" s="260"/>
      <c r="P573" s="260"/>
      <c r="Q573" s="261"/>
      <c r="R573" s="264">
        <f t="shared" si="708"/>
        <v>0</v>
      </c>
      <c r="S573" s="259" t="str" cm="1">
        <f t="array" ref="S573">IF($L573&gt;0, INDEX(Clean,1+AL573,$D$1), "")</f>
        <v/>
      </c>
      <c r="T573" s="260"/>
      <c r="U573" s="260"/>
      <c r="V573" s="261"/>
      <c r="W573" s="267"/>
      <c r="X573" s="267"/>
      <c r="Y573" s="257"/>
      <c r="Z573" s="264">
        <f t="shared" si="709"/>
        <v>0</v>
      </c>
      <c r="AA573" s="269"/>
      <c r="AB573" s="266"/>
      <c r="AC573" s="254"/>
      <c r="AD573" s="255" t="str">
        <f>IF(ISBLANK(AC573), "", VLOOKUP(AC573, Z!$A$2:$C$4127, 3, FALSE))</f>
        <v/>
      </c>
      <c r="AE573" s="270"/>
      <c r="AF573" s="265">
        <f t="shared" si="710"/>
        <v>0</v>
      </c>
      <c r="AG573" s="246"/>
      <c r="AH573" s="228">
        <f t="shared" si="733"/>
        <v>1</v>
      </c>
      <c r="AI573" s="228">
        <f t="shared" si="734"/>
        <v>1</v>
      </c>
      <c r="AJ573" s="228">
        <f t="shared" si="735"/>
        <v>0</v>
      </c>
      <c r="AK573" s="228">
        <v>0</v>
      </c>
      <c r="AL573" s="228">
        <v>0</v>
      </c>
      <c r="AM573" s="228">
        <f t="shared" si="711"/>
        <v>-100</v>
      </c>
      <c r="AN573" s="228" cm="1">
        <f t="array" ref="AN573">IF(ISBLANK(G573), 1, IFERROR(MATCH(G573, INDEX(Kat,,1), 0), IFERROR(MATCH(Kat, INDEX(Use,,2), 0), MATCH(Kat, INDEX(Use,,3), 0))))</f>
        <v>1</v>
      </c>
      <c r="AO573" s="246"/>
      <c r="AP573" s="228" cm="1">
        <f t="array" ref="AP573">IF(W573&gt;0, INDEX(Kat, AN573,4), 0)</f>
        <v>0</v>
      </c>
      <c r="AQ573" s="228">
        <f t="shared" si="736"/>
        <v>0</v>
      </c>
      <c r="AR573" s="228" cm="1">
        <f t="array" ref="AR573">IF(X573&gt;0, INDEX(Kat, $AN573, 4+AQ573), 0)</f>
        <v>0</v>
      </c>
      <c r="AS573" s="228" cm="1">
        <f t="array" ref="AS573">IF(X573&gt;0, INDEX(Kat, $AN573, 9+AQ573), 0)</f>
        <v>0</v>
      </c>
      <c r="AT573" s="246"/>
      <c r="AU573" s="262"/>
      <c r="AV573" s="262"/>
      <c r="AW573" s="263"/>
      <c r="AX573" s="263"/>
      <c r="AY573" s="263"/>
      <c r="AZ573" s="263"/>
      <c r="BA573" s="263"/>
      <c r="BB573" s="263"/>
      <c r="BC573" s="263"/>
      <c r="BD573" s="263"/>
      <c r="BE573" s="263"/>
      <c r="BF573" s="263"/>
      <c r="BG573" s="263"/>
      <c r="BH573" s="246"/>
      <c r="BI573" s="228" cm="1">
        <f t="array" ref="BI573">INDEX(Use, $AH573, 4)</f>
        <v>7</v>
      </c>
      <c r="BJ573" s="228">
        <f t="shared" si="712"/>
        <v>32</v>
      </c>
      <c r="BK573" s="228">
        <f t="shared" si="700"/>
        <v>13</v>
      </c>
      <c r="BL573" s="228">
        <f t="shared" si="701"/>
        <v>0</v>
      </c>
      <c r="BM573" s="233" cm="1">
        <f t="array" ref="BM573">L573/IF($M573&gt;0, INDEX($AY$22:$BE$76, $M573+20, $AH573), 1)</f>
        <v>0</v>
      </c>
      <c r="BN573" s="229">
        <f t="shared" si="713"/>
        <v>0</v>
      </c>
      <c r="BO573" s="228">
        <v>35</v>
      </c>
      <c r="BP573" s="229">
        <f t="shared" si="714"/>
        <v>48</v>
      </c>
      <c r="BQ573" s="234">
        <f t="shared" si="715"/>
        <v>3.0748170731707316</v>
      </c>
      <c r="BR573" s="234" cm="1">
        <f t="array" ref="BR573">$BM573 * SUMPRODUCT(INDEX($AV$76:$AX$81,,$AI573),INDEX($AY$76:$BE$81,,$AH573), N($AU$76:$AU$81&gt;$AM573)) / BQ573 / 1000</f>
        <v>0</v>
      </c>
      <c r="BS573" s="231">
        <f t="shared" si="702"/>
        <v>30</v>
      </c>
      <c r="BT573" s="229">
        <f t="shared" si="716"/>
        <v>43</v>
      </c>
      <c r="BU573" s="234">
        <f t="shared" si="717"/>
        <v>3.5018750000000001</v>
      </c>
      <c r="BV573" s="234" cm="1">
        <f t="array" ref="BV573">$BM573 * IF($AH573&lt;=2,
SUMPRODUCT(INDEX($AV$71:$AX$75,,$AI573), INDEX($AY$71:$BE$75,,$AH573), 1 / ($BF$71:$BF$75*BU573 + (1-$BF$71:$BF$75)*BQ573), N($AU$71:$AU$75&gt;$AM573)),
SUMPRODUCT(INDEX($AV$66:$AX$75,,$AI573), INDEX($AY$66:$BE$75,,$AH573), 1 / ($BG$66:$BG$75*BU573 + (1-$BG$66:$BG$75)*BQ573), N($AU$66:$AU$75&gt;$AM573))
) / 1000</f>
        <v>0</v>
      </c>
      <c r="BW573" s="231">
        <f t="shared" si="703"/>
        <v>25</v>
      </c>
      <c r="BX573" s="229">
        <f t="shared" si="718"/>
        <v>38</v>
      </c>
      <c r="BY573" s="234">
        <f t="shared" si="719"/>
        <v>4.0666935483870965</v>
      </c>
      <c r="BZ573" s="234" cm="1">
        <f t="array" ref="BZ573">$BM573 * IF($AH573&lt;=2,
SUMPRODUCT(INDEX($AV$66:$AX$70,,$AI573), INDEX($AY$66:$BE$70,,$AH573), 1 / ($BF$66:$BF$70*BY573 + (1-$BF$66:$BF$70)*BU573), N($AU$66:$AU$70&gt;$AM573)),
SUMPRODUCT(INDEX($AV$56:$AX$65,,$AI573), INDEX($AY$56:$BE$65,,$AH573), 1 / ($BG$56:$BG$65*BY573 + (1-$BG$56:$BG$65)*BU573), N($AU$56:$AU$65&gt;$AM573))
) / 1000</f>
        <v>0</v>
      </c>
      <c r="CA573" s="231">
        <f t="shared" si="704"/>
        <v>20</v>
      </c>
      <c r="CB573" s="229">
        <f t="shared" si="720"/>
        <v>33</v>
      </c>
      <c r="CC573" s="234">
        <f t="shared" si="721"/>
        <v>4.8487499999999999</v>
      </c>
      <c r="CD573" s="234" cm="1">
        <f t="array" ref="CD573">$BM573 * IF($AH573&lt;=2,
SUMPRODUCT(INDEX($AV$61:$AX$65,,$AI573), INDEX($AY$61:$BE$65,,$AH573), 1 / ($BF$61:$BF$65*CC573 + (1-$BF$61:$BF$65)*BY573), N($AU$61:$AU$65&gt;$AM573)),
SUMPRODUCT(INDEX($AV$46:$AX$55,,$AI573), INDEX($AY$46:$BE$55,,$AH573), 1 / ($BG$46:$BG$55*CC573 + (1-$BG$46:$BG$55)*BY573), N($AU$46:$AU$55&gt;$AM573))
) / 1000</f>
        <v>0</v>
      </c>
      <c r="CE573" s="234" cm="1">
        <f t="array" ref="CE573">$BM573 * IF($AH573&lt;=2,
SUMPRODUCT(INDEX($AV$22:$AX$60,,$AI573), INDEX($AY$22:$BE$60,,$AH573), 1 / ($BF$22:$BF$60*CC573), N($AU$22:$AU$60&gt;$AM573)),
SUMPRODUCT(INDEX($AV$22:$AX$45,,$AI573), INDEX($AY$22:$BE$45,,$AH573), 1 / ($BG$22:$BG$45*CC573), N($AU$22:$AU$45&gt;$AM573))
) / 1000</f>
        <v>0</v>
      </c>
      <c r="CF573" s="229">
        <f t="shared" si="722"/>
        <v>0</v>
      </c>
      <c r="CG573" s="246"/>
      <c r="CH573" s="229">
        <f t="shared" si="723"/>
        <v>0</v>
      </c>
      <c r="CI573" s="228">
        <v>35</v>
      </c>
      <c r="CJ573" s="229">
        <f t="shared" si="724"/>
        <v>48</v>
      </c>
      <c r="CK573" s="234">
        <f t="shared" si="725"/>
        <v>3.0748170731707316</v>
      </c>
      <c r="CL573" s="234" cm="1">
        <f t="array" ref="CL573">$BM573 * SUMPRODUCT(INDEX($AV$76:$AX$81,,$AI573),INDEX($AY$76:$BE$81,,$AH573), N($AU$76:$AU$81&gt;$AM573)) / CK573 / 1000</f>
        <v>0</v>
      </c>
      <c r="CM573" s="231">
        <f t="shared" si="705"/>
        <v>30</v>
      </c>
      <c r="CN573" s="229">
        <f t="shared" si="726"/>
        <v>43</v>
      </c>
      <c r="CO573" s="234">
        <f t="shared" si="727"/>
        <v>3.5018750000000001</v>
      </c>
      <c r="CP573" s="234" cm="1">
        <f t="array" ref="CP573">$BM573 * IF($AH573&lt;=2,
SUMPRODUCT(INDEX($AV$71:$AX$75,,$AI573), INDEX($AY$71:$BE$75,,$AH573), 1 / ($BF$71:$BF$75*CO573 + (1-$BF$71:$BF$75)*CK573), N($AU$71:$AU$75&gt;$AM573)),
SUMPRODUCT(INDEX($AV$66:$AX$75,,$AI573), INDEX($AY$66:$BE$75,,$AH573), 1 / ($BG$66:$BG$75*CO573 + (1-$BG$66:$BG$75)*CK573), N($AU$66:$AU$75&gt;$AM573))
) / 1000</f>
        <v>0</v>
      </c>
      <c r="CQ573" s="231">
        <f t="shared" si="706"/>
        <v>25</v>
      </c>
      <c r="CR573" s="229">
        <f t="shared" si="728"/>
        <v>38</v>
      </c>
      <c r="CS573" s="234">
        <f t="shared" si="729"/>
        <v>4.0666935483870965</v>
      </c>
      <c r="CT573" s="234" cm="1">
        <f t="array" ref="CT573">$BM573 * IF($AH573&lt;=2,
SUMPRODUCT(INDEX($AV$66:$AX$70,,$AI573), INDEX($AY$66:$BE$70,,$AH573), 1 / ($BF$66:$BF$70*CS573 + (1-$BF$66:$BF$70)*CO573), N($AU$66:$AU$70&gt;$AM573)),
SUMPRODUCT(INDEX($AV$56:$AX$65,,$AI573), INDEX($AY$56:$BE$65,,$AH573), 1 / ($BG$56:$BG$65*CS573 + (1-$BG$56:$BG$65)*CO573), N($AU$56:$AU$65&gt;$AM573))
) / 1000</f>
        <v>0</v>
      </c>
      <c r="CU573" s="231">
        <f t="shared" si="707"/>
        <v>20</v>
      </c>
      <c r="CV573" s="229">
        <f t="shared" si="730"/>
        <v>33</v>
      </c>
      <c r="CW573" s="234">
        <f t="shared" si="731"/>
        <v>4.8487499999999999</v>
      </c>
      <c r="CX573" s="234" cm="1">
        <f t="array" ref="CX573">$BM573 * IF($AH573&lt;=2,
SUMPRODUCT(INDEX($AV$61:$AX$65,,$AI573), INDEX($AY$61:$BE$65,,$AH573), 1 / ($BF$61:$BF$65*CW573 + (1-$BF$61:$BF$65)*CS573), N($AU$61:$AU$65&gt;$AM573)),
SUMPRODUCT(INDEX($AV$46:$AX$55,,$AI573), INDEX($AY$46:$BE$55,,$AH573), 1 / ($BG$46:$BG$55*CW573 + (1-$BG$46:$BG$55)*CS573), N($AU$46:$AU$55&gt;$AM573))
) / 1000</f>
        <v>0</v>
      </c>
      <c r="CY573" s="234" cm="1">
        <f t="array" ref="CY573">$BM573 * IF($AH573&lt;=2,
SUMPRODUCT(INDEX($AV$22:$AX$60,,$AI573), INDEX($AY$22:$BE$60,,$AH573), 1 / ($BF$22:$BF$60*CW573), N($AU$22:$AU$60&gt;$AM573)),
SUMPRODUCT(INDEX($AV$22:$AX$45,,$AI573), INDEX($AY$22:$BE$45,,$AH573), 1 / ($BG$22:$BG$45*CW573), N($AU$22:$AU$45&gt;$AM573))
) / 1000</f>
        <v>0</v>
      </c>
      <c r="CZ573" s="229">
        <f t="shared" si="732"/>
        <v>0</v>
      </c>
      <c r="DA573" s="246"/>
    </row>
    <row r="574" spans="1:105" s="75" customFormat="1" ht="14.25" customHeight="1" x14ac:dyDescent="0.2">
      <c r="A574" s="230" t="b">
        <f t="shared" si="699"/>
        <v>0</v>
      </c>
      <c r="B574" s="253">
        <v>553</v>
      </c>
      <c r="C574" s="266"/>
      <c r="D574" s="266"/>
      <c r="E574" s="254"/>
      <c r="F574" s="255" t="str">
        <f>IF(ISBLANK(E574), "", VLOOKUP(E574, Z!$A$2:$C$4127, 3, FALSE))</f>
        <v/>
      </c>
      <c r="G574" s="256"/>
      <c r="H574" s="256"/>
      <c r="I574" s="256"/>
      <c r="J574" s="257"/>
      <c r="K574" s="258"/>
      <c r="L574" s="267"/>
      <c r="M574" s="268"/>
      <c r="N574" s="259" t="str" cm="1">
        <f t="array" ref="N574">IF($L574&gt;0, INDEX(Clean,1+AK574,$D$1), "")</f>
        <v/>
      </c>
      <c r="O574" s="260"/>
      <c r="P574" s="260"/>
      <c r="Q574" s="261"/>
      <c r="R574" s="264">
        <f t="shared" si="708"/>
        <v>0</v>
      </c>
      <c r="S574" s="259" t="str" cm="1">
        <f t="array" ref="S574">IF($L574&gt;0, INDEX(Clean,1+AL574,$D$1), "")</f>
        <v/>
      </c>
      <c r="T574" s="260"/>
      <c r="U574" s="260"/>
      <c r="V574" s="261"/>
      <c r="W574" s="267"/>
      <c r="X574" s="267"/>
      <c r="Y574" s="257"/>
      <c r="Z574" s="264">
        <f t="shared" si="709"/>
        <v>0</v>
      </c>
      <c r="AA574" s="269"/>
      <c r="AB574" s="266"/>
      <c r="AC574" s="254"/>
      <c r="AD574" s="255" t="str">
        <f>IF(ISBLANK(AC574), "", VLOOKUP(AC574, Z!$A$2:$C$4127, 3, FALSE))</f>
        <v/>
      </c>
      <c r="AE574" s="270"/>
      <c r="AF574" s="265">
        <f t="shared" si="710"/>
        <v>0</v>
      </c>
      <c r="AG574" s="246"/>
      <c r="AH574" s="228">
        <f t="shared" si="733"/>
        <v>1</v>
      </c>
      <c r="AI574" s="228">
        <f t="shared" si="734"/>
        <v>1</v>
      </c>
      <c r="AJ574" s="228">
        <f t="shared" si="735"/>
        <v>0</v>
      </c>
      <c r="AK574" s="228">
        <v>0</v>
      </c>
      <c r="AL574" s="228">
        <v>0</v>
      </c>
      <c r="AM574" s="228">
        <f t="shared" si="711"/>
        <v>-100</v>
      </c>
      <c r="AN574" s="228" cm="1">
        <f t="array" ref="AN574">IF(ISBLANK(G574), 1, IFERROR(MATCH(G574, INDEX(Kat,,1), 0), IFERROR(MATCH(Kat, INDEX(Use,,2), 0), MATCH(Kat, INDEX(Use,,3), 0))))</f>
        <v>1</v>
      </c>
      <c r="AO574" s="246"/>
      <c r="AP574" s="228" cm="1">
        <f t="array" ref="AP574">IF(W574&gt;0, INDEX(Kat, AN574,4), 0)</f>
        <v>0</v>
      </c>
      <c r="AQ574" s="228">
        <f t="shared" si="736"/>
        <v>0</v>
      </c>
      <c r="AR574" s="228" cm="1">
        <f t="array" ref="AR574">IF(X574&gt;0, INDEX(Kat, $AN574, 4+AQ574), 0)</f>
        <v>0</v>
      </c>
      <c r="AS574" s="228" cm="1">
        <f t="array" ref="AS574">IF(X574&gt;0, INDEX(Kat, $AN574, 9+AQ574), 0)</f>
        <v>0</v>
      </c>
      <c r="AT574" s="246"/>
      <c r="AU574" s="262"/>
      <c r="AV574" s="262"/>
      <c r="AW574" s="263"/>
      <c r="AX574" s="263"/>
      <c r="AY574" s="263"/>
      <c r="AZ574" s="263"/>
      <c r="BA574" s="263"/>
      <c r="BB574" s="263"/>
      <c r="BC574" s="263"/>
      <c r="BD574" s="263"/>
      <c r="BE574" s="263"/>
      <c r="BF574" s="263"/>
      <c r="BG574" s="263"/>
      <c r="BH574" s="246"/>
      <c r="BI574" s="228" cm="1">
        <f t="array" ref="BI574">INDEX(Use, $AH574, 4)</f>
        <v>7</v>
      </c>
      <c r="BJ574" s="228">
        <f t="shared" si="712"/>
        <v>32</v>
      </c>
      <c r="BK574" s="228">
        <f t="shared" si="700"/>
        <v>13</v>
      </c>
      <c r="BL574" s="228">
        <f t="shared" si="701"/>
        <v>0</v>
      </c>
      <c r="BM574" s="233" cm="1">
        <f t="array" ref="BM574">L574/IF($M574&gt;0, INDEX($AY$22:$BE$76, $M574+20, $AH574), 1)</f>
        <v>0</v>
      </c>
      <c r="BN574" s="229">
        <f t="shared" si="713"/>
        <v>0</v>
      </c>
      <c r="BO574" s="228">
        <v>35</v>
      </c>
      <c r="BP574" s="229">
        <f t="shared" si="714"/>
        <v>48</v>
      </c>
      <c r="BQ574" s="234">
        <f t="shared" si="715"/>
        <v>3.0748170731707316</v>
      </c>
      <c r="BR574" s="234" cm="1">
        <f t="array" ref="BR574">$BM574 * SUMPRODUCT(INDEX($AV$76:$AX$81,,$AI574),INDEX($AY$76:$BE$81,,$AH574), N($AU$76:$AU$81&gt;$AM574)) / BQ574 / 1000</f>
        <v>0</v>
      </c>
      <c r="BS574" s="231">
        <f t="shared" si="702"/>
        <v>30</v>
      </c>
      <c r="BT574" s="229">
        <f t="shared" si="716"/>
        <v>43</v>
      </c>
      <c r="BU574" s="234">
        <f t="shared" si="717"/>
        <v>3.5018750000000001</v>
      </c>
      <c r="BV574" s="234" cm="1">
        <f t="array" ref="BV574">$BM574 * IF($AH574&lt;=2,
SUMPRODUCT(INDEX($AV$71:$AX$75,,$AI574), INDEX($AY$71:$BE$75,,$AH574), 1 / ($BF$71:$BF$75*BU574 + (1-$BF$71:$BF$75)*BQ574), N($AU$71:$AU$75&gt;$AM574)),
SUMPRODUCT(INDEX($AV$66:$AX$75,,$AI574), INDEX($AY$66:$BE$75,,$AH574), 1 / ($BG$66:$BG$75*BU574 + (1-$BG$66:$BG$75)*BQ574), N($AU$66:$AU$75&gt;$AM574))
) / 1000</f>
        <v>0</v>
      </c>
      <c r="BW574" s="231">
        <f t="shared" si="703"/>
        <v>25</v>
      </c>
      <c r="BX574" s="229">
        <f t="shared" si="718"/>
        <v>38</v>
      </c>
      <c r="BY574" s="234">
        <f t="shared" si="719"/>
        <v>4.0666935483870965</v>
      </c>
      <c r="BZ574" s="234" cm="1">
        <f t="array" ref="BZ574">$BM574 * IF($AH574&lt;=2,
SUMPRODUCT(INDEX($AV$66:$AX$70,,$AI574), INDEX($AY$66:$BE$70,,$AH574), 1 / ($BF$66:$BF$70*BY574 + (1-$BF$66:$BF$70)*BU574), N($AU$66:$AU$70&gt;$AM574)),
SUMPRODUCT(INDEX($AV$56:$AX$65,,$AI574), INDEX($AY$56:$BE$65,,$AH574), 1 / ($BG$56:$BG$65*BY574 + (1-$BG$56:$BG$65)*BU574), N($AU$56:$AU$65&gt;$AM574))
) / 1000</f>
        <v>0</v>
      </c>
      <c r="CA574" s="231">
        <f t="shared" si="704"/>
        <v>20</v>
      </c>
      <c r="CB574" s="229">
        <f t="shared" si="720"/>
        <v>33</v>
      </c>
      <c r="CC574" s="234">
        <f t="shared" si="721"/>
        <v>4.8487499999999999</v>
      </c>
      <c r="CD574" s="234" cm="1">
        <f t="array" ref="CD574">$BM574 * IF($AH574&lt;=2,
SUMPRODUCT(INDEX($AV$61:$AX$65,,$AI574), INDEX($AY$61:$BE$65,,$AH574), 1 / ($BF$61:$BF$65*CC574 + (1-$BF$61:$BF$65)*BY574), N($AU$61:$AU$65&gt;$AM574)),
SUMPRODUCT(INDEX($AV$46:$AX$55,,$AI574), INDEX($AY$46:$BE$55,,$AH574), 1 / ($BG$46:$BG$55*CC574 + (1-$BG$46:$BG$55)*BY574), N($AU$46:$AU$55&gt;$AM574))
) / 1000</f>
        <v>0</v>
      </c>
      <c r="CE574" s="234" cm="1">
        <f t="array" ref="CE574">$BM574 * IF($AH574&lt;=2,
SUMPRODUCT(INDEX($AV$22:$AX$60,,$AI574), INDEX($AY$22:$BE$60,,$AH574), 1 / ($BF$22:$BF$60*CC574), N($AU$22:$AU$60&gt;$AM574)),
SUMPRODUCT(INDEX($AV$22:$AX$45,,$AI574), INDEX($AY$22:$BE$45,,$AH574), 1 / ($BG$22:$BG$45*CC574), N($AU$22:$AU$45&gt;$AM574))
) / 1000</f>
        <v>0</v>
      </c>
      <c r="CF574" s="229">
        <f t="shared" si="722"/>
        <v>0</v>
      </c>
      <c r="CG574" s="246"/>
      <c r="CH574" s="229">
        <f t="shared" si="723"/>
        <v>0</v>
      </c>
      <c r="CI574" s="228">
        <v>35</v>
      </c>
      <c r="CJ574" s="229">
        <f t="shared" si="724"/>
        <v>48</v>
      </c>
      <c r="CK574" s="234">
        <f t="shared" si="725"/>
        <v>3.0748170731707316</v>
      </c>
      <c r="CL574" s="234" cm="1">
        <f t="array" ref="CL574">$BM574 * SUMPRODUCT(INDEX($AV$76:$AX$81,,$AI574),INDEX($AY$76:$BE$81,,$AH574), N($AU$76:$AU$81&gt;$AM574)) / CK574 / 1000</f>
        <v>0</v>
      </c>
      <c r="CM574" s="231">
        <f t="shared" si="705"/>
        <v>30</v>
      </c>
      <c r="CN574" s="229">
        <f t="shared" si="726"/>
        <v>43</v>
      </c>
      <c r="CO574" s="234">
        <f t="shared" si="727"/>
        <v>3.5018750000000001</v>
      </c>
      <c r="CP574" s="234" cm="1">
        <f t="array" ref="CP574">$BM574 * IF($AH574&lt;=2,
SUMPRODUCT(INDEX($AV$71:$AX$75,,$AI574), INDEX($AY$71:$BE$75,,$AH574), 1 / ($BF$71:$BF$75*CO574 + (1-$BF$71:$BF$75)*CK574), N($AU$71:$AU$75&gt;$AM574)),
SUMPRODUCT(INDEX($AV$66:$AX$75,,$AI574), INDEX($AY$66:$BE$75,,$AH574), 1 / ($BG$66:$BG$75*CO574 + (1-$BG$66:$BG$75)*CK574), N($AU$66:$AU$75&gt;$AM574))
) / 1000</f>
        <v>0</v>
      </c>
      <c r="CQ574" s="231">
        <f t="shared" si="706"/>
        <v>25</v>
      </c>
      <c r="CR574" s="229">
        <f t="shared" si="728"/>
        <v>38</v>
      </c>
      <c r="CS574" s="234">
        <f t="shared" si="729"/>
        <v>4.0666935483870965</v>
      </c>
      <c r="CT574" s="234" cm="1">
        <f t="array" ref="CT574">$BM574 * IF($AH574&lt;=2,
SUMPRODUCT(INDEX($AV$66:$AX$70,,$AI574), INDEX($AY$66:$BE$70,,$AH574), 1 / ($BF$66:$BF$70*CS574 + (1-$BF$66:$BF$70)*CO574), N($AU$66:$AU$70&gt;$AM574)),
SUMPRODUCT(INDEX($AV$56:$AX$65,,$AI574), INDEX($AY$56:$BE$65,,$AH574), 1 / ($BG$56:$BG$65*CS574 + (1-$BG$56:$BG$65)*CO574), N($AU$56:$AU$65&gt;$AM574))
) / 1000</f>
        <v>0</v>
      </c>
      <c r="CU574" s="231">
        <f t="shared" si="707"/>
        <v>20</v>
      </c>
      <c r="CV574" s="229">
        <f t="shared" si="730"/>
        <v>33</v>
      </c>
      <c r="CW574" s="234">
        <f t="shared" si="731"/>
        <v>4.8487499999999999</v>
      </c>
      <c r="CX574" s="234" cm="1">
        <f t="array" ref="CX574">$BM574 * IF($AH574&lt;=2,
SUMPRODUCT(INDEX($AV$61:$AX$65,,$AI574), INDEX($AY$61:$BE$65,,$AH574), 1 / ($BF$61:$BF$65*CW574 + (1-$BF$61:$BF$65)*CS574), N($AU$61:$AU$65&gt;$AM574)),
SUMPRODUCT(INDEX($AV$46:$AX$55,,$AI574), INDEX($AY$46:$BE$55,,$AH574), 1 / ($BG$46:$BG$55*CW574 + (1-$BG$46:$BG$55)*CS574), N($AU$46:$AU$55&gt;$AM574))
) / 1000</f>
        <v>0</v>
      </c>
      <c r="CY574" s="234" cm="1">
        <f t="array" ref="CY574">$BM574 * IF($AH574&lt;=2,
SUMPRODUCT(INDEX($AV$22:$AX$60,,$AI574), INDEX($AY$22:$BE$60,,$AH574), 1 / ($BF$22:$BF$60*CW574), N($AU$22:$AU$60&gt;$AM574)),
SUMPRODUCT(INDEX($AV$22:$AX$45,,$AI574), INDEX($AY$22:$BE$45,,$AH574), 1 / ($BG$22:$BG$45*CW574), N($AU$22:$AU$45&gt;$AM574))
) / 1000</f>
        <v>0</v>
      </c>
      <c r="CZ574" s="229">
        <f t="shared" si="732"/>
        <v>0</v>
      </c>
      <c r="DA574" s="246"/>
    </row>
    <row r="575" spans="1:105" s="75" customFormat="1" ht="14.25" customHeight="1" x14ac:dyDescent="0.2">
      <c r="A575" s="230" t="b">
        <f t="shared" si="699"/>
        <v>0</v>
      </c>
      <c r="B575" s="253">
        <v>554</v>
      </c>
      <c r="C575" s="266"/>
      <c r="D575" s="266"/>
      <c r="E575" s="254"/>
      <c r="F575" s="255" t="str">
        <f>IF(ISBLANK(E575), "", VLOOKUP(E575, Z!$A$2:$C$4127, 3, FALSE))</f>
        <v/>
      </c>
      <c r="G575" s="256"/>
      <c r="H575" s="256"/>
      <c r="I575" s="256"/>
      <c r="J575" s="257"/>
      <c r="K575" s="258"/>
      <c r="L575" s="267"/>
      <c r="M575" s="268"/>
      <c r="N575" s="259" t="str" cm="1">
        <f t="array" ref="N575">IF($L575&gt;0, INDEX(Clean,1+AK575,$D$1), "")</f>
        <v/>
      </c>
      <c r="O575" s="260"/>
      <c r="P575" s="260"/>
      <c r="Q575" s="261"/>
      <c r="R575" s="264">
        <f t="shared" si="708"/>
        <v>0</v>
      </c>
      <c r="S575" s="259" t="str" cm="1">
        <f t="array" ref="S575">IF($L575&gt;0, INDEX(Clean,1+AL575,$D$1), "")</f>
        <v/>
      </c>
      <c r="T575" s="260"/>
      <c r="U575" s="260"/>
      <c r="V575" s="261"/>
      <c r="W575" s="267"/>
      <c r="X575" s="267"/>
      <c r="Y575" s="257"/>
      <c r="Z575" s="264">
        <f t="shared" si="709"/>
        <v>0</v>
      </c>
      <c r="AA575" s="269"/>
      <c r="AB575" s="266"/>
      <c r="AC575" s="254"/>
      <c r="AD575" s="255" t="str">
        <f>IF(ISBLANK(AC575), "", VLOOKUP(AC575, Z!$A$2:$C$4127, 3, FALSE))</f>
        <v/>
      </c>
      <c r="AE575" s="270"/>
      <c r="AF575" s="265">
        <f t="shared" si="710"/>
        <v>0</v>
      </c>
      <c r="AG575" s="246"/>
      <c r="AH575" s="228">
        <f t="shared" si="733"/>
        <v>1</v>
      </c>
      <c r="AI575" s="228">
        <f t="shared" si="734"/>
        <v>1</v>
      </c>
      <c r="AJ575" s="228">
        <f t="shared" si="735"/>
        <v>0</v>
      </c>
      <c r="AK575" s="228">
        <v>0</v>
      </c>
      <c r="AL575" s="228">
        <v>0</v>
      </c>
      <c r="AM575" s="228">
        <f t="shared" si="711"/>
        <v>-100</v>
      </c>
      <c r="AN575" s="228" cm="1">
        <f t="array" ref="AN575">IF(ISBLANK(G575), 1, IFERROR(MATCH(G575, INDEX(Kat,,1), 0), IFERROR(MATCH(Kat, INDEX(Use,,2), 0), MATCH(Kat, INDEX(Use,,3), 0))))</f>
        <v>1</v>
      </c>
      <c r="AO575" s="246"/>
      <c r="AP575" s="228" cm="1">
        <f t="array" ref="AP575">IF(W575&gt;0, INDEX(Kat, AN575,4), 0)</f>
        <v>0</v>
      </c>
      <c r="AQ575" s="228">
        <f t="shared" si="736"/>
        <v>0</v>
      </c>
      <c r="AR575" s="228" cm="1">
        <f t="array" ref="AR575">IF(X575&gt;0, INDEX(Kat, $AN575, 4+AQ575), 0)</f>
        <v>0</v>
      </c>
      <c r="AS575" s="228" cm="1">
        <f t="array" ref="AS575">IF(X575&gt;0, INDEX(Kat, $AN575, 9+AQ575), 0)</f>
        <v>0</v>
      </c>
      <c r="AT575" s="246"/>
      <c r="AU575" s="262"/>
      <c r="AV575" s="262"/>
      <c r="AW575" s="263"/>
      <c r="AX575" s="263"/>
      <c r="AY575" s="263"/>
      <c r="AZ575" s="263"/>
      <c r="BA575" s="263"/>
      <c r="BB575" s="263"/>
      <c r="BC575" s="263"/>
      <c r="BD575" s="263"/>
      <c r="BE575" s="263"/>
      <c r="BF575" s="263"/>
      <c r="BG575" s="263"/>
      <c r="BH575" s="246"/>
      <c r="BI575" s="228" cm="1">
        <f t="array" ref="BI575">INDEX(Use, $AH575, 4)</f>
        <v>7</v>
      </c>
      <c r="BJ575" s="228">
        <f t="shared" si="712"/>
        <v>32</v>
      </c>
      <c r="BK575" s="228">
        <f t="shared" si="700"/>
        <v>13</v>
      </c>
      <c r="BL575" s="228">
        <f t="shared" si="701"/>
        <v>0</v>
      </c>
      <c r="BM575" s="233" cm="1">
        <f t="array" ref="BM575">L575/IF($M575&gt;0, INDEX($AY$22:$BE$76, $M575+20, $AH575), 1)</f>
        <v>0</v>
      </c>
      <c r="BN575" s="229">
        <f t="shared" si="713"/>
        <v>0</v>
      </c>
      <c r="BO575" s="228">
        <v>35</v>
      </c>
      <c r="BP575" s="229">
        <f t="shared" si="714"/>
        <v>48</v>
      </c>
      <c r="BQ575" s="234">
        <f t="shared" si="715"/>
        <v>3.0748170731707316</v>
      </c>
      <c r="BR575" s="234" cm="1">
        <f t="array" ref="BR575">$BM575 * SUMPRODUCT(INDEX($AV$76:$AX$81,,$AI575),INDEX($AY$76:$BE$81,,$AH575), N($AU$76:$AU$81&gt;$AM575)) / BQ575 / 1000</f>
        <v>0</v>
      </c>
      <c r="BS575" s="231">
        <f t="shared" si="702"/>
        <v>30</v>
      </c>
      <c r="BT575" s="229">
        <f t="shared" si="716"/>
        <v>43</v>
      </c>
      <c r="BU575" s="234">
        <f t="shared" si="717"/>
        <v>3.5018750000000001</v>
      </c>
      <c r="BV575" s="234" cm="1">
        <f t="array" ref="BV575">$BM575 * IF($AH575&lt;=2,
SUMPRODUCT(INDEX($AV$71:$AX$75,,$AI575), INDEX($AY$71:$BE$75,,$AH575), 1 / ($BF$71:$BF$75*BU575 + (1-$BF$71:$BF$75)*BQ575), N($AU$71:$AU$75&gt;$AM575)),
SUMPRODUCT(INDEX($AV$66:$AX$75,,$AI575), INDEX($AY$66:$BE$75,,$AH575), 1 / ($BG$66:$BG$75*BU575 + (1-$BG$66:$BG$75)*BQ575), N($AU$66:$AU$75&gt;$AM575))
) / 1000</f>
        <v>0</v>
      </c>
      <c r="BW575" s="231">
        <f t="shared" si="703"/>
        <v>25</v>
      </c>
      <c r="BX575" s="229">
        <f t="shared" si="718"/>
        <v>38</v>
      </c>
      <c r="BY575" s="234">
        <f t="shared" si="719"/>
        <v>4.0666935483870965</v>
      </c>
      <c r="BZ575" s="234" cm="1">
        <f t="array" ref="BZ575">$BM575 * IF($AH575&lt;=2,
SUMPRODUCT(INDEX($AV$66:$AX$70,,$AI575), INDEX($AY$66:$BE$70,,$AH575), 1 / ($BF$66:$BF$70*BY575 + (1-$BF$66:$BF$70)*BU575), N($AU$66:$AU$70&gt;$AM575)),
SUMPRODUCT(INDEX($AV$56:$AX$65,,$AI575), INDEX($AY$56:$BE$65,,$AH575), 1 / ($BG$56:$BG$65*BY575 + (1-$BG$56:$BG$65)*BU575), N($AU$56:$AU$65&gt;$AM575))
) / 1000</f>
        <v>0</v>
      </c>
      <c r="CA575" s="231">
        <f t="shared" si="704"/>
        <v>20</v>
      </c>
      <c r="CB575" s="229">
        <f t="shared" si="720"/>
        <v>33</v>
      </c>
      <c r="CC575" s="234">
        <f t="shared" si="721"/>
        <v>4.8487499999999999</v>
      </c>
      <c r="CD575" s="234" cm="1">
        <f t="array" ref="CD575">$BM575 * IF($AH575&lt;=2,
SUMPRODUCT(INDEX($AV$61:$AX$65,,$AI575), INDEX($AY$61:$BE$65,,$AH575), 1 / ($BF$61:$BF$65*CC575 + (1-$BF$61:$BF$65)*BY575), N($AU$61:$AU$65&gt;$AM575)),
SUMPRODUCT(INDEX($AV$46:$AX$55,,$AI575), INDEX($AY$46:$BE$55,,$AH575), 1 / ($BG$46:$BG$55*CC575 + (1-$BG$46:$BG$55)*BY575), N($AU$46:$AU$55&gt;$AM575))
) / 1000</f>
        <v>0</v>
      </c>
      <c r="CE575" s="234" cm="1">
        <f t="array" ref="CE575">$BM575 * IF($AH575&lt;=2,
SUMPRODUCT(INDEX($AV$22:$AX$60,,$AI575), INDEX($AY$22:$BE$60,,$AH575), 1 / ($BF$22:$BF$60*CC575), N($AU$22:$AU$60&gt;$AM575)),
SUMPRODUCT(INDEX($AV$22:$AX$45,,$AI575), INDEX($AY$22:$BE$45,,$AH575), 1 / ($BG$22:$BG$45*CC575), N($AU$22:$AU$45&gt;$AM575))
) / 1000</f>
        <v>0</v>
      </c>
      <c r="CF575" s="229">
        <f t="shared" si="722"/>
        <v>0</v>
      </c>
      <c r="CG575" s="246"/>
      <c r="CH575" s="229">
        <f t="shared" si="723"/>
        <v>0</v>
      </c>
      <c r="CI575" s="228">
        <v>35</v>
      </c>
      <c r="CJ575" s="229">
        <f t="shared" si="724"/>
        <v>48</v>
      </c>
      <c r="CK575" s="234">
        <f t="shared" si="725"/>
        <v>3.0748170731707316</v>
      </c>
      <c r="CL575" s="234" cm="1">
        <f t="array" ref="CL575">$BM575 * SUMPRODUCT(INDEX($AV$76:$AX$81,,$AI575),INDEX($AY$76:$BE$81,,$AH575), N($AU$76:$AU$81&gt;$AM575)) / CK575 / 1000</f>
        <v>0</v>
      </c>
      <c r="CM575" s="231">
        <f t="shared" si="705"/>
        <v>30</v>
      </c>
      <c r="CN575" s="229">
        <f t="shared" si="726"/>
        <v>43</v>
      </c>
      <c r="CO575" s="234">
        <f t="shared" si="727"/>
        <v>3.5018750000000001</v>
      </c>
      <c r="CP575" s="234" cm="1">
        <f t="array" ref="CP575">$BM575 * IF($AH575&lt;=2,
SUMPRODUCT(INDEX($AV$71:$AX$75,,$AI575), INDEX($AY$71:$BE$75,,$AH575), 1 / ($BF$71:$BF$75*CO575 + (1-$BF$71:$BF$75)*CK575), N($AU$71:$AU$75&gt;$AM575)),
SUMPRODUCT(INDEX($AV$66:$AX$75,,$AI575), INDEX($AY$66:$BE$75,,$AH575), 1 / ($BG$66:$BG$75*CO575 + (1-$BG$66:$BG$75)*CK575), N($AU$66:$AU$75&gt;$AM575))
) / 1000</f>
        <v>0</v>
      </c>
      <c r="CQ575" s="231">
        <f t="shared" si="706"/>
        <v>25</v>
      </c>
      <c r="CR575" s="229">
        <f t="shared" si="728"/>
        <v>38</v>
      </c>
      <c r="CS575" s="234">
        <f t="shared" si="729"/>
        <v>4.0666935483870965</v>
      </c>
      <c r="CT575" s="234" cm="1">
        <f t="array" ref="CT575">$BM575 * IF($AH575&lt;=2,
SUMPRODUCT(INDEX($AV$66:$AX$70,,$AI575), INDEX($AY$66:$BE$70,,$AH575), 1 / ($BF$66:$BF$70*CS575 + (1-$BF$66:$BF$70)*CO575), N($AU$66:$AU$70&gt;$AM575)),
SUMPRODUCT(INDEX($AV$56:$AX$65,,$AI575), INDEX($AY$56:$BE$65,,$AH575), 1 / ($BG$56:$BG$65*CS575 + (1-$BG$56:$BG$65)*CO575), N($AU$56:$AU$65&gt;$AM575))
) / 1000</f>
        <v>0</v>
      </c>
      <c r="CU575" s="231">
        <f t="shared" si="707"/>
        <v>20</v>
      </c>
      <c r="CV575" s="229">
        <f t="shared" si="730"/>
        <v>33</v>
      </c>
      <c r="CW575" s="234">
        <f t="shared" si="731"/>
        <v>4.8487499999999999</v>
      </c>
      <c r="CX575" s="234" cm="1">
        <f t="array" ref="CX575">$BM575 * IF($AH575&lt;=2,
SUMPRODUCT(INDEX($AV$61:$AX$65,,$AI575), INDEX($AY$61:$BE$65,,$AH575), 1 / ($BF$61:$BF$65*CW575 + (1-$BF$61:$BF$65)*CS575), N($AU$61:$AU$65&gt;$AM575)),
SUMPRODUCT(INDEX($AV$46:$AX$55,,$AI575), INDEX($AY$46:$BE$55,,$AH575), 1 / ($BG$46:$BG$55*CW575 + (1-$BG$46:$BG$55)*CS575), N($AU$46:$AU$55&gt;$AM575))
) / 1000</f>
        <v>0</v>
      </c>
      <c r="CY575" s="234" cm="1">
        <f t="array" ref="CY575">$BM575 * IF($AH575&lt;=2,
SUMPRODUCT(INDEX($AV$22:$AX$60,,$AI575), INDEX($AY$22:$BE$60,,$AH575), 1 / ($BF$22:$BF$60*CW575), N($AU$22:$AU$60&gt;$AM575)),
SUMPRODUCT(INDEX($AV$22:$AX$45,,$AI575), INDEX($AY$22:$BE$45,,$AH575), 1 / ($BG$22:$BG$45*CW575), N($AU$22:$AU$45&gt;$AM575))
) / 1000</f>
        <v>0</v>
      </c>
      <c r="CZ575" s="229">
        <f t="shared" si="732"/>
        <v>0</v>
      </c>
      <c r="DA575" s="246"/>
    </row>
    <row r="576" spans="1:105" s="75" customFormat="1" ht="14.25" customHeight="1" x14ac:dyDescent="0.2">
      <c r="A576" s="230" t="b">
        <f t="shared" si="699"/>
        <v>0</v>
      </c>
      <c r="B576" s="253">
        <v>555</v>
      </c>
      <c r="C576" s="266"/>
      <c r="D576" s="266"/>
      <c r="E576" s="254"/>
      <c r="F576" s="255" t="str">
        <f>IF(ISBLANK(E576), "", VLOOKUP(E576, Z!$A$2:$C$4127, 3, FALSE))</f>
        <v/>
      </c>
      <c r="G576" s="256"/>
      <c r="H576" s="256"/>
      <c r="I576" s="256"/>
      <c r="J576" s="257"/>
      <c r="K576" s="258"/>
      <c r="L576" s="267"/>
      <c r="M576" s="268"/>
      <c r="N576" s="259" t="str" cm="1">
        <f t="array" ref="N576">IF($L576&gt;0, INDEX(Clean,1+AK576,$D$1), "")</f>
        <v/>
      </c>
      <c r="O576" s="260"/>
      <c r="P576" s="260"/>
      <c r="Q576" s="261"/>
      <c r="R576" s="264">
        <f t="shared" si="708"/>
        <v>0</v>
      </c>
      <c r="S576" s="259" t="str" cm="1">
        <f t="array" ref="S576">IF($L576&gt;0, INDEX(Clean,1+AL576,$D$1), "")</f>
        <v/>
      </c>
      <c r="T576" s="260"/>
      <c r="U576" s="260"/>
      <c r="V576" s="261"/>
      <c r="W576" s="267"/>
      <c r="X576" s="267"/>
      <c r="Y576" s="257"/>
      <c r="Z576" s="264">
        <f t="shared" si="709"/>
        <v>0</v>
      </c>
      <c r="AA576" s="269"/>
      <c r="AB576" s="266"/>
      <c r="AC576" s="254"/>
      <c r="AD576" s="255" t="str">
        <f>IF(ISBLANK(AC576), "", VLOOKUP(AC576, Z!$A$2:$C$4127, 3, FALSE))</f>
        <v/>
      </c>
      <c r="AE576" s="270"/>
      <c r="AF576" s="265">
        <f t="shared" si="710"/>
        <v>0</v>
      </c>
      <c r="AG576" s="246"/>
      <c r="AH576" s="228">
        <f t="shared" si="733"/>
        <v>1</v>
      </c>
      <c r="AI576" s="228">
        <f t="shared" si="734"/>
        <v>1</v>
      </c>
      <c r="AJ576" s="228">
        <f t="shared" si="735"/>
        <v>0</v>
      </c>
      <c r="AK576" s="228">
        <v>0</v>
      </c>
      <c r="AL576" s="228">
        <v>0</v>
      </c>
      <c r="AM576" s="228">
        <f t="shared" si="711"/>
        <v>-100</v>
      </c>
      <c r="AN576" s="228" cm="1">
        <f t="array" ref="AN576">IF(ISBLANK(G576), 1, IFERROR(MATCH(G576, INDEX(Kat,,1), 0), IFERROR(MATCH(Kat, INDEX(Use,,2), 0), MATCH(Kat, INDEX(Use,,3), 0))))</f>
        <v>1</v>
      </c>
      <c r="AO576" s="246"/>
      <c r="AP576" s="228" cm="1">
        <f t="array" ref="AP576">IF(W576&gt;0, INDEX(Kat, AN576,4), 0)</f>
        <v>0</v>
      </c>
      <c r="AQ576" s="228">
        <f t="shared" si="736"/>
        <v>0</v>
      </c>
      <c r="AR576" s="228" cm="1">
        <f t="array" ref="AR576">IF(X576&gt;0, INDEX(Kat, $AN576, 4+AQ576), 0)</f>
        <v>0</v>
      </c>
      <c r="AS576" s="228" cm="1">
        <f t="array" ref="AS576">IF(X576&gt;0, INDEX(Kat, $AN576, 9+AQ576), 0)</f>
        <v>0</v>
      </c>
      <c r="AT576" s="246"/>
      <c r="AU576" s="262"/>
      <c r="AV576" s="262"/>
      <c r="AW576" s="263"/>
      <c r="AX576" s="263"/>
      <c r="AY576" s="263"/>
      <c r="AZ576" s="263"/>
      <c r="BA576" s="263"/>
      <c r="BB576" s="263"/>
      <c r="BC576" s="263"/>
      <c r="BD576" s="263"/>
      <c r="BE576" s="263"/>
      <c r="BF576" s="263"/>
      <c r="BG576" s="263"/>
      <c r="BH576" s="246"/>
      <c r="BI576" s="228" cm="1">
        <f t="array" ref="BI576">INDEX(Use, $AH576, 4)</f>
        <v>7</v>
      </c>
      <c r="BJ576" s="228">
        <f t="shared" si="712"/>
        <v>32</v>
      </c>
      <c r="BK576" s="228">
        <f t="shared" si="700"/>
        <v>13</v>
      </c>
      <c r="BL576" s="228">
        <f t="shared" si="701"/>
        <v>0</v>
      </c>
      <c r="BM576" s="233" cm="1">
        <f t="array" ref="BM576">L576/IF($M576&gt;0, INDEX($AY$22:$BE$76, $M576+20, $AH576), 1)</f>
        <v>0</v>
      </c>
      <c r="BN576" s="229">
        <f t="shared" si="713"/>
        <v>0</v>
      </c>
      <c r="BO576" s="228">
        <v>35</v>
      </c>
      <c r="BP576" s="229">
        <f t="shared" si="714"/>
        <v>48</v>
      </c>
      <c r="BQ576" s="234">
        <f t="shared" si="715"/>
        <v>3.0748170731707316</v>
      </c>
      <c r="BR576" s="234" cm="1">
        <f t="array" ref="BR576">$BM576 * SUMPRODUCT(INDEX($AV$76:$AX$81,,$AI576),INDEX($AY$76:$BE$81,,$AH576), N($AU$76:$AU$81&gt;$AM576)) / BQ576 / 1000</f>
        <v>0</v>
      </c>
      <c r="BS576" s="231">
        <f t="shared" si="702"/>
        <v>30</v>
      </c>
      <c r="BT576" s="229">
        <f t="shared" si="716"/>
        <v>43</v>
      </c>
      <c r="BU576" s="234">
        <f t="shared" si="717"/>
        <v>3.5018750000000001</v>
      </c>
      <c r="BV576" s="234" cm="1">
        <f t="array" ref="BV576">$BM576 * IF($AH576&lt;=2,
SUMPRODUCT(INDEX($AV$71:$AX$75,,$AI576), INDEX($AY$71:$BE$75,,$AH576), 1 / ($BF$71:$BF$75*BU576 + (1-$BF$71:$BF$75)*BQ576), N($AU$71:$AU$75&gt;$AM576)),
SUMPRODUCT(INDEX($AV$66:$AX$75,,$AI576), INDEX($AY$66:$BE$75,,$AH576), 1 / ($BG$66:$BG$75*BU576 + (1-$BG$66:$BG$75)*BQ576), N($AU$66:$AU$75&gt;$AM576))
) / 1000</f>
        <v>0</v>
      </c>
      <c r="BW576" s="231">
        <f t="shared" si="703"/>
        <v>25</v>
      </c>
      <c r="BX576" s="229">
        <f t="shared" si="718"/>
        <v>38</v>
      </c>
      <c r="BY576" s="234">
        <f t="shared" si="719"/>
        <v>4.0666935483870965</v>
      </c>
      <c r="BZ576" s="234" cm="1">
        <f t="array" ref="BZ576">$BM576 * IF($AH576&lt;=2,
SUMPRODUCT(INDEX($AV$66:$AX$70,,$AI576), INDEX($AY$66:$BE$70,,$AH576), 1 / ($BF$66:$BF$70*BY576 + (1-$BF$66:$BF$70)*BU576), N($AU$66:$AU$70&gt;$AM576)),
SUMPRODUCT(INDEX($AV$56:$AX$65,,$AI576), INDEX($AY$56:$BE$65,,$AH576), 1 / ($BG$56:$BG$65*BY576 + (1-$BG$56:$BG$65)*BU576), N($AU$56:$AU$65&gt;$AM576))
) / 1000</f>
        <v>0</v>
      </c>
      <c r="CA576" s="231">
        <f t="shared" si="704"/>
        <v>20</v>
      </c>
      <c r="CB576" s="229">
        <f t="shared" si="720"/>
        <v>33</v>
      </c>
      <c r="CC576" s="234">
        <f t="shared" si="721"/>
        <v>4.8487499999999999</v>
      </c>
      <c r="CD576" s="234" cm="1">
        <f t="array" ref="CD576">$BM576 * IF($AH576&lt;=2,
SUMPRODUCT(INDEX($AV$61:$AX$65,,$AI576), INDEX($AY$61:$BE$65,,$AH576), 1 / ($BF$61:$BF$65*CC576 + (1-$BF$61:$BF$65)*BY576), N($AU$61:$AU$65&gt;$AM576)),
SUMPRODUCT(INDEX($AV$46:$AX$55,,$AI576), INDEX($AY$46:$BE$55,,$AH576), 1 / ($BG$46:$BG$55*CC576 + (1-$BG$46:$BG$55)*BY576), N($AU$46:$AU$55&gt;$AM576))
) / 1000</f>
        <v>0</v>
      </c>
      <c r="CE576" s="234" cm="1">
        <f t="array" ref="CE576">$BM576 * IF($AH576&lt;=2,
SUMPRODUCT(INDEX($AV$22:$AX$60,,$AI576), INDEX($AY$22:$BE$60,,$AH576), 1 / ($BF$22:$BF$60*CC576), N($AU$22:$AU$60&gt;$AM576)),
SUMPRODUCT(INDEX($AV$22:$AX$45,,$AI576), INDEX($AY$22:$BE$45,,$AH576), 1 / ($BG$22:$BG$45*CC576), N($AU$22:$AU$45&gt;$AM576))
) / 1000</f>
        <v>0</v>
      </c>
      <c r="CF576" s="229">
        <f t="shared" si="722"/>
        <v>0</v>
      </c>
      <c r="CG576" s="246"/>
      <c r="CH576" s="229">
        <f t="shared" si="723"/>
        <v>0</v>
      </c>
      <c r="CI576" s="228">
        <v>35</v>
      </c>
      <c r="CJ576" s="229">
        <f t="shared" si="724"/>
        <v>48</v>
      </c>
      <c r="CK576" s="234">
        <f t="shared" si="725"/>
        <v>3.0748170731707316</v>
      </c>
      <c r="CL576" s="234" cm="1">
        <f t="array" ref="CL576">$BM576 * SUMPRODUCT(INDEX($AV$76:$AX$81,,$AI576),INDEX($AY$76:$BE$81,,$AH576), N($AU$76:$AU$81&gt;$AM576)) / CK576 / 1000</f>
        <v>0</v>
      </c>
      <c r="CM576" s="231">
        <f t="shared" si="705"/>
        <v>30</v>
      </c>
      <c r="CN576" s="229">
        <f t="shared" si="726"/>
        <v>43</v>
      </c>
      <c r="CO576" s="234">
        <f t="shared" si="727"/>
        <v>3.5018750000000001</v>
      </c>
      <c r="CP576" s="234" cm="1">
        <f t="array" ref="CP576">$BM576 * IF($AH576&lt;=2,
SUMPRODUCT(INDEX($AV$71:$AX$75,,$AI576), INDEX($AY$71:$BE$75,,$AH576), 1 / ($BF$71:$BF$75*CO576 + (1-$BF$71:$BF$75)*CK576), N($AU$71:$AU$75&gt;$AM576)),
SUMPRODUCT(INDEX($AV$66:$AX$75,,$AI576), INDEX($AY$66:$BE$75,,$AH576), 1 / ($BG$66:$BG$75*CO576 + (1-$BG$66:$BG$75)*CK576), N($AU$66:$AU$75&gt;$AM576))
) / 1000</f>
        <v>0</v>
      </c>
      <c r="CQ576" s="231">
        <f t="shared" si="706"/>
        <v>25</v>
      </c>
      <c r="CR576" s="229">
        <f t="shared" si="728"/>
        <v>38</v>
      </c>
      <c r="CS576" s="234">
        <f t="shared" si="729"/>
        <v>4.0666935483870965</v>
      </c>
      <c r="CT576" s="234" cm="1">
        <f t="array" ref="CT576">$BM576 * IF($AH576&lt;=2,
SUMPRODUCT(INDEX($AV$66:$AX$70,,$AI576), INDEX($AY$66:$BE$70,,$AH576), 1 / ($BF$66:$BF$70*CS576 + (1-$BF$66:$BF$70)*CO576), N($AU$66:$AU$70&gt;$AM576)),
SUMPRODUCT(INDEX($AV$56:$AX$65,,$AI576), INDEX($AY$56:$BE$65,,$AH576), 1 / ($BG$56:$BG$65*CS576 + (1-$BG$56:$BG$65)*CO576), N($AU$56:$AU$65&gt;$AM576))
) / 1000</f>
        <v>0</v>
      </c>
      <c r="CU576" s="231">
        <f t="shared" si="707"/>
        <v>20</v>
      </c>
      <c r="CV576" s="229">
        <f t="shared" si="730"/>
        <v>33</v>
      </c>
      <c r="CW576" s="234">
        <f t="shared" si="731"/>
        <v>4.8487499999999999</v>
      </c>
      <c r="CX576" s="234" cm="1">
        <f t="array" ref="CX576">$BM576 * IF($AH576&lt;=2,
SUMPRODUCT(INDEX($AV$61:$AX$65,,$AI576), INDEX($AY$61:$BE$65,,$AH576), 1 / ($BF$61:$BF$65*CW576 + (1-$BF$61:$BF$65)*CS576), N($AU$61:$AU$65&gt;$AM576)),
SUMPRODUCT(INDEX($AV$46:$AX$55,,$AI576), INDEX($AY$46:$BE$55,,$AH576), 1 / ($BG$46:$BG$55*CW576 + (1-$BG$46:$BG$55)*CS576), N($AU$46:$AU$55&gt;$AM576))
) / 1000</f>
        <v>0</v>
      </c>
      <c r="CY576" s="234" cm="1">
        <f t="array" ref="CY576">$BM576 * IF($AH576&lt;=2,
SUMPRODUCT(INDEX($AV$22:$AX$60,,$AI576), INDEX($AY$22:$BE$60,,$AH576), 1 / ($BF$22:$BF$60*CW576), N($AU$22:$AU$60&gt;$AM576)),
SUMPRODUCT(INDEX($AV$22:$AX$45,,$AI576), INDEX($AY$22:$BE$45,,$AH576), 1 / ($BG$22:$BG$45*CW576), N($AU$22:$AU$45&gt;$AM576))
) / 1000</f>
        <v>0</v>
      </c>
      <c r="CZ576" s="229">
        <f t="shared" si="732"/>
        <v>0</v>
      </c>
      <c r="DA576" s="246"/>
    </row>
    <row r="577" spans="1:105" s="75" customFormat="1" ht="14.25" customHeight="1" x14ac:dyDescent="0.2">
      <c r="A577" s="230" t="b">
        <f t="shared" si="699"/>
        <v>0</v>
      </c>
      <c r="B577" s="253">
        <v>556</v>
      </c>
      <c r="C577" s="266"/>
      <c r="D577" s="266"/>
      <c r="E577" s="254"/>
      <c r="F577" s="255" t="str">
        <f>IF(ISBLANK(E577), "", VLOOKUP(E577, Z!$A$2:$C$4127, 3, FALSE))</f>
        <v/>
      </c>
      <c r="G577" s="256"/>
      <c r="H577" s="256"/>
      <c r="I577" s="256"/>
      <c r="J577" s="257"/>
      <c r="K577" s="258"/>
      <c r="L577" s="267"/>
      <c r="M577" s="268"/>
      <c r="N577" s="259" t="str" cm="1">
        <f t="array" ref="N577">IF($L577&gt;0, INDEX(Clean,1+AK577,$D$1), "")</f>
        <v/>
      </c>
      <c r="O577" s="260"/>
      <c r="P577" s="260"/>
      <c r="Q577" s="261"/>
      <c r="R577" s="264">
        <f t="shared" si="708"/>
        <v>0</v>
      </c>
      <c r="S577" s="259" t="str" cm="1">
        <f t="array" ref="S577">IF($L577&gt;0, INDEX(Clean,1+AL577,$D$1), "")</f>
        <v/>
      </c>
      <c r="T577" s="260"/>
      <c r="U577" s="260"/>
      <c r="V577" s="261"/>
      <c r="W577" s="267"/>
      <c r="X577" s="267"/>
      <c r="Y577" s="257"/>
      <c r="Z577" s="264">
        <f t="shared" si="709"/>
        <v>0</v>
      </c>
      <c r="AA577" s="269"/>
      <c r="AB577" s="266"/>
      <c r="AC577" s="254"/>
      <c r="AD577" s="255" t="str">
        <f>IF(ISBLANK(AC577), "", VLOOKUP(AC577, Z!$A$2:$C$4127, 3, FALSE))</f>
        <v/>
      </c>
      <c r="AE577" s="270"/>
      <c r="AF577" s="265">
        <f t="shared" si="710"/>
        <v>0</v>
      </c>
      <c r="AG577" s="246"/>
      <c r="AH577" s="228">
        <f t="shared" si="733"/>
        <v>1</v>
      </c>
      <c r="AI577" s="228">
        <f t="shared" si="734"/>
        <v>1</v>
      </c>
      <c r="AJ577" s="228">
        <f t="shared" si="735"/>
        <v>0</v>
      </c>
      <c r="AK577" s="228">
        <v>0</v>
      </c>
      <c r="AL577" s="228">
        <v>0</v>
      </c>
      <c r="AM577" s="228">
        <f t="shared" si="711"/>
        <v>-100</v>
      </c>
      <c r="AN577" s="228" cm="1">
        <f t="array" ref="AN577">IF(ISBLANK(G577), 1, IFERROR(MATCH(G577, INDEX(Kat,,1), 0), IFERROR(MATCH(Kat, INDEX(Use,,2), 0), MATCH(Kat, INDEX(Use,,3), 0))))</f>
        <v>1</v>
      </c>
      <c r="AO577" s="246"/>
      <c r="AP577" s="228" cm="1">
        <f t="array" ref="AP577">IF(W577&gt;0, INDEX(Kat, AN577,4), 0)</f>
        <v>0</v>
      </c>
      <c r="AQ577" s="228">
        <f t="shared" si="736"/>
        <v>0</v>
      </c>
      <c r="AR577" s="228" cm="1">
        <f t="array" ref="AR577">IF(X577&gt;0, INDEX(Kat, $AN577, 4+AQ577), 0)</f>
        <v>0</v>
      </c>
      <c r="AS577" s="228" cm="1">
        <f t="array" ref="AS577">IF(X577&gt;0, INDEX(Kat, $AN577, 9+AQ577), 0)</f>
        <v>0</v>
      </c>
      <c r="AT577" s="246"/>
      <c r="AU577" s="262"/>
      <c r="AV577" s="262"/>
      <c r="AW577" s="263"/>
      <c r="AX577" s="263"/>
      <c r="AY577" s="263"/>
      <c r="AZ577" s="263"/>
      <c r="BA577" s="263"/>
      <c r="BB577" s="263"/>
      <c r="BC577" s="263"/>
      <c r="BD577" s="263"/>
      <c r="BE577" s="263"/>
      <c r="BF577" s="263"/>
      <c r="BG577" s="263"/>
      <c r="BH577" s="246"/>
      <c r="BI577" s="228" cm="1">
        <f t="array" ref="BI577">INDEX(Use, $AH577, 4)</f>
        <v>7</v>
      </c>
      <c r="BJ577" s="228">
        <f t="shared" si="712"/>
        <v>32</v>
      </c>
      <c r="BK577" s="228">
        <f t="shared" si="700"/>
        <v>13</v>
      </c>
      <c r="BL577" s="228">
        <f t="shared" si="701"/>
        <v>0</v>
      </c>
      <c r="BM577" s="233" cm="1">
        <f t="array" ref="BM577">L577/IF($M577&gt;0, INDEX($AY$22:$BE$76, $M577+20, $AH577), 1)</f>
        <v>0</v>
      </c>
      <c r="BN577" s="229">
        <f t="shared" si="713"/>
        <v>0</v>
      </c>
      <c r="BO577" s="228">
        <v>35</v>
      </c>
      <c r="BP577" s="229">
        <f t="shared" si="714"/>
        <v>48</v>
      </c>
      <c r="BQ577" s="234">
        <f t="shared" si="715"/>
        <v>3.0748170731707316</v>
      </c>
      <c r="BR577" s="234" cm="1">
        <f t="array" ref="BR577">$BM577 * SUMPRODUCT(INDEX($AV$76:$AX$81,,$AI577),INDEX($AY$76:$BE$81,,$AH577), N($AU$76:$AU$81&gt;$AM577)) / BQ577 / 1000</f>
        <v>0</v>
      </c>
      <c r="BS577" s="231">
        <f t="shared" si="702"/>
        <v>30</v>
      </c>
      <c r="BT577" s="229">
        <f t="shared" si="716"/>
        <v>43</v>
      </c>
      <c r="BU577" s="234">
        <f t="shared" si="717"/>
        <v>3.5018750000000001</v>
      </c>
      <c r="BV577" s="234" cm="1">
        <f t="array" ref="BV577">$BM577 * IF($AH577&lt;=2,
SUMPRODUCT(INDEX($AV$71:$AX$75,,$AI577), INDEX($AY$71:$BE$75,,$AH577), 1 / ($BF$71:$BF$75*BU577 + (1-$BF$71:$BF$75)*BQ577), N($AU$71:$AU$75&gt;$AM577)),
SUMPRODUCT(INDEX($AV$66:$AX$75,,$AI577), INDEX($AY$66:$BE$75,,$AH577), 1 / ($BG$66:$BG$75*BU577 + (1-$BG$66:$BG$75)*BQ577), N($AU$66:$AU$75&gt;$AM577))
) / 1000</f>
        <v>0</v>
      </c>
      <c r="BW577" s="231">
        <f t="shared" si="703"/>
        <v>25</v>
      </c>
      <c r="BX577" s="229">
        <f t="shared" si="718"/>
        <v>38</v>
      </c>
      <c r="BY577" s="234">
        <f t="shared" si="719"/>
        <v>4.0666935483870965</v>
      </c>
      <c r="BZ577" s="234" cm="1">
        <f t="array" ref="BZ577">$BM577 * IF($AH577&lt;=2,
SUMPRODUCT(INDEX($AV$66:$AX$70,,$AI577), INDEX($AY$66:$BE$70,,$AH577), 1 / ($BF$66:$BF$70*BY577 + (1-$BF$66:$BF$70)*BU577), N($AU$66:$AU$70&gt;$AM577)),
SUMPRODUCT(INDEX($AV$56:$AX$65,,$AI577), INDEX($AY$56:$BE$65,,$AH577), 1 / ($BG$56:$BG$65*BY577 + (1-$BG$56:$BG$65)*BU577), N($AU$56:$AU$65&gt;$AM577))
) / 1000</f>
        <v>0</v>
      </c>
      <c r="CA577" s="231">
        <f t="shared" si="704"/>
        <v>20</v>
      </c>
      <c r="CB577" s="229">
        <f t="shared" si="720"/>
        <v>33</v>
      </c>
      <c r="CC577" s="234">
        <f t="shared" si="721"/>
        <v>4.8487499999999999</v>
      </c>
      <c r="CD577" s="234" cm="1">
        <f t="array" ref="CD577">$BM577 * IF($AH577&lt;=2,
SUMPRODUCT(INDEX($AV$61:$AX$65,,$AI577), INDEX($AY$61:$BE$65,,$AH577), 1 / ($BF$61:$BF$65*CC577 + (1-$BF$61:$BF$65)*BY577), N($AU$61:$AU$65&gt;$AM577)),
SUMPRODUCT(INDEX($AV$46:$AX$55,,$AI577), INDEX($AY$46:$BE$55,,$AH577), 1 / ($BG$46:$BG$55*CC577 + (1-$BG$46:$BG$55)*BY577), N($AU$46:$AU$55&gt;$AM577))
) / 1000</f>
        <v>0</v>
      </c>
      <c r="CE577" s="234" cm="1">
        <f t="array" ref="CE577">$BM577 * IF($AH577&lt;=2,
SUMPRODUCT(INDEX($AV$22:$AX$60,,$AI577), INDEX($AY$22:$BE$60,,$AH577), 1 / ($BF$22:$BF$60*CC577), N($AU$22:$AU$60&gt;$AM577)),
SUMPRODUCT(INDEX($AV$22:$AX$45,,$AI577), INDEX($AY$22:$BE$45,,$AH577), 1 / ($BG$22:$BG$45*CC577), N($AU$22:$AU$45&gt;$AM577))
) / 1000</f>
        <v>0</v>
      </c>
      <c r="CF577" s="229">
        <f t="shared" si="722"/>
        <v>0</v>
      </c>
      <c r="CG577" s="246"/>
      <c r="CH577" s="229">
        <f t="shared" si="723"/>
        <v>0</v>
      </c>
      <c r="CI577" s="228">
        <v>35</v>
      </c>
      <c r="CJ577" s="229">
        <f t="shared" si="724"/>
        <v>48</v>
      </c>
      <c r="CK577" s="234">
        <f t="shared" si="725"/>
        <v>3.0748170731707316</v>
      </c>
      <c r="CL577" s="234" cm="1">
        <f t="array" ref="CL577">$BM577 * SUMPRODUCT(INDEX($AV$76:$AX$81,,$AI577),INDEX($AY$76:$BE$81,,$AH577), N($AU$76:$AU$81&gt;$AM577)) / CK577 / 1000</f>
        <v>0</v>
      </c>
      <c r="CM577" s="231">
        <f t="shared" si="705"/>
        <v>30</v>
      </c>
      <c r="CN577" s="229">
        <f t="shared" si="726"/>
        <v>43</v>
      </c>
      <c r="CO577" s="234">
        <f t="shared" si="727"/>
        <v>3.5018750000000001</v>
      </c>
      <c r="CP577" s="234" cm="1">
        <f t="array" ref="CP577">$BM577 * IF($AH577&lt;=2,
SUMPRODUCT(INDEX($AV$71:$AX$75,,$AI577), INDEX($AY$71:$BE$75,,$AH577), 1 / ($BF$71:$BF$75*CO577 + (1-$BF$71:$BF$75)*CK577), N($AU$71:$AU$75&gt;$AM577)),
SUMPRODUCT(INDEX($AV$66:$AX$75,,$AI577), INDEX($AY$66:$BE$75,,$AH577), 1 / ($BG$66:$BG$75*CO577 + (1-$BG$66:$BG$75)*CK577), N($AU$66:$AU$75&gt;$AM577))
) / 1000</f>
        <v>0</v>
      </c>
      <c r="CQ577" s="231">
        <f t="shared" si="706"/>
        <v>25</v>
      </c>
      <c r="CR577" s="229">
        <f t="shared" si="728"/>
        <v>38</v>
      </c>
      <c r="CS577" s="234">
        <f t="shared" si="729"/>
        <v>4.0666935483870965</v>
      </c>
      <c r="CT577" s="234" cm="1">
        <f t="array" ref="CT577">$BM577 * IF($AH577&lt;=2,
SUMPRODUCT(INDEX($AV$66:$AX$70,,$AI577), INDEX($AY$66:$BE$70,,$AH577), 1 / ($BF$66:$BF$70*CS577 + (1-$BF$66:$BF$70)*CO577), N($AU$66:$AU$70&gt;$AM577)),
SUMPRODUCT(INDEX($AV$56:$AX$65,,$AI577), INDEX($AY$56:$BE$65,,$AH577), 1 / ($BG$56:$BG$65*CS577 + (1-$BG$56:$BG$65)*CO577), N($AU$56:$AU$65&gt;$AM577))
) / 1000</f>
        <v>0</v>
      </c>
      <c r="CU577" s="231">
        <f t="shared" si="707"/>
        <v>20</v>
      </c>
      <c r="CV577" s="229">
        <f t="shared" si="730"/>
        <v>33</v>
      </c>
      <c r="CW577" s="234">
        <f t="shared" si="731"/>
        <v>4.8487499999999999</v>
      </c>
      <c r="CX577" s="234" cm="1">
        <f t="array" ref="CX577">$BM577 * IF($AH577&lt;=2,
SUMPRODUCT(INDEX($AV$61:$AX$65,,$AI577), INDEX($AY$61:$BE$65,,$AH577), 1 / ($BF$61:$BF$65*CW577 + (1-$BF$61:$BF$65)*CS577), N($AU$61:$AU$65&gt;$AM577)),
SUMPRODUCT(INDEX($AV$46:$AX$55,,$AI577), INDEX($AY$46:$BE$55,,$AH577), 1 / ($BG$46:$BG$55*CW577 + (1-$BG$46:$BG$55)*CS577), N($AU$46:$AU$55&gt;$AM577))
) / 1000</f>
        <v>0</v>
      </c>
      <c r="CY577" s="234" cm="1">
        <f t="array" ref="CY577">$BM577 * IF($AH577&lt;=2,
SUMPRODUCT(INDEX($AV$22:$AX$60,,$AI577), INDEX($AY$22:$BE$60,,$AH577), 1 / ($BF$22:$BF$60*CW577), N($AU$22:$AU$60&gt;$AM577)),
SUMPRODUCT(INDEX($AV$22:$AX$45,,$AI577), INDEX($AY$22:$BE$45,,$AH577), 1 / ($BG$22:$BG$45*CW577), N($AU$22:$AU$45&gt;$AM577))
) / 1000</f>
        <v>0</v>
      </c>
      <c r="CZ577" s="229">
        <f t="shared" si="732"/>
        <v>0</v>
      </c>
      <c r="DA577" s="246"/>
    </row>
    <row r="578" spans="1:105" s="75" customFormat="1" ht="14.25" customHeight="1" x14ac:dyDescent="0.2">
      <c r="A578" s="230" t="b">
        <f t="shared" si="699"/>
        <v>0</v>
      </c>
      <c r="B578" s="253">
        <v>557</v>
      </c>
      <c r="C578" s="266"/>
      <c r="D578" s="266"/>
      <c r="E578" s="254"/>
      <c r="F578" s="255" t="str">
        <f>IF(ISBLANK(E578), "", VLOOKUP(E578, Z!$A$2:$C$4127, 3, FALSE))</f>
        <v/>
      </c>
      <c r="G578" s="256"/>
      <c r="H578" s="256"/>
      <c r="I578" s="256"/>
      <c r="J578" s="257"/>
      <c r="K578" s="258"/>
      <c r="L578" s="267"/>
      <c r="M578" s="268"/>
      <c r="N578" s="259" t="str" cm="1">
        <f t="array" ref="N578">IF($L578&gt;0, INDEX(Clean,1+AK578,$D$1), "")</f>
        <v/>
      </c>
      <c r="O578" s="260"/>
      <c r="P578" s="260"/>
      <c r="Q578" s="261"/>
      <c r="R578" s="264">
        <f t="shared" si="708"/>
        <v>0</v>
      </c>
      <c r="S578" s="259" t="str" cm="1">
        <f t="array" ref="S578">IF($L578&gt;0, INDEX(Clean,1+AL578,$D$1), "")</f>
        <v/>
      </c>
      <c r="T578" s="260"/>
      <c r="U578" s="260"/>
      <c r="V578" s="261"/>
      <c r="W578" s="267"/>
      <c r="X578" s="267"/>
      <c r="Y578" s="257"/>
      <c r="Z578" s="264">
        <f t="shared" si="709"/>
        <v>0</v>
      </c>
      <c r="AA578" s="269"/>
      <c r="AB578" s="266"/>
      <c r="AC578" s="254"/>
      <c r="AD578" s="255" t="str">
        <f>IF(ISBLANK(AC578), "", VLOOKUP(AC578, Z!$A$2:$C$4127, 3, FALSE))</f>
        <v/>
      </c>
      <c r="AE578" s="270"/>
      <c r="AF578" s="265">
        <f t="shared" si="710"/>
        <v>0</v>
      </c>
      <c r="AG578" s="246"/>
      <c r="AH578" s="228">
        <f t="shared" si="733"/>
        <v>1</v>
      </c>
      <c r="AI578" s="228">
        <f t="shared" si="734"/>
        <v>1</v>
      </c>
      <c r="AJ578" s="228">
        <f t="shared" si="735"/>
        <v>0</v>
      </c>
      <c r="AK578" s="228">
        <v>0</v>
      </c>
      <c r="AL578" s="228">
        <v>0</v>
      </c>
      <c r="AM578" s="228">
        <f t="shared" si="711"/>
        <v>-100</v>
      </c>
      <c r="AN578" s="228" cm="1">
        <f t="array" ref="AN578">IF(ISBLANK(G578), 1, IFERROR(MATCH(G578, INDEX(Kat,,1), 0), IFERROR(MATCH(Kat, INDEX(Use,,2), 0), MATCH(Kat, INDEX(Use,,3), 0))))</f>
        <v>1</v>
      </c>
      <c r="AO578" s="246"/>
      <c r="AP578" s="228" cm="1">
        <f t="array" ref="AP578">IF(W578&gt;0, INDEX(Kat, AN578,4), 0)</f>
        <v>0</v>
      </c>
      <c r="AQ578" s="228">
        <f t="shared" si="736"/>
        <v>0</v>
      </c>
      <c r="AR578" s="228" cm="1">
        <f t="array" ref="AR578">IF(X578&gt;0, INDEX(Kat, $AN578, 4+AQ578), 0)</f>
        <v>0</v>
      </c>
      <c r="AS578" s="228" cm="1">
        <f t="array" ref="AS578">IF(X578&gt;0, INDEX(Kat, $AN578, 9+AQ578), 0)</f>
        <v>0</v>
      </c>
      <c r="AT578" s="246"/>
      <c r="AU578" s="262"/>
      <c r="AV578" s="262"/>
      <c r="AW578" s="263"/>
      <c r="AX578" s="263"/>
      <c r="AY578" s="263"/>
      <c r="AZ578" s="263"/>
      <c r="BA578" s="263"/>
      <c r="BB578" s="263"/>
      <c r="BC578" s="263"/>
      <c r="BD578" s="263"/>
      <c r="BE578" s="263"/>
      <c r="BF578" s="263"/>
      <c r="BG578" s="263"/>
      <c r="BH578" s="246"/>
      <c r="BI578" s="228" cm="1">
        <f t="array" ref="BI578">INDEX(Use, $AH578, 4)</f>
        <v>7</v>
      </c>
      <c r="BJ578" s="228">
        <f t="shared" si="712"/>
        <v>32</v>
      </c>
      <c r="BK578" s="228">
        <f t="shared" si="700"/>
        <v>13</v>
      </c>
      <c r="BL578" s="228">
        <f t="shared" si="701"/>
        <v>0</v>
      </c>
      <c r="BM578" s="233" cm="1">
        <f t="array" ref="BM578">L578/IF($M578&gt;0, INDEX($AY$22:$BE$76, $M578+20, $AH578), 1)</f>
        <v>0</v>
      </c>
      <c r="BN578" s="229">
        <f t="shared" si="713"/>
        <v>0</v>
      </c>
      <c r="BO578" s="228">
        <v>35</v>
      </c>
      <c r="BP578" s="229">
        <f t="shared" si="714"/>
        <v>48</v>
      </c>
      <c r="BQ578" s="234">
        <f t="shared" si="715"/>
        <v>3.0748170731707316</v>
      </c>
      <c r="BR578" s="234" cm="1">
        <f t="array" ref="BR578">$BM578 * SUMPRODUCT(INDEX($AV$76:$AX$81,,$AI578),INDEX($AY$76:$BE$81,,$AH578), N($AU$76:$AU$81&gt;$AM578)) / BQ578 / 1000</f>
        <v>0</v>
      </c>
      <c r="BS578" s="231">
        <f t="shared" si="702"/>
        <v>30</v>
      </c>
      <c r="BT578" s="229">
        <f t="shared" si="716"/>
        <v>43</v>
      </c>
      <c r="BU578" s="234">
        <f t="shared" si="717"/>
        <v>3.5018750000000001</v>
      </c>
      <c r="BV578" s="234" cm="1">
        <f t="array" ref="BV578">$BM578 * IF($AH578&lt;=2,
SUMPRODUCT(INDEX($AV$71:$AX$75,,$AI578), INDEX($AY$71:$BE$75,,$AH578), 1 / ($BF$71:$BF$75*BU578 + (1-$BF$71:$BF$75)*BQ578), N($AU$71:$AU$75&gt;$AM578)),
SUMPRODUCT(INDEX($AV$66:$AX$75,,$AI578), INDEX($AY$66:$BE$75,,$AH578), 1 / ($BG$66:$BG$75*BU578 + (1-$BG$66:$BG$75)*BQ578), N($AU$66:$AU$75&gt;$AM578))
) / 1000</f>
        <v>0</v>
      </c>
      <c r="BW578" s="231">
        <f t="shared" si="703"/>
        <v>25</v>
      </c>
      <c r="BX578" s="229">
        <f t="shared" si="718"/>
        <v>38</v>
      </c>
      <c r="BY578" s="234">
        <f t="shared" si="719"/>
        <v>4.0666935483870965</v>
      </c>
      <c r="BZ578" s="234" cm="1">
        <f t="array" ref="BZ578">$BM578 * IF($AH578&lt;=2,
SUMPRODUCT(INDEX($AV$66:$AX$70,,$AI578), INDEX($AY$66:$BE$70,,$AH578), 1 / ($BF$66:$BF$70*BY578 + (1-$BF$66:$BF$70)*BU578), N($AU$66:$AU$70&gt;$AM578)),
SUMPRODUCT(INDEX($AV$56:$AX$65,,$AI578), INDEX($AY$56:$BE$65,,$AH578), 1 / ($BG$56:$BG$65*BY578 + (1-$BG$56:$BG$65)*BU578), N($AU$56:$AU$65&gt;$AM578))
) / 1000</f>
        <v>0</v>
      </c>
      <c r="CA578" s="231">
        <f t="shared" si="704"/>
        <v>20</v>
      </c>
      <c r="CB578" s="229">
        <f t="shared" si="720"/>
        <v>33</v>
      </c>
      <c r="CC578" s="234">
        <f t="shared" si="721"/>
        <v>4.8487499999999999</v>
      </c>
      <c r="CD578" s="234" cm="1">
        <f t="array" ref="CD578">$BM578 * IF($AH578&lt;=2,
SUMPRODUCT(INDEX($AV$61:$AX$65,,$AI578), INDEX($AY$61:$BE$65,,$AH578), 1 / ($BF$61:$BF$65*CC578 + (1-$BF$61:$BF$65)*BY578), N($AU$61:$AU$65&gt;$AM578)),
SUMPRODUCT(INDEX($AV$46:$AX$55,,$AI578), INDEX($AY$46:$BE$55,,$AH578), 1 / ($BG$46:$BG$55*CC578 + (1-$BG$46:$BG$55)*BY578), N($AU$46:$AU$55&gt;$AM578))
) / 1000</f>
        <v>0</v>
      </c>
      <c r="CE578" s="234" cm="1">
        <f t="array" ref="CE578">$BM578 * IF($AH578&lt;=2,
SUMPRODUCT(INDEX($AV$22:$AX$60,,$AI578), INDEX($AY$22:$BE$60,,$AH578), 1 / ($BF$22:$BF$60*CC578), N($AU$22:$AU$60&gt;$AM578)),
SUMPRODUCT(INDEX($AV$22:$AX$45,,$AI578), INDEX($AY$22:$BE$45,,$AH578), 1 / ($BG$22:$BG$45*CC578), N($AU$22:$AU$45&gt;$AM578))
) / 1000</f>
        <v>0</v>
      </c>
      <c r="CF578" s="229">
        <f t="shared" si="722"/>
        <v>0</v>
      </c>
      <c r="CG578" s="246"/>
      <c r="CH578" s="229">
        <f t="shared" si="723"/>
        <v>0</v>
      </c>
      <c r="CI578" s="228">
        <v>35</v>
      </c>
      <c r="CJ578" s="229">
        <f t="shared" si="724"/>
        <v>48</v>
      </c>
      <c r="CK578" s="234">
        <f t="shared" si="725"/>
        <v>3.0748170731707316</v>
      </c>
      <c r="CL578" s="234" cm="1">
        <f t="array" ref="CL578">$BM578 * SUMPRODUCT(INDEX($AV$76:$AX$81,,$AI578),INDEX($AY$76:$BE$81,,$AH578), N($AU$76:$AU$81&gt;$AM578)) / CK578 / 1000</f>
        <v>0</v>
      </c>
      <c r="CM578" s="231">
        <f t="shared" si="705"/>
        <v>30</v>
      </c>
      <c r="CN578" s="229">
        <f t="shared" si="726"/>
        <v>43</v>
      </c>
      <c r="CO578" s="234">
        <f t="shared" si="727"/>
        <v>3.5018750000000001</v>
      </c>
      <c r="CP578" s="234" cm="1">
        <f t="array" ref="CP578">$BM578 * IF($AH578&lt;=2,
SUMPRODUCT(INDEX($AV$71:$AX$75,,$AI578), INDEX($AY$71:$BE$75,,$AH578), 1 / ($BF$71:$BF$75*CO578 + (1-$BF$71:$BF$75)*CK578), N($AU$71:$AU$75&gt;$AM578)),
SUMPRODUCT(INDEX($AV$66:$AX$75,,$AI578), INDEX($AY$66:$BE$75,,$AH578), 1 / ($BG$66:$BG$75*CO578 + (1-$BG$66:$BG$75)*CK578), N($AU$66:$AU$75&gt;$AM578))
) / 1000</f>
        <v>0</v>
      </c>
      <c r="CQ578" s="231">
        <f t="shared" si="706"/>
        <v>25</v>
      </c>
      <c r="CR578" s="229">
        <f t="shared" si="728"/>
        <v>38</v>
      </c>
      <c r="CS578" s="234">
        <f t="shared" si="729"/>
        <v>4.0666935483870965</v>
      </c>
      <c r="CT578" s="234" cm="1">
        <f t="array" ref="CT578">$BM578 * IF($AH578&lt;=2,
SUMPRODUCT(INDEX($AV$66:$AX$70,,$AI578), INDEX($AY$66:$BE$70,,$AH578), 1 / ($BF$66:$BF$70*CS578 + (1-$BF$66:$BF$70)*CO578), N($AU$66:$AU$70&gt;$AM578)),
SUMPRODUCT(INDEX($AV$56:$AX$65,,$AI578), INDEX($AY$56:$BE$65,,$AH578), 1 / ($BG$56:$BG$65*CS578 + (1-$BG$56:$BG$65)*CO578), N($AU$56:$AU$65&gt;$AM578))
) / 1000</f>
        <v>0</v>
      </c>
      <c r="CU578" s="231">
        <f t="shared" si="707"/>
        <v>20</v>
      </c>
      <c r="CV578" s="229">
        <f t="shared" si="730"/>
        <v>33</v>
      </c>
      <c r="CW578" s="234">
        <f t="shared" si="731"/>
        <v>4.8487499999999999</v>
      </c>
      <c r="CX578" s="234" cm="1">
        <f t="array" ref="CX578">$BM578 * IF($AH578&lt;=2,
SUMPRODUCT(INDEX($AV$61:$AX$65,,$AI578), INDEX($AY$61:$BE$65,,$AH578), 1 / ($BF$61:$BF$65*CW578 + (1-$BF$61:$BF$65)*CS578), N($AU$61:$AU$65&gt;$AM578)),
SUMPRODUCT(INDEX($AV$46:$AX$55,,$AI578), INDEX($AY$46:$BE$55,,$AH578), 1 / ($BG$46:$BG$55*CW578 + (1-$BG$46:$BG$55)*CS578), N($AU$46:$AU$55&gt;$AM578))
) / 1000</f>
        <v>0</v>
      </c>
      <c r="CY578" s="234" cm="1">
        <f t="array" ref="CY578">$BM578 * IF($AH578&lt;=2,
SUMPRODUCT(INDEX($AV$22:$AX$60,,$AI578), INDEX($AY$22:$BE$60,,$AH578), 1 / ($BF$22:$BF$60*CW578), N($AU$22:$AU$60&gt;$AM578)),
SUMPRODUCT(INDEX($AV$22:$AX$45,,$AI578), INDEX($AY$22:$BE$45,,$AH578), 1 / ($BG$22:$BG$45*CW578), N($AU$22:$AU$45&gt;$AM578))
) / 1000</f>
        <v>0</v>
      </c>
      <c r="CZ578" s="229">
        <f t="shared" si="732"/>
        <v>0</v>
      </c>
      <c r="DA578" s="246"/>
    </row>
    <row r="579" spans="1:105" s="75" customFormat="1" ht="14.25" customHeight="1" x14ac:dyDescent="0.2">
      <c r="A579" s="230" t="b">
        <f t="shared" si="699"/>
        <v>0</v>
      </c>
      <c r="B579" s="253">
        <v>558</v>
      </c>
      <c r="C579" s="266"/>
      <c r="D579" s="266"/>
      <c r="E579" s="254"/>
      <c r="F579" s="255" t="str">
        <f>IF(ISBLANK(E579), "", VLOOKUP(E579, Z!$A$2:$C$4127, 3, FALSE))</f>
        <v/>
      </c>
      <c r="G579" s="256"/>
      <c r="H579" s="256"/>
      <c r="I579" s="256"/>
      <c r="J579" s="257"/>
      <c r="K579" s="258"/>
      <c r="L579" s="267"/>
      <c r="M579" s="268"/>
      <c r="N579" s="259" t="str" cm="1">
        <f t="array" ref="N579">IF($L579&gt;0, INDEX(Clean,1+AK579,$D$1), "")</f>
        <v/>
      </c>
      <c r="O579" s="260"/>
      <c r="P579" s="260"/>
      <c r="Q579" s="261"/>
      <c r="R579" s="264">
        <f t="shared" si="708"/>
        <v>0</v>
      </c>
      <c r="S579" s="259" t="str" cm="1">
        <f t="array" ref="S579">IF($L579&gt;0, INDEX(Clean,1+AL579,$D$1), "")</f>
        <v/>
      </c>
      <c r="T579" s="260"/>
      <c r="U579" s="260"/>
      <c r="V579" s="261"/>
      <c r="W579" s="267"/>
      <c r="X579" s="267"/>
      <c r="Y579" s="257"/>
      <c r="Z579" s="264">
        <f t="shared" si="709"/>
        <v>0</v>
      </c>
      <c r="AA579" s="269"/>
      <c r="AB579" s="266"/>
      <c r="AC579" s="254"/>
      <c r="AD579" s="255" t="str">
        <f>IF(ISBLANK(AC579), "", VLOOKUP(AC579, Z!$A$2:$C$4127, 3, FALSE))</f>
        <v/>
      </c>
      <c r="AE579" s="270"/>
      <c r="AF579" s="265">
        <f t="shared" si="710"/>
        <v>0</v>
      </c>
      <c r="AG579" s="246"/>
      <c r="AH579" s="228">
        <f t="shared" si="733"/>
        <v>1</v>
      </c>
      <c r="AI579" s="228">
        <f t="shared" si="734"/>
        <v>1</v>
      </c>
      <c r="AJ579" s="228">
        <f t="shared" si="735"/>
        <v>0</v>
      </c>
      <c r="AK579" s="228">
        <v>0</v>
      </c>
      <c r="AL579" s="228">
        <v>0</v>
      </c>
      <c r="AM579" s="228">
        <f t="shared" si="711"/>
        <v>-100</v>
      </c>
      <c r="AN579" s="228" cm="1">
        <f t="array" ref="AN579">IF(ISBLANK(G579), 1, IFERROR(MATCH(G579, INDEX(Kat,,1), 0), IFERROR(MATCH(Kat, INDEX(Use,,2), 0), MATCH(Kat, INDEX(Use,,3), 0))))</f>
        <v>1</v>
      </c>
      <c r="AO579" s="246"/>
      <c r="AP579" s="228" cm="1">
        <f t="array" ref="AP579">IF(W579&gt;0, INDEX(Kat, AN579,4), 0)</f>
        <v>0</v>
      </c>
      <c r="AQ579" s="228">
        <f t="shared" si="736"/>
        <v>0</v>
      </c>
      <c r="AR579" s="228" cm="1">
        <f t="array" ref="AR579">IF(X579&gt;0, INDEX(Kat, $AN579, 4+AQ579), 0)</f>
        <v>0</v>
      </c>
      <c r="AS579" s="228" cm="1">
        <f t="array" ref="AS579">IF(X579&gt;0, INDEX(Kat, $AN579, 9+AQ579), 0)</f>
        <v>0</v>
      </c>
      <c r="AT579" s="246"/>
      <c r="AU579" s="262"/>
      <c r="AV579" s="262"/>
      <c r="AW579" s="263"/>
      <c r="AX579" s="263"/>
      <c r="AY579" s="263"/>
      <c r="AZ579" s="263"/>
      <c r="BA579" s="263"/>
      <c r="BB579" s="263"/>
      <c r="BC579" s="263"/>
      <c r="BD579" s="263"/>
      <c r="BE579" s="263"/>
      <c r="BF579" s="263"/>
      <c r="BG579" s="263"/>
      <c r="BH579" s="246"/>
      <c r="BI579" s="228" cm="1">
        <f t="array" ref="BI579">INDEX(Use, $AH579, 4)</f>
        <v>7</v>
      </c>
      <c r="BJ579" s="228">
        <f t="shared" si="712"/>
        <v>32</v>
      </c>
      <c r="BK579" s="228">
        <f t="shared" si="700"/>
        <v>13</v>
      </c>
      <c r="BL579" s="228">
        <f t="shared" si="701"/>
        <v>0</v>
      </c>
      <c r="BM579" s="233" cm="1">
        <f t="array" ref="BM579">L579/IF($M579&gt;0, INDEX($AY$22:$BE$76, $M579+20, $AH579), 1)</f>
        <v>0</v>
      </c>
      <c r="BN579" s="229">
        <f t="shared" si="713"/>
        <v>0</v>
      </c>
      <c r="BO579" s="228">
        <v>35</v>
      </c>
      <c r="BP579" s="229">
        <f t="shared" si="714"/>
        <v>48</v>
      </c>
      <c r="BQ579" s="234">
        <f t="shared" si="715"/>
        <v>3.0748170731707316</v>
      </c>
      <c r="BR579" s="234" cm="1">
        <f t="array" ref="BR579">$BM579 * SUMPRODUCT(INDEX($AV$76:$AX$81,,$AI579),INDEX($AY$76:$BE$81,,$AH579), N($AU$76:$AU$81&gt;$AM579)) / BQ579 / 1000</f>
        <v>0</v>
      </c>
      <c r="BS579" s="231">
        <f t="shared" si="702"/>
        <v>30</v>
      </c>
      <c r="BT579" s="229">
        <f t="shared" si="716"/>
        <v>43</v>
      </c>
      <c r="BU579" s="234">
        <f t="shared" si="717"/>
        <v>3.5018750000000001</v>
      </c>
      <c r="BV579" s="234" cm="1">
        <f t="array" ref="BV579">$BM579 * IF($AH579&lt;=2,
SUMPRODUCT(INDEX($AV$71:$AX$75,,$AI579), INDEX($AY$71:$BE$75,,$AH579), 1 / ($BF$71:$BF$75*BU579 + (1-$BF$71:$BF$75)*BQ579), N($AU$71:$AU$75&gt;$AM579)),
SUMPRODUCT(INDEX($AV$66:$AX$75,,$AI579), INDEX($AY$66:$BE$75,,$AH579), 1 / ($BG$66:$BG$75*BU579 + (1-$BG$66:$BG$75)*BQ579), N($AU$66:$AU$75&gt;$AM579))
) / 1000</f>
        <v>0</v>
      </c>
      <c r="BW579" s="231">
        <f t="shared" si="703"/>
        <v>25</v>
      </c>
      <c r="BX579" s="229">
        <f t="shared" si="718"/>
        <v>38</v>
      </c>
      <c r="BY579" s="234">
        <f t="shared" si="719"/>
        <v>4.0666935483870965</v>
      </c>
      <c r="BZ579" s="234" cm="1">
        <f t="array" ref="BZ579">$BM579 * IF($AH579&lt;=2,
SUMPRODUCT(INDEX($AV$66:$AX$70,,$AI579), INDEX($AY$66:$BE$70,,$AH579), 1 / ($BF$66:$BF$70*BY579 + (1-$BF$66:$BF$70)*BU579), N($AU$66:$AU$70&gt;$AM579)),
SUMPRODUCT(INDEX($AV$56:$AX$65,,$AI579), INDEX($AY$56:$BE$65,,$AH579), 1 / ($BG$56:$BG$65*BY579 + (1-$BG$56:$BG$65)*BU579), N($AU$56:$AU$65&gt;$AM579))
) / 1000</f>
        <v>0</v>
      </c>
      <c r="CA579" s="231">
        <f t="shared" si="704"/>
        <v>20</v>
      </c>
      <c r="CB579" s="229">
        <f t="shared" si="720"/>
        <v>33</v>
      </c>
      <c r="CC579" s="234">
        <f t="shared" si="721"/>
        <v>4.8487499999999999</v>
      </c>
      <c r="CD579" s="234" cm="1">
        <f t="array" ref="CD579">$BM579 * IF($AH579&lt;=2,
SUMPRODUCT(INDEX($AV$61:$AX$65,,$AI579), INDEX($AY$61:$BE$65,,$AH579), 1 / ($BF$61:$BF$65*CC579 + (1-$BF$61:$BF$65)*BY579), N($AU$61:$AU$65&gt;$AM579)),
SUMPRODUCT(INDEX($AV$46:$AX$55,,$AI579), INDEX($AY$46:$BE$55,,$AH579), 1 / ($BG$46:$BG$55*CC579 + (1-$BG$46:$BG$55)*BY579), N($AU$46:$AU$55&gt;$AM579))
) / 1000</f>
        <v>0</v>
      </c>
      <c r="CE579" s="234" cm="1">
        <f t="array" ref="CE579">$BM579 * IF($AH579&lt;=2,
SUMPRODUCT(INDEX($AV$22:$AX$60,,$AI579), INDEX($AY$22:$BE$60,,$AH579), 1 / ($BF$22:$BF$60*CC579), N($AU$22:$AU$60&gt;$AM579)),
SUMPRODUCT(INDEX($AV$22:$AX$45,,$AI579), INDEX($AY$22:$BE$45,,$AH579), 1 / ($BG$22:$BG$45*CC579), N($AU$22:$AU$45&gt;$AM579))
) / 1000</f>
        <v>0</v>
      </c>
      <c r="CF579" s="229">
        <f t="shared" si="722"/>
        <v>0</v>
      </c>
      <c r="CG579" s="246"/>
      <c r="CH579" s="229">
        <f t="shared" si="723"/>
        <v>0</v>
      </c>
      <c r="CI579" s="228">
        <v>35</v>
      </c>
      <c r="CJ579" s="229">
        <f t="shared" si="724"/>
        <v>48</v>
      </c>
      <c r="CK579" s="234">
        <f t="shared" si="725"/>
        <v>3.0748170731707316</v>
      </c>
      <c r="CL579" s="234" cm="1">
        <f t="array" ref="CL579">$BM579 * SUMPRODUCT(INDEX($AV$76:$AX$81,,$AI579),INDEX($AY$76:$BE$81,,$AH579), N($AU$76:$AU$81&gt;$AM579)) / CK579 / 1000</f>
        <v>0</v>
      </c>
      <c r="CM579" s="231">
        <f t="shared" si="705"/>
        <v>30</v>
      </c>
      <c r="CN579" s="229">
        <f t="shared" si="726"/>
        <v>43</v>
      </c>
      <c r="CO579" s="234">
        <f t="shared" si="727"/>
        <v>3.5018750000000001</v>
      </c>
      <c r="CP579" s="234" cm="1">
        <f t="array" ref="CP579">$BM579 * IF($AH579&lt;=2,
SUMPRODUCT(INDEX($AV$71:$AX$75,,$AI579), INDEX($AY$71:$BE$75,,$AH579), 1 / ($BF$71:$BF$75*CO579 + (1-$BF$71:$BF$75)*CK579), N($AU$71:$AU$75&gt;$AM579)),
SUMPRODUCT(INDEX($AV$66:$AX$75,,$AI579), INDEX($AY$66:$BE$75,,$AH579), 1 / ($BG$66:$BG$75*CO579 + (1-$BG$66:$BG$75)*CK579), N($AU$66:$AU$75&gt;$AM579))
) / 1000</f>
        <v>0</v>
      </c>
      <c r="CQ579" s="231">
        <f t="shared" si="706"/>
        <v>25</v>
      </c>
      <c r="CR579" s="229">
        <f t="shared" si="728"/>
        <v>38</v>
      </c>
      <c r="CS579" s="234">
        <f t="shared" si="729"/>
        <v>4.0666935483870965</v>
      </c>
      <c r="CT579" s="234" cm="1">
        <f t="array" ref="CT579">$BM579 * IF($AH579&lt;=2,
SUMPRODUCT(INDEX($AV$66:$AX$70,,$AI579), INDEX($AY$66:$BE$70,,$AH579), 1 / ($BF$66:$BF$70*CS579 + (1-$BF$66:$BF$70)*CO579), N($AU$66:$AU$70&gt;$AM579)),
SUMPRODUCT(INDEX($AV$56:$AX$65,,$AI579), INDEX($AY$56:$BE$65,,$AH579), 1 / ($BG$56:$BG$65*CS579 + (1-$BG$56:$BG$65)*CO579), N($AU$56:$AU$65&gt;$AM579))
) / 1000</f>
        <v>0</v>
      </c>
      <c r="CU579" s="231">
        <f t="shared" si="707"/>
        <v>20</v>
      </c>
      <c r="CV579" s="229">
        <f t="shared" si="730"/>
        <v>33</v>
      </c>
      <c r="CW579" s="234">
        <f t="shared" si="731"/>
        <v>4.8487499999999999</v>
      </c>
      <c r="CX579" s="234" cm="1">
        <f t="array" ref="CX579">$BM579 * IF($AH579&lt;=2,
SUMPRODUCT(INDEX($AV$61:$AX$65,,$AI579), INDEX($AY$61:$BE$65,,$AH579), 1 / ($BF$61:$BF$65*CW579 + (1-$BF$61:$BF$65)*CS579), N($AU$61:$AU$65&gt;$AM579)),
SUMPRODUCT(INDEX($AV$46:$AX$55,,$AI579), INDEX($AY$46:$BE$55,,$AH579), 1 / ($BG$46:$BG$55*CW579 + (1-$BG$46:$BG$55)*CS579), N($AU$46:$AU$55&gt;$AM579))
) / 1000</f>
        <v>0</v>
      </c>
      <c r="CY579" s="234" cm="1">
        <f t="array" ref="CY579">$BM579 * IF($AH579&lt;=2,
SUMPRODUCT(INDEX($AV$22:$AX$60,,$AI579), INDEX($AY$22:$BE$60,,$AH579), 1 / ($BF$22:$BF$60*CW579), N($AU$22:$AU$60&gt;$AM579)),
SUMPRODUCT(INDEX($AV$22:$AX$45,,$AI579), INDEX($AY$22:$BE$45,,$AH579), 1 / ($BG$22:$BG$45*CW579), N($AU$22:$AU$45&gt;$AM579))
) / 1000</f>
        <v>0</v>
      </c>
      <c r="CZ579" s="229">
        <f t="shared" si="732"/>
        <v>0</v>
      </c>
      <c r="DA579" s="246"/>
    </row>
    <row r="580" spans="1:105" s="75" customFormat="1" ht="14.25" customHeight="1" x14ac:dyDescent="0.2">
      <c r="A580" s="230" t="b">
        <f t="shared" si="699"/>
        <v>0</v>
      </c>
      <c r="B580" s="253">
        <v>559</v>
      </c>
      <c r="C580" s="266"/>
      <c r="D580" s="266"/>
      <c r="E580" s="254"/>
      <c r="F580" s="255" t="str">
        <f>IF(ISBLANK(E580), "", VLOOKUP(E580, Z!$A$2:$C$4127, 3, FALSE))</f>
        <v/>
      </c>
      <c r="G580" s="256"/>
      <c r="H580" s="256"/>
      <c r="I580" s="256"/>
      <c r="J580" s="257"/>
      <c r="K580" s="258"/>
      <c r="L580" s="267"/>
      <c r="M580" s="268"/>
      <c r="N580" s="259" t="str" cm="1">
        <f t="array" ref="N580">IF($L580&gt;0, INDEX(Clean,1+AK580,$D$1), "")</f>
        <v/>
      </c>
      <c r="O580" s="260"/>
      <c r="P580" s="260"/>
      <c r="Q580" s="261"/>
      <c r="R580" s="264">
        <f t="shared" si="708"/>
        <v>0</v>
      </c>
      <c r="S580" s="259" t="str" cm="1">
        <f t="array" ref="S580">IF($L580&gt;0, INDEX(Clean,1+AL580,$D$1), "")</f>
        <v/>
      </c>
      <c r="T580" s="260"/>
      <c r="U580" s="260"/>
      <c r="V580" s="261"/>
      <c r="W580" s="267"/>
      <c r="X580" s="267"/>
      <c r="Y580" s="257"/>
      <c r="Z580" s="264">
        <f t="shared" si="709"/>
        <v>0</v>
      </c>
      <c r="AA580" s="269"/>
      <c r="AB580" s="266"/>
      <c r="AC580" s="254"/>
      <c r="AD580" s="255" t="str">
        <f>IF(ISBLANK(AC580), "", VLOOKUP(AC580, Z!$A$2:$C$4127, 3, FALSE))</f>
        <v/>
      </c>
      <c r="AE580" s="270"/>
      <c r="AF580" s="265">
        <f t="shared" si="710"/>
        <v>0</v>
      </c>
      <c r="AG580" s="246"/>
      <c r="AH580" s="228">
        <f t="shared" si="733"/>
        <v>1</v>
      </c>
      <c r="AI580" s="228">
        <f t="shared" si="734"/>
        <v>1</v>
      </c>
      <c r="AJ580" s="228">
        <f t="shared" si="735"/>
        <v>0</v>
      </c>
      <c r="AK580" s="228">
        <v>0</v>
      </c>
      <c r="AL580" s="228">
        <v>0</v>
      </c>
      <c r="AM580" s="228">
        <f t="shared" si="711"/>
        <v>-100</v>
      </c>
      <c r="AN580" s="228" cm="1">
        <f t="array" ref="AN580">IF(ISBLANK(G580), 1, IFERROR(MATCH(G580, INDEX(Kat,,1), 0), IFERROR(MATCH(Kat, INDEX(Use,,2), 0), MATCH(Kat, INDEX(Use,,3), 0))))</f>
        <v>1</v>
      </c>
      <c r="AO580" s="246"/>
      <c r="AP580" s="228" cm="1">
        <f t="array" ref="AP580">IF(W580&gt;0, INDEX(Kat, AN580,4), 0)</f>
        <v>0</v>
      </c>
      <c r="AQ580" s="228">
        <f t="shared" si="736"/>
        <v>0</v>
      </c>
      <c r="AR580" s="228" cm="1">
        <f t="array" ref="AR580">IF(X580&gt;0, INDEX(Kat, $AN580, 4+AQ580), 0)</f>
        <v>0</v>
      </c>
      <c r="AS580" s="228" cm="1">
        <f t="array" ref="AS580">IF(X580&gt;0, INDEX(Kat, $AN580, 9+AQ580), 0)</f>
        <v>0</v>
      </c>
      <c r="AT580" s="246"/>
      <c r="AU580" s="262"/>
      <c r="AV580" s="262"/>
      <c r="AW580" s="263"/>
      <c r="AX580" s="263"/>
      <c r="AY580" s="263"/>
      <c r="AZ580" s="263"/>
      <c r="BA580" s="263"/>
      <c r="BB580" s="263"/>
      <c r="BC580" s="263"/>
      <c r="BD580" s="263"/>
      <c r="BE580" s="263"/>
      <c r="BF580" s="263"/>
      <c r="BG580" s="263"/>
      <c r="BH580" s="246"/>
      <c r="BI580" s="228" cm="1">
        <f t="array" ref="BI580">INDEX(Use, $AH580, 4)</f>
        <v>7</v>
      </c>
      <c r="BJ580" s="228">
        <f t="shared" si="712"/>
        <v>32</v>
      </c>
      <c r="BK580" s="228">
        <f t="shared" si="700"/>
        <v>13</v>
      </c>
      <c r="BL580" s="228">
        <f t="shared" si="701"/>
        <v>0</v>
      </c>
      <c r="BM580" s="233" cm="1">
        <f t="array" ref="BM580">L580/IF($M580&gt;0, INDEX($AY$22:$BE$76, $M580+20, $AH580), 1)</f>
        <v>0</v>
      </c>
      <c r="BN580" s="229">
        <f t="shared" si="713"/>
        <v>0</v>
      </c>
      <c r="BO580" s="228">
        <v>35</v>
      </c>
      <c r="BP580" s="229">
        <f t="shared" si="714"/>
        <v>48</v>
      </c>
      <c r="BQ580" s="234">
        <f t="shared" si="715"/>
        <v>3.0748170731707316</v>
      </c>
      <c r="BR580" s="234" cm="1">
        <f t="array" ref="BR580">$BM580 * SUMPRODUCT(INDEX($AV$76:$AX$81,,$AI580),INDEX($AY$76:$BE$81,,$AH580), N($AU$76:$AU$81&gt;$AM580)) / BQ580 / 1000</f>
        <v>0</v>
      </c>
      <c r="BS580" s="231">
        <f t="shared" si="702"/>
        <v>30</v>
      </c>
      <c r="BT580" s="229">
        <f t="shared" si="716"/>
        <v>43</v>
      </c>
      <c r="BU580" s="234">
        <f t="shared" si="717"/>
        <v>3.5018750000000001</v>
      </c>
      <c r="BV580" s="234" cm="1">
        <f t="array" ref="BV580">$BM580 * IF($AH580&lt;=2,
SUMPRODUCT(INDEX($AV$71:$AX$75,,$AI580), INDEX($AY$71:$BE$75,,$AH580), 1 / ($BF$71:$BF$75*BU580 + (1-$BF$71:$BF$75)*BQ580), N($AU$71:$AU$75&gt;$AM580)),
SUMPRODUCT(INDEX($AV$66:$AX$75,,$AI580), INDEX($AY$66:$BE$75,,$AH580), 1 / ($BG$66:$BG$75*BU580 + (1-$BG$66:$BG$75)*BQ580), N($AU$66:$AU$75&gt;$AM580))
) / 1000</f>
        <v>0</v>
      </c>
      <c r="BW580" s="231">
        <f t="shared" si="703"/>
        <v>25</v>
      </c>
      <c r="BX580" s="229">
        <f t="shared" si="718"/>
        <v>38</v>
      </c>
      <c r="BY580" s="234">
        <f t="shared" si="719"/>
        <v>4.0666935483870965</v>
      </c>
      <c r="BZ580" s="234" cm="1">
        <f t="array" ref="BZ580">$BM580 * IF($AH580&lt;=2,
SUMPRODUCT(INDEX($AV$66:$AX$70,,$AI580), INDEX($AY$66:$BE$70,,$AH580), 1 / ($BF$66:$BF$70*BY580 + (1-$BF$66:$BF$70)*BU580), N($AU$66:$AU$70&gt;$AM580)),
SUMPRODUCT(INDEX($AV$56:$AX$65,,$AI580), INDEX($AY$56:$BE$65,,$AH580), 1 / ($BG$56:$BG$65*BY580 + (1-$BG$56:$BG$65)*BU580), N($AU$56:$AU$65&gt;$AM580))
) / 1000</f>
        <v>0</v>
      </c>
      <c r="CA580" s="231">
        <f t="shared" si="704"/>
        <v>20</v>
      </c>
      <c r="CB580" s="229">
        <f t="shared" si="720"/>
        <v>33</v>
      </c>
      <c r="CC580" s="234">
        <f t="shared" si="721"/>
        <v>4.8487499999999999</v>
      </c>
      <c r="CD580" s="234" cm="1">
        <f t="array" ref="CD580">$BM580 * IF($AH580&lt;=2,
SUMPRODUCT(INDEX($AV$61:$AX$65,,$AI580), INDEX($AY$61:$BE$65,,$AH580), 1 / ($BF$61:$BF$65*CC580 + (1-$BF$61:$BF$65)*BY580), N($AU$61:$AU$65&gt;$AM580)),
SUMPRODUCT(INDEX($AV$46:$AX$55,,$AI580), INDEX($AY$46:$BE$55,,$AH580), 1 / ($BG$46:$BG$55*CC580 + (1-$BG$46:$BG$55)*BY580), N($AU$46:$AU$55&gt;$AM580))
) / 1000</f>
        <v>0</v>
      </c>
      <c r="CE580" s="234" cm="1">
        <f t="array" ref="CE580">$BM580 * IF($AH580&lt;=2,
SUMPRODUCT(INDEX($AV$22:$AX$60,,$AI580), INDEX($AY$22:$BE$60,,$AH580), 1 / ($BF$22:$BF$60*CC580), N($AU$22:$AU$60&gt;$AM580)),
SUMPRODUCT(INDEX($AV$22:$AX$45,,$AI580), INDEX($AY$22:$BE$45,,$AH580), 1 / ($BG$22:$BG$45*CC580), N($AU$22:$AU$45&gt;$AM580))
) / 1000</f>
        <v>0</v>
      </c>
      <c r="CF580" s="229">
        <f t="shared" si="722"/>
        <v>0</v>
      </c>
      <c r="CG580" s="246"/>
      <c r="CH580" s="229">
        <f t="shared" si="723"/>
        <v>0</v>
      </c>
      <c r="CI580" s="228">
        <v>35</v>
      </c>
      <c r="CJ580" s="229">
        <f t="shared" si="724"/>
        <v>48</v>
      </c>
      <c r="CK580" s="234">
        <f t="shared" si="725"/>
        <v>3.0748170731707316</v>
      </c>
      <c r="CL580" s="234" cm="1">
        <f t="array" ref="CL580">$BM580 * SUMPRODUCT(INDEX($AV$76:$AX$81,,$AI580),INDEX($AY$76:$BE$81,,$AH580), N($AU$76:$AU$81&gt;$AM580)) / CK580 / 1000</f>
        <v>0</v>
      </c>
      <c r="CM580" s="231">
        <f t="shared" si="705"/>
        <v>30</v>
      </c>
      <c r="CN580" s="229">
        <f t="shared" si="726"/>
        <v>43</v>
      </c>
      <c r="CO580" s="234">
        <f t="shared" si="727"/>
        <v>3.5018750000000001</v>
      </c>
      <c r="CP580" s="234" cm="1">
        <f t="array" ref="CP580">$BM580 * IF($AH580&lt;=2,
SUMPRODUCT(INDEX($AV$71:$AX$75,,$AI580), INDEX($AY$71:$BE$75,,$AH580), 1 / ($BF$71:$BF$75*CO580 + (1-$BF$71:$BF$75)*CK580), N($AU$71:$AU$75&gt;$AM580)),
SUMPRODUCT(INDEX($AV$66:$AX$75,,$AI580), INDEX($AY$66:$BE$75,,$AH580), 1 / ($BG$66:$BG$75*CO580 + (1-$BG$66:$BG$75)*CK580), N($AU$66:$AU$75&gt;$AM580))
) / 1000</f>
        <v>0</v>
      </c>
      <c r="CQ580" s="231">
        <f t="shared" si="706"/>
        <v>25</v>
      </c>
      <c r="CR580" s="229">
        <f t="shared" si="728"/>
        <v>38</v>
      </c>
      <c r="CS580" s="234">
        <f t="shared" si="729"/>
        <v>4.0666935483870965</v>
      </c>
      <c r="CT580" s="234" cm="1">
        <f t="array" ref="CT580">$BM580 * IF($AH580&lt;=2,
SUMPRODUCT(INDEX($AV$66:$AX$70,,$AI580), INDEX($AY$66:$BE$70,,$AH580), 1 / ($BF$66:$BF$70*CS580 + (1-$BF$66:$BF$70)*CO580), N($AU$66:$AU$70&gt;$AM580)),
SUMPRODUCT(INDEX($AV$56:$AX$65,,$AI580), INDEX($AY$56:$BE$65,,$AH580), 1 / ($BG$56:$BG$65*CS580 + (1-$BG$56:$BG$65)*CO580), N($AU$56:$AU$65&gt;$AM580))
) / 1000</f>
        <v>0</v>
      </c>
      <c r="CU580" s="231">
        <f t="shared" si="707"/>
        <v>20</v>
      </c>
      <c r="CV580" s="229">
        <f t="shared" si="730"/>
        <v>33</v>
      </c>
      <c r="CW580" s="234">
        <f t="shared" si="731"/>
        <v>4.8487499999999999</v>
      </c>
      <c r="CX580" s="234" cm="1">
        <f t="array" ref="CX580">$BM580 * IF($AH580&lt;=2,
SUMPRODUCT(INDEX($AV$61:$AX$65,,$AI580), INDEX($AY$61:$BE$65,,$AH580), 1 / ($BF$61:$BF$65*CW580 + (1-$BF$61:$BF$65)*CS580), N($AU$61:$AU$65&gt;$AM580)),
SUMPRODUCT(INDEX($AV$46:$AX$55,,$AI580), INDEX($AY$46:$BE$55,,$AH580), 1 / ($BG$46:$BG$55*CW580 + (1-$BG$46:$BG$55)*CS580), N($AU$46:$AU$55&gt;$AM580))
) / 1000</f>
        <v>0</v>
      </c>
      <c r="CY580" s="234" cm="1">
        <f t="array" ref="CY580">$BM580 * IF($AH580&lt;=2,
SUMPRODUCT(INDEX($AV$22:$AX$60,,$AI580), INDEX($AY$22:$BE$60,,$AH580), 1 / ($BF$22:$BF$60*CW580), N($AU$22:$AU$60&gt;$AM580)),
SUMPRODUCT(INDEX($AV$22:$AX$45,,$AI580), INDEX($AY$22:$BE$45,,$AH580), 1 / ($BG$22:$BG$45*CW580), N($AU$22:$AU$45&gt;$AM580))
) / 1000</f>
        <v>0</v>
      </c>
      <c r="CZ580" s="229">
        <f t="shared" si="732"/>
        <v>0</v>
      </c>
      <c r="DA580" s="246"/>
    </row>
    <row r="581" spans="1:105" s="75" customFormat="1" ht="14.25" customHeight="1" x14ac:dyDescent="0.2">
      <c r="A581" s="230" t="b">
        <f t="shared" si="699"/>
        <v>0</v>
      </c>
      <c r="B581" s="253">
        <v>560</v>
      </c>
      <c r="C581" s="266"/>
      <c r="D581" s="266"/>
      <c r="E581" s="254"/>
      <c r="F581" s="255" t="str">
        <f>IF(ISBLANK(E581), "", VLOOKUP(E581, Z!$A$2:$C$4127, 3, FALSE))</f>
        <v/>
      </c>
      <c r="G581" s="256"/>
      <c r="H581" s="256"/>
      <c r="I581" s="256"/>
      <c r="J581" s="257"/>
      <c r="K581" s="258"/>
      <c r="L581" s="267"/>
      <c r="M581" s="268"/>
      <c r="N581" s="259" t="str" cm="1">
        <f t="array" ref="N581">IF($L581&gt;0, INDEX(Clean,1+AK581,$D$1), "")</f>
        <v/>
      </c>
      <c r="O581" s="260"/>
      <c r="P581" s="260"/>
      <c r="Q581" s="261"/>
      <c r="R581" s="264">
        <f t="shared" si="708"/>
        <v>0</v>
      </c>
      <c r="S581" s="259" t="str" cm="1">
        <f t="array" ref="S581">IF($L581&gt;0, INDEX(Clean,1+AL581,$D$1), "")</f>
        <v/>
      </c>
      <c r="T581" s="260"/>
      <c r="U581" s="260"/>
      <c r="V581" s="261"/>
      <c r="W581" s="267"/>
      <c r="X581" s="267"/>
      <c r="Y581" s="257"/>
      <c r="Z581" s="264">
        <f t="shared" si="709"/>
        <v>0</v>
      </c>
      <c r="AA581" s="269"/>
      <c r="AB581" s="266"/>
      <c r="AC581" s="254"/>
      <c r="AD581" s="255" t="str">
        <f>IF(ISBLANK(AC581), "", VLOOKUP(AC581, Z!$A$2:$C$4127, 3, FALSE))</f>
        <v/>
      </c>
      <c r="AE581" s="270"/>
      <c r="AF581" s="265">
        <f t="shared" si="710"/>
        <v>0</v>
      </c>
      <c r="AG581" s="246"/>
      <c r="AH581" s="228">
        <f t="shared" si="733"/>
        <v>1</v>
      </c>
      <c r="AI581" s="228">
        <f t="shared" si="734"/>
        <v>1</v>
      </c>
      <c r="AJ581" s="228">
        <f t="shared" si="735"/>
        <v>0</v>
      </c>
      <c r="AK581" s="228">
        <v>0</v>
      </c>
      <c r="AL581" s="228">
        <v>0</v>
      </c>
      <c r="AM581" s="228">
        <f t="shared" si="711"/>
        <v>-100</v>
      </c>
      <c r="AN581" s="228" cm="1">
        <f t="array" ref="AN581">IF(ISBLANK(G581), 1, IFERROR(MATCH(G581, INDEX(Kat,,1), 0), IFERROR(MATCH(Kat, INDEX(Use,,2), 0), MATCH(Kat, INDEX(Use,,3), 0))))</f>
        <v>1</v>
      </c>
      <c r="AO581" s="246"/>
      <c r="AP581" s="228" cm="1">
        <f t="array" ref="AP581">IF(W581&gt;0, INDEX(Kat, AN581,4), 0)</f>
        <v>0</v>
      </c>
      <c r="AQ581" s="228">
        <f t="shared" si="736"/>
        <v>0</v>
      </c>
      <c r="AR581" s="228" cm="1">
        <f t="array" ref="AR581">IF(X581&gt;0, INDEX(Kat, $AN581, 4+AQ581), 0)</f>
        <v>0</v>
      </c>
      <c r="AS581" s="228" cm="1">
        <f t="array" ref="AS581">IF(X581&gt;0, INDEX(Kat, $AN581, 9+AQ581), 0)</f>
        <v>0</v>
      </c>
      <c r="AT581" s="246"/>
      <c r="AU581" s="262"/>
      <c r="AV581" s="262"/>
      <c r="AW581" s="263"/>
      <c r="AX581" s="263"/>
      <c r="AY581" s="263"/>
      <c r="AZ581" s="263"/>
      <c r="BA581" s="263"/>
      <c r="BB581" s="263"/>
      <c r="BC581" s="263"/>
      <c r="BD581" s="263"/>
      <c r="BE581" s="263"/>
      <c r="BF581" s="263"/>
      <c r="BG581" s="263"/>
      <c r="BH581" s="246"/>
      <c r="BI581" s="228" cm="1">
        <f t="array" ref="BI581">INDEX(Use, $AH581, 4)</f>
        <v>7</v>
      </c>
      <c r="BJ581" s="228">
        <f t="shared" si="712"/>
        <v>32</v>
      </c>
      <c r="BK581" s="228">
        <f t="shared" si="700"/>
        <v>13</v>
      </c>
      <c r="BL581" s="228">
        <f t="shared" si="701"/>
        <v>0</v>
      </c>
      <c r="BM581" s="233" cm="1">
        <f t="array" ref="BM581">L581/IF($M581&gt;0, INDEX($AY$22:$BE$76, $M581+20, $AH581), 1)</f>
        <v>0</v>
      </c>
      <c r="BN581" s="229">
        <f t="shared" si="713"/>
        <v>0</v>
      </c>
      <c r="BO581" s="228">
        <v>35</v>
      </c>
      <c r="BP581" s="229">
        <f t="shared" si="714"/>
        <v>48</v>
      </c>
      <c r="BQ581" s="234">
        <f t="shared" si="715"/>
        <v>3.0748170731707316</v>
      </c>
      <c r="BR581" s="234" cm="1">
        <f t="array" ref="BR581">$BM581 * SUMPRODUCT(INDEX($AV$76:$AX$81,,$AI581),INDEX($AY$76:$BE$81,,$AH581), N($AU$76:$AU$81&gt;$AM581)) / BQ581 / 1000</f>
        <v>0</v>
      </c>
      <c r="BS581" s="231">
        <f t="shared" si="702"/>
        <v>30</v>
      </c>
      <c r="BT581" s="229">
        <f t="shared" si="716"/>
        <v>43</v>
      </c>
      <c r="BU581" s="234">
        <f t="shared" si="717"/>
        <v>3.5018750000000001</v>
      </c>
      <c r="BV581" s="234" cm="1">
        <f t="array" ref="BV581">$BM581 * IF($AH581&lt;=2,
SUMPRODUCT(INDEX($AV$71:$AX$75,,$AI581), INDEX($AY$71:$BE$75,,$AH581), 1 / ($BF$71:$BF$75*BU581 + (1-$BF$71:$BF$75)*BQ581), N($AU$71:$AU$75&gt;$AM581)),
SUMPRODUCT(INDEX($AV$66:$AX$75,,$AI581), INDEX($AY$66:$BE$75,,$AH581), 1 / ($BG$66:$BG$75*BU581 + (1-$BG$66:$BG$75)*BQ581), N($AU$66:$AU$75&gt;$AM581))
) / 1000</f>
        <v>0</v>
      </c>
      <c r="BW581" s="231">
        <f t="shared" si="703"/>
        <v>25</v>
      </c>
      <c r="BX581" s="229">
        <f t="shared" si="718"/>
        <v>38</v>
      </c>
      <c r="BY581" s="234">
        <f t="shared" si="719"/>
        <v>4.0666935483870965</v>
      </c>
      <c r="BZ581" s="234" cm="1">
        <f t="array" ref="BZ581">$BM581 * IF($AH581&lt;=2,
SUMPRODUCT(INDEX($AV$66:$AX$70,,$AI581), INDEX($AY$66:$BE$70,,$AH581), 1 / ($BF$66:$BF$70*BY581 + (1-$BF$66:$BF$70)*BU581), N($AU$66:$AU$70&gt;$AM581)),
SUMPRODUCT(INDEX($AV$56:$AX$65,,$AI581), INDEX($AY$56:$BE$65,,$AH581), 1 / ($BG$56:$BG$65*BY581 + (1-$BG$56:$BG$65)*BU581), N($AU$56:$AU$65&gt;$AM581))
) / 1000</f>
        <v>0</v>
      </c>
      <c r="CA581" s="231">
        <f t="shared" si="704"/>
        <v>20</v>
      </c>
      <c r="CB581" s="229">
        <f t="shared" si="720"/>
        <v>33</v>
      </c>
      <c r="CC581" s="234">
        <f t="shared" si="721"/>
        <v>4.8487499999999999</v>
      </c>
      <c r="CD581" s="234" cm="1">
        <f t="array" ref="CD581">$BM581 * IF($AH581&lt;=2,
SUMPRODUCT(INDEX($AV$61:$AX$65,,$AI581), INDEX($AY$61:$BE$65,,$AH581), 1 / ($BF$61:$BF$65*CC581 + (1-$BF$61:$BF$65)*BY581), N($AU$61:$AU$65&gt;$AM581)),
SUMPRODUCT(INDEX($AV$46:$AX$55,,$AI581), INDEX($AY$46:$BE$55,,$AH581), 1 / ($BG$46:$BG$55*CC581 + (1-$BG$46:$BG$55)*BY581), N($AU$46:$AU$55&gt;$AM581))
) / 1000</f>
        <v>0</v>
      </c>
      <c r="CE581" s="234" cm="1">
        <f t="array" ref="CE581">$BM581 * IF($AH581&lt;=2,
SUMPRODUCT(INDEX($AV$22:$AX$60,,$AI581), INDEX($AY$22:$BE$60,,$AH581), 1 / ($BF$22:$BF$60*CC581), N($AU$22:$AU$60&gt;$AM581)),
SUMPRODUCT(INDEX($AV$22:$AX$45,,$AI581), INDEX($AY$22:$BE$45,,$AH581), 1 / ($BG$22:$BG$45*CC581), N($AU$22:$AU$45&gt;$AM581))
) / 1000</f>
        <v>0</v>
      </c>
      <c r="CF581" s="229">
        <f t="shared" si="722"/>
        <v>0</v>
      </c>
      <c r="CG581" s="246"/>
      <c r="CH581" s="229">
        <f t="shared" si="723"/>
        <v>0</v>
      </c>
      <c r="CI581" s="228">
        <v>35</v>
      </c>
      <c r="CJ581" s="229">
        <f t="shared" si="724"/>
        <v>48</v>
      </c>
      <c r="CK581" s="234">
        <f t="shared" si="725"/>
        <v>3.0748170731707316</v>
      </c>
      <c r="CL581" s="234" cm="1">
        <f t="array" ref="CL581">$BM581 * SUMPRODUCT(INDEX($AV$76:$AX$81,,$AI581),INDEX($AY$76:$BE$81,,$AH581), N($AU$76:$AU$81&gt;$AM581)) / CK581 / 1000</f>
        <v>0</v>
      </c>
      <c r="CM581" s="231">
        <f t="shared" si="705"/>
        <v>30</v>
      </c>
      <c r="CN581" s="229">
        <f t="shared" si="726"/>
        <v>43</v>
      </c>
      <c r="CO581" s="234">
        <f t="shared" si="727"/>
        <v>3.5018750000000001</v>
      </c>
      <c r="CP581" s="234" cm="1">
        <f t="array" ref="CP581">$BM581 * IF($AH581&lt;=2,
SUMPRODUCT(INDEX($AV$71:$AX$75,,$AI581), INDEX($AY$71:$BE$75,,$AH581), 1 / ($BF$71:$BF$75*CO581 + (1-$BF$71:$BF$75)*CK581), N($AU$71:$AU$75&gt;$AM581)),
SUMPRODUCT(INDEX($AV$66:$AX$75,,$AI581), INDEX($AY$66:$BE$75,,$AH581), 1 / ($BG$66:$BG$75*CO581 + (1-$BG$66:$BG$75)*CK581), N($AU$66:$AU$75&gt;$AM581))
) / 1000</f>
        <v>0</v>
      </c>
      <c r="CQ581" s="231">
        <f t="shared" si="706"/>
        <v>25</v>
      </c>
      <c r="CR581" s="229">
        <f t="shared" si="728"/>
        <v>38</v>
      </c>
      <c r="CS581" s="234">
        <f t="shared" si="729"/>
        <v>4.0666935483870965</v>
      </c>
      <c r="CT581" s="234" cm="1">
        <f t="array" ref="CT581">$BM581 * IF($AH581&lt;=2,
SUMPRODUCT(INDEX($AV$66:$AX$70,,$AI581), INDEX($AY$66:$BE$70,,$AH581), 1 / ($BF$66:$BF$70*CS581 + (1-$BF$66:$BF$70)*CO581), N($AU$66:$AU$70&gt;$AM581)),
SUMPRODUCT(INDEX($AV$56:$AX$65,,$AI581), INDEX($AY$56:$BE$65,,$AH581), 1 / ($BG$56:$BG$65*CS581 + (1-$BG$56:$BG$65)*CO581), N($AU$56:$AU$65&gt;$AM581))
) / 1000</f>
        <v>0</v>
      </c>
      <c r="CU581" s="231">
        <f t="shared" si="707"/>
        <v>20</v>
      </c>
      <c r="CV581" s="229">
        <f t="shared" si="730"/>
        <v>33</v>
      </c>
      <c r="CW581" s="234">
        <f t="shared" si="731"/>
        <v>4.8487499999999999</v>
      </c>
      <c r="CX581" s="234" cm="1">
        <f t="array" ref="CX581">$BM581 * IF($AH581&lt;=2,
SUMPRODUCT(INDEX($AV$61:$AX$65,,$AI581), INDEX($AY$61:$BE$65,,$AH581), 1 / ($BF$61:$BF$65*CW581 + (1-$BF$61:$BF$65)*CS581), N($AU$61:$AU$65&gt;$AM581)),
SUMPRODUCT(INDEX($AV$46:$AX$55,,$AI581), INDEX($AY$46:$BE$55,,$AH581), 1 / ($BG$46:$BG$55*CW581 + (1-$BG$46:$BG$55)*CS581), N($AU$46:$AU$55&gt;$AM581))
) / 1000</f>
        <v>0</v>
      </c>
      <c r="CY581" s="234" cm="1">
        <f t="array" ref="CY581">$BM581 * IF($AH581&lt;=2,
SUMPRODUCT(INDEX($AV$22:$AX$60,,$AI581), INDEX($AY$22:$BE$60,,$AH581), 1 / ($BF$22:$BF$60*CW581), N($AU$22:$AU$60&gt;$AM581)),
SUMPRODUCT(INDEX($AV$22:$AX$45,,$AI581), INDEX($AY$22:$BE$45,,$AH581), 1 / ($BG$22:$BG$45*CW581), N($AU$22:$AU$45&gt;$AM581))
) / 1000</f>
        <v>0</v>
      </c>
      <c r="CZ581" s="229">
        <f t="shared" si="732"/>
        <v>0</v>
      </c>
      <c r="DA581" s="246"/>
    </row>
    <row r="582" spans="1:105" s="75" customFormat="1" ht="14.25" customHeight="1" x14ac:dyDescent="0.2">
      <c r="A582" s="230" t="b">
        <f t="shared" si="699"/>
        <v>0</v>
      </c>
      <c r="B582" s="253">
        <v>561</v>
      </c>
      <c r="C582" s="266"/>
      <c r="D582" s="266"/>
      <c r="E582" s="254"/>
      <c r="F582" s="255" t="str">
        <f>IF(ISBLANK(E582), "", VLOOKUP(E582, Z!$A$2:$C$4127, 3, FALSE))</f>
        <v/>
      </c>
      <c r="G582" s="256"/>
      <c r="H582" s="256"/>
      <c r="I582" s="256"/>
      <c r="J582" s="257"/>
      <c r="K582" s="258"/>
      <c r="L582" s="267"/>
      <c r="M582" s="268"/>
      <c r="N582" s="259" t="str" cm="1">
        <f t="array" ref="N582">IF($L582&gt;0, INDEX(Clean,1+AK582,$D$1), "")</f>
        <v/>
      </c>
      <c r="O582" s="260"/>
      <c r="P582" s="260"/>
      <c r="Q582" s="261"/>
      <c r="R582" s="264">
        <f t="shared" si="708"/>
        <v>0</v>
      </c>
      <c r="S582" s="259" t="str" cm="1">
        <f t="array" ref="S582">IF($L582&gt;0, INDEX(Clean,1+AL582,$D$1), "")</f>
        <v/>
      </c>
      <c r="T582" s="260"/>
      <c r="U582" s="260"/>
      <c r="V582" s="261"/>
      <c r="W582" s="267"/>
      <c r="X582" s="267"/>
      <c r="Y582" s="257"/>
      <c r="Z582" s="264">
        <f t="shared" si="709"/>
        <v>0</v>
      </c>
      <c r="AA582" s="269"/>
      <c r="AB582" s="266"/>
      <c r="AC582" s="254"/>
      <c r="AD582" s="255" t="str">
        <f>IF(ISBLANK(AC582), "", VLOOKUP(AC582, Z!$A$2:$C$4127, 3, FALSE))</f>
        <v/>
      </c>
      <c r="AE582" s="270"/>
      <c r="AF582" s="265">
        <f t="shared" si="710"/>
        <v>0</v>
      </c>
      <c r="AG582" s="246"/>
      <c r="AH582" s="228">
        <f t="shared" si="733"/>
        <v>1</v>
      </c>
      <c r="AI582" s="228">
        <f t="shared" si="734"/>
        <v>1</v>
      </c>
      <c r="AJ582" s="228">
        <f t="shared" si="735"/>
        <v>0</v>
      </c>
      <c r="AK582" s="228">
        <v>0</v>
      </c>
      <c r="AL582" s="228">
        <v>0</v>
      </c>
      <c r="AM582" s="228">
        <f t="shared" si="711"/>
        <v>-100</v>
      </c>
      <c r="AN582" s="228" cm="1">
        <f t="array" ref="AN582">IF(ISBLANK(G582), 1, IFERROR(MATCH(G582, INDEX(Kat,,1), 0), IFERROR(MATCH(Kat, INDEX(Use,,2), 0), MATCH(Kat, INDEX(Use,,3), 0))))</f>
        <v>1</v>
      </c>
      <c r="AO582" s="246"/>
      <c r="AP582" s="228" cm="1">
        <f t="array" ref="AP582">IF(W582&gt;0, INDEX(Kat, AN582,4), 0)</f>
        <v>0</v>
      </c>
      <c r="AQ582" s="228">
        <f t="shared" si="736"/>
        <v>0</v>
      </c>
      <c r="AR582" s="228" cm="1">
        <f t="array" ref="AR582">IF(X582&gt;0, INDEX(Kat, $AN582, 4+AQ582), 0)</f>
        <v>0</v>
      </c>
      <c r="AS582" s="228" cm="1">
        <f t="array" ref="AS582">IF(X582&gt;0, INDEX(Kat, $AN582, 9+AQ582), 0)</f>
        <v>0</v>
      </c>
      <c r="AT582" s="246"/>
      <c r="AU582" s="262"/>
      <c r="AV582" s="262"/>
      <c r="AW582" s="263"/>
      <c r="AX582" s="263"/>
      <c r="AY582" s="263"/>
      <c r="AZ582" s="263"/>
      <c r="BA582" s="263"/>
      <c r="BB582" s="263"/>
      <c r="BC582" s="263"/>
      <c r="BD582" s="263"/>
      <c r="BE582" s="263"/>
      <c r="BF582" s="263"/>
      <c r="BG582" s="263"/>
      <c r="BH582" s="246"/>
      <c r="BI582" s="228" cm="1">
        <f t="array" ref="BI582">INDEX(Use, $AH582, 4)</f>
        <v>7</v>
      </c>
      <c r="BJ582" s="228">
        <f t="shared" si="712"/>
        <v>32</v>
      </c>
      <c r="BK582" s="228">
        <f t="shared" si="700"/>
        <v>13</v>
      </c>
      <c r="BL582" s="228">
        <f t="shared" si="701"/>
        <v>0</v>
      </c>
      <c r="BM582" s="233" cm="1">
        <f t="array" ref="BM582">L582/IF($M582&gt;0, INDEX($AY$22:$BE$76, $M582+20, $AH582), 1)</f>
        <v>0</v>
      </c>
      <c r="BN582" s="229">
        <f t="shared" si="713"/>
        <v>0</v>
      </c>
      <c r="BO582" s="228">
        <v>35</v>
      </c>
      <c r="BP582" s="229">
        <f t="shared" si="714"/>
        <v>48</v>
      </c>
      <c r="BQ582" s="234">
        <f t="shared" si="715"/>
        <v>3.0748170731707316</v>
      </c>
      <c r="BR582" s="234" cm="1">
        <f t="array" ref="BR582">$BM582 * SUMPRODUCT(INDEX($AV$76:$AX$81,,$AI582),INDEX($AY$76:$BE$81,,$AH582), N($AU$76:$AU$81&gt;$AM582)) / BQ582 / 1000</f>
        <v>0</v>
      </c>
      <c r="BS582" s="231">
        <f t="shared" si="702"/>
        <v>30</v>
      </c>
      <c r="BT582" s="229">
        <f t="shared" si="716"/>
        <v>43</v>
      </c>
      <c r="BU582" s="234">
        <f t="shared" si="717"/>
        <v>3.5018750000000001</v>
      </c>
      <c r="BV582" s="234" cm="1">
        <f t="array" ref="BV582">$BM582 * IF($AH582&lt;=2,
SUMPRODUCT(INDEX($AV$71:$AX$75,,$AI582), INDEX($AY$71:$BE$75,,$AH582), 1 / ($BF$71:$BF$75*BU582 + (1-$BF$71:$BF$75)*BQ582), N($AU$71:$AU$75&gt;$AM582)),
SUMPRODUCT(INDEX($AV$66:$AX$75,,$AI582), INDEX($AY$66:$BE$75,,$AH582), 1 / ($BG$66:$BG$75*BU582 + (1-$BG$66:$BG$75)*BQ582), N($AU$66:$AU$75&gt;$AM582))
) / 1000</f>
        <v>0</v>
      </c>
      <c r="BW582" s="231">
        <f t="shared" si="703"/>
        <v>25</v>
      </c>
      <c r="BX582" s="229">
        <f t="shared" si="718"/>
        <v>38</v>
      </c>
      <c r="BY582" s="234">
        <f t="shared" si="719"/>
        <v>4.0666935483870965</v>
      </c>
      <c r="BZ582" s="234" cm="1">
        <f t="array" ref="BZ582">$BM582 * IF($AH582&lt;=2,
SUMPRODUCT(INDEX($AV$66:$AX$70,,$AI582), INDEX($AY$66:$BE$70,,$AH582), 1 / ($BF$66:$BF$70*BY582 + (1-$BF$66:$BF$70)*BU582), N($AU$66:$AU$70&gt;$AM582)),
SUMPRODUCT(INDEX($AV$56:$AX$65,,$AI582), INDEX($AY$56:$BE$65,,$AH582), 1 / ($BG$56:$BG$65*BY582 + (1-$BG$56:$BG$65)*BU582), N($AU$56:$AU$65&gt;$AM582))
) / 1000</f>
        <v>0</v>
      </c>
      <c r="CA582" s="231">
        <f t="shared" si="704"/>
        <v>20</v>
      </c>
      <c r="CB582" s="229">
        <f t="shared" si="720"/>
        <v>33</v>
      </c>
      <c r="CC582" s="234">
        <f t="shared" si="721"/>
        <v>4.8487499999999999</v>
      </c>
      <c r="CD582" s="234" cm="1">
        <f t="array" ref="CD582">$BM582 * IF($AH582&lt;=2,
SUMPRODUCT(INDEX($AV$61:$AX$65,,$AI582), INDEX($AY$61:$BE$65,,$AH582), 1 / ($BF$61:$BF$65*CC582 + (1-$BF$61:$BF$65)*BY582), N($AU$61:$AU$65&gt;$AM582)),
SUMPRODUCT(INDEX($AV$46:$AX$55,,$AI582), INDEX($AY$46:$BE$55,,$AH582), 1 / ($BG$46:$BG$55*CC582 + (1-$BG$46:$BG$55)*BY582), N($AU$46:$AU$55&gt;$AM582))
) / 1000</f>
        <v>0</v>
      </c>
      <c r="CE582" s="234" cm="1">
        <f t="array" ref="CE582">$BM582 * IF($AH582&lt;=2,
SUMPRODUCT(INDEX($AV$22:$AX$60,,$AI582), INDEX($AY$22:$BE$60,,$AH582), 1 / ($BF$22:$BF$60*CC582), N($AU$22:$AU$60&gt;$AM582)),
SUMPRODUCT(INDEX($AV$22:$AX$45,,$AI582), INDEX($AY$22:$BE$45,,$AH582), 1 / ($BG$22:$BG$45*CC582), N($AU$22:$AU$45&gt;$AM582))
) / 1000</f>
        <v>0</v>
      </c>
      <c r="CF582" s="229">
        <f t="shared" si="722"/>
        <v>0</v>
      </c>
      <c r="CG582" s="246"/>
      <c r="CH582" s="229">
        <f t="shared" si="723"/>
        <v>0</v>
      </c>
      <c r="CI582" s="228">
        <v>35</v>
      </c>
      <c r="CJ582" s="229">
        <f t="shared" si="724"/>
        <v>48</v>
      </c>
      <c r="CK582" s="234">
        <f t="shared" si="725"/>
        <v>3.0748170731707316</v>
      </c>
      <c r="CL582" s="234" cm="1">
        <f t="array" ref="CL582">$BM582 * SUMPRODUCT(INDEX($AV$76:$AX$81,,$AI582),INDEX($AY$76:$BE$81,,$AH582), N($AU$76:$AU$81&gt;$AM582)) / CK582 / 1000</f>
        <v>0</v>
      </c>
      <c r="CM582" s="231">
        <f t="shared" si="705"/>
        <v>30</v>
      </c>
      <c r="CN582" s="229">
        <f t="shared" si="726"/>
        <v>43</v>
      </c>
      <c r="CO582" s="234">
        <f t="shared" si="727"/>
        <v>3.5018750000000001</v>
      </c>
      <c r="CP582" s="234" cm="1">
        <f t="array" ref="CP582">$BM582 * IF($AH582&lt;=2,
SUMPRODUCT(INDEX($AV$71:$AX$75,,$AI582), INDEX($AY$71:$BE$75,,$AH582), 1 / ($BF$71:$BF$75*CO582 + (1-$BF$71:$BF$75)*CK582), N($AU$71:$AU$75&gt;$AM582)),
SUMPRODUCT(INDEX($AV$66:$AX$75,,$AI582), INDEX($AY$66:$BE$75,,$AH582), 1 / ($BG$66:$BG$75*CO582 + (1-$BG$66:$BG$75)*CK582), N($AU$66:$AU$75&gt;$AM582))
) / 1000</f>
        <v>0</v>
      </c>
      <c r="CQ582" s="231">
        <f t="shared" si="706"/>
        <v>25</v>
      </c>
      <c r="CR582" s="229">
        <f t="shared" si="728"/>
        <v>38</v>
      </c>
      <c r="CS582" s="234">
        <f t="shared" si="729"/>
        <v>4.0666935483870965</v>
      </c>
      <c r="CT582" s="234" cm="1">
        <f t="array" ref="CT582">$BM582 * IF($AH582&lt;=2,
SUMPRODUCT(INDEX($AV$66:$AX$70,,$AI582), INDEX($AY$66:$BE$70,,$AH582), 1 / ($BF$66:$BF$70*CS582 + (1-$BF$66:$BF$70)*CO582), N($AU$66:$AU$70&gt;$AM582)),
SUMPRODUCT(INDEX($AV$56:$AX$65,,$AI582), INDEX($AY$56:$BE$65,,$AH582), 1 / ($BG$56:$BG$65*CS582 + (1-$BG$56:$BG$65)*CO582), N($AU$56:$AU$65&gt;$AM582))
) / 1000</f>
        <v>0</v>
      </c>
      <c r="CU582" s="231">
        <f t="shared" si="707"/>
        <v>20</v>
      </c>
      <c r="CV582" s="229">
        <f t="shared" si="730"/>
        <v>33</v>
      </c>
      <c r="CW582" s="234">
        <f t="shared" si="731"/>
        <v>4.8487499999999999</v>
      </c>
      <c r="CX582" s="234" cm="1">
        <f t="array" ref="CX582">$BM582 * IF($AH582&lt;=2,
SUMPRODUCT(INDEX($AV$61:$AX$65,,$AI582), INDEX($AY$61:$BE$65,,$AH582), 1 / ($BF$61:$BF$65*CW582 + (1-$BF$61:$BF$65)*CS582), N($AU$61:$AU$65&gt;$AM582)),
SUMPRODUCT(INDEX($AV$46:$AX$55,,$AI582), INDEX($AY$46:$BE$55,,$AH582), 1 / ($BG$46:$BG$55*CW582 + (1-$BG$46:$BG$55)*CS582), N($AU$46:$AU$55&gt;$AM582))
) / 1000</f>
        <v>0</v>
      </c>
      <c r="CY582" s="234" cm="1">
        <f t="array" ref="CY582">$BM582 * IF($AH582&lt;=2,
SUMPRODUCT(INDEX($AV$22:$AX$60,,$AI582), INDEX($AY$22:$BE$60,,$AH582), 1 / ($BF$22:$BF$60*CW582), N($AU$22:$AU$60&gt;$AM582)),
SUMPRODUCT(INDEX($AV$22:$AX$45,,$AI582), INDEX($AY$22:$BE$45,,$AH582), 1 / ($BG$22:$BG$45*CW582), N($AU$22:$AU$45&gt;$AM582))
) / 1000</f>
        <v>0</v>
      </c>
      <c r="CZ582" s="229">
        <f t="shared" si="732"/>
        <v>0</v>
      </c>
      <c r="DA582" s="246"/>
    </row>
    <row r="583" spans="1:105" s="75" customFormat="1" ht="14.25" customHeight="1" x14ac:dyDescent="0.2">
      <c r="A583" s="230" t="b">
        <f t="shared" si="699"/>
        <v>0</v>
      </c>
      <c r="B583" s="253">
        <v>562</v>
      </c>
      <c r="C583" s="266"/>
      <c r="D583" s="266"/>
      <c r="E583" s="254"/>
      <c r="F583" s="255" t="str">
        <f>IF(ISBLANK(E583), "", VLOOKUP(E583, Z!$A$2:$C$4127, 3, FALSE))</f>
        <v/>
      </c>
      <c r="G583" s="256"/>
      <c r="H583" s="256"/>
      <c r="I583" s="256"/>
      <c r="J583" s="257"/>
      <c r="K583" s="258"/>
      <c r="L583" s="267"/>
      <c r="M583" s="268"/>
      <c r="N583" s="259" t="str" cm="1">
        <f t="array" ref="N583">IF($L583&gt;0, INDEX(Clean,1+AK583,$D$1), "")</f>
        <v/>
      </c>
      <c r="O583" s="260"/>
      <c r="P583" s="260"/>
      <c r="Q583" s="261"/>
      <c r="R583" s="264">
        <f t="shared" si="708"/>
        <v>0</v>
      </c>
      <c r="S583" s="259" t="str" cm="1">
        <f t="array" ref="S583">IF($L583&gt;0, INDEX(Clean,1+AL583,$D$1), "")</f>
        <v/>
      </c>
      <c r="T583" s="260"/>
      <c r="U583" s="260"/>
      <c r="V583" s="261"/>
      <c r="W583" s="267"/>
      <c r="X583" s="267"/>
      <c r="Y583" s="257"/>
      <c r="Z583" s="264">
        <f t="shared" si="709"/>
        <v>0</v>
      </c>
      <c r="AA583" s="269"/>
      <c r="AB583" s="266"/>
      <c r="AC583" s="254"/>
      <c r="AD583" s="255" t="str">
        <f>IF(ISBLANK(AC583), "", VLOOKUP(AC583, Z!$A$2:$C$4127, 3, FALSE))</f>
        <v/>
      </c>
      <c r="AE583" s="270"/>
      <c r="AF583" s="265">
        <f t="shared" si="710"/>
        <v>0</v>
      </c>
      <c r="AG583" s="246"/>
      <c r="AH583" s="228">
        <f t="shared" si="733"/>
        <v>1</v>
      </c>
      <c r="AI583" s="228">
        <f t="shared" si="734"/>
        <v>1</v>
      </c>
      <c r="AJ583" s="228">
        <f t="shared" si="735"/>
        <v>0</v>
      </c>
      <c r="AK583" s="228">
        <v>0</v>
      </c>
      <c r="AL583" s="228">
        <v>0</v>
      </c>
      <c r="AM583" s="228">
        <f t="shared" si="711"/>
        <v>-100</v>
      </c>
      <c r="AN583" s="228" cm="1">
        <f t="array" ref="AN583">IF(ISBLANK(G583), 1, IFERROR(MATCH(G583, INDEX(Kat,,1), 0), IFERROR(MATCH(Kat, INDEX(Use,,2), 0), MATCH(Kat, INDEX(Use,,3), 0))))</f>
        <v>1</v>
      </c>
      <c r="AO583" s="246"/>
      <c r="AP583" s="228" cm="1">
        <f t="array" ref="AP583">IF(W583&gt;0, INDEX(Kat, AN583,4), 0)</f>
        <v>0</v>
      </c>
      <c r="AQ583" s="228">
        <f t="shared" si="736"/>
        <v>0</v>
      </c>
      <c r="AR583" s="228" cm="1">
        <f t="array" ref="AR583">IF(X583&gt;0, INDEX(Kat, $AN583, 4+AQ583), 0)</f>
        <v>0</v>
      </c>
      <c r="AS583" s="228" cm="1">
        <f t="array" ref="AS583">IF(X583&gt;0, INDEX(Kat, $AN583, 9+AQ583), 0)</f>
        <v>0</v>
      </c>
      <c r="AT583" s="246"/>
      <c r="AU583" s="262"/>
      <c r="AV583" s="262"/>
      <c r="AW583" s="263"/>
      <c r="AX583" s="263"/>
      <c r="AY583" s="263"/>
      <c r="AZ583" s="263"/>
      <c r="BA583" s="263"/>
      <c r="BB583" s="263"/>
      <c r="BC583" s="263"/>
      <c r="BD583" s="263"/>
      <c r="BE583" s="263"/>
      <c r="BF583" s="263"/>
      <c r="BG583" s="263"/>
      <c r="BH583" s="246"/>
      <c r="BI583" s="228" cm="1">
        <f t="array" ref="BI583">INDEX(Use, $AH583, 4)</f>
        <v>7</v>
      </c>
      <c r="BJ583" s="228">
        <f t="shared" si="712"/>
        <v>32</v>
      </c>
      <c r="BK583" s="228">
        <f t="shared" si="700"/>
        <v>13</v>
      </c>
      <c r="BL583" s="228">
        <f t="shared" si="701"/>
        <v>0</v>
      </c>
      <c r="BM583" s="233" cm="1">
        <f t="array" ref="BM583">L583/IF($M583&gt;0, INDEX($AY$22:$BE$76, $M583+20, $AH583), 1)</f>
        <v>0</v>
      </c>
      <c r="BN583" s="229">
        <f t="shared" si="713"/>
        <v>0</v>
      </c>
      <c r="BO583" s="228">
        <v>35</v>
      </c>
      <c r="BP583" s="229">
        <f t="shared" si="714"/>
        <v>48</v>
      </c>
      <c r="BQ583" s="234">
        <f t="shared" si="715"/>
        <v>3.0748170731707316</v>
      </c>
      <c r="BR583" s="234" cm="1">
        <f t="array" ref="BR583">$BM583 * SUMPRODUCT(INDEX($AV$76:$AX$81,,$AI583),INDEX($AY$76:$BE$81,,$AH583), N($AU$76:$AU$81&gt;$AM583)) / BQ583 / 1000</f>
        <v>0</v>
      </c>
      <c r="BS583" s="231">
        <f t="shared" si="702"/>
        <v>30</v>
      </c>
      <c r="BT583" s="229">
        <f t="shared" si="716"/>
        <v>43</v>
      </c>
      <c r="BU583" s="234">
        <f t="shared" si="717"/>
        <v>3.5018750000000001</v>
      </c>
      <c r="BV583" s="234" cm="1">
        <f t="array" ref="BV583">$BM583 * IF($AH583&lt;=2,
SUMPRODUCT(INDEX($AV$71:$AX$75,,$AI583), INDEX($AY$71:$BE$75,,$AH583), 1 / ($BF$71:$BF$75*BU583 + (1-$BF$71:$BF$75)*BQ583), N($AU$71:$AU$75&gt;$AM583)),
SUMPRODUCT(INDEX($AV$66:$AX$75,,$AI583), INDEX($AY$66:$BE$75,,$AH583), 1 / ($BG$66:$BG$75*BU583 + (1-$BG$66:$BG$75)*BQ583), N($AU$66:$AU$75&gt;$AM583))
) / 1000</f>
        <v>0</v>
      </c>
      <c r="BW583" s="231">
        <f t="shared" si="703"/>
        <v>25</v>
      </c>
      <c r="BX583" s="229">
        <f t="shared" si="718"/>
        <v>38</v>
      </c>
      <c r="BY583" s="234">
        <f t="shared" si="719"/>
        <v>4.0666935483870965</v>
      </c>
      <c r="BZ583" s="234" cm="1">
        <f t="array" ref="BZ583">$BM583 * IF($AH583&lt;=2,
SUMPRODUCT(INDEX($AV$66:$AX$70,,$AI583), INDEX($AY$66:$BE$70,,$AH583), 1 / ($BF$66:$BF$70*BY583 + (1-$BF$66:$BF$70)*BU583), N($AU$66:$AU$70&gt;$AM583)),
SUMPRODUCT(INDEX($AV$56:$AX$65,,$AI583), INDEX($AY$56:$BE$65,,$AH583), 1 / ($BG$56:$BG$65*BY583 + (1-$BG$56:$BG$65)*BU583), N($AU$56:$AU$65&gt;$AM583))
) / 1000</f>
        <v>0</v>
      </c>
      <c r="CA583" s="231">
        <f t="shared" si="704"/>
        <v>20</v>
      </c>
      <c r="CB583" s="229">
        <f t="shared" si="720"/>
        <v>33</v>
      </c>
      <c r="CC583" s="234">
        <f t="shared" si="721"/>
        <v>4.8487499999999999</v>
      </c>
      <c r="CD583" s="234" cm="1">
        <f t="array" ref="CD583">$BM583 * IF($AH583&lt;=2,
SUMPRODUCT(INDEX($AV$61:$AX$65,,$AI583), INDEX($AY$61:$BE$65,,$AH583), 1 / ($BF$61:$BF$65*CC583 + (1-$BF$61:$BF$65)*BY583), N($AU$61:$AU$65&gt;$AM583)),
SUMPRODUCT(INDEX($AV$46:$AX$55,,$AI583), INDEX($AY$46:$BE$55,,$AH583), 1 / ($BG$46:$BG$55*CC583 + (1-$BG$46:$BG$55)*BY583), N($AU$46:$AU$55&gt;$AM583))
) / 1000</f>
        <v>0</v>
      </c>
      <c r="CE583" s="234" cm="1">
        <f t="array" ref="CE583">$BM583 * IF($AH583&lt;=2,
SUMPRODUCT(INDEX($AV$22:$AX$60,,$AI583), INDEX($AY$22:$BE$60,,$AH583), 1 / ($BF$22:$BF$60*CC583), N($AU$22:$AU$60&gt;$AM583)),
SUMPRODUCT(INDEX($AV$22:$AX$45,,$AI583), INDEX($AY$22:$BE$45,,$AH583), 1 / ($BG$22:$BG$45*CC583), N($AU$22:$AU$45&gt;$AM583))
) / 1000</f>
        <v>0</v>
      </c>
      <c r="CF583" s="229">
        <f t="shared" si="722"/>
        <v>0</v>
      </c>
      <c r="CG583" s="246"/>
      <c r="CH583" s="229">
        <f t="shared" si="723"/>
        <v>0</v>
      </c>
      <c r="CI583" s="228">
        <v>35</v>
      </c>
      <c r="CJ583" s="229">
        <f t="shared" si="724"/>
        <v>48</v>
      </c>
      <c r="CK583" s="234">
        <f t="shared" si="725"/>
        <v>3.0748170731707316</v>
      </c>
      <c r="CL583" s="234" cm="1">
        <f t="array" ref="CL583">$BM583 * SUMPRODUCT(INDEX($AV$76:$AX$81,,$AI583),INDEX($AY$76:$BE$81,,$AH583), N($AU$76:$AU$81&gt;$AM583)) / CK583 / 1000</f>
        <v>0</v>
      </c>
      <c r="CM583" s="231">
        <f t="shared" si="705"/>
        <v>30</v>
      </c>
      <c r="CN583" s="229">
        <f t="shared" si="726"/>
        <v>43</v>
      </c>
      <c r="CO583" s="234">
        <f t="shared" si="727"/>
        <v>3.5018750000000001</v>
      </c>
      <c r="CP583" s="234" cm="1">
        <f t="array" ref="CP583">$BM583 * IF($AH583&lt;=2,
SUMPRODUCT(INDEX($AV$71:$AX$75,,$AI583), INDEX($AY$71:$BE$75,,$AH583), 1 / ($BF$71:$BF$75*CO583 + (1-$BF$71:$BF$75)*CK583), N($AU$71:$AU$75&gt;$AM583)),
SUMPRODUCT(INDEX($AV$66:$AX$75,,$AI583), INDEX($AY$66:$BE$75,,$AH583), 1 / ($BG$66:$BG$75*CO583 + (1-$BG$66:$BG$75)*CK583), N($AU$66:$AU$75&gt;$AM583))
) / 1000</f>
        <v>0</v>
      </c>
      <c r="CQ583" s="231">
        <f t="shared" si="706"/>
        <v>25</v>
      </c>
      <c r="CR583" s="229">
        <f t="shared" si="728"/>
        <v>38</v>
      </c>
      <c r="CS583" s="234">
        <f t="shared" si="729"/>
        <v>4.0666935483870965</v>
      </c>
      <c r="CT583" s="234" cm="1">
        <f t="array" ref="CT583">$BM583 * IF($AH583&lt;=2,
SUMPRODUCT(INDEX($AV$66:$AX$70,,$AI583), INDEX($AY$66:$BE$70,,$AH583), 1 / ($BF$66:$BF$70*CS583 + (1-$BF$66:$BF$70)*CO583), N($AU$66:$AU$70&gt;$AM583)),
SUMPRODUCT(INDEX($AV$56:$AX$65,,$AI583), INDEX($AY$56:$BE$65,,$AH583), 1 / ($BG$56:$BG$65*CS583 + (1-$BG$56:$BG$65)*CO583), N($AU$56:$AU$65&gt;$AM583))
) / 1000</f>
        <v>0</v>
      </c>
      <c r="CU583" s="231">
        <f t="shared" si="707"/>
        <v>20</v>
      </c>
      <c r="CV583" s="229">
        <f t="shared" si="730"/>
        <v>33</v>
      </c>
      <c r="CW583" s="234">
        <f t="shared" si="731"/>
        <v>4.8487499999999999</v>
      </c>
      <c r="CX583" s="234" cm="1">
        <f t="array" ref="CX583">$BM583 * IF($AH583&lt;=2,
SUMPRODUCT(INDEX($AV$61:$AX$65,,$AI583), INDEX($AY$61:$BE$65,,$AH583), 1 / ($BF$61:$BF$65*CW583 + (1-$BF$61:$BF$65)*CS583), N($AU$61:$AU$65&gt;$AM583)),
SUMPRODUCT(INDEX($AV$46:$AX$55,,$AI583), INDEX($AY$46:$BE$55,,$AH583), 1 / ($BG$46:$BG$55*CW583 + (1-$BG$46:$BG$55)*CS583), N($AU$46:$AU$55&gt;$AM583))
) / 1000</f>
        <v>0</v>
      </c>
      <c r="CY583" s="234" cm="1">
        <f t="array" ref="CY583">$BM583 * IF($AH583&lt;=2,
SUMPRODUCT(INDEX($AV$22:$AX$60,,$AI583), INDEX($AY$22:$BE$60,,$AH583), 1 / ($BF$22:$BF$60*CW583), N($AU$22:$AU$60&gt;$AM583)),
SUMPRODUCT(INDEX($AV$22:$AX$45,,$AI583), INDEX($AY$22:$BE$45,,$AH583), 1 / ($BG$22:$BG$45*CW583), N($AU$22:$AU$45&gt;$AM583))
) / 1000</f>
        <v>0</v>
      </c>
      <c r="CZ583" s="229">
        <f t="shared" si="732"/>
        <v>0</v>
      </c>
      <c r="DA583" s="246"/>
    </row>
    <row r="584" spans="1:105" s="75" customFormat="1" ht="14.25" customHeight="1" x14ac:dyDescent="0.2">
      <c r="A584" s="230" t="b">
        <f t="shared" si="699"/>
        <v>0</v>
      </c>
      <c r="B584" s="253">
        <v>563</v>
      </c>
      <c r="C584" s="266"/>
      <c r="D584" s="266"/>
      <c r="E584" s="254"/>
      <c r="F584" s="255" t="str">
        <f>IF(ISBLANK(E584), "", VLOOKUP(E584, Z!$A$2:$C$4127, 3, FALSE))</f>
        <v/>
      </c>
      <c r="G584" s="256"/>
      <c r="H584" s="256"/>
      <c r="I584" s="256"/>
      <c r="J584" s="257"/>
      <c r="K584" s="258"/>
      <c r="L584" s="267"/>
      <c r="M584" s="268"/>
      <c r="N584" s="259" t="str" cm="1">
        <f t="array" ref="N584">IF($L584&gt;0, INDEX(Clean,1+AK584,$D$1), "")</f>
        <v/>
      </c>
      <c r="O584" s="260"/>
      <c r="P584" s="260"/>
      <c r="Q584" s="261"/>
      <c r="R584" s="264">
        <f t="shared" si="708"/>
        <v>0</v>
      </c>
      <c r="S584" s="259" t="str" cm="1">
        <f t="array" ref="S584">IF($L584&gt;0, INDEX(Clean,1+AL584,$D$1), "")</f>
        <v/>
      </c>
      <c r="T584" s="260"/>
      <c r="U584" s="260"/>
      <c r="V584" s="261"/>
      <c r="W584" s="267"/>
      <c r="X584" s="267"/>
      <c r="Y584" s="257"/>
      <c r="Z584" s="264">
        <f t="shared" si="709"/>
        <v>0</v>
      </c>
      <c r="AA584" s="269"/>
      <c r="AB584" s="266"/>
      <c r="AC584" s="254"/>
      <c r="AD584" s="255" t="str">
        <f>IF(ISBLANK(AC584), "", VLOOKUP(AC584, Z!$A$2:$C$4127, 3, FALSE))</f>
        <v/>
      </c>
      <c r="AE584" s="270"/>
      <c r="AF584" s="265">
        <f t="shared" si="710"/>
        <v>0</v>
      </c>
      <c r="AG584" s="246"/>
      <c r="AH584" s="228">
        <f t="shared" si="733"/>
        <v>1</v>
      </c>
      <c r="AI584" s="228">
        <f t="shared" si="734"/>
        <v>1</v>
      </c>
      <c r="AJ584" s="228">
        <f t="shared" si="735"/>
        <v>0</v>
      </c>
      <c r="AK584" s="228">
        <v>0</v>
      </c>
      <c r="AL584" s="228">
        <v>0</v>
      </c>
      <c r="AM584" s="228">
        <f t="shared" si="711"/>
        <v>-100</v>
      </c>
      <c r="AN584" s="228" cm="1">
        <f t="array" ref="AN584">IF(ISBLANK(G584), 1, IFERROR(MATCH(G584, INDEX(Kat,,1), 0), IFERROR(MATCH(Kat, INDEX(Use,,2), 0), MATCH(Kat, INDEX(Use,,3), 0))))</f>
        <v>1</v>
      </c>
      <c r="AO584" s="246"/>
      <c r="AP584" s="228" cm="1">
        <f t="array" ref="AP584">IF(W584&gt;0, INDEX(Kat, AN584,4), 0)</f>
        <v>0</v>
      </c>
      <c r="AQ584" s="228">
        <f t="shared" si="736"/>
        <v>0</v>
      </c>
      <c r="AR584" s="228" cm="1">
        <f t="array" ref="AR584">IF(X584&gt;0, INDEX(Kat, $AN584, 4+AQ584), 0)</f>
        <v>0</v>
      </c>
      <c r="AS584" s="228" cm="1">
        <f t="array" ref="AS584">IF(X584&gt;0, INDEX(Kat, $AN584, 9+AQ584), 0)</f>
        <v>0</v>
      </c>
      <c r="AT584" s="246"/>
      <c r="AU584" s="262"/>
      <c r="AV584" s="262"/>
      <c r="AW584" s="263"/>
      <c r="AX584" s="263"/>
      <c r="AY584" s="263"/>
      <c r="AZ584" s="263"/>
      <c r="BA584" s="263"/>
      <c r="BB584" s="263"/>
      <c r="BC584" s="263"/>
      <c r="BD584" s="263"/>
      <c r="BE584" s="263"/>
      <c r="BF584" s="263"/>
      <c r="BG584" s="263"/>
      <c r="BH584" s="246"/>
      <c r="BI584" s="228" cm="1">
        <f t="array" ref="BI584">INDEX(Use, $AH584, 4)</f>
        <v>7</v>
      </c>
      <c r="BJ584" s="228">
        <f t="shared" si="712"/>
        <v>32</v>
      </c>
      <c r="BK584" s="228">
        <f t="shared" si="700"/>
        <v>13</v>
      </c>
      <c r="BL584" s="228">
        <f t="shared" si="701"/>
        <v>0</v>
      </c>
      <c r="BM584" s="233" cm="1">
        <f t="array" ref="BM584">L584/IF($M584&gt;0, INDEX($AY$22:$BE$76, $M584+20, $AH584), 1)</f>
        <v>0</v>
      </c>
      <c r="BN584" s="229">
        <f t="shared" si="713"/>
        <v>0</v>
      </c>
      <c r="BO584" s="228">
        <v>35</v>
      </c>
      <c r="BP584" s="229">
        <f t="shared" si="714"/>
        <v>48</v>
      </c>
      <c r="BQ584" s="234">
        <f t="shared" si="715"/>
        <v>3.0748170731707316</v>
      </c>
      <c r="BR584" s="234" cm="1">
        <f t="array" ref="BR584">$BM584 * SUMPRODUCT(INDEX($AV$76:$AX$81,,$AI584),INDEX($AY$76:$BE$81,,$AH584), N($AU$76:$AU$81&gt;$AM584)) / BQ584 / 1000</f>
        <v>0</v>
      </c>
      <c r="BS584" s="231">
        <f t="shared" si="702"/>
        <v>30</v>
      </c>
      <c r="BT584" s="229">
        <f t="shared" si="716"/>
        <v>43</v>
      </c>
      <c r="BU584" s="234">
        <f t="shared" si="717"/>
        <v>3.5018750000000001</v>
      </c>
      <c r="BV584" s="234" cm="1">
        <f t="array" ref="BV584">$BM584 * IF($AH584&lt;=2,
SUMPRODUCT(INDEX($AV$71:$AX$75,,$AI584), INDEX($AY$71:$BE$75,,$AH584), 1 / ($BF$71:$BF$75*BU584 + (1-$BF$71:$BF$75)*BQ584), N($AU$71:$AU$75&gt;$AM584)),
SUMPRODUCT(INDEX($AV$66:$AX$75,,$AI584), INDEX($AY$66:$BE$75,,$AH584), 1 / ($BG$66:$BG$75*BU584 + (1-$BG$66:$BG$75)*BQ584), N($AU$66:$AU$75&gt;$AM584))
) / 1000</f>
        <v>0</v>
      </c>
      <c r="BW584" s="231">
        <f t="shared" si="703"/>
        <v>25</v>
      </c>
      <c r="BX584" s="229">
        <f t="shared" si="718"/>
        <v>38</v>
      </c>
      <c r="BY584" s="234">
        <f t="shared" si="719"/>
        <v>4.0666935483870965</v>
      </c>
      <c r="BZ584" s="234" cm="1">
        <f t="array" ref="BZ584">$BM584 * IF($AH584&lt;=2,
SUMPRODUCT(INDEX($AV$66:$AX$70,,$AI584), INDEX($AY$66:$BE$70,,$AH584), 1 / ($BF$66:$BF$70*BY584 + (1-$BF$66:$BF$70)*BU584), N($AU$66:$AU$70&gt;$AM584)),
SUMPRODUCT(INDEX($AV$56:$AX$65,,$AI584), INDEX($AY$56:$BE$65,,$AH584), 1 / ($BG$56:$BG$65*BY584 + (1-$BG$56:$BG$65)*BU584), N($AU$56:$AU$65&gt;$AM584))
) / 1000</f>
        <v>0</v>
      </c>
      <c r="CA584" s="231">
        <f t="shared" si="704"/>
        <v>20</v>
      </c>
      <c r="CB584" s="229">
        <f t="shared" si="720"/>
        <v>33</v>
      </c>
      <c r="CC584" s="234">
        <f t="shared" si="721"/>
        <v>4.8487499999999999</v>
      </c>
      <c r="CD584" s="234" cm="1">
        <f t="array" ref="CD584">$BM584 * IF($AH584&lt;=2,
SUMPRODUCT(INDEX($AV$61:$AX$65,,$AI584), INDEX($AY$61:$BE$65,,$AH584), 1 / ($BF$61:$BF$65*CC584 + (1-$BF$61:$BF$65)*BY584), N($AU$61:$AU$65&gt;$AM584)),
SUMPRODUCT(INDEX($AV$46:$AX$55,,$AI584), INDEX($AY$46:$BE$55,,$AH584), 1 / ($BG$46:$BG$55*CC584 + (1-$BG$46:$BG$55)*BY584), N($AU$46:$AU$55&gt;$AM584))
) / 1000</f>
        <v>0</v>
      </c>
      <c r="CE584" s="234" cm="1">
        <f t="array" ref="CE584">$BM584 * IF($AH584&lt;=2,
SUMPRODUCT(INDEX($AV$22:$AX$60,,$AI584), INDEX($AY$22:$BE$60,,$AH584), 1 / ($BF$22:$BF$60*CC584), N($AU$22:$AU$60&gt;$AM584)),
SUMPRODUCT(INDEX($AV$22:$AX$45,,$AI584), INDEX($AY$22:$BE$45,,$AH584), 1 / ($BG$22:$BG$45*CC584), N($AU$22:$AU$45&gt;$AM584))
) / 1000</f>
        <v>0</v>
      </c>
      <c r="CF584" s="229">
        <f t="shared" si="722"/>
        <v>0</v>
      </c>
      <c r="CG584" s="246"/>
      <c r="CH584" s="229">
        <f t="shared" si="723"/>
        <v>0</v>
      </c>
      <c r="CI584" s="228">
        <v>35</v>
      </c>
      <c r="CJ584" s="229">
        <f t="shared" si="724"/>
        <v>48</v>
      </c>
      <c r="CK584" s="234">
        <f t="shared" si="725"/>
        <v>3.0748170731707316</v>
      </c>
      <c r="CL584" s="234" cm="1">
        <f t="array" ref="CL584">$BM584 * SUMPRODUCT(INDEX($AV$76:$AX$81,,$AI584),INDEX($AY$76:$BE$81,,$AH584), N($AU$76:$AU$81&gt;$AM584)) / CK584 / 1000</f>
        <v>0</v>
      </c>
      <c r="CM584" s="231">
        <f t="shared" si="705"/>
        <v>30</v>
      </c>
      <c r="CN584" s="229">
        <f t="shared" si="726"/>
        <v>43</v>
      </c>
      <c r="CO584" s="234">
        <f t="shared" si="727"/>
        <v>3.5018750000000001</v>
      </c>
      <c r="CP584" s="234" cm="1">
        <f t="array" ref="CP584">$BM584 * IF($AH584&lt;=2,
SUMPRODUCT(INDEX($AV$71:$AX$75,,$AI584), INDEX($AY$71:$BE$75,,$AH584), 1 / ($BF$71:$BF$75*CO584 + (1-$BF$71:$BF$75)*CK584), N($AU$71:$AU$75&gt;$AM584)),
SUMPRODUCT(INDEX($AV$66:$AX$75,,$AI584), INDEX($AY$66:$BE$75,,$AH584), 1 / ($BG$66:$BG$75*CO584 + (1-$BG$66:$BG$75)*CK584), N($AU$66:$AU$75&gt;$AM584))
) / 1000</f>
        <v>0</v>
      </c>
      <c r="CQ584" s="231">
        <f t="shared" si="706"/>
        <v>25</v>
      </c>
      <c r="CR584" s="229">
        <f t="shared" si="728"/>
        <v>38</v>
      </c>
      <c r="CS584" s="234">
        <f t="shared" si="729"/>
        <v>4.0666935483870965</v>
      </c>
      <c r="CT584" s="234" cm="1">
        <f t="array" ref="CT584">$BM584 * IF($AH584&lt;=2,
SUMPRODUCT(INDEX($AV$66:$AX$70,,$AI584), INDEX($AY$66:$BE$70,,$AH584), 1 / ($BF$66:$BF$70*CS584 + (1-$BF$66:$BF$70)*CO584), N($AU$66:$AU$70&gt;$AM584)),
SUMPRODUCT(INDEX($AV$56:$AX$65,,$AI584), INDEX($AY$56:$BE$65,,$AH584), 1 / ($BG$56:$BG$65*CS584 + (1-$BG$56:$BG$65)*CO584), N($AU$56:$AU$65&gt;$AM584))
) / 1000</f>
        <v>0</v>
      </c>
      <c r="CU584" s="231">
        <f t="shared" si="707"/>
        <v>20</v>
      </c>
      <c r="CV584" s="229">
        <f t="shared" si="730"/>
        <v>33</v>
      </c>
      <c r="CW584" s="234">
        <f t="shared" si="731"/>
        <v>4.8487499999999999</v>
      </c>
      <c r="CX584" s="234" cm="1">
        <f t="array" ref="CX584">$BM584 * IF($AH584&lt;=2,
SUMPRODUCT(INDEX($AV$61:$AX$65,,$AI584), INDEX($AY$61:$BE$65,,$AH584), 1 / ($BF$61:$BF$65*CW584 + (1-$BF$61:$BF$65)*CS584), N($AU$61:$AU$65&gt;$AM584)),
SUMPRODUCT(INDEX($AV$46:$AX$55,,$AI584), INDEX($AY$46:$BE$55,,$AH584), 1 / ($BG$46:$BG$55*CW584 + (1-$BG$46:$BG$55)*CS584), N($AU$46:$AU$55&gt;$AM584))
) / 1000</f>
        <v>0</v>
      </c>
      <c r="CY584" s="234" cm="1">
        <f t="array" ref="CY584">$BM584 * IF($AH584&lt;=2,
SUMPRODUCT(INDEX($AV$22:$AX$60,,$AI584), INDEX($AY$22:$BE$60,,$AH584), 1 / ($BF$22:$BF$60*CW584), N($AU$22:$AU$60&gt;$AM584)),
SUMPRODUCT(INDEX($AV$22:$AX$45,,$AI584), INDEX($AY$22:$BE$45,,$AH584), 1 / ($BG$22:$BG$45*CW584), N($AU$22:$AU$45&gt;$AM584))
) / 1000</f>
        <v>0</v>
      </c>
      <c r="CZ584" s="229">
        <f t="shared" si="732"/>
        <v>0</v>
      </c>
      <c r="DA584" s="246"/>
    </row>
    <row r="585" spans="1:105" s="75" customFormat="1" ht="14.25" customHeight="1" x14ac:dyDescent="0.2">
      <c r="A585" s="230" t="b">
        <f t="shared" si="699"/>
        <v>0</v>
      </c>
      <c r="B585" s="253">
        <v>564</v>
      </c>
      <c r="C585" s="266"/>
      <c r="D585" s="266"/>
      <c r="E585" s="254"/>
      <c r="F585" s="255" t="str">
        <f>IF(ISBLANK(E585), "", VLOOKUP(E585, Z!$A$2:$C$4127, 3, FALSE))</f>
        <v/>
      </c>
      <c r="G585" s="256"/>
      <c r="H585" s="256"/>
      <c r="I585" s="256"/>
      <c r="J585" s="257"/>
      <c r="K585" s="258"/>
      <c r="L585" s="267"/>
      <c r="M585" s="268"/>
      <c r="N585" s="259" t="str" cm="1">
        <f t="array" ref="N585">IF($L585&gt;0, INDEX(Clean,1+AK585,$D$1), "")</f>
        <v/>
      </c>
      <c r="O585" s="260"/>
      <c r="P585" s="260"/>
      <c r="Q585" s="261"/>
      <c r="R585" s="264">
        <f t="shared" si="708"/>
        <v>0</v>
      </c>
      <c r="S585" s="259" t="str" cm="1">
        <f t="array" ref="S585">IF($L585&gt;0, INDEX(Clean,1+AL585,$D$1), "")</f>
        <v/>
      </c>
      <c r="T585" s="260"/>
      <c r="U585" s="260"/>
      <c r="V585" s="261"/>
      <c r="W585" s="267"/>
      <c r="X585" s="267"/>
      <c r="Y585" s="257"/>
      <c r="Z585" s="264">
        <f t="shared" si="709"/>
        <v>0</v>
      </c>
      <c r="AA585" s="269"/>
      <c r="AB585" s="266"/>
      <c r="AC585" s="254"/>
      <c r="AD585" s="255" t="str">
        <f>IF(ISBLANK(AC585), "", VLOOKUP(AC585, Z!$A$2:$C$4127, 3, FALSE))</f>
        <v/>
      </c>
      <c r="AE585" s="270"/>
      <c r="AF585" s="265">
        <f t="shared" si="710"/>
        <v>0</v>
      </c>
      <c r="AG585" s="246"/>
      <c r="AH585" s="228">
        <f t="shared" si="733"/>
        <v>1</v>
      </c>
      <c r="AI585" s="228">
        <f t="shared" si="734"/>
        <v>1</v>
      </c>
      <c r="AJ585" s="228">
        <f t="shared" si="735"/>
        <v>0</v>
      </c>
      <c r="AK585" s="228">
        <v>0</v>
      </c>
      <c r="AL585" s="228">
        <v>0</v>
      </c>
      <c r="AM585" s="228">
        <f t="shared" si="711"/>
        <v>-100</v>
      </c>
      <c r="AN585" s="228" cm="1">
        <f t="array" ref="AN585">IF(ISBLANK(G585), 1, IFERROR(MATCH(G585, INDEX(Kat,,1), 0), IFERROR(MATCH(Kat, INDEX(Use,,2), 0), MATCH(Kat, INDEX(Use,,3), 0))))</f>
        <v>1</v>
      </c>
      <c r="AO585" s="246"/>
      <c r="AP585" s="228" cm="1">
        <f t="array" ref="AP585">IF(W585&gt;0, INDEX(Kat, AN585,4), 0)</f>
        <v>0</v>
      </c>
      <c r="AQ585" s="228">
        <f t="shared" si="736"/>
        <v>0</v>
      </c>
      <c r="AR585" s="228" cm="1">
        <f t="array" ref="AR585">IF(X585&gt;0, INDEX(Kat, $AN585, 4+AQ585), 0)</f>
        <v>0</v>
      </c>
      <c r="AS585" s="228" cm="1">
        <f t="array" ref="AS585">IF(X585&gt;0, INDEX(Kat, $AN585, 9+AQ585), 0)</f>
        <v>0</v>
      </c>
      <c r="AT585" s="246"/>
      <c r="AU585" s="262"/>
      <c r="AV585" s="262"/>
      <c r="AW585" s="263"/>
      <c r="AX585" s="263"/>
      <c r="AY585" s="263"/>
      <c r="AZ585" s="263"/>
      <c r="BA585" s="263"/>
      <c r="BB585" s="263"/>
      <c r="BC585" s="263"/>
      <c r="BD585" s="263"/>
      <c r="BE585" s="263"/>
      <c r="BF585" s="263"/>
      <c r="BG585" s="263"/>
      <c r="BH585" s="246"/>
      <c r="BI585" s="228" cm="1">
        <f t="array" ref="BI585">INDEX(Use, $AH585, 4)</f>
        <v>7</v>
      </c>
      <c r="BJ585" s="228">
        <f t="shared" si="712"/>
        <v>32</v>
      </c>
      <c r="BK585" s="228">
        <f t="shared" si="700"/>
        <v>13</v>
      </c>
      <c r="BL585" s="228">
        <f t="shared" si="701"/>
        <v>0</v>
      </c>
      <c r="BM585" s="233" cm="1">
        <f t="array" ref="BM585">L585/IF($M585&gt;0, INDEX($AY$22:$BE$76, $M585+20, $AH585), 1)</f>
        <v>0</v>
      </c>
      <c r="BN585" s="229">
        <f t="shared" si="713"/>
        <v>0</v>
      </c>
      <c r="BO585" s="228">
        <v>35</v>
      </c>
      <c r="BP585" s="229">
        <f t="shared" si="714"/>
        <v>48</v>
      </c>
      <c r="BQ585" s="234">
        <f t="shared" si="715"/>
        <v>3.0748170731707316</v>
      </c>
      <c r="BR585" s="234" cm="1">
        <f t="array" ref="BR585">$BM585 * SUMPRODUCT(INDEX($AV$76:$AX$81,,$AI585),INDEX($AY$76:$BE$81,,$AH585), N($AU$76:$AU$81&gt;$AM585)) / BQ585 / 1000</f>
        <v>0</v>
      </c>
      <c r="BS585" s="231">
        <f t="shared" si="702"/>
        <v>30</v>
      </c>
      <c r="BT585" s="229">
        <f t="shared" si="716"/>
        <v>43</v>
      </c>
      <c r="BU585" s="234">
        <f t="shared" si="717"/>
        <v>3.5018750000000001</v>
      </c>
      <c r="BV585" s="234" cm="1">
        <f t="array" ref="BV585">$BM585 * IF($AH585&lt;=2,
SUMPRODUCT(INDEX($AV$71:$AX$75,,$AI585), INDEX($AY$71:$BE$75,,$AH585), 1 / ($BF$71:$BF$75*BU585 + (1-$BF$71:$BF$75)*BQ585), N($AU$71:$AU$75&gt;$AM585)),
SUMPRODUCT(INDEX($AV$66:$AX$75,,$AI585), INDEX($AY$66:$BE$75,,$AH585), 1 / ($BG$66:$BG$75*BU585 + (1-$BG$66:$BG$75)*BQ585), N($AU$66:$AU$75&gt;$AM585))
) / 1000</f>
        <v>0</v>
      </c>
      <c r="BW585" s="231">
        <f t="shared" si="703"/>
        <v>25</v>
      </c>
      <c r="BX585" s="229">
        <f t="shared" si="718"/>
        <v>38</v>
      </c>
      <c r="BY585" s="234">
        <f t="shared" si="719"/>
        <v>4.0666935483870965</v>
      </c>
      <c r="BZ585" s="234" cm="1">
        <f t="array" ref="BZ585">$BM585 * IF($AH585&lt;=2,
SUMPRODUCT(INDEX($AV$66:$AX$70,,$AI585), INDEX($AY$66:$BE$70,,$AH585), 1 / ($BF$66:$BF$70*BY585 + (1-$BF$66:$BF$70)*BU585), N($AU$66:$AU$70&gt;$AM585)),
SUMPRODUCT(INDEX($AV$56:$AX$65,,$AI585), INDEX($AY$56:$BE$65,,$AH585), 1 / ($BG$56:$BG$65*BY585 + (1-$BG$56:$BG$65)*BU585), N($AU$56:$AU$65&gt;$AM585))
) / 1000</f>
        <v>0</v>
      </c>
      <c r="CA585" s="231">
        <f t="shared" si="704"/>
        <v>20</v>
      </c>
      <c r="CB585" s="229">
        <f t="shared" si="720"/>
        <v>33</v>
      </c>
      <c r="CC585" s="234">
        <f t="shared" si="721"/>
        <v>4.8487499999999999</v>
      </c>
      <c r="CD585" s="234" cm="1">
        <f t="array" ref="CD585">$BM585 * IF($AH585&lt;=2,
SUMPRODUCT(INDEX($AV$61:$AX$65,,$AI585), INDEX($AY$61:$BE$65,,$AH585), 1 / ($BF$61:$BF$65*CC585 + (1-$BF$61:$BF$65)*BY585), N($AU$61:$AU$65&gt;$AM585)),
SUMPRODUCT(INDEX($AV$46:$AX$55,,$AI585), INDEX($AY$46:$BE$55,,$AH585), 1 / ($BG$46:$BG$55*CC585 + (1-$BG$46:$BG$55)*BY585), N($AU$46:$AU$55&gt;$AM585))
) / 1000</f>
        <v>0</v>
      </c>
      <c r="CE585" s="234" cm="1">
        <f t="array" ref="CE585">$BM585 * IF($AH585&lt;=2,
SUMPRODUCT(INDEX($AV$22:$AX$60,,$AI585), INDEX($AY$22:$BE$60,,$AH585), 1 / ($BF$22:$BF$60*CC585), N($AU$22:$AU$60&gt;$AM585)),
SUMPRODUCT(INDEX($AV$22:$AX$45,,$AI585), INDEX($AY$22:$BE$45,,$AH585), 1 / ($BG$22:$BG$45*CC585), N($AU$22:$AU$45&gt;$AM585))
) / 1000</f>
        <v>0</v>
      </c>
      <c r="CF585" s="229">
        <f t="shared" si="722"/>
        <v>0</v>
      </c>
      <c r="CG585" s="246"/>
      <c r="CH585" s="229">
        <f t="shared" si="723"/>
        <v>0</v>
      </c>
      <c r="CI585" s="228">
        <v>35</v>
      </c>
      <c r="CJ585" s="229">
        <f t="shared" si="724"/>
        <v>48</v>
      </c>
      <c r="CK585" s="234">
        <f t="shared" si="725"/>
        <v>3.0748170731707316</v>
      </c>
      <c r="CL585" s="234" cm="1">
        <f t="array" ref="CL585">$BM585 * SUMPRODUCT(INDEX($AV$76:$AX$81,,$AI585),INDEX($AY$76:$BE$81,,$AH585), N($AU$76:$AU$81&gt;$AM585)) / CK585 / 1000</f>
        <v>0</v>
      </c>
      <c r="CM585" s="231">
        <f t="shared" si="705"/>
        <v>30</v>
      </c>
      <c r="CN585" s="229">
        <f t="shared" si="726"/>
        <v>43</v>
      </c>
      <c r="CO585" s="234">
        <f t="shared" si="727"/>
        <v>3.5018750000000001</v>
      </c>
      <c r="CP585" s="234" cm="1">
        <f t="array" ref="CP585">$BM585 * IF($AH585&lt;=2,
SUMPRODUCT(INDEX($AV$71:$AX$75,,$AI585), INDEX($AY$71:$BE$75,,$AH585), 1 / ($BF$71:$BF$75*CO585 + (1-$BF$71:$BF$75)*CK585), N($AU$71:$AU$75&gt;$AM585)),
SUMPRODUCT(INDEX($AV$66:$AX$75,,$AI585), INDEX($AY$66:$BE$75,,$AH585), 1 / ($BG$66:$BG$75*CO585 + (1-$BG$66:$BG$75)*CK585), N($AU$66:$AU$75&gt;$AM585))
) / 1000</f>
        <v>0</v>
      </c>
      <c r="CQ585" s="231">
        <f t="shared" si="706"/>
        <v>25</v>
      </c>
      <c r="CR585" s="229">
        <f t="shared" si="728"/>
        <v>38</v>
      </c>
      <c r="CS585" s="234">
        <f t="shared" si="729"/>
        <v>4.0666935483870965</v>
      </c>
      <c r="CT585" s="234" cm="1">
        <f t="array" ref="CT585">$BM585 * IF($AH585&lt;=2,
SUMPRODUCT(INDEX($AV$66:$AX$70,,$AI585), INDEX($AY$66:$BE$70,,$AH585), 1 / ($BF$66:$BF$70*CS585 + (1-$BF$66:$BF$70)*CO585), N($AU$66:$AU$70&gt;$AM585)),
SUMPRODUCT(INDEX($AV$56:$AX$65,,$AI585), INDEX($AY$56:$BE$65,,$AH585), 1 / ($BG$56:$BG$65*CS585 + (1-$BG$56:$BG$65)*CO585), N($AU$56:$AU$65&gt;$AM585))
) / 1000</f>
        <v>0</v>
      </c>
      <c r="CU585" s="231">
        <f t="shared" si="707"/>
        <v>20</v>
      </c>
      <c r="CV585" s="229">
        <f t="shared" si="730"/>
        <v>33</v>
      </c>
      <c r="CW585" s="234">
        <f t="shared" si="731"/>
        <v>4.8487499999999999</v>
      </c>
      <c r="CX585" s="234" cm="1">
        <f t="array" ref="CX585">$BM585 * IF($AH585&lt;=2,
SUMPRODUCT(INDEX($AV$61:$AX$65,,$AI585), INDEX($AY$61:$BE$65,,$AH585), 1 / ($BF$61:$BF$65*CW585 + (1-$BF$61:$BF$65)*CS585), N($AU$61:$AU$65&gt;$AM585)),
SUMPRODUCT(INDEX($AV$46:$AX$55,,$AI585), INDEX($AY$46:$BE$55,,$AH585), 1 / ($BG$46:$BG$55*CW585 + (1-$BG$46:$BG$55)*CS585), N($AU$46:$AU$55&gt;$AM585))
) / 1000</f>
        <v>0</v>
      </c>
      <c r="CY585" s="234" cm="1">
        <f t="array" ref="CY585">$BM585 * IF($AH585&lt;=2,
SUMPRODUCT(INDEX($AV$22:$AX$60,,$AI585), INDEX($AY$22:$BE$60,,$AH585), 1 / ($BF$22:$BF$60*CW585), N($AU$22:$AU$60&gt;$AM585)),
SUMPRODUCT(INDEX($AV$22:$AX$45,,$AI585), INDEX($AY$22:$BE$45,,$AH585), 1 / ($BG$22:$BG$45*CW585), N($AU$22:$AU$45&gt;$AM585))
) / 1000</f>
        <v>0</v>
      </c>
      <c r="CZ585" s="229">
        <f t="shared" si="732"/>
        <v>0</v>
      </c>
      <c r="DA585" s="246"/>
    </row>
    <row r="586" spans="1:105" s="75" customFormat="1" ht="14.25" customHeight="1" x14ac:dyDescent="0.2">
      <c r="A586" s="230" t="b">
        <f t="shared" si="699"/>
        <v>0</v>
      </c>
      <c r="B586" s="253">
        <v>565</v>
      </c>
      <c r="C586" s="266"/>
      <c r="D586" s="266"/>
      <c r="E586" s="254"/>
      <c r="F586" s="255" t="str">
        <f>IF(ISBLANK(E586), "", VLOOKUP(E586, Z!$A$2:$C$4127, 3, FALSE))</f>
        <v/>
      </c>
      <c r="G586" s="256"/>
      <c r="H586" s="256"/>
      <c r="I586" s="256"/>
      <c r="J586" s="257"/>
      <c r="K586" s="258"/>
      <c r="L586" s="267"/>
      <c r="M586" s="268"/>
      <c r="N586" s="259" t="str" cm="1">
        <f t="array" ref="N586">IF($L586&gt;0, INDEX(Clean,1+AK586,$D$1), "")</f>
        <v/>
      </c>
      <c r="O586" s="260"/>
      <c r="P586" s="260"/>
      <c r="Q586" s="261"/>
      <c r="R586" s="264">
        <f t="shared" si="708"/>
        <v>0</v>
      </c>
      <c r="S586" s="259" t="str" cm="1">
        <f t="array" ref="S586">IF($L586&gt;0, INDEX(Clean,1+AL586,$D$1), "")</f>
        <v/>
      </c>
      <c r="T586" s="260"/>
      <c r="U586" s="260"/>
      <c r="V586" s="261"/>
      <c r="W586" s="267"/>
      <c r="X586" s="267"/>
      <c r="Y586" s="257"/>
      <c r="Z586" s="264">
        <f t="shared" si="709"/>
        <v>0</v>
      </c>
      <c r="AA586" s="269"/>
      <c r="AB586" s="266"/>
      <c r="AC586" s="254"/>
      <c r="AD586" s="255" t="str">
        <f>IF(ISBLANK(AC586), "", VLOOKUP(AC586, Z!$A$2:$C$4127, 3, FALSE))</f>
        <v/>
      </c>
      <c r="AE586" s="270"/>
      <c r="AF586" s="265">
        <f t="shared" si="710"/>
        <v>0</v>
      </c>
      <c r="AG586" s="246"/>
      <c r="AH586" s="228">
        <f t="shared" si="733"/>
        <v>1</v>
      </c>
      <c r="AI586" s="228">
        <f t="shared" si="734"/>
        <v>1</v>
      </c>
      <c r="AJ586" s="228">
        <f t="shared" si="735"/>
        <v>0</v>
      </c>
      <c r="AK586" s="228">
        <v>0</v>
      </c>
      <c r="AL586" s="228">
        <v>0</v>
      </c>
      <c r="AM586" s="228">
        <f t="shared" si="711"/>
        <v>-100</v>
      </c>
      <c r="AN586" s="228" cm="1">
        <f t="array" ref="AN586">IF(ISBLANK(G586), 1, IFERROR(MATCH(G586, INDEX(Kat,,1), 0), IFERROR(MATCH(Kat, INDEX(Use,,2), 0), MATCH(Kat, INDEX(Use,,3), 0))))</f>
        <v>1</v>
      </c>
      <c r="AO586" s="246"/>
      <c r="AP586" s="228" cm="1">
        <f t="array" ref="AP586">IF(W586&gt;0, INDEX(Kat, AN586,4), 0)</f>
        <v>0</v>
      </c>
      <c r="AQ586" s="228">
        <f t="shared" si="736"/>
        <v>0</v>
      </c>
      <c r="AR586" s="228" cm="1">
        <f t="array" ref="AR586">IF(X586&gt;0, INDEX(Kat, $AN586, 4+AQ586), 0)</f>
        <v>0</v>
      </c>
      <c r="AS586" s="228" cm="1">
        <f t="array" ref="AS586">IF(X586&gt;0, INDEX(Kat, $AN586, 9+AQ586), 0)</f>
        <v>0</v>
      </c>
      <c r="AT586" s="246"/>
      <c r="AU586" s="262"/>
      <c r="AV586" s="262"/>
      <c r="AW586" s="263"/>
      <c r="AX586" s="263"/>
      <c r="AY586" s="263"/>
      <c r="AZ586" s="263"/>
      <c r="BA586" s="263"/>
      <c r="BB586" s="263"/>
      <c r="BC586" s="263"/>
      <c r="BD586" s="263"/>
      <c r="BE586" s="263"/>
      <c r="BF586" s="263"/>
      <c r="BG586" s="263"/>
      <c r="BH586" s="246"/>
      <c r="BI586" s="228" cm="1">
        <f t="array" ref="BI586">INDEX(Use, $AH586, 4)</f>
        <v>7</v>
      </c>
      <c r="BJ586" s="228">
        <f t="shared" si="712"/>
        <v>32</v>
      </c>
      <c r="BK586" s="228">
        <f t="shared" si="700"/>
        <v>13</v>
      </c>
      <c r="BL586" s="228">
        <f t="shared" si="701"/>
        <v>0</v>
      </c>
      <c r="BM586" s="233" cm="1">
        <f t="array" ref="BM586">L586/IF($M586&gt;0, INDEX($AY$22:$BE$76, $M586+20, $AH586), 1)</f>
        <v>0</v>
      </c>
      <c r="BN586" s="229">
        <f t="shared" si="713"/>
        <v>0</v>
      </c>
      <c r="BO586" s="228">
        <v>35</v>
      </c>
      <c r="BP586" s="229">
        <f t="shared" si="714"/>
        <v>48</v>
      </c>
      <c r="BQ586" s="234">
        <f t="shared" si="715"/>
        <v>3.0748170731707316</v>
      </c>
      <c r="BR586" s="234" cm="1">
        <f t="array" ref="BR586">$BM586 * SUMPRODUCT(INDEX($AV$76:$AX$81,,$AI586),INDEX($AY$76:$BE$81,,$AH586), N($AU$76:$AU$81&gt;$AM586)) / BQ586 / 1000</f>
        <v>0</v>
      </c>
      <c r="BS586" s="231">
        <f t="shared" si="702"/>
        <v>30</v>
      </c>
      <c r="BT586" s="229">
        <f t="shared" si="716"/>
        <v>43</v>
      </c>
      <c r="BU586" s="234">
        <f t="shared" si="717"/>
        <v>3.5018750000000001</v>
      </c>
      <c r="BV586" s="234" cm="1">
        <f t="array" ref="BV586">$BM586 * IF($AH586&lt;=2,
SUMPRODUCT(INDEX($AV$71:$AX$75,,$AI586), INDEX($AY$71:$BE$75,,$AH586), 1 / ($BF$71:$BF$75*BU586 + (1-$BF$71:$BF$75)*BQ586), N($AU$71:$AU$75&gt;$AM586)),
SUMPRODUCT(INDEX($AV$66:$AX$75,,$AI586), INDEX($AY$66:$BE$75,,$AH586), 1 / ($BG$66:$BG$75*BU586 + (1-$BG$66:$BG$75)*BQ586), N($AU$66:$AU$75&gt;$AM586))
) / 1000</f>
        <v>0</v>
      </c>
      <c r="BW586" s="231">
        <f t="shared" si="703"/>
        <v>25</v>
      </c>
      <c r="BX586" s="229">
        <f t="shared" si="718"/>
        <v>38</v>
      </c>
      <c r="BY586" s="234">
        <f t="shared" si="719"/>
        <v>4.0666935483870965</v>
      </c>
      <c r="BZ586" s="234" cm="1">
        <f t="array" ref="BZ586">$BM586 * IF($AH586&lt;=2,
SUMPRODUCT(INDEX($AV$66:$AX$70,,$AI586), INDEX($AY$66:$BE$70,,$AH586), 1 / ($BF$66:$BF$70*BY586 + (1-$BF$66:$BF$70)*BU586), N($AU$66:$AU$70&gt;$AM586)),
SUMPRODUCT(INDEX($AV$56:$AX$65,,$AI586), INDEX($AY$56:$BE$65,,$AH586), 1 / ($BG$56:$BG$65*BY586 + (1-$BG$56:$BG$65)*BU586), N($AU$56:$AU$65&gt;$AM586))
) / 1000</f>
        <v>0</v>
      </c>
      <c r="CA586" s="231">
        <f t="shared" si="704"/>
        <v>20</v>
      </c>
      <c r="CB586" s="229">
        <f t="shared" si="720"/>
        <v>33</v>
      </c>
      <c r="CC586" s="234">
        <f t="shared" si="721"/>
        <v>4.8487499999999999</v>
      </c>
      <c r="CD586" s="234" cm="1">
        <f t="array" ref="CD586">$BM586 * IF($AH586&lt;=2,
SUMPRODUCT(INDEX($AV$61:$AX$65,,$AI586), INDEX($AY$61:$BE$65,,$AH586), 1 / ($BF$61:$BF$65*CC586 + (1-$BF$61:$BF$65)*BY586), N($AU$61:$AU$65&gt;$AM586)),
SUMPRODUCT(INDEX($AV$46:$AX$55,,$AI586), INDEX($AY$46:$BE$55,,$AH586), 1 / ($BG$46:$BG$55*CC586 + (1-$BG$46:$BG$55)*BY586), N($AU$46:$AU$55&gt;$AM586))
) / 1000</f>
        <v>0</v>
      </c>
      <c r="CE586" s="234" cm="1">
        <f t="array" ref="CE586">$BM586 * IF($AH586&lt;=2,
SUMPRODUCT(INDEX($AV$22:$AX$60,,$AI586), INDEX($AY$22:$BE$60,,$AH586), 1 / ($BF$22:$BF$60*CC586), N($AU$22:$AU$60&gt;$AM586)),
SUMPRODUCT(INDEX($AV$22:$AX$45,,$AI586), INDEX($AY$22:$BE$45,,$AH586), 1 / ($BG$22:$BG$45*CC586), N($AU$22:$AU$45&gt;$AM586))
) / 1000</f>
        <v>0</v>
      </c>
      <c r="CF586" s="229">
        <f t="shared" si="722"/>
        <v>0</v>
      </c>
      <c r="CG586" s="246"/>
      <c r="CH586" s="229">
        <f t="shared" si="723"/>
        <v>0</v>
      </c>
      <c r="CI586" s="228">
        <v>35</v>
      </c>
      <c r="CJ586" s="229">
        <f t="shared" si="724"/>
        <v>48</v>
      </c>
      <c r="CK586" s="234">
        <f t="shared" si="725"/>
        <v>3.0748170731707316</v>
      </c>
      <c r="CL586" s="234" cm="1">
        <f t="array" ref="CL586">$BM586 * SUMPRODUCT(INDEX($AV$76:$AX$81,,$AI586),INDEX($AY$76:$BE$81,,$AH586), N($AU$76:$AU$81&gt;$AM586)) / CK586 / 1000</f>
        <v>0</v>
      </c>
      <c r="CM586" s="231">
        <f t="shared" si="705"/>
        <v>30</v>
      </c>
      <c r="CN586" s="229">
        <f t="shared" si="726"/>
        <v>43</v>
      </c>
      <c r="CO586" s="234">
        <f t="shared" si="727"/>
        <v>3.5018750000000001</v>
      </c>
      <c r="CP586" s="234" cm="1">
        <f t="array" ref="CP586">$BM586 * IF($AH586&lt;=2,
SUMPRODUCT(INDEX($AV$71:$AX$75,,$AI586), INDEX($AY$71:$BE$75,,$AH586), 1 / ($BF$71:$BF$75*CO586 + (1-$BF$71:$BF$75)*CK586), N($AU$71:$AU$75&gt;$AM586)),
SUMPRODUCT(INDEX($AV$66:$AX$75,,$AI586), INDEX($AY$66:$BE$75,,$AH586), 1 / ($BG$66:$BG$75*CO586 + (1-$BG$66:$BG$75)*CK586), N($AU$66:$AU$75&gt;$AM586))
) / 1000</f>
        <v>0</v>
      </c>
      <c r="CQ586" s="231">
        <f t="shared" si="706"/>
        <v>25</v>
      </c>
      <c r="CR586" s="229">
        <f t="shared" si="728"/>
        <v>38</v>
      </c>
      <c r="CS586" s="234">
        <f t="shared" si="729"/>
        <v>4.0666935483870965</v>
      </c>
      <c r="CT586" s="234" cm="1">
        <f t="array" ref="CT586">$BM586 * IF($AH586&lt;=2,
SUMPRODUCT(INDEX($AV$66:$AX$70,,$AI586), INDEX($AY$66:$BE$70,,$AH586), 1 / ($BF$66:$BF$70*CS586 + (1-$BF$66:$BF$70)*CO586), N($AU$66:$AU$70&gt;$AM586)),
SUMPRODUCT(INDEX($AV$56:$AX$65,,$AI586), INDEX($AY$56:$BE$65,,$AH586), 1 / ($BG$56:$BG$65*CS586 + (1-$BG$56:$BG$65)*CO586), N($AU$56:$AU$65&gt;$AM586))
) / 1000</f>
        <v>0</v>
      </c>
      <c r="CU586" s="231">
        <f t="shared" si="707"/>
        <v>20</v>
      </c>
      <c r="CV586" s="229">
        <f t="shared" si="730"/>
        <v>33</v>
      </c>
      <c r="CW586" s="234">
        <f t="shared" si="731"/>
        <v>4.8487499999999999</v>
      </c>
      <c r="CX586" s="234" cm="1">
        <f t="array" ref="CX586">$BM586 * IF($AH586&lt;=2,
SUMPRODUCT(INDEX($AV$61:$AX$65,,$AI586), INDEX($AY$61:$BE$65,,$AH586), 1 / ($BF$61:$BF$65*CW586 + (1-$BF$61:$BF$65)*CS586), N($AU$61:$AU$65&gt;$AM586)),
SUMPRODUCT(INDEX($AV$46:$AX$55,,$AI586), INDEX($AY$46:$BE$55,,$AH586), 1 / ($BG$46:$BG$55*CW586 + (1-$BG$46:$BG$55)*CS586), N($AU$46:$AU$55&gt;$AM586))
) / 1000</f>
        <v>0</v>
      </c>
      <c r="CY586" s="234" cm="1">
        <f t="array" ref="CY586">$BM586 * IF($AH586&lt;=2,
SUMPRODUCT(INDEX($AV$22:$AX$60,,$AI586), INDEX($AY$22:$BE$60,,$AH586), 1 / ($BF$22:$BF$60*CW586), N($AU$22:$AU$60&gt;$AM586)),
SUMPRODUCT(INDEX($AV$22:$AX$45,,$AI586), INDEX($AY$22:$BE$45,,$AH586), 1 / ($BG$22:$BG$45*CW586), N($AU$22:$AU$45&gt;$AM586))
) / 1000</f>
        <v>0</v>
      </c>
      <c r="CZ586" s="229">
        <f t="shared" si="732"/>
        <v>0</v>
      </c>
      <c r="DA586" s="246"/>
    </row>
    <row r="587" spans="1:105" s="75" customFormat="1" ht="14.25" customHeight="1" x14ac:dyDescent="0.2">
      <c r="A587" s="230" t="b">
        <f t="shared" si="699"/>
        <v>0</v>
      </c>
      <c r="B587" s="253">
        <v>566</v>
      </c>
      <c r="C587" s="266"/>
      <c r="D587" s="266"/>
      <c r="E587" s="254"/>
      <c r="F587" s="255" t="str">
        <f>IF(ISBLANK(E587), "", VLOOKUP(E587, Z!$A$2:$C$4127, 3, FALSE))</f>
        <v/>
      </c>
      <c r="G587" s="256"/>
      <c r="H587" s="256"/>
      <c r="I587" s="256"/>
      <c r="J587" s="257"/>
      <c r="K587" s="258"/>
      <c r="L587" s="267"/>
      <c r="M587" s="268"/>
      <c r="N587" s="259" t="str" cm="1">
        <f t="array" ref="N587">IF($L587&gt;0, INDEX(Clean,1+AK587,$D$1), "")</f>
        <v/>
      </c>
      <c r="O587" s="260"/>
      <c r="P587" s="260"/>
      <c r="Q587" s="261"/>
      <c r="R587" s="264">
        <f t="shared" si="708"/>
        <v>0</v>
      </c>
      <c r="S587" s="259" t="str" cm="1">
        <f t="array" ref="S587">IF($L587&gt;0, INDEX(Clean,1+AL587,$D$1), "")</f>
        <v/>
      </c>
      <c r="T587" s="260"/>
      <c r="U587" s="260"/>
      <c r="V587" s="261"/>
      <c r="W587" s="267"/>
      <c r="X587" s="267"/>
      <c r="Y587" s="257"/>
      <c r="Z587" s="264">
        <f t="shared" si="709"/>
        <v>0</v>
      </c>
      <c r="AA587" s="269"/>
      <c r="AB587" s="266"/>
      <c r="AC587" s="254"/>
      <c r="AD587" s="255" t="str">
        <f>IF(ISBLANK(AC587), "", VLOOKUP(AC587, Z!$A$2:$C$4127, 3, FALSE))</f>
        <v/>
      </c>
      <c r="AE587" s="270"/>
      <c r="AF587" s="265">
        <f t="shared" si="710"/>
        <v>0</v>
      </c>
      <c r="AG587" s="246"/>
      <c r="AH587" s="228">
        <f t="shared" si="733"/>
        <v>1</v>
      </c>
      <c r="AI587" s="228">
        <f t="shared" si="734"/>
        <v>1</v>
      </c>
      <c r="AJ587" s="228">
        <f t="shared" si="735"/>
        <v>0</v>
      </c>
      <c r="AK587" s="228">
        <v>0</v>
      </c>
      <c r="AL587" s="228">
        <v>0</v>
      </c>
      <c r="AM587" s="228">
        <f t="shared" si="711"/>
        <v>-100</v>
      </c>
      <c r="AN587" s="228" cm="1">
        <f t="array" ref="AN587">IF(ISBLANK(G587), 1, IFERROR(MATCH(G587, INDEX(Kat,,1), 0), IFERROR(MATCH(Kat, INDEX(Use,,2), 0), MATCH(Kat, INDEX(Use,,3), 0))))</f>
        <v>1</v>
      </c>
      <c r="AO587" s="246"/>
      <c r="AP587" s="228" cm="1">
        <f t="array" ref="AP587">IF(W587&gt;0, INDEX(Kat, AN587,4), 0)</f>
        <v>0</v>
      </c>
      <c r="AQ587" s="228">
        <f t="shared" si="736"/>
        <v>0</v>
      </c>
      <c r="AR587" s="228" cm="1">
        <f t="array" ref="AR587">IF(X587&gt;0, INDEX(Kat, $AN587, 4+AQ587), 0)</f>
        <v>0</v>
      </c>
      <c r="AS587" s="228" cm="1">
        <f t="array" ref="AS587">IF(X587&gt;0, INDEX(Kat, $AN587, 9+AQ587), 0)</f>
        <v>0</v>
      </c>
      <c r="AT587" s="246"/>
      <c r="AU587" s="262"/>
      <c r="AV587" s="262"/>
      <c r="AW587" s="263"/>
      <c r="AX587" s="263"/>
      <c r="AY587" s="263"/>
      <c r="AZ587" s="263"/>
      <c r="BA587" s="263"/>
      <c r="BB587" s="263"/>
      <c r="BC587" s="263"/>
      <c r="BD587" s="263"/>
      <c r="BE587" s="263"/>
      <c r="BF587" s="263"/>
      <c r="BG587" s="263"/>
      <c r="BH587" s="246"/>
      <c r="BI587" s="228" cm="1">
        <f t="array" ref="BI587">INDEX(Use, $AH587, 4)</f>
        <v>7</v>
      </c>
      <c r="BJ587" s="228">
        <f t="shared" si="712"/>
        <v>32</v>
      </c>
      <c r="BK587" s="228">
        <f t="shared" si="700"/>
        <v>13</v>
      </c>
      <c r="BL587" s="228">
        <f t="shared" si="701"/>
        <v>0</v>
      </c>
      <c r="BM587" s="233" cm="1">
        <f t="array" ref="BM587">L587/IF($M587&gt;0, INDEX($AY$22:$BE$76, $M587+20, $AH587), 1)</f>
        <v>0</v>
      </c>
      <c r="BN587" s="229">
        <f t="shared" si="713"/>
        <v>0</v>
      </c>
      <c r="BO587" s="228">
        <v>35</v>
      </c>
      <c r="BP587" s="229">
        <f t="shared" si="714"/>
        <v>48</v>
      </c>
      <c r="BQ587" s="234">
        <f t="shared" si="715"/>
        <v>3.0748170731707316</v>
      </c>
      <c r="BR587" s="234" cm="1">
        <f t="array" ref="BR587">$BM587 * SUMPRODUCT(INDEX($AV$76:$AX$81,,$AI587),INDEX($AY$76:$BE$81,,$AH587), N($AU$76:$AU$81&gt;$AM587)) / BQ587 / 1000</f>
        <v>0</v>
      </c>
      <c r="BS587" s="231">
        <f t="shared" si="702"/>
        <v>30</v>
      </c>
      <c r="BT587" s="229">
        <f t="shared" si="716"/>
        <v>43</v>
      </c>
      <c r="BU587" s="234">
        <f t="shared" si="717"/>
        <v>3.5018750000000001</v>
      </c>
      <c r="BV587" s="234" cm="1">
        <f t="array" ref="BV587">$BM587 * IF($AH587&lt;=2,
SUMPRODUCT(INDEX($AV$71:$AX$75,,$AI587), INDEX($AY$71:$BE$75,,$AH587), 1 / ($BF$71:$BF$75*BU587 + (1-$BF$71:$BF$75)*BQ587), N($AU$71:$AU$75&gt;$AM587)),
SUMPRODUCT(INDEX($AV$66:$AX$75,,$AI587), INDEX($AY$66:$BE$75,,$AH587), 1 / ($BG$66:$BG$75*BU587 + (1-$BG$66:$BG$75)*BQ587), N($AU$66:$AU$75&gt;$AM587))
) / 1000</f>
        <v>0</v>
      </c>
      <c r="BW587" s="231">
        <f t="shared" si="703"/>
        <v>25</v>
      </c>
      <c r="BX587" s="229">
        <f t="shared" si="718"/>
        <v>38</v>
      </c>
      <c r="BY587" s="234">
        <f t="shared" si="719"/>
        <v>4.0666935483870965</v>
      </c>
      <c r="BZ587" s="234" cm="1">
        <f t="array" ref="BZ587">$BM587 * IF($AH587&lt;=2,
SUMPRODUCT(INDEX($AV$66:$AX$70,,$AI587), INDEX($AY$66:$BE$70,,$AH587), 1 / ($BF$66:$BF$70*BY587 + (1-$BF$66:$BF$70)*BU587), N($AU$66:$AU$70&gt;$AM587)),
SUMPRODUCT(INDEX($AV$56:$AX$65,,$AI587), INDEX($AY$56:$BE$65,,$AH587), 1 / ($BG$56:$BG$65*BY587 + (1-$BG$56:$BG$65)*BU587), N($AU$56:$AU$65&gt;$AM587))
) / 1000</f>
        <v>0</v>
      </c>
      <c r="CA587" s="231">
        <f t="shared" si="704"/>
        <v>20</v>
      </c>
      <c r="CB587" s="229">
        <f t="shared" si="720"/>
        <v>33</v>
      </c>
      <c r="CC587" s="234">
        <f t="shared" si="721"/>
        <v>4.8487499999999999</v>
      </c>
      <c r="CD587" s="234" cm="1">
        <f t="array" ref="CD587">$BM587 * IF($AH587&lt;=2,
SUMPRODUCT(INDEX($AV$61:$AX$65,,$AI587), INDEX($AY$61:$BE$65,,$AH587), 1 / ($BF$61:$BF$65*CC587 + (1-$BF$61:$BF$65)*BY587), N($AU$61:$AU$65&gt;$AM587)),
SUMPRODUCT(INDEX($AV$46:$AX$55,,$AI587), INDEX($AY$46:$BE$55,,$AH587), 1 / ($BG$46:$BG$55*CC587 + (1-$BG$46:$BG$55)*BY587), N($AU$46:$AU$55&gt;$AM587))
) / 1000</f>
        <v>0</v>
      </c>
      <c r="CE587" s="234" cm="1">
        <f t="array" ref="CE587">$BM587 * IF($AH587&lt;=2,
SUMPRODUCT(INDEX($AV$22:$AX$60,,$AI587), INDEX($AY$22:$BE$60,,$AH587), 1 / ($BF$22:$BF$60*CC587), N($AU$22:$AU$60&gt;$AM587)),
SUMPRODUCT(INDEX($AV$22:$AX$45,,$AI587), INDEX($AY$22:$BE$45,,$AH587), 1 / ($BG$22:$BG$45*CC587), N($AU$22:$AU$45&gt;$AM587))
) / 1000</f>
        <v>0</v>
      </c>
      <c r="CF587" s="229">
        <f t="shared" si="722"/>
        <v>0</v>
      </c>
      <c r="CG587" s="246"/>
      <c r="CH587" s="229">
        <f t="shared" si="723"/>
        <v>0</v>
      </c>
      <c r="CI587" s="228">
        <v>35</v>
      </c>
      <c r="CJ587" s="229">
        <f t="shared" si="724"/>
        <v>48</v>
      </c>
      <c r="CK587" s="234">
        <f t="shared" si="725"/>
        <v>3.0748170731707316</v>
      </c>
      <c r="CL587" s="234" cm="1">
        <f t="array" ref="CL587">$BM587 * SUMPRODUCT(INDEX($AV$76:$AX$81,,$AI587),INDEX($AY$76:$BE$81,,$AH587), N($AU$76:$AU$81&gt;$AM587)) / CK587 / 1000</f>
        <v>0</v>
      </c>
      <c r="CM587" s="231">
        <f t="shared" si="705"/>
        <v>30</v>
      </c>
      <c r="CN587" s="229">
        <f t="shared" si="726"/>
        <v>43</v>
      </c>
      <c r="CO587" s="234">
        <f t="shared" si="727"/>
        <v>3.5018750000000001</v>
      </c>
      <c r="CP587" s="234" cm="1">
        <f t="array" ref="CP587">$BM587 * IF($AH587&lt;=2,
SUMPRODUCT(INDEX($AV$71:$AX$75,,$AI587), INDEX($AY$71:$BE$75,,$AH587), 1 / ($BF$71:$BF$75*CO587 + (1-$BF$71:$BF$75)*CK587), N($AU$71:$AU$75&gt;$AM587)),
SUMPRODUCT(INDEX($AV$66:$AX$75,,$AI587), INDEX($AY$66:$BE$75,,$AH587), 1 / ($BG$66:$BG$75*CO587 + (1-$BG$66:$BG$75)*CK587), N($AU$66:$AU$75&gt;$AM587))
) / 1000</f>
        <v>0</v>
      </c>
      <c r="CQ587" s="231">
        <f t="shared" si="706"/>
        <v>25</v>
      </c>
      <c r="CR587" s="229">
        <f t="shared" si="728"/>
        <v>38</v>
      </c>
      <c r="CS587" s="234">
        <f t="shared" si="729"/>
        <v>4.0666935483870965</v>
      </c>
      <c r="CT587" s="234" cm="1">
        <f t="array" ref="CT587">$BM587 * IF($AH587&lt;=2,
SUMPRODUCT(INDEX($AV$66:$AX$70,,$AI587), INDEX($AY$66:$BE$70,,$AH587), 1 / ($BF$66:$BF$70*CS587 + (1-$BF$66:$BF$70)*CO587), N($AU$66:$AU$70&gt;$AM587)),
SUMPRODUCT(INDEX($AV$56:$AX$65,,$AI587), INDEX($AY$56:$BE$65,,$AH587), 1 / ($BG$56:$BG$65*CS587 + (1-$BG$56:$BG$65)*CO587), N($AU$56:$AU$65&gt;$AM587))
) / 1000</f>
        <v>0</v>
      </c>
      <c r="CU587" s="231">
        <f t="shared" si="707"/>
        <v>20</v>
      </c>
      <c r="CV587" s="229">
        <f t="shared" si="730"/>
        <v>33</v>
      </c>
      <c r="CW587" s="234">
        <f t="shared" si="731"/>
        <v>4.8487499999999999</v>
      </c>
      <c r="CX587" s="234" cm="1">
        <f t="array" ref="CX587">$BM587 * IF($AH587&lt;=2,
SUMPRODUCT(INDEX($AV$61:$AX$65,,$AI587), INDEX($AY$61:$BE$65,,$AH587), 1 / ($BF$61:$BF$65*CW587 + (1-$BF$61:$BF$65)*CS587), N($AU$61:$AU$65&gt;$AM587)),
SUMPRODUCT(INDEX($AV$46:$AX$55,,$AI587), INDEX($AY$46:$BE$55,,$AH587), 1 / ($BG$46:$BG$55*CW587 + (1-$BG$46:$BG$55)*CS587), N($AU$46:$AU$55&gt;$AM587))
) / 1000</f>
        <v>0</v>
      </c>
      <c r="CY587" s="234" cm="1">
        <f t="array" ref="CY587">$BM587 * IF($AH587&lt;=2,
SUMPRODUCT(INDEX($AV$22:$AX$60,,$AI587), INDEX($AY$22:$BE$60,,$AH587), 1 / ($BF$22:$BF$60*CW587), N($AU$22:$AU$60&gt;$AM587)),
SUMPRODUCT(INDEX($AV$22:$AX$45,,$AI587), INDEX($AY$22:$BE$45,,$AH587), 1 / ($BG$22:$BG$45*CW587), N($AU$22:$AU$45&gt;$AM587))
) / 1000</f>
        <v>0</v>
      </c>
      <c r="CZ587" s="229">
        <f t="shared" si="732"/>
        <v>0</v>
      </c>
      <c r="DA587" s="246"/>
    </row>
    <row r="588" spans="1:105" s="75" customFormat="1" ht="14.25" customHeight="1" x14ac:dyDescent="0.2">
      <c r="A588" s="230" t="b">
        <f t="shared" si="699"/>
        <v>0</v>
      </c>
      <c r="B588" s="253">
        <v>567</v>
      </c>
      <c r="C588" s="266"/>
      <c r="D588" s="266"/>
      <c r="E588" s="254"/>
      <c r="F588" s="255" t="str">
        <f>IF(ISBLANK(E588), "", VLOOKUP(E588, Z!$A$2:$C$4127, 3, FALSE))</f>
        <v/>
      </c>
      <c r="G588" s="256"/>
      <c r="H588" s="256"/>
      <c r="I588" s="256"/>
      <c r="J588" s="257"/>
      <c r="K588" s="258"/>
      <c r="L588" s="267"/>
      <c r="M588" s="268"/>
      <c r="N588" s="259" t="str" cm="1">
        <f t="array" ref="N588">IF($L588&gt;0, INDEX(Clean,1+AK588,$D$1), "")</f>
        <v/>
      </c>
      <c r="O588" s="260"/>
      <c r="P588" s="260"/>
      <c r="Q588" s="261"/>
      <c r="R588" s="264">
        <f t="shared" si="708"/>
        <v>0</v>
      </c>
      <c r="S588" s="259" t="str" cm="1">
        <f t="array" ref="S588">IF($L588&gt;0, INDEX(Clean,1+AL588,$D$1), "")</f>
        <v/>
      </c>
      <c r="T588" s="260"/>
      <c r="U588" s="260"/>
      <c r="V588" s="261"/>
      <c r="W588" s="267"/>
      <c r="X588" s="267"/>
      <c r="Y588" s="257"/>
      <c r="Z588" s="264">
        <f t="shared" si="709"/>
        <v>0</v>
      </c>
      <c r="AA588" s="269"/>
      <c r="AB588" s="266"/>
      <c r="AC588" s="254"/>
      <c r="AD588" s="255" t="str">
        <f>IF(ISBLANK(AC588), "", VLOOKUP(AC588, Z!$A$2:$C$4127, 3, FALSE))</f>
        <v/>
      </c>
      <c r="AE588" s="270"/>
      <c r="AF588" s="265">
        <f t="shared" si="710"/>
        <v>0</v>
      </c>
      <c r="AG588" s="246"/>
      <c r="AH588" s="228">
        <f t="shared" si="733"/>
        <v>1</v>
      </c>
      <c r="AI588" s="228">
        <f t="shared" si="734"/>
        <v>1</v>
      </c>
      <c r="AJ588" s="228">
        <f t="shared" si="735"/>
        <v>0</v>
      </c>
      <c r="AK588" s="228">
        <v>0</v>
      </c>
      <c r="AL588" s="228">
        <v>0</v>
      </c>
      <c r="AM588" s="228">
        <f t="shared" si="711"/>
        <v>-100</v>
      </c>
      <c r="AN588" s="228" cm="1">
        <f t="array" ref="AN588">IF(ISBLANK(G588), 1, IFERROR(MATCH(G588, INDEX(Kat,,1), 0), IFERROR(MATCH(Kat, INDEX(Use,,2), 0), MATCH(Kat, INDEX(Use,,3), 0))))</f>
        <v>1</v>
      </c>
      <c r="AO588" s="246"/>
      <c r="AP588" s="228" cm="1">
        <f t="array" ref="AP588">IF(W588&gt;0, INDEX(Kat, AN588,4), 0)</f>
        <v>0</v>
      </c>
      <c r="AQ588" s="228">
        <f t="shared" si="736"/>
        <v>0</v>
      </c>
      <c r="AR588" s="228" cm="1">
        <f t="array" ref="AR588">IF(X588&gt;0, INDEX(Kat, $AN588, 4+AQ588), 0)</f>
        <v>0</v>
      </c>
      <c r="AS588" s="228" cm="1">
        <f t="array" ref="AS588">IF(X588&gt;0, INDEX(Kat, $AN588, 9+AQ588), 0)</f>
        <v>0</v>
      </c>
      <c r="AT588" s="246"/>
      <c r="AU588" s="262"/>
      <c r="AV588" s="262"/>
      <c r="AW588" s="263"/>
      <c r="AX588" s="263"/>
      <c r="AY588" s="263"/>
      <c r="AZ588" s="263"/>
      <c r="BA588" s="263"/>
      <c r="BB588" s="263"/>
      <c r="BC588" s="263"/>
      <c r="BD588" s="263"/>
      <c r="BE588" s="263"/>
      <c r="BF588" s="263"/>
      <c r="BG588" s="263"/>
      <c r="BH588" s="246"/>
      <c r="BI588" s="228" cm="1">
        <f t="array" ref="BI588">INDEX(Use, $AH588, 4)</f>
        <v>7</v>
      </c>
      <c r="BJ588" s="228">
        <f t="shared" si="712"/>
        <v>32</v>
      </c>
      <c r="BK588" s="228">
        <f t="shared" si="700"/>
        <v>13</v>
      </c>
      <c r="BL588" s="228">
        <f t="shared" si="701"/>
        <v>0</v>
      </c>
      <c r="BM588" s="233" cm="1">
        <f t="array" ref="BM588">L588/IF($M588&gt;0, INDEX($AY$22:$BE$76, $M588+20, $AH588), 1)</f>
        <v>0</v>
      </c>
      <c r="BN588" s="229">
        <f t="shared" si="713"/>
        <v>0</v>
      </c>
      <c r="BO588" s="228">
        <v>35</v>
      </c>
      <c r="BP588" s="229">
        <f t="shared" si="714"/>
        <v>48</v>
      </c>
      <c r="BQ588" s="234">
        <f t="shared" si="715"/>
        <v>3.0748170731707316</v>
      </c>
      <c r="BR588" s="234" cm="1">
        <f t="array" ref="BR588">$BM588 * SUMPRODUCT(INDEX($AV$76:$AX$81,,$AI588),INDEX($AY$76:$BE$81,,$AH588), N($AU$76:$AU$81&gt;$AM588)) / BQ588 / 1000</f>
        <v>0</v>
      </c>
      <c r="BS588" s="231">
        <f t="shared" si="702"/>
        <v>30</v>
      </c>
      <c r="BT588" s="229">
        <f t="shared" si="716"/>
        <v>43</v>
      </c>
      <c r="BU588" s="234">
        <f t="shared" si="717"/>
        <v>3.5018750000000001</v>
      </c>
      <c r="BV588" s="234" cm="1">
        <f t="array" ref="BV588">$BM588 * IF($AH588&lt;=2,
SUMPRODUCT(INDEX($AV$71:$AX$75,,$AI588), INDEX($AY$71:$BE$75,,$AH588), 1 / ($BF$71:$BF$75*BU588 + (1-$BF$71:$BF$75)*BQ588), N($AU$71:$AU$75&gt;$AM588)),
SUMPRODUCT(INDEX($AV$66:$AX$75,,$AI588), INDEX($AY$66:$BE$75,,$AH588), 1 / ($BG$66:$BG$75*BU588 + (1-$BG$66:$BG$75)*BQ588), N($AU$66:$AU$75&gt;$AM588))
) / 1000</f>
        <v>0</v>
      </c>
      <c r="BW588" s="231">
        <f t="shared" si="703"/>
        <v>25</v>
      </c>
      <c r="BX588" s="229">
        <f t="shared" si="718"/>
        <v>38</v>
      </c>
      <c r="BY588" s="234">
        <f t="shared" si="719"/>
        <v>4.0666935483870965</v>
      </c>
      <c r="BZ588" s="234" cm="1">
        <f t="array" ref="BZ588">$BM588 * IF($AH588&lt;=2,
SUMPRODUCT(INDEX($AV$66:$AX$70,,$AI588), INDEX($AY$66:$BE$70,,$AH588), 1 / ($BF$66:$BF$70*BY588 + (1-$BF$66:$BF$70)*BU588), N($AU$66:$AU$70&gt;$AM588)),
SUMPRODUCT(INDEX($AV$56:$AX$65,,$AI588), INDEX($AY$56:$BE$65,,$AH588), 1 / ($BG$56:$BG$65*BY588 + (1-$BG$56:$BG$65)*BU588), N($AU$56:$AU$65&gt;$AM588))
) / 1000</f>
        <v>0</v>
      </c>
      <c r="CA588" s="231">
        <f t="shared" si="704"/>
        <v>20</v>
      </c>
      <c r="CB588" s="229">
        <f t="shared" si="720"/>
        <v>33</v>
      </c>
      <c r="CC588" s="234">
        <f t="shared" si="721"/>
        <v>4.8487499999999999</v>
      </c>
      <c r="CD588" s="234" cm="1">
        <f t="array" ref="CD588">$BM588 * IF($AH588&lt;=2,
SUMPRODUCT(INDEX($AV$61:$AX$65,,$AI588), INDEX($AY$61:$BE$65,,$AH588), 1 / ($BF$61:$BF$65*CC588 + (1-$BF$61:$BF$65)*BY588), N($AU$61:$AU$65&gt;$AM588)),
SUMPRODUCT(INDEX($AV$46:$AX$55,,$AI588), INDEX($AY$46:$BE$55,,$AH588), 1 / ($BG$46:$BG$55*CC588 + (1-$BG$46:$BG$55)*BY588), N($AU$46:$AU$55&gt;$AM588))
) / 1000</f>
        <v>0</v>
      </c>
      <c r="CE588" s="234" cm="1">
        <f t="array" ref="CE588">$BM588 * IF($AH588&lt;=2,
SUMPRODUCT(INDEX($AV$22:$AX$60,,$AI588), INDEX($AY$22:$BE$60,,$AH588), 1 / ($BF$22:$BF$60*CC588), N($AU$22:$AU$60&gt;$AM588)),
SUMPRODUCT(INDEX($AV$22:$AX$45,,$AI588), INDEX($AY$22:$BE$45,,$AH588), 1 / ($BG$22:$BG$45*CC588), N($AU$22:$AU$45&gt;$AM588))
) / 1000</f>
        <v>0</v>
      </c>
      <c r="CF588" s="229">
        <f t="shared" si="722"/>
        <v>0</v>
      </c>
      <c r="CG588" s="246"/>
      <c r="CH588" s="229">
        <f t="shared" si="723"/>
        <v>0</v>
      </c>
      <c r="CI588" s="228">
        <v>35</v>
      </c>
      <c r="CJ588" s="229">
        <f t="shared" si="724"/>
        <v>48</v>
      </c>
      <c r="CK588" s="234">
        <f t="shared" si="725"/>
        <v>3.0748170731707316</v>
      </c>
      <c r="CL588" s="234" cm="1">
        <f t="array" ref="CL588">$BM588 * SUMPRODUCT(INDEX($AV$76:$AX$81,,$AI588),INDEX($AY$76:$BE$81,,$AH588), N($AU$76:$AU$81&gt;$AM588)) / CK588 / 1000</f>
        <v>0</v>
      </c>
      <c r="CM588" s="231">
        <f t="shared" si="705"/>
        <v>30</v>
      </c>
      <c r="CN588" s="229">
        <f t="shared" si="726"/>
        <v>43</v>
      </c>
      <c r="CO588" s="234">
        <f t="shared" si="727"/>
        <v>3.5018750000000001</v>
      </c>
      <c r="CP588" s="234" cm="1">
        <f t="array" ref="CP588">$BM588 * IF($AH588&lt;=2,
SUMPRODUCT(INDEX($AV$71:$AX$75,,$AI588), INDEX($AY$71:$BE$75,,$AH588), 1 / ($BF$71:$BF$75*CO588 + (1-$BF$71:$BF$75)*CK588), N($AU$71:$AU$75&gt;$AM588)),
SUMPRODUCT(INDEX($AV$66:$AX$75,,$AI588), INDEX($AY$66:$BE$75,,$AH588), 1 / ($BG$66:$BG$75*CO588 + (1-$BG$66:$BG$75)*CK588), N($AU$66:$AU$75&gt;$AM588))
) / 1000</f>
        <v>0</v>
      </c>
      <c r="CQ588" s="231">
        <f t="shared" si="706"/>
        <v>25</v>
      </c>
      <c r="CR588" s="229">
        <f t="shared" si="728"/>
        <v>38</v>
      </c>
      <c r="CS588" s="234">
        <f t="shared" si="729"/>
        <v>4.0666935483870965</v>
      </c>
      <c r="CT588" s="234" cm="1">
        <f t="array" ref="CT588">$BM588 * IF($AH588&lt;=2,
SUMPRODUCT(INDEX($AV$66:$AX$70,,$AI588), INDEX($AY$66:$BE$70,,$AH588), 1 / ($BF$66:$BF$70*CS588 + (1-$BF$66:$BF$70)*CO588), N($AU$66:$AU$70&gt;$AM588)),
SUMPRODUCT(INDEX($AV$56:$AX$65,,$AI588), INDEX($AY$56:$BE$65,,$AH588), 1 / ($BG$56:$BG$65*CS588 + (1-$BG$56:$BG$65)*CO588), N($AU$56:$AU$65&gt;$AM588))
) / 1000</f>
        <v>0</v>
      </c>
      <c r="CU588" s="231">
        <f t="shared" si="707"/>
        <v>20</v>
      </c>
      <c r="CV588" s="229">
        <f t="shared" si="730"/>
        <v>33</v>
      </c>
      <c r="CW588" s="234">
        <f t="shared" si="731"/>
        <v>4.8487499999999999</v>
      </c>
      <c r="CX588" s="234" cm="1">
        <f t="array" ref="CX588">$BM588 * IF($AH588&lt;=2,
SUMPRODUCT(INDEX($AV$61:$AX$65,,$AI588), INDEX($AY$61:$BE$65,,$AH588), 1 / ($BF$61:$BF$65*CW588 + (1-$BF$61:$BF$65)*CS588), N($AU$61:$AU$65&gt;$AM588)),
SUMPRODUCT(INDEX($AV$46:$AX$55,,$AI588), INDEX($AY$46:$BE$55,,$AH588), 1 / ($BG$46:$BG$55*CW588 + (1-$BG$46:$BG$55)*CS588), N($AU$46:$AU$55&gt;$AM588))
) / 1000</f>
        <v>0</v>
      </c>
      <c r="CY588" s="234" cm="1">
        <f t="array" ref="CY588">$BM588 * IF($AH588&lt;=2,
SUMPRODUCT(INDEX($AV$22:$AX$60,,$AI588), INDEX($AY$22:$BE$60,,$AH588), 1 / ($BF$22:$BF$60*CW588), N($AU$22:$AU$60&gt;$AM588)),
SUMPRODUCT(INDEX($AV$22:$AX$45,,$AI588), INDEX($AY$22:$BE$45,,$AH588), 1 / ($BG$22:$BG$45*CW588), N($AU$22:$AU$45&gt;$AM588))
) / 1000</f>
        <v>0</v>
      </c>
      <c r="CZ588" s="229">
        <f t="shared" si="732"/>
        <v>0</v>
      </c>
      <c r="DA588" s="246"/>
    </row>
    <row r="589" spans="1:105" s="75" customFormat="1" ht="14.25" customHeight="1" x14ac:dyDescent="0.2">
      <c r="A589" s="230" t="b">
        <f t="shared" si="699"/>
        <v>0</v>
      </c>
      <c r="B589" s="253">
        <v>568</v>
      </c>
      <c r="C589" s="266"/>
      <c r="D589" s="266"/>
      <c r="E589" s="254"/>
      <c r="F589" s="255" t="str">
        <f>IF(ISBLANK(E589), "", VLOOKUP(E589, Z!$A$2:$C$4127, 3, FALSE))</f>
        <v/>
      </c>
      <c r="G589" s="256"/>
      <c r="H589" s="256"/>
      <c r="I589" s="256"/>
      <c r="J589" s="257"/>
      <c r="K589" s="258"/>
      <c r="L589" s="267"/>
      <c r="M589" s="268"/>
      <c r="N589" s="259" t="str" cm="1">
        <f t="array" ref="N589">IF($L589&gt;0, INDEX(Clean,1+AK589,$D$1), "")</f>
        <v/>
      </c>
      <c r="O589" s="260"/>
      <c r="P589" s="260"/>
      <c r="Q589" s="261"/>
      <c r="R589" s="264">
        <f t="shared" si="708"/>
        <v>0</v>
      </c>
      <c r="S589" s="259" t="str" cm="1">
        <f t="array" ref="S589">IF($L589&gt;0, INDEX(Clean,1+AL589,$D$1), "")</f>
        <v/>
      </c>
      <c r="T589" s="260"/>
      <c r="U589" s="260"/>
      <c r="V589" s="261"/>
      <c r="W589" s="267"/>
      <c r="X589" s="267"/>
      <c r="Y589" s="257"/>
      <c r="Z589" s="264">
        <f t="shared" si="709"/>
        <v>0</v>
      </c>
      <c r="AA589" s="269"/>
      <c r="AB589" s="266"/>
      <c r="AC589" s="254"/>
      <c r="AD589" s="255" t="str">
        <f>IF(ISBLANK(AC589), "", VLOOKUP(AC589, Z!$A$2:$C$4127, 3, FALSE))</f>
        <v/>
      </c>
      <c r="AE589" s="270"/>
      <c r="AF589" s="265">
        <f t="shared" si="710"/>
        <v>0</v>
      </c>
      <c r="AG589" s="246"/>
      <c r="AH589" s="228">
        <f t="shared" si="733"/>
        <v>1</v>
      </c>
      <c r="AI589" s="228">
        <f t="shared" si="734"/>
        <v>1</v>
      </c>
      <c r="AJ589" s="228">
        <f t="shared" si="735"/>
        <v>0</v>
      </c>
      <c r="AK589" s="228">
        <v>0</v>
      </c>
      <c r="AL589" s="228">
        <v>0</v>
      </c>
      <c r="AM589" s="228">
        <f t="shared" si="711"/>
        <v>-100</v>
      </c>
      <c r="AN589" s="228" cm="1">
        <f t="array" ref="AN589">IF(ISBLANK(G589), 1, IFERROR(MATCH(G589, INDEX(Kat,,1), 0), IFERROR(MATCH(Kat, INDEX(Use,,2), 0), MATCH(Kat, INDEX(Use,,3), 0))))</f>
        <v>1</v>
      </c>
      <c r="AO589" s="246"/>
      <c r="AP589" s="228" cm="1">
        <f t="array" ref="AP589">IF(W589&gt;0, INDEX(Kat, AN589,4), 0)</f>
        <v>0</v>
      </c>
      <c r="AQ589" s="228">
        <f t="shared" si="736"/>
        <v>0</v>
      </c>
      <c r="AR589" s="228" cm="1">
        <f t="array" ref="AR589">IF(X589&gt;0, INDEX(Kat, $AN589, 4+AQ589), 0)</f>
        <v>0</v>
      </c>
      <c r="AS589" s="228" cm="1">
        <f t="array" ref="AS589">IF(X589&gt;0, INDEX(Kat, $AN589, 9+AQ589), 0)</f>
        <v>0</v>
      </c>
      <c r="AT589" s="246"/>
      <c r="AU589" s="262"/>
      <c r="AV589" s="262"/>
      <c r="AW589" s="263"/>
      <c r="AX589" s="263"/>
      <c r="AY589" s="263"/>
      <c r="AZ589" s="263"/>
      <c r="BA589" s="263"/>
      <c r="BB589" s="263"/>
      <c r="BC589" s="263"/>
      <c r="BD589" s="263"/>
      <c r="BE589" s="263"/>
      <c r="BF589" s="263"/>
      <c r="BG589" s="263"/>
      <c r="BH589" s="246"/>
      <c r="BI589" s="228" cm="1">
        <f t="array" ref="BI589">INDEX(Use, $AH589, 4)</f>
        <v>7</v>
      </c>
      <c r="BJ589" s="228">
        <f t="shared" si="712"/>
        <v>32</v>
      </c>
      <c r="BK589" s="228">
        <f t="shared" si="700"/>
        <v>13</v>
      </c>
      <c r="BL589" s="228">
        <f t="shared" si="701"/>
        <v>0</v>
      </c>
      <c r="BM589" s="233" cm="1">
        <f t="array" ref="BM589">L589/IF($M589&gt;0, INDEX($AY$22:$BE$76, $M589+20, $AH589), 1)</f>
        <v>0</v>
      </c>
      <c r="BN589" s="229">
        <f t="shared" si="713"/>
        <v>0</v>
      </c>
      <c r="BO589" s="228">
        <v>35</v>
      </c>
      <c r="BP589" s="229">
        <f t="shared" si="714"/>
        <v>48</v>
      </c>
      <c r="BQ589" s="234">
        <f t="shared" si="715"/>
        <v>3.0748170731707316</v>
      </c>
      <c r="BR589" s="234" cm="1">
        <f t="array" ref="BR589">$BM589 * SUMPRODUCT(INDEX($AV$76:$AX$81,,$AI589),INDEX($AY$76:$BE$81,,$AH589), N($AU$76:$AU$81&gt;$AM589)) / BQ589 / 1000</f>
        <v>0</v>
      </c>
      <c r="BS589" s="231">
        <f t="shared" si="702"/>
        <v>30</v>
      </c>
      <c r="BT589" s="229">
        <f t="shared" si="716"/>
        <v>43</v>
      </c>
      <c r="BU589" s="234">
        <f t="shared" si="717"/>
        <v>3.5018750000000001</v>
      </c>
      <c r="BV589" s="234" cm="1">
        <f t="array" ref="BV589">$BM589 * IF($AH589&lt;=2,
SUMPRODUCT(INDEX($AV$71:$AX$75,,$AI589), INDEX($AY$71:$BE$75,,$AH589), 1 / ($BF$71:$BF$75*BU589 + (1-$BF$71:$BF$75)*BQ589), N($AU$71:$AU$75&gt;$AM589)),
SUMPRODUCT(INDEX($AV$66:$AX$75,,$AI589), INDEX($AY$66:$BE$75,,$AH589), 1 / ($BG$66:$BG$75*BU589 + (1-$BG$66:$BG$75)*BQ589), N($AU$66:$AU$75&gt;$AM589))
) / 1000</f>
        <v>0</v>
      </c>
      <c r="BW589" s="231">
        <f t="shared" si="703"/>
        <v>25</v>
      </c>
      <c r="BX589" s="229">
        <f t="shared" si="718"/>
        <v>38</v>
      </c>
      <c r="BY589" s="234">
        <f t="shared" si="719"/>
        <v>4.0666935483870965</v>
      </c>
      <c r="BZ589" s="234" cm="1">
        <f t="array" ref="BZ589">$BM589 * IF($AH589&lt;=2,
SUMPRODUCT(INDEX($AV$66:$AX$70,,$AI589), INDEX($AY$66:$BE$70,,$AH589), 1 / ($BF$66:$BF$70*BY589 + (1-$BF$66:$BF$70)*BU589), N($AU$66:$AU$70&gt;$AM589)),
SUMPRODUCT(INDEX($AV$56:$AX$65,,$AI589), INDEX($AY$56:$BE$65,,$AH589), 1 / ($BG$56:$BG$65*BY589 + (1-$BG$56:$BG$65)*BU589), N($AU$56:$AU$65&gt;$AM589))
) / 1000</f>
        <v>0</v>
      </c>
      <c r="CA589" s="231">
        <f t="shared" si="704"/>
        <v>20</v>
      </c>
      <c r="CB589" s="229">
        <f t="shared" si="720"/>
        <v>33</v>
      </c>
      <c r="CC589" s="234">
        <f t="shared" si="721"/>
        <v>4.8487499999999999</v>
      </c>
      <c r="CD589" s="234" cm="1">
        <f t="array" ref="CD589">$BM589 * IF($AH589&lt;=2,
SUMPRODUCT(INDEX($AV$61:$AX$65,,$AI589), INDEX($AY$61:$BE$65,,$AH589), 1 / ($BF$61:$BF$65*CC589 + (1-$BF$61:$BF$65)*BY589), N($AU$61:$AU$65&gt;$AM589)),
SUMPRODUCT(INDEX($AV$46:$AX$55,,$AI589), INDEX($AY$46:$BE$55,,$AH589), 1 / ($BG$46:$BG$55*CC589 + (1-$BG$46:$BG$55)*BY589), N($AU$46:$AU$55&gt;$AM589))
) / 1000</f>
        <v>0</v>
      </c>
      <c r="CE589" s="234" cm="1">
        <f t="array" ref="CE589">$BM589 * IF($AH589&lt;=2,
SUMPRODUCT(INDEX($AV$22:$AX$60,,$AI589), INDEX($AY$22:$BE$60,,$AH589), 1 / ($BF$22:$BF$60*CC589), N($AU$22:$AU$60&gt;$AM589)),
SUMPRODUCT(INDEX($AV$22:$AX$45,,$AI589), INDEX($AY$22:$BE$45,,$AH589), 1 / ($BG$22:$BG$45*CC589), N($AU$22:$AU$45&gt;$AM589))
) / 1000</f>
        <v>0</v>
      </c>
      <c r="CF589" s="229">
        <f t="shared" si="722"/>
        <v>0</v>
      </c>
      <c r="CG589" s="246"/>
      <c r="CH589" s="229">
        <f t="shared" si="723"/>
        <v>0</v>
      </c>
      <c r="CI589" s="228">
        <v>35</v>
      </c>
      <c r="CJ589" s="229">
        <f t="shared" si="724"/>
        <v>48</v>
      </c>
      <c r="CK589" s="234">
        <f t="shared" si="725"/>
        <v>3.0748170731707316</v>
      </c>
      <c r="CL589" s="234" cm="1">
        <f t="array" ref="CL589">$BM589 * SUMPRODUCT(INDEX($AV$76:$AX$81,,$AI589),INDEX($AY$76:$BE$81,,$AH589), N($AU$76:$AU$81&gt;$AM589)) / CK589 / 1000</f>
        <v>0</v>
      </c>
      <c r="CM589" s="231">
        <f t="shared" si="705"/>
        <v>30</v>
      </c>
      <c r="CN589" s="229">
        <f t="shared" si="726"/>
        <v>43</v>
      </c>
      <c r="CO589" s="234">
        <f t="shared" si="727"/>
        <v>3.5018750000000001</v>
      </c>
      <c r="CP589" s="234" cm="1">
        <f t="array" ref="CP589">$BM589 * IF($AH589&lt;=2,
SUMPRODUCT(INDEX($AV$71:$AX$75,,$AI589), INDEX($AY$71:$BE$75,,$AH589), 1 / ($BF$71:$BF$75*CO589 + (1-$BF$71:$BF$75)*CK589), N($AU$71:$AU$75&gt;$AM589)),
SUMPRODUCT(INDEX($AV$66:$AX$75,,$AI589), INDEX($AY$66:$BE$75,,$AH589), 1 / ($BG$66:$BG$75*CO589 + (1-$BG$66:$BG$75)*CK589), N($AU$66:$AU$75&gt;$AM589))
) / 1000</f>
        <v>0</v>
      </c>
      <c r="CQ589" s="231">
        <f t="shared" si="706"/>
        <v>25</v>
      </c>
      <c r="CR589" s="229">
        <f t="shared" si="728"/>
        <v>38</v>
      </c>
      <c r="CS589" s="234">
        <f t="shared" si="729"/>
        <v>4.0666935483870965</v>
      </c>
      <c r="CT589" s="234" cm="1">
        <f t="array" ref="CT589">$BM589 * IF($AH589&lt;=2,
SUMPRODUCT(INDEX($AV$66:$AX$70,,$AI589), INDEX($AY$66:$BE$70,,$AH589), 1 / ($BF$66:$BF$70*CS589 + (1-$BF$66:$BF$70)*CO589), N($AU$66:$AU$70&gt;$AM589)),
SUMPRODUCT(INDEX($AV$56:$AX$65,,$AI589), INDEX($AY$56:$BE$65,,$AH589), 1 / ($BG$56:$BG$65*CS589 + (1-$BG$56:$BG$65)*CO589), N($AU$56:$AU$65&gt;$AM589))
) / 1000</f>
        <v>0</v>
      </c>
      <c r="CU589" s="231">
        <f t="shared" si="707"/>
        <v>20</v>
      </c>
      <c r="CV589" s="229">
        <f t="shared" si="730"/>
        <v>33</v>
      </c>
      <c r="CW589" s="234">
        <f t="shared" si="731"/>
        <v>4.8487499999999999</v>
      </c>
      <c r="CX589" s="234" cm="1">
        <f t="array" ref="CX589">$BM589 * IF($AH589&lt;=2,
SUMPRODUCT(INDEX($AV$61:$AX$65,,$AI589), INDEX($AY$61:$BE$65,,$AH589), 1 / ($BF$61:$BF$65*CW589 + (1-$BF$61:$BF$65)*CS589), N($AU$61:$AU$65&gt;$AM589)),
SUMPRODUCT(INDEX($AV$46:$AX$55,,$AI589), INDEX($AY$46:$BE$55,,$AH589), 1 / ($BG$46:$BG$55*CW589 + (1-$BG$46:$BG$55)*CS589), N($AU$46:$AU$55&gt;$AM589))
) / 1000</f>
        <v>0</v>
      </c>
      <c r="CY589" s="234" cm="1">
        <f t="array" ref="CY589">$BM589 * IF($AH589&lt;=2,
SUMPRODUCT(INDEX($AV$22:$AX$60,,$AI589), INDEX($AY$22:$BE$60,,$AH589), 1 / ($BF$22:$BF$60*CW589), N($AU$22:$AU$60&gt;$AM589)),
SUMPRODUCT(INDEX($AV$22:$AX$45,,$AI589), INDEX($AY$22:$BE$45,,$AH589), 1 / ($BG$22:$BG$45*CW589), N($AU$22:$AU$45&gt;$AM589))
) / 1000</f>
        <v>0</v>
      </c>
      <c r="CZ589" s="229">
        <f t="shared" si="732"/>
        <v>0</v>
      </c>
      <c r="DA589" s="246"/>
    </row>
    <row r="590" spans="1:105" s="75" customFormat="1" ht="14.25" customHeight="1" x14ac:dyDescent="0.2">
      <c r="A590" s="230" t="b">
        <f t="shared" si="699"/>
        <v>0</v>
      </c>
      <c r="B590" s="253">
        <v>569</v>
      </c>
      <c r="C590" s="266"/>
      <c r="D590" s="266"/>
      <c r="E590" s="254"/>
      <c r="F590" s="255" t="str">
        <f>IF(ISBLANK(E590), "", VLOOKUP(E590, Z!$A$2:$C$4127, 3, FALSE))</f>
        <v/>
      </c>
      <c r="G590" s="256"/>
      <c r="H590" s="256"/>
      <c r="I590" s="256"/>
      <c r="J590" s="257"/>
      <c r="K590" s="258"/>
      <c r="L590" s="267"/>
      <c r="M590" s="268"/>
      <c r="N590" s="259" t="str" cm="1">
        <f t="array" ref="N590">IF($L590&gt;0, INDEX(Clean,1+AK590,$D$1), "")</f>
        <v/>
      </c>
      <c r="O590" s="260"/>
      <c r="P590" s="260"/>
      <c r="Q590" s="261"/>
      <c r="R590" s="264">
        <f t="shared" si="708"/>
        <v>0</v>
      </c>
      <c r="S590" s="259" t="str" cm="1">
        <f t="array" ref="S590">IF($L590&gt;0, INDEX(Clean,1+AL590,$D$1), "")</f>
        <v/>
      </c>
      <c r="T590" s="260"/>
      <c r="U590" s="260"/>
      <c r="V590" s="261"/>
      <c r="W590" s="267"/>
      <c r="X590" s="267"/>
      <c r="Y590" s="257"/>
      <c r="Z590" s="264">
        <f t="shared" si="709"/>
        <v>0</v>
      </c>
      <c r="AA590" s="269"/>
      <c r="AB590" s="266"/>
      <c r="AC590" s="254"/>
      <c r="AD590" s="255" t="str">
        <f>IF(ISBLANK(AC590), "", VLOOKUP(AC590, Z!$A$2:$C$4127, 3, FALSE))</f>
        <v/>
      </c>
      <c r="AE590" s="270"/>
      <c r="AF590" s="265">
        <f t="shared" si="710"/>
        <v>0</v>
      </c>
      <c r="AG590" s="246"/>
      <c r="AH590" s="228">
        <f t="shared" si="733"/>
        <v>1</v>
      </c>
      <c r="AI590" s="228">
        <f t="shared" si="734"/>
        <v>1</v>
      </c>
      <c r="AJ590" s="228">
        <f t="shared" si="735"/>
        <v>0</v>
      </c>
      <c r="AK590" s="228">
        <v>0</v>
      </c>
      <c r="AL590" s="228">
        <v>0</v>
      </c>
      <c r="AM590" s="228">
        <f t="shared" si="711"/>
        <v>-100</v>
      </c>
      <c r="AN590" s="228" cm="1">
        <f t="array" ref="AN590">IF(ISBLANK(G590), 1, IFERROR(MATCH(G590, INDEX(Kat,,1), 0), IFERROR(MATCH(Kat, INDEX(Use,,2), 0), MATCH(Kat, INDEX(Use,,3), 0))))</f>
        <v>1</v>
      </c>
      <c r="AO590" s="246"/>
      <c r="AP590" s="228" cm="1">
        <f t="array" ref="AP590">IF(W590&gt;0, INDEX(Kat, AN590,4), 0)</f>
        <v>0</v>
      </c>
      <c r="AQ590" s="228">
        <f t="shared" si="736"/>
        <v>0</v>
      </c>
      <c r="AR590" s="228" cm="1">
        <f t="array" ref="AR590">IF(X590&gt;0, INDEX(Kat, $AN590, 4+AQ590), 0)</f>
        <v>0</v>
      </c>
      <c r="AS590" s="228" cm="1">
        <f t="array" ref="AS590">IF(X590&gt;0, INDEX(Kat, $AN590, 9+AQ590), 0)</f>
        <v>0</v>
      </c>
      <c r="AT590" s="246"/>
      <c r="AU590" s="262"/>
      <c r="AV590" s="262"/>
      <c r="AW590" s="263"/>
      <c r="AX590" s="263"/>
      <c r="AY590" s="263"/>
      <c r="AZ590" s="263"/>
      <c r="BA590" s="263"/>
      <c r="BB590" s="263"/>
      <c r="BC590" s="263"/>
      <c r="BD590" s="263"/>
      <c r="BE590" s="263"/>
      <c r="BF590" s="263"/>
      <c r="BG590" s="263"/>
      <c r="BH590" s="246"/>
      <c r="BI590" s="228" cm="1">
        <f t="array" ref="BI590">INDEX(Use, $AH590, 4)</f>
        <v>7</v>
      </c>
      <c r="BJ590" s="228">
        <f t="shared" si="712"/>
        <v>32</v>
      </c>
      <c r="BK590" s="228">
        <f t="shared" si="700"/>
        <v>13</v>
      </c>
      <c r="BL590" s="228">
        <f t="shared" si="701"/>
        <v>0</v>
      </c>
      <c r="BM590" s="233" cm="1">
        <f t="array" ref="BM590">L590/IF($M590&gt;0, INDEX($AY$22:$BE$76, $M590+20, $AH590), 1)</f>
        <v>0</v>
      </c>
      <c r="BN590" s="229">
        <f t="shared" si="713"/>
        <v>0</v>
      </c>
      <c r="BO590" s="228">
        <v>35</v>
      </c>
      <c r="BP590" s="229">
        <f t="shared" si="714"/>
        <v>48</v>
      </c>
      <c r="BQ590" s="234">
        <f t="shared" si="715"/>
        <v>3.0748170731707316</v>
      </c>
      <c r="BR590" s="234" cm="1">
        <f t="array" ref="BR590">$BM590 * SUMPRODUCT(INDEX($AV$76:$AX$81,,$AI590),INDEX($AY$76:$BE$81,,$AH590), N($AU$76:$AU$81&gt;$AM590)) / BQ590 / 1000</f>
        <v>0</v>
      </c>
      <c r="BS590" s="231">
        <f t="shared" si="702"/>
        <v>30</v>
      </c>
      <c r="BT590" s="229">
        <f t="shared" si="716"/>
        <v>43</v>
      </c>
      <c r="BU590" s="234">
        <f t="shared" si="717"/>
        <v>3.5018750000000001</v>
      </c>
      <c r="BV590" s="234" cm="1">
        <f t="array" ref="BV590">$BM590 * IF($AH590&lt;=2,
SUMPRODUCT(INDEX($AV$71:$AX$75,,$AI590), INDEX($AY$71:$BE$75,,$AH590), 1 / ($BF$71:$BF$75*BU590 + (1-$BF$71:$BF$75)*BQ590), N($AU$71:$AU$75&gt;$AM590)),
SUMPRODUCT(INDEX($AV$66:$AX$75,,$AI590), INDEX($AY$66:$BE$75,,$AH590), 1 / ($BG$66:$BG$75*BU590 + (1-$BG$66:$BG$75)*BQ590), N($AU$66:$AU$75&gt;$AM590))
) / 1000</f>
        <v>0</v>
      </c>
      <c r="BW590" s="231">
        <f t="shared" si="703"/>
        <v>25</v>
      </c>
      <c r="BX590" s="229">
        <f t="shared" si="718"/>
        <v>38</v>
      </c>
      <c r="BY590" s="234">
        <f t="shared" si="719"/>
        <v>4.0666935483870965</v>
      </c>
      <c r="BZ590" s="234" cm="1">
        <f t="array" ref="BZ590">$BM590 * IF($AH590&lt;=2,
SUMPRODUCT(INDEX($AV$66:$AX$70,,$AI590), INDEX($AY$66:$BE$70,,$AH590), 1 / ($BF$66:$BF$70*BY590 + (1-$BF$66:$BF$70)*BU590), N($AU$66:$AU$70&gt;$AM590)),
SUMPRODUCT(INDEX($AV$56:$AX$65,,$AI590), INDEX($AY$56:$BE$65,,$AH590), 1 / ($BG$56:$BG$65*BY590 + (1-$BG$56:$BG$65)*BU590), N($AU$56:$AU$65&gt;$AM590))
) / 1000</f>
        <v>0</v>
      </c>
      <c r="CA590" s="231">
        <f t="shared" si="704"/>
        <v>20</v>
      </c>
      <c r="CB590" s="229">
        <f t="shared" si="720"/>
        <v>33</v>
      </c>
      <c r="CC590" s="234">
        <f t="shared" si="721"/>
        <v>4.8487499999999999</v>
      </c>
      <c r="CD590" s="234" cm="1">
        <f t="array" ref="CD590">$BM590 * IF($AH590&lt;=2,
SUMPRODUCT(INDEX($AV$61:$AX$65,,$AI590), INDEX($AY$61:$BE$65,,$AH590), 1 / ($BF$61:$BF$65*CC590 + (1-$BF$61:$BF$65)*BY590), N($AU$61:$AU$65&gt;$AM590)),
SUMPRODUCT(INDEX($AV$46:$AX$55,,$AI590), INDEX($AY$46:$BE$55,,$AH590), 1 / ($BG$46:$BG$55*CC590 + (1-$BG$46:$BG$55)*BY590), N($AU$46:$AU$55&gt;$AM590))
) / 1000</f>
        <v>0</v>
      </c>
      <c r="CE590" s="234" cm="1">
        <f t="array" ref="CE590">$BM590 * IF($AH590&lt;=2,
SUMPRODUCT(INDEX($AV$22:$AX$60,,$AI590), INDEX($AY$22:$BE$60,,$AH590), 1 / ($BF$22:$BF$60*CC590), N($AU$22:$AU$60&gt;$AM590)),
SUMPRODUCT(INDEX($AV$22:$AX$45,,$AI590), INDEX($AY$22:$BE$45,,$AH590), 1 / ($BG$22:$BG$45*CC590), N($AU$22:$AU$45&gt;$AM590))
) / 1000</f>
        <v>0</v>
      </c>
      <c r="CF590" s="229">
        <f t="shared" si="722"/>
        <v>0</v>
      </c>
      <c r="CG590" s="246"/>
      <c r="CH590" s="229">
        <f t="shared" si="723"/>
        <v>0</v>
      </c>
      <c r="CI590" s="228">
        <v>35</v>
      </c>
      <c r="CJ590" s="229">
        <f t="shared" si="724"/>
        <v>48</v>
      </c>
      <c r="CK590" s="234">
        <f t="shared" si="725"/>
        <v>3.0748170731707316</v>
      </c>
      <c r="CL590" s="234" cm="1">
        <f t="array" ref="CL590">$BM590 * SUMPRODUCT(INDEX($AV$76:$AX$81,,$AI590),INDEX($AY$76:$BE$81,,$AH590), N($AU$76:$AU$81&gt;$AM590)) / CK590 / 1000</f>
        <v>0</v>
      </c>
      <c r="CM590" s="231">
        <f t="shared" si="705"/>
        <v>30</v>
      </c>
      <c r="CN590" s="229">
        <f t="shared" si="726"/>
        <v>43</v>
      </c>
      <c r="CO590" s="234">
        <f t="shared" si="727"/>
        <v>3.5018750000000001</v>
      </c>
      <c r="CP590" s="234" cm="1">
        <f t="array" ref="CP590">$BM590 * IF($AH590&lt;=2,
SUMPRODUCT(INDEX($AV$71:$AX$75,,$AI590), INDEX($AY$71:$BE$75,,$AH590), 1 / ($BF$71:$BF$75*CO590 + (1-$BF$71:$BF$75)*CK590), N($AU$71:$AU$75&gt;$AM590)),
SUMPRODUCT(INDEX($AV$66:$AX$75,,$AI590), INDEX($AY$66:$BE$75,,$AH590), 1 / ($BG$66:$BG$75*CO590 + (1-$BG$66:$BG$75)*CK590), N($AU$66:$AU$75&gt;$AM590))
) / 1000</f>
        <v>0</v>
      </c>
      <c r="CQ590" s="231">
        <f t="shared" si="706"/>
        <v>25</v>
      </c>
      <c r="CR590" s="229">
        <f t="shared" si="728"/>
        <v>38</v>
      </c>
      <c r="CS590" s="234">
        <f t="shared" si="729"/>
        <v>4.0666935483870965</v>
      </c>
      <c r="CT590" s="234" cm="1">
        <f t="array" ref="CT590">$BM590 * IF($AH590&lt;=2,
SUMPRODUCT(INDEX($AV$66:$AX$70,,$AI590), INDEX($AY$66:$BE$70,,$AH590), 1 / ($BF$66:$BF$70*CS590 + (1-$BF$66:$BF$70)*CO590), N($AU$66:$AU$70&gt;$AM590)),
SUMPRODUCT(INDEX($AV$56:$AX$65,,$AI590), INDEX($AY$56:$BE$65,,$AH590), 1 / ($BG$56:$BG$65*CS590 + (1-$BG$56:$BG$65)*CO590), N($AU$56:$AU$65&gt;$AM590))
) / 1000</f>
        <v>0</v>
      </c>
      <c r="CU590" s="231">
        <f t="shared" si="707"/>
        <v>20</v>
      </c>
      <c r="CV590" s="229">
        <f t="shared" si="730"/>
        <v>33</v>
      </c>
      <c r="CW590" s="234">
        <f t="shared" si="731"/>
        <v>4.8487499999999999</v>
      </c>
      <c r="CX590" s="234" cm="1">
        <f t="array" ref="CX590">$BM590 * IF($AH590&lt;=2,
SUMPRODUCT(INDEX($AV$61:$AX$65,,$AI590), INDEX($AY$61:$BE$65,,$AH590), 1 / ($BF$61:$BF$65*CW590 + (1-$BF$61:$BF$65)*CS590), N($AU$61:$AU$65&gt;$AM590)),
SUMPRODUCT(INDEX($AV$46:$AX$55,,$AI590), INDEX($AY$46:$BE$55,,$AH590), 1 / ($BG$46:$BG$55*CW590 + (1-$BG$46:$BG$55)*CS590), N($AU$46:$AU$55&gt;$AM590))
) / 1000</f>
        <v>0</v>
      </c>
      <c r="CY590" s="234" cm="1">
        <f t="array" ref="CY590">$BM590 * IF($AH590&lt;=2,
SUMPRODUCT(INDEX($AV$22:$AX$60,,$AI590), INDEX($AY$22:$BE$60,,$AH590), 1 / ($BF$22:$BF$60*CW590), N($AU$22:$AU$60&gt;$AM590)),
SUMPRODUCT(INDEX($AV$22:$AX$45,,$AI590), INDEX($AY$22:$BE$45,,$AH590), 1 / ($BG$22:$BG$45*CW590), N($AU$22:$AU$45&gt;$AM590))
) / 1000</f>
        <v>0</v>
      </c>
      <c r="CZ590" s="229">
        <f t="shared" si="732"/>
        <v>0</v>
      </c>
      <c r="DA590" s="246"/>
    </row>
    <row r="591" spans="1:105" s="75" customFormat="1" ht="14.25" customHeight="1" x14ac:dyDescent="0.2">
      <c r="A591" s="230" t="b">
        <f t="shared" si="699"/>
        <v>0</v>
      </c>
      <c r="B591" s="253">
        <v>570</v>
      </c>
      <c r="C591" s="266"/>
      <c r="D591" s="266"/>
      <c r="E591" s="254"/>
      <c r="F591" s="255" t="str">
        <f>IF(ISBLANK(E591), "", VLOOKUP(E591, Z!$A$2:$C$4127, 3, FALSE))</f>
        <v/>
      </c>
      <c r="G591" s="256"/>
      <c r="H591" s="256"/>
      <c r="I591" s="256"/>
      <c r="J591" s="257"/>
      <c r="K591" s="258"/>
      <c r="L591" s="267"/>
      <c r="M591" s="268"/>
      <c r="N591" s="259" t="str" cm="1">
        <f t="array" ref="N591">IF($L591&gt;0, INDEX(Clean,1+AK591,$D$1), "")</f>
        <v/>
      </c>
      <c r="O591" s="260"/>
      <c r="P591" s="260"/>
      <c r="Q591" s="261"/>
      <c r="R591" s="264">
        <f t="shared" si="708"/>
        <v>0</v>
      </c>
      <c r="S591" s="259" t="str" cm="1">
        <f t="array" ref="S591">IF($L591&gt;0, INDEX(Clean,1+AL591,$D$1), "")</f>
        <v/>
      </c>
      <c r="T591" s="260"/>
      <c r="U591" s="260"/>
      <c r="V591" s="261"/>
      <c r="W591" s="267"/>
      <c r="X591" s="267"/>
      <c r="Y591" s="257"/>
      <c r="Z591" s="264">
        <f t="shared" si="709"/>
        <v>0</v>
      </c>
      <c r="AA591" s="269"/>
      <c r="AB591" s="266"/>
      <c r="AC591" s="254"/>
      <c r="AD591" s="255" t="str">
        <f>IF(ISBLANK(AC591), "", VLOOKUP(AC591, Z!$A$2:$C$4127, 3, FALSE))</f>
        <v/>
      </c>
      <c r="AE591" s="270"/>
      <c r="AF591" s="265">
        <f t="shared" si="710"/>
        <v>0</v>
      </c>
      <c r="AG591" s="246"/>
      <c r="AH591" s="228">
        <f t="shared" si="733"/>
        <v>1</v>
      </c>
      <c r="AI591" s="228">
        <f t="shared" si="734"/>
        <v>1</v>
      </c>
      <c r="AJ591" s="228">
        <f t="shared" si="735"/>
        <v>0</v>
      </c>
      <c r="AK591" s="228">
        <v>0</v>
      </c>
      <c r="AL591" s="228">
        <v>0</v>
      </c>
      <c r="AM591" s="228">
        <f t="shared" si="711"/>
        <v>-100</v>
      </c>
      <c r="AN591" s="228" cm="1">
        <f t="array" ref="AN591">IF(ISBLANK(G591), 1, IFERROR(MATCH(G591, INDEX(Kat,,1), 0), IFERROR(MATCH(Kat, INDEX(Use,,2), 0), MATCH(Kat, INDEX(Use,,3), 0))))</f>
        <v>1</v>
      </c>
      <c r="AO591" s="246"/>
      <c r="AP591" s="228" cm="1">
        <f t="array" ref="AP591">IF(W591&gt;0, INDEX(Kat, AN591,4), 0)</f>
        <v>0</v>
      </c>
      <c r="AQ591" s="228">
        <f t="shared" si="736"/>
        <v>0</v>
      </c>
      <c r="AR591" s="228" cm="1">
        <f t="array" ref="AR591">IF(X591&gt;0, INDEX(Kat, $AN591, 4+AQ591), 0)</f>
        <v>0</v>
      </c>
      <c r="AS591" s="228" cm="1">
        <f t="array" ref="AS591">IF(X591&gt;0, INDEX(Kat, $AN591, 9+AQ591), 0)</f>
        <v>0</v>
      </c>
      <c r="AT591" s="246"/>
      <c r="AU591" s="262"/>
      <c r="AV591" s="262"/>
      <c r="AW591" s="263"/>
      <c r="AX591" s="263"/>
      <c r="AY591" s="263"/>
      <c r="AZ591" s="263"/>
      <c r="BA591" s="263"/>
      <c r="BB591" s="263"/>
      <c r="BC591" s="263"/>
      <c r="BD591" s="263"/>
      <c r="BE591" s="263"/>
      <c r="BF591" s="263"/>
      <c r="BG591" s="263"/>
      <c r="BH591" s="246"/>
      <c r="BI591" s="228" cm="1">
        <f t="array" ref="BI591">INDEX(Use, $AH591, 4)</f>
        <v>7</v>
      </c>
      <c r="BJ591" s="228">
        <f t="shared" si="712"/>
        <v>32</v>
      </c>
      <c r="BK591" s="228">
        <f t="shared" si="700"/>
        <v>13</v>
      </c>
      <c r="BL591" s="228">
        <f t="shared" si="701"/>
        <v>0</v>
      </c>
      <c r="BM591" s="233" cm="1">
        <f t="array" ref="BM591">L591/IF($M591&gt;0, INDEX($AY$22:$BE$76, $M591+20, $AH591), 1)</f>
        <v>0</v>
      </c>
      <c r="BN591" s="229">
        <f t="shared" si="713"/>
        <v>0</v>
      </c>
      <c r="BO591" s="228">
        <v>35</v>
      </c>
      <c r="BP591" s="229">
        <f t="shared" si="714"/>
        <v>48</v>
      </c>
      <c r="BQ591" s="234">
        <f t="shared" si="715"/>
        <v>3.0748170731707316</v>
      </c>
      <c r="BR591" s="234" cm="1">
        <f t="array" ref="BR591">$BM591 * SUMPRODUCT(INDEX($AV$76:$AX$81,,$AI591),INDEX($AY$76:$BE$81,,$AH591), N($AU$76:$AU$81&gt;$AM591)) / BQ591 / 1000</f>
        <v>0</v>
      </c>
      <c r="BS591" s="231">
        <f t="shared" si="702"/>
        <v>30</v>
      </c>
      <c r="BT591" s="229">
        <f t="shared" si="716"/>
        <v>43</v>
      </c>
      <c r="BU591" s="234">
        <f t="shared" si="717"/>
        <v>3.5018750000000001</v>
      </c>
      <c r="BV591" s="234" cm="1">
        <f t="array" ref="BV591">$BM591 * IF($AH591&lt;=2,
SUMPRODUCT(INDEX($AV$71:$AX$75,,$AI591), INDEX($AY$71:$BE$75,,$AH591), 1 / ($BF$71:$BF$75*BU591 + (1-$BF$71:$BF$75)*BQ591), N($AU$71:$AU$75&gt;$AM591)),
SUMPRODUCT(INDEX($AV$66:$AX$75,,$AI591), INDEX($AY$66:$BE$75,,$AH591), 1 / ($BG$66:$BG$75*BU591 + (1-$BG$66:$BG$75)*BQ591), N($AU$66:$AU$75&gt;$AM591))
) / 1000</f>
        <v>0</v>
      </c>
      <c r="BW591" s="231">
        <f t="shared" si="703"/>
        <v>25</v>
      </c>
      <c r="BX591" s="229">
        <f t="shared" si="718"/>
        <v>38</v>
      </c>
      <c r="BY591" s="234">
        <f t="shared" si="719"/>
        <v>4.0666935483870965</v>
      </c>
      <c r="BZ591" s="234" cm="1">
        <f t="array" ref="BZ591">$BM591 * IF($AH591&lt;=2,
SUMPRODUCT(INDEX($AV$66:$AX$70,,$AI591), INDEX($AY$66:$BE$70,,$AH591), 1 / ($BF$66:$BF$70*BY591 + (1-$BF$66:$BF$70)*BU591), N($AU$66:$AU$70&gt;$AM591)),
SUMPRODUCT(INDEX($AV$56:$AX$65,,$AI591), INDEX($AY$56:$BE$65,,$AH591), 1 / ($BG$56:$BG$65*BY591 + (1-$BG$56:$BG$65)*BU591), N($AU$56:$AU$65&gt;$AM591))
) / 1000</f>
        <v>0</v>
      </c>
      <c r="CA591" s="231">
        <f t="shared" si="704"/>
        <v>20</v>
      </c>
      <c r="CB591" s="229">
        <f t="shared" si="720"/>
        <v>33</v>
      </c>
      <c r="CC591" s="234">
        <f t="shared" si="721"/>
        <v>4.8487499999999999</v>
      </c>
      <c r="CD591" s="234" cm="1">
        <f t="array" ref="CD591">$BM591 * IF($AH591&lt;=2,
SUMPRODUCT(INDEX($AV$61:$AX$65,,$AI591), INDEX($AY$61:$BE$65,,$AH591), 1 / ($BF$61:$BF$65*CC591 + (1-$BF$61:$BF$65)*BY591), N($AU$61:$AU$65&gt;$AM591)),
SUMPRODUCT(INDEX($AV$46:$AX$55,,$AI591), INDEX($AY$46:$BE$55,,$AH591), 1 / ($BG$46:$BG$55*CC591 + (1-$BG$46:$BG$55)*BY591), N($AU$46:$AU$55&gt;$AM591))
) / 1000</f>
        <v>0</v>
      </c>
      <c r="CE591" s="234" cm="1">
        <f t="array" ref="CE591">$BM591 * IF($AH591&lt;=2,
SUMPRODUCT(INDEX($AV$22:$AX$60,,$AI591), INDEX($AY$22:$BE$60,,$AH591), 1 / ($BF$22:$BF$60*CC591), N($AU$22:$AU$60&gt;$AM591)),
SUMPRODUCT(INDEX($AV$22:$AX$45,,$AI591), INDEX($AY$22:$BE$45,,$AH591), 1 / ($BG$22:$BG$45*CC591), N($AU$22:$AU$45&gt;$AM591))
) / 1000</f>
        <v>0</v>
      </c>
      <c r="CF591" s="229">
        <f t="shared" si="722"/>
        <v>0</v>
      </c>
      <c r="CG591" s="246"/>
      <c r="CH591" s="229">
        <f t="shared" si="723"/>
        <v>0</v>
      </c>
      <c r="CI591" s="228">
        <v>35</v>
      </c>
      <c r="CJ591" s="229">
        <f t="shared" si="724"/>
        <v>48</v>
      </c>
      <c r="CK591" s="234">
        <f t="shared" si="725"/>
        <v>3.0748170731707316</v>
      </c>
      <c r="CL591" s="234" cm="1">
        <f t="array" ref="CL591">$BM591 * SUMPRODUCT(INDEX($AV$76:$AX$81,,$AI591),INDEX($AY$76:$BE$81,,$AH591), N($AU$76:$AU$81&gt;$AM591)) / CK591 / 1000</f>
        <v>0</v>
      </c>
      <c r="CM591" s="231">
        <f t="shared" si="705"/>
        <v>30</v>
      </c>
      <c r="CN591" s="229">
        <f t="shared" si="726"/>
        <v>43</v>
      </c>
      <c r="CO591" s="234">
        <f t="shared" si="727"/>
        <v>3.5018750000000001</v>
      </c>
      <c r="CP591" s="234" cm="1">
        <f t="array" ref="CP591">$BM591 * IF($AH591&lt;=2,
SUMPRODUCT(INDEX($AV$71:$AX$75,,$AI591), INDEX($AY$71:$BE$75,,$AH591), 1 / ($BF$71:$BF$75*CO591 + (1-$BF$71:$BF$75)*CK591), N($AU$71:$AU$75&gt;$AM591)),
SUMPRODUCT(INDEX($AV$66:$AX$75,,$AI591), INDEX($AY$66:$BE$75,,$AH591), 1 / ($BG$66:$BG$75*CO591 + (1-$BG$66:$BG$75)*CK591), N($AU$66:$AU$75&gt;$AM591))
) / 1000</f>
        <v>0</v>
      </c>
      <c r="CQ591" s="231">
        <f t="shared" si="706"/>
        <v>25</v>
      </c>
      <c r="CR591" s="229">
        <f t="shared" si="728"/>
        <v>38</v>
      </c>
      <c r="CS591" s="234">
        <f t="shared" si="729"/>
        <v>4.0666935483870965</v>
      </c>
      <c r="CT591" s="234" cm="1">
        <f t="array" ref="CT591">$BM591 * IF($AH591&lt;=2,
SUMPRODUCT(INDEX($AV$66:$AX$70,,$AI591), INDEX($AY$66:$BE$70,,$AH591), 1 / ($BF$66:$BF$70*CS591 + (1-$BF$66:$BF$70)*CO591), N($AU$66:$AU$70&gt;$AM591)),
SUMPRODUCT(INDEX($AV$56:$AX$65,,$AI591), INDEX($AY$56:$BE$65,,$AH591), 1 / ($BG$56:$BG$65*CS591 + (1-$BG$56:$BG$65)*CO591), N($AU$56:$AU$65&gt;$AM591))
) / 1000</f>
        <v>0</v>
      </c>
      <c r="CU591" s="231">
        <f t="shared" si="707"/>
        <v>20</v>
      </c>
      <c r="CV591" s="229">
        <f t="shared" si="730"/>
        <v>33</v>
      </c>
      <c r="CW591" s="234">
        <f t="shared" si="731"/>
        <v>4.8487499999999999</v>
      </c>
      <c r="CX591" s="234" cm="1">
        <f t="array" ref="CX591">$BM591 * IF($AH591&lt;=2,
SUMPRODUCT(INDEX($AV$61:$AX$65,,$AI591), INDEX($AY$61:$BE$65,,$AH591), 1 / ($BF$61:$BF$65*CW591 + (1-$BF$61:$BF$65)*CS591), N($AU$61:$AU$65&gt;$AM591)),
SUMPRODUCT(INDEX($AV$46:$AX$55,,$AI591), INDEX($AY$46:$BE$55,,$AH591), 1 / ($BG$46:$BG$55*CW591 + (1-$BG$46:$BG$55)*CS591), N($AU$46:$AU$55&gt;$AM591))
) / 1000</f>
        <v>0</v>
      </c>
      <c r="CY591" s="234" cm="1">
        <f t="array" ref="CY591">$BM591 * IF($AH591&lt;=2,
SUMPRODUCT(INDEX($AV$22:$AX$60,,$AI591), INDEX($AY$22:$BE$60,,$AH591), 1 / ($BF$22:$BF$60*CW591), N($AU$22:$AU$60&gt;$AM591)),
SUMPRODUCT(INDEX($AV$22:$AX$45,,$AI591), INDEX($AY$22:$BE$45,,$AH591), 1 / ($BG$22:$BG$45*CW591), N($AU$22:$AU$45&gt;$AM591))
) / 1000</f>
        <v>0</v>
      </c>
      <c r="CZ591" s="229">
        <f t="shared" si="732"/>
        <v>0</v>
      </c>
      <c r="DA591" s="246"/>
    </row>
    <row r="592" spans="1:105" s="75" customFormat="1" ht="14.25" customHeight="1" x14ac:dyDescent="0.2">
      <c r="A592" s="230" t="b">
        <f t="shared" si="699"/>
        <v>0</v>
      </c>
      <c r="B592" s="253">
        <v>571</v>
      </c>
      <c r="C592" s="266"/>
      <c r="D592" s="266"/>
      <c r="E592" s="254"/>
      <c r="F592" s="255" t="str">
        <f>IF(ISBLANK(E592), "", VLOOKUP(E592, Z!$A$2:$C$4127, 3, FALSE))</f>
        <v/>
      </c>
      <c r="G592" s="256"/>
      <c r="H592" s="256"/>
      <c r="I592" s="256"/>
      <c r="J592" s="257"/>
      <c r="K592" s="258"/>
      <c r="L592" s="267"/>
      <c r="M592" s="268"/>
      <c r="N592" s="259" t="str" cm="1">
        <f t="array" ref="N592">IF($L592&gt;0, INDEX(Clean,1+AK592,$D$1), "")</f>
        <v/>
      </c>
      <c r="O592" s="260"/>
      <c r="P592" s="260"/>
      <c r="Q592" s="261"/>
      <c r="R592" s="264">
        <f t="shared" si="708"/>
        <v>0</v>
      </c>
      <c r="S592" s="259" t="str" cm="1">
        <f t="array" ref="S592">IF($L592&gt;0, INDEX(Clean,1+AL592,$D$1), "")</f>
        <v/>
      </c>
      <c r="T592" s="260"/>
      <c r="U592" s="260"/>
      <c r="V592" s="261"/>
      <c r="W592" s="267"/>
      <c r="X592" s="267"/>
      <c r="Y592" s="257"/>
      <c r="Z592" s="264">
        <f t="shared" si="709"/>
        <v>0</v>
      </c>
      <c r="AA592" s="269"/>
      <c r="AB592" s="266"/>
      <c r="AC592" s="254"/>
      <c r="AD592" s="255" t="str">
        <f>IF(ISBLANK(AC592), "", VLOOKUP(AC592, Z!$A$2:$C$4127, 3, FALSE))</f>
        <v/>
      </c>
      <c r="AE592" s="270"/>
      <c r="AF592" s="265">
        <f t="shared" si="710"/>
        <v>0</v>
      </c>
      <c r="AG592" s="246"/>
      <c r="AH592" s="228">
        <f t="shared" si="733"/>
        <v>1</v>
      </c>
      <c r="AI592" s="228">
        <f t="shared" si="734"/>
        <v>1</v>
      </c>
      <c r="AJ592" s="228">
        <f t="shared" si="735"/>
        <v>0</v>
      </c>
      <c r="AK592" s="228">
        <v>0</v>
      </c>
      <c r="AL592" s="228">
        <v>0</v>
      </c>
      <c r="AM592" s="228">
        <f t="shared" si="711"/>
        <v>-100</v>
      </c>
      <c r="AN592" s="228" cm="1">
        <f t="array" ref="AN592">IF(ISBLANK(G592), 1, IFERROR(MATCH(G592, INDEX(Kat,,1), 0), IFERROR(MATCH(Kat, INDEX(Use,,2), 0), MATCH(Kat, INDEX(Use,,3), 0))))</f>
        <v>1</v>
      </c>
      <c r="AO592" s="246"/>
      <c r="AP592" s="228" cm="1">
        <f t="array" ref="AP592">IF(W592&gt;0, INDEX(Kat, AN592,4), 0)</f>
        <v>0</v>
      </c>
      <c r="AQ592" s="228">
        <f t="shared" si="736"/>
        <v>0</v>
      </c>
      <c r="AR592" s="228" cm="1">
        <f t="array" ref="AR592">IF(X592&gt;0, INDEX(Kat, $AN592, 4+AQ592), 0)</f>
        <v>0</v>
      </c>
      <c r="AS592" s="228" cm="1">
        <f t="array" ref="AS592">IF(X592&gt;0, INDEX(Kat, $AN592, 9+AQ592), 0)</f>
        <v>0</v>
      </c>
      <c r="AT592" s="246"/>
      <c r="AU592" s="262"/>
      <c r="AV592" s="262"/>
      <c r="AW592" s="263"/>
      <c r="AX592" s="263"/>
      <c r="AY592" s="263"/>
      <c r="AZ592" s="263"/>
      <c r="BA592" s="263"/>
      <c r="BB592" s="263"/>
      <c r="BC592" s="263"/>
      <c r="BD592" s="263"/>
      <c r="BE592" s="263"/>
      <c r="BF592" s="263"/>
      <c r="BG592" s="263"/>
      <c r="BH592" s="246"/>
      <c r="BI592" s="228" cm="1">
        <f t="array" ref="BI592">INDEX(Use, $AH592, 4)</f>
        <v>7</v>
      </c>
      <c r="BJ592" s="228">
        <f t="shared" si="712"/>
        <v>32</v>
      </c>
      <c r="BK592" s="228">
        <f t="shared" si="700"/>
        <v>13</v>
      </c>
      <c r="BL592" s="228">
        <f t="shared" si="701"/>
        <v>0</v>
      </c>
      <c r="BM592" s="233" cm="1">
        <f t="array" ref="BM592">L592/IF($M592&gt;0, INDEX($AY$22:$BE$76, $M592+20, $AH592), 1)</f>
        <v>0</v>
      </c>
      <c r="BN592" s="229">
        <f t="shared" si="713"/>
        <v>0</v>
      </c>
      <c r="BO592" s="228">
        <v>35</v>
      </c>
      <c r="BP592" s="229">
        <f t="shared" si="714"/>
        <v>48</v>
      </c>
      <c r="BQ592" s="234">
        <f t="shared" si="715"/>
        <v>3.0748170731707316</v>
      </c>
      <c r="BR592" s="234" cm="1">
        <f t="array" ref="BR592">$BM592 * SUMPRODUCT(INDEX($AV$76:$AX$81,,$AI592),INDEX($AY$76:$BE$81,,$AH592), N($AU$76:$AU$81&gt;$AM592)) / BQ592 / 1000</f>
        <v>0</v>
      </c>
      <c r="BS592" s="231">
        <f t="shared" si="702"/>
        <v>30</v>
      </c>
      <c r="BT592" s="229">
        <f t="shared" si="716"/>
        <v>43</v>
      </c>
      <c r="BU592" s="234">
        <f t="shared" si="717"/>
        <v>3.5018750000000001</v>
      </c>
      <c r="BV592" s="234" cm="1">
        <f t="array" ref="BV592">$BM592 * IF($AH592&lt;=2,
SUMPRODUCT(INDEX($AV$71:$AX$75,,$AI592), INDEX($AY$71:$BE$75,,$AH592), 1 / ($BF$71:$BF$75*BU592 + (1-$BF$71:$BF$75)*BQ592), N($AU$71:$AU$75&gt;$AM592)),
SUMPRODUCT(INDEX($AV$66:$AX$75,,$AI592), INDEX($AY$66:$BE$75,,$AH592), 1 / ($BG$66:$BG$75*BU592 + (1-$BG$66:$BG$75)*BQ592), N($AU$66:$AU$75&gt;$AM592))
) / 1000</f>
        <v>0</v>
      </c>
      <c r="BW592" s="231">
        <f t="shared" si="703"/>
        <v>25</v>
      </c>
      <c r="BX592" s="229">
        <f t="shared" si="718"/>
        <v>38</v>
      </c>
      <c r="BY592" s="234">
        <f t="shared" si="719"/>
        <v>4.0666935483870965</v>
      </c>
      <c r="BZ592" s="234" cm="1">
        <f t="array" ref="BZ592">$BM592 * IF($AH592&lt;=2,
SUMPRODUCT(INDEX($AV$66:$AX$70,,$AI592), INDEX($AY$66:$BE$70,,$AH592), 1 / ($BF$66:$BF$70*BY592 + (1-$BF$66:$BF$70)*BU592), N($AU$66:$AU$70&gt;$AM592)),
SUMPRODUCT(INDEX($AV$56:$AX$65,,$AI592), INDEX($AY$56:$BE$65,,$AH592), 1 / ($BG$56:$BG$65*BY592 + (1-$BG$56:$BG$65)*BU592), N($AU$56:$AU$65&gt;$AM592))
) / 1000</f>
        <v>0</v>
      </c>
      <c r="CA592" s="231">
        <f t="shared" si="704"/>
        <v>20</v>
      </c>
      <c r="CB592" s="229">
        <f t="shared" si="720"/>
        <v>33</v>
      </c>
      <c r="CC592" s="234">
        <f t="shared" si="721"/>
        <v>4.8487499999999999</v>
      </c>
      <c r="CD592" s="234" cm="1">
        <f t="array" ref="CD592">$BM592 * IF($AH592&lt;=2,
SUMPRODUCT(INDEX($AV$61:$AX$65,,$AI592), INDEX($AY$61:$BE$65,,$AH592), 1 / ($BF$61:$BF$65*CC592 + (1-$BF$61:$BF$65)*BY592), N($AU$61:$AU$65&gt;$AM592)),
SUMPRODUCT(INDEX($AV$46:$AX$55,,$AI592), INDEX($AY$46:$BE$55,,$AH592), 1 / ($BG$46:$BG$55*CC592 + (1-$BG$46:$BG$55)*BY592), N($AU$46:$AU$55&gt;$AM592))
) / 1000</f>
        <v>0</v>
      </c>
      <c r="CE592" s="234" cm="1">
        <f t="array" ref="CE592">$BM592 * IF($AH592&lt;=2,
SUMPRODUCT(INDEX($AV$22:$AX$60,,$AI592), INDEX($AY$22:$BE$60,,$AH592), 1 / ($BF$22:$BF$60*CC592), N($AU$22:$AU$60&gt;$AM592)),
SUMPRODUCT(INDEX($AV$22:$AX$45,,$AI592), INDEX($AY$22:$BE$45,,$AH592), 1 / ($BG$22:$BG$45*CC592), N($AU$22:$AU$45&gt;$AM592))
) / 1000</f>
        <v>0</v>
      </c>
      <c r="CF592" s="229">
        <f t="shared" si="722"/>
        <v>0</v>
      </c>
      <c r="CG592" s="246"/>
      <c r="CH592" s="229">
        <f t="shared" si="723"/>
        <v>0</v>
      </c>
      <c r="CI592" s="228">
        <v>35</v>
      </c>
      <c r="CJ592" s="229">
        <f t="shared" si="724"/>
        <v>48</v>
      </c>
      <c r="CK592" s="234">
        <f t="shared" si="725"/>
        <v>3.0748170731707316</v>
      </c>
      <c r="CL592" s="234" cm="1">
        <f t="array" ref="CL592">$BM592 * SUMPRODUCT(INDEX($AV$76:$AX$81,,$AI592),INDEX($AY$76:$BE$81,,$AH592), N($AU$76:$AU$81&gt;$AM592)) / CK592 / 1000</f>
        <v>0</v>
      </c>
      <c r="CM592" s="231">
        <f t="shared" si="705"/>
        <v>30</v>
      </c>
      <c r="CN592" s="229">
        <f t="shared" si="726"/>
        <v>43</v>
      </c>
      <c r="CO592" s="234">
        <f t="shared" si="727"/>
        <v>3.5018750000000001</v>
      </c>
      <c r="CP592" s="234" cm="1">
        <f t="array" ref="CP592">$BM592 * IF($AH592&lt;=2,
SUMPRODUCT(INDEX($AV$71:$AX$75,,$AI592), INDEX($AY$71:$BE$75,,$AH592), 1 / ($BF$71:$BF$75*CO592 + (1-$BF$71:$BF$75)*CK592), N($AU$71:$AU$75&gt;$AM592)),
SUMPRODUCT(INDEX($AV$66:$AX$75,,$AI592), INDEX($AY$66:$BE$75,,$AH592), 1 / ($BG$66:$BG$75*CO592 + (1-$BG$66:$BG$75)*CK592), N($AU$66:$AU$75&gt;$AM592))
) / 1000</f>
        <v>0</v>
      </c>
      <c r="CQ592" s="231">
        <f t="shared" si="706"/>
        <v>25</v>
      </c>
      <c r="CR592" s="229">
        <f t="shared" si="728"/>
        <v>38</v>
      </c>
      <c r="CS592" s="234">
        <f t="shared" si="729"/>
        <v>4.0666935483870965</v>
      </c>
      <c r="CT592" s="234" cm="1">
        <f t="array" ref="CT592">$BM592 * IF($AH592&lt;=2,
SUMPRODUCT(INDEX($AV$66:$AX$70,,$AI592), INDEX($AY$66:$BE$70,,$AH592), 1 / ($BF$66:$BF$70*CS592 + (1-$BF$66:$BF$70)*CO592), N($AU$66:$AU$70&gt;$AM592)),
SUMPRODUCT(INDEX($AV$56:$AX$65,,$AI592), INDEX($AY$56:$BE$65,,$AH592), 1 / ($BG$56:$BG$65*CS592 + (1-$BG$56:$BG$65)*CO592), N($AU$56:$AU$65&gt;$AM592))
) / 1000</f>
        <v>0</v>
      </c>
      <c r="CU592" s="231">
        <f t="shared" si="707"/>
        <v>20</v>
      </c>
      <c r="CV592" s="229">
        <f t="shared" si="730"/>
        <v>33</v>
      </c>
      <c r="CW592" s="234">
        <f t="shared" si="731"/>
        <v>4.8487499999999999</v>
      </c>
      <c r="CX592" s="234" cm="1">
        <f t="array" ref="CX592">$BM592 * IF($AH592&lt;=2,
SUMPRODUCT(INDEX($AV$61:$AX$65,,$AI592), INDEX($AY$61:$BE$65,,$AH592), 1 / ($BF$61:$BF$65*CW592 + (1-$BF$61:$BF$65)*CS592), N($AU$61:$AU$65&gt;$AM592)),
SUMPRODUCT(INDEX($AV$46:$AX$55,,$AI592), INDEX($AY$46:$BE$55,,$AH592), 1 / ($BG$46:$BG$55*CW592 + (1-$BG$46:$BG$55)*CS592), N($AU$46:$AU$55&gt;$AM592))
) / 1000</f>
        <v>0</v>
      </c>
      <c r="CY592" s="234" cm="1">
        <f t="array" ref="CY592">$BM592 * IF($AH592&lt;=2,
SUMPRODUCT(INDEX($AV$22:$AX$60,,$AI592), INDEX($AY$22:$BE$60,,$AH592), 1 / ($BF$22:$BF$60*CW592), N($AU$22:$AU$60&gt;$AM592)),
SUMPRODUCT(INDEX($AV$22:$AX$45,,$AI592), INDEX($AY$22:$BE$45,,$AH592), 1 / ($BG$22:$BG$45*CW592), N($AU$22:$AU$45&gt;$AM592))
) / 1000</f>
        <v>0</v>
      </c>
      <c r="CZ592" s="229">
        <f t="shared" si="732"/>
        <v>0</v>
      </c>
      <c r="DA592" s="246"/>
    </row>
    <row r="593" spans="1:105" s="75" customFormat="1" ht="14.25" customHeight="1" x14ac:dyDescent="0.2">
      <c r="A593" s="230" t="b">
        <f t="shared" si="699"/>
        <v>0</v>
      </c>
      <c r="B593" s="253">
        <v>572</v>
      </c>
      <c r="C593" s="266"/>
      <c r="D593" s="266"/>
      <c r="E593" s="254"/>
      <c r="F593" s="255" t="str">
        <f>IF(ISBLANK(E593), "", VLOOKUP(E593, Z!$A$2:$C$4127, 3, FALSE))</f>
        <v/>
      </c>
      <c r="G593" s="256"/>
      <c r="H593" s="256"/>
      <c r="I593" s="256"/>
      <c r="J593" s="257"/>
      <c r="K593" s="258"/>
      <c r="L593" s="267"/>
      <c r="M593" s="268"/>
      <c r="N593" s="259" t="str" cm="1">
        <f t="array" ref="N593">IF($L593&gt;0, INDEX(Clean,1+AK593,$D$1), "")</f>
        <v/>
      </c>
      <c r="O593" s="260"/>
      <c r="P593" s="260"/>
      <c r="Q593" s="261"/>
      <c r="R593" s="264">
        <f t="shared" si="708"/>
        <v>0</v>
      </c>
      <c r="S593" s="259" t="str" cm="1">
        <f t="array" ref="S593">IF($L593&gt;0, INDEX(Clean,1+AL593,$D$1), "")</f>
        <v/>
      </c>
      <c r="T593" s="260"/>
      <c r="U593" s="260"/>
      <c r="V593" s="261"/>
      <c r="W593" s="267"/>
      <c r="X593" s="267"/>
      <c r="Y593" s="257"/>
      <c r="Z593" s="264">
        <f t="shared" si="709"/>
        <v>0</v>
      </c>
      <c r="AA593" s="269"/>
      <c r="AB593" s="266"/>
      <c r="AC593" s="254"/>
      <c r="AD593" s="255" t="str">
        <f>IF(ISBLANK(AC593), "", VLOOKUP(AC593, Z!$A$2:$C$4127, 3, FALSE))</f>
        <v/>
      </c>
      <c r="AE593" s="270"/>
      <c r="AF593" s="265">
        <f t="shared" si="710"/>
        <v>0</v>
      </c>
      <c r="AG593" s="246"/>
      <c r="AH593" s="228">
        <f t="shared" si="733"/>
        <v>1</v>
      </c>
      <c r="AI593" s="228">
        <f t="shared" si="734"/>
        <v>1</v>
      </c>
      <c r="AJ593" s="228">
        <f t="shared" si="735"/>
        <v>0</v>
      </c>
      <c r="AK593" s="228">
        <v>0</v>
      </c>
      <c r="AL593" s="228">
        <v>0</v>
      </c>
      <c r="AM593" s="228">
        <f t="shared" si="711"/>
        <v>-100</v>
      </c>
      <c r="AN593" s="228" cm="1">
        <f t="array" ref="AN593">IF(ISBLANK(G593), 1, IFERROR(MATCH(G593, INDEX(Kat,,1), 0), IFERROR(MATCH(Kat, INDEX(Use,,2), 0), MATCH(Kat, INDEX(Use,,3), 0))))</f>
        <v>1</v>
      </c>
      <c r="AO593" s="246"/>
      <c r="AP593" s="228" cm="1">
        <f t="array" ref="AP593">IF(W593&gt;0, INDEX(Kat, AN593,4), 0)</f>
        <v>0</v>
      </c>
      <c r="AQ593" s="228">
        <f t="shared" si="736"/>
        <v>0</v>
      </c>
      <c r="AR593" s="228" cm="1">
        <f t="array" ref="AR593">IF(X593&gt;0, INDEX(Kat, $AN593, 4+AQ593), 0)</f>
        <v>0</v>
      </c>
      <c r="AS593" s="228" cm="1">
        <f t="array" ref="AS593">IF(X593&gt;0, INDEX(Kat, $AN593, 9+AQ593), 0)</f>
        <v>0</v>
      </c>
      <c r="AT593" s="246"/>
      <c r="AU593" s="262"/>
      <c r="AV593" s="262"/>
      <c r="AW593" s="263"/>
      <c r="AX593" s="263"/>
      <c r="AY593" s="263"/>
      <c r="AZ593" s="263"/>
      <c r="BA593" s="263"/>
      <c r="BB593" s="263"/>
      <c r="BC593" s="263"/>
      <c r="BD593" s="263"/>
      <c r="BE593" s="263"/>
      <c r="BF593" s="263"/>
      <c r="BG593" s="263"/>
      <c r="BH593" s="246"/>
      <c r="BI593" s="228" cm="1">
        <f t="array" ref="BI593">INDEX(Use, $AH593, 4)</f>
        <v>7</v>
      </c>
      <c r="BJ593" s="228">
        <f t="shared" si="712"/>
        <v>32</v>
      </c>
      <c r="BK593" s="228">
        <f t="shared" si="700"/>
        <v>13</v>
      </c>
      <c r="BL593" s="228">
        <f t="shared" si="701"/>
        <v>0</v>
      </c>
      <c r="BM593" s="233" cm="1">
        <f t="array" ref="BM593">L593/IF($M593&gt;0, INDEX($AY$22:$BE$76, $M593+20, $AH593), 1)</f>
        <v>0</v>
      </c>
      <c r="BN593" s="229">
        <f t="shared" si="713"/>
        <v>0</v>
      </c>
      <c r="BO593" s="228">
        <v>35</v>
      </c>
      <c r="BP593" s="229">
        <f t="shared" si="714"/>
        <v>48</v>
      </c>
      <c r="BQ593" s="234">
        <f t="shared" si="715"/>
        <v>3.0748170731707316</v>
      </c>
      <c r="BR593" s="234" cm="1">
        <f t="array" ref="BR593">$BM593 * SUMPRODUCT(INDEX($AV$76:$AX$81,,$AI593),INDEX($AY$76:$BE$81,,$AH593), N($AU$76:$AU$81&gt;$AM593)) / BQ593 / 1000</f>
        <v>0</v>
      </c>
      <c r="BS593" s="231">
        <f t="shared" si="702"/>
        <v>30</v>
      </c>
      <c r="BT593" s="229">
        <f t="shared" si="716"/>
        <v>43</v>
      </c>
      <c r="BU593" s="234">
        <f t="shared" si="717"/>
        <v>3.5018750000000001</v>
      </c>
      <c r="BV593" s="234" cm="1">
        <f t="array" ref="BV593">$BM593 * IF($AH593&lt;=2,
SUMPRODUCT(INDEX($AV$71:$AX$75,,$AI593), INDEX($AY$71:$BE$75,,$AH593), 1 / ($BF$71:$BF$75*BU593 + (1-$BF$71:$BF$75)*BQ593), N($AU$71:$AU$75&gt;$AM593)),
SUMPRODUCT(INDEX($AV$66:$AX$75,,$AI593), INDEX($AY$66:$BE$75,,$AH593), 1 / ($BG$66:$BG$75*BU593 + (1-$BG$66:$BG$75)*BQ593), N($AU$66:$AU$75&gt;$AM593))
) / 1000</f>
        <v>0</v>
      </c>
      <c r="BW593" s="231">
        <f t="shared" si="703"/>
        <v>25</v>
      </c>
      <c r="BX593" s="229">
        <f t="shared" si="718"/>
        <v>38</v>
      </c>
      <c r="BY593" s="234">
        <f t="shared" si="719"/>
        <v>4.0666935483870965</v>
      </c>
      <c r="BZ593" s="234" cm="1">
        <f t="array" ref="BZ593">$BM593 * IF($AH593&lt;=2,
SUMPRODUCT(INDEX($AV$66:$AX$70,,$AI593), INDEX($AY$66:$BE$70,,$AH593), 1 / ($BF$66:$BF$70*BY593 + (1-$BF$66:$BF$70)*BU593), N($AU$66:$AU$70&gt;$AM593)),
SUMPRODUCT(INDEX($AV$56:$AX$65,,$AI593), INDEX($AY$56:$BE$65,,$AH593), 1 / ($BG$56:$BG$65*BY593 + (1-$BG$56:$BG$65)*BU593), N($AU$56:$AU$65&gt;$AM593))
) / 1000</f>
        <v>0</v>
      </c>
      <c r="CA593" s="231">
        <f t="shared" si="704"/>
        <v>20</v>
      </c>
      <c r="CB593" s="229">
        <f t="shared" si="720"/>
        <v>33</v>
      </c>
      <c r="CC593" s="234">
        <f t="shared" si="721"/>
        <v>4.8487499999999999</v>
      </c>
      <c r="CD593" s="234" cm="1">
        <f t="array" ref="CD593">$BM593 * IF($AH593&lt;=2,
SUMPRODUCT(INDEX($AV$61:$AX$65,,$AI593), INDEX($AY$61:$BE$65,,$AH593), 1 / ($BF$61:$BF$65*CC593 + (1-$BF$61:$BF$65)*BY593), N($AU$61:$AU$65&gt;$AM593)),
SUMPRODUCT(INDEX($AV$46:$AX$55,,$AI593), INDEX($AY$46:$BE$55,,$AH593), 1 / ($BG$46:$BG$55*CC593 + (1-$BG$46:$BG$55)*BY593), N($AU$46:$AU$55&gt;$AM593))
) / 1000</f>
        <v>0</v>
      </c>
      <c r="CE593" s="234" cm="1">
        <f t="array" ref="CE593">$BM593 * IF($AH593&lt;=2,
SUMPRODUCT(INDEX($AV$22:$AX$60,,$AI593), INDEX($AY$22:$BE$60,,$AH593), 1 / ($BF$22:$BF$60*CC593), N($AU$22:$AU$60&gt;$AM593)),
SUMPRODUCT(INDEX($AV$22:$AX$45,,$AI593), INDEX($AY$22:$BE$45,,$AH593), 1 / ($BG$22:$BG$45*CC593), N($AU$22:$AU$45&gt;$AM593))
) / 1000</f>
        <v>0</v>
      </c>
      <c r="CF593" s="229">
        <f t="shared" si="722"/>
        <v>0</v>
      </c>
      <c r="CG593" s="246"/>
      <c r="CH593" s="229">
        <f t="shared" si="723"/>
        <v>0</v>
      </c>
      <c r="CI593" s="228">
        <v>35</v>
      </c>
      <c r="CJ593" s="229">
        <f t="shared" si="724"/>
        <v>48</v>
      </c>
      <c r="CK593" s="234">
        <f t="shared" si="725"/>
        <v>3.0748170731707316</v>
      </c>
      <c r="CL593" s="234" cm="1">
        <f t="array" ref="CL593">$BM593 * SUMPRODUCT(INDEX($AV$76:$AX$81,,$AI593),INDEX($AY$76:$BE$81,,$AH593), N($AU$76:$AU$81&gt;$AM593)) / CK593 / 1000</f>
        <v>0</v>
      </c>
      <c r="CM593" s="231">
        <f t="shared" si="705"/>
        <v>30</v>
      </c>
      <c r="CN593" s="229">
        <f t="shared" si="726"/>
        <v>43</v>
      </c>
      <c r="CO593" s="234">
        <f t="shared" si="727"/>
        <v>3.5018750000000001</v>
      </c>
      <c r="CP593" s="234" cm="1">
        <f t="array" ref="CP593">$BM593 * IF($AH593&lt;=2,
SUMPRODUCT(INDEX($AV$71:$AX$75,,$AI593), INDEX($AY$71:$BE$75,,$AH593), 1 / ($BF$71:$BF$75*CO593 + (1-$BF$71:$BF$75)*CK593), N($AU$71:$AU$75&gt;$AM593)),
SUMPRODUCT(INDEX($AV$66:$AX$75,,$AI593), INDEX($AY$66:$BE$75,,$AH593), 1 / ($BG$66:$BG$75*CO593 + (1-$BG$66:$BG$75)*CK593), N($AU$66:$AU$75&gt;$AM593))
) / 1000</f>
        <v>0</v>
      </c>
      <c r="CQ593" s="231">
        <f t="shared" si="706"/>
        <v>25</v>
      </c>
      <c r="CR593" s="229">
        <f t="shared" si="728"/>
        <v>38</v>
      </c>
      <c r="CS593" s="234">
        <f t="shared" si="729"/>
        <v>4.0666935483870965</v>
      </c>
      <c r="CT593" s="234" cm="1">
        <f t="array" ref="CT593">$BM593 * IF($AH593&lt;=2,
SUMPRODUCT(INDEX($AV$66:$AX$70,,$AI593), INDEX($AY$66:$BE$70,,$AH593), 1 / ($BF$66:$BF$70*CS593 + (1-$BF$66:$BF$70)*CO593), N($AU$66:$AU$70&gt;$AM593)),
SUMPRODUCT(INDEX($AV$56:$AX$65,,$AI593), INDEX($AY$56:$BE$65,,$AH593), 1 / ($BG$56:$BG$65*CS593 + (1-$BG$56:$BG$65)*CO593), N($AU$56:$AU$65&gt;$AM593))
) / 1000</f>
        <v>0</v>
      </c>
      <c r="CU593" s="231">
        <f t="shared" si="707"/>
        <v>20</v>
      </c>
      <c r="CV593" s="229">
        <f t="shared" si="730"/>
        <v>33</v>
      </c>
      <c r="CW593" s="234">
        <f t="shared" si="731"/>
        <v>4.8487499999999999</v>
      </c>
      <c r="CX593" s="234" cm="1">
        <f t="array" ref="CX593">$BM593 * IF($AH593&lt;=2,
SUMPRODUCT(INDEX($AV$61:$AX$65,,$AI593), INDEX($AY$61:$BE$65,,$AH593), 1 / ($BF$61:$BF$65*CW593 + (1-$BF$61:$BF$65)*CS593), N($AU$61:$AU$65&gt;$AM593)),
SUMPRODUCT(INDEX($AV$46:$AX$55,,$AI593), INDEX($AY$46:$BE$55,,$AH593), 1 / ($BG$46:$BG$55*CW593 + (1-$BG$46:$BG$55)*CS593), N($AU$46:$AU$55&gt;$AM593))
) / 1000</f>
        <v>0</v>
      </c>
      <c r="CY593" s="234" cm="1">
        <f t="array" ref="CY593">$BM593 * IF($AH593&lt;=2,
SUMPRODUCT(INDEX($AV$22:$AX$60,,$AI593), INDEX($AY$22:$BE$60,,$AH593), 1 / ($BF$22:$BF$60*CW593), N($AU$22:$AU$60&gt;$AM593)),
SUMPRODUCT(INDEX($AV$22:$AX$45,,$AI593), INDEX($AY$22:$BE$45,,$AH593), 1 / ($BG$22:$BG$45*CW593), N($AU$22:$AU$45&gt;$AM593))
) / 1000</f>
        <v>0</v>
      </c>
      <c r="CZ593" s="229">
        <f t="shared" si="732"/>
        <v>0</v>
      </c>
      <c r="DA593" s="246"/>
    </row>
    <row r="594" spans="1:105" s="75" customFormat="1" ht="14.25" customHeight="1" x14ac:dyDescent="0.2">
      <c r="A594" s="230" t="b">
        <f t="shared" si="699"/>
        <v>0</v>
      </c>
      <c r="B594" s="253">
        <v>573</v>
      </c>
      <c r="C594" s="266"/>
      <c r="D594" s="266"/>
      <c r="E594" s="254"/>
      <c r="F594" s="255" t="str">
        <f>IF(ISBLANK(E594), "", VLOOKUP(E594, Z!$A$2:$C$4127, 3, FALSE))</f>
        <v/>
      </c>
      <c r="G594" s="256"/>
      <c r="H594" s="256"/>
      <c r="I594" s="256"/>
      <c r="J594" s="257"/>
      <c r="K594" s="258"/>
      <c r="L594" s="267"/>
      <c r="M594" s="268"/>
      <c r="N594" s="259" t="str" cm="1">
        <f t="array" ref="N594">IF($L594&gt;0, INDEX(Clean,1+AK594,$D$1), "")</f>
        <v/>
      </c>
      <c r="O594" s="260"/>
      <c r="P594" s="260"/>
      <c r="Q594" s="261"/>
      <c r="R594" s="264">
        <f t="shared" si="708"/>
        <v>0</v>
      </c>
      <c r="S594" s="259" t="str" cm="1">
        <f t="array" ref="S594">IF($L594&gt;0, INDEX(Clean,1+AL594,$D$1), "")</f>
        <v/>
      </c>
      <c r="T594" s="260"/>
      <c r="U594" s="260"/>
      <c r="V594" s="261"/>
      <c r="W594" s="267"/>
      <c r="X594" s="267"/>
      <c r="Y594" s="257"/>
      <c r="Z594" s="264">
        <f t="shared" si="709"/>
        <v>0</v>
      </c>
      <c r="AA594" s="269"/>
      <c r="AB594" s="266"/>
      <c r="AC594" s="254"/>
      <c r="AD594" s="255" t="str">
        <f>IF(ISBLANK(AC594), "", VLOOKUP(AC594, Z!$A$2:$C$4127, 3, FALSE))</f>
        <v/>
      </c>
      <c r="AE594" s="270"/>
      <c r="AF594" s="265">
        <f t="shared" si="710"/>
        <v>0</v>
      </c>
      <c r="AG594" s="246"/>
      <c r="AH594" s="228">
        <f t="shared" si="733"/>
        <v>1</v>
      </c>
      <c r="AI594" s="228">
        <f t="shared" si="734"/>
        <v>1</v>
      </c>
      <c r="AJ594" s="228">
        <f t="shared" si="735"/>
        <v>0</v>
      </c>
      <c r="AK594" s="228">
        <v>0</v>
      </c>
      <c r="AL594" s="228">
        <v>0</v>
      </c>
      <c r="AM594" s="228">
        <f t="shared" si="711"/>
        <v>-100</v>
      </c>
      <c r="AN594" s="228" cm="1">
        <f t="array" ref="AN594">IF(ISBLANK(G594), 1, IFERROR(MATCH(G594, INDEX(Kat,,1), 0), IFERROR(MATCH(Kat, INDEX(Use,,2), 0), MATCH(Kat, INDEX(Use,,3), 0))))</f>
        <v>1</v>
      </c>
      <c r="AO594" s="246"/>
      <c r="AP594" s="228" cm="1">
        <f t="array" ref="AP594">IF(W594&gt;0, INDEX(Kat, AN594,4), 0)</f>
        <v>0</v>
      </c>
      <c r="AQ594" s="228">
        <f t="shared" si="736"/>
        <v>0</v>
      </c>
      <c r="AR594" s="228" cm="1">
        <f t="array" ref="AR594">IF(X594&gt;0, INDEX(Kat, $AN594, 4+AQ594), 0)</f>
        <v>0</v>
      </c>
      <c r="AS594" s="228" cm="1">
        <f t="array" ref="AS594">IF(X594&gt;0, INDEX(Kat, $AN594, 9+AQ594), 0)</f>
        <v>0</v>
      </c>
      <c r="AT594" s="246"/>
      <c r="AU594" s="262"/>
      <c r="AV594" s="262"/>
      <c r="AW594" s="263"/>
      <c r="AX594" s="263"/>
      <c r="AY594" s="263"/>
      <c r="AZ594" s="263"/>
      <c r="BA594" s="263"/>
      <c r="BB594" s="263"/>
      <c r="BC594" s="263"/>
      <c r="BD594" s="263"/>
      <c r="BE594" s="263"/>
      <c r="BF594" s="263"/>
      <c r="BG594" s="263"/>
      <c r="BH594" s="246"/>
      <c r="BI594" s="228" cm="1">
        <f t="array" ref="BI594">INDEX(Use, $AH594, 4)</f>
        <v>7</v>
      </c>
      <c r="BJ594" s="228">
        <f t="shared" si="712"/>
        <v>32</v>
      </c>
      <c r="BK594" s="228">
        <f t="shared" si="700"/>
        <v>13</v>
      </c>
      <c r="BL594" s="228">
        <f t="shared" si="701"/>
        <v>0</v>
      </c>
      <c r="BM594" s="233" cm="1">
        <f t="array" ref="BM594">L594/IF($M594&gt;0, INDEX($AY$22:$BE$76, $M594+20, $AH594), 1)</f>
        <v>0</v>
      </c>
      <c r="BN594" s="229">
        <f t="shared" si="713"/>
        <v>0</v>
      </c>
      <c r="BO594" s="228">
        <v>35</v>
      </c>
      <c r="BP594" s="229">
        <f t="shared" si="714"/>
        <v>48</v>
      </c>
      <c r="BQ594" s="234">
        <f t="shared" si="715"/>
        <v>3.0748170731707316</v>
      </c>
      <c r="BR594" s="234" cm="1">
        <f t="array" ref="BR594">$BM594 * SUMPRODUCT(INDEX($AV$76:$AX$81,,$AI594),INDEX($AY$76:$BE$81,,$AH594), N($AU$76:$AU$81&gt;$AM594)) / BQ594 / 1000</f>
        <v>0</v>
      </c>
      <c r="BS594" s="231">
        <f t="shared" si="702"/>
        <v>30</v>
      </c>
      <c r="BT594" s="229">
        <f t="shared" si="716"/>
        <v>43</v>
      </c>
      <c r="BU594" s="234">
        <f t="shared" si="717"/>
        <v>3.5018750000000001</v>
      </c>
      <c r="BV594" s="234" cm="1">
        <f t="array" ref="BV594">$BM594 * IF($AH594&lt;=2,
SUMPRODUCT(INDEX($AV$71:$AX$75,,$AI594), INDEX($AY$71:$BE$75,,$AH594), 1 / ($BF$71:$BF$75*BU594 + (1-$BF$71:$BF$75)*BQ594), N($AU$71:$AU$75&gt;$AM594)),
SUMPRODUCT(INDEX($AV$66:$AX$75,,$AI594), INDEX($AY$66:$BE$75,,$AH594), 1 / ($BG$66:$BG$75*BU594 + (1-$BG$66:$BG$75)*BQ594), N($AU$66:$AU$75&gt;$AM594))
) / 1000</f>
        <v>0</v>
      </c>
      <c r="BW594" s="231">
        <f t="shared" si="703"/>
        <v>25</v>
      </c>
      <c r="BX594" s="229">
        <f t="shared" si="718"/>
        <v>38</v>
      </c>
      <c r="BY594" s="234">
        <f t="shared" si="719"/>
        <v>4.0666935483870965</v>
      </c>
      <c r="BZ594" s="234" cm="1">
        <f t="array" ref="BZ594">$BM594 * IF($AH594&lt;=2,
SUMPRODUCT(INDEX($AV$66:$AX$70,,$AI594), INDEX($AY$66:$BE$70,,$AH594), 1 / ($BF$66:$BF$70*BY594 + (1-$BF$66:$BF$70)*BU594), N($AU$66:$AU$70&gt;$AM594)),
SUMPRODUCT(INDEX($AV$56:$AX$65,,$AI594), INDEX($AY$56:$BE$65,,$AH594), 1 / ($BG$56:$BG$65*BY594 + (1-$BG$56:$BG$65)*BU594), N($AU$56:$AU$65&gt;$AM594))
) / 1000</f>
        <v>0</v>
      </c>
      <c r="CA594" s="231">
        <f t="shared" si="704"/>
        <v>20</v>
      </c>
      <c r="CB594" s="229">
        <f t="shared" si="720"/>
        <v>33</v>
      </c>
      <c r="CC594" s="234">
        <f t="shared" si="721"/>
        <v>4.8487499999999999</v>
      </c>
      <c r="CD594" s="234" cm="1">
        <f t="array" ref="CD594">$BM594 * IF($AH594&lt;=2,
SUMPRODUCT(INDEX($AV$61:$AX$65,,$AI594), INDEX($AY$61:$BE$65,,$AH594), 1 / ($BF$61:$BF$65*CC594 + (1-$BF$61:$BF$65)*BY594), N($AU$61:$AU$65&gt;$AM594)),
SUMPRODUCT(INDEX($AV$46:$AX$55,,$AI594), INDEX($AY$46:$BE$55,,$AH594), 1 / ($BG$46:$BG$55*CC594 + (1-$BG$46:$BG$55)*BY594), N($AU$46:$AU$55&gt;$AM594))
) / 1000</f>
        <v>0</v>
      </c>
      <c r="CE594" s="234" cm="1">
        <f t="array" ref="CE594">$BM594 * IF($AH594&lt;=2,
SUMPRODUCT(INDEX($AV$22:$AX$60,,$AI594), INDEX($AY$22:$BE$60,,$AH594), 1 / ($BF$22:$BF$60*CC594), N($AU$22:$AU$60&gt;$AM594)),
SUMPRODUCT(INDEX($AV$22:$AX$45,,$AI594), INDEX($AY$22:$BE$45,,$AH594), 1 / ($BG$22:$BG$45*CC594), N($AU$22:$AU$45&gt;$AM594))
) / 1000</f>
        <v>0</v>
      </c>
      <c r="CF594" s="229">
        <f t="shared" si="722"/>
        <v>0</v>
      </c>
      <c r="CG594" s="246"/>
      <c r="CH594" s="229">
        <f t="shared" si="723"/>
        <v>0</v>
      </c>
      <c r="CI594" s="228">
        <v>35</v>
      </c>
      <c r="CJ594" s="229">
        <f t="shared" si="724"/>
        <v>48</v>
      </c>
      <c r="CK594" s="234">
        <f t="shared" si="725"/>
        <v>3.0748170731707316</v>
      </c>
      <c r="CL594" s="234" cm="1">
        <f t="array" ref="CL594">$BM594 * SUMPRODUCT(INDEX($AV$76:$AX$81,,$AI594),INDEX($AY$76:$BE$81,,$AH594), N($AU$76:$AU$81&gt;$AM594)) / CK594 / 1000</f>
        <v>0</v>
      </c>
      <c r="CM594" s="231">
        <f t="shared" si="705"/>
        <v>30</v>
      </c>
      <c r="CN594" s="229">
        <f t="shared" si="726"/>
        <v>43</v>
      </c>
      <c r="CO594" s="234">
        <f t="shared" si="727"/>
        <v>3.5018750000000001</v>
      </c>
      <c r="CP594" s="234" cm="1">
        <f t="array" ref="CP594">$BM594 * IF($AH594&lt;=2,
SUMPRODUCT(INDEX($AV$71:$AX$75,,$AI594), INDEX($AY$71:$BE$75,,$AH594), 1 / ($BF$71:$BF$75*CO594 + (1-$BF$71:$BF$75)*CK594), N($AU$71:$AU$75&gt;$AM594)),
SUMPRODUCT(INDEX($AV$66:$AX$75,,$AI594), INDEX($AY$66:$BE$75,,$AH594), 1 / ($BG$66:$BG$75*CO594 + (1-$BG$66:$BG$75)*CK594), N($AU$66:$AU$75&gt;$AM594))
) / 1000</f>
        <v>0</v>
      </c>
      <c r="CQ594" s="231">
        <f t="shared" si="706"/>
        <v>25</v>
      </c>
      <c r="CR594" s="229">
        <f t="shared" si="728"/>
        <v>38</v>
      </c>
      <c r="CS594" s="234">
        <f t="shared" si="729"/>
        <v>4.0666935483870965</v>
      </c>
      <c r="CT594" s="234" cm="1">
        <f t="array" ref="CT594">$BM594 * IF($AH594&lt;=2,
SUMPRODUCT(INDEX($AV$66:$AX$70,,$AI594), INDEX($AY$66:$BE$70,,$AH594), 1 / ($BF$66:$BF$70*CS594 + (1-$BF$66:$BF$70)*CO594), N($AU$66:$AU$70&gt;$AM594)),
SUMPRODUCT(INDEX($AV$56:$AX$65,,$AI594), INDEX($AY$56:$BE$65,,$AH594), 1 / ($BG$56:$BG$65*CS594 + (1-$BG$56:$BG$65)*CO594), N($AU$56:$AU$65&gt;$AM594))
) / 1000</f>
        <v>0</v>
      </c>
      <c r="CU594" s="231">
        <f t="shared" si="707"/>
        <v>20</v>
      </c>
      <c r="CV594" s="229">
        <f t="shared" si="730"/>
        <v>33</v>
      </c>
      <c r="CW594" s="234">
        <f t="shared" si="731"/>
        <v>4.8487499999999999</v>
      </c>
      <c r="CX594" s="234" cm="1">
        <f t="array" ref="CX594">$BM594 * IF($AH594&lt;=2,
SUMPRODUCT(INDEX($AV$61:$AX$65,,$AI594), INDEX($AY$61:$BE$65,,$AH594), 1 / ($BF$61:$BF$65*CW594 + (1-$BF$61:$BF$65)*CS594), N($AU$61:$AU$65&gt;$AM594)),
SUMPRODUCT(INDEX($AV$46:$AX$55,,$AI594), INDEX($AY$46:$BE$55,,$AH594), 1 / ($BG$46:$BG$55*CW594 + (1-$BG$46:$BG$55)*CS594), N($AU$46:$AU$55&gt;$AM594))
) / 1000</f>
        <v>0</v>
      </c>
      <c r="CY594" s="234" cm="1">
        <f t="array" ref="CY594">$BM594 * IF($AH594&lt;=2,
SUMPRODUCT(INDEX($AV$22:$AX$60,,$AI594), INDEX($AY$22:$BE$60,,$AH594), 1 / ($BF$22:$BF$60*CW594), N($AU$22:$AU$60&gt;$AM594)),
SUMPRODUCT(INDEX($AV$22:$AX$45,,$AI594), INDEX($AY$22:$BE$45,,$AH594), 1 / ($BG$22:$BG$45*CW594), N($AU$22:$AU$45&gt;$AM594))
) / 1000</f>
        <v>0</v>
      </c>
      <c r="CZ594" s="229">
        <f t="shared" si="732"/>
        <v>0</v>
      </c>
      <c r="DA594" s="246"/>
    </row>
    <row r="595" spans="1:105" s="75" customFormat="1" ht="14.25" customHeight="1" x14ac:dyDescent="0.2">
      <c r="A595" s="230" t="b">
        <f t="shared" si="699"/>
        <v>0</v>
      </c>
      <c r="B595" s="253">
        <v>574</v>
      </c>
      <c r="C595" s="266"/>
      <c r="D595" s="266"/>
      <c r="E595" s="254"/>
      <c r="F595" s="255" t="str">
        <f>IF(ISBLANK(E595), "", VLOOKUP(E595, Z!$A$2:$C$4127, 3, FALSE))</f>
        <v/>
      </c>
      <c r="G595" s="256"/>
      <c r="H595" s="256"/>
      <c r="I595" s="256"/>
      <c r="J595" s="257"/>
      <c r="K595" s="258"/>
      <c r="L595" s="267"/>
      <c r="M595" s="268"/>
      <c r="N595" s="259" t="str" cm="1">
        <f t="array" ref="N595">IF($L595&gt;0, INDEX(Clean,1+AK595,$D$1), "")</f>
        <v/>
      </c>
      <c r="O595" s="260"/>
      <c r="P595" s="260"/>
      <c r="Q595" s="261"/>
      <c r="R595" s="264">
        <f t="shared" si="708"/>
        <v>0</v>
      </c>
      <c r="S595" s="259" t="str" cm="1">
        <f t="array" ref="S595">IF($L595&gt;0, INDEX(Clean,1+AL595,$D$1), "")</f>
        <v/>
      </c>
      <c r="T595" s="260"/>
      <c r="U595" s="260"/>
      <c r="V595" s="261"/>
      <c r="W595" s="267"/>
      <c r="X595" s="267"/>
      <c r="Y595" s="257"/>
      <c r="Z595" s="264">
        <f t="shared" si="709"/>
        <v>0</v>
      </c>
      <c r="AA595" s="269"/>
      <c r="AB595" s="266"/>
      <c r="AC595" s="254"/>
      <c r="AD595" s="255" t="str">
        <f>IF(ISBLANK(AC595), "", VLOOKUP(AC595, Z!$A$2:$C$4127, 3, FALSE))</f>
        <v/>
      </c>
      <c r="AE595" s="270"/>
      <c r="AF595" s="265">
        <f t="shared" si="710"/>
        <v>0</v>
      </c>
      <c r="AG595" s="246"/>
      <c r="AH595" s="228">
        <f t="shared" si="733"/>
        <v>1</v>
      </c>
      <c r="AI595" s="228">
        <f t="shared" si="734"/>
        <v>1</v>
      </c>
      <c r="AJ595" s="228">
        <f t="shared" si="735"/>
        <v>0</v>
      </c>
      <c r="AK595" s="228">
        <v>0</v>
      </c>
      <c r="AL595" s="228">
        <v>0</v>
      </c>
      <c r="AM595" s="228">
        <f t="shared" si="711"/>
        <v>-100</v>
      </c>
      <c r="AN595" s="228" cm="1">
        <f t="array" ref="AN595">IF(ISBLANK(G595), 1, IFERROR(MATCH(G595, INDEX(Kat,,1), 0), IFERROR(MATCH(Kat, INDEX(Use,,2), 0), MATCH(Kat, INDEX(Use,,3), 0))))</f>
        <v>1</v>
      </c>
      <c r="AO595" s="246"/>
      <c r="AP595" s="228" cm="1">
        <f t="array" ref="AP595">IF(W595&gt;0, INDEX(Kat, AN595,4), 0)</f>
        <v>0</v>
      </c>
      <c r="AQ595" s="228">
        <f t="shared" si="736"/>
        <v>0</v>
      </c>
      <c r="AR595" s="228" cm="1">
        <f t="array" ref="AR595">IF(X595&gt;0, INDEX(Kat, $AN595, 4+AQ595), 0)</f>
        <v>0</v>
      </c>
      <c r="AS595" s="228" cm="1">
        <f t="array" ref="AS595">IF(X595&gt;0, INDEX(Kat, $AN595, 9+AQ595), 0)</f>
        <v>0</v>
      </c>
      <c r="AT595" s="246"/>
      <c r="AU595" s="262"/>
      <c r="AV595" s="262"/>
      <c r="AW595" s="263"/>
      <c r="AX595" s="263"/>
      <c r="AY595" s="263"/>
      <c r="AZ595" s="263"/>
      <c r="BA595" s="263"/>
      <c r="BB595" s="263"/>
      <c r="BC595" s="263"/>
      <c r="BD595" s="263"/>
      <c r="BE595" s="263"/>
      <c r="BF595" s="263"/>
      <c r="BG595" s="263"/>
      <c r="BH595" s="246"/>
      <c r="BI595" s="228" cm="1">
        <f t="array" ref="BI595">INDEX(Use, $AH595, 4)</f>
        <v>7</v>
      </c>
      <c r="BJ595" s="228">
        <f t="shared" si="712"/>
        <v>32</v>
      </c>
      <c r="BK595" s="228">
        <f t="shared" si="700"/>
        <v>13</v>
      </c>
      <c r="BL595" s="228">
        <f t="shared" si="701"/>
        <v>0</v>
      </c>
      <c r="BM595" s="233" cm="1">
        <f t="array" ref="BM595">L595/IF($M595&gt;0, INDEX($AY$22:$BE$76, $M595+20, $AH595), 1)</f>
        <v>0</v>
      </c>
      <c r="BN595" s="229">
        <f t="shared" si="713"/>
        <v>0</v>
      </c>
      <c r="BO595" s="228">
        <v>35</v>
      </c>
      <c r="BP595" s="229">
        <f t="shared" si="714"/>
        <v>48</v>
      </c>
      <c r="BQ595" s="234">
        <f t="shared" si="715"/>
        <v>3.0748170731707316</v>
      </c>
      <c r="BR595" s="234" cm="1">
        <f t="array" ref="BR595">$BM595 * SUMPRODUCT(INDEX($AV$76:$AX$81,,$AI595),INDEX($AY$76:$BE$81,,$AH595), N($AU$76:$AU$81&gt;$AM595)) / BQ595 / 1000</f>
        <v>0</v>
      </c>
      <c r="BS595" s="231">
        <f t="shared" si="702"/>
        <v>30</v>
      </c>
      <c r="BT595" s="229">
        <f t="shared" si="716"/>
        <v>43</v>
      </c>
      <c r="BU595" s="234">
        <f t="shared" si="717"/>
        <v>3.5018750000000001</v>
      </c>
      <c r="BV595" s="234" cm="1">
        <f t="array" ref="BV595">$BM595 * IF($AH595&lt;=2,
SUMPRODUCT(INDEX($AV$71:$AX$75,,$AI595), INDEX($AY$71:$BE$75,,$AH595), 1 / ($BF$71:$BF$75*BU595 + (1-$BF$71:$BF$75)*BQ595), N($AU$71:$AU$75&gt;$AM595)),
SUMPRODUCT(INDEX($AV$66:$AX$75,,$AI595), INDEX($AY$66:$BE$75,,$AH595), 1 / ($BG$66:$BG$75*BU595 + (1-$BG$66:$BG$75)*BQ595), N($AU$66:$AU$75&gt;$AM595))
) / 1000</f>
        <v>0</v>
      </c>
      <c r="BW595" s="231">
        <f t="shared" si="703"/>
        <v>25</v>
      </c>
      <c r="BX595" s="229">
        <f t="shared" si="718"/>
        <v>38</v>
      </c>
      <c r="BY595" s="234">
        <f t="shared" si="719"/>
        <v>4.0666935483870965</v>
      </c>
      <c r="BZ595" s="234" cm="1">
        <f t="array" ref="BZ595">$BM595 * IF($AH595&lt;=2,
SUMPRODUCT(INDEX($AV$66:$AX$70,,$AI595), INDEX($AY$66:$BE$70,,$AH595), 1 / ($BF$66:$BF$70*BY595 + (1-$BF$66:$BF$70)*BU595), N($AU$66:$AU$70&gt;$AM595)),
SUMPRODUCT(INDEX($AV$56:$AX$65,,$AI595), INDEX($AY$56:$BE$65,,$AH595), 1 / ($BG$56:$BG$65*BY595 + (1-$BG$56:$BG$65)*BU595), N($AU$56:$AU$65&gt;$AM595))
) / 1000</f>
        <v>0</v>
      </c>
      <c r="CA595" s="231">
        <f t="shared" si="704"/>
        <v>20</v>
      </c>
      <c r="CB595" s="229">
        <f t="shared" si="720"/>
        <v>33</v>
      </c>
      <c r="CC595" s="234">
        <f t="shared" si="721"/>
        <v>4.8487499999999999</v>
      </c>
      <c r="CD595" s="234" cm="1">
        <f t="array" ref="CD595">$BM595 * IF($AH595&lt;=2,
SUMPRODUCT(INDEX($AV$61:$AX$65,,$AI595), INDEX($AY$61:$BE$65,,$AH595), 1 / ($BF$61:$BF$65*CC595 + (1-$BF$61:$BF$65)*BY595), N($AU$61:$AU$65&gt;$AM595)),
SUMPRODUCT(INDEX($AV$46:$AX$55,,$AI595), INDEX($AY$46:$BE$55,,$AH595), 1 / ($BG$46:$BG$55*CC595 + (1-$BG$46:$BG$55)*BY595), N($AU$46:$AU$55&gt;$AM595))
) / 1000</f>
        <v>0</v>
      </c>
      <c r="CE595" s="234" cm="1">
        <f t="array" ref="CE595">$BM595 * IF($AH595&lt;=2,
SUMPRODUCT(INDEX($AV$22:$AX$60,,$AI595), INDEX($AY$22:$BE$60,,$AH595), 1 / ($BF$22:$BF$60*CC595), N($AU$22:$AU$60&gt;$AM595)),
SUMPRODUCT(INDEX($AV$22:$AX$45,,$AI595), INDEX($AY$22:$BE$45,,$AH595), 1 / ($BG$22:$BG$45*CC595), N($AU$22:$AU$45&gt;$AM595))
) / 1000</f>
        <v>0</v>
      </c>
      <c r="CF595" s="229">
        <f t="shared" si="722"/>
        <v>0</v>
      </c>
      <c r="CG595" s="246"/>
      <c r="CH595" s="229">
        <f t="shared" si="723"/>
        <v>0</v>
      </c>
      <c r="CI595" s="228">
        <v>35</v>
      </c>
      <c r="CJ595" s="229">
        <f t="shared" si="724"/>
        <v>48</v>
      </c>
      <c r="CK595" s="234">
        <f t="shared" si="725"/>
        <v>3.0748170731707316</v>
      </c>
      <c r="CL595" s="234" cm="1">
        <f t="array" ref="CL595">$BM595 * SUMPRODUCT(INDEX($AV$76:$AX$81,,$AI595),INDEX($AY$76:$BE$81,,$AH595), N($AU$76:$AU$81&gt;$AM595)) / CK595 / 1000</f>
        <v>0</v>
      </c>
      <c r="CM595" s="231">
        <f t="shared" si="705"/>
        <v>30</v>
      </c>
      <c r="CN595" s="229">
        <f t="shared" si="726"/>
        <v>43</v>
      </c>
      <c r="CO595" s="234">
        <f t="shared" si="727"/>
        <v>3.5018750000000001</v>
      </c>
      <c r="CP595" s="234" cm="1">
        <f t="array" ref="CP595">$BM595 * IF($AH595&lt;=2,
SUMPRODUCT(INDEX($AV$71:$AX$75,,$AI595), INDEX($AY$71:$BE$75,,$AH595), 1 / ($BF$71:$BF$75*CO595 + (1-$BF$71:$BF$75)*CK595), N($AU$71:$AU$75&gt;$AM595)),
SUMPRODUCT(INDEX($AV$66:$AX$75,,$AI595), INDEX($AY$66:$BE$75,,$AH595), 1 / ($BG$66:$BG$75*CO595 + (1-$BG$66:$BG$75)*CK595), N($AU$66:$AU$75&gt;$AM595))
) / 1000</f>
        <v>0</v>
      </c>
      <c r="CQ595" s="231">
        <f t="shared" si="706"/>
        <v>25</v>
      </c>
      <c r="CR595" s="229">
        <f t="shared" si="728"/>
        <v>38</v>
      </c>
      <c r="CS595" s="234">
        <f t="shared" si="729"/>
        <v>4.0666935483870965</v>
      </c>
      <c r="CT595" s="234" cm="1">
        <f t="array" ref="CT595">$BM595 * IF($AH595&lt;=2,
SUMPRODUCT(INDEX($AV$66:$AX$70,,$AI595), INDEX($AY$66:$BE$70,,$AH595), 1 / ($BF$66:$BF$70*CS595 + (1-$BF$66:$BF$70)*CO595), N($AU$66:$AU$70&gt;$AM595)),
SUMPRODUCT(INDEX($AV$56:$AX$65,,$AI595), INDEX($AY$56:$BE$65,,$AH595), 1 / ($BG$56:$BG$65*CS595 + (1-$BG$56:$BG$65)*CO595), N($AU$56:$AU$65&gt;$AM595))
) / 1000</f>
        <v>0</v>
      </c>
      <c r="CU595" s="231">
        <f t="shared" si="707"/>
        <v>20</v>
      </c>
      <c r="CV595" s="229">
        <f t="shared" si="730"/>
        <v>33</v>
      </c>
      <c r="CW595" s="234">
        <f t="shared" si="731"/>
        <v>4.8487499999999999</v>
      </c>
      <c r="CX595" s="234" cm="1">
        <f t="array" ref="CX595">$BM595 * IF($AH595&lt;=2,
SUMPRODUCT(INDEX($AV$61:$AX$65,,$AI595), INDEX($AY$61:$BE$65,,$AH595), 1 / ($BF$61:$BF$65*CW595 + (1-$BF$61:$BF$65)*CS595), N($AU$61:$AU$65&gt;$AM595)),
SUMPRODUCT(INDEX($AV$46:$AX$55,,$AI595), INDEX($AY$46:$BE$55,,$AH595), 1 / ($BG$46:$BG$55*CW595 + (1-$BG$46:$BG$55)*CS595), N($AU$46:$AU$55&gt;$AM595))
) / 1000</f>
        <v>0</v>
      </c>
      <c r="CY595" s="234" cm="1">
        <f t="array" ref="CY595">$BM595 * IF($AH595&lt;=2,
SUMPRODUCT(INDEX($AV$22:$AX$60,,$AI595), INDEX($AY$22:$BE$60,,$AH595), 1 / ($BF$22:$BF$60*CW595), N($AU$22:$AU$60&gt;$AM595)),
SUMPRODUCT(INDEX($AV$22:$AX$45,,$AI595), INDEX($AY$22:$BE$45,,$AH595), 1 / ($BG$22:$BG$45*CW595), N($AU$22:$AU$45&gt;$AM595))
) / 1000</f>
        <v>0</v>
      </c>
      <c r="CZ595" s="229">
        <f t="shared" si="732"/>
        <v>0</v>
      </c>
      <c r="DA595" s="246"/>
    </row>
    <row r="596" spans="1:105" s="75" customFormat="1" ht="14.25" customHeight="1" x14ac:dyDescent="0.2">
      <c r="A596" s="230" t="b">
        <f t="shared" si="699"/>
        <v>0</v>
      </c>
      <c r="B596" s="253">
        <v>575</v>
      </c>
      <c r="C596" s="266"/>
      <c r="D596" s="266"/>
      <c r="E596" s="254"/>
      <c r="F596" s="255" t="str">
        <f>IF(ISBLANK(E596), "", VLOOKUP(E596, Z!$A$2:$C$4127, 3, FALSE))</f>
        <v/>
      </c>
      <c r="G596" s="256"/>
      <c r="H596" s="256"/>
      <c r="I596" s="256"/>
      <c r="J596" s="257"/>
      <c r="K596" s="258"/>
      <c r="L596" s="267"/>
      <c r="M596" s="268"/>
      <c r="N596" s="259" t="str" cm="1">
        <f t="array" ref="N596">IF($L596&gt;0, INDEX(Clean,1+AK596,$D$1), "")</f>
        <v/>
      </c>
      <c r="O596" s="260"/>
      <c r="P596" s="260"/>
      <c r="Q596" s="261"/>
      <c r="R596" s="264">
        <f t="shared" si="708"/>
        <v>0</v>
      </c>
      <c r="S596" s="259" t="str" cm="1">
        <f t="array" ref="S596">IF($L596&gt;0, INDEX(Clean,1+AL596,$D$1), "")</f>
        <v/>
      </c>
      <c r="T596" s="260"/>
      <c r="U596" s="260"/>
      <c r="V596" s="261"/>
      <c r="W596" s="267"/>
      <c r="X596" s="267"/>
      <c r="Y596" s="257"/>
      <c r="Z596" s="264">
        <f t="shared" si="709"/>
        <v>0</v>
      </c>
      <c r="AA596" s="269"/>
      <c r="AB596" s="266"/>
      <c r="AC596" s="254"/>
      <c r="AD596" s="255" t="str">
        <f>IF(ISBLANK(AC596), "", VLOOKUP(AC596, Z!$A$2:$C$4127, 3, FALSE))</f>
        <v/>
      </c>
      <c r="AE596" s="270"/>
      <c r="AF596" s="265">
        <f t="shared" si="710"/>
        <v>0</v>
      </c>
      <c r="AG596" s="246"/>
      <c r="AH596" s="228">
        <f t="shared" si="733"/>
        <v>1</v>
      </c>
      <c r="AI596" s="228">
        <f t="shared" si="734"/>
        <v>1</v>
      </c>
      <c r="AJ596" s="228">
        <f t="shared" si="735"/>
        <v>0</v>
      </c>
      <c r="AK596" s="228">
        <v>0</v>
      </c>
      <c r="AL596" s="228">
        <v>0</v>
      </c>
      <c r="AM596" s="228">
        <f t="shared" si="711"/>
        <v>-100</v>
      </c>
      <c r="AN596" s="228" cm="1">
        <f t="array" ref="AN596">IF(ISBLANK(G596), 1, IFERROR(MATCH(G596, INDEX(Kat,,1), 0), IFERROR(MATCH(Kat, INDEX(Use,,2), 0), MATCH(Kat, INDEX(Use,,3), 0))))</f>
        <v>1</v>
      </c>
      <c r="AO596" s="246"/>
      <c r="AP596" s="228" cm="1">
        <f t="array" ref="AP596">IF(W596&gt;0, INDEX(Kat, AN596,4), 0)</f>
        <v>0</v>
      </c>
      <c r="AQ596" s="228">
        <f t="shared" si="736"/>
        <v>0</v>
      </c>
      <c r="AR596" s="228" cm="1">
        <f t="array" ref="AR596">IF(X596&gt;0, INDEX(Kat, $AN596, 4+AQ596), 0)</f>
        <v>0</v>
      </c>
      <c r="AS596" s="228" cm="1">
        <f t="array" ref="AS596">IF(X596&gt;0, INDEX(Kat, $AN596, 9+AQ596), 0)</f>
        <v>0</v>
      </c>
      <c r="AT596" s="246"/>
      <c r="AU596" s="262"/>
      <c r="AV596" s="262"/>
      <c r="AW596" s="263"/>
      <c r="AX596" s="263"/>
      <c r="AY596" s="263"/>
      <c r="AZ596" s="263"/>
      <c r="BA596" s="263"/>
      <c r="BB596" s="263"/>
      <c r="BC596" s="263"/>
      <c r="BD596" s="263"/>
      <c r="BE596" s="263"/>
      <c r="BF596" s="263"/>
      <c r="BG596" s="263"/>
      <c r="BH596" s="246"/>
      <c r="BI596" s="228" cm="1">
        <f t="array" ref="BI596">INDEX(Use, $AH596, 4)</f>
        <v>7</v>
      </c>
      <c r="BJ596" s="228">
        <f t="shared" si="712"/>
        <v>32</v>
      </c>
      <c r="BK596" s="228">
        <f t="shared" si="700"/>
        <v>13</v>
      </c>
      <c r="BL596" s="228">
        <f t="shared" si="701"/>
        <v>0</v>
      </c>
      <c r="BM596" s="233" cm="1">
        <f t="array" ref="BM596">L596/IF($M596&gt;0, INDEX($AY$22:$BE$76, $M596+20, $AH596), 1)</f>
        <v>0</v>
      </c>
      <c r="BN596" s="229">
        <f t="shared" si="713"/>
        <v>0</v>
      </c>
      <c r="BO596" s="228">
        <v>35</v>
      </c>
      <c r="BP596" s="229">
        <f t="shared" si="714"/>
        <v>48</v>
      </c>
      <c r="BQ596" s="234">
        <f t="shared" si="715"/>
        <v>3.0748170731707316</v>
      </c>
      <c r="BR596" s="234" cm="1">
        <f t="array" ref="BR596">$BM596 * SUMPRODUCT(INDEX($AV$76:$AX$81,,$AI596),INDEX($AY$76:$BE$81,,$AH596), N($AU$76:$AU$81&gt;$AM596)) / BQ596 / 1000</f>
        <v>0</v>
      </c>
      <c r="BS596" s="231">
        <f t="shared" si="702"/>
        <v>30</v>
      </c>
      <c r="BT596" s="229">
        <f t="shared" si="716"/>
        <v>43</v>
      </c>
      <c r="BU596" s="234">
        <f t="shared" si="717"/>
        <v>3.5018750000000001</v>
      </c>
      <c r="BV596" s="234" cm="1">
        <f t="array" ref="BV596">$BM596 * IF($AH596&lt;=2,
SUMPRODUCT(INDEX($AV$71:$AX$75,,$AI596), INDEX($AY$71:$BE$75,,$AH596), 1 / ($BF$71:$BF$75*BU596 + (1-$BF$71:$BF$75)*BQ596), N($AU$71:$AU$75&gt;$AM596)),
SUMPRODUCT(INDEX($AV$66:$AX$75,,$AI596), INDEX($AY$66:$BE$75,,$AH596), 1 / ($BG$66:$BG$75*BU596 + (1-$BG$66:$BG$75)*BQ596), N($AU$66:$AU$75&gt;$AM596))
) / 1000</f>
        <v>0</v>
      </c>
      <c r="BW596" s="231">
        <f t="shared" si="703"/>
        <v>25</v>
      </c>
      <c r="BX596" s="229">
        <f t="shared" si="718"/>
        <v>38</v>
      </c>
      <c r="BY596" s="234">
        <f t="shared" si="719"/>
        <v>4.0666935483870965</v>
      </c>
      <c r="BZ596" s="234" cm="1">
        <f t="array" ref="BZ596">$BM596 * IF($AH596&lt;=2,
SUMPRODUCT(INDEX($AV$66:$AX$70,,$AI596), INDEX($AY$66:$BE$70,,$AH596), 1 / ($BF$66:$BF$70*BY596 + (1-$BF$66:$BF$70)*BU596), N($AU$66:$AU$70&gt;$AM596)),
SUMPRODUCT(INDEX($AV$56:$AX$65,,$AI596), INDEX($AY$56:$BE$65,,$AH596), 1 / ($BG$56:$BG$65*BY596 + (1-$BG$56:$BG$65)*BU596), N($AU$56:$AU$65&gt;$AM596))
) / 1000</f>
        <v>0</v>
      </c>
      <c r="CA596" s="231">
        <f t="shared" si="704"/>
        <v>20</v>
      </c>
      <c r="CB596" s="229">
        <f t="shared" si="720"/>
        <v>33</v>
      </c>
      <c r="CC596" s="234">
        <f t="shared" si="721"/>
        <v>4.8487499999999999</v>
      </c>
      <c r="CD596" s="234" cm="1">
        <f t="array" ref="CD596">$BM596 * IF($AH596&lt;=2,
SUMPRODUCT(INDEX($AV$61:$AX$65,,$AI596), INDEX($AY$61:$BE$65,,$AH596), 1 / ($BF$61:$BF$65*CC596 + (1-$BF$61:$BF$65)*BY596), N($AU$61:$AU$65&gt;$AM596)),
SUMPRODUCT(INDEX($AV$46:$AX$55,,$AI596), INDEX($AY$46:$BE$55,,$AH596), 1 / ($BG$46:$BG$55*CC596 + (1-$BG$46:$BG$55)*BY596), N($AU$46:$AU$55&gt;$AM596))
) / 1000</f>
        <v>0</v>
      </c>
      <c r="CE596" s="234" cm="1">
        <f t="array" ref="CE596">$BM596 * IF($AH596&lt;=2,
SUMPRODUCT(INDEX($AV$22:$AX$60,,$AI596), INDEX($AY$22:$BE$60,,$AH596), 1 / ($BF$22:$BF$60*CC596), N($AU$22:$AU$60&gt;$AM596)),
SUMPRODUCT(INDEX($AV$22:$AX$45,,$AI596), INDEX($AY$22:$BE$45,,$AH596), 1 / ($BG$22:$BG$45*CC596), N($AU$22:$AU$45&gt;$AM596))
) / 1000</f>
        <v>0</v>
      </c>
      <c r="CF596" s="229">
        <f t="shared" si="722"/>
        <v>0</v>
      </c>
      <c r="CG596" s="246"/>
      <c r="CH596" s="229">
        <f t="shared" si="723"/>
        <v>0</v>
      </c>
      <c r="CI596" s="228">
        <v>35</v>
      </c>
      <c r="CJ596" s="229">
        <f t="shared" si="724"/>
        <v>48</v>
      </c>
      <c r="CK596" s="234">
        <f t="shared" si="725"/>
        <v>3.0748170731707316</v>
      </c>
      <c r="CL596" s="234" cm="1">
        <f t="array" ref="CL596">$BM596 * SUMPRODUCT(INDEX($AV$76:$AX$81,,$AI596),INDEX($AY$76:$BE$81,,$AH596), N($AU$76:$AU$81&gt;$AM596)) / CK596 / 1000</f>
        <v>0</v>
      </c>
      <c r="CM596" s="231">
        <f t="shared" si="705"/>
        <v>30</v>
      </c>
      <c r="CN596" s="229">
        <f t="shared" si="726"/>
        <v>43</v>
      </c>
      <c r="CO596" s="234">
        <f t="shared" si="727"/>
        <v>3.5018750000000001</v>
      </c>
      <c r="CP596" s="234" cm="1">
        <f t="array" ref="CP596">$BM596 * IF($AH596&lt;=2,
SUMPRODUCT(INDEX($AV$71:$AX$75,,$AI596), INDEX($AY$71:$BE$75,,$AH596), 1 / ($BF$71:$BF$75*CO596 + (1-$BF$71:$BF$75)*CK596), N($AU$71:$AU$75&gt;$AM596)),
SUMPRODUCT(INDEX($AV$66:$AX$75,,$AI596), INDEX($AY$66:$BE$75,,$AH596), 1 / ($BG$66:$BG$75*CO596 + (1-$BG$66:$BG$75)*CK596), N($AU$66:$AU$75&gt;$AM596))
) / 1000</f>
        <v>0</v>
      </c>
      <c r="CQ596" s="231">
        <f t="shared" si="706"/>
        <v>25</v>
      </c>
      <c r="CR596" s="229">
        <f t="shared" si="728"/>
        <v>38</v>
      </c>
      <c r="CS596" s="234">
        <f t="shared" si="729"/>
        <v>4.0666935483870965</v>
      </c>
      <c r="CT596" s="234" cm="1">
        <f t="array" ref="CT596">$BM596 * IF($AH596&lt;=2,
SUMPRODUCT(INDEX($AV$66:$AX$70,,$AI596), INDEX($AY$66:$BE$70,,$AH596), 1 / ($BF$66:$BF$70*CS596 + (1-$BF$66:$BF$70)*CO596), N($AU$66:$AU$70&gt;$AM596)),
SUMPRODUCT(INDEX($AV$56:$AX$65,,$AI596), INDEX($AY$56:$BE$65,,$AH596), 1 / ($BG$56:$BG$65*CS596 + (1-$BG$56:$BG$65)*CO596), N($AU$56:$AU$65&gt;$AM596))
) / 1000</f>
        <v>0</v>
      </c>
      <c r="CU596" s="231">
        <f t="shared" si="707"/>
        <v>20</v>
      </c>
      <c r="CV596" s="229">
        <f t="shared" si="730"/>
        <v>33</v>
      </c>
      <c r="CW596" s="234">
        <f t="shared" si="731"/>
        <v>4.8487499999999999</v>
      </c>
      <c r="CX596" s="234" cm="1">
        <f t="array" ref="CX596">$BM596 * IF($AH596&lt;=2,
SUMPRODUCT(INDEX($AV$61:$AX$65,,$AI596), INDEX($AY$61:$BE$65,,$AH596), 1 / ($BF$61:$BF$65*CW596 + (1-$BF$61:$BF$65)*CS596), N($AU$61:$AU$65&gt;$AM596)),
SUMPRODUCT(INDEX($AV$46:$AX$55,,$AI596), INDEX($AY$46:$BE$55,,$AH596), 1 / ($BG$46:$BG$55*CW596 + (1-$BG$46:$BG$55)*CS596), N($AU$46:$AU$55&gt;$AM596))
) / 1000</f>
        <v>0</v>
      </c>
      <c r="CY596" s="234" cm="1">
        <f t="array" ref="CY596">$BM596 * IF($AH596&lt;=2,
SUMPRODUCT(INDEX($AV$22:$AX$60,,$AI596), INDEX($AY$22:$BE$60,,$AH596), 1 / ($BF$22:$BF$60*CW596), N($AU$22:$AU$60&gt;$AM596)),
SUMPRODUCT(INDEX($AV$22:$AX$45,,$AI596), INDEX($AY$22:$BE$45,,$AH596), 1 / ($BG$22:$BG$45*CW596), N($AU$22:$AU$45&gt;$AM596))
) / 1000</f>
        <v>0</v>
      </c>
      <c r="CZ596" s="229">
        <f t="shared" si="732"/>
        <v>0</v>
      </c>
      <c r="DA596" s="246"/>
    </row>
    <row r="597" spans="1:105" s="75" customFormat="1" ht="14.25" customHeight="1" x14ac:dyDescent="0.2">
      <c r="A597" s="230" t="b">
        <f t="shared" ref="A597:A660" si="737">IF(OR(AND($L597&gt;80, $AH597=1), AND($L597&gt;40, $AH597=3), AND($L597&gt;30, $AH597=4),), TRUE, FALSE)</f>
        <v>0</v>
      </c>
      <c r="B597" s="253">
        <v>576</v>
      </c>
      <c r="C597" s="266"/>
      <c r="D597" s="266"/>
      <c r="E597" s="254"/>
      <c r="F597" s="255" t="str">
        <f>IF(ISBLANK(E597), "", VLOOKUP(E597, Z!$A$2:$C$4127, 3, FALSE))</f>
        <v/>
      </c>
      <c r="G597" s="256"/>
      <c r="H597" s="256"/>
      <c r="I597" s="256"/>
      <c r="J597" s="257"/>
      <c r="K597" s="258"/>
      <c r="L597" s="267"/>
      <c r="M597" s="268"/>
      <c r="N597" s="259" t="str" cm="1">
        <f t="array" ref="N597">IF($L597&gt;0, INDEX(Clean,1+AK597,$D$1), "")</f>
        <v/>
      </c>
      <c r="O597" s="260"/>
      <c r="P597" s="260"/>
      <c r="Q597" s="261"/>
      <c r="R597" s="264">
        <f t="shared" si="708"/>
        <v>0</v>
      </c>
      <c r="S597" s="259" t="str" cm="1">
        <f t="array" ref="S597">IF($L597&gt;0, INDEX(Clean,1+AL597,$D$1), "")</f>
        <v/>
      </c>
      <c r="T597" s="260"/>
      <c r="U597" s="260"/>
      <c r="V597" s="261"/>
      <c r="W597" s="267"/>
      <c r="X597" s="267"/>
      <c r="Y597" s="257"/>
      <c r="Z597" s="264">
        <f t="shared" si="709"/>
        <v>0</v>
      </c>
      <c r="AA597" s="269"/>
      <c r="AB597" s="266"/>
      <c r="AC597" s="254"/>
      <c r="AD597" s="255" t="str">
        <f>IF(ISBLANK(AC597), "", VLOOKUP(AC597, Z!$A$2:$C$4127, 3, FALSE))</f>
        <v/>
      </c>
      <c r="AE597" s="270"/>
      <c r="AF597" s="265">
        <f t="shared" si="710"/>
        <v>0</v>
      </c>
      <c r="AG597" s="246"/>
      <c r="AH597" s="228">
        <f t="shared" si="733"/>
        <v>1</v>
      </c>
      <c r="AI597" s="228">
        <f t="shared" si="734"/>
        <v>1</v>
      </c>
      <c r="AJ597" s="228">
        <f t="shared" si="735"/>
        <v>0</v>
      </c>
      <c r="AK597" s="228">
        <v>0</v>
      </c>
      <c r="AL597" s="228">
        <v>0</v>
      </c>
      <c r="AM597" s="228">
        <f t="shared" si="711"/>
        <v>-100</v>
      </c>
      <c r="AN597" s="228" cm="1">
        <f t="array" ref="AN597">IF(ISBLANK(G597), 1, IFERROR(MATCH(G597, INDEX(Kat,,1), 0), IFERROR(MATCH(Kat, INDEX(Use,,2), 0), MATCH(Kat, INDEX(Use,,3), 0))))</f>
        <v>1</v>
      </c>
      <c r="AO597" s="246"/>
      <c r="AP597" s="228" cm="1">
        <f t="array" ref="AP597">IF(W597&gt;0, INDEX(Kat, AN597,4), 0)</f>
        <v>0</v>
      </c>
      <c r="AQ597" s="228">
        <f t="shared" si="736"/>
        <v>0</v>
      </c>
      <c r="AR597" s="228" cm="1">
        <f t="array" ref="AR597">IF(X597&gt;0, INDEX(Kat, $AN597, 4+AQ597), 0)</f>
        <v>0</v>
      </c>
      <c r="AS597" s="228" cm="1">
        <f t="array" ref="AS597">IF(X597&gt;0, INDEX(Kat, $AN597, 9+AQ597), 0)</f>
        <v>0</v>
      </c>
      <c r="AT597" s="246"/>
      <c r="AU597" s="262"/>
      <c r="AV597" s="262"/>
      <c r="AW597" s="263"/>
      <c r="AX597" s="263"/>
      <c r="AY597" s="263"/>
      <c r="AZ597" s="263"/>
      <c r="BA597" s="263"/>
      <c r="BB597" s="263"/>
      <c r="BC597" s="263"/>
      <c r="BD597" s="263"/>
      <c r="BE597" s="263"/>
      <c r="BF597" s="263"/>
      <c r="BG597" s="263"/>
      <c r="BH597" s="246"/>
      <c r="BI597" s="228" cm="1">
        <f t="array" ref="BI597">INDEX(Use, $AH597, 4)</f>
        <v>7</v>
      </c>
      <c r="BJ597" s="228">
        <f t="shared" si="712"/>
        <v>32</v>
      </c>
      <c r="BK597" s="228">
        <f t="shared" si="700"/>
        <v>13</v>
      </c>
      <c r="BL597" s="228">
        <f t="shared" si="701"/>
        <v>0</v>
      </c>
      <c r="BM597" s="233" cm="1">
        <f t="array" ref="BM597">L597/IF($M597&gt;0, INDEX($AY$22:$BE$76, $M597+20, $AH597), 1)</f>
        <v>0</v>
      </c>
      <c r="BN597" s="229">
        <f t="shared" si="713"/>
        <v>0</v>
      </c>
      <c r="BO597" s="228">
        <v>35</v>
      </c>
      <c r="BP597" s="229">
        <f t="shared" si="714"/>
        <v>48</v>
      </c>
      <c r="BQ597" s="234">
        <f t="shared" si="715"/>
        <v>3.0748170731707316</v>
      </c>
      <c r="BR597" s="234" cm="1">
        <f t="array" ref="BR597">$BM597 * SUMPRODUCT(INDEX($AV$76:$AX$81,,$AI597),INDEX($AY$76:$BE$81,,$AH597), N($AU$76:$AU$81&gt;$AM597)) / BQ597 / 1000</f>
        <v>0</v>
      </c>
      <c r="BS597" s="231">
        <f t="shared" si="702"/>
        <v>30</v>
      </c>
      <c r="BT597" s="229">
        <f t="shared" si="716"/>
        <v>43</v>
      </c>
      <c r="BU597" s="234">
        <f t="shared" si="717"/>
        <v>3.5018750000000001</v>
      </c>
      <c r="BV597" s="234" cm="1">
        <f t="array" ref="BV597">$BM597 * IF($AH597&lt;=2,
SUMPRODUCT(INDEX($AV$71:$AX$75,,$AI597), INDEX($AY$71:$BE$75,,$AH597), 1 / ($BF$71:$BF$75*BU597 + (1-$BF$71:$BF$75)*BQ597), N($AU$71:$AU$75&gt;$AM597)),
SUMPRODUCT(INDEX($AV$66:$AX$75,,$AI597), INDEX($AY$66:$BE$75,,$AH597), 1 / ($BG$66:$BG$75*BU597 + (1-$BG$66:$BG$75)*BQ597), N($AU$66:$AU$75&gt;$AM597))
) / 1000</f>
        <v>0</v>
      </c>
      <c r="BW597" s="231">
        <f t="shared" si="703"/>
        <v>25</v>
      </c>
      <c r="BX597" s="229">
        <f t="shared" si="718"/>
        <v>38</v>
      </c>
      <c r="BY597" s="234">
        <f t="shared" si="719"/>
        <v>4.0666935483870965</v>
      </c>
      <c r="BZ597" s="234" cm="1">
        <f t="array" ref="BZ597">$BM597 * IF($AH597&lt;=2,
SUMPRODUCT(INDEX($AV$66:$AX$70,,$AI597), INDEX($AY$66:$BE$70,,$AH597), 1 / ($BF$66:$BF$70*BY597 + (1-$BF$66:$BF$70)*BU597), N($AU$66:$AU$70&gt;$AM597)),
SUMPRODUCT(INDEX($AV$56:$AX$65,,$AI597), INDEX($AY$56:$BE$65,,$AH597), 1 / ($BG$56:$BG$65*BY597 + (1-$BG$56:$BG$65)*BU597), N($AU$56:$AU$65&gt;$AM597))
) / 1000</f>
        <v>0</v>
      </c>
      <c r="CA597" s="231">
        <f t="shared" si="704"/>
        <v>20</v>
      </c>
      <c r="CB597" s="229">
        <f t="shared" si="720"/>
        <v>33</v>
      </c>
      <c r="CC597" s="234">
        <f t="shared" si="721"/>
        <v>4.8487499999999999</v>
      </c>
      <c r="CD597" s="234" cm="1">
        <f t="array" ref="CD597">$BM597 * IF($AH597&lt;=2,
SUMPRODUCT(INDEX($AV$61:$AX$65,,$AI597), INDEX($AY$61:$BE$65,,$AH597), 1 / ($BF$61:$BF$65*CC597 + (1-$BF$61:$BF$65)*BY597), N($AU$61:$AU$65&gt;$AM597)),
SUMPRODUCT(INDEX($AV$46:$AX$55,,$AI597), INDEX($AY$46:$BE$55,,$AH597), 1 / ($BG$46:$BG$55*CC597 + (1-$BG$46:$BG$55)*BY597), N($AU$46:$AU$55&gt;$AM597))
) / 1000</f>
        <v>0</v>
      </c>
      <c r="CE597" s="234" cm="1">
        <f t="array" ref="CE597">$BM597 * IF($AH597&lt;=2,
SUMPRODUCT(INDEX($AV$22:$AX$60,,$AI597), INDEX($AY$22:$BE$60,,$AH597), 1 / ($BF$22:$BF$60*CC597), N($AU$22:$AU$60&gt;$AM597)),
SUMPRODUCT(INDEX($AV$22:$AX$45,,$AI597), INDEX($AY$22:$BE$45,,$AH597), 1 / ($BG$22:$BG$45*CC597), N($AU$22:$AU$45&gt;$AM597))
) / 1000</f>
        <v>0</v>
      </c>
      <c r="CF597" s="229">
        <f t="shared" si="722"/>
        <v>0</v>
      </c>
      <c r="CG597" s="246"/>
      <c r="CH597" s="229">
        <f t="shared" si="723"/>
        <v>0</v>
      </c>
      <c r="CI597" s="228">
        <v>35</v>
      </c>
      <c r="CJ597" s="229">
        <f t="shared" si="724"/>
        <v>48</v>
      </c>
      <c r="CK597" s="234">
        <f t="shared" si="725"/>
        <v>3.0748170731707316</v>
      </c>
      <c r="CL597" s="234" cm="1">
        <f t="array" ref="CL597">$BM597 * SUMPRODUCT(INDEX($AV$76:$AX$81,,$AI597),INDEX($AY$76:$BE$81,,$AH597), N($AU$76:$AU$81&gt;$AM597)) / CK597 / 1000</f>
        <v>0</v>
      </c>
      <c r="CM597" s="231">
        <f t="shared" si="705"/>
        <v>30</v>
      </c>
      <c r="CN597" s="229">
        <f t="shared" si="726"/>
        <v>43</v>
      </c>
      <c r="CO597" s="234">
        <f t="shared" si="727"/>
        <v>3.5018750000000001</v>
      </c>
      <c r="CP597" s="234" cm="1">
        <f t="array" ref="CP597">$BM597 * IF($AH597&lt;=2,
SUMPRODUCT(INDEX($AV$71:$AX$75,,$AI597), INDEX($AY$71:$BE$75,,$AH597), 1 / ($BF$71:$BF$75*CO597 + (1-$BF$71:$BF$75)*CK597), N($AU$71:$AU$75&gt;$AM597)),
SUMPRODUCT(INDEX($AV$66:$AX$75,,$AI597), INDEX($AY$66:$BE$75,,$AH597), 1 / ($BG$66:$BG$75*CO597 + (1-$BG$66:$BG$75)*CK597), N($AU$66:$AU$75&gt;$AM597))
) / 1000</f>
        <v>0</v>
      </c>
      <c r="CQ597" s="231">
        <f t="shared" si="706"/>
        <v>25</v>
      </c>
      <c r="CR597" s="229">
        <f t="shared" si="728"/>
        <v>38</v>
      </c>
      <c r="CS597" s="234">
        <f t="shared" si="729"/>
        <v>4.0666935483870965</v>
      </c>
      <c r="CT597" s="234" cm="1">
        <f t="array" ref="CT597">$BM597 * IF($AH597&lt;=2,
SUMPRODUCT(INDEX($AV$66:$AX$70,,$AI597), INDEX($AY$66:$BE$70,,$AH597), 1 / ($BF$66:$BF$70*CS597 + (1-$BF$66:$BF$70)*CO597), N($AU$66:$AU$70&gt;$AM597)),
SUMPRODUCT(INDEX($AV$56:$AX$65,,$AI597), INDEX($AY$56:$BE$65,,$AH597), 1 / ($BG$56:$BG$65*CS597 + (1-$BG$56:$BG$65)*CO597), N($AU$56:$AU$65&gt;$AM597))
) / 1000</f>
        <v>0</v>
      </c>
      <c r="CU597" s="231">
        <f t="shared" si="707"/>
        <v>20</v>
      </c>
      <c r="CV597" s="229">
        <f t="shared" si="730"/>
        <v>33</v>
      </c>
      <c r="CW597" s="234">
        <f t="shared" si="731"/>
        <v>4.8487499999999999</v>
      </c>
      <c r="CX597" s="234" cm="1">
        <f t="array" ref="CX597">$BM597 * IF($AH597&lt;=2,
SUMPRODUCT(INDEX($AV$61:$AX$65,,$AI597), INDEX($AY$61:$BE$65,,$AH597), 1 / ($BF$61:$BF$65*CW597 + (1-$BF$61:$BF$65)*CS597), N($AU$61:$AU$65&gt;$AM597)),
SUMPRODUCT(INDEX($AV$46:$AX$55,,$AI597), INDEX($AY$46:$BE$55,,$AH597), 1 / ($BG$46:$BG$55*CW597 + (1-$BG$46:$BG$55)*CS597), N($AU$46:$AU$55&gt;$AM597))
) / 1000</f>
        <v>0</v>
      </c>
      <c r="CY597" s="234" cm="1">
        <f t="array" ref="CY597">$BM597 * IF($AH597&lt;=2,
SUMPRODUCT(INDEX($AV$22:$AX$60,,$AI597), INDEX($AY$22:$BE$60,,$AH597), 1 / ($BF$22:$BF$60*CW597), N($AU$22:$AU$60&gt;$AM597)),
SUMPRODUCT(INDEX($AV$22:$AX$45,,$AI597), INDEX($AY$22:$BE$45,,$AH597), 1 / ($BG$22:$BG$45*CW597), N($AU$22:$AU$45&gt;$AM597))
) / 1000</f>
        <v>0</v>
      </c>
      <c r="CZ597" s="229">
        <f t="shared" si="732"/>
        <v>0</v>
      </c>
      <c r="DA597" s="246"/>
    </row>
    <row r="598" spans="1:105" s="75" customFormat="1" ht="14.25" customHeight="1" x14ac:dyDescent="0.2">
      <c r="A598" s="230" t="b">
        <f t="shared" si="737"/>
        <v>0</v>
      </c>
      <c r="B598" s="253">
        <v>577</v>
      </c>
      <c r="C598" s="266"/>
      <c r="D598" s="266"/>
      <c r="E598" s="254"/>
      <c r="F598" s="255" t="str">
        <f>IF(ISBLANK(E598), "", VLOOKUP(E598, Z!$A$2:$C$4127, 3, FALSE))</f>
        <v/>
      </c>
      <c r="G598" s="256"/>
      <c r="H598" s="256"/>
      <c r="I598" s="256"/>
      <c r="J598" s="257"/>
      <c r="K598" s="258"/>
      <c r="L598" s="267"/>
      <c r="M598" s="268"/>
      <c r="N598" s="259" t="str" cm="1">
        <f t="array" ref="N598">IF($L598&gt;0, INDEX(Clean,1+AK598,$D$1), "")</f>
        <v/>
      </c>
      <c r="O598" s="260"/>
      <c r="P598" s="260"/>
      <c r="Q598" s="261"/>
      <c r="R598" s="264">
        <f t="shared" si="708"/>
        <v>0</v>
      </c>
      <c r="S598" s="259" t="str" cm="1">
        <f t="array" ref="S598">IF($L598&gt;0, INDEX(Clean,1+AL598,$D$1), "")</f>
        <v/>
      </c>
      <c r="T598" s="260"/>
      <c r="U598" s="260"/>
      <c r="V598" s="261"/>
      <c r="W598" s="267"/>
      <c r="X598" s="267"/>
      <c r="Y598" s="257"/>
      <c r="Z598" s="264">
        <f t="shared" si="709"/>
        <v>0</v>
      </c>
      <c r="AA598" s="269"/>
      <c r="AB598" s="266"/>
      <c r="AC598" s="254"/>
      <c r="AD598" s="255" t="str">
        <f>IF(ISBLANK(AC598), "", VLOOKUP(AC598, Z!$A$2:$C$4127, 3, FALSE))</f>
        <v/>
      </c>
      <c r="AE598" s="270"/>
      <c r="AF598" s="265">
        <f t="shared" si="710"/>
        <v>0</v>
      </c>
      <c r="AG598" s="246"/>
      <c r="AH598" s="228">
        <f t="shared" si="733"/>
        <v>1</v>
      </c>
      <c r="AI598" s="228">
        <f t="shared" si="734"/>
        <v>1</v>
      </c>
      <c r="AJ598" s="228">
        <f t="shared" si="735"/>
        <v>0</v>
      </c>
      <c r="AK598" s="228">
        <v>0</v>
      </c>
      <c r="AL598" s="228">
        <v>0</v>
      </c>
      <c r="AM598" s="228">
        <f t="shared" si="711"/>
        <v>-100</v>
      </c>
      <c r="AN598" s="228" cm="1">
        <f t="array" ref="AN598">IF(ISBLANK(G598), 1, IFERROR(MATCH(G598, INDEX(Kat,,1), 0), IFERROR(MATCH(Kat, INDEX(Use,,2), 0), MATCH(Kat, INDEX(Use,,3), 0))))</f>
        <v>1</v>
      </c>
      <c r="AO598" s="246"/>
      <c r="AP598" s="228" cm="1">
        <f t="array" ref="AP598">IF(W598&gt;0, INDEX(Kat, AN598,4), 0)</f>
        <v>0</v>
      </c>
      <c r="AQ598" s="228">
        <f t="shared" si="736"/>
        <v>0</v>
      </c>
      <c r="AR598" s="228" cm="1">
        <f t="array" ref="AR598">IF(X598&gt;0, INDEX(Kat, $AN598, 4+AQ598), 0)</f>
        <v>0</v>
      </c>
      <c r="AS598" s="228" cm="1">
        <f t="array" ref="AS598">IF(X598&gt;0, INDEX(Kat, $AN598, 9+AQ598), 0)</f>
        <v>0</v>
      </c>
      <c r="AT598" s="246"/>
      <c r="AU598" s="262"/>
      <c r="AV598" s="262"/>
      <c r="AW598" s="263"/>
      <c r="AX598" s="263"/>
      <c r="AY598" s="263"/>
      <c r="AZ598" s="263"/>
      <c r="BA598" s="263"/>
      <c r="BB598" s="263"/>
      <c r="BC598" s="263"/>
      <c r="BD598" s="263"/>
      <c r="BE598" s="263"/>
      <c r="BF598" s="263"/>
      <c r="BG598" s="263"/>
      <c r="BH598" s="246"/>
      <c r="BI598" s="228" cm="1">
        <f t="array" ref="BI598">INDEX(Use, $AH598, 4)</f>
        <v>7</v>
      </c>
      <c r="BJ598" s="228">
        <f t="shared" si="712"/>
        <v>32</v>
      </c>
      <c r="BK598" s="228">
        <f t="shared" ref="BK598:BK661" si="738">IF($AJ598=1, 6, IF($AH598=4, 10, 13))</f>
        <v>13</v>
      </c>
      <c r="BL598" s="228">
        <f t="shared" ref="BL598:BL661" si="739">IF($AJ598=1, 9, 0)</f>
        <v>0</v>
      </c>
      <c r="BM598" s="233" cm="1">
        <f t="array" ref="BM598">L598/IF($M598&gt;0, INDEX($AY$22:$BE$76, $M598+20, $AH598), 1)</f>
        <v>0</v>
      </c>
      <c r="BN598" s="229">
        <f t="shared" si="713"/>
        <v>0</v>
      </c>
      <c r="BO598" s="228">
        <v>35</v>
      </c>
      <c r="BP598" s="229">
        <f t="shared" si="714"/>
        <v>48</v>
      </c>
      <c r="BQ598" s="234">
        <f t="shared" si="715"/>
        <v>3.0748170731707316</v>
      </c>
      <c r="BR598" s="234" cm="1">
        <f t="array" ref="BR598">$BM598 * SUMPRODUCT(INDEX($AV$76:$AX$81,,$AI598),INDEX($AY$76:$BE$81,,$AH598), N($AU$76:$AU$81&gt;$AM598)) / BQ598 / 1000</f>
        <v>0</v>
      </c>
      <c r="BS598" s="231">
        <f t="shared" ref="BS598:BS661" si="740">IF($AH598&lt;=2, 30, 25)</f>
        <v>30</v>
      </c>
      <c r="BT598" s="229">
        <f t="shared" si="716"/>
        <v>43</v>
      </c>
      <c r="BU598" s="234">
        <f t="shared" si="717"/>
        <v>3.5018750000000001</v>
      </c>
      <c r="BV598" s="234" cm="1">
        <f t="array" ref="BV598">$BM598 * IF($AH598&lt;=2,
SUMPRODUCT(INDEX($AV$71:$AX$75,,$AI598), INDEX($AY$71:$BE$75,,$AH598), 1 / ($BF$71:$BF$75*BU598 + (1-$BF$71:$BF$75)*BQ598), N($AU$71:$AU$75&gt;$AM598)),
SUMPRODUCT(INDEX($AV$66:$AX$75,,$AI598), INDEX($AY$66:$BE$75,,$AH598), 1 / ($BG$66:$BG$75*BU598 + (1-$BG$66:$BG$75)*BQ598), N($AU$66:$AU$75&gt;$AM598))
) / 1000</f>
        <v>0</v>
      </c>
      <c r="BW598" s="231">
        <f t="shared" ref="BW598:BW661" si="741">IF($AH598&lt;=2, 25, 15)</f>
        <v>25</v>
      </c>
      <c r="BX598" s="229">
        <f t="shared" si="718"/>
        <v>38</v>
      </c>
      <c r="BY598" s="234">
        <f t="shared" si="719"/>
        <v>4.0666935483870965</v>
      </c>
      <c r="BZ598" s="234" cm="1">
        <f t="array" ref="BZ598">$BM598 * IF($AH598&lt;=2,
SUMPRODUCT(INDEX($AV$66:$AX$70,,$AI598), INDEX($AY$66:$BE$70,,$AH598), 1 / ($BF$66:$BF$70*BY598 + (1-$BF$66:$BF$70)*BU598), N($AU$66:$AU$70&gt;$AM598)),
SUMPRODUCT(INDEX($AV$56:$AX$65,,$AI598), INDEX($AY$56:$BE$65,,$AH598), 1 / ($BG$56:$BG$65*BY598 + (1-$BG$56:$BG$65)*BU598), N($AU$56:$AU$65&gt;$AM598))
) / 1000</f>
        <v>0</v>
      </c>
      <c r="CA598" s="231">
        <f t="shared" ref="CA598:CA661" si="742">IF($AH598&lt;=2, 20, 5)</f>
        <v>20</v>
      </c>
      <c r="CB598" s="229">
        <f t="shared" si="720"/>
        <v>33</v>
      </c>
      <c r="CC598" s="234">
        <f t="shared" si="721"/>
        <v>4.8487499999999999</v>
      </c>
      <c r="CD598" s="234" cm="1">
        <f t="array" ref="CD598">$BM598 * IF($AH598&lt;=2,
SUMPRODUCT(INDEX($AV$61:$AX$65,,$AI598), INDEX($AY$61:$BE$65,,$AH598), 1 / ($BF$61:$BF$65*CC598 + (1-$BF$61:$BF$65)*BY598), N($AU$61:$AU$65&gt;$AM598)),
SUMPRODUCT(INDEX($AV$46:$AX$55,,$AI598), INDEX($AY$46:$BE$55,,$AH598), 1 / ($BG$46:$BG$55*CC598 + (1-$BG$46:$BG$55)*BY598), N($AU$46:$AU$55&gt;$AM598))
) / 1000</f>
        <v>0</v>
      </c>
      <c r="CE598" s="234" cm="1">
        <f t="array" ref="CE598">$BM598 * IF($AH598&lt;=2,
SUMPRODUCT(INDEX($AV$22:$AX$60,,$AI598), INDEX($AY$22:$BE$60,,$AH598), 1 / ($BF$22:$BF$60*CC598), N($AU$22:$AU$60&gt;$AM598)),
SUMPRODUCT(INDEX($AV$22:$AX$45,,$AI598), INDEX($AY$22:$BE$45,,$AH598), 1 / ($BG$22:$BG$45*CC598), N($AU$22:$AU$45&gt;$AM598))
) / 1000</f>
        <v>0</v>
      </c>
      <c r="CF598" s="229">
        <f t="shared" si="722"/>
        <v>0</v>
      </c>
      <c r="CG598" s="246"/>
      <c r="CH598" s="229">
        <f t="shared" si="723"/>
        <v>0</v>
      </c>
      <c r="CI598" s="228">
        <v>35</v>
      </c>
      <c r="CJ598" s="229">
        <f t="shared" si="724"/>
        <v>48</v>
      </c>
      <c r="CK598" s="234">
        <f t="shared" si="725"/>
        <v>3.0748170731707316</v>
      </c>
      <c r="CL598" s="234" cm="1">
        <f t="array" ref="CL598">$BM598 * SUMPRODUCT(INDEX($AV$76:$AX$81,,$AI598),INDEX($AY$76:$BE$81,,$AH598), N($AU$76:$AU$81&gt;$AM598)) / CK598 / 1000</f>
        <v>0</v>
      </c>
      <c r="CM598" s="231">
        <f t="shared" ref="CM598:CM661" si="743">IF($AH598&lt;=2, 30, 25)</f>
        <v>30</v>
      </c>
      <c r="CN598" s="229">
        <f t="shared" si="726"/>
        <v>43</v>
      </c>
      <c r="CO598" s="234">
        <f t="shared" si="727"/>
        <v>3.5018750000000001</v>
      </c>
      <c r="CP598" s="234" cm="1">
        <f t="array" ref="CP598">$BM598 * IF($AH598&lt;=2,
SUMPRODUCT(INDEX($AV$71:$AX$75,,$AI598), INDEX($AY$71:$BE$75,,$AH598), 1 / ($BF$71:$BF$75*CO598 + (1-$BF$71:$BF$75)*CK598), N($AU$71:$AU$75&gt;$AM598)),
SUMPRODUCT(INDEX($AV$66:$AX$75,,$AI598), INDEX($AY$66:$BE$75,,$AH598), 1 / ($BG$66:$BG$75*CO598 + (1-$BG$66:$BG$75)*CK598), N($AU$66:$AU$75&gt;$AM598))
) / 1000</f>
        <v>0</v>
      </c>
      <c r="CQ598" s="231">
        <f t="shared" ref="CQ598:CQ661" si="744">IF($AH598&lt;=2, 25, 15)</f>
        <v>25</v>
      </c>
      <c r="CR598" s="229">
        <f t="shared" si="728"/>
        <v>38</v>
      </c>
      <c r="CS598" s="234">
        <f t="shared" si="729"/>
        <v>4.0666935483870965</v>
      </c>
      <c r="CT598" s="234" cm="1">
        <f t="array" ref="CT598">$BM598 * IF($AH598&lt;=2,
SUMPRODUCT(INDEX($AV$66:$AX$70,,$AI598), INDEX($AY$66:$BE$70,,$AH598), 1 / ($BF$66:$BF$70*CS598 + (1-$BF$66:$BF$70)*CO598), N($AU$66:$AU$70&gt;$AM598)),
SUMPRODUCT(INDEX($AV$56:$AX$65,,$AI598), INDEX($AY$56:$BE$65,,$AH598), 1 / ($BG$56:$BG$65*CS598 + (1-$BG$56:$BG$65)*CO598), N($AU$56:$AU$65&gt;$AM598))
) / 1000</f>
        <v>0</v>
      </c>
      <c r="CU598" s="231">
        <f t="shared" ref="CU598:CU661" si="745">IF($AH598&lt;=2, 20, 5)</f>
        <v>20</v>
      </c>
      <c r="CV598" s="229">
        <f t="shared" si="730"/>
        <v>33</v>
      </c>
      <c r="CW598" s="234">
        <f t="shared" si="731"/>
        <v>4.8487499999999999</v>
      </c>
      <c r="CX598" s="234" cm="1">
        <f t="array" ref="CX598">$BM598 * IF($AH598&lt;=2,
SUMPRODUCT(INDEX($AV$61:$AX$65,,$AI598), INDEX($AY$61:$BE$65,,$AH598), 1 / ($BF$61:$BF$65*CW598 + (1-$BF$61:$BF$65)*CS598), N($AU$61:$AU$65&gt;$AM598)),
SUMPRODUCT(INDEX($AV$46:$AX$55,,$AI598), INDEX($AY$46:$BE$55,,$AH598), 1 / ($BG$46:$BG$55*CW598 + (1-$BG$46:$BG$55)*CS598), N($AU$46:$AU$55&gt;$AM598))
) / 1000</f>
        <v>0</v>
      </c>
      <c r="CY598" s="234" cm="1">
        <f t="array" ref="CY598">$BM598 * IF($AH598&lt;=2,
SUMPRODUCT(INDEX($AV$22:$AX$60,,$AI598), INDEX($AY$22:$BE$60,,$AH598), 1 / ($BF$22:$BF$60*CW598), N($AU$22:$AU$60&gt;$AM598)),
SUMPRODUCT(INDEX($AV$22:$AX$45,,$AI598), INDEX($AY$22:$BE$45,,$AH598), 1 / ($BG$22:$BG$45*CW598), N($AU$22:$AU$45&gt;$AM598))
) / 1000</f>
        <v>0</v>
      </c>
      <c r="CZ598" s="229">
        <f t="shared" si="732"/>
        <v>0</v>
      </c>
      <c r="DA598" s="246"/>
    </row>
    <row r="599" spans="1:105" s="75" customFormat="1" ht="14.25" customHeight="1" x14ac:dyDescent="0.2">
      <c r="A599" s="230" t="b">
        <f t="shared" si="737"/>
        <v>0</v>
      </c>
      <c r="B599" s="253">
        <v>578</v>
      </c>
      <c r="C599" s="266"/>
      <c r="D599" s="266"/>
      <c r="E599" s="254"/>
      <c r="F599" s="255" t="str">
        <f>IF(ISBLANK(E599), "", VLOOKUP(E599, Z!$A$2:$C$4127, 3, FALSE))</f>
        <v/>
      </c>
      <c r="G599" s="256"/>
      <c r="H599" s="256"/>
      <c r="I599" s="256"/>
      <c r="J599" s="257"/>
      <c r="K599" s="258"/>
      <c r="L599" s="267"/>
      <c r="M599" s="268"/>
      <c r="N599" s="259" t="str" cm="1">
        <f t="array" ref="N599">IF($L599&gt;0, INDEX(Clean,1+AK599,$D$1), "")</f>
        <v/>
      </c>
      <c r="O599" s="260"/>
      <c r="P599" s="260"/>
      <c r="Q599" s="261"/>
      <c r="R599" s="264">
        <f t="shared" si="708"/>
        <v>0</v>
      </c>
      <c r="S599" s="259" t="str" cm="1">
        <f t="array" ref="S599">IF($L599&gt;0, INDEX(Clean,1+AL599,$D$1), "")</f>
        <v/>
      </c>
      <c r="T599" s="260"/>
      <c r="U599" s="260"/>
      <c r="V599" s="261"/>
      <c r="W599" s="267"/>
      <c r="X599" s="267"/>
      <c r="Y599" s="257"/>
      <c r="Z599" s="264">
        <f t="shared" si="709"/>
        <v>0</v>
      </c>
      <c r="AA599" s="269"/>
      <c r="AB599" s="266"/>
      <c r="AC599" s="254"/>
      <c r="AD599" s="255" t="str">
        <f>IF(ISBLANK(AC599), "", VLOOKUP(AC599, Z!$A$2:$C$4127, 3, FALSE))</f>
        <v/>
      </c>
      <c r="AE599" s="270"/>
      <c r="AF599" s="265">
        <f t="shared" si="710"/>
        <v>0</v>
      </c>
      <c r="AG599" s="246"/>
      <c r="AH599" s="228">
        <f t="shared" si="733"/>
        <v>1</v>
      </c>
      <c r="AI599" s="228">
        <f t="shared" si="734"/>
        <v>1</v>
      </c>
      <c r="AJ599" s="228">
        <f t="shared" si="735"/>
        <v>0</v>
      </c>
      <c r="AK599" s="228">
        <v>0</v>
      </c>
      <c r="AL599" s="228">
        <v>0</v>
      </c>
      <c r="AM599" s="228">
        <f t="shared" si="711"/>
        <v>-100</v>
      </c>
      <c r="AN599" s="228" cm="1">
        <f t="array" ref="AN599">IF(ISBLANK(G599), 1, IFERROR(MATCH(G599, INDEX(Kat,,1), 0), IFERROR(MATCH(Kat, INDEX(Use,,2), 0), MATCH(Kat, INDEX(Use,,3), 0))))</f>
        <v>1</v>
      </c>
      <c r="AO599" s="246"/>
      <c r="AP599" s="228" cm="1">
        <f t="array" ref="AP599">IF(W599&gt;0, INDEX(Kat, AN599,4), 0)</f>
        <v>0</v>
      </c>
      <c r="AQ599" s="228">
        <f t="shared" si="736"/>
        <v>0</v>
      </c>
      <c r="AR599" s="228" cm="1">
        <f t="array" ref="AR599">IF(X599&gt;0, INDEX(Kat, $AN599, 4+AQ599), 0)</f>
        <v>0</v>
      </c>
      <c r="AS599" s="228" cm="1">
        <f t="array" ref="AS599">IF(X599&gt;0, INDEX(Kat, $AN599, 9+AQ599), 0)</f>
        <v>0</v>
      </c>
      <c r="AT599" s="246"/>
      <c r="AU599" s="262"/>
      <c r="AV599" s="262"/>
      <c r="AW599" s="263"/>
      <c r="AX599" s="263"/>
      <c r="AY599" s="263"/>
      <c r="AZ599" s="263"/>
      <c r="BA599" s="263"/>
      <c r="BB599" s="263"/>
      <c r="BC599" s="263"/>
      <c r="BD599" s="263"/>
      <c r="BE599" s="263"/>
      <c r="BF599" s="263"/>
      <c r="BG599" s="263"/>
      <c r="BH599" s="246"/>
      <c r="BI599" s="228" cm="1">
        <f t="array" ref="BI599">INDEX(Use, $AH599, 4)</f>
        <v>7</v>
      </c>
      <c r="BJ599" s="228">
        <f t="shared" si="712"/>
        <v>32</v>
      </c>
      <c r="BK599" s="228">
        <f t="shared" si="738"/>
        <v>13</v>
      </c>
      <c r="BL599" s="228">
        <f t="shared" si="739"/>
        <v>0</v>
      </c>
      <c r="BM599" s="233" cm="1">
        <f t="array" ref="BM599">L599/IF($M599&gt;0, INDEX($AY$22:$BE$76, $M599+20, $AH599), 1)</f>
        <v>0</v>
      </c>
      <c r="BN599" s="229">
        <f t="shared" si="713"/>
        <v>0</v>
      </c>
      <c r="BO599" s="228">
        <v>35</v>
      </c>
      <c r="BP599" s="229">
        <f t="shared" si="714"/>
        <v>48</v>
      </c>
      <c r="BQ599" s="234">
        <f t="shared" si="715"/>
        <v>3.0748170731707316</v>
      </c>
      <c r="BR599" s="234" cm="1">
        <f t="array" ref="BR599">$BM599 * SUMPRODUCT(INDEX($AV$76:$AX$81,,$AI599),INDEX($AY$76:$BE$81,,$AH599), N($AU$76:$AU$81&gt;$AM599)) / BQ599 / 1000</f>
        <v>0</v>
      </c>
      <c r="BS599" s="231">
        <f t="shared" si="740"/>
        <v>30</v>
      </c>
      <c r="BT599" s="229">
        <f t="shared" si="716"/>
        <v>43</v>
      </c>
      <c r="BU599" s="234">
        <f t="shared" si="717"/>
        <v>3.5018750000000001</v>
      </c>
      <c r="BV599" s="234" cm="1">
        <f t="array" ref="BV599">$BM599 * IF($AH599&lt;=2,
SUMPRODUCT(INDEX($AV$71:$AX$75,,$AI599), INDEX($AY$71:$BE$75,,$AH599), 1 / ($BF$71:$BF$75*BU599 + (1-$BF$71:$BF$75)*BQ599), N($AU$71:$AU$75&gt;$AM599)),
SUMPRODUCT(INDEX($AV$66:$AX$75,,$AI599), INDEX($AY$66:$BE$75,,$AH599), 1 / ($BG$66:$BG$75*BU599 + (1-$BG$66:$BG$75)*BQ599), N($AU$66:$AU$75&gt;$AM599))
) / 1000</f>
        <v>0</v>
      </c>
      <c r="BW599" s="231">
        <f t="shared" si="741"/>
        <v>25</v>
      </c>
      <c r="BX599" s="229">
        <f t="shared" si="718"/>
        <v>38</v>
      </c>
      <c r="BY599" s="234">
        <f t="shared" si="719"/>
        <v>4.0666935483870965</v>
      </c>
      <c r="BZ599" s="234" cm="1">
        <f t="array" ref="BZ599">$BM599 * IF($AH599&lt;=2,
SUMPRODUCT(INDEX($AV$66:$AX$70,,$AI599), INDEX($AY$66:$BE$70,,$AH599), 1 / ($BF$66:$BF$70*BY599 + (1-$BF$66:$BF$70)*BU599), N($AU$66:$AU$70&gt;$AM599)),
SUMPRODUCT(INDEX($AV$56:$AX$65,,$AI599), INDEX($AY$56:$BE$65,,$AH599), 1 / ($BG$56:$BG$65*BY599 + (1-$BG$56:$BG$65)*BU599), N($AU$56:$AU$65&gt;$AM599))
) / 1000</f>
        <v>0</v>
      </c>
      <c r="CA599" s="231">
        <f t="shared" si="742"/>
        <v>20</v>
      </c>
      <c r="CB599" s="229">
        <f t="shared" si="720"/>
        <v>33</v>
      </c>
      <c r="CC599" s="234">
        <f t="shared" si="721"/>
        <v>4.8487499999999999</v>
      </c>
      <c r="CD599" s="234" cm="1">
        <f t="array" ref="CD599">$BM599 * IF($AH599&lt;=2,
SUMPRODUCT(INDEX($AV$61:$AX$65,,$AI599), INDEX($AY$61:$BE$65,,$AH599), 1 / ($BF$61:$BF$65*CC599 + (1-$BF$61:$BF$65)*BY599), N($AU$61:$AU$65&gt;$AM599)),
SUMPRODUCT(INDEX($AV$46:$AX$55,,$AI599), INDEX($AY$46:$BE$55,,$AH599), 1 / ($BG$46:$BG$55*CC599 + (1-$BG$46:$BG$55)*BY599), N($AU$46:$AU$55&gt;$AM599))
) / 1000</f>
        <v>0</v>
      </c>
      <c r="CE599" s="234" cm="1">
        <f t="array" ref="CE599">$BM599 * IF($AH599&lt;=2,
SUMPRODUCT(INDEX($AV$22:$AX$60,,$AI599), INDEX($AY$22:$BE$60,,$AH599), 1 / ($BF$22:$BF$60*CC599), N($AU$22:$AU$60&gt;$AM599)),
SUMPRODUCT(INDEX($AV$22:$AX$45,,$AI599), INDEX($AY$22:$BE$45,,$AH599), 1 / ($BG$22:$BG$45*CC599), N($AU$22:$AU$45&gt;$AM599))
) / 1000</f>
        <v>0</v>
      </c>
      <c r="CF599" s="229">
        <f t="shared" si="722"/>
        <v>0</v>
      </c>
      <c r="CG599" s="246"/>
      <c r="CH599" s="229">
        <f t="shared" si="723"/>
        <v>0</v>
      </c>
      <c r="CI599" s="228">
        <v>35</v>
      </c>
      <c r="CJ599" s="229">
        <f t="shared" si="724"/>
        <v>48</v>
      </c>
      <c r="CK599" s="234">
        <f t="shared" si="725"/>
        <v>3.0748170731707316</v>
      </c>
      <c r="CL599" s="234" cm="1">
        <f t="array" ref="CL599">$BM599 * SUMPRODUCT(INDEX($AV$76:$AX$81,,$AI599),INDEX($AY$76:$BE$81,,$AH599), N($AU$76:$AU$81&gt;$AM599)) / CK599 / 1000</f>
        <v>0</v>
      </c>
      <c r="CM599" s="231">
        <f t="shared" si="743"/>
        <v>30</v>
      </c>
      <c r="CN599" s="229">
        <f t="shared" si="726"/>
        <v>43</v>
      </c>
      <c r="CO599" s="234">
        <f t="shared" si="727"/>
        <v>3.5018750000000001</v>
      </c>
      <c r="CP599" s="234" cm="1">
        <f t="array" ref="CP599">$BM599 * IF($AH599&lt;=2,
SUMPRODUCT(INDEX($AV$71:$AX$75,,$AI599), INDEX($AY$71:$BE$75,,$AH599), 1 / ($BF$71:$BF$75*CO599 + (1-$BF$71:$BF$75)*CK599), N($AU$71:$AU$75&gt;$AM599)),
SUMPRODUCT(INDEX($AV$66:$AX$75,,$AI599), INDEX($AY$66:$BE$75,,$AH599), 1 / ($BG$66:$BG$75*CO599 + (1-$BG$66:$BG$75)*CK599), N($AU$66:$AU$75&gt;$AM599))
) / 1000</f>
        <v>0</v>
      </c>
      <c r="CQ599" s="231">
        <f t="shared" si="744"/>
        <v>25</v>
      </c>
      <c r="CR599" s="229">
        <f t="shared" si="728"/>
        <v>38</v>
      </c>
      <c r="CS599" s="234">
        <f t="shared" si="729"/>
        <v>4.0666935483870965</v>
      </c>
      <c r="CT599" s="234" cm="1">
        <f t="array" ref="CT599">$BM599 * IF($AH599&lt;=2,
SUMPRODUCT(INDEX($AV$66:$AX$70,,$AI599), INDEX($AY$66:$BE$70,,$AH599), 1 / ($BF$66:$BF$70*CS599 + (1-$BF$66:$BF$70)*CO599), N($AU$66:$AU$70&gt;$AM599)),
SUMPRODUCT(INDEX($AV$56:$AX$65,,$AI599), INDEX($AY$56:$BE$65,,$AH599), 1 / ($BG$56:$BG$65*CS599 + (1-$BG$56:$BG$65)*CO599), N($AU$56:$AU$65&gt;$AM599))
) / 1000</f>
        <v>0</v>
      </c>
      <c r="CU599" s="231">
        <f t="shared" si="745"/>
        <v>20</v>
      </c>
      <c r="CV599" s="229">
        <f t="shared" si="730"/>
        <v>33</v>
      </c>
      <c r="CW599" s="234">
        <f t="shared" si="731"/>
        <v>4.8487499999999999</v>
      </c>
      <c r="CX599" s="234" cm="1">
        <f t="array" ref="CX599">$BM599 * IF($AH599&lt;=2,
SUMPRODUCT(INDEX($AV$61:$AX$65,,$AI599), INDEX($AY$61:$BE$65,,$AH599), 1 / ($BF$61:$BF$65*CW599 + (1-$BF$61:$BF$65)*CS599), N($AU$61:$AU$65&gt;$AM599)),
SUMPRODUCT(INDEX($AV$46:$AX$55,,$AI599), INDEX($AY$46:$BE$55,,$AH599), 1 / ($BG$46:$BG$55*CW599 + (1-$BG$46:$BG$55)*CS599), N($AU$46:$AU$55&gt;$AM599))
) / 1000</f>
        <v>0</v>
      </c>
      <c r="CY599" s="234" cm="1">
        <f t="array" ref="CY599">$BM599 * IF($AH599&lt;=2,
SUMPRODUCT(INDEX($AV$22:$AX$60,,$AI599), INDEX($AY$22:$BE$60,,$AH599), 1 / ($BF$22:$BF$60*CW599), N($AU$22:$AU$60&gt;$AM599)),
SUMPRODUCT(INDEX($AV$22:$AX$45,,$AI599), INDEX($AY$22:$BE$45,,$AH599), 1 / ($BG$22:$BG$45*CW599), N($AU$22:$AU$45&gt;$AM599))
) / 1000</f>
        <v>0</v>
      </c>
      <c r="CZ599" s="229">
        <f t="shared" si="732"/>
        <v>0</v>
      </c>
      <c r="DA599" s="246"/>
    </row>
    <row r="600" spans="1:105" s="75" customFormat="1" ht="14.25" customHeight="1" x14ac:dyDescent="0.2">
      <c r="A600" s="230" t="b">
        <f t="shared" si="737"/>
        <v>0</v>
      </c>
      <c r="B600" s="253">
        <v>579</v>
      </c>
      <c r="C600" s="266"/>
      <c r="D600" s="266"/>
      <c r="E600" s="254"/>
      <c r="F600" s="255" t="str">
        <f>IF(ISBLANK(E600), "", VLOOKUP(E600, Z!$A$2:$C$4127, 3, FALSE))</f>
        <v/>
      </c>
      <c r="G600" s="256"/>
      <c r="H600" s="256"/>
      <c r="I600" s="256"/>
      <c r="J600" s="257"/>
      <c r="K600" s="258"/>
      <c r="L600" s="267"/>
      <c r="M600" s="268"/>
      <c r="N600" s="259" t="str" cm="1">
        <f t="array" ref="N600">IF($L600&gt;0, INDEX(Clean,1+AK600,$D$1), "")</f>
        <v/>
      </c>
      <c r="O600" s="260"/>
      <c r="P600" s="260"/>
      <c r="Q600" s="261"/>
      <c r="R600" s="264">
        <f t="shared" si="708"/>
        <v>0</v>
      </c>
      <c r="S600" s="259" t="str" cm="1">
        <f t="array" ref="S600">IF($L600&gt;0, INDEX(Clean,1+AL600,$D$1), "")</f>
        <v/>
      </c>
      <c r="T600" s="260"/>
      <c r="U600" s="260"/>
      <c r="V600" s="261"/>
      <c r="W600" s="267"/>
      <c r="X600" s="267"/>
      <c r="Y600" s="257"/>
      <c r="Z600" s="264">
        <f t="shared" si="709"/>
        <v>0</v>
      </c>
      <c r="AA600" s="269"/>
      <c r="AB600" s="266"/>
      <c r="AC600" s="254"/>
      <c r="AD600" s="255" t="str">
        <f>IF(ISBLANK(AC600), "", VLOOKUP(AC600, Z!$A$2:$C$4127, 3, FALSE))</f>
        <v/>
      </c>
      <c r="AE600" s="270"/>
      <c r="AF600" s="265">
        <f t="shared" si="710"/>
        <v>0</v>
      </c>
      <c r="AG600" s="246"/>
      <c r="AH600" s="228">
        <f t="shared" si="733"/>
        <v>1</v>
      </c>
      <c r="AI600" s="228">
        <f t="shared" si="734"/>
        <v>1</v>
      </c>
      <c r="AJ600" s="228">
        <f t="shared" si="735"/>
        <v>0</v>
      </c>
      <c r="AK600" s="228">
        <v>0</v>
      </c>
      <c r="AL600" s="228">
        <v>0</v>
      </c>
      <c r="AM600" s="228">
        <f t="shared" si="711"/>
        <v>-100</v>
      </c>
      <c r="AN600" s="228" cm="1">
        <f t="array" ref="AN600">IF(ISBLANK(G600), 1, IFERROR(MATCH(G600, INDEX(Kat,,1), 0), IFERROR(MATCH(Kat, INDEX(Use,,2), 0), MATCH(Kat, INDEX(Use,,3), 0))))</f>
        <v>1</v>
      </c>
      <c r="AO600" s="246"/>
      <c r="AP600" s="228" cm="1">
        <f t="array" ref="AP600">IF(W600&gt;0, INDEX(Kat, AN600,4), 0)</f>
        <v>0</v>
      </c>
      <c r="AQ600" s="228">
        <f t="shared" si="736"/>
        <v>0</v>
      </c>
      <c r="AR600" s="228" cm="1">
        <f t="array" ref="AR600">IF(X600&gt;0, INDEX(Kat, $AN600, 4+AQ600), 0)</f>
        <v>0</v>
      </c>
      <c r="AS600" s="228" cm="1">
        <f t="array" ref="AS600">IF(X600&gt;0, INDEX(Kat, $AN600, 9+AQ600), 0)</f>
        <v>0</v>
      </c>
      <c r="AT600" s="246"/>
      <c r="AU600" s="262"/>
      <c r="AV600" s="262"/>
      <c r="AW600" s="263"/>
      <c r="AX600" s="263"/>
      <c r="AY600" s="263"/>
      <c r="AZ600" s="263"/>
      <c r="BA600" s="263"/>
      <c r="BB600" s="263"/>
      <c r="BC600" s="263"/>
      <c r="BD600" s="263"/>
      <c r="BE600" s="263"/>
      <c r="BF600" s="263"/>
      <c r="BG600" s="263"/>
      <c r="BH600" s="246"/>
      <c r="BI600" s="228" cm="1">
        <f t="array" ref="BI600">INDEX(Use, $AH600, 4)</f>
        <v>7</v>
      </c>
      <c r="BJ600" s="228">
        <f t="shared" si="712"/>
        <v>32</v>
      </c>
      <c r="BK600" s="228">
        <f t="shared" si="738"/>
        <v>13</v>
      </c>
      <c r="BL600" s="228">
        <f t="shared" si="739"/>
        <v>0</v>
      </c>
      <c r="BM600" s="233" cm="1">
        <f t="array" ref="BM600">L600/IF($M600&gt;0, INDEX($AY$22:$BE$76, $M600+20, $AH600), 1)</f>
        <v>0</v>
      </c>
      <c r="BN600" s="229">
        <f t="shared" si="713"/>
        <v>0</v>
      </c>
      <c r="BO600" s="228">
        <v>35</v>
      </c>
      <c r="BP600" s="229">
        <f t="shared" si="714"/>
        <v>48</v>
      </c>
      <c r="BQ600" s="234">
        <f t="shared" si="715"/>
        <v>3.0748170731707316</v>
      </c>
      <c r="BR600" s="234" cm="1">
        <f t="array" ref="BR600">$BM600 * SUMPRODUCT(INDEX($AV$76:$AX$81,,$AI600),INDEX($AY$76:$BE$81,,$AH600), N($AU$76:$AU$81&gt;$AM600)) / BQ600 / 1000</f>
        <v>0</v>
      </c>
      <c r="BS600" s="231">
        <f t="shared" si="740"/>
        <v>30</v>
      </c>
      <c r="BT600" s="229">
        <f t="shared" si="716"/>
        <v>43</v>
      </c>
      <c r="BU600" s="234">
        <f t="shared" si="717"/>
        <v>3.5018750000000001</v>
      </c>
      <c r="BV600" s="234" cm="1">
        <f t="array" ref="BV600">$BM600 * IF($AH600&lt;=2,
SUMPRODUCT(INDEX($AV$71:$AX$75,,$AI600), INDEX($AY$71:$BE$75,,$AH600), 1 / ($BF$71:$BF$75*BU600 + (1-$BF$71:$BF$75)*BQ600), N($AU$71:$AU$75&gt;$AM600)),
SUMPRODUCT(INDEX($AV$66:$AX$75,,$AI600), INDEX($AY$66:$BE$75,,$AH600), 1 / ($BG$66:$BG$75*BU600 + (1-$BG$66:$BG$75)*BQ600), N($AU$66:$AU$75&gt;$AM600))
) / 1000</f>
        <v>0</v>
      </c>
      <c r="BW600" s="231">
        <f t="shared" si="741"/>
        <v>25</v>
      </c>
      <c r="BX600" s="229">
        <f t="shared" si="718"/>
        <v>38</v>
      </c>
      <c r="BY600" s="234">
        <f t="shared" si="719"/>
        <v>4.0666935483870965</v>
      </c>
      <c r="BZ600" s="234" cm="1">
        <f t="array" ref="BZ600">$BM600 * IF($AH600&lt;=2,
SUMPRODUCT(INDEX($AV$66:$AX$70,,$AI600), INDEX($AY$66:$BE$70,,$AH600), 1 / ($BF$66:$BF$70*BY600 + (1-$BF$66:$BF$70)*BU600), N($AU$66:$AU$70&gt;$AM600)),
SUMPRODUCT(INDEX($AV$56:$AX$65,,$AI600), INDEX($AY$56:$BE$65,,$AH600), 1 / ($BG$56:$BG$65*BY600 + (1-$BG$56:$BG$65)*BU600), N($AU$56:$AU$65&gt;$AM600))
) / 1000</f>
        <v>0</v>
      </c>
      <c r="CA600" s="231">
        <f t="shared" si="742"/>
        <v>20</v>
      </c>
      <c r="CB600" s="229">
        <f t="shared" si="720"/>
        <v>33</v>
      </c>
      <c r="CC600" s="234">
        <f t="shared" si="721"/>
        <v>4.8487499999999999</v>
      </c>
      <c r="CD600" s="234" cm="1">
        <f t="array" ref="CD600">$BM600 * IF($AH600&lt;=2,
SUMPRODUCT(INDEX($AV$61:$AX$65,,$AI600), INDEX($AY$61:$BE$65,,$AH600), 1 / ($BF$61:$BF$65*CC600 + (1-$BF$61:$BF$65)*BY600), N($AU$61:$AU$65&gt;$AM600)),
SUMPRODUCT(INDEX($AV$46:$AX$55,,$AI600), INDEX($AY$46:$BE$55,,$AH600), 1 / ($BG$46:$BG$55*CC600 + (1-$BG$46:$BG$55)*BY600), N($AU$46:$AU$55&gt;$AM600))
) / 1000</f>
        <v>0</v>
      </c>
      <c r="CE600" s="234" cm="1">
        <f t="array" ref="CE600">$BM600 * IF($AH600&lt;=2,
SUMPRODUCT(INDEX($AV$22:$AX$60,,$AI600), INDEX($AY$22:$BE$60,,$AH600), 1 / ($BF$22:$BF$60*CC600), N($AU$22:$AU$60&gt;$AM600)),
SUMPRODUCT(INDEX($AV$22:$AX$45,,$AI600), INDEX($AY$22:$BE$45,,$AH600), 1 / ($BG$22:$BG$45*CC600), N($AU$22:$AU$45&gt;$AM600))
) / 1000</f>
        <v>0</v>
      </c>
      <c r="CF600" s="229">
        <f t="shared" si="722"/>
        <v>0</v>
      </c>
      <c r="CG600" s="246"/>
      <c r="CH600" s="229">
        <f t="shared" si="723"/>
        <v>0</v>
      </c>
      <c r="CI600" s="228">
        <v>35</v>
      </c>
      <c r="CJ600" s="229">
        <f t="shared" si="724"/>
        <v>48</v>
      </c>
      <c r="CK600" s="234">
        <f t="shared" si="725"/>
        <v>3.0748170731707316</v>
      </c>
      <c r="CL600" s="234" cm="1">
        <f t="array" ref="CL600">$BM600 * SUMPRODUCT(INDEX($AV$76:$AX$81,,$AI600),INDEX($AY$76:$BE$81,,$AH600), N($AU$76:$AU$81&gt;$AM600)) / CK600 / 1000</f>
        <v>0</v>
      </c>
      <c r="CM600" s="231">
        <f t="shared" si="743"/>
        <v>30</v>
      </c>
      <c r="CN600" s="229">
        <f t="shared" si="726"/>
        <v>43</v>
      </c>
      <c r="CO600" s="234">
        <f t="shared" si="727"/>
        <v>3.5018750000000001</v>
      </c>
      <c r="CP600" s="234" cm="1">
        <f t="array" ref="CP600">$BM600 * IF($AH600&lt;=2,
SUMPRODUCT(INDEX($AV$71:$AX$75,,$AI600), INDEX($AY$71:$BE$75,,$AH600), 1 / ($BF$71:$BF$75*CO600 + (1-$BF$71:$BF$75)*CK600), N($AU$71:$AU$75&gt;$AM600)),
SUMPRODUCT(INDEX($AV$66:$AX$75,,$AI600), INDEX($AY$66:$BE$75,,$AH600), 1 / ($BG$66:$BG$75*CO600 + (1-$BG$66:$BG$75)*CK600), N($AU$66:$AU$75&gt;$AM600))
) / 1000</f>
        <v>0</v>
      </c>
      <c r="CQ600" s="231">
        <f t="shared" si="744"/>
        <v>25</v>
      </c>
      <c r="CR600" s="229">
        <f t="shared" si="728"/>
        <v>38</v>
      </c>
      <c r="CS600" s="234">
        <f t="shared" si="729"/>
        <v>4.0666935483870965</v>
      </c>
      <c r="CT600" s="234" cm="1">
        <f t="array" ref="CT600">$BM600 * IF($AH600&lt;=2,
SUMPRODUCT(INDEX($AV$66:$AX$70,,$AI600), INDEX($AY$66:$BE$70,,$AH600), 1 / ($BF$66:$BF$70*CS600 + (1-$BF$66:$BF$70)*CO600), N($AU$66:$AU$70&gt;$AM600)),
SUMPRODUCT(INDEX($AV$56:$AX$65,,$AI600), INDEX($AY$56:$BE$65,,$AH600), 1 / ($BG$56:$BG$65*CS600 + (1-$BG$56:$BG$65)*CO600), N($AU$56:$AU$65&gt;$AM600))
) / 1000</f>
        <v>0</v>
      </c>
      <c r="CU600" s="231">
        <f t="shared" si="745"/>
        <v>20</v>
      </c>
      <c r="CV600" s="229">
        <f t="shared" si="730"/>
        <v>33</v>
      </c>
      <c r="CW600" s="234">
        <f t="shared" si="731"/>
        <v>4.8487499999999999</v>
      </c>
      <c r="CX600" s="234" cm="1">
        <f t="array" ref="CX600">$BM600 * IF($AH600&lt;=2,
SUMPRODUCT(INDEX($AV$61:$AX$65,,$AI600), INDEX($AY$61:$BE$65,,$AH600), 1 / ($BF$61:$BF$65*CW600 + (1-$BF$61:$BF$65)*CS600), N($AU$61:$AU$65&gt;$AM600)),
SUMPRODUCT(INDEX($AV$46:$AX$55,,$AI600), INDEX($AY$46:$BE$55,,$AH600), 1 / ($BG$46:$BG$55*CW600 + (1-$BG$46:$BG$55)*CS600), N($AU$46:$AU$55&gt;$AM600))
) / 1000</f>
        <v>0</v>
      </c>
      <c r="CY600" s="234" cm="1">
        <f t="array" ref="CY600">$BM600 * IF($AH600&lt;=2,
SUMPRODUCT(INDEX($AV$22:$AX$60,,$AI600), INDEX($AY$22:$BE$60,,$AH600), 1 / ($BF$22:$BF$60*CW600), N($AU$22:$AU$60&gt;$AM600)),
SUMPRODUCT(INDEX($AV$22:$AX$45,,$AI600), INDEX($AY$22:$BE$45,,$AH600), 1 / ($BG$22:$BG$45*CW600), N($AU$22:$AU$45&gt;$AM600))
) / 1000</f>
        <v>0</v>
      </c>
      <c r="CZ600" s="229">
        <f t="shared" si="732"/>
        <v>0</v>
      </c>
      <c r="DA600" s="246"/>
    </row>
    <row r="601" spans="1:105" s="75" customFormat="1" ht="14.25" customHeight="1" x14ac:dyDescent="0.2">
      <c r="A601" s="230" t="b">
        <f t="shared" si="737"/>
        <v>0</v>
      </c>
      <c r="B601" s="253">
        <v>580</v>
      </c>
      <c r="C601" s="266"/>
      <c r="D601" s="266"/>
      <c r="E601" s="254"/>
      <c r="F601" s="255" t="str">
        <f>IF(ISBLANK(E601), "", VLOOKUP(E601, Z!$A$2:$C$4127, 3, FALSE))</f>
        <v/>
      </c>
      <c r="G601" s="256"/>
      <c r="H601" s="256"/>
      <c r="I601" s="256"/>
      <c r="J601" s="257"/>
      <c r="K601" s="258"/>
      <c r="L601" s="267"/>
      <c r="M601" s="268"/>
      <c r="N601" s="259" t="str" cm="1">
        <f t="array" ref="N601">IF($L601&gt;0, INDEX(Clean,1+AK601,$D$1), "")</f>
        <v/>
      </c>
      <c r="O601" s="260"/>
      <c r="P601" s="260"/>
      <c r="Q601" s="261"/>
      <c r="R601" s="264">
        <f t="shared" si="708"/>
        <v>0</v>
      </c>
      <c r="S601" s="259" t="str" cm="1">
        <f t="array" ref="S601">IF($L601&gt;0, INDEX(Clean,1+AL601,$D$1), "")</f>
        <v/>
      </c>
      <c r="T601" s="260"/>
      <c r="U601" s="260"/>
      <c r="V601" s="261"/>
      <c r="W601" s="267"/>
      <c r="X601" s="267"/>
      <c r="Y601" s="257"/>
      <c r="Z601" s="264">
        <f t="shared" si="709"/>
        <v>0</v>
      </c>
      <c r="AA601" s="269"/>
      <c r="AB601" s="266"/>
      <c r="AC601" s="254"/>
      <c r="AD601" s="255" t="str">
        <f>IF(ISBLANK(AC601), "", VLOOKUP(AC601, Z!$A$2:$C$4127, 3, FALSE))</f>
        <v/>
      </c>
      <c r="AE601" s="270"/>
      <c r="AF601" s="265">
        <f t="shared" si="710"/>
        <v>0</v>
      </c>
      <c r="AG601" s="246"/>
      <c r="AH601" s="228">
        <f t="shared" si="733"/>
        <v>1</v>
      </c>
      <c r="AI601" s="228">
        <f t="shared" si="734"/>
        <v>1</v>
      </c>
      <c r="AJ601" s="228">
        <f t="shared" si="735"/>
        <v>0</v>
      </c>
      <c r="AK601" s="228">
        <v>0</v>
      </c>
      <c r="AL601" s="228">
        <v>0</v>
      </c>
      <c r="AM601" s="228">
        <f t="shared" si="711"/>
        <v>-100</v>
      </c>
      <c r="AN601" s="228" cm="1">
        <f t="array" ref="AN601">IF(ISBLANK(G601), 1, IFERROR(MATCH(G601, INDEX(Kat,,1), 0), IFERROR(MATCH(Kat, INDEX(Use,,2), 0), MATCH(Kat, INDEX(Use,,3), 0))))</f>
        <v>1</v>
      </c>
      <c r="AO601" s="246"/>
      <c r="AP601" s="228" cm="1">
        <f t="array" ref="AP601">IF(W601&gt;0, INDEX(Kat, AN601,4), 0)</f>
        <v>0</v>
      </c>
      <c r="AQ601" s="228">
        <f t="shared" si="736"/>
        <v>0</v>
      </c>
      <c r="AR601" s="228" cm="1">
        <f t="array" ref="AR601">IF(X601&gt;0, INDEX(Kat, $AN601, 4+AQ601), 0)</f>
        <v>0</v>
      </c>
      <c r="AS601" s="228" cm="1">
        <f t="array" ref="AS601">IF(X601&gt;0, INDEX(Kat, $AN601, 9+AQ601), 0)</f>
        <v>0</v>
      </c>
      <c r="AT601" s="246"/>
      <c r="AU601" s="262"/>
      <c r="AV601" s="262"/>
      <c r="AW601" s="263"/>
      <c r="AX601" s="263"/>
      <c r="AY601" s="263"/>
      <c r="AZ601" s="263"/>
      <c r="BA601" s="263"/>
      <c r="BB601" s="263"/>
      <c r="BC601" s="263"/>
      <c r="BD601" s="263"/>
      <c r="BE601" s="263"/>
      <c r="BF601" s="263"/>
      <c r="BG601" s="263"/>
      <c r="BH601" s="246"/>
      <c r="BI601" s="228" cm="1">
        <f t="array" ref="BI601">INDEX(Use, $AH601, 4)</f>
        <v>7</v>
      </c>
      <c r="BJ601" s="228">
        <f t="shared" si="712"/>
        <v>32</v>
      </c>
      <c r="BK601" s="228">
        <f t="shared" si="738"/>
        <v>13</v>
      </c>
      <c r="BL601" s="228">
        <f t="shared" si="739"/>
        <v>0</v>
      </c>
      <c r="BM601" s="233" cm="1">
        <f t="array" ref="BM601">L601/IF($M601&gt;0, INDEX($AY$22:$BE$76, $M601+20, $AH601), 1)</f>
        <v>0</v>
      </c>
      <c r="BN601" s="229">
        <f t="shared" si="713"/>
        <v>0</v>
      </c>
      <c r="BO601" s="228">
        <v>35</v>
      </c>
      <c r="BP601" s="229">
        <f t="shared" si="714"/>
        <v>48</v>
      </c>
      <c r="BQ601" s="234">
        <f t="shared" si="715"/>
        <v>3.0748170731707316</v>
      </c>
      <c r="BR601" s="234" cm="1">
        <f t="array" ref="BR601">$BM601 * SUMPRODUCT(INDEX($AV$76:$AX$81,,$AI601),INDEX($AY$76:$BE$81,,$AH601), N($AU$76:$AU$81&gt;$AM601)) / BQ601 / 1000</f>
        <v>0</v>
      </c>
      <c r="BS601" s="231">
        <f t="shared" si="740"/>
        <v>30</v>
      </c>
      <c r="BT601" s="229">
        <f t="shared" si="716"/>
        <v>43</v>
      </c>
      <c r="BU601" s="234">
        <f t="shared" si="717"/>
        <v>3.5018750000000001</v>
      </c>
      <c r="BV601" s="234" cm="1">
        <f t="array" ref="BV601">$BM601 * IF($AH601&lt;=2,
SUMPRODUCT(INDEX($AV$71:$AX$75,,$AI601), INDEX($AY$71:$BE$75,,$AH601), 1 / ($BF$71:$BF$75*BU601 + (1-$BF$71:$BF$75)*BQ601), N($AU$71:$AU$75&gt;$AM601)),
SUMPRODUCT(INDEX($AV$66:$AX$75,,$AI601), INDEX($AY$66:$BE$75,,$AH601), 1 / ($BG$66:$BG$75*BU601 + (1-$BG$66:$BG$75)*BQ601), N($AU$66:$AU$75&gt;$AM601))
) / 1000</f>
        <v>0</v>
      </c>
      <c r="BW601" s="231">
        <f t="shared" si="741"/>
        <v>25</v>
      </c>
      <c r="BX601" s="229">
        <f t="shared" si="718"/>
        <v>38</v>
      </c>
      <c r="BY601" s="234">
        <f t="shared" si="719"/>
        <v>4.0666935483870965</v>
      </c>
      <c r="BZ601" s="234" cm="1">
        <f t="array" ref="BZ601">$BM601 * IF($AH601&lt;=2,
SUMPRODUCT(INDEX($AV$66:$AX$70,,$AI601), INDEX($AY$66:$BE$70,,$AH601), 1 / ($BF$66:$BF$70*BY601 + (1-$BF$66:$BF$70)*BU601), N($AU$66:$AU$70&gt;$AM601)),
SUMPRODUCT(INDEX($AV$56:$AX$65,,$AI601), INDEX($AY$56:$BE$65,,$AH601), 1 / ($BG$56:$BG$65*BY601 + (1-$BG$56:$BG$65)*BU601), N($AU$56:$AU$65&gt;$AM601))
) / 1000</f>
        <v>0</v>
      </c>
      <c r="CA601" s="231">
        <f t="shared" si="742"/>
        <v>20</v>
      </c>
      <c r="CB601" s="229">
        <f t="shared" si="720"/>
        <v>33</v>
      </c>
      <c r="CC601" s="234">
        <f t="shared" si="721"/>
        <v>4.8487499999999999</v>
      </c>
      <c r="CD601" s="234" cm="1">
        <f t="array" ref="CD601">$BM601 * IF($AH601&lt;=2,
SUMPRODUCT(INDEX($AV$61:$AX$65,,$AI601), INDEX($AY$61:$BE$65,,$AH601), 1 / ($BF$61:$BF$65*CC601 + (1-$BF$61:$BF$65)*BY601), N($AU$61:$AU$65&gt;$AM601)),
SUMPRODUCT(INDEX($AV$46:$AX$55,,$AI601), INDEX($AY$46:$BE$55,,$AH601), 1 / ($BG$46:$BG$55*CC601 + (1-$BG$46:$BG$55)*BY601), N($AU$46:$AU$55&gt;$AM601))
) / 1000</f>
        <v>0</v>
      </c>
      <c r="CE601" s="234" cm="1">
        <f t="array" ref="CE601">$BM601 * IF($AH601&lt;=2,
SUMPRODUCT(INDEX($AV$22:$AX$60,,$AI601), INDEX($AY$22:$BE$60,,$AH601), 1 / ($BF$22:$BF$60*CC601), N($AU$22:$AU$60&gt;$AM601)),
SUMPRODUCT(INDEX($AV$22:$AX$45,,$AI601), INDEX($AY$22:$BE$45,,$AH601), 1 / ($BG$22:$BG$45*CC601), N($AU$22:$AU$45&gt;$AM601))
) / 1000</f>
        <v>0</v>
      </c>
      <c r="CF601" s="229">
        <f t="shared" si="722"/>
        <v>0</v>
      </c>
      <c r="CG601" s="246"/>
      <c r="CH601" s="229">
        <f t="shared" si="723"/>
        <v>0</v>
      </c>
      <c r="CI601" s="228">
        <v>35</v>
      </c>
      <c r="CJ601" s="229">
        <f t="shared" si="724"/>
        <v>48</v>
      </c>
      <c r="CK601" s="234">
        <f t="shared" si="725"/>
        <v>3.0748170731707316</v>
      </c>
      <c r="CL601" s="234" cm="1">
        <f t="array" ref="CL601">$BM601 * SUMPRODUCT(INDEX($AV$76:$AX$81,,$AI601),INDEX($AY$76:$BE$81,,$AH601), N($AU$76:$AU$81&gt;$AM601)) / CK601 / 1000</f>
        <v>0</v>
      </c>
      <c r="CM601" s="231">
        <f t="shared" si="743"/>
        <v>30</v>
      </c>
      <c r="CN601" s="229">
        <f t="shared" si="726"/>
        <v>43</v>
      </c>
      <c r="CO601" s="234">
        <f t="shared" si="727"/>
        <v>3.5018750000000001</v>
      </c>
      <c r="CP601" s="234" cm="1">
        <f t="array" ref="CP601">$BM601 * IF($AH601&lt;=2,
SUMPRODUCT(INDEX($AV$71:$AX$75,,$AI601), INDEX($AY$71:$BE$75,,$AH601), 1 / ($BF$71:$BF$75*CO601 + (1-$BF$71:$BF$75)*CK601), N($AU$71:$AU$75&gt;$AM601)),
SUMPRODUCT(INDEX($AV$66:$AX$75,,$AI601), INDEX($AY$66:$BE$75,,$AH601), 1 / ($BG$66:$BG$75*CO601 + (1-$BG$66:$BG$75)*CK601), N($AU$66:$AU$75&gt;$AM601))
) / 1000</f>
        <v>0</v>
      </c>
      <c r="CQ601" s="231">
        <f t="shared" si="744"/>
        <v>25</v>
      </c>
      <c r="CR601" s="229">
        <f t="shared" si="728"/>
        <v>38</v>
      </c>
      <c r="CS601" s="234">
        <f t="shared" si="729"/>
        <v>4.0666935483870965</v>
      </c>
      <c r="CT601" s="234" cm="1">
        <f t="array" ref="CT601">$BM601 * IF($AH601&lt;=2,
SUMPRODUCT(INDEX($AV$66:$AX$70,,$AI601), INDEX($AY$66:$BE$70,,$AH601), 1 / ($BF$66:$BF$70*CS601 + (1-$BF$66:$BF$70)*CO601), N($AU$66:$AU$70&gt;$AM601)),
SUMPRODUCT(INDEX($AV$56:$AX$65,,$AI601), INDEX($AY$56:$BE$65,,$AH601), 1 / ($BG$56:$BG$65*CS601 + (1-$BG$56:$BG$65)*CO601), N($AU$56:$AU$65&gt;$AM601))
) / 1000</f>
        <v>0</v>
      </c>
      <c r="CU601" s="231">
        <f t="shared" si="745"/>
        <v>20</v>
      </c>
      <c r="CV601" s="229">
        <f t="shared" si="730"/>
        <v>33</v>
      </c>
      <c r="CW601" s="234">
        <f t="shared" si="731"/>
        <v>4.8487499999999999</v>
      </c>
      <c r="CX601" s="234" cm="1">
        <f t="array" ref="CX601">$BM601 * IF($AH601&lt;=2,
SUMPRODUCT(INDEX($AV$61:$AX$65,,$AI601), INDEX($AY$61:$BE$65,,$AH601), 1 / ($BF$61:$BF$65*CW601 + (1-$BF$61:$BF$65)*CS601), N($AU$61:$AU$65&gt;$AM601)),
SUMPRODUCT(INDEX($AV$46:$AX$55,,$AI601), INDEX($AY$46:$BE$55,,$AH601), 1 / ($BG$46:$BG$55*CW601 + (1-$BG$46:$BG$55)*CS601), N($AU$46:$AU$55&gt;$AM601))
) / 1000</f>
        <v>0</v>
      </c>
      <c r="CY601" s="234" cm="1">
        <f t="array" ref="CY601">$BM601 * IF($AH601&lt;=2,
SUMPRODUCT(INDEX($AV$22:$AX$60,,$AI601), INDEX($AY$22:$BE$60,,$AH601), 1 / ($BF$22:$BF$60*CW601), N($AU$22:$AU$60&gt;$AM601)),
SUMPRODUCT(INDEX($AV$22:$AX$45,,$AI601), INDEX($AY$22:$BE$45,,$AH601), 1 / ($BG$22:$BG$45*CW601), N($AU$22:$AU$45&gt;$AM601))
) / 1000</f>
        <v>0</v>
      </c>
      <c r="CZ601" s="229">
        <f t="shared" si="732"/>
        <v>0</v>
      </c>
      <c r="DA601" s="246"/>
    </row>
    <row r="602" spans="1:105" s="75" customFormat="1" ht="14.25" customHeight="1" x14ac:dyDescent="0.2">
      <c r="A602" s="230" t="b">
        <f t="shared" si="737"/>
        <v>0</v>
      </c>
      <c r="B602" s="253">
        <v>581</v>
      </c>
      <c r="C602" s="266"/>
      <c r="D602" s="266"/>
      <c r="E602" s="254"/>
      <c r="F602" s="255" t="str">
        <f>IF(ISBLANK(E602), "", VLOOKUP(E602, Z!$A$2:$C$4127, 3, FALSE))</f>
        <v/>
      </c>
      <c r="G602" s="256"/>
      <c r="H602" s="256"/>
      <c r="I602" s="256"/>
      <c r="J602" s="257"/>
      <c r="K602" s="258"/>
      <c r="L602" s="267"/>
      <c r="M602" s="268"/>
      <c r="N602" s="259" t="str" cm="1">
        <f t="array" ref="N602">IF($L602&gt;0, INDEX(Clean,1+AK602,$D$1), "")</f>
        <v/>
      </c>
      <c r="O602" s="260"/>
      <c r="P602" s="260"/>
      <c r="Q602" s="261"/>
      <c r="R602" s="264">
        <f t="shared" si="708"/>
        <v>0</v>
      </c>
      <c r="S602" s="259" t="str" cm="1">
        <f t="array" ref="S602">IF($L602&gt;0, INDEX(Clean,1+AL602,$D$1), "")</f>
        <v/>
      </c>
      <c r="T602" s="260"/>
      <c r="U602" s="260"/>
      <c r="V602" s="261"/>
      <c r="W602" s="267"/>
      <c r="X602" s="267"/>
      <c r="Y602" s="257"/>
      <c r="Z602" s="264">
        <f t="shared" si="709"/>
        <v>0</v>
      </c>
      <c r="AA602" s="269"/>
      <c r="AB602" s="266"/>
      <c r="AC602" s="254"/>
      <c r="AD602" s="255" t="str">
        <f>IF(ISBLANK(AC602), "", VLOOKUP(AC602, Z!$A$2:$C$4127, 3, FALSE))</f>
        <v/>
      </c>
      <c r="AE602" s="270"/>
      <c r="AF602" s="265">
        <f t="shared" si="710"/>
        <v>0</v>
      </c>
      <c r="AG602" s="246"/>
      <c r="AH602" s="228">
        <f t="shared" si="733"/>
        <v>1</v>
      </c>
      <c r="AI602" s="228">
        <f t="shared" si="734"/>
        <v>1</v>
      </c>
      <c r="AJ602" s="228">
        <f t="shared" si="735"/>
        <v>0</v>
      </c>
      <c r="AK602" s="228">
        <v>0</v>
      </c>
      <c r="AL602" s="228">
        <v>0</v>
      </c>
      <c r="AM602" s="228">
        <f t="shared" si="711"/>
        <v>-100</v>
      </c>
      <c r="AN602" s="228" cm="1">
        <f t="array" ref="AN602">IF(ISBLANK(G602), 1, IFERROR(MATCH(G602, INDEX(Kat,,1), 0), IFERROR(MATCH(Kat, INDEX(Use,,2), 0), MATCH(Kat, INDEX(Use,,3), 0))))</f>
        <v>1</v>
      </c>
      <c r="AO602" s="246"/>
      <c r="AP602" s="228" cm="1">
        <f t="array" ref="AP602">IF(W602&gt;0, INDEX(Kat, AN602,4), 0)</f>
        <v>0</v>
      </c>
      <c r="AQ602" s="228">
        <f t="shared" si="736"/>
        <v>0</v>
      </c>
      <c r="AR602" s="228" cm="1">
        <f t="array" ref="AR602">IF(X602&gt;0, INDEX(Kat, $AN602, 4+AQ602), 0)</f>
        <v>0</v>
      </c>
      <c r="AS602" s="228" cm="1">
        <f t="array" ref="AS602">IF(X602&gt;0, INDEX(Kat, $AN602, 9+AQ602), 0)</f>
        <v>0</v>
      </c>
      <c r="AT602" s="246"/>
      <c r="AU602" s="262"/>
      <c r="AV602" s="262"/>
      <c r="AW602" s="263"/>
      <c r="AX602" s="263"/>
      <c r="AY602" s="263"/>
      <c r="AZ602" s="263"/>
      <c r="BA602" s="263"/>
      <c r="BB602" s="263"/>
      <c r="BC602" s="263"/>
      <c r="BD602" s="263"/>
      <c r="BE602" s="263"/>
      <c r="BF602" s="263"/>
      <c r="BG602" s="263"/>
      <c r="BH602" s="246"/>
      <c r="BI602" s="228" cm="1">
        <f t="array" ref="BI602">INDEX(Use, $AH602, 4)</f>
        <v>7</v>
      </c>
      <c r="BJ602" s="228">
        <f t="shared" si="712"/>
        <v>32</v>
      </c>
      <c r="BK602" s="228">
        <f t="shared" si="738"/>
        <v>13</v>
      </c>
      <c r="BL602" s="228">
        <f t="shared" si="739"/>
        <v>0</v>
      </c>
      <c r="BM602" s="233" cm="1">
        <f t="array" ref="BM602">L602/IF($M602&gt;0, INDEX($AY$22:$BE$76, $M602+20, $AH602), 1)</f>
        <v>0</v>
      </c>
      <c r="BN602" s="229">
        <f t="shared" si="713"/>
        <v>0</v>
      </c>
      <c r="BO602" s="228">
        <v>35</v>
      </c>
      <c r="BP602" s="229">
        <f t="shared" si="714"/>
        <v>48</v>
      </c>
      <c r="BQ602" s="234">
        <f t="shared" si="715"/>
        <v>3.0748170731707316</v>
      </c>
      <c r="BR602" s="234" cm="1">
        <f t="array" ref="BR602">$BM602 * SUMPRODUCT(INDEX($AV$76:$AX$81,,$AI602),INDEX($AY$76:$BE$81,,$AH602), N($AU$76:$AU$81&gt;$AM602)) / BQ602 / 1000</f>
        <v>0</v>
      </c>
      <c r="BS602" s="231">
        <f t="shared" si="740"/>
        <v>30</v>
      </c>
      <c r="BT602" s="229">
        <f t="shared" si="716"/>
        <v>43</v>
      </c>
      <c r="BU602" s="234">
        <f t="shared" si="717"/>
        <v>3.5018750000000001</v>
      </c>
      <c r="BV602" s="234" cm="1">
        <f t="array" ref="BV602">$BM602 * IF($AH602&lt;=2,
SUMPRODUCT(INDEX($AV$71:$AX$75,,$AI602), INDEX($AY$71:$BE$75,,$AH602), 1 / ($BF$71:$BF$75*BU602 + (1-$BF$71:$BF$75)*BQ602), N($AU$71:$AU$75&gt;$AM602)),
SUMPRODUCT(INDEX($AV$66:$AX$75,,$AI602), INDEX($AY$66:$BE$75,,$AH602), 1 / ($BG$66:$BG$75*BU602 + (1-$BG$66:$BG$75)*BQ602), N($AU$66:$AU$75&gt;$AM602))
) / 1000</f>
        <v>0</v>
      </c>
      <c r="BW602" s="231">
        <f t="shared" si="741"/>
        <v>25</v>
      </c>
      <c r="BX602" s="229">
        <f t="shared" si="718"/>
        <v>38</v>
      </c>
      <c r="BY602" s="234">
        <f t="shared" si="719"/>
        <v>4.0666935483870965</v>
      </c>
      <c r="BZ602" s="234" cm="1">
        <f t="array" ref="BZ602">$BM602 * IF($AH602&lt;=2,
SUMPRODUCT(INDEX($AV$66:$AX$70,,$AI602), INDEX($AY$66:$BE$70,,$AH602), 1 / ($BF$66:$BF$70*BY602 + (1-$BF$66:$BF$70)*BU602), N($AU$66:$AU$70&gt;$AM602)),
SUMPRODUCT(INDEX($AV$56:$AX$65,,$AI602), INDEX($AY$56:$BE$65,,$AH602), 1 / ($BG$56:$BG$65*BY602 + (1-$BG$56:$BG$65)*BU602), N($AU$56:$AU$65&gt;$AM602))
) / 1000</f>
        <v>0</v>
      </c>
      <c r="CA602" s="231">
        <f t="shared" si="742"/>
        <v>20</v>
      </c>
      <c r="CB602" s="229">
        <f t="shared" si="720"/>
        <v>33</v>
      </c>
      <c r="CC602" s="234">
        <f t="shared" si="721"/>
        <v>4.8487499999999999</v>
      </c>
      <c r="CD602" s="234" cm="1">
        <f t="array" ref="CD602">$BM602 * IF($AH602&lt;=2,
SUMPRODUCT(INDEX($AV$61:$AX$65,,$AI602), INDEX($AY$61:$BE$65,,$AH602), 1 / ($BF$61:$BF$65*CC602 + (1-$BF$61:$BF$65)*BY602), N($AU$61:$AU$65&gt;$AM602)),
SUMPRODUCT(INDEX($AV$46:$AX$55,,$AI602), INDEX($AY$46:$BE$55,,$AH602), 1 / ($BG$46:$BG$55*CC602 + (1-$BG$46:$BG$55)*BY602), N($AU$46:$AU$55&gt;$AM602))
) / 1000</f>
        <v>0</v>
      </c>
      <c r="CE602" s="234" cm="1">
        <f t="array" ref="CE602">$BM602 * IF($AH602&lt;=2,
SUMPRODUCT(INDEX($AV$22:$AX$60,,$AI602), INDEX($AY$22:$BE$60,,$AH602), 1 / ($BF$22:$BF$60*CC602), N($AU$22:$AU$60&gt;$AM602)),
SUMPRODUCT(INDEX($AV$22:$AX$45,,$AI602), INDEX($AY$22:$BE$45,,$AH602), 1 / ($BG$22:$BG$45*CC602), N($AU$22:$AU$45&gt;$AM602))
) / 1000</f>
        <v>0</v>
      </c>
      <c r="CF602" s="229">
        <f t="shared" si="722"/>
        <v>0</v>
      </c>
      <c r="CG602" s="246"/>
      <c r="CH602" s="229">
        <f t="shared" si="723"/>
        <v>0</v>
      </c>
      <c r="CI602" s="228">
        <v>35</v>
      </c>
      <c r="CJ602" s="229">
        <f t="shared" si="724"/>
        <v>48</v>
      </c>
      <c r="CK602" s="234">
        <f t="shared" si="725"/>
        <v>3.0748170731707316</v>
      </c>
      <c r="CL602" s="234" cm="1">
        <f t="array" ref="CL602">$BM602 * SUMPRODUCT(INDEX($AV$76:$AX$81,,$AI602),INDEX($AY$76:$BE$81,,$AH602), N($AU$76:$AU$81&gt;$AM602)) / CK602 / 1000</f>
        <v>0</v>
      </c>
      <c r="CM602" s="231">
        <f t="shared" si="743"/>
        <v>30</v>
      </c>
      <c r="CN602" s="229">
        <f t="shared" si="726"/>
        <v>43</v>
      </c>
      <c r="CO602" s="234">
        <f t="shared" si="727"/>
        <v>3.5018750000000001</v>
      </c>
      <c r="CP602" s="234" cm="1">
        <f t="array" ref="CP602">$BM602 * IF($AH602&lt;=2,
SUMPRODUCT(INDEX($AV$71:$AX$75,,$AI602), INDEX($AY$71:$BE$75,,$AH602), 1 / ($BF$71:$BF$75*CO602 + (1-$BF$71:$BF$75)*CK602), N($AU$71:$AU$75&gt;$AM602)),
SUMPRODUCT(INDEX($AV$66:$AX$75,,$AI602), INDEX($AY$66:$BE$75,,$AH602), 1 / ($BG$66:$BG$75*CO602 + (1-$BG$66:$BG$75)*CK602), N($AU$66:$AU$75&gt;$AM602))
) / 1000</f>
        <v>0</v>
      </c>
      <c r="CQ602" s="231">
        <f t="shared" si="744"/>
        <v>25</v>
      </c>
      <c r="CR602" s="229">
        <f t="shared" si="728"/>
        <v>38</v>
      </c>
      <c r="CS602" s="234">
        <f t="shared" si="729"/>
        <v>4.0666935483870965</v>
      </c>
      <c r="CT602" s="234" cm="1">
        <f t="array" ref="CT602">$BM602 * IF($AH602&lt;=2,
SUMPRODUCT(INDEX($AV$66:$AX$70,,$AI602), INDEX($AY$66:$BE$70,,$AH602), 1 / ($BF$66:$BF$70*CS602 + (1-$BF$66:$BF$70)*CO602), N($AU$66:$AU$70&gt;$AM602)),
SUMPRODUCT(INDEX($AV$56:$AX$65,,$AI602), INDEX($AY$56:$BE$65,,$AH602), 1 / ($BG$56:$BG$65*CS602 + (1-$BG$56:$BG$65)*CO602), N($AU$56:$AU$65&gt;$AM602))
) / 1000</f>
        <v>0</v>
      </c>
      <c r="CU602" s="231">
        <f t="shared" si="745"/>
        <v>20</v>
      </c>
      <c r="CV602" s="229">
        <f t="shared" si="730"/>
        <v>33</v>
      </c>
      <c r="CW602" s="234">
        <f t="shared" si="731"/>
        <v>4.8487499999999999</v>
      </c>
      <c r="CX602" s="234" cm="1">
        <f t="array" ref="CX602">$BM602 * IF($AH602&lt;=2,
SUMPRODUCT(INDEX($AV$61:$AX$65,,$AI602), INDEX($AY$61:$BE$65,,$AH602), 1 / ($BF$61:$BF$65*CW602 + (1-$BF$61:$BF$65)*CS602), N($AU$61:$AU$65&gt;$AM602)),
SUMPRODUCT(INDEX($AV$46:$AX$55,,$AI602), INDEX($AY$46:$BE$55,,$AH602), 1 / ($BG$46:$BG$55*CW602 + (1-$BG$46:$BG$55)*CS602), N($AU$46:$AU$55&gt;$AM602))
) / 1000</f>
        <v>0</v>
      </c>
      <c r="CY602" s="234" cm="1">
        <f t="array" ref="CY602">$BM602 * IF($AH602&lt;=2,
SUMPRODUCT(INDEX($AV$22:$AX$60,,$AI602), INDEX($AY$22:$BE$60,,$AH602), 1 / ($BF$22:$BF$60*CW602), N($AU$22:$AU$60&gt;$AM602)),
SUMPRODUCT(INDEX($AV$22:$AX$45,,$AI602), INDEX($AY$22:$BE$45,,$AH602), 1 / ($BG$22:$BG$45*CW602), N($AU$22:$AU$45&gt;$AM602))
) / 1000</f>
        <v>0</v>
      </c>
      <c r="CZ602" s="229">
        <f t="shared" si="732"/>
        <v>0</v>
      </c>
      <c r="DA602" s="246"/>
    </row>
    <row r="603" spans="1:105" s="75" customFormat="1" ht="14.25" customHeight="1" x14ac:dyDescent="0.2">
      <c r="A603" s="230" t="b">
        <f t="shared" si="737"/>
        <v>0</v>
      </c>
      <c r="B603" s="253">
        <v>582</v>
      </c>
      <c r="C603" s="266"/>
      <c r="D603" s="266"/>
      <c r="E603" s="254"/>
      <c r="F603" s="255" t="str">
        <f>IF(ISBLANK(E603), "", VLOOKUP(E603, Z!$A$2:$C$4127, 3, FALSE))</f>
        <v/>
      </c>
      <c r="G603" s="256"/>
      <c r="H603" s="256"/>
      <c r="I603" s="256"/>
      <c r="J603" s="257"/>
      <c r="K603" s="258"/>
      <c r="L603" s="267"/>
      <c r="M603" s="268"/>
      <c r="N603" s="259" t="str" cm="1">
        <f t="array" ref="N603">IF($L603&gt;0, INDEX(Clean,1+AK603,$D$1), "")</f>
        <v/>
      </c>
      <c r="O603" s="260"/>
      <c r="P603" s="260"/>
      <c r="Q603" s="261"/>
      <c r="R603" s="264">
        <f t="shared" si="708"/>
        <v>0</v>
      </c>
      <c r="S603" s="259" t="str" cm="1">
        <f t="array" ref="S603">IF($L603&gt;0, INDEX(Clean,1+AL603,$D$1), "")</f>
        <v/>
      </c>
      <c r="T603" s="260"/>
      <c r="U603" s="260"/>
      <c r="V603" s="261"/>
      <c r="W603" s="267"/>
      <c r="X603" s="267"/>
      <c r="Y603" s="257"/>
      <c r="Z603" s="264">
        <f t="shared" si="709"/>
        <v>0</v>
      </c>
      <c r="AA603" s="269"/>
      <c r="AB603" s="266"/>
      <c r="AC603" s="254"/>
      <c r="AD603" s="255" t="str">
        <f>IF(ISBLANK(AC603), "", VLOOKUP(AC603, Z!$A$2:$C$4127, 3, FALSE))</f>
        <v/>
      </c>
      <c r="AE603" s="270"/>
      <c r="AF603" s="265">
        <f t="shared" si="710"/>
        <v>0</v>
      </c>
      <c r="AG603" s="246"/>
      <c r="AH603" s="228">
        <f t="shared" si="733"/>
        <v>1</v>
      </c>
      <c r="AI603" s="228">
        <f t="shared" si="734"/>
        <v>1</v>
      </c>
      <c r="AJ603" s="228">
        <f t="shared" si="735"/>
        <v>0</v>
      </c>
      <c r="AK603" s="228">
        <v>0</v>
      </c>
      <c r="AL603" s="228">
        <v>0</v>
      </c>
      <c r="AM603" s="228">
        <f t="shared" si="711"/>
        <v>-100</v>
      </c>
      <c r="AN603" s="228" cm="1">
        <f t="array" ref="AN603">IF(ISBLANK(G603), 1, IFERROR(MATCH(G603, INDEX(Kat,,1), 0), IFERROR(MATCH(Kat, INDEX(Use,,2), 0), MATCH(Kat, INDEX(Use,,3), 0))))</f>
        <v>1</v>
      </c>
      <c r="AO603" s="246"/>
      <c r="AP603" s="228" cm="1">
        <f t="array" ref="AP603">IF(W603&gt;0, INDEX(Kat, AN603,4), 0)</f>
        <v>0</v>
      </c>
      <c r="AQ603" s="228">
        <f t="shared" si="736"/>
        <v>0</v>
      </c>
      <c r="AR603" s="228" cm="1">
        <f t="array" ref="AR603">IF(X603&gt;0, INDEX(Kat, $AN603, 4+AQ603), 0)</f>
        <v>0</v>
      </c>
      <c r="AS603" s="228" cm="1">
        <f t="array" ref="AS603">IF(X603&gt;0, INDEX(Kat, $AN603, 9+AQ603), 0)</f>
        <v>0</v>
      </c>
      <c r="AT603" s="246"/>
      <c r="AU603" s="262"/>
      <c r="AV603" s="262"/>
      <c r="AW603" s="263"/>
      <c r="AX603" s="263"/>
      <c r="AY603" s="263"/>
      <c r="AZ603" s="263"/>
      <c r="BA603" s="263"/>
      <c r="BB603" s="263"/>
      <c r="BC603" s="263"/>
      <c r="BD603" s="263"/>
      <c r="BE603" s="263"/>
      <c r="BF603" s="263"/>
      <c r="BG603" s="263"/>
      <c r="BH603" s="246"/>
      <c r="BI603" s="228" cm="1">
        <f t="array" ref="BI603">INDEX(Use, $AH603, 4)</f>
        <v>7</v>
      </c>
      <c r="BJ603" s="228">
        <f t="shared" si="712"/>
        <v>32</v>
      </c>
      <c r="BK603" s="228">
        <f t="shared" si="738"/>
        <v>13</v>
      </c>
      <c r="BL603" s="228">
        <f t="shared" si="739"/>
        <v>0</v>
      </c>
      <c r="BM603" s="233" cm="1">
        <f t="array" ref="BM603">L603/IF($M603&gt;0, INDEX($AY$22:$BE$76, $M603+20, $AH603), 1)</f>
        <v>0</v>
      </c>
      <c r="BN603" s="229">
        <f t="shared" si="713"/>
        <v>0</v>
      </c>
      <c r="BO603" s="228">
        <v>35</v>
      </c>
      <c r="BP603" s="229">
        <f t="shared" si="714"/>
        <v>48</v>
      </c>
      <c r="BQ603" s="234">
        <f t="shared" si="715"/>
        <v>3.0748170731707316</v>
      </c>
      <c r="BR603" s="234" cm="1">
        <f t="array" ref="BR603">$BM603 * SUMPRODUCT(INDEX($AV$76:$AX$81,,$AI603),INDEX($AY$76:$BE$81,,$AH603), N($AU$76:$AU$81&gt;$AM603)) / BQ603 / 1000</f>
        <v>0</v>
      </c>
      <c r="BS603" s="231">
        <f t="shared" si="740"/>
        <v>30</v>
      </c>
      <c r="BT603" s="229">
        <f t="shared" si="716"/>
        <v>43</v>
      </c>
      <c r="BU603" s="234">
        <f t="shared" si="717"/>
        <v>3.5018750000000001</v>
      </c>
      <c r="BV603" s="234" cm="1">
        <f t="array" ref="BV603">$BM603 * IF($AH603&lt;=2,
SUMPRODUCT(INDEX($AV$71:$AX$75,,$AI603), INDEX($AY$71:$BE$75,,$AH603), 1 / ($BF$71:$BF$75*BU603 + (1-$BF$71:$BF$75)*BQ603), N($AU$71:$AU$75&gt;$AM603)),
SUMPRODUCT(INDEX($AV$66:$AX$75,,$AI603), INDEX($AY$66:$BE$75,,$AH603), 1 / ($BG$66:$BG$75*BU603 + (1-$BG$66:$BG$75)*BQ603), N($AU$66:$AU$75&gt;$AM603))
) / 1000</f>
        <v>0</v>
      </c>
      <c r="BW603" s="231">
        <f t="shared" si="741"/>
        <v>25</v>
      </c>
      <c r="BX603" s="229">
        <f t="shared" si="718"/>
        <v>38</v>
      </c>
      <c r="BY603" s="234">
        <f t="shared" si="719"/>
        <v>4.0666935483870965</v>
      </c>
      <c r="BZ603" s="234" cm="1">
        <f t="array" ref="BZ603">$BM603 * IF($AH603&lt;=2,
SUMPRODUCT(INDEX($AV$66:$AX$70,,$AI603), INDEX($AY$66:$BE$70,,$AH603), 1 / ($BF$66:$BF$70*BY603 + (1-$BF$66:$BF$70)*BU603), N($AU$66:$AU$70&gt;$AM603)),
SUMPRODUCT(INDEX($AV$56:$AX$65,,$AI603), INDEX($AY$56:$BE$65,,$AH603), 1 / ($BG$56:$BG$65*BY603 + (1-$BG$56:$BG$65)*BU603), N($AU$56:$AU$65&gt;$AM603))
) / 1000</f>
        <v>0</v>
      </c>
      <c r="CA603" s="231">
        <f t="shared" si="742"/>
        <v>20</v>
      </c>
      <c r="CB603" s="229">
        <f t="shared" si="720"/>
        <v>33</v>
      </c>
      <c r="CC603" s="234">
        <f t="shared" si="721"/>
        <v>4.8487499999999999</v>
      </c>
      <c r="CD603" s="234" cm="1">
        <f t="array" ref="CD603">$BM603 * IF($AH603&lt;=2,
SUMPRODUCT(INDEX($AV$61:$AX$65,,$AI603), INDEX($AY$61:$BE$65,,$AH603), 1 / ($BF$61:$BF$65*CC603 + (1-$BF$61:$BF$65)*BY603), N($AU$61:$AU$65&gt;$AM603)),
SUMPRODUCT(INDEX($AV$46:$AX$55,,$AI603), INDEX($AY$46:$BE$55,,$AH603), 1 / ($BG$46:$BG$55*CC603 + (1-$BG$46:$BG$55)*BY603), N($AU$46:$AU$55&gt;$AM603))
) / 1000</f>
        <v>0</v>
      </c>
      <c r="CE603" s="234" cm="1">
        <f t="array" ref="CE603">$BM603 * IF($AH603&lt;=2,
SUMPRODUCT(INDEX($AV$22:$AX$60,,$AI603), INDEX($AY$22:$BE$60,,$AH603), 1 / ($BF$22:$BF$60*CC603), N($AU$22:$AU$60&gt;$AM603)),
SUMPRODUCT(INDEX($AV$22:$AX$45,,$AI603), INDEX($AY$22:$BE$45,,$AH603), 1 / ($BG$22:$BG$45*CC603), N($AU$22:$AU$45&gt;$AM603))
) / 1000</f>
        <v>0</v>
      </c>
      <c r="CF603" s="229">
        <f t="shared" si="722"/>
        <v>0</v>
      </c>
      <c r="CG603" s="246"/>
      <c r="CH603" s="229">
        <f t="shared" si="723"/>
        <v>0</v>
      </c>
      <c r="CI603" s="228">
        <v>35</v>
      </c>
      <c r="CJ603" s="229">
        <f t="shared" si="724"/>
        <v>48</v>
      </c>
      <c r="CK603" s="234">
        <f t="shared" si="725"/>
        <v>3.0748170731707316</v>
      </c>
      <c r="CL603" s="234" cm="1">
        <f t="array" ref="CL603">$BM603 * SUMPRODUCT(INDEX($AV$76:$AX$81,,$AI603),INDEX($AY$76:$BE$81,,$AH603), N($AU$76:$AU$81&gt;$AM603)) / CK603 / 1000</f>
        <v>0</v>
      </c>
      <c r="CM603" s="231">
        <f t="shared" si="743"/>
        <v>30</v>
      </c>
      <c r="CN603" s="229">
        <f t="shared" si="726"/>
        <v>43</v>
      </c>
      <c r="CO603" s="234">
        <f t="shared" si="727"/>
        <v>3.5018750000000001</v>
      </c>
      <c r="CP603" s="234" cm="1">
        <f t="array" ref="CP603">$BM603 * IF($AH603&lt;=2,
SUMPRODUCT(INDEX($AV$71:$AX$75,,$AI603), INDEX($AY$71:$BE$75,,$AH603), 1 / ($BF$71:$BF$75*CO603 + (1-$BF$71:$BF$75)*CK603), N($AU$71:$AU$75&gt;$AM603)),
SUMPRODUCT(INDEX($AV$66:$AX$75,,$AI603), INDEX($AY$66:$BE$75,,$AH603), 1 / ($BG$66:$BG$75*CO603 + (1-$BG$66:$BG$75)*CK603), N($AU$66:$AU$75&gt;$AM603))
) / 1000</f>
        <v>0</v>
      </c>
      <c r="CQ603" s="231">
        <f t="shared" si="744"/>
        <v>25</v>
      </c>
      <c r="CR603" s="229">
        <f t="shared" si="728"/>
        <v>38</v>
      </c>
      <c r="CS603" s="234">
        <f t="shared" si="729"/>
        <v>4.0666935483870965</v>
      </c>
      <c r="CT603" s="234" cm="1">
        <f t="array" ref="CT603">$BM603 * IF($AH603&lt;=2,
SUMPRODUCT(INDEX($AV$66:$AX$70,,$AI603), INDEX($AY$66:$BE$70,,$AH603), 1 / ($BF$66:$BF$70*CS603 + (1-$BF$66:$BF$70)*CO603), N($AU$66:$AU$70&gt;$AM603)),
SUMPRODUCT(INDEX($AV$56:$AX$65,,$AI603), INDEX($AY$56:$BE$65,,$AH603), 1 / ($BG$56:$BG$65*CS603 + (1-$BG$56:$BG$65)*CO603), N($AU$56:$AU$65&gt;$AM603))
) / 1000</f>
        <v>0</v>
      </c>
      <c r="CU603" s="231">
        <f t="shared" si="745"/>
        <v>20</v>
      </c>
      <c r="CV603" s="229">
        <f t="shared" si="730"/>
        <v>33</v>
      </c>
      <c r="CW603" s="234">
        <f t="shared" si="731"/>
        <v>4.8487499999999999</v>
      </c>
      <c r="CX603" s="234" cm="1">
        <f t="array" ref="CX603">$BM603 * IF($AH603&lt;=2,
SUMPRODUCT(INDEX($AV$61:$AX$65,,$AI603), INDEX($AY$61:$BE$65,,$AH603), 1 / ($BF$61:$BF$65*CW603 + (1-$BF$61:$BF$65)*CS603), N($AU$61:$AU$65&gt;$AM603)),
SUMPRODUCT(INDEX($AV$46:$AX$55,,$AI603), INDEX($AY$46:$BE$55,,$AH603), 1 / ($BG$46:$BG$55*CW603 + (1-$BG$46:$BG$55)*CS603), N($AU$46:$AU$55&gt;$AM603))
) / 1000</f>
        <v>0</v>
      </c>
      <c r="CY603" s="234" cm="1">
        <f t="array" ref="CY603">$BM603 * IF($AH603&lt;=2,
SUMPRODUCT(INDEX($AV$22:$AX$60,,$AI603), INDEX($AY$22:$BE$60,,$AH603), 1 / ($BF$22:$BF$60*CW603), N($AU$22:$AU$60&gt;$AM603)),
SUMPRODUCT(INDEX($AV$22:$AX$45,,$AI603), INDEX($AY$22:$BE$45,,$AH603), 1 / ($BG$22:$BG$45*CW603), N($AU$22:$AU$45&gt;$AM603))
) / 1000</f>
        <v>0</v>
      </c>
      <c r="CZ603" s="229">
        <f t="shared" si="732"/>
        <v>0</v>
      </c>
      <c r="DA603" s="246"/>
    </row>
    <row r="604" spans="1:105" s="75" customFormat="1" ht="14.25" customHeight="1" x14ac:dyDescent="0.2">
      <c r="A604" s="230" t="b">
        <f t="shared" si="737"/>
        <v>0</v>
      </c>
      <c r="B604" s="253">
        <v>583</v>
      </c>
      <c r="C604" s="266"/>
      <c r="D604" s="266"/>
      <c r="E604" s="254"/>
      <c r="F604" s="255" t="str">
        <f>IF(ISBLANK(E604), "", VLOOKUP(E604, Z!$A$2:$C$4127, 3, FALSE))</f>
        <v/>
      </c>
      <c r="G604" s="256"/>
      <c r="H604" s="256"/>
      <c r="I604" s="256"/>
      <c r="J604" s="257"/>
      <c r="K604" s="258"/>
      <c r="L604" s="267"/>
      <c r="M604" s="268"/>
      <c r="N604" s="259" t="str" cm="1">
        <f t="array" ref="N604">IF($L604&gt;0, INDEX(Clean,1+AK604,$D$1), "")</f>
        <v/>
      </c>
      <c r="O604" s="260"/>
      <c r="P604" s="260"/>
      <c r="Q604" s="261"/>
      <c r="R604" s="264">
        <f t="shared" si="708"/>
        <v>0</v>
      </c>
      <c r="S604" s="259" t="str" cm="1">
        <f t="array" ref="S604">IF($L604&gt;0, INDEX(Clean,1+AL604,$D$1), "")</f>
        <v/>
      </c>
      <c r="T604" s="260"/>
      <c r="U604" s="260"/>
      <c r="V604" s="261"/>
      <c r="W604" s="267"/>
      <c r="X604" s="267"/>
      <c r="Y604" s="257"/>
      <c r="Z604" s="264">
        <f t="shared" si="709"/>
        <v>0</v>
      </c>
      <c r="AA604" s="269"/>
      <c r="AB604" s="266"/>
      <c r="AC604" s="254"/>
      <c r="AD604" s="255" t="str">
        <f>IF(ISBLANK(AC604), "", VLOOKUP(AC604, Z!$A$2:$C$4127, 3, FALSE))</f>
        <v/>
      </c>
      <c r="AE604" s="270"/>
      <c r="AF604" s="265">
        <f t="shared" si="710"/>
        <v>0</v>
      </c>
      <c r="AG604" s="246"/>
      <c r="AH604" s="228">
        <f t="shared" si="733"/>
        <v>1</v>
      </c>
      <c r="AI604" s="228">
        <f t="shared" si="734"/>
        <v>1</v>
      </c>
      <c r="AJ604" s="228">
        <f t="shared" si="735"/>
        <v>0</v>
      </c>
      <c r="AK604" s="228">
        <v>0</v>
      </c>
      <c r="AL604" s="228">
        <v>0</v>
      </c>
      <c r="AM604" s="228">
        <f t="shared" si="711"/>
        <v>-100</v>
      </c>
      <c r="AN604" s="228" cm="1">
        <f t="array" ref="AN604">IF(ISBLANK(G604), 1, IFERROR(MATCH(G604, INDEX(Kat,,1), 0), IFERROR(MATCH(Kat, INDEX(Use,,2), 0), MATCH(Kat, INDEX(Use,,3), 0))))</f>
        <v>1</v>
      </c>
      <c r="AO604" s="246"/>
      <c r="AP604" s="228" cm="1">
        <f t="array" ref="AP604">IF(W604&gt;0, INDEX(Kat, AN604,4), 0)</f>
        <v>0</v>
      </c>
      <c r="AQ604" s="228">
        <f t="shared" si="736"/>
        <v>0</v>
      </c>
      <c r="AR604" s="228" cm="1">
        <f t="array" ref="AR604">IF(X604&gt;0, INDEX(Kat, $AN604, 4+AQ604), 0)</f>
        <v>0</v>
      </c>
      <c r="AS604" s="228" cm="1">
        <f t="array" ref="AS604">IF(X604&gt;0, INDEX(Kat, $AN604, 9+AQ604), 0)</f>
        <v>0</v>
      </c>
      <c r="AT604" s="246"/>
      <c r="AU604" s="262"/>
      <c r="AV604" s="262"/>
      <c r="AW604" s="263"/>
      <c r="AX604" s="263"/>
      <c r="AY604" s="263"/>
      <c r="AZ604" s="263"/>
      <c r="BA604" s="263"/>
      <c r="BB604" s="263"/>
      <c r="BC604" s="263"/>
      <c r="BD604" s="263"/>
      <c r="BE604" s="263"/>
      <c r="BF604" s="263"/>
      <c r="BG604" s="263"/>
      <c r="BH604" s="246"/>
      <c r="BI604" s="228" cm="1">
        <f t="array" ref="BI604">INDEX(Use, $AH604, 4)</f>
        <v>7</v>
      </c>
      <c r="BJ604" s="228">
        <f t="shared" si="712"/>
        <v>32</v>
      </c>
      <c r="BK604" s="228">
        <f t="shared" si="738"/>
        <v>13</v>
      </c>
      <c r="BL604" s="228">
        <f t="shared" si="739"/>
        <v>0</v>
      </c>
      <c r="BM604" s="233" cm="1">
        <f t="array" ref="BM604">L604/IF($M604&gt;0, INDEX($AY$22:$BE$76, $M604+20, $AH604), 1)</f>
        <v>0</v>
      </c>
      <c r="BN604" s="229">
        <f t="shared" si="713"/>
        <v>0</v>
      </c>
      <c r="BO604" s="228">
        <v>35</v>
      </c>
      <c r="BP604" s="229">
        <f t="shared" si="714"/>
        <v>48</v>
      </c>
      <c r="BQ604" s="234">
        <f t="shared" si="715"/>
        <v>3.0748170731707316</v>
      </c>
      <c r="BR604" s="234" cm="1">
        <f t="array" ref="BR604">$BM604 * SUMPRODUCT(INDEX($AV$76:$AX$81,,$AI604),INDEX($AY$76:$BE$81,,$AH604), N($AU$76:$AU$81&gt;$AM604)) / BQ604 / 1000</f>
        <v>0</v>
      </c>
      <c r="BS604" s="231">
        <f t="shared" si="740"/>
        <v>30</v>
      </c>
      <c r="BT604" s="229">
        <f t="shared" si="716"/>
        <v>43</v>
      </c>
      <c r="BU604" s="234">
        <f t="shared" si="717"/>
        <v>3.5018750000000001</v>
      </c>
      <c r="BV604" s="234" cm="1">
        <f t="array" ref="BV604">$BM604 * IF($AH604&lt;=2,
SUMPRODUCT(INDEX($AV$71:$AX$75,,$AI604), INDEX($AY$71:$BE$75,,$AH604), 1 / ($BF$71:$BF$75*BU604 + (1-$BF$71:$BF$75)*BQ604), N($AU$71:$AU$75&gt;$AM604)),
SUMPRODUCT(INDEX($AV$66:$AX$75,,$AI604), INDEX($AY$66:$BE$75,,$AH604), 1 / ($BG$66:$BG$75*BU604 + (1-$BG$66:$BG$75)*BQ604), N($AU$66:$AU$75&gt;$AM604))
) / 1000</f>
        <v>0</v>
      </c>
      <c r="BW604" s="231">
        <f t="shared" si="741"/>
        <v>25</v>
      </c>
      <c r="BX604" s="229">
        <f t="shared" si="718"/>
        <v>38</v>
      </c>
      <c r="BY604" s="234">
        <f t="shared" si="719"/>
        <v>4.0666935483870965</v>
      </c>
      <c r="BZ604" s="234" cm="1">
        <f t="array" ref="BZ604">$BM604 * IF($AH604&lt;=2,
SUMPRODUCT(INDEX($AV$66:$AX$70,,$AI604), INDEX($AY$66:$BE$70,,$AH604), 1 / ($BF$66:$BF$70*BY604 + (1-$BF$66:$BF$70)*BU604), N($AU$66:$AU$70&gt;$AM604)),
SUMPRODUCT(INDEX($AV$56:$AX$65,,$AI604), INDEX($AY$56:$BE$65,,$AH604), 1 / ($BG$56:$BG$65*BY604 + (1-$BG$56:$BG$65)*BU604), N($AU$56:$AU$65&gt;$AM604))
) / 1000</f>
        <v>0</v>
      </c>
      <c r="CA604" s="231">
        <f t="shared" si="742"/>
        <v>20</v>
      </c>
      <c r="CB604" s="229">
        <f t="shared" si="720"/>
        <v>33</v>
      </c>
      <c r="CC604" s="234">
        <f t="shared" si="721"/>
        <v>4.8487499999999999</v>
      </c>
      <c r="CD604" s="234" cm="1">
        <f t="array" ref="CD604">$BM604 * IF($AH604&lt;=2,
SUMPRODUCT(INDEX($AV$61:$AX$65,,$AI604), INDEX($AY$61:$BE$65,,$AH604), 1 / ($BF$61:$BF$65*CC604 + (1-$BF$61:$BF$65)*BY604), N($AU$61:$AU$65&gt;$AM604)),
SUMPRODUCT(INDEX($AV$46:$AX$55,,$AI604), INDEX($AY$46:$BE$55,,$AH604), 1 / ($BG$46:$BG$55*CC604 + (1-$BG$46:$BG$55)*BY604), N($AU$46:$AU$55&gt;$AM604))
) / 1000</f>
        <v>0</v>
      </c>
      <c r="CE604" s="234" cm="1">
        <f t="array" ref="CE604">$BM604 * IF($AH604&lt;=2,
SUMPRODUCT(INDEX($AV$22:$AX$60,,$AI604), INDEX($AY$22:$BE$60,,$AH604), 1 / ($BF$22:$BF$60*CC604), N($AU$22:$AU$60&gt;$AM604)),
SUMPRODUCT(INDEX($AV$22:$AX$45,,$AI604), INDEX($AY$22:$BE$45,,$AH604), 1 / ($BG$22:$BG$45*CC604), N($AU$22:$AU$45&gt;$AM604))
) / 1000</f>
        <v>0</v>
      </c>
      <c r="CF604" s="229">
        <f t="shared" si="722"/>
        <v>0</v>
      </c>
      <c r="CG604" s="246"/>
      <c r="CH604" s="229">
        <f t="shared" si="723"/>
        <v>0</v>
      </c>
      <c r="CI604" s="228">
        <v>35</v>
      </c>
      <c r="CJ604" s="229">
        <f t="shared" si="724"/>
        <v>48</v>
      </c>
      <c r="CK604" s="234">
        <f t="shared" si="725"/>
        <v>3.0748170731707316</v>
      </c>
      <c r="CL604" s="234" cm="1">
        <f t="array" ref="CL604">$BM604 * SUMPRODUCT(INDEX($AV$76:$AX$81,,$AI604),INDEX($AY$76:$BE$81,,$AH604), N($AU$76:$AU$81&gt;$AM604)) / CK604 / 1000</f>
        <v>0</v>
      </c>
      <c r="CM604" s="231">
        <f t="shared" si="743"/>
        <v>30</v>
      </c>
      <c r="CN604" s="229">
        <f t="shared" si="726"/>
        <v>43</v>
      </c>
      <c r="CO604" s="234">
        <f t="shared" si="727"/>
        <v>3.5018750000000001</v>
      </c>
      <c r="CP604" s="234" cm="1">
        <f t="array" ref="CP604">$BM604 * IF($AH604&lt;=2,
SUMPRODUCT(INDEX($AV$71:$AX$75,,$AI604), INDEX($AY$71:$BE$75,,$AH604), 1 / ($BF$71:$BF$75*CO604 + (1-$BF$71:$BF$75)*CK604), N($AU$71:$AU$75&gt;$AM604)),
SUMPRODUCT(INDEX($AV$66:$AX$75,,$AI604), INDEX($AY$66:$BE$75,,$AH604), 1 / ($BG$66:$BG$75*CO604 + (1-$BG$66:$BG$75)*CK604), N($AU$66:$AU$75&gt;$AM604))
) / 1000</f>
        <v>0</v>
      </c>
      <c r="CQ604" s="231">
        <f t="shared" si="744"/>
        <v>25</v>
      </c>
      <c r="CR604" s="229">
        <f t="shared" si="728"/>
        <v>38</v>
      </c>
      <c r="CS604" s="234">
        <f t="shared" si="729"/>
        <v>4.0666935483870965</v>
      </c>
      <c r="CT604" s="234" cm="1">
        <f t="array" ref="CT604">$BM604 * IF($AH604&lt;=2,
SUMPRODUCT(INDEX($AV$66:$AX$70,,$AI604), INDEX($AY$66:$BE$70,,$AH604), 1 / ($BF$66:$BF$70*CS604 + (1-$BF$66:$BF$70)*CO604), N($AU$66:$AU$70&gt;$AM604)),
SUMPRODUCT(INDEX($AV$56:$AX$65,,$AI604), INDEX($AY$56:$BE$65,,$AH604), 1 / ($BG$56:$BG$65*CS604 + (1-$BG$56:$BG$65)*CO604), N($AU$56:$AU$65&gt;$AM604))
) / 1000</f>
        <v>0</v>
      </c>
      <c r="CU604" s="231">
        <f t="shared" si="745"/>
        <v>20</v>
      </c>
      <c r="CV604" s="229">
        <f t="shared" si="730"/>
        <v>33</v>
      </c>
      <c r="CW604" s="234">
        <f t="shared" si="731"/>
        <v>4.8487499999999999</v>
      </c>
      <c r="CX604" s="234" cm="1">
        <f t="array" ref="CX604">$BM604 * IF($AH604&lt;=2,
SUMPRODUCT(INDEX($AV$61:$AX$65,,$AI604), INDEX($AY$61:$BE$65,,$AH604), 1 / ($BF$61:$BF$65*CW604 + (1-$BF$61:$BF$65)*CS604), N($AU$61:$AU$65&gt;$AM604)),
SUMPRODUCT(INDEX($AV$46:$AX$55,,$AI604), INDEX($AY$46:$BE$55,,$AH604), 1 / ($BG$46:$BG$55*CW604 + (1-$BG$46:$BG$55)*CS604), N($AU$46:$AU$55&gt;$AM604))
) / 1000</f>
        <v>0</v>
      </c>
      <c r="CY604" s="234" cm="1">
        <f t="array" ref="CY604">$BM604 * IF($AH604&lt;=2,
SUMPRODUCT(INDEX($AV$22:$AX$60,,$AI604), INDEX($AY$22:$BE$60,,$AH604), 1 / ($BF$22:$BF$60*CW604), N($AU$22:$AU$60&gt;$AM604)),
SUMPRODUCT(INDEX($AV$22:$AX$45,,$AI604), INDEX($AY$22:$BE$45,,$AH604), 1 / ($BG$22:$BG$45*CW604), N($AU$22:$AU$45&gt;$AM604))
) / 1000</f>
        <v>0</v>
      </c>
      <c r="CZ604" s="229">
        <f t="shared" si="732"/>
        <v>0</v>
      </c>
      <c r="DA604" s="246"/>
    </row>
    <row r="605" spans="1:105" s="75" customFormat="1" ht="14.25" customHeight="1" x14ac:dyDescent="0.2">
      <c r="A605" s="230" t="b">
        <f t="shared" si="737"/>
        <v>0</v>
      </c>
      <c r="B605" s="253">
        <v>584</v>
      </c>
      <c r="C605" s="266"/>
      <c r="D605" s="266"/>
      <c r="E605" s="254"/>
      <c r="F605" s="255" t="str">
        <f>IF(ISBLANK(E605), "", VLOOKUP(E605, Z!$A$2:$C$4127, 3, FALSE))</f>
        <v/>
      </c>
      <c r="G605" s="256"/>
      <c r="H605" s="256"/>
      <c r="I605" s="256"/>
      <c r="J605" s="257"/>
      <c r="K605" s="258"/>
      <c r="L605" s="267"/>
      <c r="M605" s="268"/>
      <c r="N605" s="259" t="str" cm="1">
        <f t="array" ref="N605">IF($L605&gt;0, INDEX(Clean,1+AK605,$D$1), "")</f>
        <v/>
      </c>
      <c r="O605" s="260"/>
      <c r="P605" s="260"/>
      <c r="Q605" s="261"/>
      <c r="R605" s="264">
        <f t="shared" si="708"/>
        <v>0</v>
      </c>
      <c r="S605" s="259" t="str" cm="1">
        <f t="array" ref="S605">IF($L605&gt;0, INDEX(Clean,1+AL605,$D$1), "")</f>
        <v/>
      </c>
      <c r="T605" s="260"/>
      <c r="U605" s="260"/>
      <c r="V605" s="261"/>
      <c r="W605" s="267"/>
      <c r="X605" s="267"/>
      <c r="Y605" s="257"/>
      <c r="Z605" s="264">
        <f t="shared" si="709"/>
        <v>0</v>
      </c>
      <c r="AA605" s="269"/>
      <c r="AB605" s="266"/>
      <c r="AC605" s="254"/>
      <c r="AD605" s="255" t="str">
        <f>IF(ISBLANK(AC605), "", VLOOKUP(AC605, Z!$A$2:$C$4127, 3, FALSE))</f>
        <v/>
      </c>
      <c r="AE605" s="270"/>
      <c r="AF605" s="265">
        <f t="shared" si="710"/>
        <v>0</v>
      </c>
      <c r="AG605" s="246"/>
      <c r="AH605" s="228">
        <f t="shared" si="733"/>
        <v>1</v>
      </c>
      <c r="AI605" s="228">
        <f t="shared" si="734"/>
        <v>1</v>
      </c>
      <c r="AJ605" s="228">
        <f t="shared" si="735"/>
        <v>0</v>
      </c>
      <c r="AK605" s="228">
        <v>0</v>
      </c>
      <c r="AL605" s="228">
        <v>0</v>
      </c>
      <c r="AM605" s="228">
        <f t="shared" si="711"/>
        <v>-100</v>
      </c>
      <c r="AN605" s="228" cm="1">
        <f t="array" ref="AN605">IF(ISBLANK(G605), 1, IFERROR(MATCH(G605, INDEX(Kat,,1), 0), IFERROR(MATCH(Kat, INDEX(Use,,2), 0), MATCH(Kat, INDEX(Use,,3), 0))))</f>
        <v>1</v>
      </c>
      <c r="AO605" s="246"/>
      <c r="AP605" s="228" cm="1">
        <f t="array" ref="AP605">IF(W605&gt;0, INDEX(Kat, AN605,4), 0)</f>
        <v>0</v>
      </c>
      <c r="AQ605" s="228">
        <f t="shared" si="736"/>
        <v>0</v>
      </c>
      <c r="AR605" s="228" cm="1">
        <f t="array" ref="AR605">IF(X605&gt;0, INDEX(Kat, $AN605, 4+AQ605), 0)</f>
        <v>0</v>
      </c>
      <c r="AS605" s="228" cm="1">
        <f t="array" ref="AS605">IF(X605&gt;0, INDEX(Kat, $AN605, 9+AQ605), 0)</f>
        <v>0</v>
      </c>
      <c r="AT605" s="246"/>
      <c r="AU605" s="262"/>
      <c r="AV605" s="262"/>
      <c r="AW605" s="263"/>
      <c r="AX605" s="263"/>
      <c r="AY605" s="263"/>
      <c r="AZ605" s="263"/>
      <c r="BA605" s="263"/>
      <c r="BB605" s="263"/>
      <c r="BC605" s="263"/>
      <c r="BD605" s="263"/>
      <c r="BE605" s="263"/>
      <c r="BF605" s="263"/>
      <c r="BG605" s="263"/>
      <c r="BH605" s="246"/>
      <c r="BI605" s="228" cm="1">
        <f t="array" ref="BI605">INDEX(Use, $AH605, 4)</f>
        <v>7</v>
      </c>
      <c r="BJ605" s="228">
        <f t="shared" si="712"/>
        <v>32</v>
      </c>
      <c r="BK605" s="228">
        <f t="shared" si="738"/>
        <v>13</v>
      </c>
      <c r="BL605" s="228">
        <f t="shared" si="739"/>
        <v>0</v>
      </c>
      <c r="BM605" s="233" cm="1">
        <f t="array" ref="BM605">L605/IF($M605&gt;0, INDEX($AY$22:$BE$76, $M605+20, $AH605), 1)</f>
        <v>0</v>
      </c>
      <c r="BN605" s="229">
        <f t="shared" si="713"/>
        <v>0</v>
      </c>
      <c r="BO605" s="228">
        <v>35</v>
      </c>
      <c r="BP605" s="229">
        <f t="shared" si="714"/>
        <v>48</v>
      </c>
      <c r="BQ605" s="234">
        <f t="shared" si="715"/>
        <v>3.0748170731707316</v>
      </c>
      <c r="BR605" s="234" cm="1">
        <f t="array" ref="BR605">$BM605 * SUMPRODUCT(INDEX($AV$76:$AX$81,,$AI605),INDEX($AY$76:$BE$81,,$AH605), N($AU$76:$AU$81&gt;$AM605)) / BQ605 / 1000</f>
        <v>0</v>
      </c>
      <c r="BS605" s="231">
        <f t="shared" si="740"/>
        <v>30</v>
      </c>
      <c r="BT605" s="229">
        <f t="shared" si="716"/>
        <v>43</v>
      </c>
      <c r="BU605" s="234">
        <f t="shared" si="717"/>
        <v>3.5018750000000001</v>
      </c>
      <c r="BV605" s="234" cm="1">
        <f t="array" ref="BV605">$BM605 * IF($AH605&lt;=2,
SUMPRODUCT(INDEX($AV$71:$AX$75,,$AI605), INDEX($AY$71:$BE$75,,$AH605), 1 / ($BF$71:$BF$75*BU605 + (1-$BF$71:$BF$75)*BQ605), N($AU$71:$AU$75&gt;$AM605)),
SUMPRODUCT(INDEX($AV$66:$AX$75,,$AI605), INDEX($AY$66:$BE$75,,$AH605), 1 / ($BG$66:$BG$75*BU605 + (1-$BG$66:$BG$75)*BQ605), N($AU$66:$AU$75&gt;$AM605))
) / 1000</f>
        <v>0</v>
      </c>
      <c r="BW605" s="231">
        <f t="shared" si="741"/>
        <v>25</v>
      </c>
      <c r="BX605" s="229">
        <f t="shared" si="718"/>
        <v>38</v>
      </c>
      <c r="BY605" s="234">
        <f t="shared" si="719"/>
        <v>4.0666935483870965</v>
      </c>
      <c r="BZ605" s="234" cm="1">
        <f t="array" ref="BZ605">$BM605 * IF($AH605&lt;=2,
SUMPRODUCT(INDEX($AV$66:$AX$70,,$AI605), INDEX($AY$66:$BE$70,,$AH605), 1 / ($BF$66:$BF$70*BY605 + (1-$BF$66:$BF$70)*BU605), N($AU$66:$AU$70&gt;$AM605)),
SUMPRODUCT(INDEX($AV$56:$AX$65,,$AI605), INDEX($AY$56:$BE$65,,$AH605), 1 / ($BG$56:$BG$65*BY605 + (1-$BG$56:$BG$65)*BU605), N($AU$56:$AU$65&gt;$AM605))
) / 1000</f>
        <v>0</v>
      </c>
      <c r="CA605" s="231">
        <f t="shared" si="742"/>
        <v>20</v>
      </c>
      <c r="CB605" s="229">
        <f t="shared" si="720"/>
        <v>33</v>
      </c>
      <c r="CC605" s="234">
        <f t="shared" si="721"/>
        <v>4.8487499999999999</v>
      </c>
      <c r="CD605" s="234" cm="1">
        <f t="array" ref="CD605">$BM605 * IF($AH605&lt;=2,
SUMPRODUCT(INDEX($AV$61:$AX$65,,$AI605), INDEX($AY$61:$BE$65,,$AH605), 1 / ($BF$61:$BF$65*CC605 + (1-$BF$61:$BF$65)*BY605), N($AU$61:$AU$65&gt;$AM605)),
SUMPRODUCT(INDEX($AV$46:$AX$55,,$AI605), INDEX($AY$46:$BE$55,,$AH605), 1 / ($BG$46:$BG$55*CC605 + (1-$BG$46:$BG$55)*BY605), N($AU$46:$AU$55&gt;$AM605))
) / 1000</f>
        <v>0</v>
      </c>
      <c r="CE605" s="234" cm="1">
        <f t="array" ref="CE605">$BM605 * IF($AH605&lt;=2,
SUMPRODUCT(INDEX($AV$22:$AX$60,,$AI605), INDEX($AY$22:$BE$60,,$AH605), 1 / ($BF$22:$BF$60*CC605), N($AU$22:$AU$60&gt;$AM605)),
SUMPRODUCT(INDEX($AV$22:$AX$45,,$AI605), INDEX($AY$22:$BE$45,,$AH605), 1 / ($BG$22:$BG$45*CC605), N($AU$22:$AU$45&gt;$AM605))
) / 1000</f>
        <v>0</v>
      </c>
      <c r="CF605" s="229">
        <f t="shared" si="722"/>
        <v>0</v>
      </c>
      <c r="CG605" s="246"/>
      <c r="CH605" s="229">
        <f t="shared" si="723"/>
        <v>0</v>
      </c>
      <c r="CI605" s="228">
        <v>35</v>
      </c>
      <c r="CJ605" s="229">
        <f t="shared" si="724"/>
        <v>48</v>
      </c>
      <c r="CK605" s="234">
        <f t="shared" si="725"/>
        <v>3.0748170731707316</v>
      </c>
      <c r="CL605" s="234" cm="1">
        <f t="array" ref="CL605">$BM605 * SUMPRODUCT(INDEX($AV$76:$AX$81,,$AI605),INDEX($AY$76:$BE$81,,$AH605), N($AU$76:$AU$81&gt;$AM605)) / CK605 / 1000</f>
        <v>0</v>
      </c>
      <c r="CM605" s="231">
        <f t="shared" si="743"/>
        <v>30</v>
      </c>
      <c r="CN605" s="229">
        <f t="shared" si="726"/>
        <v>43</v>
      </c>
      <c r="CO605" s="234">
        <f t="shared" si="727"/>
        <v>3.5018750000000001</v>
      </c>
      <c r="CP605" s="234" cm="1">
        <f t="array" ref="CP605">$BM605 * IF($AH605&lt;=2,
SUMPRODUCT(INDEX($AV$71:$AX$75,,$AI605), INDEX($AY$71:$BE$75,,$AH605), 1 / ($BF$71:$BF$75*CO605 + (1-$BF$71:$BF$75)*CK605), N($AU$71:$AU$75&gt;$AM605)),
SUMPRODUCT(INDEX($AV$66:$AX$75,,$AI605), INDEX($AY$66:$BE$75,,$AH605), 1 / ($BG$66:$BG$75*CO605 + (1-$BG$66:$BG$75)*CK605), N($AU$66:$AU$75&gt;$AM605))
) / 1000</f>
        <v>0</v>
      </c>
      <c r="CQ605" s="231">
        <f t="shared" si="744"/>
        <v>25</v>
      </c>
      <c r="CR605" s="229">
        <f t="shared" si="728"/>
        <v>38</v>
      </c>
      <c r="CS605" s="234">
        <f t="shared" si="729"/>
        <v>4.0666935483870965</v>
      </c>
      <c r="CT605" s="234" cm="1">
        <f t="array" ref="CT605">$BM605 * IF($AH605&lt;=2,
SUMPRODUCT(INDEX($AV$66:$AX$70,,$AI605), INDEX($AY$66:$BE$70,,$AH605), 1 / ($BF$66:$BF$70*CS605 + (1-$BF$66:$BF$70)*CO605), N($AU$66:$AU$70&gt;$AM605)),
SUMPRODUCT(INDEX($AV$56:$AX$65,,$AI605), INDEX($AY$56:$BE$65,,$AH605), 1 / ($BG$56:$BG$65*CS605 + (1-$BG$56:$BG$65)*CO605), N($AU$56:$AU$65&gt;$AM605))
) / 1000</f>
        <v>0</v>
      </c>
      <c r="CU605" s="231">
        <f t="shared" si="745"/>
        <v>20</v>
      </c>
      <c r="CV605" s="229">
        <f t="shared" si="730"/>
        <v>33</v>
      </c>
      <c r="CW605" s="234">
        <f t="shared" si="731"/>
        <v>4.8487499999999999</v>
      </c>
      <c r="CX605" s="234" cm="1">
        <f t="array" ref="CX605">$BM605 * IF($AH605&lt;=2,
SUMPRODUCT(INDEX($AV$61:$AX$65,,$AI605), INDEX($AY$61:$BE$65,,$AH605), 1 / ($BF$61:$BF$65*CW605 + (1-$BF$61:$BF$65)*CS605), N($AU$61:$AU$65&gt;$AM605)),
SUMPRODUCT(INDEX($AV$46:$AX$55,,$AI605), INDEX($AY$46:$BE$55,,$AH605), 1 / ($BG$46:$BG$55*CW605 + (1-$BG$46:$BG$55)*CS605), N($AU$46:$AU$55&gt;$AM605))
) / 1000</f>
        <v>0</v>
      </c>
      <c r="CY605" s="234" cm="1">
        <f t="array" ref="CY605">$BM605 * IF($AH605&lt;=2,
SUMPRODUCT(INDEX($AV$22:$AX$60,,$AI605), INDEX($AY$22:$BE$60,,$AH605), 1 / ($BF$22:$BF$60*CW605), N($AU$22:$AU$60&gt;$AM605)),
SUMPRODUCT(INDEX($AV$22:$AX$45,,$AI605), INDEX($AY$22:$BE$45,,$AH605), 1 / ($BG$22:$BG$45*CW605), N($AU$22:$AU$45&gt;$AM605))
) / 1000</f>
        <v>0</v>
      </c>
      <c r="CZ605" s="229">
        <f t="shared" si="732"/>
        <v>0</v>
      </c>
      <c r="DA605" s="246"/>
    </row>
    <row r="606" spans="1:105" s="75" customFormat="1" ht="14.25" customHeight="1" x14ac:dyDescent="0.2">
      <c r="A606" s="230" t="b">
        <f t="shared" si="737"/>
        <v>0</v>
      </c>
      <c r="B606" s="253">
        <v>585</v>
      </c>
      <c r="C606" s="266"/>
      <c r="D606" s="266"/>
      <c r="E606" s="254"/>
      <c r="F606" s="255" t="str">
        <f>IF(ISBLANK(E606), "", VLOOKUP(E606, Z!$A$2:$C$4127, 3, FALSE))</f>
        <v/>
      </c>
      <c r="G606" s="256"/>
      <c r="H606" s="256"/>
      <c r="I606" s="256"/>
      <c r="J606" s="257"/>
      <c r="K606" s="258"/>
      <c r="L606" s="267"/>
      <c r="M606" s="268"/>
      <c r="N606" s="259" t="str" cm="1">
        <f t="array" ref="N606">IF($L606&gt;0, INDEX(Clean,1+AK606,$D$1), "")</f>
        <v/>
      </c>
      <c r="O606" s="260"/>
      <c r="P606" s="260"/>
      <c r="Q606" s="261"/>
      <c r="R606" s="264">
        <f t="shared" si="708"/>
        <v>0</v>
      </c>
      <c r="S606" s="259" t="str" cm="1">
        <f t="array" ref="S606">IF($L606&gt;0, INDEX(Clean,1+AL606,$D$1), "")</f>
        <v/>
      </c>
      <c r="T606" s="260"/>
      <c r="U606" s="260"/>
      <c r="V606" s="261"/>
      <c r="W606" s="267"/>
      <c r="X606" s="267"/>
      <c r="Y606" s="257"/>
      <c r="Z606" s="264">
        <f t="shared" si="709"/>
        <v>0</v>
      </c>
      <c r="AA606" s="269"/>
      <c r="AB606" s="266"/>
      <c r="AC606" s="254"/>
      <c r="AD606" s="255" t="str">
        <f>IF(ISBLANK(AC606), "", VLOOKUP(AC606, Z!$A$2:$C$4127, 3, FALSE))</f>
        <v/>
      </c>
      <c r="AE606" s="270"/>
      <c r="AF606" s="265">
        <f t="shared" si="710"/>
        <v>0</v>
      </c>
      <c r="AG606" s="246"/>
      <c r="AH606" s="228">
        <f t="shared" si="733"/>
        <v>1</v>
      </c>
      <c r="AI606" s="228">
        <f t="shared" si="734"/>
        <v>1</v>
      </c>
      <c r="AJ606" s="228">
        <f t="shared" si="735"/>
        <v>0</v>
      </c>
      <c r="AK606" s="228">
        <v>0</v>
      </c>
      <c r="AL606" s="228">
        <v>0</v>
      </c>
      <c r="AM606" s="228">
        <f t="shared" si="711"/>
        <v>-100</v>
      </c>
      <c r="AN606" s="228" cm="1">
        <f t="array" ref="AN606">IF(ISBLANK(G606), 1, IFERROR(MATCH(G606, INDEX(Kat,,1), 0), IFERROR(MATCH(Kat, INDEX(Use,,2), 0), MATCH(Kat, INDEX(Use,,3), 0))))</f>
        <v>1</v>
      </c>
      <c r="AO606" s="246"/>
      <c r="AP606" s="228" cm="1">
        <f t="array" ref="AP606">IF(W606&gt;0, INDEX(Kat, AN606,4), 0)</f>
        <v>0</v>
      </c>
      <c r="AQ606" s="228">
        <f t="shared" si="736"/>
        <v>0</v>
      </c>
      <c r="AR606" s="228" cm="1">
        <f t="array" ref="AR606">IF(X606&gt;0, INDEX(Kat, $AN606, 4+AQ606), 0)</f>
        <v>0</v>
      </c>
      <c r="AS606" s="228" cm="1">
        <f t="array" ref="AS606">IF(X606&gt;0, INDEX(Kat, $AN606, 9+AQ606), 0)</f>
        <v>0</v>
      </c>
      <c r="AT606" s="246"/>
      <c r="AU606" s="262"/>
      <c r="AV606" s="262"/>
      <c r="AW606" s="263"/>
      <c r="AX606" s="263"/>
      <c r="AY606" s="263"/>
      <c r="AZ606" s="263"/>
      <c r="BA606" s="263"/>
      <c r="BB606" s="263"/>
      <c r="BC606" s="263"/>
      <c r="BD606" s="263"/>
      <c r="BE606" s="263"/>
      <c r="BF606" s="263"/>
      <c r="BG606" s="263"/>
      <c r="BH606" s="246"/>
      <c r="BI606" s="228" cm="1">
        <f t="array" ref="BI606">INDEX(Use, $AH606, 4)</f>
        <v>7</v>
      </c>
      <c r="BJ606" s="228">
        <f t="shared" si="712"/>
        <v>32</v>
      </c>
      <c r="BK606" s="228">
        <f t="shared" si="738"/>
        <v>13</v>
      </c>
      <c r="BL606" s="228">
        <f t="shared" si="739"/>
        <v>0</v>
      </c>
      <c r="BM606" s="233" cm="1">
        <f t="array" ref="BM606">L606/IF($M606&gt;0, INDEX($AY$22:$BE$76, $M606+20, $AH606), 1)</f>
        <v>0</v>
      </c>
      <c r="BN606" s="229">
        <f t="shared" si="713"/>
        <v>0</v>
      </c>
      <c r="BO606" s="228">
        <v>35</v>
      </c>
      <c r="BP606" s="229">
        <f t="shared" si="714"/>
        <v>48</v>
      </c>
      <c r="BQ606" s="234">
        <f t="shared" si="715"/>
        <v>3.0748170731707316</v>
      </c>
      <c r="BR606" s="234" cm="1">
        <f t="array" ref="BR606">$BM606 * SUMPRODUCT(INDEX($AV$76:$AX$81,,$AI606),INDEX($AY$76:$BE$81,,$AH606), N($AU$76:$AU$81&gt;$AM606)) / BQ606 / 1000</f>
        <v>0</v>
      </c>
      <c r="BS606" s="231">
        <f t="shared" si="740"/>
        <v>30</v>
      </c>
      <c r="BT606" s="229">
        <f t="shared" si="716"/>
        <v>43</v>
      </c>
      <c r="BU606" s="234">
        <f t="shared" si="717"/>
        <v>3.5018750000000001</v>
      </c>
      <c r="BV606" s="234" cm="1">
        <f t="array" ref="BV606">$BM606 * IF($AH606&lt;=2,
SUMPRODUCT(INDEX($AV$71:$AX$75,,$AI606), INDEX($AY$71:$BE$75,,$AH606), 1 / ($BF$71:$BF$75*BU606 + (1-$BF$71:$BF$75)*BQ606), N($AU$71:$AU$75&gt;$AM606)),
SUMPRODUCT(INDEX($AV$66:$AX$75,,$AI606), INDEX($AY$66:$BE$75,,$AH606), 1 / ($BG$66:$BG$75*BU606 + (1-$BG$66:$BG$75)*BQ606), N($AU$66:$AU$75&gt;$AM606))
) / 1000</f>
        <v>0</v>
      </c>
      <c r="BW606" s="231">
        <f t="shared" si="741"/>
        <v>25</v>
      </c>
      <c r="BX606" s="229">
        <f t="shared" si="718"/>
        <v>38</v>
      </c>
      <c r="BY606" s="234">
        <f t="shared" si="719"/>
        <v>4.0666935483870965</v>
      </c>
      <c r="BZ606" s="234" cm="1">
        <f t="array" ref="BZ606">$BM606 * IF($AH606&lt;=2,
SUMPRODUCT(INDEX($AV$66:$AX$70,,$AI606), INDEX($AY$66:$BE$70,,$AH606), 1 / ($BF$66:$BF$70*BY606 + (1-$BF$66:$BF$70)*BU606), N($AU$66:$AU$70&gt;$AM606)),
SUMPRODUCT(INDEX($AV$56:$AX$65,,$AI606), INDEX($AY$56:$BE$65,,$AH606), 1 / ($BG$56:$BG$65*BY606 + (1-$BG$56:$BG$65)*BU606), N($AU$56:$AU$65&gt;$AM606))
) / 1000</f>
        <v>0</v>
      </c>
      <c r="CA606" s="231">
        <f t="shared" si="742"/>
        <v>20</v>
      </c>
      <c r="CB606" s="229">
        <f t="shared" si="720"/>
        <v>33</v>
      </c>
      <c r="CC606" s="234">
        <f t="shared" si="721"/>
        <v>4.8487499999999999</v>
      </c>
      <c r="CD606" s="234" cm="1">
        <f t="array" ref="CD606">$BM606 * IF($AH606&lt;=2,
SUMPRODUCT(INDEX($AV$61:$AX$65,,$AI606), INDEX($AY$61:$BE$65,,$AH606), 1 / ($BF$61:$BF$65*CC606 + (1-$BF$61:$BF$65)*BY606), N($AU$61:$AU$65&gt;$AM606)),
SUMPRODUCT(INDEX($AV$46:$AX$55,,$AI606), INDEX($AY$46:$BE$55,,$AH606), 1 / ($BG$46:$BG$55*CC606 + (1-$BG$46:$BG$55)*BY606), N($AU$46:$AU$55&gt;$AM606))
) / 1000</f>
        <v>0</v>
      </c>
      <c r="CE606" s="234" cm="1">
        <f t="array" ref="CE606">$BM606 * IF($AH606&lt;=2,
SUMPRODUCT(INDEX($AV$22:$AX$60,,$AI606), INDEX($AY$22:$BE$60,,$AH606), 1 / ($BF$22:$BF$60*CC606), N($AU$22:$AU$60&gt;$AM606)),
SUMPRODUCT(INDEX($AV$22:$AX$45,,$AI606), INDEX($AY$22:$BE$45,,$AH606), 1 / ($BG$22:$BG$45*CC606), N($AU$22:$AU$45&gt;$AM606))
) / 1000</f>
        <v>0</v>
      </c>
      <c r="CF606" s="229">
        <f t="shared" si="722"/>
        <v>0</v>
      </c>
      <c r="CG606" s="246"/>
      <c r="CH606" s="229">
        <f t="shared" si="723"/>
        <v>0</v>
      </c>
      <c r="CI606" s="228">
        <v>35</v>
      </c>
      <c r="CJ606" s="229">
        <f t="shared" si="724"/>
        <v>48</v>
      </c>
      <c r="CK606" s="234">
        <f t="shared" si="725"/>
        <v>3.0748170731707316</v>
      </c>
      <c r="CL606" s="234" cm="1">
        <f t="array" ref="CL606">$BM606 * SUMPRODUCT(INDEX($AV$76:$AX$81,,$AI606),INDEX($AY$76:$BE$81,,$AH606), N($AU$76:$AU$81&gt;$AM606)) / CK606 / 1000</f>
        <v>0</v>
      </c>
      <c r="CM606" s="231">
        <f t="shared" si="743"/>
        <v>30</v>
      </c>
      <c r="CN606" s="229">
        <f t="shared" si="726"/>
        <v>43</v>
      </c>
      <c r="CO606" s="234">
        <f t="shared" si="727"/>
        <v>3.5018750000000001</v>
      </c>
      <c r="CP606" s="234" cm="1">
        <f t="array" ref="CP606">$BM606 * IF($AH606&lt;=2,
SUMPRODUCT(INDEX($AV$71:$AX$75,,$AI606), INDEX($AY$71:$BE$75,,$AH606), 1 / ($BF$71:$BF$75*CO606 + (1-$BF$71:$BF$75)*CK606), N($AU$71:$AU$75&gt;$AM606)),
SUMPRODUCT(INDEX($AV$66:$AX$75,,$AI606), INDEX($AY$66:$BE$75,,$AH606), 1 / ($BG$66:$BG$75*CO606 + (1-$BG$66:$BG$75)*CK606), N($AU$66:$AU$75&gt;$AM606))
) / 1000</f>
        <v>0</v>
      </c>
      <c r="CQ606" s="231">
        <f t="shared" si="744"/>
        <v>25</v>
      </c>
      <c r="CR606" s="229">
        <f t="shared" si="728"/>
        <v>38</v>
      </c>
      <c r="CS606" s="234">
        <f t="shared" si="729"/>
        <v>4.0666935483870965</v>
      </c>
      <c r="CT606" s="234" cm="1">
        <f t="array" ref="CT606">$BM606 * IF($AH606&lt;=2,
SUMPRODUCT(INDEX($AV$66:$AX$70,,$AI606), INDEX($AY$66:$BE$70,,$AH606), 1 / ($BF$66:$BF$70*CS606 + (1-$BF$66:$BF$70)*CO606), N($AU$66:$AU$70&gt;$AM606)),
SUMPRODUCT(INDEX($AV$56:$AX$65,,$AI606), INDEX($AY$56:$BE$65,,$AH606), 1 / ($BG$56:$BG$65*CS606 + (1-$BG$56:$BG$65)*CO606), N($AU$56:$AU$65&gt;$AM606))
) / 1000</f>
        <v>0</v>
      </c>
      <c r="CU606" s="231">
        <f t="shared" si="745"/>
        <v>20</v>
      </c>
      <c r="CV606" s="229">
        <f t="shared" si="730"/>
        <v>33</v>
      </c>
      <c r="CW606" s="234">
        <f t="shared" si="731"/>
        <v>4.8487499999999999</v>
      </c>
      <c r="CX606" s="234" cm="1">
        <f t="array" ref="CX606">$BM606 * IF($AH606&lt;=2,
SUMPRODUCT(INDEX($AV$61:$AX$65,,$AI606), INDEX($AY$61:$BE$65,,$AH606), 1 / ($BF$61:$BF$65*CW606 + (1-$BF$61:$BF$65)*CS606), N($AU$61:$AU$65&gt;$AM606)),
SUMPRODUCT(INDEX($AV$46:$AX$55,,$AI606), INDEX($AY$46:$BE$55,,$AH606), 1 / ($BG$46:$BG$55*CW606 + (1-$BG$46:$BG$55)*CS606), N($AU$46:$AU$55&gt;$AM606))
) / 1000</f>
        <v>0</v>
      </c>
      <c r="CY606" s="234" cm="1">
        <f t="array" ref="CY606">$BM606 * IF($AH606&lt;=2,
SUMPRODUCT(INDEX($AV$22:$AX$60,,$AI606), INDEX($AY$22:$BE$60,,$AH606), 1 / ($BF$22:$BF$60*CW606), N($AU$22:$AU$60&gt;$AM606)),
SUMPRODUCT(INDEX($AV$22:$AX$45,,$AI606), INDEX($AY$22:$BE$45,,$AH606), 1 / ($BG$22:$BG$45*CW606), N($AU$22:$AU$45&gt;$AM606))
) / 1000</f>
        <v>0</v>
      </c>
      <c r="CZ606" s="229">
        <f t="shared" si="732"/>
        <v>0</v>
      </c>
      <c r="DA606" s="246"/>
    </row>
    <row r="607" spans="1:105" s="75" customFormat="1" ht="14.25" customHeight="1" x14ac:dyDescent="0.2">
      <c r="A607" s="230" t="b">
        <f t="shared" si="737"/>
        <v>0</v>
      </c>
      <c r="B607" s="253">
        <v>586</v>
      </c>
      <c r="C607" s="266"/>
      <c r="D607" s="266"/>
      <c r="E607" s="254"/>
      <c r="F607" s="255" t="str">
        <f>IF(ISBLANK(E607), "", VLOOKUP(E607, Z!$A$2:$C$4127, 3, FALSE))</f>
        <v/>
      </c>
      <c r="G607" s="256"/>
      <c r="H607" s="256"/>
      <c r="I607" s="256"/>
      <c r="J607" s="257"/>
      <c r="K607" s="258"/>
      <c r="L607" s="267"/>
      <c r="M607" s="268"/>
      <c r="N607" s="259" t="str" cm="1">
        <f t="array" ref="N607">IF($L607&gt;0, INDEX(Clean,1+AK607,$D$1), "")</f>
        <v/>
      </c>
      <c r="O607" s="260"/>
      <c r="P607" s="260"/>
      <c r="Q607" s="261"/>
      <c r="R607" s="264">
        <f t="shared" si="708"/>
        <v>0</v>
      </c>
      <c r="S607" s="259" t="str" cm="1">
        <f t="array" ref="S607">IF($L607&gt;0, INDEX(Clean,1+AL607,$D$1), "")</f>
        <v/>
      </c>
      <c r="T607" s="260"/>
      <c r="U607" s="260"/>
      <c r="V607" s="261"/>
      <c r="W607" s="267"/>
      <c r="X607" s="267"/>
      <c r="Y607" s="257"/>
      <c r="Z607" s="264">
        <f t="shared" si="709"/>
        <v>0</v>
      </c>
      <c r="AA607" s="269"/>
      <c r="AB607" s="266"/>
      <c r="AC607" s="254"/>
      <c r="AD607" s="255" t="str">
        <f>IF(ISBLANK(AC607), "", VLOOKUP(AC607, Z!$A$2:$C$4127, 3, FALSE))</f>
        <v/>
      </c>
      <c r="AE607" s="270"/>
      <c r="AF607" s="265">
        <f t="shared" si="710"/>
        <v>0</v>
      </c>
      <c r="AG607" s="246"/>
      <c r="AH607" s="228">
        <f t="shared" si="733"/>
        <v>1</v>
      </c>
      <c r="AI607" s="228">
        <f t="shared" si="734"/>
        <v>1</v>
      </c>
      <c r="AJ607" s="228">
        <f t="shared" si="735"/>
        <v>0</v>
      </c>
      <c r="AK607" s="228">
        <v>0</v>
      </c>
      <c r="AL607" s="228">
        <v>0</v>
      </c>
      <c r="AM607" s="228">
        <f t="shared" si="711"/>
        <v>-100</v>
      </c>
      <c r="AN607" s="228" cm="1">
        <f t="array" ref="AN607">IF(ISBLANK(G607), 1, IFERROR(MATCH(G607, INDEX(Kat,,1), 0), IFERROR(MATCH(Kat, INDEX(Use,,2), 0), MATCH(Kat, INDEX(Use,,3), 0))))</f>
        <v>1</v>
      </c>
      <c r="AO607" s="246"/>
      <c r="AP607" s="228" cm="1">
        <f t="array" ref="AP607">IF(W607&gt;0, INDEX(Kat, AN607,4), 0)</f>
        <v>0</v>
      </c>
      <c r="AQ607" s="228">
        <f t="shared" si="736"/>
        <v>0</v>
      </c>
      <c r="AR607" s="228" cm="1">
        <f t="array" ref="AR607">IF(X607&gt;0, INDEX(Kat, $AN607, 4+AQ607), 0)</f>
        <v>0</v>
      </c>
      <c r="AS607" s="228" cm="1">
        <f t="array" ref="AS607">IF(X607&gt;0, INDEX(Kat, $AN607, 9+AQ607), 0)</f>
        <v>0</v>
      </c>
      <c r="AT607" s="246"/>
      <c r="AU607" s="262"/>
      <c r="AV607" s="262"/>
      <c r="AW607" s="263"/>
      <c r="AX607" s="263"/>
      <c r="AY607" s="263"/>
      <c r="AZ607" s="263"/>
      <c r="BA607" s="263"/>
      <c r="BB607" s="263"/>
      <c r="BC607" s="263"/>
      <c r="BD607" s="263"/>
      <c r="BE607" s="263"/>
      <c r="BF607" s="263"/>
      <c r="BG607" s="263"/>
      <c r="BH607" s="246"/>
      <c r="BI607" s="228" cm="1">
        <f t="array" ref="BI607">INDEX(Use, $AH607, 4)</f>
        <v>7</v>
      </c>
      <c r="BJ607" s="228">
        <f t="shared" si="712"/>
        <v>32</v>
      </c>
      <c r="BK607" s="228">
        <f t="shared" si="738"/>
        <v>13</v>
      </c>
      <c r="BL607" s="228">
        <f t="shared" si="739"/>
        <v>0</v>
      </c>
      <c r="BM607" s="233" cm="1">
        <f t="array" ref="BM607">L607/IF($M607&gt;0, INDEX($AY$22:$BE$76, $M607+20, $AH607), 1)</f>
        <v>0</v>
      </c>
      <c r="BN607" s="229">
        <f t="shared" si="713"/>
        <v>0</v>
      </c>
      <c r="BO607" s="228">
        <v>35</v>
      </c>
      <c r="BP607" s="229">
        <f t="shared" si="714"/>
        <v>48</v>
      </c>
      <c r="BQ607" s="234">
        <f t="shared" si="715"/>
        <v>3.0748170731707316</v>
      </c>
      <c r="BR607" s="234" cm="1">
        <f t="array" ref="BR607">$BM607 * SUMPRODUCT(INDEX($AV$76:$AX$81,,$AI607),INDEX($AY$76:$BE$81,,$AH607), N($AU$76:$AU$81&gt;$AM607)) / BQ607 / 1000</f>
        <v>0</v>
      </c>
      <c r="BS607" s="231">
        <f t="shared" si="740"/>
        <v>30</v>
      </c>
      <c r="BT607" s="229">
        <f t="shared" si="716"/>
        <v>43</v>
      </c>
      <c r="BU607" s="234">
        <f t="shared" si="717"/>
        <v>3.5018750000000001</v>
      </c>
      <c r="BV607" s="234" cm="1">
        <f t="array" ref="BV607">$BM607 * IF($AH607&lt;=2,
SUMPRODUCT(INDEX($AV$71:$AX$75,,$AI607), INDEX($AY$71:$BE$75,,$AH607), 1 / ($BF$71:$BF$75*BU607 + (1-$BF$71:$BF$75)*BQ607), N($AU$71:$AU$75&gt;$AM607)),
SUMPRODUCT(INDEX($AV$66:$AX$75,,$AI607), INDEX($AY$66:$BE$75,,$AH607), 1 / ($BG$66:$BG$75*BU607 + (1-$BG$66:$BG$75)*BQ607), N($AU$66:$AU$75&gt;$AM607))
) / 1000</f>
        <v>0</v>
      </c>
      <c r="BW607" s="231">
        <f t="shared" si="741"/>
        <v>25</v>
      </c>
      <c r="BX607" s="229">
        <f t="shared" si="718"/>
        <v>38</v>
      </c>
      <c r="BY607" s="234">
        <f t="shared" si="719"/>
        <v>4.0666935483870965</v>
      </c>
      <c r="BZ607" s="234" cm="1">
        <f t="array" ref="BZ607">$BM607 * IF($AH607&lt;=2,
SUMPRODUCT(INDEX($AV$66:$AX$70,,$AI607), INDEX($AY$66:$BE$70,,$AH607), 1 / ($BF$66:$BF$70*BY607 + (1-$BF$66:$BF$70)*BU607), N($AU$66:$AU$70&gt;$AM607)),
SUMPRODUCT(INDEX($AV$56:$AX$65,,$AI607), INDEX($AY$56:$BE$65,,$AH607), 1 / ($BG$56:$BG$65*BY607 + (1-$BG$56:$BG$65)*BU607), N($AU$56:$AU$65&gt;$AM607))
) / 1000</f>
        <v>0</v>
      </c>
      <c r="CA607" s="231">
        <f t="shared" si="742"/>
        <v>20</v>
      </c>
      <c r="CB607" s="229">
        <f t="shared" si="720"/>
        <v>33</v>
      </c>
      <c r="CC607" s="234">
        <f t="shared" si="721"/>
        <v>4.8487499999999999</v>
      </c>
      <c r="CD607" s="234" cm="1">
        <f t="array" ref="CD607">$BM607 * IF($AH607&lt;=2,
SUMPRODUCT(INDEX($AV$61:$AX$65,,$AI607), INDEX($AY$61:$BE$65,,$AH607), 1 / ($BF$61:$BF$65*CC607 + (1-$BF$61:$BF$65)*BY607), N($AU$61:$AU$65&gt;$AM607)),
SUMPRODUCT(INDEX($AV$46:$AX$55,,$AI607), INDEX($AY$46:$BE$55,,$AH607), 1 / ($BG$46:$BG$55*CC607 + (1-$BG$46:$BG$55)*BY607), N($AU$46:$AU$55&gt;$AM607))
) / 1000</f>
        <v>0</v>
      </c>
      <c r="CE607" s="234" cm="1">
        <f t="array" ref="CE607">$BM607 * IF($AH607&lt;=2,
SUMPRODUCT(INDEX($AV$22:$AX$60,,$AI607), INDEX($AY$22:$BE$60,,$AH607), 1 / ($BF$22:$BF$60*CC607), N($AU$22:$AU$60&gt;$AM607)),
SUMPRODUCT(INDEX($AV$22:$AX$45,,$AI607), INDEX($AY$22:$BE$45,,$AH607), 1 / ($BG$22:$BG$45*CC607), N($AU$22:$AU$45&gt;$AM607))
) / 1000</f>
        <v>0</v>
      </c>
      <c r="CF607" s="229">
        <f t="shared" si="722"/>
        <v>0</v>
      </c>
      <c r="CG607" s="246"/>
      <c r="CH607" s="229">
        <f t="shared" si="723"/>
        <v>0</v>
      </c>
      <c r="CI607" s="228">
        <v>35</v>
      </c>
      <c r="CJ607" s="229">
        <f t="shared" si="724"/>
        <v>48</v>
      </c>
      <c r="CK607" s="234">
        <f t="shared" si="725"/>
        <v>3.0748170731707316</v>
      </c>
      <c r="CL607" s="234" cm="1">
        <f t="array" ref="CL607">$BM607 * SUMPRODUCT(INDEX($AV$76:$AX$81,,$AI607),INDEX($AY$76:$BE$81,,$AH607), N($AU$76:$AU$81&gt;$AM607)) / CK607 / 1000</f>
        <v>0</v>
      </c>
      <c r="CM607" s="231">
        <f t="shared" si="743"/>
        <v>30</v>
      </c>
      <c r="CN607" s="229">
        <f t="shared" si="726"/>
        <v>43</v>
      </c>
      <c r="CO607" s="234">
        <f t="shared" si="727"/>
        <v>3.5018750000000001</v>
      </c>
      <c r="CP607" s="234" cm="1">
        <f t="array" ref="CP607">$BM607 * IF($AH607&lt;=2,
SUMPRODUCT(INDEX($AV$71:$AX$75,,$AI607), INDEX($AY$71:$BE$75,,$AH607), 1 / ($BF$71:$BF$75*CO607 + (1-$BF$71:$BF$75)*CK607), N($AU$71:$AU$75&gt;$AM607)),
SUMPRODUCT(INDEX($AV$66:$AX$75,,$AI607), INDEX($AY$66:$BE$75,,$AH607), 1 / ($BG$66:$BG$75*CO607 + (1-$BG$66:$BG$75)*CK607), N($AU$66:$AU$75&gt;$AM607))
) / 1000</f>
        <v>0</v>
      </c>
      <c r="CQ607" s="231">
        <f t="shared" si="744"/>
        <v>25</v>
      </c>
      <c r="CR607" s="229">
        <f t="shared" si="728"/>
        <v>38</v>
      </c>
      <c r="CS607" s="234">
        <f t="shared" si="729"/>
        <v>4.0666935483870965</v>
      </c>
      <c r="CT607" s="234" cm="1">
        <f t="array" ref="CT607">$BM607 * IF($AH607&lt;=2,
SUMPRODUCT(INDEX($AV$66:$AX$70,,$AI607), INDEX($AY$66:$BE$70,,$AH607), 1 / ($BF$66:$BF$70*CS607 + (1-$BF$66:$BF$70)*CO607), N($AU$66:$AU$70&gt;$AM607)),
SUMPRODUCT(INDEX($AV$56:$AX$65,,$AI607), INDEX($AY$56:$BE$65,,$AH607), 1 / ($BG$56:$BG$65*CS607 + (1-$BG$56:$BG$65)*CO607), N($AU$56:$AU$65&gt;$AM607))
) / 1000</f>
        <v>0</v>
      </c>
      <c r="CU607" s="231">
        <f t="shared" si="745"/>
        <v>20</v>
      </c>
      <c r="CV607" s="229">
        <f t="shared" si="730"/>
        <v>33</v>
      </c>
      <c r="CW607" s="234">
        <f t="shared" si="731"/>
        <v>4.8487499999999999</v>
      </c>
      <c r="CX607" s="234" cm="1">
        <f t="array" ref="CX607">$BM607 * IF($AH607&lt;=2,
SUMPRODUCT(INDEX($AV$61:$AX$65,,$AI607), INDEX($AY$61:$BE$65,,$AH607), 1 / ($BF$61:$BF$65*CW607 + (1-$BF$61:$BF$65)*CS607), N($AU$61:$AU$65&gt;$AM607)),
SUMPRODUCT(INDEX($AV$46:$AX$55,,$AI607), INDEX($AY$46:$BE$55,,$AH607), 1 / ($BG$46:$BG$55*CW607 + (1-$BG$46:$BG$55)*CS607), N($AU$46:$AU$55&gt;$AM607))
) / 1000</f>
        <v>0</v>
      </c>
      <c r="CY607" s="234" cm="1">
        <f t="array" ref="CY607">$BM607 * IF($AH607&lt;=2,
SUMPRODUCT(INDEX($AV$22:$AX$60,,$AI607), INDEX($AY$22:$BE$60,,$AH607), 1 / ($BF$22:$BF$60*CW607), N($AU$22:$AU$60&gt;$AM607)),
SUMPRODUCT(INDEX($AV$22:$AX$45,,$AI607), INDEX($AY$22:$BE$45,,$AH607), 1 / ($BG$22:$BG$45*CW607), N($AU$22:$AU$45&gt;$AM607))
) / 1000</f>
        <v>0</v>
      </c>
      <c r="CZ607" s="229">
        <f t="shared" si="732"/>
        <v>0</v>
      </c>
      <c r="DA607" s="246"/>
    </row>
    <row r="608" spans="1:105" s="75" customFormat="1" ht="14.25" customHeight="1" x14ac:dyDescent="0.2">
      <c r="A608" s="230" t="b">
        <f t="shared" si="737"/>
        <v>0</v>
      </c>
      <c r="B608" s="253">
        <v>587</v>
      </c>
      <c r="C608" s="266"/>
      <c r="D608" s="266"/>
      <c r="E608" s="254"/>
      <c r="F608" s="255" t="str">
        <f>IF(ISBLANK(E608), "", VLOOKUP(E608, Z!$A$2:$C$4127, 3, FALSE))</f>
        <v/>
      </c>
      <c r="G608" s="256"/>
      <c r="H608" s="256"/>
      <c r="I608" s="256"/>
      <c r="J608" s="257"/>
      <c r="K608" s="258"/>
      <c r="L608" s="267"/>
      <c r="M608" s="268"/>
      <c r="N608" s="259" t="str" cm="1">
        <f t="array" ref="N608">IF($L608&gt;0, INDEX(Clean,1+AK608,$D$1), "")</f>
        <v/>
      </c>
      <c r="O608" s="260"/>
      <c r="P608" s="260"/>
      <c r="Q608" s="261"/>
      <c r="R608" s="264">
        <f t="shared" si="708"/>
        <v>0</v>
      </c>
      <c r="S608" s="259" t="str" cm="1">
        <f t="array" ref="S608">IF($L608&gt;0, INDEX(Clean,1+AL608,$D$1), "")</f>
        <v/>
      </c>
      <c r="T608" s="260"/>
      <c r="U608" s="260"/>
      <c r="V608" s="261"/>
      <c r="W608" s="267"/>
      <c r="X608" s="267"/>
      <c r="Y608" s="257"/>
      <c r="Z608" s="264">
        <f t="shared" si="709"/>
        <v>0</v>
      </c>
      <c r="AA608" s="269"/>
      <c r="AB608" s="266"/>
      <c r="AC608" s="254"/>
      <c r="AD608" s="255" t="str">
        <f>IF(ISBLANK(AC608), "", VLOOKUP(AC608, Z!$A$2:$C$4127, 3, FALSE))</f>
        <v/>
      </c>
      <c r="AE608" s="270"/>
      <c r="AF608" s="265">
        <f t="shared" si="710"/>
        <v>0</v>
      </c>
      <c r="AG608" s="246"/>
      <c r="AH608" s="228">
        <f t="shared" si="733"/>
        <v>1</v>
      </c>
      <c r="AI608" s="228">
        <f t="shared" si="734"/>
        <v>1</v>
      </c>
      <c r="AJ608" s="228">
        <f t="shared" si="735"/>
        <v>0</v>
      </c>
      <c r="AK608" s="228">
        <v>0</v>
      </c>
      <c r="AL608" s="228">
        <v>0</v>
      </c>
      <c r="AM608" s="228">
        <f t="shared" si="711"/>
        <v>-100</v>
      </c>
      <c r="AN608" s="228" cm="1">
        <f t="array" ref="AN608">IF(ISBLANK(G608), 1, IFERROR(MATCH(G608, INDEX(Kat,,1), 0), IFERROR(MATCH(Kat, INDEX(Use,,2), 0), MATCH(Kat, INDEX(Use,,3), 0))))</f>
        <v>1</v>
      </c>
      <c r="AO608" s="246"/>
      <c r="AP608" s="228" cm="1">
        <f t="array" ref="AP608">IF(W608&gt;0, INDEX(Kat, AN608,4), 0)</f>
        <v>0</v>
      </c>
      <c r="AQ608" s="228">
        <f t="shared" si="736"/>
        <v>0</v>
      </c>
      <c r="AR608" s="228" cm="1">
        <f t="array" ref="AR608">IF(X608&gt;0, INDEX(Kat, $AN608, 4+AQ608), 0)</f>
        <v>0</v>
      </c>
      <c r="AS608" s="228" cm="1">
        <f t="array" ref="AS608">IF(X608&gt;0, INDEX(Kat, $AN608, 9+AQ608), 0)</f>
        <v>0</v>
      </c>
      <c r="AT608" s="246"/>
      <c r="AU608" s="262"/>
      <c r="AV608" s="262"/>
      <c r="AW608" s="263"/>
      <c r="AX608" s="263"/>
      <c r="AY608" s="263"/>
      <c r="AZ608" s="263"/>
      <c r="BA608" s="263"/>
      <c r="BB608" s="263"/>
      <c r="BC608" s="263"/>
      <c r="BD608" s="263"/>
      <c r="BE608" s="263"/>
      <c r="BF608" s="263"/>
      <c r="BG608" s="263"/>
      <c r="BH608" s="246"/>
      <c r="BI608" s="228" cm="1">
        <f t="array" ref="BI608">INDEX(Use, $AH608, 4)</f>
        <v>7</v>
      </c>
      <c r="BJ608" s="228">
        <f t="shared" si="712"/>
        <v>32</v>
      </c>
      <c r="BK608" s="228">
        <f t="shared" si="738"/>
        <v>13</v>
      </c>
      <c r="BL608" s="228">
        <f t="shared" si="739"/>
        <v>0</v>
      </c>
      <c r="BM608" s="233" cm="1">
        <f t="array" ref="BM608">L608/IF($M608&gt;0, INDEX($AY$22:$BE$76, $M608+20, $AH608), 1)</f>
        <v>0</v>
      </c>
      <c r="BN608" s="229">
        <f t="shared" si="713"/>
        <v>0</v>
      </c>
      <c r="BO608" s="228">
        <v>35</v>
      </c>
      <c r="BP608" s="229">
        <f t="shared" si="714"/>
        <v>48</v>
      </c>
      <c r="BQ608" s="234">
        <f t="shared" si="715"/>
        <v>3.0748170731707316</v>
      </c>
      <c r="BR608" s="234" cm="1">
        <f t="array" ref="BR608">$BM608 * SUMPRODUCT(INDEX($AV$76:$AX$81,,$AI608),INDEX($AY$76:$BE$81,,$AH608), N($AU$76:$AU$81&gt;$AM608)) / BQ608 / 1000</f>
        <v>0</v>
      </c>
      <c r="BS608" s="231">
        <f t="shared" si="740"/>
        <v>30</v>
      </c>
      <c r="BT608" s="229">
        <f t="shared" si="716"/>
        <v>43</v>
      </c>
      <c r="BU608" s="234">
        <f t="shared" si="717"/>
        <v>3.5018750000000001</v>
      </c>
      <c r="BV608" s="234" cm="1">
        <f t="array" ref="BV608">$BM608 * IF($AH608&lt;=2,
SUMPRODUCT(INDEX($AV$71:$AX$75,,$AI608), INDEX($AY$71:$BE$75,,$AH608), 1 / ($BF$71:$BF$75*BU608 + (1-$BF$71:$BF$75)*BQ608), N($AU$71:$AU$75&gt;$AM608)),
SUMPRODUCT(INDEX($AV$66:$AX$75,,$AI608), INDEX($AY$66:$BE$75,,$AH608), 1 / ($BG$66:$BG$75*BU608 + (1-$BG$66:$BG$75)*BQ608), N($AU$66:$AU$75&gt;$AM608))
) / 1000</f>
        <v>0</v>
      </c>
      <c r="BW608" s="231">
        <f t="shared" si="741"/>
        <v>25</v>
      </c>
      <c r="BX608" s="229">
        <f t="shared" si="718"/>
        <v>38</v>
      </c>
      <c r="BY608" s="234">
        <f t="shared" si="719"/>
        <v>4.0666935483870965</v>
      </c>
      <c r="BZ608" s="234" cm="1">
        <f t="array" ref="BZ608">$BM608 * IF($AH608&lt;=2,
SUMPRODUCT(INDEX($AV$66:$AX$70,,$AI608), INDEX($AY$66:$BE$70,,$AH608), 1 / ($BF$66:$BF$70*BY608 + (1-$BF$66:$BF$70)*BU608), N($AU$66:$AU$70&gt;$AM608)),
SUMPRODUCT(INDEX($AV$56:$AX$65,,$AI608), INDEX($AY$56:$BE$65,,$AH608), 1 / ($BG$56:$BG$65*BY608 + (1-$BG$56:$BG$65)*BU608), N($AU$56:$AU$65&gt;$AM608))
) / 1000</f>
        <v>0</v>
      </c>
      <c r="CA608" s="231">
        <f t="shared" si="742"/>
        <v>20</v>
      </c>
      <c r="CB608" s="229">
        <f t="shared" si="720"/>
        <v>33</v>
      </c>
      <c r="CC608" s="234">
        <f t="shared" si="721"/>
        <v>4.8487499999999999</v>
      </c>
      <c r="CD608" s="234" cm="1">
        <f t="array" ref="CD608">$BM608 * IF($AH608&lt;=2,
SUMPRODUCT(INDEX($AV$61:$AX$65,,$AI608), INDEX($AY$61:$BE$65,,$AH608), 1 / ($BF$61:$BF$65*CC608 + (1-$BF$61:$BF$65)*BY608), N($AU$61:$AU$65&gt;$AM608)),
SUMPRODUCT(INDEX($AV$46:$AX$55,,$AI608), INDEX($AY$46:$BE$55,,$AH608), 1 / ($BG$46:$BG$55*CC608 + (1-$BG$46:$BG$55)*BY608), N($AU$46:$AU$55&gt;$AM608))
) / 1000</f>
        <v>0</v>
      </c>
      <c r="CE608" s="234" cm="1">
        <f t="array" ref="CE608">$BM608 * IF($AH608&lt;=2,
SUMPRODUCT(INDEX($AV$22:$AX$60,,$AI608), INDEX($AY$22:$BE$60,,$AH608), 1 / ($BF$22:$BF$60*CC608), N($AU$22:$AU$60&gt;$AM608)),
SUMPRODUCT(INDEX($AV$22:$AX$45,,$AI608), INDEX($AY$22:$BE$45,,$AH608), 1 / ($BG$22:$BG$45*CC608), N($AU$22:$AU$45&gt;$AM608))
) / 1000</f>
        <v>0</v>
      </c>
      <c r="CF608" s="229">
        <f t="shared" si="722"/>
        <v>0</v>
      </c>
      <c r="CG608" s="246"/>
      <c r="CH608" s="229">
        <f t="shared" si="723"/>
        <v>0</v>
      </c>
      <c r="CI608" s="228">
        <v>35</v>
      </c>
      <c r="CJ608" s="229">
        <f t="shared" si="724"/>
        <v>48</v>
      </c>
      <c r="CK608" s="234">
        <f t="shared" si="725"/>
        <v>3.0748170731707316</v>
      </c>
      <c r="CL608" s="234" cm="1">
        <f t="array" ref="CL608">$BM608 * SUMPRODUCT(INDEX($AV$76:$AX$81,,$AI608),INDEX($AY$76:$BE$81,,$AH608), N($AU$76:$AU$81&gt;$AM608)) / CK608 / 1000</f>
        <v>0</v>
      </c>
      <c r="CM608" s="231">
        <f t="shared" si="743"/>
        <v>30</v>
      </c>
      <c r="CN608" s="229">
        <f t="shared" si="726"/>
        <v>43</v>
      </c>
      <c r="CO608" s="234">
        <f t="shared" si="727"/>
        <v>3.5018750000000001</v>
      </c>
      <c r="CP608" s="234" cm="1">
        <f t="array" ref="CP608">$BM608 * IF($AH608&lt;=2,
SUMPRODUCT(INDEX($AV$71:$AX$75,,$AI608), INDEX($AY$71:$BE$75,,$AH608), 1 / ($BF$71:$BF$75*CO608 + (1-$BF$71:$BF$75)*CK608), N($AU$71:$AU$75&gt;$AM608)),
SUMPRODUCT(INDEX($AV$66:$AX$75,,$AI608), INDEX($AY$66:$BE$75,,$AH608), 1 / ($BG$66:$BG$75*CO608 + (1-$BG$66:$BG$75)*CK608), N($AU$66:$AU$75&gt;$AM608))
) / 1000</f>
        <v>0</v>
      </c>
      <c r="CQ608" s="231">
        <f t="shared" si="744"/>
        <v>25</v>
      </c>
      <c r="CR608" s="229">
        <f t="shared" si="728"/>
        <v>38</v>
      </c>
      <c r="CS608" s="234">
        <f t="shared" si="729"/>
        <v>4.0666935483870965</v>
      </c>
      <c r="CT608" s="234" cm="1">
        <f t="array" ref="CT608">$BM608 * IF($AH608&lt;=2,
SUMPRODUCT(INDEX($AV$66:$AX$70,,$AI608), INDEX($AY$66:$BE$70,,$AH608), 1 / ($BF$66:$BF$70*CS608 + (1-$BF$66:$BF$70)*CO608), N($AU$66:$AU$70&gt;$AM608)),
SUMPRODUCT(INDEX($AV$56:$AX$65,,$AI608), INDEX($AY$56:$BE$65,,$AH608), 1 / ($BG$56:$BG$65*CS608 + (1-$BG$56:$BG$65)*CO608), N($AU$56:$AU$65&gt;$AM608))
) / 1000</f>
        <v>0</v>
      </c>
      <c r="CU608" s="231">
        <f t="shared" si="745"/>
        <v>20</v>
      </c>
      <c r="CV608" s="229">
        <f t="shared" si="730"/>
        <v>33</v>
      </c>
      <c r="CW608" s="234">
        <f t="shared" si="731"/>
        <v>4.8487499999999999</v>
      </c>
      <c r="CX608" s="234" cm="1">
        <f t="array" ref="CX608">$BM608 * IF($AH608&lt;=2,
SUMPRODUCT(INDEX($AV$61:$AX$65,,$AI608), INDEX($AY$61:$BE$65,,$AH608), 1 / ($BF$61:$BF$65*CW608 + (1-$BF$61:$BF$65)*CS608), N($AU$61:$AU$65&gt;$AM608)),
SUMPRODUCT(INDEX($AV$46:$AX$55,,$AI608), INDEX($AY$46:$BE$55,,$AH608), 1 / ($BG$46:$BG$55*CW608 + (1-$BG$46:$BG$55)*CS608), N($AU$46:$AU$55&gt;$AM608))
) / 1000</f>
        <v>0</v>
      </c>
      <c r="CY608" s="234" cm="1">
        <f t="array" ref="CY608">$BM608 * IF($AH608&lt;=2,
SUMPRODUCT(INDEX($AV$22:$AX$60,,$AI608), INDEX($AY$22:$BE$60,,$AH608), 1 / ($BF$22:$BF$60*CW608), N($AU$22:$AU$60&gt;$AM608)),
SUMPRODUCT(INDEX($AV$22:$AX$45,,$AI608), INDEX($AY$22:$BE$45,,$AH608), 1 / ($BG$22:$BG$45*CW608), N($AU$22:$AU$45&gt;$AM608))
) / 1000</f>
        <v>0</v>
      </c>
      <c r="CZ608" s="229">
        <f t="shared" si="732"/>
        <v>0</v>
      </c>
      <c r="DA608" s="246"/>
    </row>
    <row r="609" spans="1:105" s="75" customFormat="1" ht="14.25" customHeight="1" x14ac:dyDescent="0.2">
      <c r="A609" s="230" t="b">
        <f t="shared" si="737"/>
        <v>0</v>
      </c>
      <c r="B609" s="253">
        <v>588</v>
      </c>
      <c r="C609" s="266"/>
      <c r="D609" s="266"/>
      <c r="E609" s="254"/>
      <c r="F609" s="255" t="str">
        <f>IF(ISBLANK(E609), "", VLOOKUP(E609, Z!$A$2:$C$4127, 3, FALSE))</f>
        <v/>
      </c>
      <c r="G609" s="256"/>
      <c r="H609" s="256"/>
      <c r="I609" s="256"/>
      <c r="J609" s="257"/>
      <c r="K609" s="258"/>
      <c r="L609" s="267"/>
      <c r="M609" s="268"/>
      <c r="N609" s="259" t="str" cm="1">
        <f t="array" ref="N609">IF($L609&gt;0, INDEX(Clean,1+AK609,$D$1), "")</f>
        <v/>
      </c>
      <c r="O609" s="260"/>
      <c r="P609" s="260"/>
      <c r="Q609" s="261"/>
      <c r="R609" s="264">
        <f t="shared" si="708"/>
        <v>0</v>
      </c>
      <c r="S609" s="259" t="str" cm="1">
        <f t="array" ref="S609">IF($L609&gt;0, INDEX(Clean,1+AL609,$D$1), "")</f>
        <v/>
      </c>
      <c r="T609" s="260"/>
      <c r="U609" s="260"/>
      <c r="V609" s="261"/>
      <c r="W609" s="267"/>
      <c r="X609" s="267"/>
      <c r="Y609" s="257"/>
      <c r="Z609" s="264">
        <f t="shared" si="709"/>
        <v>0</v>
      </c>
      <c r="AA609" s="269"/>
      <c r="AB609" s="266"/>
      <c r="AC609" s="254"/>
      <c r="AD609" s="255" t="str">
        <f>IF(ISBLANK(AC609), "", VLOOKUP(AC609, Z!$A$2:$C$4127, 3, FALSE))</f>
        <v/>
      </c>
      <c r="AE609" s="270"/>
      <c r="AF609" s="265">
        <f t="shared" si="710"/>
        <v>0</v>
      </c>
      <c r="AG609" s="246"/>
      <c r="AH609" s="228">
        <f t="shared" si="733"/>
        <v>1</v>
      </c>
      <c r="AI609" s="228">
        <f t="shared" si="734"/>
        <v>1</v>
      </c>
      <c r="AJ609" s="228">
        <f t="shared" si="735"/>
        <v>0</v>
      </c>
      <c r="AK609" s="228">
        <v>0</v>
      </c>
      <c r="AL609" s="228">
        <v>0</v>
      </c>
      <c r="AM609" s="228">
        <f t="shared" si="711"/>
        <v>-100</v>
      </c>
      <c r="AN609" s="228" cm="1">
        <f t="array" ref="AN609">IF(ISBLANK(G609), 1, IFERROR(MATCH(G609, INDEX(Kat,,1), 0), IFERROR(MATCH(Kat, INDEX(Use,,2), 0), MATCH(Kat, INDEX(Use,,3), 0))))</f>
        <v>1</v>
      </c>
      <c r="AO609" s="246"/>
      <c r="AP609" s="228" cm="1">
        <f t="array" ref="AP609">IF(W609&gt;0, INDEX(Kat, AN609,4), 0)</f>
        <v>0</v>
      </c>
      <c r="AQ609" s="228">
        <f t="shared" si="736"/>
        <v>0</v>
      </c>
      <c r="AR609" s="228" cm="1">
        <f t="array" ref="AR609">IF(X609&gt;0, INDEX(Kat, $AN609, 4+AQ609), 0)</f>
        <v>0</v>
      </c>
      <c r="AS609" s="228" cm="1">
        <f t="array" ref="AS609">IF(X609&gt;0, INDEX(Kat, $AN609, 9+AQ609), 0)</f>
        <v>0</v>
      </c>
      <c r="AT609" s="246"/>
      <c r="AU609" s="262"/>
      <c r="AV609" s="262"/>
      <c r="AW609" s="263"/>
      <c r="AX609" s="263"/>
      <c r="AY609" s="263"/>
      <c r="AZ609" s="263"/>
      <c r="BA609" s="263"/>
      <c r="BB609" s="263"/>
      <c r="BC609" s="263"/>
      <c r="BD609" s="263"/>
      <c r="BE609" s="263"/>
      <c r="BF609" s="263"/>
      <c r="BG609" s="263"/>
      <c r="BH609" s="246"/>
      <c r="BI609" s="228" cm="1">
        <f t="array" ref="BI609">INDEX(Use, $AH609, 4)</f>
        <v>7</v>
      </c>
      <c r="BJ609" s="228">
        <f t="shared" si="712"/>
        <v>32</v>
      </c>
      <c r="BK609" s="228">
        <f t="shared" si="738"/>
        <v>13</v>
      </c>
      <c r="BL609" s="228">
        <f t="shared" si="739"/>
        <v>0</v>
      </c>
      <c r="BM609" s="233" cm="1">
        <f t="array" ref="BM609">L609/IF($M609&gt;0, INDEX($AY$22:$BE$76, $M609+20, $AH609), 1)</f>
        <v>0</v>
      </c>
      <c r="BN609" s="229">
        <f t="shared" si="713"/>
        <v>0</v>
      </c>
      <c r="BO609" s="228">
        <v>35</v>
      </c>
      <c r="BP609" s="229">
        <f t="shared" si="714"/>
        <v>48</v>
      </c>
      <c r="BQ609" s="234">
        <f t="shared" si="715"/>
        <v>3.0748170731707316</v>
      </c>
      <c r="BR609" s="234" cm="1">
        <f t="array" ref="BR609">$BM609 * SUMPRODUCT(INDEX($AV$76:$AX$81,,$AI609),INDEX($AY$76:$BE$81,,$AH609), N($AU$76:$AU$81&gt;$AM609)) / BQ609 / 1000</f>
        <v>0</v>
      </c>
      <c r="BS609" s="231">
        <f t="shared" si="740"/>
        <v>30</v>
      </c>
      <c r="BT609" s="229">
        <f t="shared" si="716"/>
        <v>43</v>
      </c>
      <c r="BU609" s="234">
        <f t="shared" si="717"/>
        <v>3.5018750000000001</v>
      </c>
      <c r="BV609" s="234" cm="1">
        <f t="array" ref="BV609">$BM609 * IF($AH609&lt;=2,
SUMPRODUCT(INDEX($AV$71:$AX$75,,$AI609), INDEX($AY$71:$BE$75,,$AH609), 1 / ($BF$71:$BF$75*BU609 + (1-$BF$71:$BF$75)*BQ609), N($AU$71:$AU$75&gt;$AM609)),
SUMPRODUCT(INDEX($AV$66:$AX$75,,$AI609), INDEX($AY$66:$BE$75,,$AH609), 1 / ($BG$66:$BG$75*BU609 + (1-$BG$66:$BG$75)*BQ609), N($AU$66:$AU$75&gt;$AM609))
) / 1000</f>
        <v>0</v>
      </c>
      <c r="BW609" s="231">
        <f t="shared" si="741"/>
        <v>25</v>
      </c>
      <c r="BX609" s="229">
        <f t="shared" si="718"/>
        <v>38</v>
      </c>
      <c r="BY609" s="234">
        <f t="shared" si="719"/>
        <v>4.0666935483870965</v>
      </c>
      <c r="BZ609" s="234" cm="1">
        <f t="array" ref="BZ609">$BM609 * IF($AH609&lt;=2,
SUMPRODUCT(INDEX($AV$66:$AX$70,,$AI609), INDEX($AY$66:$BE$70,,$AH609), 1 / ($BF$66:$BF$70*BY609 + (1-$BF$66:$BF$70)*BU609), N($AU$66:$AU$70&gt;$AM609)),
SUMPRODUCT(INDEX($AV$56:$AX$65,,$AI609), INDEX($AY$56:$BE$65,,$AH609), 1 / ($BG$56:$BG$65*BY609 + (1-$BG$56:$BG$65)*BU609), N($AU$56:$AU$65&gt;$AM609))
) / 1000</f>
        <v>0</v>
      </c>
      <c r="CA609" s="231">
        <f t="shared" si="742"/>
        <v>20</v>
      </c>
      <c r="CB609" s="229">
        <f t="shared" si="720"/>
        <v>33</v>
      </c>
      <c r="CC609" s="234">
        <f t="shared" si="721"/>
        <v>4.8487499999999999</v>
      </c>
      <c r="CD609" s="234" cm="1">
        <f t="array" ref="CD609">$BM609 * IF($AH609&lt;=2,
SUMPRODUCT(INDEX($AV$61:$AX$65,,$AI609), INDEX($AY$61:$BE$65,,$AH609), 1 / ($BF$61:$BF$65*CC609 + (1-$BF$61:$BF$65)*BY609), N($AU$61:$AU$65&gt;$AM609)),
SUMPRODUCT(INDEX($AV$46:$AX$55,,$AI609), INDEX($AY$46:$BE$55,,$AH609), 1 / ($BG$46:$BG$55*CC609 + (1-$BG$46:$BG$55)*BY609), N($AU$46:$AU$55&gt;$AM609))
) / 1000</f>
        <v>0</v>
      </c>
      <c r="CE609" s="234" cm="1">
        <f t="array" ref="CE609">$BM609 * IF($AH609&lt;=2,
SUMPRODUCT(INDEX($AV$22:$AX$60,,$AI609), INDEX($AY$22:$BE$60,,$AH609), 1 / ($BF$22:$BF$60*CC609), N($AU$22:$AU$60&gt;$AM609)),
SUMPRODUCT(INDEX($AV$22:$AX$45,,$AI609), INDEX($AY$22:$BE$45,,$AH609), 1 / ($BG$22:$BG$45*CC609), N($AU$22:$AU$45&gt;$AM609))
) / 1000</f>
        <v>0</v>
      </c>
      <c r="CF609" s="229">
        <f t="shared" si="722"/>
        <v>0</v>
      </c>
      <c r="CG609" s="246"/>
      <c r="CH609" s="229">
        <f t="shared" si="723"/>
        <v>0</v>
      </c>
      <c r="CI609" s="228">
        <v>35</v>
      </c>
      <c r="CJ609" s="229">
        <f t="shared" si="724"/>
        <v>48</v>
      </c>
      <c r="CK609" s="234">
        <f t="shared" si="725"/>
        <v>3.0748170731707316</v>
      </c>
      <c r="CL609" s="234" cm="1">
        <f t="array" ref="CL609">$BM609 * SUMPRODUCT(INDEX($AV$76:$AX$81,,$AI609),INDEX($AY$76:$BE$81,,$AH609), N($AU$76:$AU$81&gt;$AM609)) / CK609 / 1000</f>
        <v>0</v>
      </c>
      <c r="CM609" s="231">
        <f t="shared" si="743"/>
        <v>30</v>
      </c>
      <c r="CN609" s="229">
        <f t="shared" si="726"/>
        <v>43</v>
      </c>
      <c r="CO609" s="234">
        <f t="shared" si="727"/>
        <v>3.5018750000000001</v>
      </c>
      <c r="CP609" s="234" cm="1">
        <f t="array" ref="CP609">$BM609 * IF($AH609&lt;=2,
SUMPRODUCT(INDEX($AV$71:$AX$75,,$AI609), INDEX($AY$71:$BE$75,,$AH609), 1 / ($BF$71:$BF$75*CO609 + (1-$BF$71:$BF$75)*CK609), N($AU$71:$AU$75&gt;$AM609)),
SUMPRODUCT(INDEX($AV$66:$AX$75,,$AI609), INDEX($AY$66:$BE$75,,$AH609), 1 / ($BG$66:$BG$75*CO609 + (1-$BG$66:$BG$75)*CK609), N($AU$66:$AU$75&gt;$AM609))
) / 1000</f>
        <v>0</v>
      </c>
      <c r="CQ609" s="231">
        <f t="shared" si="744"/>
        <v>25</v>
      </c>
      <c r="CR609" s="229">
        <f t="shared" si="728"/>
        <v>38</v>
      </c>
      <c r="CS609" s="234">
        <f t="shared" si="729"/>
        <v>4.0666935483870965</v>
      </c>
      <c r="CT609" s="234" cm="1">
        <f t="array" ref="CT609">$BM609 * IF($AH609&lt;=2,
SUMPRODUCT(INDEX($AV$66:$AX$70,,$AI609), INDEX($AY$66:$BE$70,,$AH609), 1 / ($BF$66:$BF$70*CS609 + (1-$BF$66:$BF$70)*CO609), N($AU$66:$AU$70&gt;$AM609)),
SUMPRODUCT(INDEX($AV$56:$AX$65,,$AI609), INDEX($AY$56:$BE$65,,$AH609), 1 / ($BG$56:$BG$65*CS609 + (1-$BG$56:$BG$65)*CO609), N($AU$56:$AU$65&gt;$AM609))
) / 1000</f>
        <v>0</v>
      </c>
      <c r="CU609" s="231">
        <f t="shared" si="745"/>
        <v>20</v>
      </c>
      <c r="CV609" s="229">
        <f t="shared" si="730"/>
        <v>33</v>
      </c>
      <c r="CW609" s="234">
        <f t="shared" si="731"/>
        <v>4.8487499999999999</v>
      </c>
      <c r="CX609" s="234" cm="1">
        <f t="array" ref="CX609">$BM609 * IF($AH609&lt;=2,
SUMPRODUCT(INDEX($AV$61:$AX$65,,$AI609), INDEX($AY$61:$BE$65,,$AH609), 1 / ($BF$61:$BF$65*CW609 + (1-$BF$61:$BF$65)*CS609), N($AU$61:$AU$65&gt;$AM609)),
SUMPRODUCT(INDEX($AV$46:$AX$55,,$AI609), INDEX($AY$46:$BE$55,,$AH609), 1 / ($BG$46:$BG$55*CW609 + (1-$BG$46:$BG$55)*CS609), N($AU$46:$AU$55&gt;$AM609))
) / 1000</f>
        <v>0</v>
      </c>
      <c r="CY609" s="234" cm="1">
        <f t="array" ref="CY609">$BM609 * IF($AH609&lt;=2,
SUMPRODUCT(INDEX($AV$22:$AX$60,,$AI609), INDEX($AY$22:$BE$60,,$AH609), 1 / ($BF$22:$BF$60*CW609), N($AU$22:$AU$60&gt;$AM609)),
SUMPRODUCT(INDEX($AV$22:$AX$45,,$AI609), INDEX($AY$22:$BE$45,,$AH609), 1 / ($BG$22:$BG$45*CW609), N($AU$22:$AU$45&gt;$AM609))
) / 1000</f>
        <v>0</v>
      </c>
      <c r="CZ609" s="229">
        <f t="shared" si="732"/>
        <v>0</v>
      </c>
      <c r="DA609" s="246"/>
    </row>
    <row r="610" spans="1:105" s="75" customFormat="1" ht="14.25" customHeight="1" x14ac:dyDescent="0.2">
      <c r="A610" s="230" t="b">
        <f t="shared" si="737"/>
        <v>0</v>
      </c>
      <c r="B610" s="253">
        <v>589</v>
      </c>
      <c r="C610" s="266"/>
      <c r="D610" s="266"/>
      <c r="E610" s="254"/>
      <c r="F610" s="255" t="str">
        <f>IF(ISBLANK(E610), "", VLOOKUP(E610, Z!$A$2:$C$4127, 3, FALSE))</f>
        <v/>
      </c>
      <c r="G610" s="256"/>
      <c r="H610" s="256"/>
      <c r="I610" s="256"/>
      <c r="J610" s="257"/>
      <c r="K610" s="258"/>
      <c r="L610" s="267"/>
      <c r="M610" s="268"/>
      <c r="N610" s="259" t="str" cm="1">
        <f t="array" ref="N610">IF($L610&gt;0, INDEX(Clean,1+AK610,$D$1), "")</f>
        <v/>
      </c>
      <c r="O610" s="260"/>
      <c r="P610" s="260"/>
      <c r="Q610" s="261"/>
      <c r="R610" s="264">
        <f t="shared" si="708"/>
        <v>0</v>
      </c>
      <c r="S610" s="259" t="str" cm="1">
        <f t="array" ref="S610">IF($L610&gt;0, INDEX(Clean,1+AL610,$D$1), "")</f>
        <v/>
      </c>
      <c r="T610" s="260"/>
      <c r="U610" s="260"/>
      <c r="V610" s="261"/>
      <c r="W610" s="267"/>
      <c r="X610" s="267"/>
      <c r="Y610" s="257"/>
      <c r="Z610" s="264">
        <f t="shared" si="709"/>
        <v>0</v>
      </c>
      <c r="AA610" s="269"/>
      <c r="AB610" s="266"/>
      <c r="AC610" s="254"/>
      <c r="AD610" s="255" t="str">
        <f>IF(ISBLANK(AC610), "", VLOOKUP(AC610, Z!$A$2:$C$4127, 3, FALSE))</f>
        <v/>
      </c>
      <c r="AE610" s="270"/>
      <c r="AF610" s="265">
        <f t="shared" si="710"/>
        <v>0</v>
      </c>
      <c r="AG610" s="246"/>
      <c r="AH610" s="228">
        <f t="shared" si="733"/>
        <v>1</v>
      </c>
      <c r="AI610" s="228">
        <f t="shared" si="734"/>
        <v>1</v>
      </c>
      <c r="AJ610" s="228">
        <f t="shared" si="735"/>
        <v>0</v>
      </c>
      <c r="AK610" s="228">
        <v>0</v>
      </c>
      <c r="AL610" s="228">
        <v>0</v>
      </c>
      <c r="AM610" s="228">
        <f t="shared" si="711"/>
        <v>-100</v>
      </c>
      <c r="AN610" s="228" cm="1">
        <f t="array" ref="AN610">IF(ISBLANK(G610), 1, IFERROR(MATCH(G610, INDEX(Kat,,1), 0), IFERROR(MATCH(Kat, INDEX(Use,,2), 0), MATCH(Kat, INDEX(Use,,3), 0))))</f>
        <v>1</v>
      </c>
      <c r="AO610" s="246"/>
      <c r="AP610" s="228" cm="1">
        <f t="array" ref="AP610">IF(W610&gt;0, INDEX(Kat, AN610,4), 0)</f>
        <v>0</v>
      </c>
      <c r="AQ610" s="228">
        <f t="shared" si="736"/>
        <v>0</v>
      </c>
      <c r="AR610" s="228" cm="1">
        <f t="array" ref="AR610">IF(X610&gt;0, INDEX(Kat, $AN610, 4+AQ610), 0)</f>
        <v>0</v>
      </c>
      <c r="AS610" s="228" cm="1">
        <f t="array" ref="AS610">IF(X610&gt;0, INDEX(Kat, $AN610, 9+AQ610), 0)</f>
        <v>0</v>
      </c>
      <c r="AT610" s="246"/>
      <c r="AU610" s="262"/>
      <c r="AV610" s="262"/>
      <c r="AW610" s="263"/>
      <c r="AX610" s="263"/>
      <c r="AY610" s="263"/>
      <c r="AZ610" s="263"/>
      <c r="BA610" s="263"/>
      <c r="BB610" s="263"/>
      <c r="BC610" s="263"/>
      <c r="BD610" s="263"/>
      <c r="BE610" s="263"/>
      <c r="BF610" s="263"/>
      <c r="BG610" s="263"/>
      <c r="BH610" s="246"/>
      <c r="BI610" s="228" cm="1">
        <f t="array" ref="BI610">INDEX(Use, $AH610, 4)</f>
        <v>7</v>
      </c>
      <c r="BJ610" s="228">
        <f t="shared" si="712"/>
        <v>32</v>
      </c>
      <c r="BK610" s="228">
        <f t="shared" si="738"/>
        <v>13</v>
      </c>
      <c r="BL610" s="228">
        <f t="shared" si="739"/>
        <v>0</v>
      </c>
      <c r="BM610" s="233" cm="1">
        <f t="array" ref="BM610">L610/IF($M610&gt;0, INDEX($AY$22:$BE$76, $M610+20, $AH610), 1)</f>
        <v>0</v>
      </c>
      <c r="BN610" s="229">
        <f t="shared" si="713"/>
        <v>0</v>
      </c>
      <c r="BO610" s="228">
        <v>35</v>
      </c>
      <c r="BP610" s="229">
        <f t="shared" si="714"/>
        <v>48</v>
      </c>
      <c r="BQ610" s="234">
        <f t="shared" si="715"/>
        <v>3.0748170731707316</v>
      </c>
      <c r="BR610" s="234" cm="1">
        <f t="array" ref="BR610">$BM610 * SUMPRODUCT(INDEX($AV$76:$AX$81,,$AI610),INDEX($AY$76:$BE$81,,$AH610), N($AU$76:$AU$81&gt;$AM610)) / BQ610 / 1000</f>
        <v>0</v>
      </c>
      <c r="BS610" s="231">
        <f t="shared" si="740"/>
        <v>30</v>
      </c>
      <c r="BT610" s="229">
        <f t="shared" si="716"/>
        <v>43</v>
      </c>
      <c r="BU610" s="234">
        <f t="shared" si="717"/>
        <v>3.5018750000000001</v>
      </c>
      <c r="BV610" s="234" cm="1">
        <f t="array" ref="BV610">$BM610 * IF($AH610&lt;=2,
SUMPRODUCT(INDEX($AV$71:$AX$75,,$AI610), INDEX($AY$71:$BE$75,,$AH610), 1 / ($BF$71:$BF$75*BU610 + (1-$BF$71:$BF$75)*BQ610), N($AU$71:$AU$75&gt;$AM610)),
SUMPRODUCT(INDEX($AV$66:$AX$75,,$AI610), INDEX($AY$66:$BE$75,,$AH610), 1 / ($BG$66:$BG$75*BU610 + (1-$BG$66:$BG$75)*BQ610), N($AU$66:$AU$75&gt;$AM610))
) / 1000</f>
        <v>0</v>
      </c>
      <c r="BW610" s="231">
        <f t="shared" si="741"/>
        <v>25</v>
      </c>
      <c r="BX610" s="229">
        <f t="shared" si="718"/>
        <v>38</v>
      </c>
      <c r="BY610" s="234">
        <f t="shared" si="719"/>
        <v>4.0666935483870965</v>
      </c>
      <c r="BZ610" s="234" cm="1">
        <f t="array" ref="BZ610">$BM610 * IF($AH610&lt;=2,
SUMPRODUCT(INDEX($AV$66:$AX$70,,$AI610), INDEX($AY$66:$BE$70,,$AH610), 1 / ($BF$66:$BF$70*BY610 + (1-$BF$66:$BF$70)*BU610), N($AU$66:$AU$70&gt;$AM610)),
SUMPRODUCT(INDEX($AV$56:$AX$65,,$AI610), INDEX($AY$56:$BE$65,,$AH610), 1 / ($BG$56:$BG$65*BY610 + (1-$BG$56:$BG$65)*BU610), N($AU$56:$AU$65&gt;$AM610))
) / 1000</f>
        <v>0</v>
      </c>
      <c r="CA610" s="231">
        <f t="shared" si="742"/>
        <v>20</v>
      </c>
      <c r="CB610" s="229">
        <f t="shared" si="720"/>
        <v>33</v>
      </c>
      <c r="CC610" s="234">
        <f t="shared" si="721"/>
        <v>4.8487499999999999</v>
      </c>
      <c r="CD610" s="234" cm="1">
        <f t="array" ref="CD610">$BM610 * IF($AH610&lt;=2,
SUMPRODUCT(INDEX($AV$61:$AX$65,,$AI610), INDEX($AY$61:$BE$65,,$AH610), 1 / ($BF$61:$BF$65*CC610 + (1-$BF$61:$BF$65)*BY610), N($AU$61:$AU$65&gt;$AM610)),
SUMPRODUCT(INDEX($AV$46:$AX$55,,$AI610), INDEX($AY$46:$BE$55,,$AH610), 1 / ($BG$46:$BG$55*CC610 + (1-$BG$46:$BG$55)*BY610), N($AU$46:$AU$55&gt;$AM610))
) / 1000</f>
        <v>0</v>
      </c>
      <c r="CE610" s="234" cm="1">
        <f t="array" ref="CE610">$BM610 * IF($AH610&lt;=2,
SUMPRODUCT(INDEX($AV$22:$AX$60,,$AI610), INDEX($AY$22:$BE$60,,$AH610), 1 / ($BF$22:$BF$60*CC610), N($AU$22:$AU$60&gt;$AM610)),
SUMPRODUCT(INDEX($AV$22:$AX$45,,$AI610), INDEX($AY$22:$BE$45,,$AH610), 1 / ($BG$22:$BG$45*CC610), N($AU$22:$AU$45&gt;$AM610))
) / 1000</f>
        <v>0</v>
      </c>
      <c r="CF610" s="229">
        <f t="shared" si="722"/>
        <v>0</v>
      </c>
      <c r="CG610" s="246"/>
      <c r="CH610" s="229">
        <f t="shared" si="723"/>
        <v>0</v>
      </c>
      <c r="CI610" s="228">
        <v>35</v>
      </c>
      <c r="CJ610" s="229">
        <f t="shared" si="724"/>
        <v>48</v>
      </c>
      <c r="CK610" s="234">
        <f t="shared" si="725"/>
        <v>3.0748170731707316</v>
      </c>
      <c r="CL610" s="234" cm="1">
        <f t="array" ref="CL610">$BM610 * SUMPRODUCT(INDEX($AV$76:$AX$81,,$AI610),INDEX($AY$76:$BE$81,,$AH610), N($AU$76:$AU$81&gt;$AM610)) / CK610 / 1000</f>
        <v>0</v>
      </c>
      <c r="CM610" s="231">
        <f t="shared" si="743"/>
        <v>30</v>
      </c>
      <c r="CN610" s="229">
        <f t="shared" si="726"/>
        <v>43</v>
      </c>
      <c r="CO610" s="234">
        <f t="shared" si="727"/>
        <v>3.5018750000000001</v>
      </c>
      <c r="CP610" s="234" cm="1">
        <f t="array" ref="CP610">$BM610 * IF($AH610&lt;=2,
SUMPRODUCT(INDEX($AV$71:$AX$75,,$AI610), INDEX($AY$71:$BE$75,,$AH610), 1 / ($BF$71:$BF$75*CO610 + (1-$BF$71:$BF$75)*CK610), N($AU$71:$AU$75&gt;$AM610)),
SUMPRODUCT(INDEX($AV$66:$AX$75,,$AI610), INDEX($AY$66:$BE$75,,$AH610), 1 / ($BG$66:$BG$75*CO610 + (1-$BG$66:$BG$75)*CK610), N($AU$66:$AU$75&gt;$AM610))
) / 1000</f>
        <v>0</v>
      </c>
      <c r="CQ610" s="231">
        <f t="shared" si="744"/>
        <v>25</v>
      </c>
      <c r="CR610" s="229">
        <f t="shared" si="728"/>
        <v>38</v>
      </c>
      <c r="CS610" s="234">
        <f t="shared" si="729"/>
        <v>4.0666935483870965</v>
      </c>
      <c r="CT610" s="234" cm="1">
        <f t="array" ref="CT610">$BM610 * IF($AH610&lt;=2,
SUMPRODUCT(INDEX($AV$66:$AX$70,,$AI610), INDEX($AY$66:$BE$70,,$AH610), 1 / ($BF$66:$BF$70*CS610 + (1-$BF$66:$BF$70)*CO610), N($AU$66:$AU$70&gt;$AM610)),
SUMPRODUCT(INDEX($AV$56:$AX$65,,$AI610), INDEX($AY$56:$BE$65,,$AH610), 1 / ($BG$56:$BG$65*CS610 + (1-$BG$56:$BG$65)*CO610), N($AU$56:$AU$65&gt;$AM610))
) / 1000</f>
        <v>0</v>
      </c>
      <c r="CU610" s="231">
        <f t="shared" si="745"/>
        <v>20</v>
      </c>
      <c r="CV610" s="229">
        <f t="shared" si="730"/>
        <v>33</v>
      </c>
      <c r="CW610" s="234">
        <f t="shared" si="731"/>
        <v>4.8487499999999999</v>
      </c>
      <c r="CX610" s="234" cm="1">
        <f t="array" ref="CX610">$BM610 * IF($AH610&lt;=2,
SUMPRODUCT(INDEX($AV$61:$AX$65,,$AI610), INDEX($AY$61:$BE$65,,$AH610), 1 / ($BF$61:$BF$65*CW610 + (1-$BF$61:$BF$65)*CS610), N($AU$61:$AU$65&gt;$AM610)),
SUMPRODUCT(INDEX($AV$46:$AX$55,,$AI610), INDEX($AY$46:$BE$55,,$AH610), 1 / ($BG$46:$BG$55*CW610 + (1-$BG$46:$BG$55)*CS610), N($AU$46:$AU$55&gt;$AM610))
) / 1000</f>
        <v>0</v>
      </c>
      <c r="CY610" s="234" cm="1">
        <f t="array" ref="CY610">$BM610 * IF($AH610&lt;=2,
SUMPRODUCT(INDEX($AV$22:$AX$60,,$AI610), INDEX($AY$22:$BE$60,,$AH610), 1 / ($BF$22:$BF$60*CW610), N($AU$22:$AU$60&gt;$AM610)),
SUMPRODUCT(INDEX($AV$22:$AX$45,,$AI610), INDEX($AY$22:$BE$45,,$AH610), 1 / ($BG$22:$BG$45*CW610), N($AU$22:$AU$45&gt;$AM610))
) / 1000</f>
        <v>0</v>
      </c>
      <c r="CZ610" s="229">
        <f t="shared" si="732"/>
        <v>0</v>
      </c>
      <c r="DA610" s="246"/>
    </row>
    <row r="611" spans="1:105" s="75" customFormat="1" ht="14.25" customHeight="1" x14ac:dyDescent="0.2">
      <c r="A611" s="230" t="b">
        <f t="shared" si="737"/>
        <v>0</v>
      </c>
      <c r="B611" s="253">
        <v>590</v>
      </c>
      <c r="C611" s="266"/>
      <c r="D611" s="266"/>
      <c r="E611" s="254"/>
      <c r="F611" s="255" t="str">
        <f>IF(ISBLANK(E611), "", VLOOKUP(E611, Z!$A$2:$C$4127, 3, FALSE))</f>
        <v/>
      </c>
      <c r="G611" s="256"/>
      <c r="H611" s="256"/>
      <c r="I611" s="256"/>
      <c r="J611" s="257"/>
      <c r="K611" s="258"/>
      <c r="L611" s="267"/>
      <c r="M611" s="268"/>
      <c r="N611" s="259" t="str" cm="1">
        <f t="array" ref="N611">IF($L611&gt;0, INDEX(Clean,1+AK611,$D$1), "")</f>
        <v/>
      </c>
      <c r="O611" s="260"/>
      <c r="P611" s="260"/>
      <c r="Q611" s="261"/>
      <c r="R611" s="264">
        <f t="shared" si="708"/>
        <v>0</v>
      </c>
      <c r="S611" s="259" t="str" cm="1">
        <f t="array" ref="S611">IF($L611&gt;0, INDEX(Clean,1+AL611,$D$1), "")</f>
        <v/>
      </c>
      <c r="T611" s="260"/>
      <c r="U611" s="260"/>
      <c r="V611" s="261"/>
      <c r="W611" s="267"/>
      <c r="X611" s="267"/>
      <c r="Y611" s="257"/>
      <c r="Z611" s="264">
        <f t="shared" si="709"/>
        <v>0</v>
      </c>
      <c r="AA611" s="269"/>
      <c r="AB611" s="266"/>
      <c r="AC611" s="254"/>
      <c r="AD611" s="255" t="str">
        <f>IF(ISBLANK(AC611), "", VLOOKUP(AC611, Z!$A$2:$C$4127, 3, FALSE))</f>
        <v/>
      </c>
      <c r="AE611" s="270"/>
      <c r="AF611" s="265">
        <f t="shared" si="710"/>
        <v>0</v>
      </c>
      <c r="AG611" s="246"/>
      <c r="AH611" s="228">
        <f t="shared" si="733"/>
        <v>1</v>
      </c>
      <c r="AI611" s="228">
        <f t="shared" si="734"/>
        <v>1</v>
      </c>
      <c r="AJ611" s="228">
        <f t="shared" si="735"/>
        <v>0</v>
      </c>
      <c r="AK611" s="228">
        <v>0</v>
      </c>
      <c r="AL611" s="228">
        <v>0</v>
      </c>
      <c r="AM611" s="228">
        <f t="shared" si="711"/>
        <v>-100</v>
      </c>
      <c r="AN611" s="228" cm="1">
        <f t="array" ref="AN611">IF(ISBLANK(G611), 1, IFERROR(MATCH(G611, INDEX(Kat,,1), 0), IFERROR(MATCH(Kat, INDEX(Use,,2), 0), MATCH(Kat, INDEX(Use,,3), 0))))</f>
        <v>1</v>
      </c>
      <c r="AO611" s="246"/>
      <c r="AP611" s="228" cm="1">
        <f t="array" ref="AP611">IF(W611&gt;0, INDEX(Kat, AN611,4), 0)</f>
        <v>0</v>
      </c>
      <c r="AQ611" s="228">
        <f t="shared" si="736"/>
        <v>0</v>
      </c>
      <c r="AR611" s="228" cm="1">
        <f t="array" ref="AR611">IF(X611&gt;0, INDEX(Kat, $AN611, 4+AQ611), 0)</f>
        <v>0</v>
      </c>
      <c r="AS611" s="228" cm="1">
        <f t="array" ref="AS611">IF(X611&gt;0, INDEX(Kat, $AN611, 9+AQ611), 0)</f>
        <v>0</v>
      </c>
      <c r="AT611" s="246"/>
      <c r="AU611" s="262"/>
      <c r="AV611" s="262"/>
      <c r="AW611" s="263"/>
      <c r="AX611" s="263"/>
      <c r="AY611" s="263"/>
      <c r="AZ611" s="263"/>
      <c r="BA611" s="263"/>
      <c r="BB611" s="263"/>
      <c r="BC611" s="263"/>
      <c r="BD611" s="263"/>
      <c r="BE611" s="263"/>
      <c r="BF611" s="263"/>
      <c r="BG611" s="263"/>
      <c r="BH611" s="246"/>
      <c r="BI611" s="228" cm="1">
        <f t="array" ref="BI611">INDEX(Use, $AH611, 4)</f>
        <v>7</v>
      </c>
      <c r="BJ611" s="228">
        <f t="shared" si="712"/>
        <v>32</v>
      </c>
      <c r="BK611" s="228">
        <f t="shared" si="738"/>
        <v>13</v>
      </c>
      <c r="BL611" s="228">
        <f t="shared" si="739"/>
        <v>0</v>
      </c>
      <c r="BM611" s="233" cm="1">
        <f t="array" ref="BM611">L611/IF($M611&gt;0, INDEX($AY$22:$BE$76, $M611+20, $AH611), 1)</f>
        <v>0</v>
      </c>
      <c r="BN611" s="229">
        <f t="shared" si="713"/>
        <v>0</v>
      </c>
      <c r="BO611" s="228">
        <v>35</v>
      </c>
      <c r="BP611" s="229">
        <f t="shared" si="714"/>
        <v>48</v>
      </c>
      <c r="BQ611" s="234">
        <f t="shared" si="715"/>
        <v>3.0748170731707316</v>
      </c>
      <c r="BR611" s="234" cm="1">
        <f t="array" ref="BR611">$BM611 * SUMPRODUCT(INDEX($AV$76:$AX$81,,$AI611),INDEX($AY$76:$BE$81,,$AH611), N($AU$76:$AU$81&gt;$AM611)) / BQ611 / 1000</f>
        <v>0</v>
      </c>
      <c r="BS611" s="231">
        <f t="shared" si="740"/>
        <v>30</v>
      </c>
      <c r="BT611" s="229">
        <f t="shared" si="716"/>
        <v>43</v>
      </c>
      <c r="BU611" s="234">
        <f t="shared" si="717"/>
        <v>3.5018750000000001</v>
      </c>
      <c r="BV611" s="234" cm="1">
        <f t="array" ref="BV611">$BM611 * IF($AH611&lt;=2,
SUMPRODUCT(INDEX($AV$71:$AX$75,,$AI611), INDEX($AY$71:$BE$75,,$AH611), 1 / ($BF$71:$BF$75*BU611 + (1-$BF$71:$BF$75)*BQ611), N($AU$71:$AU$75&gt;$AM611)),
SUMPRODUCT(INDEX($AV$66:$AX$75,,$AI611), INDEX($AY$66:$BE$75,,$AH611), 1 / ($BG$66:$BG$75*BU611 + (1-$BG$66:$BG$75)*BQ611), N($AU$66:$AU$75&gt;$AM611))
) / 1000</f>
        <v>0</v>
      </c>
      <c r="BW611" s="231">
        <f t="shared" si="741"/>
        <v>25</v>
      </c>
      <c r="BX611" s="229">
        <f t="shared" si="718"/>
        <v>38</v>
      </c>
      <c r="BY611" s="234">
        <f t="shared" si="719"/>
        <v>4.0666935483870965</v>
      </c>
      <c r="BZ611" s="234" cm="1">
        <f t="array" ref="BZ611">$BM611 * IF($AH611&lt;=2,
SUMPRODUCT(INDEX($AV$66:$AX$70,,$AI611), INDEX($AY$66:$BE$70,,$AH611), 1 / ($BF$66:$BF$70*BY611 + (1-$BF$66:$BF$70)*BU611), N($AU$66:$AU$70&gt;$AM611)),
SUMPRODUCT(INDEX($AV$56:$AX$65,,$AI611), INDEX($AY$56:$BE$65,,$AH611), 1 / ($BG$56:$BG$65*BY611 + (1-$BG$56:$BG$65)*BU611), N($AU$56:$AU$65&gt;$AM611))
) / 1000</f>
        <v>0</v>
      </c>
      <c r="CA611" s="231">
        <f t="shared" si="742"/>
        <v>20</v>
      </c>
      <c r="CB611" s="229">
        <f t="shared" si="720"/>
        <v>33</v>
      </c>
      <c r="CC611" s="234">
        <f t="shared" si="721"/>
        <v>4.8487499999999999</v>
      </c>
      <c r="CD611" s="234" cm="1">
        <f t="array" ref="CD611">$BM611 * IF($AH611&lt;=2,
SUMPRODUCT(INDEX($AV$61:$AX$65,,$AI611), INDEX($AY$61:$BE$65,,$AH611), 1 / ($BF$61:$BF$65*CC611 + (1-$BF$61:$BF$65)*BY611), N($AU$61:$AU$65&gt;$AM611)),
SUMPRODUCT(INDEX($AV$46:$AX$55,,$AI611), INDEX($AY$46:$BE$55,,$AH611), 1 / ($BG$46:$BG$55*CC611 + (1-$BG$46:$BG$55)*BY611), N($AU$46:$AU$55&gt;$AM611))
) / 1000</f>
        <v>0</v>
      </c>
      <c r="CE611" s="234" cm="1">
        <f t="array" ref="CE611">$BM611 * IF($AH611&lt;=2,
SUMPRODUCT(INDEX($AV$22:$AX$60,,$AI611), INDEX($AY$22:$BE$60,,$AH611), 1 / ($BF$22:$BF$60*CC611), N($AU$22:$AU$60&gt;$AM611)),
SUMPRODUCT(INDEX($AV$22:$AX$45,,$AI611), INDEX($AY$22:$BE$45,,$AH611), 1 / ($BG$22:$BG$45*CC611), N($AU$22:$AU$45&gt;$AM611))
) / 1000</f>
        <v>0</v>
      </c>
      <c r="CF611" s="229">
        <f t="shared" si="722"/>
        <v>0</v>
      </c>
      <c r="CG611" s="246"/>
      <c r="CH611" s="229">
        <f t="shared" si="723"/>
        <v>0</v>
      </c>
      <c r="CI611" s="228">
        <v>35</v>
      </c>
      <c r="CJ611" s="229">
        <f t="shared" si="724"/>
        <v>48</v>
      </c>
      <c r="CK611" s="234">
        <f t="shared" si="725"/>
        <v>3.0748170731707316</v>
      </c>
      <c r="CL611" s="234" cm="1">
        <f t="array" ref="CL611">$BM611 * SUMPRODUCT(INDEX($AV$76:$AX$81,,$AI611),INDEX($AY$76:$BE$81,,$AH611), N($AU$76:$AU$81&gt;$AM611)) / CK611 / 1000</f>
        <v>0</v>
      </c>
      <c r="CM611" s="231">
        <f t="shared" si="743"/>
        <v>30</v>
      </c>
      <c r="CN611" s="229">
        <f t="shared" si="726"/>
        <v>43</v>
      </c>
      <c r="CO611" s="234">
        <f t="shared" si="727"/>
        <v>3.5018750000000001</v>
      </c>
      <c r="CP611" s="234" cm="1">
        <f t="array" ref="CP611">$BM611 * IF($AH611&lt;=2,
SUMPRODUCT(INDEX($AV$71:$AX$75,,$AI611), INDEX($AY$71:$BE$75,,$AH611), 1 / ($BF$71:$BF$75*CO611 + (1-$BF$71:$BF$75)*CK611), N($AU$71:$AU$75&gt;$AM611)),
SUMPRODUCT(INDEX($AV$66:$AX$75,,$AI611), INDEX($AY$66:$BE$75,,$AH611), 1 / ($BG$66:$BG$75*CO611 + (1-$BG$66:$BG$75)*CK611), N($AU$66:$AU$75&gt;$AM611))
) / 1000</f>
        <v>0</v>
      </c>
      <c r="CQ611" s="231">
        <f t="shared" si="744"/>
        <v>25</v>
      </c>
      <c r="CR611" s="229">
        <f t="shared" si="728"/>
        <v>38</v>
      </c>
      <c r="CS611" s="234">
        <f t="shared" si="729"/>
        <v>4.0666935483870965</v>
      </c>
      <c r="CT611" s="234" cm="1">
        <f t="array" ref="CT611">$BM611 * IF($AH611&lt;=2,
SUMPRODUCT(INDEX($AV$66:$AX$70,,$AI611), INDEX($AY$66:$BE$70,,$AH611), 1 / ($BF$66:$BF$70*CS611 + (1-$BF$66:$BF$70)*CO611), N($AU$66:$AU$70&gt;$AM611)),
SUMPRODUCT(INDEX($AV$56:$AX$65,,$AI611), INDEX($AY$56:$BE$65,,$AH611), 1 / ($BG$56:$BG$65*CS611 + (1-$BG$56:$BG$65)*CO611), N($AU$56:$AU$65&gt;$AM611))
) / 1000</f>
        <v>0</v>
      </c>
      <c r="CU611" s="231">
        <f t="shared" si="745"/>
        <v>20</v>
      </c>
      <c r="CV611" s="229">
        <f t="shared" si="730"/>
        <v>33</v>
      </c>
      <c r="CW611" s="234">
        <f t="shared" si="731"/>
        <v>4.8487499999999999</v>
      </c>
      <c r="CX611" s="234" cm="1">
        <f t="array" ref="CX611">$BM611 * IF($AH611&lt;=2,
SUMPRODUCT(INDEX($AV$61:$AX$65,,$AI611), INDEX($AY$61:$BE$65,,$AH611), 1 / ($BF$61:$BF$65*CW611 + (1-$BF$61:$BF$65)*CS611), N($AU$61:$AU$65&gt;$AM611)),
SUMPRODUCT(INDEX($AV$46:$AX$55,,$AI611), INDEX($AY$46:$BE$55,,$AH611), 1 / ($BG$46:$BG$55*CW611 + (1-$BG$46:$BG$55)*CS611), N($AU$46:$AU$55&gt;$AM611))
) / 1000</f>
        <v>0</v>
      </c>
      <c r="CY611" s="234" cm="1">
        <f t="array" ref="CY611">$BM611 * IF($AH611&lt;=2,
SUMPRODUCT(INDEX($AV$22:$AX$60,,$AI611), INDEX($AY$22:$BE$60,,$AH611), 1 / ($BF$22:$BF$60*CW611), N($AU$22:$AU$60&gt;$AM611)),
SUMPRODUCT(INDEX($AV$22:$AX$45,,$AI611), INDEX($AY$22:$BE$45,,$AH611), 1 / ($BG$22:$BG$45*CW611), N($AU$22:$AU$45&gt;$AM611))
) / 1000</f>
        <v>0</v>
      </c>
      <c r="CZ611" s="229">
        <f t="shared" si="732"/>
        <v>0</v>
      </c>
      <c r="DA611" s="246"/>
    </row>
    <row r="612" spans="1:105" s="75" customFormat="1" ht="14.25" customHeight="1" x14ac:dyDescent="0.2">
      <c r="A612" s="230" t="b">
        <f t="shared" si="737"/>
        <v>0</v>
      </c>
      <c r="B612" s="253">
        <v>591</v>
      </c>
      <c r="C612" s="266"/>
      <c r="D612" s="266"/>
      <c r="E612" s="254"/>
      <c r="F612" s="255" t="str">
        <f>IF(ISBLANK(E612), "", VLOOKUP(E612, Z!$A$2:$C$4127, 3, FALSE))</f>
        <v/>
      </c>
      <c r="G612" s="256"/>
      <c r="H612" s="256"/>
      <c r="I612" s="256"/>
      <c r="J612" s="257"/>
      <c r="K612" s="258"/>
      <c r="L612" s="267"/>
      <c r="M612" s="268"/>
      <c r="N612" s="259" t="str" cm="1">
        <f t="array" ref="N612">IF($L612&gt;0, INDEX(Clean,1+AK612,$D$1), "")</f>
        <v/>
      </c>
      <c r="O612" s="260"/>
      <c r="P612" s="260"/>
      <c r="Q612" s="261"/>
      <c r="R612" s="264">
        <f t="shared" si="708"/>
        <v>0</v>
      </c>
      <c r="S612" s="259" t="str" cm="1">
        <f t="array" ref="S612">IF($L612&gt;0, INDEX(Clean,1+AL612,$D$1), "")</f>
        <v/>
      </c>
      <c r="T612" s="260"/>
      <c r="U612" s="260"/>
      <c r="V612" s="261"/>
      <c r="W612" s="267"/>
      <c r="X612" s="267"/>
      <c r="Y612" s="257"/>
      <c r="Z612" s="264">
        <f t="shared" si="709"/>
        <v>0</v>
      </c>
      <c r="AA612" s="269"/>
      <c r="AB612" s="266"/>
      <c r="AC612" s="254"/>
      <c r="AD612" s="255" t="str">
        <f>IF(ISBLANK(AC612), "", VLOOKUP(AC612, Z!$A$2:$C$4127, 3, FALSE))</f>
        <v/>
      </c>
      <c r="AE612" s="270"/>
      <c r="AF612" s="265">
        <f t="shared" si="710"/>
        <v>0</v>
      </c>
      <c r="AG612" s="246"/>
      <c r="AH612" s="228">
        <f t="shared" si="733"/>
        <v>1</v>
      </c>
      <c r="AI612" s="228">
        <f t="shared" si="734"/>
        <v>1</v>
      </c>
      <c r="AJ612" s="228">
        <f t="shared" si="735"/>
        <v>0</v>
      </c>
      <c r="AK612" s="228">
        <v>0</v>
      </c>
      <c r="AL612" s="228">
        <v>0</v>
      </c>
      <c r="AM612" s="228">
        <f t="shared" si="711"/>
        <v>-100</v>
      </c>
      <c r="AN612" s="228" cm="1">
        <f t="array" ref="AN612">IF(ISBLANK(G612), 1, IFERROR(MATCH(G612, INDEX(Kat,,1), 0), IFERROR(MATCH(Kat, INDEX(Use,,2), 0), MATCH(Kat, INDEX(Use,,3), 0))))</f>
        <v>1</v>
      </c>
      <c r="AO612" s="246"/>
      <c r="AP612" s="228" cm="1">
        <f t="array" ref="AP612">IF(W612&gt;0, INDEX(Kat, AN612,4), 0)</f>
        <v>0</v>
      </c>
      <c r="AQ612" s="228">
        <f t="shared" si="736"/>
        <v>0</v>
      </c>
      <c r="AR612" s="228" cm="1">
        <f t="array" ref="AR612">IF(X612&gt;0, INDEX(Kat, $AN612, 4+AQ612), 0)</f>
        <v>0</v>
      </c>
      <c r="AS612" s="228" cm="1">
        <f t="array" ref="AS612">IF(X612&gt;0, INDEX(Kat, $AN612, 9+AQ612), 0)</f>
        <v>0</v>
      </c>
      <c r="AT612" s="246"/>
      <c r="AU612" s="262"/>
      <c r="AV612" s="262"/>
      <c r="AW612" s="263"/>
      <c r="AX612" s="263"/>
      <c r="AY612" s="263"/>
      <c r="AZ612" s="263"/>
      <c r="BA612" s="263"/>
      <c r="BB612" s="263"/>
      <c r="BC612" s="263"/>
      <c r="BD612" s="263"/>
      <c r="BE612" s="263"/>
      <c r="BF612" s="263"/>
      <c r="BG612" s="263"/>
      <c r="BH612" s="246"/>
      <c r="BI612" s="228" cm="1">
        <f t="array" ref="BI612">INDEX(Use, $AH612, 4)</f>
        <v>7</v>
      </c>
      <c r="BJ612" s="228">
        <f t="shared" si="712"/>
        <v>32</v>
      </c>
      <c r="BK612" s="228">
        <f t="shared" si="738"/>
        <v>13</v>
      </c>
      <c r="BL612" s="228">
        <f t="shared" si="739"/>
        <v>0</v>
      </c>
      <c r="BM612" s="233" cm="1">
        <f t="array" ref="BM612">L612/IF($M612&gt;0, INDEX($AY$22:$BE$76, $M612+20, $AH612), 1)</f>
        <v>0</v>
      </c>
      <c r="BN612" s="229">
        <f t="shared" si="713"/>
        <v>0</v>
      </c>
      <c r="BO612" s="228">
        <v>35</v>
      </c>
      <c r="BP612" s="229">
        <f t="shared" si="714"/>
        <v>48</v>
      </c>
      <c r="BQ612" s="234">
        <f t="shared" si="715"/>
        <v>3.0748170731707316</v>
      </c>
      <c r="BR612" s="234" cm="1">
        <f t="array" ref="BR612">$BM612 * SUMPRODUCT(INDEX($AV$76:$AX$81,,$AI612),INDEX($AY$76:$BE$81,,$AH612), N($AU$76:$AU$81&gt;$AM612)) / BQ612 / 1000</f>
        <v>0</v>
      </c>
      <c r="BS612" s="231">
        <f t="shared" si="740"/>
        <v>30</v>
      </c>
      <c r="BT612" s="229">
        <f t="shared" si="716"/>
        <v>43</v>
      </c>
      <c r="BU612" s="234">
        <f t="shared" si="717"/>
        <v>3.5018750000000001</v>
      </c>
      <c r="BV612" s="234" cm="1">
        <f t="array" ref="BV612">$BM612 * IF($AH612&lt;=2,
SUMPRODUCT(INDEX($AV$71:$AX$75,,$AI612), INDEX($AY$71:$BE$75,,$AH612), 1 / ($BF$71:$BF$75*BU612 + (1-$BF$71:$BF$75)*BQ612), N($AU$71:$AU$75&gt;$AM612)),
SUMPRODUCT(INDEX($AV$66:$AX$75,,$AI612), INDEX($AY$66:$BE$75,,$AH612), 1 / ($BG$66:$BG$75*BU612 + (1-$BG$66:$BG$75)*BQ612), N($AU$66:$AU$75&gt;$AM612))
) / 1000</f>
        <v>0</v>
      </c>
      <c r="BW612" s="231">
        <f t="shared" si="741"/>
        <v>25</v>
      </c>
      <c r="BX612" s="229">
        <f t="shared" si="718"/>
        <v>38</v>
      </c>
      <c r="BY612" s="234">
        <f t="shared" si="719"/>
        <v>4.0666935483870965</v>
      </c>
      <c r="BZ612" s="234" cm="1">
        <f t="array" ref="BZ612">$BM612 * IF($AH612&lt;=2,
SUMPRODUCT(INDEX($AV$66:$AX$70,,$AI612), INDEX($AY$66:$BE$70,,$AH612), 1 / ($BF$66:$BF$70*BY612 + (1-$BF$66:$BF$70)*BU612), N($AU$66:$AU$70&gt;$AM612)),
SUMPRODUCT(INDEX($AV$56:$AX$65,,$AI612), INDEX($AY$56:$BE$65,,$AH612), 1 / ($BG$56:$BG$65*BY612 + (1-$BG$56:$BG$65)*BU612), N($AU$56:$AU$65&gt;$AM612))
) / 1000</f>
        <v>0</v>
      </c>
      <c r="CA612" s="231">
        <f t="shared" si="742"/>
        <v>20</v>
      </c>
      <c r="CB612" s="229">
        <f t="shared" si="720"/>
        <v>33</v>
      </c>
      <c r="CC612" s="234">
        <f t="shared" si="721"/>
        <v>4.8487499999999999</v>
      </c>
      <c r="CD612" s="234" cm="1">
        <f t="array" ref="CD612">$BM612 * IF($AH612&lt;=2,
SUMPRODUCT(INDEX($AV$61:$AX$65,,$AI612), INDEX($AY$61:$BE$65,,$AH612), 1 / ($BF$61:$BF$65*CC612 + (1-$BF$61:$BF$65)*BY612), N($AU$61:$AU$65&gt;$AM612)),
SUMPRODUCT(INDEX($AV$46:$AX$55,,$AI612), INDEX($AY$46:$BE$55,,$AH612), 1 / ($BG$46:$BG$55*CC612 + (1-$BG$46:$BG$55)*BY612), N($AU$46:$AU$55&gt;$AM612))
) / 1000</f>
        <v>0</v>
      </c>
      <c r="CE612" s="234" cm="1">
        <f t="array" ref="CE612">$BM612 * IF($AH612&lt;=2,
SUMPRODUCT(INDEX($AV$22:$AX$60,,$AI612), INDEX($AY$22:$BE$60,,$AH612), 1 / ($BF$22:$BF$60*CC612), N($AU$22:$AU$60&gt;$AM612)),
SUMPRODUCT(INDEX($AV$22:$AX$45,,$AI612), INDEX($AY$22:$BE$45,,$AH612), 1 / ($BG$22:$BG$45*CC612), N($AU$22:$AU$45&gt;$AM612))
) / 1000</f>
        <v>0</v>
      </c>
      <c r="CF612" s="229">
        <f t="shared" si="722"/>
        <v>0</v>
      </c>
      <c r="CG612" s="246"/>
      <c r="CH612" s="229">
        <f t="shared" si="723"/>
        <v>0</v>
      </c>
      <c r="CI612" s="228">
        <v>35</v>
      </c>
      <c r="CJ612" s="229">
        <f t="shared" si="724"/>
        <v>48</v>
      </c>
      <c r="CK612" s="234">
        <f t="shared" si="725"/>
        <v>3.0748170731707316</v>
      </c>
      <c r="CL612" s="234" cm="1">
        <f t="array" ref="CL612">$BM612 * SUMPRODUCT(INDEX($AV$76:$AX$81,,$AI612),INDEX($AY$76:$BE$81,,$AH612), N($AU$76:$AU$81&gt;$AM612)) / CK612 / 1000</f>
        <v>0</v>
      </c>
      <c r="CM612" s="231">
        <f t="shared" si="743"/>
        <v>30</v>
      </c>
      <c r="CN612" s="229">
        <f t="shared" si="726"/>
        <v>43</v>
      </c>
      <c r="CO612" s="234">
        <f t="shared" si="727"/>
        <v>3.5018750000000001</v>
      </c>
      <c r="CP612" s="234" cm="1">
        <f t="array" ref="CP612">$BM612 * IF($AH612&lt;=2,
SUMPRODUCT(INDEX($AV$71:$AX$75,,$AI612), INDEX($AY$71:$BE$75,,$AH612), 1 / ($BF$71:$BF$75*CO612 + (1-$BF$71:$BF$75)*CK612), N($AU$71:$AU$75&gt;$AM612)),
SUMPRODUCT(INDEX($AV$66:$AX$75,,$AI612), INDEX($AY$66:$BE$75,,$AH612), 1 / ($BG$66:$BG$75*CO612 + (1-$BG$66:$BG$75)*CK612), N($AU$66:$AU$75&gt;$AM612))
) / 1000</f>
        <v>0</v>
      </c>
      <c r="CQ612" s="231">
        <f t="shared" si="744"/>
        <v>25</v>
      </c>
      <c r="CR612" s="229">
        <f t="shared" si="728"/>
        <v>38</v>
      </c>
      <c r="CS612" s="234">
        <f t="shared" si="729"/>
        <v>4.0666935483870965</v>
      </c>
      <c r="CT612" s="234" cm="1">
        <f t="array" ref="CT612">$BM612 * IF($AH612&lt;=2,
SUMPRODUCT(INDEX($AV$66:$AX$70,,$AI612), INDEX($AY$66:$BE$70,,$AH612), 1 / ($BF$66:$BF$70*CS612 + (1-$BF$66:$BF$70)*CO612), N($AU$66:$AU$70&gt;$AM612)),
SUMPRODUCT(INDEX($AV$56:$AX$65,,$AI612), INDEX($AY$56:$BE$65,,$AH612), 1 / ($BG$56:$BG$65*CS612 + (1-$BG$56:$BG$65)*CO612), N($AU$56:$AU$65&gt;$AM612))
) / 1000</f>
        <v>0</v>
      </c>
      <c r="CU612" s="231">
        <f t="shared" si="745"/>
        <v>20</v>
      </c>
      <c r="CV612" s="229">
        <f t="shared" si="730"/>
        <v>33</v>
      </c>
      <c r="CW612" s="234">
        <f t="shared" si="731"/>
        <v>4.8487499999999999</v>
      </c>
      <c r="CX612" s="234" cm="1">
        <f t="array" ref="CX612">$BM612 * IF($AH612&lt;=2,
SUMPRODUCT(INDEX($AV$61:$AX$65,,$AI612), INDEX($AY$61:$BE$65,,$AH612), 1 / ($BF$61:$BF$65*CW612 + (1-$BF$61:$BF$65)*CS612), N($AU$61:$AU$65&gt;$AM612)),
SUMPRODUCT(INDEX($AV$46:$AX$55,,$AI612), INDEX($AY$46:$BE$55,,$AH612), 1 / ($BG$46:$BG$55*CW612 + (1-$BG$46:$BG$55)*CS612), N($AU$46:$AU$55&gt;$AM612))
) / 1000</f>
        <v>0</v>
      </c>
      <c r="CY612" s="234" cm="1">
        <f t="array" ref="CY612">$BM612 * IF($AH612&lt;=2,
SUMPRODUCT(INDEX($AV$22:$AX$60,,$AI612), INDEX($AY$22:$BE$60,,$AH612), 1 / ($BF$22:$BF$60*CW612), N($AU$22:$AU$60&gt;$AM612)),
SUMPRODUCT(INDEX($AV$22:$AX$45,,$AI612), INDEX($AY$22:$BE$45,,$AH612), 1 / ($BG$22:$BG$45*CW612), N($AU$22:$AU$45&gt;$AM612))
) / 1000</f>
        <v>0</v>
      </c>
      <c r="CZ612" s="229">
        <f t="shared" si="732"/>
        <v>0</v>
      </c>
      <c r="DA612" s="246"/>
    </row>
    <row r="613" spans="1:105" s="75" customFormat="1" ht="14.25" customHeight="1" x14ac:dyDescent="0.2">
      <c r="A613" s="230" t="b">
        <f t="shared" si="737"/>
        <v>0</v>
      </c>
      <c r="B613" s="253">
        <v>592</v>
      </c>
      <c r="C613" s="266"/>
      <c r="D613" s="266"/>
      <c r="E613" s="254"/>
      <c r="F613" s="255" t="str">
        <f>IF(ISBLANK(E613), "", VLOOKUP(E613, Z!$A$2:$C$4127, 3, FALSE))</f>
        <v/>
      </c>
      <c r="G613" s="256"/>
      <c r="H613" s="256"/>
      <c r="I613" s="256"/>
      <c r="J613" s="257"/>
      <c r="K613" s="258"/>
      <c r="L613" s="267"/>
      <c r="M613" s="268"/>
      <c r="N613" s="259" t="str" cm="1">
        <f t="array" ref="N613">IF($L613&gt;0, INDEX(Clean,1+AK613,$D$1), "")</f>
        <v/>
      </c>
      <c r="O613" s="260"/>
      <c r="P613" s="260"/>
      <c r="Q613" s="261"/>
      <c r="R613" s="264">
        <f t="shared" si="708"/>
        <v>0</v>
      </c>
      <c r="S613" s="259" t="str" cm="1">
        <f t="array" ref="S613">IF($L613&gt;0, INDEX(Clean,1+AL613,$D$1), "")</f>
        <v/>
      </c>
      <c r="T613" s="260"/>
      <c r="U613" s="260"/>
      <c r="V613" s="261"/>
      <c r="W613" s="267"/>
      <c r="X613" s="267"/>
      <c r="Y613" s="257"/>
      <c r="Z613" s="264">
        <f t="shared" si="709"/>
        <v>0</v>
      </c>
      <c r="AA613" s="269"/>
      <c r="AB613" s="266"/>
      <c r="AC613" s="254"/>
      <c r="AD613" s="255" t="str">
        <f>IF(ISBLANK(AC613), "", VLOOKUP(AC613, Z!$A$2:$C$4127, 3, FALSE))</f>
        <v/>
      </c>
      <c r="AE613" s="270"/>
      <c r="AF613" s="265">
        <f t="shared" si="710"/>
        <v>0</v>
      </c>
      <c r="AG613" s="246"/>
      <c r="AH613" s="228">
        <f t="shared" si="733"/>
        <v>1</v>
      </c>
      <c r="AI613" s="228">
        <f t="shared" si="734"/>
        <v>1</v>
      </c>
      <c r="AJ613" s="228">
        <f t="shared" si="735"/>
        <v>0</v>
      </c>
      <c r="AK613" s="228">
        <v>0</v>
      </c>
      <c r="AL613" s="228">
        <v>0</v>
      </c>
      <c r="AM613" s="228">
        <f t="shared" si="711"/>
        <v>-100</v>
      </c>
      <c r="AN613" s="228" cm="1">
        <f t="array" ref="AN613">IF(ISBLANK(G613), 1, IFERROR(MATCH(G613, INDEX(Kat,,1), 0), IFERROR(MATCH(Kat, INDEX(Use,,2), 0), MATCH(Kat, INDEX(Use,,3), 0))))</f>
        <v>1</v>
      </c>
      <c r="AO613" s="246"/>
      <c r="AP613" s="228" cm="1">
        <f t="array" ref="AP613">IF(W613&gt;0, INDEX(Kat, AN613,4), 0)</f>
        <v>0</v>
      </c>
      <c r="AQ613" s="228">
        <f t="shared" si="736"/>
        <v>0</v>
      </c>
      <c r="AR613" s="228" cm="1">
        <f t="array" ref="AR613">IF(X613&gt;0, INDEX(Kat, $AN613, 4+AQ613), 0)</f>
        <v>0</v>
      </c>
      <c r="AS613" s="228" cm="1">
        <f t="array" ref="AS613">IF(X613&gt;0, INDEX(Kat, $AN613, 9+AQ613), 0)</f>
        <v>0</v>
      </c>
      <c r="AT613" s="246"/>
      <c r="AU613" s="262"/>
      <c r="AV613" s="262"/>
      <c r="AW613" s="263"/>
      <c r="AX613" s="263"/>
      <c r="AY613" s="263"/>
      <c r="AZ613" s="263"/>
      <c r="BA613" s="263"/>
      <c r="BB613" s="263"/>
      <c r="BC613" s="263"/>
      <c r="BD613" s="263"/>
      <c r="BE613" s="263"/>
      <c r="BF613" s="263"/>
      <c r="BG613" s="263"/>
      <c r="BH613" s="246"/>
      <c r="BI613" s="228" cm="1">
        <f t="array" ref="BI613">INDEX(Use, $AH613, 4)</f>
        <v>7</v>
      </c>
      <c r="BJ613" s="228">
        <f t="shared" si="712"/>
        <v>32</v>
      </c>
      <c r="BK613" s="228">
        <f t="shared" si="738"/>
        <v>13</v>
      </c>
      <c r="BL613" s="228">
        <f t="shared" si="739"/>
        <v>0</v>
      </c>
      <c r="BM613" s="233" cm="1">
        <f t="array" ref="BM613">L613/IF($M613&gt;0, INDEX($AY$22:$BE$76, $M613+20, $AH613), 1)</f>
        <v>0</v>
      </c>
      <c r="BN613" s="229">
        <f t="shared" si="713"/>
        <v>0</v>
      </c>
      <c r="BO613" s="228">
        <v>35</v>
      </c>
      <c r="BP613" s="229">
        <f t="shared" si="714"/>
        <v>48</v>
      </c>
      <c r="BQ613" s="234">
        <f t="shared" si="715"/>
        <v>3.0748170731707316</v>
      </c>
      <c r="BR613" s="234" cm="1">
        <f t="array" ref="BR613">$BM613 * SUMPRODUCT(INDEX($AV$76:$AX$81,,$AI613),INDEX($AY$76:$BE$81,,$AH613), N($AU$76:$AU$81&gt;$AM613)) / BQ613 / 1000</f>
        <v>0</v>
      </c>
      <c r="BS613" s="231">
        <f t="shared" si="740"/>
        <v>30</v>
      </c>
      <c r="BT613" s="229">
        <f t="shared" si="716"/>
        <v>43</v>
      </c>
      <c r="BU613" s="234">
        <f t="shared" si="717"/>
        <v>3.5018750000000001</v>
      </c>
      <c r="BV613" s="234" cm="1">
        <f t="array" ref="BV613">$BM613 * IF($AH613&lt;=2,
SUMPRODUCT(INDEX($AV$71:$AX$75,,$AI613), INDEX($AY$71:$BE$75,,$AH613), 1 / ($BF$71:$BF$75*BU613 + (1-$BF$71:$BF$75)*BQ613), N($AU$71:$AU$75&gt;$AM613)),
SUMPRODUCT(INDEX($AV$66:$AX$75,,$AI613), INDEX($AY$66:$BE$75,,$AH613), 1 / ($BG$66:$BG$75*BU613 + (1-$BG$66:$BG$75)*BQ613), N($AU$66:$AU$75&gt;$AM613))
) / 1000</f>
        <v>0</v>
      </c>
      <c r="BW613" s="231">
        <f t="shared" si="741"/>
        <v>25</v>
      </c>
      <c r="BX613" s="229">
        <f t="shared" si="718"/>
        <v>38</v>
      </c>
      <c r="BY613" s="234">
        <f t="shared" si="719"/>
        <v>4.0666935483870965</v>
      </c>
      <c r="BZ613" s="234" cm="1">
        <f t="array" ref="BZ613">$BM613 * IF($AH613&lt;=2,
SUMPRODUCT(INDEX($AV$66:$AX$70,,$AI613), INDEX($AY$66:$BE$70,,$AH613), 1 / ($BF$66:$BF$70*BY613 + (1-$BF$66:$BF$70)*BU613), N($AU$66:$AU$70&gt;$AM613)),
SUMPRODUCT(INDEX($AV$56:$AX$65,,$AI613), INDEX($AY$56:$BE$65,,$AH613), 1 / ($BG$56:$BG$65*BY613 + (1-$BG$56:$BG$65)*BU613), N($AU$56:$AU$65&gt;$AM613))
) / 1000</f>
        <v>0</v>
      </c>
      <c r="CA613" s="231">
        <f t="shared" si="742"/>
        <v>20</v>
      </c>
      <c r="CB613" s="229">
        <f t="shared" si="720"/>
        <v>33</v>
      </c>
      <c r="CC613" s="234">
        <f t="shared" si="721"/>
        <v>4.8487499999999999</v>
      </c>
      <c r="CD613" s="234" cm="1">
        <f t="array" ref="CD613">$BM613 * IF($AH613&lt;=2,
SUMPRODUCT(INDEX($AV$61:$AX$65,,$AI613), INDEX($AY$61:$BE$65,,$AH613), 1 / ($BF$61:$BF$65*CC613 + (1-$BF$61:$BF$65)*BY613), N($AU$61:$AU$65&gt;$AM613)),
SUMPRODUCT(INDEX($AV$46:$AX$55,,$AI613), INDEX($AY$46:$BE$55,,$AH613), 1 / ($BG$46:$BG$55*CC613 + (1-$BG$46:$BG$55)*BY613), N($AU$46:$AU$55&gt;$AM613))
) / 1000</f>
        <v>0</v>
      </c>
      <c r="CE613" s="234" cm="1">
        <f t="array" ref="CE613">$BM613 * IF($AH613&lt;=2,
SUMPRODUCT(INDEX($AV$22:$AX$60,,$AI613), INDEX($AY$22:$BE$60,,$AH613), 1 / ($BF$22:$BF$60*CC613), N($AU$22:$AU$60&gt;$AM613)),
SUMPRODUCT(INDEX($AV$22:$AX$45,,$AI613), INDEX($AY$22:$BE$45,,$AH613), 1 / ($BG$22:$BG$45*CC613), N($AU$22:$AU$45&gt;$AM613))
) / 1000</f>
        <v>0</v>
      </c>
      <c r="CF613" s="229">
        <f t="shared" si="722"/>
        <v>0</v>
      </c>
      <c r="CG613" s="246"/>
      <c r="CH613" s="229">
        <f t="shared" si="723"/>
        <v>0</v>
      </c>
      <c r="CI613" s="228">
        <v>35</v>
      </c>
      <c r="CJ613" s="229">
        <f t="shared" si="724"/>
        <v>48</v>
      </c>
      <c r="CK613" s="234">
        <f t="shared" si="725"/>
        <v>3.0748170731707316</v>
      </c>
      <c r="CL613" s="234" cm="1">
        <f t="array" ref="CL613">$BM613 * SUMPRODUCT(INDEX($AV$76:$AX$81,,$AI613),INDEX($AY$76:$BE$81,,$AH613), N($AU$76:$AU$81&gt;$AM613)) / CK613 / 1000</f>
        <v>0</v>
      </c>
      <c r="CM613" s="231">
        <f t="shared" si="743"/>
        <v>30</v>
      </c>
      <c r="CN613" s="229">
        <f t="shared" si="726"/>
        <v>43</v>
      </c>
      <c r="CO613" s="234">
        <f t="shared" si="727"/>
        <v>3.5018750000000001</v>
      </c>
      <c r="CP613" s="234" cm="1">
        <f t="array" ref="CP613">$BM613 * IF($AH613&lt;=2,
SUMPRODUCT(INDEX($AV$71:$AX$75,,$AI613), INDEX($AY$71:$BE$75,,$AH613), 1 / ($BF$71:$BF$75*CO613 + (1-$BF$71:$BF$75)*CK613), N($AU$71:$AU$75&gt;$AM613)),
SUMPRODUCT(INDEX($AV$66:$AX$75,,$AI613), INDEX($AY$66:$BE$75,,$AH613), 1 / ($BG$66:$BG$75*CO613 + (1-$BG$66:$BG$75)*CK613), N($AU$66:$AU$75&gt;$AM613))
) / 1000</f>
        <v>0</v>
      </c>
      <c r="CQ613" s="231">
        <f t="shared" si="744"/>
        <v>25</v>
      </c>
      <c r="CR613" s="229">
        <f t="shared" si="728"/>
        <v>38</v>
      </c>
      <c r="CS613" s="234">
        <f t="shared" si="729"/>
        <v>4.0666935483870965</v>
      </c>
      <c r="CT613" s="234" cm="1">
        <f t="array" ref="CT613">$BM613 * IF($AH613&lt;=2,
SUMPRODUCT(INDEX($AV$66:$AX$70,,$AI613), INDEX($AY$66:$BE$70,,$AH613), 1 / ($BF$66:$BF$70*CS613 + (1-$BF$66:$BF$70)*CO613), N($AU$66:$AU$70&gt;$AM613)),
SUMPRODUCT(INDEX($AV$56:$AX$65,,$AI613), INDEX($AY$56:$BE$65,,$AH613), 1 / ($BG$56:$BG$65*CS613 + (1-$BG$56:$BG$65)*CO613), N($AU$56:$AU$65&gt;$AM613))
) / 1000</f>
        <v>0</v>
      </c>
      <c r="CU613" s="231">
        <f t="shared" si="745"/>
        <v>20</v>
      </c>
      <c r="CV613" s="229">
        <f t="shared" si="730"/>
        <v>33</v>
      </c>
      <c r="CW613" s="234">
        <f t="shared" si="731"/>
        <v>4.8487499999999999</v>
      </c>
      <c r="CX613" s="234" cm="1">
        <f t="array" ref="CX613">$BM613 * IF($AH613&lt;=2,
SUMPRODUCT(INDEX($AV$61:$AX$65,,$AI613), INDEX($AY$61:$BE$65,,$AH613), 1 / ($BF$61:$BF$65*CW613 + (1-$BF$61:$BF$65)*CS613), N($AU$61:$AU$65&gt;$AM613)),
SUMPRODUCT(INDEX($AV$46:$AX$55,,$AI613), INDEX($AY$46:$BE$55,,$AH613), 1 / ($BG$46:$BG$55*CW613 + (1-$BG$46:$BG$55)*CS613), N($AU$46:$AU$55&gt;$AM613))
) / 1000</f>
        <v>0</v>
      </c>
      <c r="CY613" s="234" cm="1">
        <f t="array" ref="CY613">$BM613 * IF($AH613&lt;=2,
SUMPRODUCT(INDEX($AV$22:$AX$60,,$AI613), INDEX($AY$22:$BE$60,,$AH613), 1 / ($BF$22:$BF$60*CW613), N($AU$22:$AU$60&gt;$AM613)),
SUMPRODUCT(INDEX($AV$22:$AX$45,,$AI613), INDEX($AY$22:$BE$45,,$AH613), 1 / ($BG$22:$BG$45*CW613), N($AU$22:$AU$45&gt;$AM613))
) / 1000</f>
        <v>0</v>
      </c>
      <c r="CZ613" s="229">
        <f t="shared" si="732"/>
        <v>0</v>
      </c>
      <c r="DA613" s="246"/>
    </row>
    <row r="614" spans="1:105" s="75" customFormat="1" ht="14.25" customHeight="1" x14ac:dyDescent="0.2">
      <c r="A614" s="230" t="b">
        <f t="shared" si="737"/>
        <v>0</v>
      </c>
      <c r="B614" s="253">
        <v>593</v>
      </c>
      <c r="C614" s="266"/>
      <c r="D614" s="266"/>
      <c r="E614" s="254"/>
      <c r="F614" s="255" t="str">
        <f>IF(ISBLANK(E614), "", VLOOKUP(E614, Z!$A$2:$C$4127, 3, FALSE))</f>
        <v/>
      </c>
      <c r="G614" s="256"/>
      <c r="H614" s="256"/>
      <c r="I614" s="256"/>
      <c r="J614" s="257"/>
      <c r="K614" s="258"/>
      <c r="L614" s="267"/>
      <c r="M614" s="268"/>
      <c r="N614" s="259" t="str" cm="1">
        <f t="array" ref="N614">IF($L614&gt;0, INDEX(Clean,1+AK614,$D$1), "")</f>
        <v/>
      </c>
      <c r="O614" s="260"/>
      <c r="P614" s="260"/>
      <c r="Q614" s="261"/>
      <c r="R614" s="264">
        <f t="shared" si="708"/>
        <v>0</v>
      </c>
      <c r="S614" s="259" t="str" cm="1">
        <f t="array" ref="S614">IF($L614&gt;0, INDEX(Clean,1+AL614,$D$1), "")</f>
        <v/>
      </c>
      <c r="T614" s="260"/>
      <c r="U614" s="260"/>
      <c r="V614" s="261"/>
      <c r="W614" s="267"/>
      <c r="X614" s="267"/>
      <c r="Y614" s="257"/>
      <c r="Z614" s="264">
        <f t="shared" si="709"/>
        <v>0</v>
      </c>
      <c r="AA614" s="269"/>
      <c r="AB614" s="266"/>
      <c r="AC614" s="254"/>
      <c r="AD614" s="255" t="str">
        <f>IF(ISBLANK(AC614), "", VLOOKUP(AC614, Z!$A$2:$C$4127, 3, FALSE))</f>
        <v/>
      </c>
      <c r="AE614" s="270"/>
      <c r="AF614" s="265">
        <f t="shared" si="710"/>
        <v>0</v>
      </c>
      <c r="AG614" s="246"/>
      <c r="AH614" s="228">
        <f t="shared" si="733"/>
        <v>1</v>
      </c>
      <c r="AI614" s="228">
        <f t="shared" si="734"/>
        <v>1</v>
      </c>
      <c r="AJ614" s="228">
        <f t="shared" si="735"/>
        <v>0</v>
      </c>
      <c r="AK614" s="228">
        <v>0</v>
      </c>
      <c r="AL614" s="228">
        <v>0</v>
      </c>
      <c r="AM614" s="228">
        <f t="shared" si="711"/>
        <v>-100</v>
      </c>
      <c r="AN614" s="228" cm="1">
        <f t="array" ref="AN614">IF(ISBLANK(G614), 1, IFERROR(MATCH(G614, INDEX(Kat,,1), 0), IFERROR(MATCH(Kat, INDEX(Use,,2), 0), MATCH(Kat, INDEX(Use,,3), 0))))</f>
        <v>1</v>
      </c>
      <c r="AO614" s="246"/>
      <c r="AP614" s="228" cm="1">
        <f t="array" ref="AP614">IF(W614&gt;0, INDEX(Kat, AN614,4), 0)</f>
        <v>0</v>
      </c>
      <c r="AQ614" s="228">
        <f t="shared" si="736"/>
        <v>0</v>
      </c>
      <c r="AR614" s="228" cm="1">
        <f t="array" ref="AR614">IF(X614&gt;0, INDEX(Kat, $AN614, 4+AQ614), 0)</f>
        <v>0</v>
      </c>
      <c r="AS614" s="228" cm="1">
        <f t="array" ref="AS614">IF(X614&gt;0, INDEX(Kat, $AN614, 9+AQ614), 0)</f>
        <v>0</v>
      </c>
      <c r="AT614" s="246"/>
      <c r="AU614" s="262"/>
      <c r="AV614" s="262"/>
      <c r="AW614" s="263"/>
      <c r="AX614" s="263"/>
      <c r="AY614" s="263"/>
      <c r="AZ614" s="263"/>
      <c r="BA614" s="263"/>
      <c r="BB614" s="263"/>
      <c r="BC614" s="263"/>
      <c r="BD614" s="263"/>
      <c r="BE614" s="263"/>
      <c r="BF614" s="263"/>
      <c r="BG614" s="263"/>
      <c r="BH614" s="246"/>
      <c r="BI614" s="228" cm="1">
        <f t="array" ref="BI614">INDEX(Use, $AH614, 4)</f>
        <v>7</v>
      </c>
      <c r="BJ614" s="228">
        <f t="shared" si="712"/>
        <v>32</v>
      </c>
      <c r="BK614" s="228">
        <f t="shared" si="738"/>
        <v>13</v>
      </c>
      <c r="BL614" s="228">
        <f t="shared" si="739"/>
        <v>0</v>
      </c>
      <c r="BM614" s="233" cm="1">
        <f t="array" ref="BM614">L614/IF($M614&gt;0, INDEX($AY$22:$BE$76, $M614+20, $AH614), 1)</f>
        <v>0</v>
      </c>
      <c r="BN614" s="229">
        <f t="shared" si="713"/>
        <v>0</v>
      </c>
      <c r="BO614" s="228">
        <v>35</v>
      </c>
      <c r="BP614" s="229">
        <f t="shared" si="714"/>
        <v>48</v>
      </c>
      <c r="BQ614" s="234">
        <f t="shared" si="715"/>
        <v>3.0748170731707316</v>
      </c>
      <c r="BR614" s="234" cm="1">
        <f t="array" ref="BR614">$BM614 * SUMPRODUCT(INDEX($AV$76:$AX$81,,$AI614),INDEX($AY$76:$BE$81,,$AH614), N($AU$76:$AU$81&gt;$AM614)) / BQ614 / 1000</f>
        <v>0</v>
      </c>
      <c r="BS614" s="231">
        <f t="shared" si="740"/>
        <v>30</v>
      </c>
      <c r="BT614" s="229">
        <f t="shared" si="716"/>
        <v>43</v>
      </c>
      <c r="BU614" s="234">
        <f t="shared" si="717"/>
        <v>3.5018750000000001</v>
      </c>
      <c r="BV614" s="234" cm="1">
        <f t="array" ref="BV614">$BM614 * IF($AH614&lt;=2,
SUMPRODUCT(INDEX($AV$71:$AX$75,,$AI614), INDEX($AY$71:$BE$75,,$AH614), 1 / ($BF$71:$BF$75*BU614 + (1-$BF$71:$BF$75)*BQ614), N($AU$71:$AU$75&gt;$AM614)),
SUMPRODUCT(INDEX($AV$66:$AX$75,,$AI614), INDEX($AY$66:$BE$75,,$AH614), 1 / ($BG$66:$BG$75*BU614 + (1-$BG$66:$BG$75)*BQ614), N($AU$66:$AU$75&gt;$AM614))
) / 1000</f>
        <v>0</v>
      </c>
      <c r="BW614" s="231">
        <f t="shared" si="741"/>
        <v>25</v>
      </c>
      <c r="BX614" s="229">
        <f t="shared" si="718"/>
        <v>38</v>
      </c>
      <c r="BY614" s="234">
        <f t="shared" si="719"/>
        <v>4.0666935483870965</v>
      </c>
      <c r="BZ614" s="234" cm="1">
        <f t="array" ref="BZ614">$BM614 * IF($AH614&lt;=2,
SUMPRODUCT(INDEX($AV$66:$AX$70,,$AI614), INDEX($AY$66:$BE$70,,$AH614), 1 / ($BF$66:$BF$70*BY614 + (1-$BF$66:$BF$70)*BU614), N($AU$66:$AU$70&gt;$AM614)),
SUMPRODUCT(INDEX($AV$56:$AX$65,,$AI614), INDEX($AY$56:$BE$65,,$AH614), 1 / ($BG$56:$BG$65*BY614 + (1-$BG$56:$BG$65)*BU614), N($AU$56:$AU$65&gt;$AM614))
) / 1000</f>
        <v>0</v>
      </c>
      <c r="CA614" s="231">
        <f t="shared" si="742"/>
        <v>20</v>
      </c>
      <c r="CB614" s="229">
        <f t="shared" si="720"/>
        <v>33</v>
      </c>
      <c r="CC614" s="234">
        <f t="shared" si="721"/>
        <v>4.8487499999999999</v>
      </c>
      <c r="CD614" s="234" cm="1">
        <f t="array" ref="CD614">$BM614 * IF($AH614&lt;=2,
SUMPRODUCT(INDEX($AV$61:$AX$65,,$AI614), INDEX($AY$61:$BE$65,,$AH614), 1 / ($BF$61:$BF$65*CC614 + (1-$BF$61:$BF$65)*BY614), N($AU$61:$AU$65&gt;$AM614)),
SUMPRODUCT(INDEX($AV$46:$AX$55,,$AI614), INDEX($AY$46:$BE$55,,$AH614), 1 / ($BG$46:$BG$55*CC614 + (1-$BG$46:$BG$55)*BY614), N($AU$46:$AU$55&gt;$AM614))
) / 1000</f>
        <v>0</v>
      </c>
      <c r="CE614" s="234" cm="1">
        <f t="array" ref="CE614">$BM614 * IF($AH614&lt;=2,
SUMPRODUCT(INDEX($AV$22:$AX$60,,$AI614), INDEX($AY$22:$BE$60,,$AH614), 1 / ($BF$22:$BF$60*CC614), N($AU$22:$AU$60&gt;$AM614)),
SUMPRODUCT(INDEX($AV$22:$AX$45,,$AI614), INDEX($AY$22:$BE$45,,$AH614), 1 / ($BG$22:$BG$45*CC614), N($AU$22:$AU$45&gt;$AM614))
) / 1000</f>
        <v>0</v>
      </c>
      <c r="CF614" s="229">
        <f t="shared" si="722"/>
        <v>0</v>
      </c>
      <c r="CG614" s="246"/>
      <c r="CH614" s="229">
        <f t="shared" si="723"/>
        <v>0</v>
      </c>
      <c r="CI614" s="228">
        <v>35</v>
      </c>
      <c r="CJ614" s="229">
        <f t="shared" si="724"/>
        <v>48</v>
      </c>
      <c r="CK614" s="234">
        <f t="shared" si="725"/>
        <v>3.0748170731707316</v>
      </c>
      <c r="CL614" s="234" cm="1">
        <f t="array" ref="CL614">$BM614 * SUMPRODUCT(INDEX($AV$76:$AX$81,,$AI614),INDEX($AY$76:$BE$81,,$AH614), N($AU$76:$AU$81&gt;$AM614)) / CK614 / 1000</f>
        <v>0</v>
      </c>
      <c r="CM614" s="231">
        <f t="shared" si="743"/>
        <v>30</v>
      </c>
      <c r="CN614" s="229">
        <f t="shared" si="726"/>
        <v>43</v>
      </c>
      <c r="CO614" s="234">
        <f t="shared" si="727"/>
        <v>3.5018750000000001</v>
      </c>
      <c r="CP614" s="234" cm="1">
        <f t="array" ref="CP614">$BM614 * IF($AH614&lt;=2,
SUMPRODUCT(INDEX($AV$71:$AX$75,,$AI614), INDEX($AY$71:$BE$75,,$AH614), 1 / ($BF$71:$BF$75*CO614 + (1-$BF$71:$BF$75)*CK614), N($AU$71:$AU$75&gt;$AM614)),
SUMPRODUCT(INDEX($AV$66:$AX$75,,$AI614), INDEX($AY$66:$BE$75,,$AH614), 1 / ($BG$66:$BG$75*CO614 + (1-$BG$66:$BG$75)*CK614), N($AU$66:$AU$75&gt;$AM614))
) / 1000</f>
        <v>0</v>
      </c>
      <c r="CQ614" s="231">
        <f t="shared" si="744"/>
        <v>25</v>
      </c>
      <c r="CR614" s="229">
        <f t="shared" si="728"/>
        <v>38</v>
      </c>
      <c r="CS614" s="234">
        <f t="shared" si="729"/>
        <v>4.0666935483870965</v>
      </c>
      <c r="CT614" s="234" cm="1">
        <f t="array" ref="CT614">$BM614 * IF($AH614&lt;=2,
SUMPRODUCT(INDEX($AV$66:$AX$70,,$AI614), INDEX($AY$66:$BE$70,,$AH614), 1 / ($BF$66:$BF$70*CS614 + (1-$BF$66:$BF$70)*CO614), N($AU$66:$AU$70&gt;$AM614)),
SUMPRODUCT(INDEX($AV$56:$AX$65,,$AI614), INDEX($AY$56:$BE$65,,$AH614), 1 / ($BG$56:$BG$65*CS614 + (1-$BG$56:$BG$65)*CO614), N($AU$56:$AU$65&gt;$AM614))
) / 1000</f>
        <v>0</v>
      </c>
      <c r="CU614" s="231">
        <f t="shared" si="745"/>
        <v>20</v>
      </c>
      <c r="CV614" s="229">
        <f t="shared" si="730"/>
        <v>33</v>
      </c>
      <c r="CW614" s="234">
        <f t="shared" si="731"/>
        <v>4.8487499999999999</v>
      </c>
      <c r="CX614" s="234" cm="1">
        <f t="array" ref="CX614">$BM614 * IF($AH614&lt;=2,
SUMPRODUCT(INDEX($AV$61:$AX$65,,$AI614), INDEX($AY$61:$BE$65,,$AH614), 1 / ($BF$61:$BF$65*CW614 + (1-$BF$61:$BF$65)*CS614), N($AU$61:$AU$65&gt;$AM614)),
SUMPRODUCT(INDEX($AV$46:$AX$55,,$AI614), INDEX($AY$46:$BE$55,,$AH614), 1 / ($BG$46:$BG$55*CW614 + (1-$BG$46:$BG$55)*CS614), N($AU$46:$AU$55&gt;$AM614))
) / 1000</f>
        <v>0</v>
      </c>
      <c r="CY614" s="234" cm="1">
        <f t="array" ref="CY614">$BM614 * IF($AH614&lt;=2,
SUMPRODUCT(INDEX($AV$22:$AX$60,,$AI614), INDEX($AY$22:$BE$60,,$AH614), 1 / ($BF$22:$BF$60*CW614), N($AU$22:$AU$60&gt;$AM614)),
SUMPRODUCT(INDEX($AV$22:$AX$45,,$AI614), INDEX($AY$22:$BE$45,,$AH614), 1 / ($BG$22:$BG$45*CW614), N($AU$22:$AU$45&gt;$AM614))
) / 1000</f>
        <v>0</v>
      </c>
      <c r="CZ614" s="229">
        <f t="shared" si="732"/>
        <v>0</v>
      </c>
      <c r="DA614" s="246"/>
    </row>
    <row r="615" spans="1:105" s="75" customFormat="1" ht="14.25" customHeight="1" x14ac:dyDescent="0.2">
      <c r="A615" s="230" t="b">
        <f t="shared" si="737"/>
        <v>0</v>
      </c>
      <c r="B615" s="253">
        <v>594</v>
      </c>
      <c r="C615" s="266"/>
      <c r="D615" s="266"/>
      <c r="E615" s="254"/>
      <c r="F615" s="255" t="str">
        <f>IF(ISBLANK(E615), "", VLOOKUP(E615, Z!$A$2:$C$4127, 3, FALSE))</f>
        <v/>
      </c>
      <c r="G615" s="256"/>
      <c r="H615" s="256"/>
      <c r="I615" s="256"/>
      <c r="J615" s="257"/>
      <c r="K615" s="258"/>
      <c r="L615" s="267"/>
      <c r="M615" s="268"/>
      <c r="N615" s="259" t="str" cm="1">
        <f t="array" ref="N615">IF($L615&gt;0, INDEX(Clean,1+AK615,$D$1), "")</f>
        <v/>
      </c>
      <c r="O615" s="260"/>
      <c r="P615" s="260"/>
      <c r="Q615" s="261"/>
      <c r="R615" s="264">
        <f t="shared" si="708"/>
        <v>0</v>
      </c>
      <c r="S615" s="259" t="str" cm="1">
        <f t="array" ref="S615">IF($L615&gt;0, INDEX(Clean,1+AL615,$D$1), "")</f>
        <v/>
      </c>
      <c r="T615" s="260"/>
      <c r="U615" s="260"/>
      <c r="V615" s="261"/>
      <c r="W615" s="267"/>
      <c r="X615" s="267"/>
      <c r="Y615" s="257"/>
      <c r="Z615" s="264">
        <f t="shared" si="709"/>
        <v>0</v>
      </c>
      <c r="AA615" s="269"/>
      <c r="AB615" s="266"/>
      <c r="AC615" s="254"/>
      <c r="AD615" s="255" t="str">
        <f>IF(ISBLANK(AC615), "", VLOOKUP(AC615, Z!$A$2:$C$4127, 3, FALSE))</f>
        <v/>
      </c>
      <c r="AE615" s="270"/>
      <c r="AF615" s="265">
        <f t="shared" si="710"/>
        <v>0</v>
      </c>
      <c r="AG615" s="246"/>
      <c r="AH615" s="228">
        <f t="shared" si="733"/>
        <v>1</v>
      </c>
      <c r="AI615" s="228">
        <f t="shared" si="734"/>
        <v>1</v>
      </c>
      <c r="AJ615" s="228">
        <f t="shared" si="735"/>
        <v>0</v>
      </c>
      <c r="AK615" s="228">
        <v>0</v>
      </c>
      <c r="AL615" s="228">
        <v>0</v>
      </c>
      <c r="AM615" s="228">
        <f t="shared" si="711"/>
        <v>-100</v>
      </c>
      <c r="AN615" s="228" cm="1">
        <f t="array" ref="AN615">IF(ISBLANK(G615), 1, IFERROR(MATCH(G615, INDEX(Kat,,1), 0), IFERROR(MATCH(Kat, INDEX(Use,,2), 0), MATCH(Kat, INDEX(Use,,3), 0))))</f>
        <v>1</v>
      </c>
      <c r="AO615" s="246"/>
      <c r="AP615" s="228" cm="1">
        <f t="array" ref="AP615">IF(W615&gt;0, INDEX(Kat, AN615,4), 0)</f>
        <v>0</v>
      </c>
      <c r="AQ615" s="228">
        <f t="shared" si="736"/>
        <v>0</v>
      </c>
      <c r="AR615" s="228" cm="1">
        <f t="array" ref="AR615">IF(X615&gt;0, INDEX(Kat, $AN615, 4+AQ615), 0)</f>
        <v>0</v>
      </c>
      <c r="AS615" s="228" cm="1">
        <f t="array" ref="AS615">IF(X615&gt;0, INDEX(Kat, $AN615, 9+AQ615), 0)</f>
        <v>0</v>
      </c>
      <c r="AT615" s="246"/>
      <c r="AU615" s="262"/>
      <c r="AV615" s="262"/>
      <c r="AW615" s="263"/>
      <c r="AX615" s="263"/>
      <c r="AY615" s="263"/>
      <c r="AZ615" s="263"/>
      <c r="BA615" s="263"/>
      <c r="BB615" s="263"/>
      <c r="BC615" s="263"/>
      <c r="BD615" s="263"/>
      <c r="BE615" s="263"/>
      <c r="BF615" s="263"/>
      <c r="BG615" s="263"/>
      <c r="BH615" s="246"/>
      <c r="BI615" s="228" cm="1">
        <f t="array" ref="BI615">INDEX(Use, $AH615, 4)</f>
        <v>7</v>
      </c>
      <c r="BJ615" s="228">
        <f t="shared" si="712"/>
        <v>32</v>
      </c>
      <c r="BK615" s="228">
        <f t="shared" si="738"/>
        <v>13</v>
      </c>
      <c r="BL615" s="228">
        <f t="shared" si="739"/>
        <v>0</v>
      </c>
      <c r="BM615" s="233" cm="1">
        <f t="array" ref="BM615">L615/IF($M615&gt;0, INDEX($AY$22:$BE$76, $M615+20, $AH615), 1)</f>
        <v>0</v>
      </c>
      <c r="BN615" s="229">
        <f t="shared" si="713"/>
        <v>0</v>
      </c>
      <c r="BO615" s="228">
        <v>35</v>
      </c>
      <c r="BP615" s="229">
        <f t="shared" si="714"/>
        <v>48</v>
      </c>
      <c r="BQ615" s="234">
        <f t="shared" si="715"/>
        <v>3.0748170731707316</v>
      </c>
      <c r="BR615" s="234" cm="1">
        <f t="array" ref="BR615">$BM615 * SUMPRODUCT(INDEX($AV$76:$AX$81,,$AI615),INDEX($AY$76:$BE$81,,$AH615), N($AU$76:$AU$81&gt;$AM615)) / BQ615 / 1000</f>
        <v>0</v>
      </c>
      <c r="BS615" s="231">
        <f t="shared" si="740"/>
        <v>30</v>
      </c>
      <c r="BT615" s="229">
        <f t="shared" si="716"/>
        <v>43</v>
      </c>
      <c r="BU615" s="234">
        <f t="shared" si="717"/>
        <v>3.5018750000000001</v>
      </c>
      <c r="BV615" s="234" cm="1">
        <f t="array" ref="BV615">$BM615 * IF($AH615&lt;=2,
SUMPRODUCT(INDEX($AV$71:$AX$75,,$AI615), INDEX($AY$71:$BE$75,,$AH615), 1 / ($BF$71:$BF$75*BU615 + (1-$BF$71:$BF$75)*BQ615), N($AU$71:$AU$75&gt;$AM615)),
SUMPRODUCT(INDEX($AV$66:$AX$75,,$AI615), INDEX($AY$66:$BE$75,,$AH615), 1 / ($BG$66:$BG$75*BU615 + (1-$BG$66:$BG$75)*BQ615), N($AU$66:$AU$75&gt;$AM615))
) / 1000</f>
        <v>0</v>
      </c>
      <c r="BW615" s="231">
        <f t="shared" si="741"/>
        <v>25</v>
      </c>
      <c r="BX615" s="229">
        <f t="shared" si="718"/>
        <v>38</v>
      </c>
      <c r="BY615" s="234">
        <f t="shared" si="719"/>
        <v>4.0666935483870965</v>
      </c>
      <c r="BZ615" s="234" cm="1">
        <f t="array" ref="BZ615">$BM615 * IF($AH615&lt;=2,
SUMPRODUCT(INDEX($AV$66:$AX$70,,$AI615), INDEX($AY$66:$BE$70,,$AH615), 1 / ($BF$66:$BF$70*BY615 + (1-$BF$66:$BF$70)*BU615), N($AU$66:$AU$70&gt;$AM615)),
SUMPRODUCT(INDEX($AV$56:$AX$65,,$AI615), INDEX($AY$56:$BE$65,,$AH615), 1 / ($BG$56:$BG$65*BY615 + (1-$BG$56:$BG$65)*BU615), N($AU$56:$AU$65&gt;$AM615))
) / 1000</f>
        <v>0</v>
      </c>
      <c r="CA615" s="231">
        <f t="shared" si="742"/>
        <v>20</v>
      </c>
      <c r="CB615" s="229">
        <f t="shared" si="720"/>
        <v>33</v>
      </c>
      <c r="CC615" s="234">
        <f t="shared" si="721"/>
        <v>4.8487499999999999</v>
      </c>
      <c r="CD615" s="234" cm="1">
        <f t="array" ref="CD615">$BM615 * IF($AH615&lt;=2,
SUMPRODUCT(INDEX($AV$61:$AX$65,,$AI615), INDEX($AY$61:$BE$65,,$AH615), 1 / ($BF$61:$BF$65*CC615 + (1-$BF$61:$BF$65)*BY615), N($AU$61:$AU$65&gt;$AM615)),
SUMPRODUCT(INDEX($AV$46:$AX$55,,$AI615), INDEX($AY$46:$BE$55,,$AH615), 1 / ($BG$46:$BG$55*CC615 + (1-$BG$46:$BG$55)*BY615), N($AU$46:$AU$55&gt;$AM615))
) / 1000</f>
        <v>0</v>
      </c>
      <c r="CE615" s="234" cm="1">
        <f t="array" ref="CE615">$BM615 * IF($AH615&lt;=2,
SUMPRODUCT(INDEX($AV$22:$AX$60,,$AI615), INDEX($AY$22:$BE$60,,$AH615), 1 / ($BF$22:$BF$60*CC615), N($AU$22:$AU$60&gt;$AM615)),
SUMPRODUCT(INDEX($AV$22:$AX$45,,$AI615), INDEX($AY$22:$BE$45,,$AH615), 1 / ($BG$22:$BG$45*CC615), N($AU$22:$AU$45&gt;$AM615))
) / 1000</f>
        <v>0</v>
      </c>
      <c r="CF615" s="229">
        <f t="shared" si="722"/>
        <v>0</v>
      </c>
      <c r="CG615" s="246"/>
      <c r="CH615" s="229">
        <f t="shared" si="723"/>
        <v>0</v>
      </c>
      <c r="CI615" s="228">
        <v>35</v>
      </c>
      <c r="CJ615" s="229">
        <f t="shared" si="724"/>
        <v>48</v>
      </c>
      <c r="CK615" s="234">
        <f t="shared" si="725"/>
        <v>3.0748170731707316</v>
      </c>
      <c r="CL615" s="234" cm="1">
        <f t="array" ref="CL615">$BM615 * SUMPRODUCT(INDEX($AV$76:$AX$81,,$AI615),INDEX($AY$76:$BE$81,,$AH615), N($AU$76:$AU$81&gt;$AM615)) / CK615 / 1000</f>
        <v>0</v>
      </c>
      <c r="CM615" s="231">
        <f t="shared" si="743"/>
        <v>30</v>
      </c>
      <c r="CN615" s="229">
        <f t="shared" si="726"/>
        <v>43</v>
      </c>
      <c r="CO615" s="234">
        <f t="shared" si="727"/>
        <v>3.5018750000000001</v>
      </c>
      <c r="CP615" s="234" cm="1">
        <f t="array" ref="CP615">$BM615 * IF($AH615&lt;=2,
SUMPRODUCT(INDEX($AV$71:$AX$75,,$AI615), INDEX($AY$71:$BE$75,,$AH615), 1 / ($BF$71:$BF$75*CO615 + (1-$BF$71:$BF$75)*CK615), N($AU$71:$AU$75&gt;$AM615)),
SUMPRODUCT(INDEX($AV$66:$AX$75,,$AI615), INDEX($AY$66:$BE$75,,$AH615), 1 / ($BG$66:$BG$75*CO615 + (1-$BG$66:$BG$75)*CK615), N($AU$66:$AU$75&gt;$AM615))
) / 1000</f>
        <v>0</v>
      </c>
      <c r="CQ615" s="231">
        <f t="shared" si="744"/>
        <v>25</v>
      </c>
      <c r="CR615" s="229">
        <f t="shared" si="728"/>
        <v>38</v>
      </c>
      <c r="CS615" s="234">
        <f t="shared" si="729"/>
        <v>4.0666935483870965</v>
      </c>
      <c r="CT615" s="234" cm="1">
        <f t="array" ref="CT615">$BM615 * IF($AH615&lt;=2,
SUMPRODUCT(INDEX($AV$66:$AX$70,,$AI615), INDEX($AY$66:$BE$70,,$AH615), 1 / ($BF$66:$BF$70*CS615 + (1-$BF$66:$BF$70)*CO615), N($AU$66:$AU$70&gt;$AM615)),
SUMPRODUCT(INDEX($AV$56:$AX$65,,$AI615), INDEX($AY$56:$BE$65,,$AH615), 1 / ($BG$56:$BG$65*CS615 + (1-$BG$56:$BG$65)*CO615), N($AU$56:$AU$65&gt;$AM615))
) / 1000</f>
        <v>0</v>
      </c>
      <c r="CU615" s="231">
        <f t="shared" si="745"/>
        <v>20</v>
      </c>
      <c r="CV615" s="229">
        <f t="shared" si="730"/>
        <v>33</v>
      </c>
      <c r="CW615" s="234">
        <f t="shared" si="731"/>
        <v>4.8487499999999999</v>
      </c>
      <c r="CX615" s="234" cm="1">
        <f t="array" ref="CX615">$BM615 * IF($AH615&lt;=2,
SUMPRODUCT(INDEX($AV$61:$AX$65,,$AI615), INDEX($AY$61:$BE$65,,$AH615), 1 / ($BF$61:$BF$65*CW615 + (1-$BF$61:$BF$65)*CS615), N($AU$61:$AU$65&gt;$AM615)),
SUMPRODUCT(INDEX($AV$46:$AX$55,,$AI615), INDEX($AY$46:$BE$55,,$AH615), 1 / ($BG$46:$BG$55*CW615 + (1-$BG$46:$BG$55)*CS615), N($AU$46:$AU$55&gt;$AM615))
) / 1000</f>
        <v>0</v>
      </c>
      <c r="CY615" s="234" cm="1">
        <f t="array" ref="CY615">$BM615 * IF($AH615&lt;=2,
SUMPRODUCT(INDEX($AV$22:$AX$60,,$AI615), INDEX($AY$22:$BE$60,,$AH615), 1 / ($BF$22:$BF$60*CW615), N($AU$22:$AU$60&gt;$AM615)),
SUMPRODUCT(INDEX($AV$22:$AX$45,,$AI615), INDEX($AY$22:$BE$45,,$AH615), 1 / ($BG$22:$BG$45*CW615), N($AU$22:$AU$45&gt;$AM615))
) / 1000</f>
        <v>0</v>
      </c>
      <c r="CZ615" s="229">
        <f t="shared" si="732"/>
        <v>0</v>
      </c>
      <c r="DA615" s="246"/>
    </row>
    <row r="616" spans="1:105" s="75" customFormat="1" ht="14.25" customHeight="1" x14ac:dyDescent="0.2">
      <c r="A616" s="230" t="b">
        <f t="shared" si="737"/>
        <v>0</v>
      </c>
      <c r="B616" s="253">
        <v>595</v>
      </c>
      <c r="C616" s="266"/>
      <c r="D616" s="266"/>
      <c r="E616" s="254"/>
      <c r="F616" s="255" t="str">
        <f>IF(ISBLANK(E616), "", VLOOKUP(E616, Z!$A$2:$C$4127, 3, FALSE))</f>
        <v/>
      </c>
      <c r="G616" s="256"/>
      <c r="H616" s="256"/>
      <c r="I616" s="256"/>
      <c r="J616" s="257"/>
      <c r="K616" s="258"/>
      <c r="L616" s="267"/>
      <c r="M616" s="268"/>
      <c r="N616" s="259" t="str" cm="1">
        <f t="array" ref="N616">IF($L616&gt;0, INDEX(Clean,1+AK616,$D$1), "")</f>
        <v/>
      </c>
      <c r="O616" s="260"/>
      <c r="P616" s="260"/>
      <c r="Q616" s="261"/>
      <c r="R616" s="264">
        <f t="shared" si="708"/>
        <v>0</v>
      </c>
      <c r="S616" s="259" t="str" cm="1">
        <f t="array" ref="S616">IF($L616&gt;0, INDEX(Clean,1+AL616,$D$1), "")</f>
        <v/>
      </c>
      <c r="T616" s="260"/>
      <c r="U616" s="260"/>
      <c r="V616" s="261"/>
      <c r="W616" s="267"/>
      <c r="X616" s="267"/>
      <c r="Y616" s="257"/>
      <c r="Z616" s="264">
        <f t="shared" si="709"/>
        <v>0</v>
      </c>
      <c r="AA616" s="269"/>
      <c r="AB616" s="266"/>
      <c r="AC616" s="254"/>
      <c r="AD616" s="255" t="str">
        <f>IF(ISBLANK(AC616), "", VLOOKUP(AC616, Z!$A$2:$C$4127, 3, FALSE))</f>
        <v/>
      </c>
      <c r="AE616" s="270"/>
      <c r="AF616" s="265">
        <f t="shared" si="710"/>
        <v>0</v>
      </c>
      <c r="AG616" s="246"/>
      <c r="AH616" s="228">
        <f t="shared" si="733"/>
        <v>1</v>
      </c>
      <c r="AI616" s="228">
        <f t="shared" si="734"/>
        <v>1</v>
      </c>
      <c r="AJ616" s="228">
        <f t="shared" si="735"/>
        <v>0</v>
      </c>
      <c r="AK616" s="228">
        <v>0</v>
      </c>
      <c r="AL616" s="228">
        <v>0</v>
      </c>
      <c r="AM616" s="228">
        <f t="shared" si="711"/>
        <v>-100</v>
      </c>
      <c r="AN616" s="228" cm="1">
        <f t="array" ref="AN616">IF(ISBLANK(G616), 1, IFERROR(MATCH(G616, INDEX(Kat,,1), 0), IFERROR(MATCH(Kat, INDEX(Use,,2), 0), MATCH(Kat, INDEX(Use,,3), 0))))</f>
        <v>1</v>
      </c>
      <c r="AO616" s="246"/>
      <c r="AP616" s="228" cm="1">
        <f t="array" ref="AP616">IF(W616&gt;0, INDEX(Kat, AN616,4), 0)</f>
        <v>0</v>
      </c>
      <c r="AQ616" s="228">
        <f t="shared" si="736"/>
        <v>0</v>
      </c>
      <c r="AR616" s="228" cm="1">
        <f t="array" ref="AR616">IF(X616&gt;0, INDEX(Kat, $AN616, 4+AQ616), 0)</f>
        <v>0</v>
      </c>
      <c r="AS616" s="228" cm="1">
        <f t="array" ref="AS616">IF(X616&gt;0, INDEX(Kat, $AN616, 9+AQ616), 0)</f>
        <v>0</v>
      </c>
      <c r="AT616" s="246"/>
      <c r="AU616" s="262"/>
      <c r="AV616" s="262"/>
      <c r="AW616" s="263"/>
      <c r="AX616" s="263"/>
      <c r="AY616" s="263"/>
      <c r="AZ616" s="263"/>
      <c r="BA616" s="263"/>
      <c r="BB616" s="263"/>
      <c r="BC616" s="263"/>
      <c r="BD616" s="263"/>
      <c r="BE616" s="263"/>
      <c r="BF616" s="263"/>
      <c r="BG616" s="263"/>
      <c r="BH616" s="246"/>
      <c r="BI616" s="228" cm="1">
        <f t="array" ref="BI616">INDEX(Use, $AH616, 4)</f>
        <v>7</v>
      </c>
      <c r="BJ616" s="228">
        <f t="shared" si="712"/>
        <v>32</v>
      </c>
      <c r="BK616" s="228">
        <f t="shared" si="738"/>
        <v>13</v>
      </c>
      <c r="BL616" s="228">
        <f t="shared" si="739"/>
        <v>0</v>
      </c>
      <c r="BM616" s="233" cm="1">
        <f t="array" ref="BM616">L616/IF($M616&gt;0, INDEX($AY$22:$BE$76, $M616+20, $AH616), 1)</f>
        <v>0</v>
      </c>
      <c r="BN616" s="229">
        <f t="shared" si="713"/>
        <v>0</v>
      </c>
      <c r="BO616" s="228">
        <v>35</v>
      </c>
      <c r="BP616" s="229">
        <f t="shared" si="714"/>
        <v>48</v>
      </c>
      <c r="BQ616" s="234">
        <f t="shared" si="715"/>
        <v>3.0748170731707316</v>
      </c>
      <c r="BR616" s="234" cm="1">
        <f t="array" ref="BR616">$BM616 * SUMPRODUCT(INDEX($AV$76:$AX$81,,$AI616),INDEX($AY$76:$BE$81,,$AH616), N($AU$76:$AU$81&gt;$AM616)) / BQ616 / 1000</f>
        <v>0</v>
      </c>
      <c r="BS616" s="231">
        <f t="shared" si="740"/>
        <v>30</v>
      </c>
      <c r="BT616" s="229">
        <f t="shared" si="716"/>
        <v>43</v>
      </c>
      <c r="BU616" s="234">
        <f t="shared" si="717"/>
        <v>3.5018750000000001</v>
      </c>
      <c r="BV616" s="234" cm="1">
        <f t="array" ref="BV616">$BM616 * IF($AH616&lt;=2,
SUMPRODUCT(INDEX($AV$71:$AX$75,,$AI616), INDEX($AY$71:$BE$75,,$AH616), 1 / ($BF$71:$BF$75*BU616 + (1-$BF$71:$BF$75)*BQ616), N($AU$71:$AU$75&gt;$AM616)),
SUMPRODUCT(INDEX($AV$66:$AX$75,,$AI616), INDEX($AY$66:$BE$75,,$AH616), 1 / ($BG$66:$BG$75*BU616 + (1-$BG$66:$BG$75)*BQ616), N($AU$66:$AU$75&gt;$AM616))
) / 1000</f>
        <v>0</v>
      </c>
      <c r="BW616" s="231">
        <f t="shared" si="741"/>
        <v>25</v>
      </c>
      <c r="BX616" s="229">
        <f t="shared" si="718"/>
        <v>38</v>
      </c>
      <c r="BY616" s="234">
        <f t="shared" si="719"/>
        <v>4.0666935483870965</v>
      </c>
      <c r="BZ616" s="234" cm="1">
        <f t="array" ref="BZ616">$BM616 * IF($AH616&lt;=2,
SUMPRODUCT(INDEX($AV$66:$AX$70,,$AI616), INDEX($AY$66:$BE$70,,$AH616), 1 / ($BF$66:$BF$70*BY616 + (1-$BF$66:$BF$70)*BU616), N($AU$66:$AU$70&gt;$AM616)),
SUMPRODUCT(INDEX($AV$56:$AX$65,,$AI616), INDEX($AY$56:$BE$65,,$AH616), 1 / ($BG$56:$BG$65*BY616 + (1-$BG$56:$BG$65)*BU616), N($AU$56:$AU$65&gt;$AM616))
) / 1000</f>
        <v>0</v>
      </c>
      <c r="CA616" s="231">
        <f t="shared" si="742"/>
        <v>20</v>
      </c>
      <c r="CB616" s="229">
        <f t="shared" si="720"/>
        <v>33</v>
      </c>
      <c r="CC616" s="234">
        <f t="shared" si="721"/>
        <v>4.8487499999999999</v>
      </c>
      <c r="CD616" s="234" cm="1">
        <f t="array" ref="CD616">$BM616 * IF($AH616&lt;=2,
SUMPRODUCT(INDEX($AV$61:$AX$65,,$AI616), INDEX($AY$61:$BE$65,,$AH616), 1 / ($BF$61:$BF$65*CC616 + (1-$BF$61:$BF$65)*BY616), N($AU$61:$AU$65&gt;$AM616)),
SUMPRODUCT(INDEX($AV$46:$AX$55,,$AI616), INDEX($AY$46:$BE$55,,$AH616), 1 / ($BG$46:$BG$55*CC616 + (1-$BG$46:$BG$55)*BY616), N($AU$46:$AU$55&gt;$AM616))
) / 1000</f>
        <v>0</v>
      </c>
      <c r="CE616" s="234" cm="1">
        <f t="array" ref="CE616">$BM616 * IF($AH616&lt;=2,
SUMPRODUCT(INDEX($AV$22:$AX$60,,$AI616), INDEX($AY$22:$BE$60,,$AH616), 1 / ($BF$22:$BF$60*CC616), N($AU$22:$AU$60&gt;$AM616)),
SUMPRODUCT(INDEX($AV$22:$AX$45,,$AI616), INDEX($AY$22:$BE$45,,$AH616), 1 / ($BG$22:$BG$45*CC616), N($AU$22:$AU$45&gt;$AM616))
) / 1000</f>
        <v>0</v>
      </c>
      <c r="CF616" s="229">
        <f t="shared" si="722"/>
        <v>0</v>
      </c>
      <c r="CG616" s="246"/>
      <c r="CH616" s="229">
        <f t="shared" si="723"/>
        <v>0</v>
      </c>
      <c r="CI616" s="228">
        <v>35</v>
      </c>
      <c r="CJ616" s="229">
        <f t="shared" si="724"/>
        <v>48</v>
      </c>
      <c r="CK616" s="234">
        <f t="shared" si="725"/>
        <v>3.0748170731707316</v>
      </c>
      <c r="CL616" s="234" cm="1">
        <f t="array" ref="CL616">$BM616 * SUMPRODUCT(INDEX($AV$76:$AX$81,,$AI616),INDEX($AY$76:$BE$81,,$AH616), N($AU$76:$AU$81&gt;$AM616)) / CK616 / 1000</f>
        <v>0</v>
      </c>
      <c r="CM616" s="231">
        <f t="shared" si="743"/>
        <v>30</v>
      </c>
      <c r="CN616" s="229">
        <f t="shared" si="726"/>
        <v>43</v>
      </c>
      <c r="CO616" s="234">
        <f t="shared" si="727"/>
        <v>3.5018750000000001</v>
      </c>
      <c r="CP616" s="234" cm="1">
        <f t="array" ref="CP616">$BM616 * IF($AH616&lt;=2,
SUMPRODUCT(INDEX($AV$71:$AX$75,,$AI616), INDEX($AY$71:$BE$75,,$AH616), 1 / ($BF$71:$BF$75*CO616 + (1-$BF$71:$BF$75)*CK616), N($AU$71:$AU$75&gt;$AM616)),
SUMPRODUCT(INDEX($AV$66:$AX$75,,$AI616), INDEX($AY$66:$BE$75,,$AH616), 1 / ($BG$66:$BG$75*CO616 + (1-$BG$66:$BG$75)*CK616), N($AU$66:$AU$75&gt;$AM616))
) / 1000</f>
        <v>0</v>
      </c>
      <c r="CQ616" s="231">
        <f t="shared" si="744"/>
        <v>25</v>
      </c>
      <c r="CR616" s="229">
        <f t="shared" si="728"/>
        <v>38</v>
      </c>
      <c r="CS616" s="234">
        <f t="shared" si="729"/>
        <v>4.0666935483870965</v>
      </c>
      <c r="CT616" s="234" cm="1">
        <f t="array" ref="CT616">$BM616 * IF($AH616&lt;=2,
SUMPRODUCT(INDEX($AV$66:$AX$70,,$AI616), INDEX($AY$66:$BE$70,,$AH616), 1 / ($BF$66:$BF$70*CS616 + (1-$BF$66:$BF$70)*CO616), N($AU$66:$AU$70&gt;$AM616)),
SUMPRODUCT(INDEX($AV$56:$AX$65,,$AI616), INDEX($AY$56:$BE$65,,$AH616), 1 / ($BG$56:$BG$65*CS616 + (1-$BG$56:$BG$65)*CO616), N($AU$56:$AU$65&gt;$AM616))
) / 1000</f>
        <v>0</v>
      </c>
      <c r="CU616" s="231">
        <f t="shared" si="745"/>
        <v>20</v>
      </c>
      <c r="CV616" s="229">
        <f t="shared" si="730"/>
        <v>33</v>
      </c>
      <c r="CW616" s="234">
        <f t="shared" si="731"/>
        <v>4.8487499999999999</v>
      </c>
      <c r="CX616" s="234" cm="1">
        <f t="array" ref="CX616">$BM616 * IF($AH616&lt;=2,
SUMPRODUCT(INDEX($AV$61:$AX$65,,$AI616), INDEX($AY$61:$BE$65,,$AH616), 1 / ($BF$61:$BF$65*CW616 + (1-$BF$61:$BF$65)*CS616), N($AU$61:$AU$65&gt;$AM616)),
SUMPRODUCT(INDEX($AV$46:$AX$55,,$AI616), INDEX($AY$46:$BE$55,,$AH616), 1 / ($BG$46:$BG$55*CW616 + (1-$BG$46:$BG$55)*CS616), N($AU$46:$AU$55&gt;$AM616))
) / 1000</f>
        <v>0</v>
      </c>
      <c r="CY616" s="234" cm="1">
        <f t="array" ref="CY616">$BM616 * IF($AH616&lt;=2,
SUMPRODUCT(INDEX($AV$22:$AX$60,,$AI616), INDEX($AY$22:$BE$60,,$AH616), 1 / ($BF$22:$BF$60*CW616), N($AU$22:$AU$60&gt;$AM616)),
SUMPRODUCT(INDEX($AV$22:$AX$45,,$AI616), INDEX($AY$22:$BE$45,,$AH616), 1 / ($BG$22:$BG$45*CW616), N($AU$22:$AU$45&gt;$AM616))
) / 1000</f>
        <v>0</v>
      </c>
      <c r="CZ616" s="229">
        <f t="shared" si="732"/>
        <v>0</v>
      </c>
      <c r="DA616" s="246"/>
    </row>
    <row r="617" spans="1:105" s="75" customFormat="1" ht="14.25" customHeight="1" x14ac:dyDescent="0.2">
      <c r="A617" s="230" t="b">
        <f t="shared" si="737"/>
        <v>0</v>
      </c>
      <c r="B617" s="253">
        <v>596</v>
      </c>
      <c r="C617" s="266"/>
      <c r="D617" s="266"/>
      <c r="E617" s="254"/>
      <c r="F617" s="255" t="str">
        <f>IF(ISBLANK(E617), "", VLOOKUP(E617, Z!$A$2:$C$4127, 3, FALSE))</f>
        <v/>
      </c>
      <c r="G617" s="256"/>
      <c r="H617" s="256"/>
      <c r="I617" s="256"/>
      <c r="J617" s="257"/>
      <c r="K617" s="258"/>
      <c r="L617" s="267"/>
      <c r="M617" s="268"/>
      <c r="N617" s="259" t="str" cm="1">
        <f t="array" ref="N617">IF($L617&gt;0, INDEX(Clean,1+AK617,$D$1), "")</f>
        <v/>
      </c>
      <c r="O617" s="260"/>
      <c r="P617" s="260"/>
      <c r="Q617" s="261"/>
      <c r="R617" s="264">
        <f t="shared" si="708"/>
        <v>0</v>
      </c>
      <c r="S617" s="259" t="str" cm="1">
        <f t="array" ref="S617">IF($L617&gt;0, INDEX(Clean,1+AL617,$D$1), "")</f>
        <v/>
      </c>
      <c r="T617" s="260"/>
      <c r="U617" s="260"/>
      <c r="V617" s="261"/>
      <c r="W617" s="267"/>
      <c r="X617" s="267"/>
      <c r="Y617" s="257"/>
      <c r="Z617" s="264">
        <f t="shared" si="709"/>
        <v>0</v>
      </c>
      <c r="AA617" s="269"/>
      <c r="AB617" s="266"/>
      <c r="AC617" s="254"/>
      <c r="AD617" s="255" t="str">
        <f>IF(ISBLANK(AC617), "", VLOOKUP(AC617, Z!$A$2:$C$4127, 3, FALSE))</f>
        <v/>
      </c>
      <c r="AE617" s="270"/>
      <c r="AF617" s="265">
        <f t="shared" si="710"/>
        <v>0</v>
      </c>
      <c r="AG617" s="246"/>
      <c r="AH617" s="228">
        <f t="shared" si="733"/>
        <v>1</v>
      </c>
      <c r="AI617" s="228">
        <f t="shared" si="734"/>
        <v>1</v>
      </c>
      <c r="AJ617" s="228">
        <f t="shared" si="735"/>
        <v>0</v>
      </c>
      <c r="AK617" s="228">
        <v>0</v>
      </c>
      <c r="AL617" s="228">
        <v>0</v>
      </c>
      <c r="AM617" s="228">
        <f t="shared" si="711"/>
        <v>-100</v>
      </c>
      <c r="AN617" s="228" cm="1">
        <f t="array" ref="AN617">IF(ISBLANK(G617), 1, IFERROR(MATCH(G617, INDEX(Kat,,1), 0), IFERROR(MATCH(Kat, INDEX(Use,,2), 0), MATCH(Kat, INDEX(Use,,3), 0))))</f>
        <v>1</v>
      </c>
      <c r="AO617" s="246"/>
      <c r="AP617" s="228" cm="1">
        <f t="array" ref="AP617">IF(W617&gt;0, INDEX(Kat, AN617,4), 0)</f>
        <v>0</v>
      </c>
      <c r="AQ617" s="228">
        <f t="shared" si="736"/>
        <v>0</v>
      </c>
      <c r="AR617" s="228" cm="1">
        <f t="array" ref="AR617">IF(X617&gt;0, INDEX(Kat, $AN617, 4+AQ617), 0)</f>
        <v>0</v>
      </c>
      <c r="AS617" s="228" cm="1">
        <f t="array" ref="AS617">IF(X617&gt;0, INDEX(Kat, $AN617, 9+AQ617), 0)</f>
        <v>0</v>
      </c>
      <c r="AT617" s="246"/>
      <c r="AU617" s="262"/>
      <c r="AV617" s="262"/>
      <c r="AW617" s="263"/>
      <c r="AX617" s="263"/>
      <c r="AY617" s="263"/>
      <c r="AZ617" s="263"/>
      <c r="BA617" s="263"/>
      <c r="BB617" s="263"/>
      <c r="BC617" s="263"/>
      <c r="BD617" s="263"/>
      <c r="BE617" s="263"/>
      <c r="BF617" s="263"/>
      <c r="BG617" s="263"/>
      <c r="BH617" s="246"/>
      <c r="BI617" s="228" cm="1">
        <f t="array" ref="BI617">INDEX(Use, $AH617, 4)</f>
        <v>7</v>
      </c>
      <c r="BJ617" s="228">
        <f t="shared" si="712"/>
        <v>32</v>
      </c>
      <c r="BK617" s="228">
        <f t="shared" si="738"/>
        <v>13</v>
      </c>
      <c r="BL617" s="228">
        <f t="shared" si="739"/>
        <v>0</v>
      </c>
      <c r="BM617" s="233" cm="1">
        <f t="array" ref="BM617">L617/IF($M617&gt;0, INDEX($AY$22:$BE$76, $M617+20, $AH617), 1)</f>
        <v>0</v>
      </c>
      <c r="BN617" s="229">
        <f t="shared" si="713"/>
        <v>0</v>
      </c>
      <c r="BO617" s="228">
        <v>35</v>
      </c>
      <c r="BP617" s="229">
        <f t="shared" si="714"/>
        <v>48</v>
      </c>
      <c r="BQ617" s="234">
        <f t="shared" si="715"/>
        <v>3.0748170731707316</v>
      </c>
      <c r="BR617" s="234" cm="1">
        <f t="array" ref="BR617">$BM617 * SUMPRODUCT(INDEX($AV$76:$AX$81,,$AI617),INDEX($AY$76:$BE$81,,$AH617), N($AU$76:$AU$81&gt;$AM617)) / BQ617 / 1000</f>
        <v>0</v>
      </c>
      <c r="BS617" s="231">
        <f t="shared" si="740"/>
        <v>30</v>
      </c>
      <c r="BT617" s="229">
        <f t="shared" si="716"/>
        <v>43</v>
      </c>
      <c r="BU617" s="234">
        <f t="shared" si="717"/>
        <v>3.5018750000000001</v>
      </c>
      <c r="BV617" s="234" cm="1">
        <f t="array" ref="BV617">$BM617 * IF($AH617&lt;=2,
SUMPRODUCT(INDEX($AV$71:$AX$75,,$AI617), INDEX($AY$71:$BE$75,,$AH617), 1 / ($BF$71:$BF$75*BU617 + (1-$BF$71:$BF$75)*BQ617), N($AU$71:$AU$75&gt;$AM617)),
SUMPRODUCT(INDEX($AV$66:$AX$75,,$AI617), INDEX($AY$66:$BE$75,,$AH617), 1 / ($BG$66:$BG$75*BU617 + (1-$BG$66:$BG$75)*BQ617), N($AU$66:$AU$75&gt;$AM617))
) / 1000</f>
        <v>0</v>
      </c>
      <c r="BW617" s="231">
        <f t="shared" si="741"/>
        <v>25</v>
      </c>
      <c r="BX617" s="229">
        <f t="shared" si="718"/>
        <v>38</v>
      </c>
      <c r="BY617" s="234">
        <f t="shared" si="719"/>
        <v>4.0666935483870965</v>
      </c>
      <c r="BZ617" s="234" cm="1">
        <f t="array" ref="BZ617">$BM617 * IF($AH617&lt;=2,
SUMPRODUCT(INDEX($AV$66:$AX$70,,$AI617), INDEX($AY$66:$BE$70,,$AH617), 1 / ($BF$66:$BF$70*BY617 + (1-$BF$66:$BF$70)*BU617), N($AU$66:$AU$70&gt;$AM617)),
SUMPRODUCT(INDEX($AV$56:$AX$65,,$AI617), INDEX($AY$56:$BE$65,,$AH617), 1 / ($BG$56:$BG$65*BY617 + (1-$BG$56:$BG$65)*BU617), N($AU$56:$AU$65&gt;$AM617))
) / 1000</f>
        <v>0</v>
      </c>
      <c r="CA617" s="231">
        <f t="shared" si="742"/>
        <v>20</v>
      </c>
      <c r="CB617" s="229">
        <f t="shared" si="720"/>
        <v>33</v>
      </c>
      <c r="CC617" s="234">
        <f t="shared" si="721"/>
        <v>4.8487499999999999</v>
      </c>
      <c r="CD617" s="234" cm="1">
        <f t="array" ref="CD617">$BM617 * IF($AH617&lt;=2,
SUMPRODUCT(INDEX($AV$61:$AX$65,,$AI617), INDEX($AY$61:$BE$65,,$AH617), 1 / ($BF$61:$BF$65*CC617 + (1-$BF$61:$BF$65)*BY617), N($AU$61:$AU$65&gt;$AM617)),
SUMPRODUCT(INDEX($AV$46:$AX$55,,$AI617), INDEX($AY$46:$BE$55,,$AH617), 1 / ($BG$46:$BG$55*CC617 + (1-$BG$46:$BG$55)*BY617), N($AU$46:$AU$55&gt;$AM617))
) / 1000</f>
        <v>0</v>
      </c>
      <c r="CE617" s="234" cm="1">
        <f t="array" ref="CE617">$BM617 * IF($AH617&lt;=2,
SUMPRODUCT(INDEX($AV$22:$AX$60,,$AI617), INDEX($AY$22:$BE$60,,$AH617), 1 / ($BF$22:$BF$60*CC617), N($AU$22:$AU$60&gt;$AM617)),
SUMPRODUCT(INDEX($AV$22:$AX$45,,$AI617), INDEX($AY$22:$BE$45,,$AH617), 1 / ($BG$22:$BG$45*CC617), N($AU$22:$AU$45&gt;$AM617))
) / 1000</f>
        <v>0</v>
      </c>
      <c r="CF617" s="229">
        <f t="shared" si="722"/>
        <v>0</v>
      </c>
      <c r="CG617" s="246"/>
      <c r="CH617" s="229">
        <f t="shared" si="723"/>
        <v>0</v>
      </c>
      <c r="CI617" s="228">
        <v>35</v>
      </c>
      <c r="CJ617" s="229">
        <f t="shared" si="724"/>
        <v>48</v>
      </c>
      <c r="CK617" s="234">
        <f t="shared" si="725"/>
        <v>3.0748170731707316</v>
      </c>
      <c r="CL617" s="234" cm="1">
        <f t="array" ref="CL617">$BM617 * SUMPRODUCT(INDEX($AV$76:$AX$81,,$AI617),INDEX($AY$76:$BE$81,,$AH617), N($AU$76:$AU$81&gt;$AM617)) / CK617 / 1000</f>
        <v>0</v>
      </c>
      <c r="CM617" s="231">
        <f t="shared" si="743"/>
        <v>30</v>
      </c>
      <c r="CN617" s="229">
        <f t="shared" si="726"/>
        <v>43</v>
      </c>
      <c r="CO617" s="234">
        <f t="shared" si="727"/>
        <v>3.5018750000000001</v>
      </c>
      <c r="CP617" s="234" cm="1">
        <f t="array" ref="CP617">$BM617 * IF($AH617&lt;=2,
SUMPRODUCT(INDEX($AV$71:$AX$75,,$AI617), INDEX($AY$71:$BE$75,,$AH617), 1 / ($BF$71:$BF$75*CO617 + (1-$BF$71:$BF$75)*CK617), N($AU$71:$AU$75&gt;$AM617)),
SUMPRODUCT(INDEX($AV$66:$AX$75,,$AI617), INDEX($AY$66:$BE$75,,$AH617), 1 / ($BG$66:$BG$75*CO617 + (1-$BG$66:$BG$75)*CK617), N($AU$66:$AU$75&gt;$AM617))
) / 1000</f>
        <v>0</v>
      </c>
      <c r="CQ617" s="231">
        <f t="shared" si="744"/>
        <v>25</v>
      </c>
      <c r="CR617" s="229">
        <f t="shared" si="728"/>
        <v>38</v>
      </c>
      <c r="CS617" s="234">
        <f t="shared" si="729"/>
        <v>4.0666935483870965</v>
      </c>
      <c r="CT617" s="234" cm="1">
        <f t="array" ref="CT617">$BM617 * IF($AH617&lt;=2,
SUMPRODUCT(INDEX($AV$66:$AX$70,,$AI617), INDEX($AY$66:$BE$70,,$AH617), 1 / ($BF$66:$BF$70*CS617 + (1-$BF$66:$BF$70)*CO617), N($AU$66:$AU$70&gt;$AM617)),
SUMPRODUCT(INDEX($AV$56:$AX$65,,$AI617), INDEX($AY$56:$BE$65,,$AH617), 1 / ($BG$56:$BG$65*CS617 + (1-$BG$56:$BG$65)*CO617), N($AU$56:$AU$65&gt;$AM617))
) / 1000</f>
        <v>0</v>
      </c>
      <c r="CU617" s="231">
        <f t="shared" si="745"/>
        <v>20</v>
      </c>
      <c r="CV617" s="229">
        <f t="shared" si="730"/>
        <v>33</v>
      </c>
      <c r="CW617" s="234">
        <f t="shared" si="731"/>
        <v>4.8487499999999999</v>
      </c>
      <c r="CX617" s="234" cm="1">
        <f t="array" ref="CX617">$BM617 * IF($AH617&lt;=2,
SUMPRODUCT(INDEX($AV$61:$AX$65,,$AI617), INDEX($AY$61:$BE$65,,$AH617), 1 / ($BF$61:$BF$65*CW617 + (1-$BF$61:$BF$65)*CS617), N($AU$61:$AU$65&gt;$AM617)),
SUMPRODUCT(INDEX($AV$46:$AX$55,,$AI617), INDEX($AY$46:$BE$55,,$AH617), 1 / ($BG$46:$BG$55*CW617 + (1-$BG$46:$BG$55)*CS617), N($AU$46:$AU$55&gt;$AM617))
) / 1000</f>
        <v>0</v>
      </c>
      <c r="CY617" s="234" cm="1">
        <f t="array" ref="CY617">$BM617 * IF($AH617&lt;=2,
SUMPRODUCT(INDEX($AV$22:$AX$60,,$AI617), INDEX($AY$22:$BE$60,,$AH617), 1 / ($BF$22:$BF$60*CW617), N($AU$22:$AU$60&gt;$AM617)),
SUMPRODUCT(INDEX($AV$22:$AX$45,,$AI617), INDEX($AY$22:$BE$45,,$AH617), 1 / ($BG$22:$BG$45*CW617), N($AU$22:$AU$45&gt;$AM617))
) / 1000</f>
        <v>0</v>
      </c>
      <c r="CZ617" s="229">
        <f t="shared" si="732"/>
        <v>0</v>
      </c>
      <c r="DA617" s="246"/>
    </row>
    <row r="618" spans="1:105" s="75" customFormat="1" ht="14.25" customHeight="1" x14ac:dyDescent="0.2">
      <c r="A618" s="230" t="b">
        <f t="shared" si="737"/>
        <v>0</v>
      </c>
      <c r="B618" s="253">
        <v>597</v>
      </c>
      <c r="C618" s="266"/>
      <c r="D618" s="266"/>
      <c r="E618" s="254"/>
      <c r="F618" s="255" t="str">
        <f>IF(ISBLANK(E618), "", VLOOKUP(E618, Z!$A$2:$C$4127, 3, FALSE))</f>
        <v/>
      </c>
      <c r="G618" s="256"/>
      <c r="H618" s="256"/>
      <c r="I618" s="256"/>
      <c r="J618" s="257"/>
      <c r="K618" s="258"/>
      <c r="L618" s="267"/>
      <c r="M618" s="268"/>
      <c r="N618" s="259" t="str" cm="1">
        <f t="array" ref="N618">IF($L618&gt;0, INDEX(Clean,1+AK618,$D$1), "")</f>
        <v/>
      </c>
      <c r="O618" s="260"/>
      <c r="P618" s="260"/>
      <c r="Q618" s="261"/>
      <c r="R618" s="264">
        <f t="shared" si="708"/>
        <v>0</v>
      </c>
      <c r="S618" s="259" t="str" cm="1">
        <f t="array" ref="S618">IF($L618&gt;0, INDEX(Clean,1+AL618,$D$1), "")</f>
        <v/>
      </c>
      <c r="T618" s="260"/>
      <c r="U618" s="260"/>
      <c r="V618" s="261"/>
      <c r="W618" s="267"/>
      <c r="X618" s="267"/>
      <c r="Y618" s="257"/>
      <c r="Z618" s="264">
        <f t="shared" si="709"/>
        <v>0</v>
      </c>
      <c r="AA618" s="269"/>
      <c r="AB618" s="266"/>
      <c r="AC618" s="254"/>
      <c r="AD618" s="255" t="str">
        <f>IF(ISBLANK(AC618), "", VLOOKUP(AC618, Z!$A$2:$C$4127, 3, FALSE))</f>
        <v/>
      </c>
      <c r="AE618" s="270"/>
      <c r="AF618" s="265">
        <f t="shared" si="710"/>
        <v>0</v>
      </c>
      <c r="AG618" s="246"/>
      <c r="AH618" s="228">
        <f t="shared" si="733"/>
        <v>1</v>
      </c>
      <c r="AI618" s="228">
        <f t="shared" si="734"/>
        <v>1</v>
      </c>
      <c r="AJ618" s="228">
        <f t="shared" si="735"/>
        <v>0</v>
      </c>
      <c r="AK618" s="228">
        <v>0</v>
      </c>
      <c r="AL618" s="228">
        <v>0</v>
      </c>
      <c r="AM618" s="228">
        <f t="shared" si="711"/>
        <v>-100</v>
      </c>
      <c r="AN618" s="228" cm="1">
        <f t="array" ref="AN618">IF(ISBLANK(G618), 1, IFERROR(MATCH(G618, INDEX(Kat,,1), 0), IFERROR(MATCH(Kat, INDEX(Use,,2), 0), MATCH(Kat, INDEX(Use,,3), 0))))</f>
        <v>1</v>
      </c>
      <c r="AO618" s="246"/>
      <c r="AP618" s="228" cm="1">
        <f t="array" ref="AP618">IF(W618&gt;0, INDEX(Kat, AN618,4), 0)</f>
        <v>0</v>
      </c>
      <c r="AQ618" s="228">
        <f t="shared" si="736"/>
        <v>0</v>
      </c>
      <c r="AR618" s="228" cm="1">
        <f t="array" ref="AR618">IF(X618&gt;0, INDEX(Kat, $AN618, 4+AQ618), 0)</f>
        <v>0</v>
      </c>
      <c r="AS618" s="228" cm="1">
        <f t="array" ref="AS618">IF(X618&gt;0, INDEX(Kat, $AN618, 9+AQ618), 0)</f>
        <v>0</v>
      </c>
      <c r="AT618" s="246"/>
      <c r="AU618" s="262"/>
      <c r="AV618" s="262"/>
      <c r="AW618" s="263"/>
      <c r="AX618" s="263"/>
      <c r="AY618" s="263"/>
      <c r="AZ618" s="263"/>
      <c r="BA618" s="263"/>
      <c r="BB618" s="263"/>
      <c r="BC618" s="263"/>
      <c r="BD618" s="263"/>
      <c r="BE618" s="263"/>
      <c r="BF618" s="263"/>
      <c r="BG618" s="263"/>
      <c r="BH618" s="246"/>
      <c r="BI618" s="228" cm="1">
        <f t="array" ref="BI618">INDEX(Use, $AH618, 4)</f>
        <v>7</v>
      </c>
      <c r="BJ618" s="228">
        <f t="shared" si="712"/>
        <v>32</v>
      </c>
      <c r="BK618" s="228">
        <f t="shared" si="738"/>
        <v>13</v>
      </c>
      <c r="BL618" s="228">
        <f t="shared" si="739"/>
        <v>0</v>
      </c>
      <c r="BM618" s="233" cm="1">
        <f t="array" ref="BM618">L618/IF($M618&gt;0, INDEX($AY$22:$BE$76, $M618+20, $AH618), 1)</f>
        <v>0</v>
      </c>
      <c r="BN618" s="229">
        <f t="shared" si="713"/>
        <v>0</v>
      </c>
      <c r="BO618" s="228">
        <v>35</v>
      </c>
      <c r="BP618" s="229">
        <f t="shared" si="714"/>
        <v>48</v>
      </c>
      <c r="BQ618" s="234">
        <f t="shared" si="715"/>
        <v>3.0748170731707316</v>
      </c>
      <c r="BR618" s="234" cm="1">
        <f t="array" ref="BR618">$BM618 * SUMPRODUCT(INDEX($AV$76:$AX$81,,$AI618),INDEX($AY$76:$BE$81,,$AH618), N($AU$76:$AU$81&gt;$AM618)) / BQ618 / 1000</f>
        <v>0</v>
      </c>
      <c r="BS618" s="231">
        <f t="shared" si="740"/>
        <v>30</v>
      </c>
      <c r="BT618" s="229">
        <f t="shared" si="716"/>
        <v>43</v>
      </c>
      <c r="BU618" s="234">
        <f t="shared" si="717"/>
        <v>3.5018750000000001</v>
      </c>
      <c r="BV618" s="234" cm="1">
        <f t="array" ref="BV618">$BM618 * IF($AH618&lt;=2,
SUMPRODUCT(INDEX($AV$71:$AX$75,,$AI618), INDEX($AY$71:$BE$75,,$AH618), 1 / ($BF$71:$BF$75*BU618 + (1-$BF$71:$BF$75)*BQ618), N($AU$71:$AU$75&gt;$AM618)),
SUMPRODUCT(INDEX($AV$66:$AX$75,,$AI618), INDEX($AY$66:$BE$75,,$AH618), 1 / ($BG$66:$BG$75*BU618 + (1-$BG$66:$BG$75)*BQ618), N($AU$66:$AU$75&gt;$AM618))
) / 1000</f>
        <v>0</v>
      </c>
      <c r="BW618" s="231">
        <f t="shared" si="741"/>
        <v>25</v>
      </c>
      <c r="BX618" s="229">
        <f t="shared" si="718"/>
        <v>38</v>
      </c>
      <c r="BY618" s="234">
        <f t="shared" si="719"/>
        <v>4.0666935483870965</v>
      </c>
      <c r="BZ618" s="234" cm="1">
        <f t="array" ref="BZ618">$BM618 * IF($AH618&lt;=2,
SUMPRODUCT(INDEX($AV$66:$AX$70,,$AI618), INDEX($AY$66:$BE$70,,$AH618), 1 / ($BF$66:$BF$70*BY618 + (1-$BF$66:$BF$70)*BU618), N($AU$66:$AU$70&gt;$AM618)),
SUMPRODUCT(INDEX($AV$56:$AX$65,,$AI618), INDEX($AY$56:$BE$65,,$AH618), 1 / ($BG$56:$BG$65*BY618 + (1-$BG$56:$BG$65)*BU618), N($AU$56:$AU$65&gt;$AM618))
) / 1000</f>
        <v>0</v>
      </c>
      <c r="CA618" s="231">
        <f t="shared" si="742"/>
        <v>20</v>
      </c>
      <c r="CB618" s="229">
        <f t="shared" si="720"/>
        <v>33</v>
      </c>
      <c r="CC618" s="234">
        <f t="shared" si="721"/>
        <v>4.8487499999999999</v>
      </c>
      <c r="CD618" s="234" cm="1">
        <f t="array" ref="CD618">$BM618 * IF($AH618&lt;=2,
SUMPRODUCT(INDEX($AV$61:$AX$65,,$AI618), INDEX($AY$61:$BE$65,,$AH618), 1 / ($BF$61:$BF$65*CC618 + (1-$BF$61:$BF$65)*BY618), N($AU$61:$AU$65&gt;$AM618)),
SUMPRODUCT(INDEX($AV$46:$AX$55,,$AI618), INDEX($AY$46:$BE$55,,$AH618), 1 / ($BG$46:$BG$55*CC618 + (1-$BG$46:$BG$55)*BY618), N($AU$46:$AU$55&gt;$AM618))
) / 1000</f>
        <v>0</v>
      </c>
      <c r="CE618" s="234" cm="1">
        <f t="array" ref="CE618">$BM618 * IF($AH618&lt;=2,
SUMPRODUCT(INDEX($AV$22:$AX$60,,$AI618), INDEX($AY$22:$BE$60,,$AH618), 1 / ($BF$22:$BF$60*CC618), N($AU$22:$AU$60&gt;$AM618)),
SUMPRODUCT(INDEX($AV$22:$AX$45,,$AI618), INDEX($AY$22:$BE$45,,$AH618), 1 / ($BG$22:$BG$45*CC618), N($AU$22:$AU$45&gt;$AM618))
) / 1000</f>
        <v>0</v>
      </c>
      <c r="CF618" s="229">
        <f t="shared" si="722"/>
        <v>0</v>
      </c>
      <c r="CG618" s="246"/>
      <c r="CH618" s="229">
        <f t="shared" si="723"/>
        <v>0</v>
      </c>
      <c r="CI618" s="228">
        <v>35</v>
      </c>
      <c r="CJ618" s="229">
        <f t="shared" si="724"/>
        <v>48</v>
      </c>
      <c r="CK618" s="234">
        <f t="shared" si="725"/>
        <v>3.0748170731707316</v>
      </c>
      <c r="CL618" s="234" cm="1">
        <f t="array" ref="CL618">$BM618 * SUMPRODUCT(INDEX($AV$76:$AX$81,,$AI618),INDEX($AY$76:$BE$81,,$AH618), N($AU$76:$AU$81&gt;$AM618)) / CK618 / 1000</f>
        <v>0</v>
      </c>
      <c r="CM618" s="231">
        <f t="shared" si="743"/>
        <v>30</v>
      </c>
      <c r="CN618" s="229">
        <f t="shared" si="726"/>
        <v>43</v>
      </c>
      <c r="CO618" s="234">
        <f t="shared" si="727"/>
        <v>3.5018750000000001</v>
      </c>
      <c r="CP618" s="234" cm="1">
        <f t="array" ref="CP618">$BM618 * IF($AH618&lt;=2,
SUMPRODUCT(INDEX($AV$71:$AX$75,,$AI618), INDEX($AY$71:$BE$75,,$AH618), 1 / ($BF$71:$BF$75*CO618 + (1-$BF$71:$BF$75)*CK618), N($AU$71:$AU$75&gt;$AM618)),
SUMPRODUCT(INDEX($AV$66:$AX$75,,$AI618), INDEX($AY$66:$BE$75,,$AH618), 1 / ($BG$66:$BG$75*CO618 + (1-$BG$66:$BG$75)*CK618), N($AU$66:$AU$75&gt;$AM618))
) / 1000</f>
        <v>0</v>
      </c>
      <c r="CQ618" s="231">
        <f t="shared" si="744"/>
        <v>25</v>
      </c>
      <c r="CR618" s="229">
        <f t="shared" si="728"/>
        <v>38</v>
      </c>
      <c r="CS618" s="234">
        <f t="shared" si="729"/>
        <v>4.0666935483870965</v>
      </c>
      <c r="CT618" s="234" cm="1">
        <f t="array" ref="CT618">$BM618 * IF($AH618&lt;=2,
SUMPRODUCT(INDEX($AV$66:$AX$70,,$AI618), INDEX($AY$66:$BE$70,,$AH618), 1 / ($BF$66:$BF$70*CS618 + (1-$BF$66:$BF$70)*CO618), N($AU$66:$AU$70&gt;$AM618)),
SUMPRODUCT(INDEX($AV$56:$AX$65,,$AI618), INDEX($AY$56:$BE$65,,$AH618), 1 / ($BG$56:$BG$65*CS618 + (1-$BG$56:$BG$65)*CO618), N($AU$56:$AU$65&gt;$AM618))
) / 1000</f>
        <v>0</v>
      </c>
      <c r="CU618" s="231">
        <f t="shared" si="745"/>
        <v>20</v>
      </c>
      <c r="CV618" s="229">
        <f t="shared" si="730"/>
        <v>33</v>
      </c>
      <c r="CW618" s="234">
        <f t="shared" si="731"/>
        <v>4.8487499999999999</v>
      </c>
      <c r="CX618" s="234" cm="1">
        <f t="array" ref="CX618">$BM618 * IF($AH618&lt;=2,
SUMPRODUCT(INDEX($AV$61:$AX$65,,$AI618), INDEX($AY$61:$BE$65,,$AH618), 1 / ($BF$61:$BF$65*CW618 + (1-$BF$61:$BF$65)*CS618), N($AU$61:$AU$65&gt;$AM618)),
SUMPRODUCT(INDEX($AV$46:$AX$55,,$AI618), INDEX($AY$46:$BE$55,,$AH618), 1 / ($BG$46:$BG$55*CW618 + (1-$BG$46:$BG$55)*CS618), N($AU$46:$AU$55&gt;$AM618))
) / 1000</f>
        <v>0</v>
      </c>
      <c r="CY618" s="234" cm="1">
        <f t="array" ref="CY618">$BM618 * IF($AH618&lt;=2,
SUMPRODUCT(INDEX($AV$22:$AX$60,,$AI618), INDEX($AY$22:$BE$60,,$AH618), 1 / ($BF$22:$BF$60*CW618), N($AU$22:$AU$60&gt;$AM618)),
SUMPRODUCT(INDEX($AV$22:$AX$45,,$AI618), INDEX($AY$22:$BE$45,,$AH618), 1 / ($BG$22:$BG$45*CW618), N($AU$22:$AU$45&gt;$AM618))
) / 1000</f>
        <v>0</v>
      </c>
      <c r="CZ618" s="229">
        <f t="shared" si="732"/>
        <v>0</v>
      </c>
      <c r="DA618" s="246"/>
    </row>
    <row r="619" spans="1:105" s="75" customFormat="1" ht="14.25" customHeight="1" x14ac:dyDescent="0.2">
      <c r="A619" s="230" t="b">
        <f t="shared" si="737"/>
        <v>0</v>
      </c>
      <c r="B619" s="253">
        <v>598</v>
      </c>
      <c r="C619" s="266"/>
      <c r="D619" s="266"/>
      <c r="E619" s="254"/>
      <c r="F619" s="255" t="str">
        <f>IF(ISBLANK(E619), "", VLOOKUP(E619, Z!$A$2:$C$4127, 3, FALSE))</f>
        <v/>
      </c>
      <c r="G619" s="256"/>
      <c r="H619" s="256"/>
      <c r="I619" s="256"/>
      <c r="J619" s="257"/>
      <c r="K619" s="258"/>
      <c r="L619" s="267"/>
      <c r="M619" s="268"/>
      <c r="N619" s="259" t="str" cm="1">
        <f t="array" ref="N619">IF($L619&gt;0, INDEX(Clean,1+AK619,$D$1), "")</f>
        <v/>
      </c>
      <c r="O619" s="260"/>
      <c r="P619" s="260"/>
      <c r="Q619" s="261"/>
      <c r="R619" s="264">
        <f t="shared" si="708"/>
        <v>0</v>
      </c>
      <c r="S619" s="259" t="str" cm="1">
        <f t="array" ref="S619">IF($L619&gt;0, INDEX(Clean,1+AL619,$D$1), "")</f>
        <v/>
      </c>
      <c r="T619" s="260"/>
      <c r="U619" s="260"/>
      <c r="V619" s="261"/>
      <c r="W619" s="267"/>
      <c r="X619" s="267"/>
      <c r="Y619" s="257"/>
      <c r="Z619" s="264">
        <f t="shared" si="709"/>
        <v>0</v>
      </c>
      <c r="AA619" s="269"/>
      <c r="AB619" s="266"/>
      <c r="AC619" s="254"/>
      <c r="AD619" s="255" t="str">
        <f>IF(ISBLANK(AC619), "", VLOOKUP(AC619, Z!$A$2:$C$4127, 3, FALSE))</f>
        <v/>
      </c>
      <c r="AE619" s="270"/>
      <c r="AF619" s="265">
        <f t="shared" si="710"/>
        <v>0</v>
      </c>
      <c r="AG619" s="246"/>
      <c r="AH619" s="228">
        <f t="shared" si="733"/>
        <v>1</v>
      </c>
      <c r="AI619" s="228">
        <f t="shared" si="734"/>
        <v>1</v>
      </c>
      <c r="AJ619" s="228">
        <f t="shared" si="735"/>
        <v>0</v>
      </c>
      <c r="AK619" s="228">
        <v>0</v>
      </c>
      <c r="AL619" s="228">
        <v>0</v>
      </c>
      <c r="AM619" s="228">
        <f t="shared" si="711"/>
        <v>-100</v>
      </c>
      <c r="AN619" s="228" cm="1">
        <f t="array" ref="AN619">IF(ISBLANK(G619), 1, IFERROR(MATCH(G619, INDEX(Kat,,1), 0), IFERROR(MATCH(Kat, INDEX(Use,,2), 0), MATCH(Kat, INDEX(Use,,3), 0))))</f>
        <v>1</v>
      </c>
      <c r="AO619" s="246"/>
      <c r="AP619" s="228" cm="1">
        <f t="array" ref="AP619">IF(W619&gt;0, INDEX(Kat, AN619,4), 0)</f>
        <v>0</v>
      </c>
      <c r="AQ619" s="228">
        <f t="shared" si="736"/>
        <v>0</v>
      </c>
      <c r="AR619" s="228" cm="1">
        <f t="array" ref="AR619">IF(X619&gt;0, INDEX(Kat, $AN619, 4+AQ619), 0)</f>
        <v>0</v>
      </c>
      <c r="AS619" s="228" cm="1">
        <f t="array" ref="AS619">IF(X619&gt;0, INDEX(Kat, $AN619, 9+AQ619), 0)</f>
        <v>0</v>
      </c>
      <c r="AT619" s="246"/>
      <c r="AU619" s="262"/>
      <c r="AV619" s="262"/>
      <c r="AW619" s="263"/>
      <c r="AX619" s="263"/>
      <c r="AY619" s="263"/>
      <c r="AZ619" s="263"/>
      <c r="BA619" s="263"/>
      <c r="BB619" s="263"/>
      <c r="BC619" s="263"/>
      <c r="BD619" s="263"/>
      <c r="BE619" s="263"/>
      <c r="BF619" s="263"/>
      <c r="BG619" s="263"/>
      <c r="BH619" s="246"/>
      <c r="BI619" s="228" cm="1">
        <f t="array" ref="BI619">INDEX(Use, $AH619, 4)</f>
        <v>7</v>
      </c>
      <c r="BJ619" s="228">
        <f t="shared" si="712"/>
        <v>32</v>
      </c>
      <c r="BK619" s="228">
        <f t="shared" si="738"/>
        <v>13</v>
      </c>
      <c r="BL619" s="228">
        <f t="shared" si="739"/>
        <v>0</v>
      </c>
      <c r="BM619" s="233" cm="1">
        <f t="array" ref="BM619">L619/IF($M619&gt;0, INDEX($AY$22:$BE$76, $M619+20, $AH619), 1)</f>
        <v>0</v>
      </c>
      <c r="BN619" s="229">
        <f t="shared" si="713"/>
        <v>0</v>
      </c>
      <c r="BO619" s="228">
        <v>35</v>
      </c>
      <c r="BP619" s="229">
        <f t="shared" si="714"/>
        <v>48</v>
      </c>
      <c r="BQ619" s="234">
        <f t="shared" si="715"/>
        <v>3.0748170731707316</v>
      </c>
      <c r="BR619" s="234" cm="1">
        <f t="array" ref="BR619">$BM619 * SUMPRODUCT(INDEX($AV$76:$AX$81,,$AI619),INDEX($AY$76:$BE$81,,$AH619), N($AU$76:$AU$81&gt;$AM619)) / BQ619 / 1000</f>
        <v>0</v>
      </c>
      <c r="BS619" s="231">
        <f t="shared" si="740"/>
        <v>30</v>
      </c>
      <c r="BT619" s="229">
        <f t="shared" si="716"/>
        <v>43</v>
      </c>
      <c r="BU619" s="234">
        <f t="shared" si="717"/>
        <v>3.5018750000000001</v>
      </c>
      <c r="BV619" s="234" cm="1">
        <f t="array" ref="BV619">$BM619 * IF($AH619&lt;=2,
SUMPRODUCT(INDEX($AV$71:$AX$75,,$AI619), INDEX($AY$71:$BE$75,,$AH619), 1 / ($BF$71:$BF$75*BU619 + (1-$BF$71:$BF$75)*BQ619), N($AU$71:$AU$75&gt;$AM619)),
SUMPRODUCT(INDEX($AV$66:$AX$75,,$AI619), INDEX($AY$66:$BE$75,,$AH619), 1 / ($BG$66:$BG$75*BU619 + (1-$BG$66:$BG$75)*BQ619), N($AU$66:$AU$75&gt;$AM619))
) / 1000</f>
        <v>0</v>
      </c>
      <c r="BW619" s="231">
        <f t="shared" si="741"/>
        <v>25</v>
      </c>
      <c r="BX619" s="229">
        <f t="shared" si="718"/>
        <v>38</v>
      </c>
      <c r="BY619" s="234">
        <f t="shared" si="719"/>
        <v>4.0666935483870965</v>
      </c>
      <c r="BZ619" s="234" cm="1">
        <f t="array" ref="BZ619">$BM619 * IF($AH619&lt;=2,
SUMPRODUCT(INDEX($AV$66:$AX$70,,$AI619), INDEX($AY$66:$BE$70,,$AH619), 1 / ($BF$66:$BF$70*BY619 + (1-$BF$66:$BF$70)*BU619), N($AU$66:$AU$70&gt;$AM619)),
SUMPRODUCT(INDEX($AV$56:$AX$65,,$AI619), INDEX($AY$56:$BE$65,,$AH619), 1 / ($BG$56:$BG$65*BY619 + (1-$BG$56:$BG$65)*BU619), N($AU$56:$AU$65&gt;$AM619))
) / 1000</f>
        <v>0</v>
      </c>
      <c r="CA619" s="231">
        <f t="shared" si="742"/>
        <v>20</v>
      </c>
      <c r="CB619" s="229">
        <f t="shared" si="720"/>
        <v>33</v>
      </c>
      <c r="CC619" s="234">
        <f t="shared" si="721"/>
        <v>4.8487499999999999</v>
      </c>
      <c r="CD619" s="234" cm="1">
        <f t="array" ref="CD619">$BM619 * IF($AH619&lt;=2,
SUMPRODUCT(INDEX($AV$61:$AX$65,,$AI619), INDEX($AY$61:$BE$65,,$AH619), 1 / ($BF$61:$BF$65*CC619 + (1-$BF$61:$BF$65)*BY619), N($AU$61:$AU$65&gt;$AM619)),
SUMPRODUCT(INDEX($AV$46:$AX$55,,$AI619), INDEX($AY$46:$BE$55,,$AH619), 1 / ($BG$46:$BG$55*CC619 + (1-$BG$46:$BG$55)*BY619), N($AU$46:$AU$55&gt;$AM619))
) / 1000</f>
        <v>0</v>
      </c>
      <c r="CE619" s="234" cm="1">
        <f t="array" ref="CE619">$BM619 * IF($AH619&lt;=2,
SUMPRODUCT(INDEX($AV$22:$AX$60,,$AI619), INDEX($AY$22:$BE$60,,$AH619), 1 / ($BF$22:$BF$60*CC619), N($AU$22:$AU$60&gt;$AM619)),
SUMPRODUCT(INDEX($AV$22:$AX$45,,$AI619), INDEX($AY$22:$BE$45,,$AH619), 1 / ($BG$22:$BG$45*CC619), N($AU$22:$AU$45&gt;$AM619))
) / 1000</f>
        <v>0</v>
      </c>
      <c r="CF619" s="229">
        <f t="shared" si="722"/>
        <v>0</v>
      </c>
      <c r="CG619" s="246"/>
      <c r="CH619" s="229">
        <f t="shared" si="723"/>
        <v>0</v>
      </c>
      <c r="CI619" s="228">
        <v>35</v>
      </c>
      <c r="CJ619" s="229">
        <f t="shared" si="724"/>
        <v>48</v>
      </c>
      <c r="CK619" s="234">
        <f t="shared" si="725"/>
        <v>3.0748170731707316</v>
      </c>
      <c r="CL619" s="234" cm="1">
        <f t="array" ref="CL619">$BM619 * SUMPRODUCT(INDEX($AV$76:$AX$81,,$AI619),INDEX($AY$76:$BE$81,,$AH619), N($AU$76:$AU$81&gt;$AM619)) / CK619 / 1000</f>
        <v>0</v>
      </c>
      <c r="CM619" s="231">
        <f t="shared" si="743"/>
        <v>30</v>
      </c>
      <c r="CN619" s="229">
        <f t="shared" si="726"/>
        <v>43</v>
      </c>
      <c r="CO619" s="234">
        <f t="shared" si="727"/>
        <v>3.5018750000000001</v>
      </c>
      <c r="CP619" s="234" cm="1">
        <f t="array" ref="CP619">$BM619 * IF($AH619&lt;=2,
SUMPRODUCT(INDEX($AV$71:$AX$75,,$AI619), INDEX($AY$71:$BE$75,,$AH619), 1 / ($BF$71:$BF$75*CO619 + (1-$BF$71:$BF$75)*CK619), N($AU$71:$AU$75&gt;$AM619)),
SUMPRODUCT(INDEX($AV$66:$AX$75,,$AI619), INDEX($AY$66:$BE$75,,$AH619), 1 / ($BG$66:$BG$75*CO619 + (1-$BG$66:$BG$75)*CK619), N($AU$66:$AU$75&gt;$AM619))
) / 1000</f>
        <v>0</v>
      </c>
      <c r="CQ619" s="231">
        <f t="shared" si="744"/>
        <v>25</v>
      </c>
      <c r="CR619" s="229">
        <f t="shared" si="728"/>
        <v>38</v>
      </c>
      <c r="CS619" s="234">
        <f t="shared" si="729"/>
        <v>4.0666935483870965</v>
      </c>
      <c r="CT619" s="234" cm="1">
        <f t="array" ref="CT619">$BM619 * IF($AH619&lt;=2,
SUMPRODUCT(INDEX($AV$66:$AX$70,,$AI619), INDEX($AY$66:$BE$70,,$AH619), 1 / ($BF$66:$BF$70*CS619 + (1-$BF$66:$BF$70)*CO619), N($AU$66:$AU$70&gt;$AM619)),
SUMPRODUCT(INDEX($AV$56:$AX$65,,$AI619), INDEX($AY$56:$BE$65,,$AH619), 1 / ($BG$56:$BG$65*CS619 + (1-$BG$56:$BG$65)*CO619), N($AU$56:$AU$65&gt;$AM619))
) / 1000</f>
        <v>0</v>
      </c>
      <c r="CU619" s="231">
        <f t="shared" si="745"/>
        <v>20</v>
      </c>
      <c r="CV619" s="229">
        <f t="shared" si="730"/>
        <v>33</v>
      </c>
      <c r="CW619" s="234">
        <f t="shared" si="731"/>
        <v>4.8487499999999999</v>
      </c>
      <c r="CX619" s="234" cm="1">
        <f t="array" ref="CX619">$BM619 * IF($AH619&lt;=2,
SUMPRODUCT(INDEX($AV$61:$AX$65,,$AI619), INDEX($AY$61:$BE$65,,$AH619), 1 / ($BF$61:$BF$65*CW619 + (1-$BF$61:$BF$65)*CS619), N($AU$61:$AU$65&gt;$AM619)),
SUMPRODUCT(INDEX($AV$46:$AX$55,,$AI619), INDEX($AY$46:$BE$55,,$AH619), 1 / ($BG$46:$BG$55*CW619 + (1-$BG$46:$BG$55)*CS619), N($AU$46:$AU$55&gt;$AM619))
) / 1000</f>
        <v>0</v>
      </c>
      <c r="CY619" s="234" cm="1">
        <f t="array" ref="CY619">$BM619 * IF($AH619&lt;=2,
SUMPRODUCT(INDEX($AV$22:$AX$60,,$AI619), INDEX($AY$22:$BE$60,,$AH619), 1 / ($BF$22:$BF$60*CW619), N($AU$22:$AU$60&gt;$AM619)),
SUMPRODUCT(INDEX($AV$22:$AX$45,,$AI619), INDEX($AY$22:$BE$45,,$AH619), 1 / ($BG$22:$BG$45*CW619), N($AU$22:$AU$45&gt;$AM619))
) / 1000</f>
        <v>0</v>
      </c>
      <c r="CZ619" s="229">
        <f t="shared" si="732"/>
        <v>0</v>
      </c>
      <c r="DA619" s="246"/>
    </row>
    <row r="620" spans="1:105" s="75" customFormat="1" ht="14.25" customHeight="1" x14ac:dyDescent="0.2">
      <c r="A620" s="230" t="b">
        <f t="shared" si="737"/>
        <v>0</v>
      </c>
      <c r="B620" s="253">
        <v>599</v>
      </c>
      <c r="C620" s="266"/>
      <c r="D620" s="266"/>
      <c r="E620" s="254"/>
      <c r="F620" s="255" t="str">
        <f>IF(ISBLANK(E620), "", VLOOKUP(E620, Z!$A$2:$C$4127, 3, FALSE))</f>
        <v/>
      </c>
      <c r="G620" s="256"/>
      <c r="H620" s="256"/>
      <c r="I620" s="256"/>
      <c r="J620" s="257"/>
      <c r="K620" s="258"/>
      <c r="L620" s="267"/>
      <c r="M620" s="268"/>
      <c r="N620" s="259" t="str" cm="1">
        <f t="array" ref="N620">IF($L620&gt;0, INDEX(Clean,1+AK620,$D$1), "")</f>
        <v/>
      </c>
      <c r="O620" s="260"/>
      <c r="P620" s="260"/>
      <c r="Q620" s="261"/>
      <c r="R620" s="264">
        <f t="shared" si="708"/>
        <v>0</v>
      </c>
      <c r="S620" s="259" t="str" cm="1">
        <f t="array" ref="S620">IF($L620&gt;0, INDEX(Clean,1+AL620,$D$1), "")</f>
        <v/>
      </c>
      <c r="T620" s="260"/>
      <c r="U620" s="260"/>
      <c r="V620" s="261"/>
      <c r="W620" s="267"/>
      <c r="X620" s="267"/>
      <c r="Y620" s="257"/>
      <c r="Z620" s="264">
        <f t="shared" si="709"/>
        <v>0</v>
      </c>
      <c r="AA620" s="269"/>
      <c r="AB620" s="266"/>
      <c r="AC620" s="254"/>
      <c r="AD620" s="255" t="str">
        <f>IF(ISBLANK(AC620), "", VLOOKUP(AC620, Z!$A$2:$C$4127, 3, FALSE))</f>
        <v/>
      </c>
      <c r="AE620" s="270"/>
      <c r="AF620" s="265">
        <f t="shared" si="710"/>
        <v>0</v>
      </c>
      <c r="AG620" s="246"/>
      <c r="AH620" s="228">
        <f t="shared" si="733"/>
        <v>1</v>
      </c>
      <c r="AI620" s="228">
        <f t="shared" si="734"/>
        <v>1</v>
      </c>
      <c r="AJ620" s="228">
        <f t="shared" si="735"/>
        <v>0</v>
      </c>
      <c r="AK620" s="228">
        <v>0</v>
      </c>
      <c r="AL620" s="228">
        <v>0</v>
      </c>
      <c r="AM620" s="228">
        <f t="shared" si="711"/>
        <v>-100</v>
      </c>
      <c r="AN620" s="228" cm="1">
        <f t="array" ref="AN620">IF(ISBLANK(G620), 1, IFERROR(MATCH(G620, INDEX(Kat,,1), 0), IFERROR(MATCH(Kat, INDEX(Use,,2), 0), MATCH(Kat, INDEX(Use,,3), 0))))</f>
        <v>1</v>
      </c>
      <c r="AO620" s="246"/>
      <c r="AP620" s="228" cm="1">
        <f t="array" ref="AP620">IF(W620&gt;0, INDEX(Kat, AN620,4), 0)</f>
        <v>0</v>
      </c>
      <c r="AQ620" s="228">
        <f t="shared" si="736"/>
        <v>0</v>
      </c>
      <c r="AR620" s="228" cm="1">
        <f t="array" ref="AR620">IF(X620&gt;0, INDEX(Kat, $AN620, 4+AQ620), 0)</f>
        <v>0</v>
      </c>
      <c r="AS620" s="228" cm="1">
        <f t="array" ref="AS620">IF(X620&gt;0, INDEX(Kat, $AN620, 9+AQ620), 0)</f>
        <v>0</v>
      </c>
      <c r="AT620" s="246"/>
      <c r="AU620" s="262"/>
      <c r="AV620" s="262"/>
      <c r="AW620" s="263"/>
      <c r="AX620" s="263"/>
      <c r="AY620" s="263"/>
      <c r="AZ620" s="263"/>
      <c r="BA620" s="263"/>
      <c r="BB620" s="263"/>
      <c r="BC620" s="263"/>
      <c r="BD620" s="263"/>
      <c r="BE620" s="263"/>
      <c r="BF620" s="263"/>
      <c r="BG620" s="263"/>
      <c r="BH620" s="246"/>
      <c r="BI620" s="228" cm="1">
        <f t="array" ref="BI620">INDEX(Use, $AH620, 4)</f>
        <v>7</v>
      </c>
      <c r="BJ620" s="228">
        <f t="shared" si="712"/>
        <v>32</v>
      </c>
      <c r="BK620" s="228">
        <f t="shared" si="738"/>
        <v>13</v>
      </c>
      <c r="BL620" s="228">
        <f t="shared" si="739"/>
        <v>0</v>
      </c>
      <c r="BM620" s="233" cm="1">
        <f t="array" ref="BM620">L620/IF($M620&gt;0, INDEX($AY$22:$BE$76, $M620+20, $AH620), 1)</f>
        <v>0</v>
      </c>
      <c r="BN620" s="229">
        <f t="shared" si="713"/>
        <v>0</v>
      </c>
      <c r="BO620" s="228">
        <v>35</v>
      </c>
      <c r="BP620" s="229">
        <f t="shared" si="714"/>
        <v>48</v>
      </c>
      <c r="BQ620" s="234">
        <f t="shared" si="715"/>
        <v>3.0748170731707316</v>
      </c>
      <c r="BR620" s="234" cm="1">
        <f t="array" ref="BR620">$BM620 * SUMPRODUCT(INDEX($AV$76:$AX$81,,$AI620),INDEX($AY$76:$BE$81,,$AH620), N($AU$76:$AU$81&gt;$AM620)) / BQ620 / 1000</f>
        <v>0</v>
      </c>
      <c r="BS620" s="231">
        <f t="shared" si="740"/>
        <v>30</v>
      </c>
      <c r="BT620" s="229">
        <f t="shared" si="716"/>
        <v>43</v>
      </c>
      <c r="BU620" s="234">
        <f t="shared" si="717"/>
        <v>3.5018750000000001</v>
      </c>
      <c r="BV620" s="234" cm="1">
        <f t="array" ref="BV620">$BM620 * IF($AH620&lt;=2,
SUMPRODUCT(INDEX($AV$71:$AX$75,,$AI620), INDEX($AY$71:$BE$75,,$AH620), 1 / ($BF$71:$BF$75*BU620 + (1-$BF$71:$BF$75)*BQ620), N($AU$71:$AU$75&gt;$AM620)),
SUMPRODUCT(INDEX($AV$66:$AX$75,,$AI620), INDEX($AY$66:$BE$75,,$AH620), 1 / ($BG$66:$BG$75*BU620 + (1-$BG$66:$BG$75)*BQ620), N($AU$66:$AU$75&gt;$AM620))
) / 1000</f>
        <v>0</v>
      </c>
      <c r="BW620" s="231">
        <f t="shared" si="741"/>
        <v>25</v>
      </c>
      <c r="BX620" s="229">
        <f t="shared" si="718"/>
        <v>38</v>
      </c>
      <c r="BY620" s="234">
        <f t="shared" si="719"/>
        <v>4.0666935483870965</v>
      </c>
      <c r="BZ620" s="234" cm="1">
        <f t="array" ref="BZ620">$BM620 * IF($AH620&lt;=2,
SUMPRODUCT(INDEX($AV$66:$AX$70,,$AI620), INDEX($AY$66:$BE$70,,$AH620), 1 / ($BF$66:$BF$70*BY620 + (1-$BF$66:$BF$70)*BU620), N($AU$66:$AU$70&gt;$AM620)),
SUMPRODUCT(INDEX($AV$56:$AX$65,,$AI620), INDEX($AY$56:$BE$65,,$AH620), 1 / ($BG$56:$BG$65*BY620 + (1-$BG$56:$BG$65)*BU620), N($AU$56:$AU$65&gt;$AM620))
) / 1000</f>
        <v>0</v>
      </c>
      <c r="CA620" s="231">
        <f t="shared" si="742"/>
        <v>20</v>
      </c>
      <c r="CB620" s="229">
        <f t="shared" si="720"/>
        <v>33</v>
      </c>
      <c r="CC620" s="234">
        <f t="shared" si="721"/>
        <v>4.8487499999999999</v>
      </c>
      <c r="CD620" s="234" cm="1">
        <f t="array" ref="CD620">$BM620 * IF($AH620&lt;=2,
SUMPRODUCT(INDEX($AV$61:$AX$65,,$AI620), INDEX($AY$61:$BE$65,,$AH620), 1 / ($BF$61:$BF$65*CC620 + (1-$BF$61:$BF$65)*BY620), N($AU$61:$AU$65&gt;$AM620)),
SUMPRODUCT(INDEX($AV$46:$AX$55,,$AI620), INDEX($AY$46:$BE$55,,$AH620), 1 / ($BG$46:$BG$55*CC620 + (1-$BG$46:$BG$55)*BY620), N($AU$46:$AU$55&gt;$AM620))
) / 1000</f>
        <v>0</v>
      </c>
      <c r="CE620" s="234" cm="1">
        <f t="array" ref="CE620">$BM620 * IF($AH620&lt;=2,
SUMPRODUCT(INDEX($AV$22:$AX$60,,$AI620), INDEX($AY$22:$BE$60,,$AH620), 1 / ($BF$22:$BF$60*CC620), N($AU$22:$AU$60&gt;$AM620)),
SUMPRODUCT(INDEX($AV$22:$AX$45,,$AI620), INDEX($AY$22:$BE$45,,$AH620), 1 / ($BG$22:$BG$45*CC620), N($AU$22:$AU$45&gt;$AM620))
) / 1000</f>
        <v>0</v>
      </c>
      <c r="CF620" s="229">
        <f t="shared" si="722"/>
        <v>0</v>
      </c>
      <c r="CG620" s="246"/>
      <c r="CH620" s="229">
        <f t="shared" si="723"/>
        <v>0</v>
      </c>
      <c r="CI620" s="228">
        <v>35</v>
      </c>
      <c r="CJ620" s="229">
        <f t="shared" si="724"/>
        <v>48</v>
      </c>
      <c r="CK620" s="234">
        <f t="shared" si="725"/>
        <v>3.0748170731707316</v>
      </c>
      <c r="CL620" s="234" cm="1">
        <f t="array" ref="CL620">$BM620 * SUMPRODUCT(INDEX($AV$76:$AX$81,,$AI620),INDEX($AY$76:$BE$81,,$AH620), N($AU$76:$AU$81&gt;$AM620)) / CK620 / 1000</f>
        <v>0</v>
      </c>
      <c r="CM620" s="231">
        <f t="shared" si="743"/>
        <v>30</v>
      </c>
      <c r="CN620" s="229">
        <f t="shared" si="726"/>
        <v>43</v>
      </c>
      <c r="CO620" s="234">
        <f t="shared" si="727"/>
        <v>3.5018750000000001</v>
      </c>
      <c r="CP620" s="234" cm="1">
        <f t="array" ref="CP620">$BM620 * IF($AH620&lt;=2,
SUMPRODUCT(INDEX($AV$71:$AX$75,,$AI620), INDEX($AY$71:$BE$75,,$AH620), 1 / ($BF$71:$BF$75*CO620 + (1-$BF$71:$BF$75)*CK620), N($AU$71:$AU$75&gt;$AM620)),
SUMPRODUCT(INDEX($AV$66:$AX$75,,$AI620), INDEX($AY$66:$BE$75,,$AH620), 1 / ($BG$66:$BG$75*CO620 + (1-$BG$66:$BG$75)*CK620), N($AU$66:$AU$75&gt;$AM620))
) / 1000</f>
        <v>0</v>
      </c>
      <c r="CQ620" s="231">
        <f t="shared" si="744"/>
        <v>25</v>
      </c>
      <c r="CR620" s="229">
        <f t="shared" si="728"/>
        <v>38</v>
      </c>
      <c r="CS620" s="234">
        <f t="shared" si="729"/>
        <v>4.0666935483870965</v>
      </c>
      <c r="CT620" s="234" cm="1">
        <f t="array" ref="CT620">$BM620 * IF($AH620&lt;=2,
SUMPRODUCT(INDEX($AV$66:$AX$70,,$AI620), INDEX($AY$66:$BE$70,,$AH620), 1 / ($BF$66:$BF$70*CS620 + (1-$BF$66:$BF$70)*CO620), N($AU$66:$AU$70&gt;$AM620)),
SUMPRODUCT(INDEX($AV$56:$AX$65,,$AI620), INDEX($AY$56:$BE$65,,$AH620), 1 / ($BG$56:$BG$65*CS620 + (1-$BG$56:$BG$65)*CO620), N($AU$56:$AU$65&gt;$AM620))
) / 1000</f>
        <v>0</v>
      </c>
      <c r="CU620" s="231">
        <f t="shared" si="745"/>
        <v>20</v>
      </c>
      <c r="CV620" s="229">
        <f t="shared" si="730"/>
        <v>33</v>
      </c>
      <c r="CW620" s="234">
        <f t="shared" si="731"/>
        <v>4.8487499999999999</v>
      </c>
      <c r="CX620" s="234" cm="1">
        <f t="array" ref="CX620">$BM620 * IF($AH620&lt;=2,
SUMPRODUCT(INDEX($AV$61:$AX$65,,$AI620), INDEX($AY$61:$BE$65,,$AH620), 1 / ($BF$61:$BF$65*CW620 + (1-$BF$61:$BF$65)*CS620), N($AU$61:$AU$65&gt;$AM620)),
SUMPRODUCT(INDEX($AV$46:$AX$55,,$AI620), INDEX($AY$46:$BE$55,,$AH620), 1 / ($BG$46:$BG$55*CW620 + (1-$BG$46:$BG$55)*CS620), N($AU$46:$AU$55&gt;$AM620))
) / 1000</f>
        <v>0</v>
      </c>
      <c r="CY620" s="234" cm="1">
        <f t="array" ref="CY620">$BM620 * IF($AH620&lt;=2,
SUMPRODUCT(INDEX($AV$22:$AX$60,,$AI620), INDEX($AY$22:$BE$60,,$AH620), 1 / ($BF$22:$BF$60*CW620), N($AU$22:$AU$60&gt;$AM620)),
SUMPRODUCT(INDEX($AV$22:$AX$45,,$AI620), INDEX($AY$22:$BE$45,,$AH620), 1 / ($BG$22:$BG$45*CW620), N($AU$22:$AU$45&gt;$AM620))
) / 1000</f>
        <v>0</v>
      </c>
      <c r="CZ620" s="229">
        <f t="shared" si="732"/>
        <v>0</v>
      </c>
      <c r="DA620" s="246"/>
    </row>
    <row r="621" spans="1:105" s="75" customFormat="1" ht="14.25" customHeight="1" x14ac:dyDescent="0.2">
      <c r="A621" s="230" t="b">
        <f t="shared" si="737"/>
        <v>0</v>
      </c>
      <c r="B621" s="253">
        <v>600</v>
      </c>
      <c r="C621" s="266"/>
      <c r="D621" s="266"/>
      <c r="E621" s="254"/>
      <c r="F621" s="255" t="str">
        <f>IF(ISBLANK(E621), "", VLOOKUP(E621, Z!$A$2:$C$4127, 3, FALSE))</f>
        <v/>
      </c>
      <c r="G621" s="256"/>
      <c r="H621" s="256"/>
      <c r="I621" s="256"/>
      <c r="J621" s="257"/>
      <c r="K621" s="258"/>
      <c r="L621" s="267"/>
      <c r="M621" s="268"/>
      <c r="N621" s="259" t="str" cm="1">
        <f t="array" ref="N621">IF($L621&gt;0, INDEX(Clean,1+AK621,$D$1), "")</f>
        <v/>
      </c>
      <c r="O621" s="260"/>
      <c r="P621" s="260"/>
      <c r="Q621" s="261"/>
      <c r="R621" s="264">
        <f t="shared" si="708"/>
        <v>0</v>
      </c>
      <c r="S621" s="259" t="str" cm="1">
        <f t="array" ref="S621">IF($L621&gt;0, INDEX(Clean,1+AL621,$D$1), "")</f>
        <v/>
      </c>
      <c r="T621" s="260"/>
      <c r="U621" s="260"/>
      <c r="V621" s="261"/>
      <c r="W621" s="267"/>
      <c r="X621" s="267"/>
      <c r="Y621" s="257"/>
      <c r="Z621" s="264">
        <f t="shared" si="709"/>
        <v>0</v>
      </c>
      <c r="AA621" s="269"/>
      <c r="AB621" s="266"/>
      <c r="AC621" s="254"/>
      <c r="AD621" s="255" t="str">
        <f>IF(ISBLANK(AC621), "", VLOOKUP(AC621, Z!$A$2:$C$4127, 3, FALSE))</f>
        <v/>
      </c>
      <c r="AE621" s="270"/>
      <c r="AF621" s="265">
        <f t="shared" si="710"/>
        <v>0</v>
      </c>
      <c r="AG621" s="246"/>
      <c r="AH621" s="228">
        <f t="shared" si="733"/>
        <v>1</v>
      </c>
      <c r="AI621" s="228">
        <f t="shared" si="734"/>
        <v>1</v>
      </c>
      <c r="AJ621" s="228">
        <f t="shared" si="735"/>
        <v>0</v>
      </c>
      <c r="AK621" s="228">
        <v>0</v>
      </c>
      <c r="AL621" s="228">
        <v>0</v>
      </c>
      <c r="AM621" s="228">
        <f t="shared" si="711"/>
        <v>-100</v>
      </c>
      <c r="AN621" s="228" cm="1">
        <f t="array" ref="AN621">IF(ISBLANK(G621), 1, IFERROR(MATCH(G621, INDEX(Kat,,1), 0), IFERROR(MATCH(Kat, INDEX(Use,,2), 0), MATCH(Kat, INDEX(Use,,3), 0))))</f>
        <v>1</v>
      </c>
      <c r="AO621" s="246"/>
      <c r="AP621" s="228" cm="1">
        <f t="array" ref="AP621">IF(W621&gt;0, INDEX(Kat, AN621,4), 0)</f>
        <v>0</v>
      </c>
      <c r="AQ621" s="228">
        <f t="shared" si="736"/>
        <v>0</v>
      </c>
      <c r="AR621" s="228" cm="1">
        <f t="array" ref="AR621">IF(X621&gt;0, INDEX(Kat, $AN621, 4+AQ621), 0)</f>
        <v>0</v>
      </c>
      <c r="AS621" s="228" cm="1">
        <f t="array" ref="AS621">IF(X621&gt;0, INDEX(Kat, $AN621, 9+AQ621), 0)</f>
        <v>0</v>
      </c>
      <c r="AT621" s="246"/>
      <c r="AU621" s="262"/>
      <c r="AV621" s="262"/>
      <c r="AW621" s="263"/>
      <c r="AX621" s="263"/>
      <c r="AY621" s="263"/>
      <c r="AZ621" s="263"/>
      <c r="BA621" s="263"/>
      <c r="BB621" s="263"/>
      <c r="BC621" s="263"/>
      <c r="BD621" s="263"/>
      <c r="BE621" s="263"/>
      <c r="BF621" s="263"/>
      <c r="BG621" s="263"/>
      <c r="BH621" s="246"/>
      <c r="BI621" s="228" cm="1">
        <f t="array" ref="BI621">INDEX(Use, $AH621, 4)</f>
        <v>7</v>
      </c>
      <c r="BJ621" s="228">
        <f t="shared" si="712"/>
        <v>32</v>
      </c>
      <c r="BK621" s="228">
        <f t="shared" si="738"/>
        <v>13</v>
      </c>
      <c r="BL621" s="228">
        <f t="shared" si="739"/>
        <v>0</v>
      </c>
      <c r="BM621" s="233" cm="1">
        <f t="array" ref="BM621">L621/IF($M621&gt;0, INDEX($AY$22:$BE$76, $M621+20, $AH621), 1)</f>
        <v>0</v>
      </c>
      <c r="BN621" s="229">
        <f t="shared" si="713"/>
        <v>0</v>
      </c>
      <c r="BO621" s="228">
        <v>35</v>
      </c>
      <c r="BP621" s="229">
        <f t="shared" si="714"/>
        <v>48</v>
      </c>
      <c r="BQ621" s="234">
        <f t="shared" si="715"/>
        <v>3.0748170731707316</v>
      </c>
      <c r="BR621" s="234" cm="1">
        <f t="array" ref="BR621">$BM621 * SUMPRODUCT(INDEX($AV$76:$AX$81,,$AI621),INDEX($AY$76:$BE$81,,$AH621), N($AU$76:$AU$81&gt;$AM621)) / BQ621 / 1000</f>
        <v>0</v>
      </c>
      <c r="BS621" s="231">
        <f t="shared" si="740"/>
        <v>30</v>
      </c>
      <c r="BT621" s="229">
        <f t="shared" si="716"/>
        <v>43</v>
      </c>
      <c r="BU621" s="234">
        <f t="shared" si="717"/>
        <v>3.5018750000000001</v>
      </c>
      <c r="BV621" s="234" cm="1">
        <f t="array" ref="BV621">$BM621 * IF($AH621&lt;=2,
SUMPRODUCT(INDEX($AV$71:$AX$75,,$AI621), INDEX($AY$71:$BE$75,,$AH621), 1 / ($BF$71:$BF$75*BU621 + (1-$BF$71:$BF$75)*BQ621), N($AU$71:$AU$75&gt;$AM621)),
SUMPRODUCT(INDEX($AV$66:$AX$75,,$AI621), INDEX($AY$66:$BE$75,,$AH621), 1 / ($BG$66:$BG$75*BU621 + (1-$BG$66:$BG$75)*BQ621), N($AU$66:$AU$75&gt;$AM621))
) / 1000</f>
        <v>0</v>
      </c>
      <c r="BW621" s="231">
        <f t="shared" si="741"/>
        <v>25</v>
      </c>
      <c r="BX621" s="229">
        <f t="shared" si="718"/>
        <v>38</v>
      </c>
      <c r="BY621" s="234">
        <f t="shared" si="719"/>
        <v>4.0666935483870965</v>
      </c>
      <c r="BZ621" s="234" cm="1">
        <f t="array" ref="BZ621">$BM621 * IF($AH621&lt;=2,
SUMPRODUCT(INDEX($AV$66:$AX$70,,$AI621), INDEX($AY$66:$BE$70,,$AH621), 1 / ($BF$66:$BF$70*BY621 + (1-$BF$66:$BF$70)*BU621), N($AU$66:$AU$70&gt;$AM621)),
SUMPRODUCT(INDEX($AV$56:$AX$65,,$AI621), INDEX($AY$56:$BE$65,,$AH621), 1 / ($BG$56:$BG$65*BY621 + (1-$BG$56:$BG$65)*BU621), N($AU$56:$AU$65&gt;$AM621))
) / 1000</f>
        <v>0</v>
      </c>
      <c r="CA621" s="231">
        <f t="shared" si="742"/>
        <v>20</v>
      </c>
      <c r="CB621" s="229">
        <f t="shared" si="720"/>
        <v>33</v>
      </c>
      <c r="CC621" s="234">
        <f t="shared" si="721"/>
        <v>4.8487499999999999</v>
      </c>
      <c r="CD621" s="234" cm="1">
        <f t="array" ref="CD621">$BM621 * IF($AH621&lt;=2,
SUMPRODUCT(INDEX($AV$61:$AX$65,,$AI621), INDEX($AY$61:$BE$65,,$AH621), 1 / ($BF$61:$BF$65*CC621 + (1-$BF$61:$BF$65)*BY621), N($AU$61:$AU$65&gt;$AM621)),
SUMPRODUCT(INDEX($AV$46:$AX$55,,$AI621), INDEX($AY$46:$BE$55,,$AH621), 1 / ($BG$46:$BG$55*CC621 + (1-$BG$46:$BG$55)*BY621), N($AU$46:$AU$55&gt;$AM621))
) / 1000</f>
        <v>0</v>
      </c>
      <c r="CE621" s="234" cm="1">
        <f t="array" ref="CE621">$BM621 * IF($AH621&lt;=2,
SUMPRODUCT(INDEX($AV$22:$AX$60,,$AI621), INDEX($AY$22:$BE$60,,$AH621), 1 / ($BF$22:$BF$60*CC621), N($AU$22:$AU$60&gt;$AM621)),
SUMPRODUCT(INDEX($AV$22:$AX$45,,$AI621), INDEX($AY$22:$BE$45,,$AH621), 1 / ($BG$22:$BG$45*CC621), N($AU$22:$AU$45&gt;$AM621))
) / 1000</f>
        <v>0</v>
      </c>
      <c r="CF621" s="229">
        <f t="shared" si="722"/>
        <v>0</v>
      </c>
      <c r="CG621" s="246"/>
      <c r="CH621" s="229">
        <f t="shared" si="723"/>
        <v>0</v>
      </c>
      <c r="CI621" s="228">
        <v>35</v>
      </c>
      <c r="CJ621" s="229">
        <f t="shared" si="724"/>
        <v>48</v>
      </c>
      <c r="CK621" s="234">
        <f t="shared" si="725"/>
        <v>3.0748170731707316</v>
      </c>
      <c r="CL621" s="234" cm="1">
        <f t="array" ref="CL621">$BM621 * SUMPRODUCT(INDEX($AV$76:$AX$81,,$AI621),INDEX($AY$76:$BE$81,,$AH621), N($AU$76:$AU$81&gt;$AM621)) / CK621 / 1000</f>
        <v>0</v>
      </c>
      <c r="CM621" s="231">
        <f t="shared" si="743"/>
        <v>30</v>
      </c>
      <c r="CN621" s="229">
        <f t="shared" si="726"/>
        <v>43</v>
      </c>
      <c r="CO621" s="234">
        <f t="shared" si="727"/>
        <v>3.5018750000000001</v>
      </c>
      <c r="CP621" s="234" cm="1">
        <f t="array" ref="CP621">$BM621 * IF($AH621&lt;=2,
SUMPRODUCT(INDEX($AV$71:$AX$75,,$AI621), INDEX($AY$71:$BE$75,,$AH621), 1 / ($BF$71:$BF$75*CO621 + (1-$BF$71:$BF$75)*CK621), N($AU$71:$AU$75&gt;$AM621)),
SUMPRODUCT(INDEX($AV$66:$AX$75,,$AI621), INDEX($AY$66:$BE$75,,$AH621), 1 / ($BG$66:$BG$75*CO621 + (1-$BG$66:$BG$75)*CK621), N($AU$66:$AU$75&gt;$AM621))
) / 1000</f>
        <v>0</v>
      </c>
      <c r="CQ621" s="231">
        <f t="shared" si="744"/>
        <v>25</v>
      </c>
      <c r="CR621" s="229">
        <f t="shared" si="728"/>
        <v>38</v>
      </c>
      <c r="CS621" s="234">
        <f t="shared" si="729"/>
        <v>4.0666935483870965</v>
      </c>
      <c r="CT621" s="234" cm="1">
        <f t="array" ref="CT621">$BM621 * IF($AH621&lt;=2,
SUMPRODUCT(INDEX($AV$66:$AX$70,,$AI621), INDEX($AY$66:$BE$70,,$AH621), 1 / ($BF$66:$BF$70*CS621 + (1-$BF$66:$BF$70)*CO621), N($AU$66:$AU$70&gt;$AM621)),
SUMPRODUCT(INDEX($AV$56:$AX$65,,$AI621), INDEX($AY$56:$BE$65,,$AH621), 1 / ($BG$56:$BG$65*CS621 + (1-$BG$56:$BG$65)*CO621), N($AU$56:$AU$65&gt;$AM621))
) / 1000</f>
        <v>0</v>
      </c>
      <c r="CU621" s="231">
        <f t="shared" si="745"/>
        <v>20</v>
      </c>
      <c r="CV621" s="229">
        <f t="shared" si="730"/>
        <v>33</v>
      </c>
      <c r="CW621" s="234">
        <f t="shared" si="731"/>
        <v>4.8487499999999999</v>
      </c>
      <c r="CX621" s="234" cm="1">
        <f t="array" ref="CX621">$BM621 * IF($AH621&lt;=2,
SUMPRODUCT(INDEX($AV$61:$AX$65,,$AI621), INDEX($AY$61:$BE$65,,$AH621), 1 / ($BF$61:$BF$65*CW621 + (1-$BF$61:$BF$65)*CS621), N($AU$61:$AU$65&gt;$AM621)),
SUMPRODUCT(INDEX($AV$46:$AX$55,,$AI621), INDEX($AY$46:$BE$55,,$AH621), 1 / ($BG$46:$BG$55*CW621 + (1-$BG$46:$BG$55)*CS621), N($AU$46:$AU$55&gt;$AM621))
) / 1000</f>
        <v>0</v>
      </c>
      <c r="CY621" s="234" cm="1">
        <f t="array" ref="CY621">$BM621 * IF($AH621&lt;=2,
SUMPRODUCT(INDEX($AV$22:$AX$60,,$AI621), INDEX($AY$22:$BE$60,,$AH621), 1 / ($BF$22:$BF$60*CW621), N($AU$22:$AU$60&gt;$AM621)),
SUMPRODUCT(INDEX($AV$22:$AX$45,,$AI621), INDEX($AY$22:$BE$45,,$AH621), 1 / ($BG$22:$BG$45*CW621), N($AU$22:$AU$45&gt;$AM621))
) / 1000</f>
        <v>0</v>
      </c>
      <c r="CZ621" s="229">
        <f t="shared" si="732"/>
        <v>0</v>
      </c>
      <c r="DA621" s="246"/>
    </row>
    <row r="622" spans="1:105" s="75" customFormat="1" ht="14.25" customHeight="1" x14ac:dyDescent="0.2">
      <c r="A622" s="230" t="b">
        <f t="shared" si="737"/>
        <v>0</v>
      </c>
      <c r="B622" s="253">
        <v>601</v>
      </c>
      <c r="C622" s="266"/>
      <c r="D622" s="266"/>
      <c r="E622" s="254"/>
      <c r="F622" s="255" t="str">
        <f>IF(ISBLANK(E622), "", VLOOKUP(E622, Z!$A$2:$C$4127, 3, FALSE))</f>
        <v/>
      </c>
      <c r="G622" s="256"/>
      <c r="H622" s="256"/>
      <c r="I622" s="256"/>
      <c r="J622" s="257"/>
      <c r="K622" s="258"/>
      <c r="L622" s="267"/>
      <c r="M622" s="268"/>
      <c r="N622" s="259" t="str" cm="1">
        <f t="array" ref="N622">IF($L622&gt;0, INDEX(Clean,1+AK622,$D$1), "")</f>
        <v/>
      </c>
      <c r="O622" s="260"/>
      <c r="P622" s="260"/>
      <c r="Q622" s="261"/>
      <c r="R622" s="264">
        <f t="shared" si="708"/>
        <v>0</v>
      </c>
      <c r="S622" s="259" t="str" cm="1">
        <f t="array" ref="S622">IF($L622&gt;0, INDEX(Clean,1+AL622,$D$1), "")</f>
        <v/>
      </c>
      <c r="T622" s="260"/>
      <c r="U622" s="260"/>
      <c r="V622" s="261"/>
      <c r="W622" s="267"/>
      <c r="X622" s="267"/>
      <c r="Y622" s="257"/>
      <c r="Z622" s="264">
        <f t="shared" si="709"/>
        <v>0</v>
      </c>
      <c r="AA622" s="269"/>
      <c r="AB622" s="266"/>
      <c r="AC622" s="254"/>
      <c r="AD622" s="255" t="str">
        <f>IF(ISBLANK(AC622), "", VLOOKUP(AC622, Z!$A$2:$C$4127, 3, FALSE))</f>
        <v/>
      </c>
      <c r="AE622" s="270"/>
      <c r="AF622" s="265">
        <f t="shared" si="710"/>
        <v>0</v>
      </c>
      <c r="AG622" s="246"/>
      <c r="AH622" s="228">
        <f t="shared" si="733"/>
        <v>1</v>
      </c>
      <c r="AI622" s="228">
        <f t="shared" si="734"/>
        <v>1</v>
      </c>
      <c r="AJ622" s="228">
        <f t="shared" si="735"/>
        <v>0</v>
      </c>
      <c r="AK622" s="228">
        <v>0</v>
      </c>
      <c r="AL622" s="228">
        <v>0</v>
      </c>
      <c r="AM622" s="228">
        <f t="shared" si="711"/>
        <v>-100</v>
      </c>
      <c r="AN622" s="228" cm="1">
        <f t="array" ref="AN622">IF(ISBLANK(G622), 1, IFERROR(MATCH(G622, INDEX(Kat,,1), 0), IFERROR(MATCH(Kat, INDEX(Use,,2), 0), MATCH(Kat, INDEX(Use,,3), 0))))</f>
        <v>1</v>
      </c>
      <c r="AO622" s="246"/>
      <c r="AP622" s="228" cm="1">
        <f t="array" ref="AP622">IF(W622&gt;0, INDEX(Kat, AN622,4), 0)</f>
        <v>0</v>
      </c>
      <c r="AQ622" s="228">
        <f t="shared" si="736"/>
        <v>0</v>
      </c>
      <c r="AR622" s="228" cm="1">
        <f t="array" ref="AR622">IF(X622&gt;0, INDEX(Kat, $AN622, 4+AQ622), 0)</f>
        <v>0</v>
      </c>
      <c r="AS622" s="228" cm="1">
        <f t="array" ref="AS622">IF(X622&gt;0, INDEX(Kat, $AN622, 9+AQ622), 0)</f>
        <v>0</v>
      </c>
      <c r="AT622" s="246"/>
      <c r="AU622" s="262"/>
      <c r="AV622" s="262"/>
      <c r="AW622" s="263"/>
      <c r="AX622" s="263"/>
      <c r="AY622" s="263"/>
      <c r="AZ622" s="263"/>
      <c r="BA622" s="263"/>
      <c r="BB622" s="263"/>
      <c r="BC622" s="263"/>
      <c r="BD622" s="263"/>
      <c r="BE622" s="263"/>
      <c r="BF622" s="263"/>
      <c r="BG622" s="263"/>
      <c r="BH622" s="246"/>
      <c r="BI622" s="228" cm="1">
        <f t="array" ref="BI622">INDEX(Use, $AH622, 4)</f>
        <v>7</v>
      </c>
      <c r="BJ622" s="228">
        <f t="shared" si="712"/>
        <v>32</v>
      </c>
      <c r="BK622" s="228">
        <f t="shared" si="738"/>
        <v>13</v>
      </c>
      <c r="BL622" s="228">
        <f t="shared" si="739"/>
        <v>0</v>
      </c>
      <c r="BM622" s="233" cm="1">
        <f t="array" ref="BM622">L622/IF($M622&gt;0, INDEX($AY$22:$BE$76, $M622+20, $AH622), 1)</f>
        <v>0</v>
      </c>
      <c r="BN622" s="229">
        <f t="shared" si="713"/>
        <v>0</v>
      </c>
      <c r="BO622" s="228">
        <v>35</v>
      </c>
      <c r="BP622" s="229">
        <f t="shared" si="714"/>
        <v>48</v>
      </c>
      <c r="BQ622" s="234">
        <f t="shared" si="715"/>
        <v>3.0748170731707316</v>
      </c>
      <c r="BR622" s="234" cm="1">
        <f t="array" ref="BR622">$BM622 * SUMPRODUCT(INDEX($AV$76:$AX$81,,$AI622),INDEX($AY$76:$BE$81,,$AH622), N($AU$76:$AU$81&gt;$AM622)) / BQ622 / 1000</f>
        <v>0</v>
      </c>
      <c r="BS622" s="231">
        <f t="shared" si="740"/>
        <v>30</v>
      </c>
      <c r="BT622" s="229">
        <f t="shared" si="716"/>
        <v>43</v>
      </c>
      <c r="BU622" s="234">
        <f t="shared" si="717"/>
        <v>3.5018750000000001</v>
      </c>
      <c r="BV622" s="234" cm="1">
        <f t="array" ref="BV622">$BM622 * IF($AH622&lt;=2,
SUMPRODUCT(INDEX($AV$71:$AX$75,,$AI622), INDEX($AY$71:$BE$75,,$AH622), 1 / ($BF$71:$BF$75*BU622 + (1-$BF$71:$BF$75)*BQ622), N($AU$71:$AU$75&gt;$AM622)),
SUMPRODUCT(INDEX($AV$66:$AX$75,,$AI622), INDEX($AY$66:$BE$75,,$AH622), 1 / ($BG$66:$BG$75*BU622 + (1-$BG$66:$BG$75)*BQ622), N($AU$66:$AU$75&gt;$AM622))
) / 1000</f>
        <v>0</v>
      </c>
      <c r="BW622" s="231">
        <f t="shared" si="741"/>
        <v>25</v>
      </c>
      <c r="BX622" s="229">
        <f t="shared" si="718"/>
        <v>38</v>
      </c>
      <c r="BY622" s="234">
        <f t="shared" si="719"/>
        <v>4.0666935483870965</v>
      </c>
      <c r="BZ622" s="234" cm="1">
        <f t="array" ref="BZ622">$BM622 * IF($AH622&lt;=2,
SUMPRODUCT(INDEX($AV$66:$AX$70,,$AI622), INDEX($AY$66:$BE$70,,$AH622), 1 / ($BF$66:$BF$70*BY622 + (1-$BF$66:$BF$70)*BU622), N($AU$66:$AU$70&gt;$AM622)),
SUMPRODUCT(INDEX($AV$56:$AX$65,,$AI622), INDEX($AY$56:$BE$65,,$AH622), 1 / ($BG$56:$BG$65*BY622 + (1-$BG$56:$BG$65)*BU622), N($AU$56:$AU$65&gt;$AM622))
) / 1000</f>
        <v>0</v>
      </c>
      <c r="CA622" s="231">
        <f t="shared" si="742"/>
        <v>20</v>
      </c>
      <c r="CB622" s="229">
        <f t="shared" si="720"/>
        <v>33</v>
      </c>
      <c r="CC622" s="234">
        <f t="shared" si="721"/>
        <v>4.8487499999999999</v>
      </c>
      <c r="CD622" s="234" cm="1">
        <f t="array" ref="CD622">$BM622 * IF($AH622&lt;=2,
SUMPRODUCT(INDEX($AV$61:$AX$65,,$AI622), INDEX($AY$61:$BE$65,,$AH622), 1 / ($BF$61:$BF$65*CC622 + (1-$BF$61:$BF$65)*BY622), N($AU$61:$AU$65&gt;$AM622)),
SUMPRODUCT(INDEX($AV$46:$AX$55,,$AI622), INDEX($AY$46:$BE$55,,$AH622), 1 / ($BG$46:$BG$55*CC622 + (1-$BG$46:$BG$55)*BY622), N($AU$46:$AU$55&gt;$AM622))
) / 1000</f>
        <v>0</v>
      </c>
      <c r="CE622" s="234" cm="1">
        <f t="array" ref="CE622">$BM622 * IF($AH622&lt;=2,
SUMPRODUCT(INDEX($AV$22:$AX$60,,$AI622), INDEX($AY$22:$BE$60,,$AH622), 1 / ($BF$22:$BF$60*CC622), N($AU$22:$AU$60&gt;$AM622)),
SUMPRODUCT(INDEX($AV$22:$AX$45,,$AI622), INDEX($AY$22:$BE$45,,$AH622), 1 / ($BG$22:$BG$45*CC622), N($AU$22:$AU$45&gt;$AM622))
) / 1000</f>
        <v>0</v>
      </c>
      <c r="CF622" s="229">
        <f t="shared" si="722"/>
        <v>0</v>
      </c>
      <c r="CG622" s="246"/>
      <c r="CH622" s="229">
        <f t="shared" si="723"/>
        <v>0</v>
      </c>
      <c r="CI622" s="228">
        <v>35</v>
      </c>
      <c r="CJ622" s="229">
        <f t="shared" si="724"/>
        <v>48</v>
      </c>
      <c r="CK622" s="234">
        <f t="shared" si="725"/>
        <v>3.0748170731707316</v>
      </c>
      <c r="CL622" s="234" cm="1">
        <f t="array" ref="CL622">$BM622 * SUMPRODUCT(INDEX($AV$76:$AX$81,,$AI622),INDEX($AY$76:$BE$81,,$AH622), N($AU$76:$AU$81&gt;$AM622)) / CK622 / 1000</f>
        <v>0</v>
      </c>
      <c r="CM622" s="231">
        <f t="shared" si="743"/>
        <v>30</v>
      </c>
      <c r="CN622" s="229">
        <f t="shared" si="726"/>
        <v>43</v>
      </c>
      <c r="CO622" s="234">
        <f t="shared" si="727"/>
        <v>3.5018750000000001</v>
      </c>
      <c r="CP622" s="234" cm="1">
        <f t="array" ref="CP622">$BM622 * IF($AH622&lt;=2,
SUMPRODUCT(INDEX($AV$71:$AX$75,,$AI622), INDEX($AY$71:$BE$75,,$AH622), 1 / ($BF$71:$BF$75*CO622 + (1-$BF$71:$BF$75)*CK622), N($AU$71:$AU$75&gt;$AM622)),
SUMPRODUCT(INDEX($AV$66:$AX$75,,$AI622), INDEX($AY$66:$BE$75,,$AH622), 1 / ($BG$66:$BG$75*CO622 + (1-$BG$66:$BG$75)*CK622), N($AU$66:$AU$75&gt;$AM622))
) / 1000</f>
        <v>0</v>
      </c>
      <c r="CQ622" s="231">
        <f t="shared" si="744"/>
        <v>25</v>
      </c>
      <c r="CR622" s="229">
        <f t="shared" si="728"/>
        <v>38</v>
      </c>
      <c r="CS622" s="234">
        <f t="shared" si="729"/>
        <v>4.0666935483870965</v>
      </c>
      <c r="CT622" s="234" cm="1">
        <f t="array" ref="CT622">$BM622 * IF($AH622&lt;=2,
SUMPRODUCT(INDEX($AV$66:$AX$70,,$AI622), INDEX($AY$66:$BE$70,,$AH622), 1 / ($BF$66:$BF$70*CS622 + (1-$BF$66:$BF$70)*CO622), N($AU$66:$AU$70&gt;$AM622)),
SUMPRODUCT(INDEX($AV$56:$AX$65,,$AI622), INDEX($AY$56:$BE$65,,$AH622), 1 / ($BG$56:$BG$65*CS622 + (1-$BG$56:$BG$65)*CO622), N($AU$56:$AU$65&gt;$AM622))
) / 1000</f>
        <v>0</v>
      </c>
      <c r="CU622" s="231">
        <f t="shared" si="745"/>
        <v>20</v>
      </c>
      <c r="CV622" s="229">
        <f t="shared" si="730"/>
        <v>33</v>
      </c>
      <c r="CW622" s="234">
        <f t="shared" si="731"/>
        <v>4.8487499999999999</v>
      </c>
      <c r="CX622" s="234" cm="1">
        <f t="array" ref="CX622">$BM622 * IF($AH622&lt;=2,
SUMPRODUCT(INDEX($AV$61:$AX$65,,$AI622), INDEX($AY$61:$BE$65,,$AH622), 1 / ($BF$61:$BF$65*CW622 + (1-$BF$61:$BF$65)*CS622), N($AU$61:$AU$65&gt;$AM622)),
SUMPRODUCT(INDEX($AV$46:$AX$55,,$AI622), INDEX($AY$46:$BE$55,,$AH622), 1 / ($BG$46:$BG$55*CW622 + (1-$BG$46:$BG$55)*CS622), N($AU$46:$AU$55&gt;$AM622))
) / 1000</f>
        <v>0</v>
      </c>
      <c r="CY622" s="234" cm="1">
        <f t="array" ref="CY622">$BM622 * IF($AH622&lt;=2,
SUMPRODUCT(INDEX($AV$22:$AX$60,,$AI622), INDEX($AY$22:$BE$60,,$AH622), 1 / ($BF$22:$BF$60*CW622), N($AU$22:$AU$60&gt;$AM622)),
SUMPRODUCT(INDEX($AV$22:$AX$45,,$AI622), INDEX($AY$22:$BE$45,,$AH622), 1 / ($BG$22:$BG$45*CW622), N($AU$22:$AU$45&gt;$AM622))
) / 1000</f>
        <v>0</v>
      </c>
      <c r="CZ622" s="229">
        <f t="shared" si="732"/>
        <v>0</v>
      </c>
      <c r="DA622" s="246"/>
    </row>
    <row r="623" spans="1:105" s="75" customFormat="1" ht="14.25" customHeight="1" x14ac:dyDescent="0.2">
      <c r="A623" s="230" t="b">
        <f t="shared" si="737"/>
        <v>0</v>
      </c>
      <c r="B623" s="253">
        <v>602</v>
      </c>
      <c r="C623" s="266"/>
      <c r="D623" s="266"/>
      <c r="E623" s="254"/>
      <c r="F623" s="255" t="str">
        <f>IF(ISBLANK(E623), "", VLOOKUP(E623, Z!$A$2:$C$4127, 3, FALSE))</f>
        <v/>
      </c>
      <c r="G623" s="256"/>
      <c r="H623" s="256"/>
      <c r="I623" s="256"/>
      <c r="J623" s="257"/>
      <c r="K623" s="258"/>
      <c r="L623" s="267"/>
      <c r="M623" s="268"/>
      <c r="N623" s="259" t="str" cm="1">
        <f t="array" ref="N623">IF($L623&gt;0, INDEX(Clean,1+AK623,$D$1), "")</f>
        <v/>
      </c>
      <c r="O623" s="260"/>
      <c r="P623" s="260"/>
      <c r="Q623" s="261"/>
      <c r="R623" s="264">
        <f t="shared" si="708"/>
        <v>0</v>
      </c>
      <c r="S623" s="259" t="str" cm="1">
        <f t="array" ref="S623">IF($L623&gt;0, INDEX(Clean,1+AL623,$D$1), "")</f>
        <v/>
      </c>
      <c r="T623" s="260"/>
      <c r="U623" s="260"/>
      <c r="V623" s="261"/>
      <c r="W623" s="267"/>
      <c r="X623" s="267"/>
      <c r="Y623" s="257"/>
      <c r="Z623" s="264">
        <f t="shared" si="709"/>
        <v>0</v>
      </c>
      <c r="AA623" s="269"/>
      <c r="AB623" s="266"/>
      <c r="AC623" s="254"/>
      <c r="AD623" s="255" t="str">
        <f>IF(ISBLANK(AC623), "", VLOOKUP(AC623, Z!$A$2:$C$4127, 3, FALSE))</f>
        <v/>
      </c>
      <c r="AE623" s="270"/>
      <c r="AF623" s="265">
        <f t="shared" si="710"/>
        <v>0</v>
      </c>
      <c r="AG623" s="246"/>
      <c r="AH623" s="228">
        <f t="shared" si="733"/>
        <v>1</v>
      </c>
      <c r="AI623" s="228">
        <f t="shared" si="734"/>
        <v>1</v>
      </c>
      <c r="AJ623" s="228">
        <f t="shared" si="735"/>
        <v>0</v>
      </c>
      <c r="AK623" s="228">
        <v>0</v>
      </c>
      <c r="AL623" s="228">
        <v>0</v>
      </c>
      <c r="AM623" s="228">
        <f t="shared" si="711"/>
        <v>-100</v>
      </c>
      <c r="AN623" s="228" cm="1">
        <f t="array" ref="AN623">IF(ISBLANK(G623), 1, IFERROR(MATCH(G623, INDEX(Kat,,1), 0), IFERROR(MATCH(Kat, INDEX(Use,,2), 0), MATCH(Kat, INDEX(Use,,3), 0))))</f>
        <v>1</v>
      </c>
      <c r="AO623" s="246"/>
      <c r="AP623" s="228" cm="1">
        <f t="array" ref="AP623">IF(W623&gt;0, INDEX(Kat, AN623,4), 0)</f>
        <v>0</v>
      </c>
      <c r="AQ623" s="228">
        <f t="shared" si="736"/>
        <v>0</v>
      </c>
      <c r="AR623" s="228" cm="1">
        <f t="array" ref="AR623">IF(X623&gt;0, INDEX(Kat, $AN623, 4+AQ623), 0)</f>
        <v>0</v>
      </c>
      <c r="AS623" s="228" cm="1">
        <f t="array" ref="AS623">IF(X623&gt;0, INDEX(Kat, $AN623, 9+AQ623), 0)</f>
        <v>0</v>
      </c>
      <c r="AT623" s="246"/>
      <c r="AU623" s="262"/>
      <c r="AV623" s="262"/>
      <c r="AW623" s="263"/>
      <c r="AX623" s="263"/>
      <c r="AY623" s="263"/>
      <c r="AZ623" s="263"/>
      <c r="BA623" s="263"/>
      <c r="BB623" s="263"/>
      <c r="BC623" s="263"/>
      <c r="BD623" s="263"/>
      <c r="BE623" s="263"/>
      <c r="BF623" s="263"/>
      <c r="BG623" s="263"/>
      <c r="BH623" s="246"/>
      <c r="BI623" s="228" cm="1">
        <f t="array" ref="BI623">INDEX(Use, $AH623, 4)</f>
        <v>7</v>
      </c>
      <c r="BJ623" s="228">
        <f t="shared" si="712"/>
        <v>32</v>
      </c>
      <c r="BK623" s="228">
        <f t="shared" si="738"/>
        <v>13</v>
      </c>
      <c r="BL623" s="228">
        <f t="shared" si="739"/>
        <v>0</v>
      </c>
      <c r="BM623" s="233" cm="1">
        <f t="array" ref="BM623">L623/IF($M623&gt;0, INDEX($AY$22:$BE$76, $M623+20, $AH623), 1)</f>
        <v>0</v>
      </c>
      <c r="BN623" s="229">
        <f t="shared" si="713"/>
        <v>0</v>
      </c>
      <c r="BO623" s="228">
        <v>35</v>
      </c>
      <c r="BP623" s="229">
        <f t="shared" si="714"/>
        <v>48</v>
      </c>
      <c r="BQ623" s="234">
        <f t="shared" si="715"/>
        <v>3.0748170731707316</v>
      </c>
      <c r="BR623" s="234" cm="1">
        <f t="array" ref="BR623">$BM623 * SUMPRODUCT(INDEX($AV$76:$AX$81,,$AI623),INDEX($AY$76:$BE$81,,$AH623), N($AU$76:$AU$81&gt;$AM623)) / BQ623 / 1000</f>
        <v>0</v>
      </c>
      <c r="BS623" s="231">
        <f t="shared" si="740"/>
        <v>30</v>
      </c>
      <c r="BT623" s="229">
        <f t="shared" si="716"/>
        <v>43</v>
      </c>
      <c r="BU623" s="234">
        <f t="shared" si="717"/>
        <v>3.5018750000000001</v>
      </c>
      <c r="BV623" s="234" cm="1">
        <f t="array" ref="BV623">$BM623 * IF($AH623&lt;=2,
SUMPRODUCT(INDEX($AV$71:$AX$75,,$AI623), INDEX($AY$71:$BE$75,,$AH623), 1 / ($BF$71:$BF$75*BU623 + (1-$BF$71:$BF$75)*BQ623), N($AU$71:$AU$75&gt;$AM623)),
SUMPRODUCT(INDEX($AV$66:$AX$75,,$AI623), INDEX($AY$66:$BE$75,,$AH623), 1 / ($BG$66:$BG$75*BU623 + (1-$BG$66:$BG$75)*BQ623), N($AU$66:$AU$75&gt;$AM623))
) / 1000</f>
        <v>0</v>
      </c>
      <c r="BW623" s="231">
        <f t="shared" si="741"/>
        <v>25</v>
      </c>
      <c r="BX623" s="229">
        <f t="shared" si="718"/>
        <v>38</v>
      </c>
      <c r="BY623" s="234">
        <f t="shared" si="719"/>
        <v>4.0666935483870965</v>
      </c>
      <c r="BZ623" s="234" cm="1">
        <f t="array" ref="BZ623">$BM623 * IF($AH623&lt;=2,
SUMPRODUCT(INDEX($AV$66:$AX$70,,$AI623), INDEX($AY$66:$BE$70,,$AH623), 1 / ($BF$66:$BF$70*BY623 + (1-$BF$66:$BF$70)*BU623), N($AU$66:$AU$70&gt;$AM623)),
SUMPRODUCT(INDEX($AV$56:$AX$65,,$AI623), INDEX($AY$56:$BE$65,,$AH623), 1 / ($BG$56:$BG$65*BY623 + (1-$BG$56:$BG$65)*BU623), N($AU$56:$AU$65&gt;$AM623))
) / 1000</f>
        <v>0</v>
      </c>
      <c r="CA623" s="231">
        <f t="shared" si="742"/>
        <v>20</v>
      </c>
      <c r="CB623" s="229">
        <f t="shared" si="720"/>
        <v>33</v>
      </c>
      <c r="CC623" s="234">
        <f t="shared" si="721"/>
        <v>4.8487499999999999</v>
      </c>
      <c r="CD623" s="234" cm="1">
        <f t="array" ref="CD623">$BM623 * IF($AH623&lt;=2,
SUMPRODUCT(INDEX($AV$61:$AX$65,,$AI623), INDEX($AY$61:$BE$65,,$AH623), 1 / ($BF$61:$BF$65*CC623 + (1-$BF$61:$BF$65)*BY623), N($AU$61:$AU$65&gt;$AM623)),
SUMPRODUCT(INDEX($AV$46:$AX$55,,$AI623), INDEX($AY$46:$BE$55,,$AH623), 1 / ($BG$46:$BG$55*CC623 + (1-$BG$46:$BG$55)*BY623), N($AU$46:$AU$55&gt;$AM623))
) / 1000</f>
        <v>0</v>
      </c>
      <c r="CE623" s="234" cm="1">
        <f t="array" ref="CE623">$BM623 * IF($AH623&lt;=2,
SUMPRODUCT(INDEX($AV$22:$AX$60,,$AI623), INDEX($AY$22:$BE$60,,$AH623), 1 / ($BF$22:$BF$60*CC623), N($AU$22:$AU$60&gt;$AM623)),
SUMPRODUCT(INDEX($AV$22:$AX$45,,$AI623), INDEX($AY$22:$BE$45,,$AH623), 1 / ($BG$22:$BG$45*CC623), N($AU$22:$AU$45&gt;$AM623))
) / 1000</f>
        <v>0</v>
      </c>
      <c r="CF623" s="229">
        <f t="shared" si="722"/>
        <v>0</v>
      </c>
      <c r="CG623" s="246"/>
      <c r="CH623" s="229">
        <f t="shared" si="723"/>
        <v>0</v>
      </c>
      <c r="CI623" s="228">
        <v>35</v>
      </c>
      <c r="CJ623" s="229">
        <f t="shared" si="724"/>
        <v>48</v>
      </c>
      <c r="CK623" s="234">
        <f t="shared" si="725"/>
        <v>3.0748170731707316</v>
      </c>
      <c r="CL623" s="234" cm="1">
        <f t="array" ref="CL623">$BM623 * SUMPRODUCT(INDEX($AV$76:$AX$81,,$AI623),INDEX($AY$76:$BE$81,,$AH623), N($AU$76:$AU$81&gt;$AM623)) / CK623 / 1000</f>
        <v>0</v>
      </c>
      <c r="CM623" s="231">
        <f t="shared" si="743"/>
        <v>30</v>
      </c>
      <c r="CN623" s="229">
        <f t="shared" si="726"/>
        <v>43</v>
      </c>
      <c r="CO623" s="234">
        <f t="shared" si="727"/>
        <v>3.5018750000000001</v>
      </c>
      <c r="CP623" s="234" cm="1">
        <f t="array" ref="CP623">$BM623 * IF($AH623&lt;=2,
SUMPRODUCT(INDEX($AV$71:$AX$75,,$AI623), INDEX($AY$71:$BE$75,,$AH623), 1 / ($BF$71:$BF$75*CO623 + (1-$BF$71:$BF$75)*CK623), N($AU$71:$AU$75&gt;$AM623)),
SUMPRODUCT(INDEX($AV$66:$AX$75,,$AI623), INDEX($AY$66:$BE$75,,$AH623), 1 / ($BG$66:$BG$75*CO623 + (1-$BG$66:$BG$75)*CK623), N($AU$66:$AU$75&gt;$AM623))
) / 1000</f>
        <v>0</v>
      </c>
      <c r="CQ623" s="231">
        <f t="shared" si="744"/>
        <v>25</v>
      </c>
      <c r="CR623" s="229">
        <f t="shared" si="728"/>
        <v>38</v>
      </c>
      <c r="CS623" s="234">
        <f t="shared" si="729"/>
        <v>4.0666935483870965</v>
      </c>
      <c r="CT623" s="234" cm="1">
        <f t="array" ref="CT623">$BM623 * IF($AH623&lt;=2,
SUMPRODUCT(INDEX($AV$66:$AX$70,,$AI623), INDEX($AY$66:$BE$70,,$AH623), 1 / ($BF$66:$BF$70*CS623 + (1-$BF$66:$BF$70)*CO623), N($AU$66:$AU$70&gt;$AM623)),
SUMPRODUCT(INDEX($AV$56:$AX$65,,$AI623), INDEX($AY$56:$BE$65,,$AH623), 1 / ($BG$56:$BG$65*CS623 + (1-$BG$56:$BG$65)*CO623), N($AU$56:$AU$65&gt;$AM623))
) / 1000</f>
        <v>0</v>
      </c>
      <c r="CU623" s="231">
        <f t="shared" si="745"/>
        <v>20</v>
      </c>
      <c r="CV623" s="229">
        <f t="shared" si="730"/>
        <v>33</v>
      </c>
      <c r="CW623" s="234">
        <f t="shared" si="731"/>
        <v>4.8487499999999999</v>
      </c>
      <c r="CX623" s="234" cm="1">
        <f t="array" ref="CX623">$BM623 * IF($AH623&lt;=2,
SUMPRODUCT(INDEX($AV$61:$AX$65,,$AI623), INDEX($AY$61:$BE$65,,$AH623), 1 / ($BF$61:$BF$65*CW623 + (1-$BF$61:$BF$65)*CS623), N($AU$61:$AU$65&gt;$AM623)),
SUMPRODUCT(INDEX($AV$46:$AX$55,,$AI623), INDEX($AY$46:$BE$55,,$AH623), 1 / ($BG$46:$BG$55*CW623 + (1-$BG$46:$BG$55)*CS623), N($AU$46:$AU$55&gt;$AM623))
) / 1000</f>
        <v>0</v>
      </c>
      <c r="CY623" s="234" cm="1">
        <f t="array" ref="CY623">$BM623 * IF($AH623&lt;=2,
SUMPRODUCT(INDEX($AV$22:$AX$60,,$AI623), INDEX($AY$22:$BE$60,,$AH623), 1 / ($BF$22:$BF$60*CW623), N($AU$22:$AU$60&gt;$AM623)),
SUMPRODUCT(INDEX($AV$22:$AX$45,,$AI623), INDEX($AY$22:$BE$45,,$AH623), 1 / ($BG$22:$BG$45*CW623), N($AU$22:$AU$45&gt;$AM623))
) / 1000</f>
        <v>0</v>
      </c>
      <c r="CZ623" s="229">
        <f t="shared" si="732"/>
        <v>0</v>
      </c>
      <c r="DA623" s="246"/>
    </row>
    <row r="624" spans="1:105" s="75" customFormat="1" ht="14.25" customHeight="1" x14ac:dyDescent="0.2">
      <c r="A624" s="230" t="b">
        <f t="shared" si="737"/>
        <v>0</v>
      </c>
      <c r="B624" s="253">
        <v>603</v>
      </c>
      <c r="C624" s="266"/>
      <c r="D624" s="266"/>
      <c r="E624" s="254"/>
      <c r="F624" s="255" t="str">
        <f>IF(ISBLANK(E624), "", VLOOKUP(E624, Z!$A$2:$C$4127, 3, FALSE))</f>
        <v/>
      </c>
      <c r="G624" s="256"/>
      <c r="H624" s="256"/>
      <c r="I624" s="256"/>
      <c r="J624" s="257"/>
      <c r="K624" s="258"/>
      <c r="L624" s="267"/>
      <c r="M624" s="268"/>
      <c r="N624" s="259" t="str" cm="1">
        <f t="array" ref="N624">IF($L624&gt;0, INDEX(Clean,1+AK624,$D$1), "")</f>
        <v/>
      </c>
      <c r="O624" s="260"/>
      <c r="P624" s="260"/>
      <c r="Q624" s="261"/>
      <c r="R624" s="264">
        <f t="shared" si="708"/>
        <v>0</v>
      </c>
      <c r="S624" s="259" t="str" cm="1">
        <f t="array" ref="S624">IF($L624&gt;0, INDEX(Clean,1+AL624,$D$1), "")</f>
        <v/>
      </c>
      <c r="T624" s="260"/>
      <c r="U624" s="260"/>
      <c r="V624" s="261"/>
      <c r="W624" s="267"/>
      <c r="X624" s="267"/>
      <c r="Y624" s="257"/>
      <c r="Z624" s="264">
        <f t="shared" si="709"/>
        <v>0</v>
      </c>
      <c r="AA624" s="269"/>
      <c r="AB624" s="266"/>
      <c r="AC624" s="254"/>
      <c r="AD624" s="255" t="str">
        <f>IF(ISBLANK(AC624), "", VLOOKUP(AC624, Z!$A$2:$C$4127, 3, FALSE))</f>
        <v/>
      </c>
      <c r="AE624" s="270"/>
      <c r="AF624" s="265">
        <f t="shared" si="710"/>
        <v>0</v>
      </c>
      <c r="AG624" s="246"/>
      <c r="AH624" s="228">
        <f t="shared" si="733"/>
        <v>1</v>
      </c>
      <c r="AI624" s="228">
        <f t="shared" si="734"/>
        <v>1</v>
      </c>
      <c r="AJ624" s="228">
        <f t="shared" si="735"/>
        <v>0</v>
      </c>
      <c r="AK624" s="228">
        <v>0</v>
      </c>
      <c r="AL624" s="228">
        <v>0</v>
      </c>
      <c r="AM624" s="228">
        <f t="shared" si="711"/>
        <v>-100</v>
      </c>
      <c r="AN624" s="228" cm="1">
        <f t="array" ref="AN624">IF(ISBLANK(G624), 1, IFERROR(MATCH(G624, INDEX(Kat,,1), 0), IFERROR(MATCH(Kat, INDEX(Use,,2), 0), MATCH(Kat, INDEX(Use,,3), 0))))</f>
        <v>1</v>
      </c>
      <c r="AO624" s="246"/>
      <c r="AP624" s="228" cm="1">
        <f t="array" ref="AP624">IF(W624&gt;0, INDEX(Kat, AN624,4), 0)</f>
        <v>0</v>
      </c>
      <c r="AQ624" s="228">
        <f t="shared" si="736"/>
        <v>0</v>
      </c>
      <c r="AR624" s="228" cm="1">
        <f t="array" ref="AR624">IF(X624&gt;0, INDEX(Kat, $AN624, 4+AQ624), 0)</f>
        <v>0</v>
      </c>
      <c r="AS624" s="228" cm="1">
        <f t="array" ref="AS624">IF(X624&gt;0, INDEX(Kat, $AN624, 9+AQ624), 0)</f>
        <v>0</v>
      </c>
      <c r="AT624" s="246"/>
      <c r="AU624" s="262"/>
      <c r="AV624" s="262"/>
      <c r="AW624" s="263"/>
      <c r="AX624" s="263"/>
      <c r="AY624" s="263"/>
      <c r="AZ624" s="263"/>
      <c r="BA624" s="263"/>
      <c r="BB624" s="263"/>
      <c r="BC624" s="263"/>
      <c r="BD624" s="263"/>
      <c r="BE624" s="263"/>
      <c r="BF624" s="263"/>
      <c r="BG624" s="263"/>
      <c r="BH624" s="246"/>
      <c r="BI624" s="228" cm="1">
        <f t="array" ref="BI624">INDEX(Use, $AH624, 4)</f>
        <v>7</v>
      </c>
      <c r="BJ624" s="228">
        <f t="shared" si="712"/>
        <v>32</v>
      </c>
      <c r="BK624" s="228">
        <f t="shared" si="738"/>
        <v>13</v>
      </c>
      <c r="BL624" s="228">
        <f t="shared" si="739"/>
        <v>0</v>
      </c>
      <c r="BM624" s="233" cm="1">
        <f t="array" ref="BM624">L624/IF($M624&gt;0, INDEX($AY$22:$BE$76, $M624+20, $AH624), 1)</f>
        <v>0</v>
      </c>
      <c r="BN624" s="229">
        <f t="shared" si="713"/>
        <v>0</v>
      </c>
      <c r="BO624" s="228">
        <v>35</v>
      </c>
      <c r="BP624" s="229">
        <f t="shared" si="714"/>
        <v>48</v>
      </c>
      <c r="BQ624" s="234">
        <f t="shared" si="715"/>
        <v>3.0748170731707316</v>
      </c>
      <c r="BR624" s="234" cm="1">
        <f t="array" ref="BR624">$BM624 * SUMPRODUCT(INDEX($AV$76:$AX$81,,$AI624),INDEX($AY$76:$BE$81,,$AH624), N($AU$76:$AU$81&gt;$AM624)) / BQ624 / 1000</f>
        <v>0</v>
      </c>
      <c r="BS624" s="231">
        <f t="shared" si="740"/>
        <v>30</v>
      </c>
      <c r="BT624" s="229">
        <f t="shared" si="716"/>
        <v>43</v>
      </c>
      <c r="BU624" s="234">
        <f t="shared" si="717"/>
        <v>3.5018750000000001</v>
      </c>
      <c r="BV624" s="234" cm="1">
        <f t="array" ref="BV624">$BM624 * IF($AH624&lt;=2,
SUMPRODUCT(INDEX($AV$71:$AX$75,,$AI624), INDEX($AY$71:$BE$75,,$AH624), 1 / ($BF$71:$BF$75*BU624 + (1-$BF$71:$BF$75)*BQ624), N($AU$71:$AU$75&gt;$AM624)),
SUMPRODUCT(INDEX($AV$66:$AX$75,,$AI624), INDEX($AY$66:$BE$75,,$AH624), 1 / ($BG$66:$BG$75*BU624 + (1-$BG$66:$BG$75)*BQ624), N($AU$66:$AU$75&gt;$AM624))
) / 1000</f>
        <v>0</v>
      </c>
      <c r="BW624" s="231">
        <f t="shared" si="741"/>
        <v>25</v>
      </c>
      <c r="BX624" s="229">
        <f t="shared" si="718"/>
        <v>38</v>
      </c>
      <c r="BY624" s="234">
        <f t="shared" si="719"/>
        <v>4.0666935483870965</v>
      </c>
      <c r="BZ624" s="234" cm="1">
        <f t="array" ref="BZ624">$BM624 * IF($AH624&lt;=2,
SUMPRODUCT(INDEX($AV$66:$AX$70,,$AI624), INDEX($AY$66:$BE$70,,$AH624), 1 / ($BF$66:$BF$70*BY624 + (1-$BF$66:$BF$70)*BU624), N($AU$66:$AU$70&gt;$AM624)),
SUMPRODUCT(INDEX($AV$56:$AX$65,,$AI624), INDEX($AY$56:$BE$65,,$AH624), 1 / ($BG$56:$BG$65*BY624 + (1-$BG$56:$BG$65)*BU624), N($AU$56:$AU$65&gt;$AM624))
) / 1000</f>
        <v>0</v>
      </c>
      <c r="CA624" s="231">
        <f t="shared" si="742"/>
        <v>20</v>
      </c>
      <c r="CB624" s="229">
        <f t="shared" si="720"/>
        <v>33</v>
      </c>
      <c r="CC624" s="234">
        <f t="shared" si="721"/>
        <v>4.8487499999999999</v>
      </c>
      <c r="CD624" s="234" cm="1">
        <f t="array" ref="CD624">$BM624 * IF($AH624&lt;=2,
SUMPRODUCT(INDEX($AV$61:$AX$65,,$AI624), INDEX($AY$61:$BE$65,,$AH624), 1 / ($BF$61:$BF$65*CC624 + (1-$BF$61:$BF$65)*BY624), N($AU$61:$AU$65&gt;$AM624)),
SUMPRODUCT(INDEX($AV$46:$AX$55,,$AI624), INDEX($AY$46:$BE$55,,$AH624), 1 / ($BG$46:$BG$55*CC624 + (1-$BG$46:$BG$55)*BY624), N($AU$46:$AU$55&gt;$AM624))
) / 1000</f>
        <v>0</v>
      </c>
      <c r="CE624" s="234" cm="1">
        <f t="array" ref="CE624">$BM624 * IF($AH624&lt;=2,
SUMPRODUCT(INDEX($AV$22:$AX$60,,$AI624), INDEX($AY$22:$BE$60,,$AH624), 1 / ($BF$22:$BF$60*CC624), N($AU$22:$AU$60&gt;$AM624)),
SUMPRODUCT(INDEX($AV$22:$AX$45,,$AI624), INDEX($AY$22:$BE$45,,$AH624), 1 / ($BG$22:$BG$45*CC624), N($AU$22:$AU$45&gt;$AM624))
) / 1000</f>
        <v>0</v>
      </c>
      <c r="CF624" s="229">
        <f t="shared" si="722"/>
        <v>0</v>
      </c>
      <c r="CG624" s="246"/>
      <c r="CH624" s="229">
        <f t="shared" si="723"/>
        <v>0</v>
      </c>
      <c r="CI624" s="228">
        <v>35</v>
      </c>
      <c r="CJ624" s="229">
        <f t="shared" si="724"/>
        <v>48</v>
      </c>
      <c r="CK624" s="234">
        <f t="shared" si="725"/>
        <v>3.0748170731707316</v>
      </c>
      <c r="CL624" s="234" cm="1">
        <f t="array" ref="CL624">$BM624 * SUMPRODUCT(INDEX($AV$76:$AX$81,,$AI624),INDEX($AY$76:$BE$81,,$AH624), N($AU$76:$AU$81&gt;$AM624)) / CK624 / 1000</f>
        <v>0</v>
      </c>
      <c r="CM624" s="231">
        <f t="shared" si="743"/>
        <v>30</v>
      </c>
      <c r="CN624" s="229">
        <f t="shared" si="726"/>
        <v>43</v>
      </c>
      <c r="CO624" s="234">
        <f t="shared" si="727"/>
        <v>3.5018750000000001</v>
      </c>
      <c r="CP624" s="234" cm="1">
        <f t="array" ref="CP624">$BM624 * IF($AH624&lt;=2,
SUMPRODUCT(INDEX($AV$71:$AX$75,,$AI624), INDEX($AY$71:$BE$75,,$AH624), 1 / ($BF$71:$BF$75*CO624 + (1-$BF$71:$BF$75)*CK624), N($AU$71:$AU$75&gt;$AM624)),
SUMPRODUCT(INDEX($AV$66:$AX$75,,$AI624), INDEX($AY$66:$BE$75,,$AH624), 1 / ($BG$66:$BG$75*CO624 + (1-$BG$66:$BG$75)*CK624), N($AU$66:$AU$75&gt;$AM624))
) / 1000</f>
        <v>0</v>
      </c>
      <c r="CQ624" s="231">
        <f t="shared" si="744"/>
        <v>25</v>
      </c>
      <c r="CR624" s="229">
        <f t="shared" si="728"/>
        <v>38</v>
      </c>
      <c r="CS624" s="234">
        <f t="shared" si="729"/>
        <v>4.0666935483870965</v>
      </c>
      <c r="CT624" s="234" cm="1">
        <f t="array" ref="CT624">$BM624 * IF($AH624&lt;=2,
SUMPRODUCT(INDEX($AV$66:$AX$70,,$AI624), INDEX($AY$66:$BE$70,,$AH624), 1 / ($BF$66:$BF$70*CS624 + (1-$BF$66:$BF$70)*CO624), N($AU$66:$AU$70&gt;$AM624)),
SUMPRODUCT(INDEX($AV$56:$AX$65,,$AI624), INDEX($AY$56:$BE$65,,$AH624), 1 / ($BG$56:$BG$65*CS624 + (1-$BG$56:$BG$65)*CO624), N($AU$56:$AU$65&gt;$AM624))
) / 1000</f>
        <v>0</v>
      </c>
      <c r="CU624" s="231">
        <f t="shared" si="745"/>
        <v>20</v>
      </c>
      <c r="CV624" s="229">
        <f t="shared" si="730"/>
        <v>33</v>
      </c>
      <c r="CW624" s="234">
        <f t="shared" si="731"/>
        <v>4.8487499999999999</v>
      </c>
      <c r="CX624" s="234" cm="1">
        <f t="array" ref="CX624">$BM624 * IF($AH624&lt;=2,
SUMPRODUCT(INDEX($AV$61:$AX$65,,$AI624), INDEX($AY$61:$BE$65,,$AH624), 1 / ($BF$61:$BF$65*CW624 + (1-$BF$61:$BF$65)*CS624), N($AU$61:$AU$65&gt;$AM624)),
SUMPRODUCT(INDEX($AV$46:$AX$55,,$AI624), INDEX($AY$46:$BE$55,,$AH624), 1 / ($BG$46:$BG$55*CW624 + (1-$BG$46:$BG$55)*CS624), N($AU$46:$AU$55&gt;$AM624))
) / 1000</f>
        <v>0</v>
      </c>
      <c r="CY624" s="234" cm="1">
        <f t="array" ref="CY624">$BM624 * IF($AH624&lt;=2,
SUMPRODUCT(INDEX($AV$22:$AX$60,,$AI624), INDEX($AY$22:$BE$60,,$AH624), 1 / ($BF$22:$BF$60*CW624), N($AU$22:$AU$60&gt;$AM624)),
SUMPRODUCT(INDEX($AV$22:$AX$45,,$AI624), INDEX($AY$22:$BE$45,,$AH624), 1 / ($BG$22:$BG$45*CW624), N($AU$22:$AU$45&gt;$AM624))
) / 1000</f>
        <v>0</v>
      </c>
      <c r="CZ624" s="229">
        <f t="shared" si="732"/>
        <v>0</v>
      </c>
      <c r="DA624" s="246"/>
    </row>
    <row r="625" spans="1:105" s="75" customFormat="1" ht="14.25" customHeight="1" x14ac:dyDescent="0.2">
      <c r="A625" s="230" t="b">
        <f t="shared" si="737"/>
        <v>0</v>
      </c>
      <c r="B625" s="253">
        <v>604</v>
      </c>
      <c r="C625" s="266"/>
      <c r="D625" s="266"/>
      <c r="E625" s="254"/>
      <c r="F625" s="255" t="str">
        <f>IF(ISBLANK(E625), "", VLOOKUP(E625, Z!$A$2:$C$4127, 3, FALSE))</f>
        <v/>
      </c>
      <c r="G625" s="256"/>
      <c r="H625" s="256"/>
      <c r="I625" s="256"/>
      <c r="J625" s="257"/>
      <c r="K625" s="258"/>
      <c r="L625" s="267"/>
      <c r="M625" s="268"/>
      <c r="N625" s="259" t="str" cm="1">
        <f t="array" ref="N625">IF($L625&gt;0, INDEX(Clean,1+AK625,$D$1), "")</f>
        <v/>
      </c>
      <c r="O625" s="260"/>
      <c r="P625" s="260"/>
      <c r="Q625" s="261"/>
      <c r="R625" s="264">
        <f t="shared" si="708"/>
        <v>0</v>
      </c>
      <c r="S625" s="259" t="str" cm="1">
        <f t="array" ref="S625">IF($L625&gt;0, INDEX(Clean,1+AL625,$D$1), "")</f>
        <v/>
      </c>
      <c r="T625" s="260"/>
      <c r="U625" s="260"/>
      <c r="V625" s="261"/>
      <c r="W625" s="267"/>
      <c r="X625" s="267"/>
      <c r="Y625" s="257"/>
      <c r="Z625" s="264">
        <f t="shared" si="709"/>
        <v>0</v>
      </c>
      <c r="AA625" s="269"/>
      <c r="AB625" s="266"/>
      <c r="AC625" s="254"/>
      <c r="AD625" s="255" t="str">
        <f>IF(ISBLANK(AC625), "", VLOOKUP(AC625, Z!$A$2:$C$4127, 3, FALSE))</f>
        <v/>
      </c>
      <c r="AE625" s="270"/>
      <c r="AF625" s="265">
        <f t="shared" si="710"/>
        <v>0</v>
      </c>
      <c r="AG625" s="246"/>
      <c r="AH625" s="228">
        <f t="shared" si="733"/>
        <v>1</v>
      </c>
      <c r="AI625" s="228">
        <f t="shared" si="734"/>
        <v>1</v>
      </c>
      <c r="AJ625" s="228">
        <f t="shared" si="735"/>
        <v>0</v>
      </c>
      <c r="AK625" s="228">
        <v>0</v>
      </c>
      <c r="AL625" s="228">
        <v>0</v>
      </c>
      <c r="AM625" s="228">
        <f t="shared" si="711"/>
        <v>-100</v>
      </c>
      <c r="AN625" s="228" cm="1">
        <f t="array" ref="AN625">IF(ISBLANK(G625), 1, IFERROR(MATCH(G625, INDEX(Kat,,1), 0), IFERROR(MATCH(Kat, INDEX(Use,,2), 0), MATCH(Kat, INDEX(Use,,3), 0))))</f>
        <v>1</v>
      </c>
      <c r="AO625" s="246"/>
      <c r="AP625" s="228" cm="1">
        <f t="array" ref="AP625">IF(W625&gt;0, INDEX(Kat, AN625,4), 0)</f>
        <v>0</v>
      </c>
      <c r="AQ625" s="228">
        <f t="shared" si="736"/>
        <v>0</v>
      </c>
      <c r="AR625" s="228" cm="1">
        <f t="array" ref="AR625">IF(X625&gt;0, INDEX(Kat, $AN625, 4+AQ625), 0)</f>
        <v>0</v>
      </c>
      <c r="AS625" s="228" cm="1">
        <f t="array" ref="AS625">IF(X625&gt;0, INDEX(Kat, $AN625, 9+AQ625), 0)</f>
        <v>0</v>
      </c>
      <c r="AT625" s="246"/>
      <c r="AU625" s="262"/>
      <c r="AV625" s="262"/>
      <c r="AW625" s="263"/>
      <c r="AX625" s="263"/>
      <c r="AY625" s="263"/>
      <c r="AZ625" s="263"/>
      <c r="BA625" s="263"/>
      <c r="BB625" s="263"/>
      <c r="BC625" s="263"/>
      <c r="BD625" s="263"/>
      <c r="BE625" s="263"/>
      <c r="BF625" s="263"/>
      <c r="BG625" s="263"/>
      <c r="BH625" s="246"/>
      <c r="BI625" s="228" cm="1">
        <f t="array" ref="BI625">INDEX(Use, $AH625, 4)</f>
        <v>7</v>
      </c>
      <c r="BJ625" s="228">
        <f t="shared" si="712"/>
        <v>32</v>
      </c>
      <c r="BK625" s="228">
        <f t="shared" si="738"/>
        <v>13</v>
      </c>
      <c r="BL625" s="228">
        <f t="shared" si="739"/>
        <v>0</v>
      </c>
      <c r="BM625" s="233" cm="1">
        <f t="array" ref="BM625">L625/IF($M625&gt;0, INDEX($AY$22:$BE$76, $M625+20, $AH625), 1)</f>
        <v>0</v>
      </c>
      <c r="BN625" s="229">
        <f t="shared" si="713"/>
        <v>0</v>
      </c>
      <c r="BO625" s="228">
        <v>35</v>
      </c>
      <c r="BP625" s="229">
        <f t="shared" si="714"/>
        <v>48</v>
      </c>
      <c r="BQ625" s="234">
        <f t="shared" si="715"/>
        <v>3.0748170731707316</v>
      </c>
      <c r="BR625" s="234" cm="1">
        <f t="array" ref="BR625">$BM625 * SUMPRODUCT(INDEX($AV$76:$AX$81,,$AI625),INDEX($AY$76:$BE$81,,$AH625), N($AU$76:$AU$81&gt;$AM625)) / BQ625 / 1000</f>
        <v>0</v>
      </c>
      <c r="BS625" s="231">
        <f t="shared" si="740"/>
        <v>30</v>
      </c>
      <c r="BT625" s="229">
        <f t="shared" si="716"/>
        <v>43</v>
      </c>
      <c r="BU625" s="234">
        <f t="shared" si="717"/>
        <v>3.5018750000000001</v>
      </c>
      <c r="BV625" s="234" cm="1">
        <f t="array" ref="BV625">$BM625 * IF($AH625&lt;=2,
SUMPRODUCT(INDEX($AV$71:$AX$75,,$AI625), INDEX($AY$71:$BE$75,,$AH625), 1 / ($BF$71:$BF$75*BU625 + (1-$BF$71:$BF$75)*BQ625), N($AU$71:$AU$75&gt;$AM625)),
SUMPRODUCT(INDEX($AV$66:$AX$75,,$AI625), INDEX($AY$66:$BE$75,,$AH625), 1 / ($BG$66:$BG$75*BU625 + (1-$BG$66:$BG$75)*BQ625), N($AU$66:$AU$75&gt;$AM625))
) / 1000</f>
        <v>0</v>
      </c>
      <c r="BW625" s="231">
        <f t="shared" si="741"/>
        <v>25</v>
      </c>
      <c r="BX625" s="229">
        <f t="shared" si="718"/>
        <v>38</v>
      </c>
      <c r="BY625" s="234">
        <f t="shared" si="719"/>
        <v>4.0666935483870965</v>
      </c>
      <c r="BZ625" s="234" cm="1">
        <f t="array" ref="BZ625">$BM625 * IF($AH625&lt;=2,
SUMPRODUCT(INDEX($AV$66:$AX$70,,$AI625), INDEX($AY$66:$BE$70,,$AH625), 1 / ($BF$66:$BF$70*BY625 + (1-$BF$66:$BF$70)*BU625), N($AU$66:$AU$70&gt;$AM625)),
SUMPRODUCT(INDEX($AV$56:$AX$65,,$AI625), INDEX($AY$56:$BE$65,,$AH625), 1 / ($BG$56:$BG$65*BY625 + (1-$BG$56:$BG$65)*BU625), N($AU$56:$AU$65&gt;$AM625))
) / 1000</f>
        <v>0</v>
      </c>
      <c r="CA625" s="231">
        <f t="shared" si="742"/>
        <v>20</v>
      </c>
      <c r="CB625" s="229">
        <f t="shared" si="720"/>
        <v>33</v>
      </c>
      <c r="CC625" s="234">
        <f t="shared" si="721"/>
        <v>4.8487499999999999</v>
      </c>
      <c r="CD625" s="234" cm="1">
        <f t="array" ref="CD625">$BM625 * IF($AH625&lt;=2,
SUMPRODUCT(INDEX($AV$61:$AX$65,,$AI625), INDEX($AY$61:$BE$65,,$AH625), 1 / ($BF$61:$BF$65*CC625 + (1-$BF$61:$BF$65)*BY625), N($AU$61:$AU$65&gt;$AM625)),
SUMPRODUCT(INDEX($AV$46:$AX$55,,$AI625), INDEX($AY$46:$BE$55,,$AH625), 1 / ($BG$46:$BG$55*CC625 + (1-$BG$46:$BG$55)*BY625), N($AU$46:$AU$55&gt;$AM625))
) / 1000</f>
        <v>0</v>
      </c>
      <c r="CE625" s="234" cm="1">
        <f t="array" ref="CE625">$BM625 * IF($AH625&lt;=2,
SUMPRODUCT(INDEX($AV$22:$AX$60,,$AI625), INDEX($AY$22:$BE$60,,$AH625), 1 / ($BF$22:$BF$60*CC625), N($AU$22:$AU$60&gt;$AM625)),
SUMPRODUCT(INDEX($AV$22:$AX$45,,$AI625), INDEX($AY$22:$BE$45,,$AH625), 1 / ($BG$22:$BG$45*CC625), N($AU$22:$AU$45&gt;$AM625))
) / 1000</f>
        <v>0</v>
      </c>
      <c r="CF625" s="229">
        <f t="shared" si="722"/>
        <v>0</v>
      </c>
      <c r="CG625" s="246"/>
      <c r="CH625" s="229">
        <f t="shared" si="723"/>
        <v>0</v>
      </c>
      <c r="CI625" s="228">
        <v>35</v>
      </c>
      <c r="CJ625" s="229">
        <f t="shared" si="724"/>
        <v>48</v>
      </c>
      <c r="CK625" s="234">
        <f t="shared" si="725"/>
        <v>3.0748170731707316</v>
      </c>
      <c r="CL625" s="234" cm="1">
        <f t="array" ref="CL625">$BM625 * SUMPRODUCT(INDEX($AV$76:$AX$81,,$AI625),INDEX($AY$76:$BE$81,,$AH625), N($AU$76:$AU$81&gt;$AM625)) / CK625 / 1000</f>
        <v>0</v>
      </c>
      <c r="CM625" s="231">
        <f t="shared" si="743"/>
        <v>30</v>
      </c>
      <c r="CN625" s="229">
        <f t="shared" si="726"/>
        <v>43</v>
      </c>
      <c r="CO625" s="234">
        <f t="shared" si="727"/>
        <v>3.5018750000000001</v>
      </c>
      <c r="CP625" s="234" cm="1">
        <f t="array" ref="CP625">$BM625 * IF($AH625&lt;=2,
SUMPRODUCT(INDEX($AV$71:$AX$75,,$AI625), INDEX($AY$71:$BE$75,,$AH625), 1 / ($BF$71:$BF$75*CO625 + (1-$BF$71:$BF$75)*CK625), N($AU$71:$AU$75&gt;$AM625)),
SUMPRODUCT(INDEX($AV$66:$AX$75,,$AI625), INDEX($AY$66:$BE$75,,$AH625), 1 / ($BG$66:$BG$75*CO625 + (1-$BG$66:$BG$75)*CK625), N($AU$66:$AU$75&gt;$AM625))
) / 1000</f>
        <v>0</v>
      </c>
      <c r="CQ625" s="231">
        <f t="shared" si="744"/>
        <v>25</v>
      </c>
      <c r="CR625" s="229">
        <f t="shared" si="728"/>
        <v>38</v>
      </c>
      <c r="CS625" s="234">
        <f t="shared" si="729"/>
        <v>4.0666935483870965</v>
      </c>
      <c r="CT625" s="234" cm="1">
        <f t="array" ref="CT625">$BM625 * IF($AH625&lt;=2,
SUMPRODUCT(INDEX($AV$66:$AX$70,,$AI625), INDEX($AY$66:$BE$70,,$AH625), 1 / ($BF$66:$BF$70*CS625 + (1-$BF$66:$BF$70)*CO625), N($AU$66:$AU$70&gt;$AM625)),
SUMPRODUCT(INDEX($AV$56:$AX$65,,$AI625), INDEX($AY$56:$BE$65,,$AH625), 1 / ($BG$56:$BG$65*CS625 + (1-$BG$56:$BG$65)*CO625), N($AU$56:$AU$65&gt;$AM625))
) / 1000</f>
        <v>0</v>
      </c>
      <c r="CU625" s="231">
        <f t="shared" si="745"/>
        <v>20</v>
      </c>
      <c r="CV625" s="229">
        <f t="shared" si="730"/>
        <v>33</v>
      </c>
      <c r="CW625" s="234">
        <f t="shared" si="731"/>
        <v>4.8487499999999999</v>
      </c>
      <c r="CX625" s="234" cm="1">
        <f t="array" ref="CX625">$BM625 * IF($AH625&lt;=2,
SUMPRODUCT(INDEX($AV$61:$AX$65,,$AI625), INDEX($AY$61:$BE$65,,$AH625), 1 / ($BF$61:$BF$65*CW625 + (1-$BF$61:$BF$65)*CS625), N($AU$61:$AU$65&gt;$AM625)),
SUMPRODUCT(INDEX($AV$46:$AX$55,,$AI625), INDEX($AY$46:$BE$55,,$AH625), 1 / ($BG$46:$BG$55*CW625 + (1-$BG$46:$BG$55)*CS625), N($AU$46:$AU$55&gt;$AM625))
) / 1000</f>
        <v>0</v>
      </c>
      <c r="CY625" s="234" cm="1">
        <f t="array" ref="CY625">$BM625 * IF($AH625&lt;=2,
SUMPRODUCT(INDEX($AV$22:$AX$60,,$AI625), INDEX($AY$22:$BE$60,,$AH625), 1 / ($BF$22:$BF$60*CW625), N($AU$22:$AU$60&gt;$AM625)),
SUMPRODUCT(INDEX($AV$22:$AX$45,,$AI625), INDEX($AY$22:$BE$45,,$AH625), 1 / ($BG$22:$BG$45*CW625), N($AU$22:$AU$45&gt;$AM625))
) / 1000</f>
        <v>0</v>
      </c>
      <c r="CZ625" s="229">
        <f t="shared" si="732"/>
        <v>0</v>
      </c>
      <c r="DA625" s="246"/>
    </row>
    <row r="626" spans="1:105" s="75" customFormat="1" ht="14.25" customHeight="1" x14ac:dyDescent="0.2">
      <c r="A626" s="230" t="b">
        <f t="shared" si="737"/>
        <v>0</v>
      </c>
      <c r="B626" s="253">
        <v>605</v>
      </c>
      <c r="C626" s="266"/>
      <c r="D626" s="266"/>
      <c r="E626" s="254"/>
      <c r="F626" s="255" t="str">
        <f>IF(ISBLANK(E626), "", VLOOKUP(E626, Z!$A$2:$C$4127, 3, FALSE))</f>
        <v/>
      </c>
      <c r="G626" s="256"/>
      <c r="H626" s="256"/>
      <c r="I626" s="256"/>
      <c r="J626" s="257"/>
      <c r="K626" s="258"/>
      <c r="L626" s="267"/>
      <c r="M626" s="268"/>
      <c r="N626" s="259" t="str" cm="1">
        <f t="array" ref="N626">IF($L626&gt;0, INDEX(Clean,1+AK626,$D$1), "")</f>
        <v/>
      </c>
      <c r="O626" s="260"/>
      <c r="P626" s="260"/>
      <c r="Q626" s="261"/>
      <c r="R626" s="264">
        <f t="shared" si="708"/>
        <v>0</v>
      </c>
      <c r="S626" s="259" t="str" cm="1">
        <f t="array" ref="S626">IF($L626&gt;0, INDEX(Clean,1+AL626,$D$1), "")</f>
        <v/>
      </c>
      <c r="T626" s="260"/>
      <c r="U626" s="260"/>
      <c r="V626" s="261"/>
      <c r="W626" s="267"/>
      <c r="X626" s="267"/>
      <c r="Y626" s="257"/>
      <c r="Z626" s="264">
        <f t="shared" si="709"/>
        <v>0</v>
      </c>
      <c r="AA626" s="269"/>
      <c r="AB626" s="266"/>
      <c r="AC626" s="254"/>
      <c r="AD626" s="255" t="str">
        <f>IF(ISBLANK(AC626), "", VLOOKUP(AC626, Z!$A$2:$C$4127, 3, FALSE))</f>
        <v/>
      </c>
      <c r="AE626" s="270"/>
      <c r="AF626" s="265">
        <f t="shared" si="710"/>
        <v>0</v>
      </c>
      <c r="AG626" s="246"/>
      <c r="AH626" s="228">
        <f t="shared" si="733"/>
        <v>1</v>
      </c>
      <c r="AI626" s="228">
        <f t="shared" si="734"/>
        <v>1</v>
      </c>
      <c r="AJ626" s="228">
        <f t="shared" si="735"/>
        <v>0</v>
      </c>
      <c r="AK626" s="228">
        <v>0</v>
      </c>
      <c r="AL626" s="228">
        <v>0</v>
      </c>
      <c r="AM626" s="228">
        <f t="shared" si="711"/>
        <v>-100</v>
      </c>
      <c r="AN626" s="228" cm="1">
        <f t="array" ref="AN626">IF(ISBLANK(G626), 1, IFERROR(MATCH(G626, INDEX(Kat,,1), 0), IFERROR(MATCH(Kat, INDEX(Use,,2), 0), MATCH(Kat, INDEX(Use,,3), 0))))</f>
        <v>1</v>
      </c>
      <c r="AO626" s="246"/>
      <c r="AP626" s="228" cm="1">
        <f t="array" ref="AP626">IF(W626&gt;0, INDEX(Kat, AN626,4), 0)</f>
        <v>0</v>
      </c>
      <c r="AQ626" s="228">
        <f t="shared" si="736"/>
        <v>0</v>
      </c>
      <c r="AR626" s="228" cm="1">
        <f t="array" ref="AR626">IF(X626&gt;0, INDEX(Kat, $AN626, 4+AQ626), 0)</f>
        <v>0</v>
      </c>
      <c r="AS626" s="228" cm="1">
        <f t="array" ref="AS626">IF(X626&gt;0, INDEX(Kat, $AN626, 9+AQ626), 0)</f>
        <v>0</v>
      </c>
      <c r="AT626" s="246"/>
      <c r="AU626" s="262"/>
      <c r="AV626" s="262"/>
      <c r="AW626" s="263"/>
      <c r="AX626" s="263"/>
      <c r="AY626" s="263"/>
      <c r="AZ626" s="263"/>
      <c r="BA626" s="263"/>
      <c r="BB626" s="263"/>
      <c r="BC626" s="263"/>
      <c r="BD626" s="263"/>
      <c r="BE626" s="263"/>
      <c r="BF626" s="263"/>
      <c r="BG626" s="263"/>
      <c r="BH626" s="246"/>
      <c r="BI626" s="228" cm="1">
        <f t="array" ref="BI626">INDEX(Use, $AH626, 4)</f>
        <v>7</v>
      </c>
      <c r="BJ626" s="228">
        <f t="shared" si="712"/>
        <v>32</v>
      </c>
      <c r="BK626" s="228">
        <f t="shared" si="738"/>
        <v>13</v>
      </c>
      <c r="BL626" s="228">
        <f t="shared" si="739"/>
        <v>0</v>
      </c>
      <c r="BM626" s="233" cm="1">
        <f t="array" ref="BM626">L626/IF($M626&gt;0, INDEX($AY$22:$BE$76, $M626+20, $AH626), 1)</f>
        <v>0</v>
      </c>
      <c r="BN626" s="229">
        <f t="shared" si="713"/>
        <v>0</v>
      </c>
      <c r="BO626" s="228">
        <v>35</v>
      </c>
      <c r="BP626" s="229">
        <f t="shared" si="714"/>
        <v>48</v>
      </c>
      <c r="BQ626" s="234">
        <f t="shared" si="715"/>
        <v>3.0748170731707316</v>
      </c>
      <c r="BR626" s="234" cm="1">
        <f t="array" ref="BR626">$BM626 * SUMPRODUCT(INDEX($AV$76:$AX$81,,$AI626),INDEX($AY$76:$BE$81,,$AH626), N($AU$76:$AU$81&gt;$AM626)) / BQ626 / 1000</f>
        <v>0</v>
      </c>
      <c r="BS626" s="231">
        <f t="shared" si="740"/>
        <v>30</v>
      </c>
      <c r="BT626" s="229">
        <f t="shared" si="716"/>
        <v>43</v>
      </c>
      <c r="BU626" s="234">
        <f t="shared" si="717"/>
        <v>3.5018750000000001</v>
      </c>
      <c r="BV626" s="234" cm="1">
        <f t="array" ref="BV626">$BM626 * IF($AH626&lt;=2,
SUMPRODUCT(INDEX($AV$71:$AX$75,,$AI626), INDEX($AY$71:$BE$75,,$AH626), 1 / ($BF$71:$BF$75*BU626 + (1-$BF$71:$BF$75)*BQ626), N($AU$71:$AU$75&gt;$AM626)),
SUMPRODUCT(INDEX($AV$66:$AX$75,,$AI626), INDEX($AY$66:$BE$75,,$AH626), 1 / ($BG$66:$BG$75*BU626 + (1-$BG$66:$BG$75)*BQ626), N($AU$66:$AU$75&gt;$AM626))
) / 1000</f>
        <v>0</v>
      </c>
      <c r="BW626" s="231">
        <f t="shared" si="741"/>
        <v>25</v>
      </c>
      <c r="BX626" s="229">
        <f t="shared" si="718"/>
        <v>38</v>
      </c>
      <c r="BY626" s="234">
        <f t="shared" si="719"/>
        <v>4.0666935483870965</v>
      </c>
      <c r="BZ626" s="234" cm="1">
        <f t="array" ref="BZ626">$BM626 * IF($AH626&lt;=2,
SUMPRODUCT(INDEX($AV$66:$AX$70,,$AI626), INDEX($AY$66:$BE$70,,$AH626), 1 / ($BF$66:$BF$70*BY626 + (1-$BF$66:$BF$70)*BU626), N($AU$66:$AU$70&gt;$AM626)),
SUMPRODUCT(INDEX($AV$56:$AX$65,,$AI626), INDEX($AY$56:$BE$65,,$AH626), 1 / ($BG$56:$BG$65*BY626 + (1-$BG$56:$BG$65)*BU626), N($AU$56:$AU$65&gt;$AM626))
) / 1000</f>
        <v>0</v>
      </c>
      <c r="CA626" s="231">
        <f t="shared" si="742"/>
        <v>20</v>
      </c>
      <c r="CB626" s="229">
        <f t="shared" si="720"/>
        <v>33</v>
      </c>
      <c r="CC626" s="234">
        <f t="shared" si="721"/>
        <v>4.8487499999999999</v>
      </c>
      <c r="CD626" s="234" cm="1">
        <f t="array" ref="CD626">$BM626 * IF($AH626&lt;=2,
SUMPRODUCT(INDEX($AV$61:$AX$65,,$AI626), INDEX($AY$61:$BE$65,,$AH626), 1 / ($BF$61:$BF$65*CC626 + (1-$BF$61:$BF$65)*BY626), N($AU$61:$AU$65&gt;$AM626)),
SUMPRODUCT(INDEX($AV$46:$AX$55,,$AI626), INDEX($AY$46:$BE$55,,$AH626), 1 / ($BG$46:$BG$55*CC626 + (1-$BG$46:$BG$55)*BY626), N($AU$46:$AU$55&gt;$AM626))
) / 1000</f>
        <v>0</v>
      </c>
      <c r="CE626" s="234" cm="1">
        <f t="array" ref="CE626">$BM626 * IF($AH626&lt;=2,
SUMPRODUCT(INDEX($AV$22:$AX$60,,$AI626), INDEX($AY$22:$BE$60,,$AH626), 1 / ($BF$22:$BF$60*CC626), N($AU$22:$AU$60&gt;$AM626)),
SUMPRODUCT(INDEX($AV$22:$AX$45,,$AI626), INDEX($AY$22:$BE$45,,$AH626), 1 / ($BG$22:$BG$45*CC626), N($AU$22:$AU$45&gt;$AM626))
) / 1000</f>
        <v>0</v>
      </c>
      <c r="CF626" s="229">
        <f t="shared" si="722"/>
        <v>0</v>
      </c>
      <c r="CG626" s="246"/>
      <c r="CH626" s="229">
        <f t="shared" si="723"/>
        <v>0</v>
      </c>
      <c r="CI626" s="228">
        <v>35</v>
      </c>
      <c r="CJ626" s="229">
        <f t="shared" si="724"/>
        <v>48</v>
      </c>
      <c r="CK626" s="234">
        <f t="shared" si="725"/>
        <v>3.0748170731707316</v>
      </c>
      <c r="CL626" s="234" cm="1">
        <f t="array" ref="CL626">$BM626 * SUMPRODUCT(INDEX($AV$76:$AX$81,,$AI626),INDEX($AY$76:$BE$81,,$AH626), N($AU$76:$AU$81&gt;$AM626)) / CK626 / 1000</f>
        <v>0</v>
      </c>
      <c r="CM626" s="231">
        <f t="shared" si="743"/>
        <v>30</v>
      </c>
      <c r="CN626" s="229">
        <f t="shared" si="726"/>
        <v>43</v>
      </c>
      <c r="CO626" s="234">
        <f t="shared" si="727"/>
        <v>3.5018750000000001</v>
      </c>
      <c r="CP626" s="234" cm="1">
        <f t="array" ref="CP626">$BM626 * IF($AH626&lt;=2,
SUMPRODUCT(INDEX($AV$71:$AX$75,,$AI626), INDEX($AY$71:$BE$75,,$AH626), 1 / ($BF$71:$BF$75*CO626 + (1-$BF$71:$BF$75)*CK626), N($AU$71:$AU$75&gt;$AM626)),
SUMPRODUCT(INDEX($AV$66:$AX$75,,$AI626), INDEX($AY$66:$BE$75,,$AH626), 1 / ($BG$66:$BG$75*CO626 + (1-$BG$66:$BG$75)*CK626), N($AU$66:$AU$75&gt;$AM626))
) / 1000</f>
        <v>0</v>
      </c>
      <c r="CQ626" s="231">
        <f t="shared" si="744"/>
        <v>25</v>
      </c>
      <c r="CR626" s="229">
        <f t="shared" si="728"/>
        <v>38</v>
      </c>
      <c r="CS626" s="234">
        <f t="shared" si="729"/>
        <v>4.0666935483870965</v>
      </c>
      <c r="CT626" s="234" cm="1">
        <f t="array" ref="CT626">$BM626 * IF($AH626&lt;=2,
SUMPRODUCT(INDEX($AV$66:$AX$70,,$AI626), INDEX($AY$66:$BE$70,,$AH626), 1 / ($BF$66:$BF$70*CS626 + (1-$BF$66:$BF$70)*CO626), N($AU$66:$AU$70&gt;$AM626)),
SUMPRODUCT(INDEX($AV$56:$AX$65,,$AI626), INDEX($AY$56:$BE$65,,$AH626), 1 / ($BG$56:$BG$65*CS626 + (1-$BG$56:$BG$65)*CO626), N($AU$56:$AU$65&gt;$AM626))
) / 1000</f>
        <v>0</v>
      </c>
      <c r="CU626" s="231">
        <f t="shared" si="745"/>
        <v>20</v>
      </c>
      <c r="CV626" s="229">
        <f t="shared" si="730"/>
        <v>33</v>
      </c>
      <c r="CW626" s="234">
        <f t="shared" si="731"/>
        <v>4.8487499999999999</v>
      </c>
      <c r="CX626" s="234" cm="1">
        <f t="array" ref="CX626">$BM626 * IF($AH626&lt;=2,
SUMPRODUCT(INDEX($AV$61:$AX$65,,$AI626), INDEX($AY$61:$BE$65,,$AH626), 1 / ($BF$61:$BF$65*CW626 + (1-$BF$61:$BF$65)*CS626), N($AU$61:$AU$65&gt;$AM626)),
SUMPRODUCT(INDEX($AV$46:$AX$55,,$AI626), INDEX($AY$46:$BE$55,,$AH626), 1 / ($BG$46:$BG$55*CW626 + (1-$BG$46:$BG$55)*CS626), N($AU$46:$AU$55&gt;$AM626))
) / 1000</f>
        <v>0</v>
      </c>
      <c r="CY626" s="234" cm="1">
        <f t="array" ref="CY626">$BM626 * IF($AH626&lt;=2,
SUMPRODUCT(INDEX($AV$22:$AX$60,,$AI626), INDEX($AY$22:$BE$60,,$AH626), 1 / ($BF$22:$BF$60*CW626), N($AU$22:$AU$60&gt;$AM626)),
SUMPRODUCT(INDEX($AV$22:$AX$45,,$AI626), INDEX($AY$22:$BE$45,,$AH626), 1 / ($BG$22:$BG$45*CW626), N($AU$22:$AU$45&gt;$AM626))
) / 1000</f>
        <v>0</v>
      </c>
      <c r="CZ626" s="229">
        <f t="shared" si="732"/>
        <v>0</v>
      </c>
      <c r="DA626" s="246"/>
    </row>
    <row r="627" spans="1:105" s="75" customFormat="1" ht="14.25" customHeight="1" x14ac:dyDescent="0.2">
      <c r="A627" s="230" t="b">
        <f t="shared" si="737"/>
        <v>0</v>
      </c>
      <c r="B627" s="253">
        <v>606</v>
      </c>
      <c r="C627" s="266"/>
      <c r="D627" s="266"/>
      <c r="E627" s="254"/>
      <c r="F627" s="255" t="str">
        <f>IF(ISBLANK(E627), "", VLOOKUP(E627, Z!$A$2:$C$4127, 3, FALSE))</f>
        <v/>
      </c>
      <c r="G627" s="256"/>
      <c r="H627" s="256"/>
      <c r="I627" s="256"/>
      <c r="J627" s="257"/>
      <c r="K627" s="258"/>
      <c r="L627" s="267"/>
      <c r="M627" s="268"/>
      <c r="N627" s="259" t="str" cm="1">
        <f t="array" ref="N627">IF($L627&gt;0, INDEX(Clean,1+AK627,$D$1), "")</f>
        <v/>
      </c>
      <c r="O627" s="260"/>
      <c r="P627" s="260"/>
      <c r="Q627" s="261"/>
      <c r="R627" s="264">
        <f t="shared" si="708"/>
        <v>0</v>
      </c>
      <c r="S627" s="259" t="str" cm="1">
        <f t="array" ref="S627">IF($L627&gt;0, INDEX(Clean,1+AL627,$D$1), "")</f>
        <v/>
      </c>
      <c r="T627" s="260"/>
      <c r="U627" s="260"/>
      <c r="V627" s="261"/>
      <c r="W627" s="267"/>
      <c r="X627" s="267"/>
      <c r="Y627" s="257"/>
      <c r="Z627" s="264">
        <f t="shared" si="709"/>
        <v>0</v>
      </c>
      <c r="AA627" s="269"/>
      <c r="AB627" s="266"/>
      <c r="AC627" s="254"/>
      <c r="AD627" s="255" t="str">
        <f>IF(ISBLANK(AC627), "", VLOOKUP(AC627, Z!$A$2:$C$4127, 3, FALSE))</f>
        <v/>
      </c>
      <c r="AE627" s="270"/>
      <c r="AF627" s="265">
        <f t="shared" si="710"/>
        <v>0</v>
      </c>
      <c r="AG627" s="246"/>
      <c r="AH627" s="228">
        <f t="shared" si="733"/>
        <v>1</v>
      </c>
      <c r="AI627" s="228">
        <f t="shared" si="734"/>
        <v>1</v>
      </c>
      <c r="AJ627" s="228">
        <f t="shared" si="735"/>
        <v>0</v>
      </c>
      <c r="AK627" s="228">
        <v>0</v>
      </c>
      <c r="AL627" s="228">
        <v>0</v>
      </c>
      <c r="AM627" s="228">
        <f t="shared" si="711"/>
        <v>-100</v>
      </c>
      <c r="AN627" s="228" cm="1">
        <f t="array" ref="AN627">IF(ISBLANK(G627), 1, IFERROR(MATCH(G627, INDEX(Kat,,1), 0), IFERROR(MATCH(Kat, INDEX(Use,,2), 0), MATCH(Kat, INDEX(Use,,3), 0))))</f>
        <v>1</v>
      </c>
      <c r="AO627" s="246"/>
      <c r="AP627" s="228" cm="1">
        <f t="array" ref="AP627">IF(W627&gt;0, INDEX(Kat, AN627,4), 0)</f>
        <v>0</v>
      </c>
      <c r="AQ627" s="228">
        <f t="shared" si="736"/>
        <v>0</v>
      </c>
      <c r="AR627" s="228" cm="1">
        <f t="array" ref="AR627">IF(X627&gt;0, INDEX(Kat, $AN627, 4+AQ627), 0)</f>
        <v>0</v>
      </c>
      <c r="AS627" s="228" cm="1">
        <f t="array" ref="AS627">IF(X627&gt;0, INDEX(Kat, $AN627, 9+AQ627), 0)</f>
        <v>0</v>
      </c>
      <c r="AT627" s="246"/>
      <c r="AU627" s="262"/>
      <c r="AV627" s="262"/>
      <c r="AW627" s="263"/>
      <c r="AX627" s="263"/>
      <c r="AY627" s="263"/>
      <c r="AZ627" s="263"/>
      <c r="BA627" s="263"/>
      <c r="BB627" s="263"/>
      <c r="BC627" s="263"/>
      <c r="BD627" s="263"/>
      <c r="BE627" s="263"/>
      <c r="BF627" s="263"/>
      <c r="BG627" s="263"/>
      <c r="BH627" s="246"/>
      <c r="BI627" s="228" cm="1">
        <f t="array" ref="BI627">INDEX(Use, $AH627, 4)</f>
        <v>7</v>
      </c>
      <c r="BJ627" s="228">
        <f t="shared" si="712"/>
        <v>32</v>
      </c>
      <c r="BK627" s="228">
        <f t="shared" si="738"/>
        <v>13</v>
      </c>
      <c r="BL627" s="228">
        <f t="shared" si="739"/>
        <v>0</v>
      </c>
      <c r="BM627" s="233" cm="1">
        <f t="array" ref="BM627">L627/IF($M627&gt;0, INDEX($AY$22:$BE$76, $M627+20, $AH627), 1)</f>
        <v>0</v>
      </c>
      <c r="BN627" s="229">
        <f t="shared" si="713"/>
        <v>0</v>
      </c>
      <c r="BO627" s="228">
        <v>35</v>
      </c>
      <c r="BP627" s="229">
        <f t="shared" si="714"/>
        <v>48</v>
      </c>
      <c r="BQ627" s="234">
        <f t="shared" si="715"/>
        <v>3.0748170731707316</v>
      </c>
      <c r="BR627" s="234" cm="1">
        <f t="array" ref="BR627">$BM627 * SUMPRODUCT(INDEX($AV$76:$AX$81,,$AI627),INDEX($AY$76:$BE$81,,$AH627), N($AU$76:$AU$81&gt;$AM627)) / BQ627 / 1000</f>
        <v>0</v>
      </c>
      <c r="BS627" s="231">
        <f t="shared" si="740"/>
        <v>30</v>
      </c>
      <c r="BT627" s="229">
        <f t="shared" si="716"/>
        <v>43</v>
      </c>
      <c r="BU627" s="234">
        <f t="shared" si="717"/>
        <v>3.5018750000000001</v>
      </c>
      <c r="BV627" s="234" cm="1">
        <f t="array" ref="BV627">$BM627 * IF($AH627&lt;=2,
SUMPRODUCT(INDEX($AV$71:$AX$75,,$AI627), INDEX($AY$71:$BE$75,,$AH627), 1 / ($BF$71:$BF$75*BU627 + (1-$BF$71:$BF$75)*BQ627), N($AU$71:$AU$75&gt;$AM627)),
SUMPRODUCT(INDEX($AV$66:$AX$75,,$AI627), INDEX($AY$66:$BE$75,,$AH627), 1 / ($BG$66:$BG$75*BU627 + (1-$BG$66:$BG$75)*BQ627), N($AU$66:$AU$75&gt;$AM627))
) / 1000</f>
        <v>0</v>
      </c>
      <c r="BW627" s="231">
        <f t="shared" si="741"/>
        <v>25</v>
      </c>
      <c r="BX627" s="229">
        <f t="shared" si="718"/>
        <v>38</v>
      </c>
      <c r="BY627" s="234">
        <f t="shared" si="719"/>
        <v>4.0666935483870965</v>
      </c>
      <c r="BZ627" s="234" cm="1">
        <f t="array" ref="BZ627">$BM627 * IF($AH627&lt;=2,
SUMPRODUCT(INDEX($AV$66:$AX$70,,$AI627), INDEX($AY$66:$BE$70,,$AH627), 1 / ($BF$66:$BF$70*BY627 + (1-$BF$66:$BF$70)*BU627), N($AU$66:$AU$70&gt;$AM627)),
SUMPRODUCT(INDEX($AV$56:$AX$65,,$AI627), INDEX($AY$56:$BE$65,,$AH627), 1 / ($BG$56:$BG$65*BY627 + (1-$BG$56:$BG$65)*BU627), N($AU$56:$AU$65&gt;$AM627))
) / 1000</f>
        <v>0</v>
      </c>
      <c r="CA627" s="231">
        <f t="shared" si="742"/>
        <v>20</v>
      </c>
      <c r="CB627" s="229">
        <f t="shared" si="720"/>
        <v>33</v>
      </c>
      <c r="CC627" s="234">
        <f t="shared" si="721"/>
        <v>4.8487499999999999</v>
      </c>
      <c r="CD627" s="234" cm="1">
        <f t="array" ref="CD627">$BM627 * IF($AH627&lt;=2,
SUMPRODUCT(INDEX($AV$61:$AX$65,,$AI627), INDEX($AY$61:$BE$65,,$AH627), 1 / ($BF$61:$BF$65*CC627 + (1-$BF$61:$BF$65)*BY627), N($AU$61:$AU$65&gt;$AM627)),
SUMPRODUCT(INDEX($AV$46:$AX$55,,$AI627), INDEX($AY$46:$BE$55,,$AH627), 1 / ($BG$46:$BG$55*CC627 + (1-$BG$46:$BG$55)*BY627), N($AU$46:$AU$55&gt;$AM627))
) / 1000</f>
        <v>0</v>
      </c>
      <c r="CE627" s="234" cm="1">
        <f t="array" ref="CE627">$BM627 * IF($AH627&lt;=2,
SUMPRODUCT(INDEX($AV$22:$AX$60,,$AI627), INDEX($AY$22:$BE$60,,$AH627), 1 / ($BF$22:$BF$60*CC627), N($AU$22:$AU$60&gt;$AM627)),
SUMPRODUCT(INDEX($AV$22:$AX$45,,$AI627), INDEX($AY$22:$BE$45,,$AH627), 1 / ($BG$22:$BG$45*CC627), N($AU$22:$AU$45&gt;$AM627))
) / 1000</f>
        <v>0</v>
      </c>
      <c r="CF627" s="229">
        <f t="shared" si="722"/>
        <v>0</v>
      </c>
      <c r="CG627" s="246"/>
      <c r="CH627" s="229">
        <f t="shared" si="723"/>
        <v>0</v>
      </c>
      <c r="CI627" s="228">
        <v>35</v>
      </c>
      <c r="CJ627" s="229">
        <f t="shared" si="724"/>
        <v>48</v>
      </c>
      <c r="CK627" s="234">
        <f t="shared" si="725"/>
        <v>3.0748170731707316</v>
      </c>
      <c r="CL627" s="234" cm="1">
        <f t="array" ref="CL627">$BM627 * SUMPRODUCT(INDEX($AV$76:$AX$81,,$AI627),INDEX($AY$76:$BE$81,,$AH627), N($AU$76:$AU$81&gt;$AM627)) / CK627 / 1000</f>
        <v>0</v>
      </c>
      <c r="CM627" s="231">
        <f t="shared" si="743"/>
        <v>30</v>
      </c>
      <c r="CN627" s="229">
        <f t="shared" si="726"/>
        <v>43</v>
      </c>
      <c r="CO627" s="234">
        <f t="shared" si="727"/>
        <v>3.5018750000000001</v>
      </c>
      <c r="CP627" s="234" cm="1">
        <f t="array" ref="CP627">$BM627 * IF($AH627&lt;=2,
SUMPRODUCT(INDEX($AV$71:$AX$75,,$AI627), INDEX($AY$71:$BE$75,,$AH627), 1 / ($BF$71:$BF$75*CO627 + (1-$BF$71:$BF$75)*CK627), N($AU$71:$AU$75&gt;$AM627)),
SUMPRODUCT(INDEX($AV$66:$AX$75,,$AI627), INDEX($AY$66:$BE$75,,$AH627), 1 / ($BG$66:$BG$75*CO627 + (1-$BG$66:$BG$75)*CK627), N($AU$66:$AU$75&gt;$AM627))
) / 1000</f>
        <v>0</v>
      </c>
      <c r="CQ627" s="231">
        <f t="shared" si="744"/>
        <v>25</v>
      </c>
      <c r="CR627" s="229">
        <f t="shared" si="728"/>
        <v>38</v>
      </c>
      <c r="CS627" s="234">
        <f t="shared" si="729"/>
        <v>4.0666935483870965</v>
      </c>
      <c r="CT627" s="234" cm="1">
        <f t="array" ref="CT627">$BM627 * IF($AH627&lt;=2,
SUMPRODUCT(INDEX($AV$66:$AX$70,,$AI627), INDEX($AY$66:$BE$70,,$AH627), 1 / ($BF$66:$BF$70*CS627 + (1-$BF$66:$BF$70)*CO627), N($AU$66:$AU$70&gt;$AM627)),
SUMPRODUCT(INDEX($AV$56:$AX$65,,$AI627), INDEX($AY$56:$BE$65,,$AH627), 1 / ($BG$56:$BG$65*CS627 + (1-$BG$56:$BG$65)*CO627), N($AU$56:$AU$65&gt;$AM627))
) / 1000</f>
        <v>0</v>
      </c>
      <c r="CU627" s="231">
        <f t="shared" si="745"/>
        <v>20</v>
      </c>
      <c r="CV627" s="229">
        <f t="shared" si="730"/>
        <v>33</v>
      </c>
      <c r="CW627" s="234">
        <f t="shared" si="731"/>
        <v>4.8487499999999999</v>
      </c>
      <c r="CX627" s="234" cm="1">
        <f t="array" ref="CX627">$BM627 * IF($AH627&lt;=2,
SUMPRODUCT(INDEX($AV$61:$AX$65,,$AI627), INDEX($AY$61:$BE$65,,$AH627), 1 / ($BF$61:$BF$65*CW627 + (1-$BF$61:$BF$65)*CS627), N($AU$61:$AU$65&gt;$AM627)),
SUMPRODUCT(INDEX($AV$46:$AX$55,,$AI627), INDEX($AY$46:$BE$55,,$AH627), 1 / ($BG$46:$BG$55*CW627 + (1-$BG$46:$BG$55)*CS627), N($AU$46:$AU$55&gt;$AM627))
) / 1000</f>
        <v>0</v>
      </c>
      <c r="CY627" s="234" cm="1">
        <f t="array" ref="CY627">$BM627 * IF($AH627&lt;=2,
SUMPRODUCT(INDEX($AV$22:$AX$60,,$AI627), INDEX($AY$22:$BE$60,,$AH627), 1 / ($BF$22:$BF$60*CW627), N($AU$22:$AU$60&gt;$AM627)),
SUMPRODUCT(INDEX($AV$22:$AX$45,,$AI627), INDEX($AY$22:$BE$45,,$AH627), 1 / ($BG$22:$BG$45*CW627), N($AU$22:$AU$45&gt;$AM627))
) / 1000</f>
        <v>0</v>
      </c>
      <c r="CZ627" s="229">
        <f t="shared" si="732"/>
        <v>0</v>
      </c>
      <c r="DA627" s="246"/>
    </row>
    <row r="628" spans="1:105" s="75" customFormat="1" ht="14.25" customHeight="1" x14ac:dyDescent="0.2">
      <c r="A628" s="230" t="b">
        <f t="shared" si="737"/>
        <v>0</v>
      </c>
      <c r="B628" s="253">
        <v>607</v>
      </c>
      <c r="C628" s="266"/>
      <c r="D628" s="266"/>
      <c r="E628" s="254"/>
      <c r="F628" s="255" t="str">
        <f>IF(ISBLANK(E628), "", VLOOKUP(E628, Z!$A$2:$C$4127, 3, FALSE))</f>
        <v/>
      </c>
      <c r="G628" s="256"/>
      <c r="H628" s="256"/>
      <c r="I628" s="256"/>
      <c r="J628" s="257"/>
      <c r="K628" s="258"/>
      <c r="L628" s="267"/>
      <c r="M628" s="268"/>
      <c r="N628" s="259" t="str" cm="1">
        <f t="array" ref="N628">IF($L628&gt;0, INDEX(Clean,1+AK628,$D$1), "")</f>
        <v/>
      </c>
      <c r="O628" s="260"/>
      <c r="P628" s="260"/>
      <c r="Q628" s="261"/>
      <c r="R628" s="264">
        <f t="shared" si="708"/>
        <v>0</v>
      </c>
      <c r="S628" s="259" t="str" cm="1">
        <f t="array" ref="S628">IF($L628&gt;0, INDEX(Clean,1+AL628,$D$1), "")</f>
        <v/>
      </c>
      <c r="T628" s="260"/>
      <c r="U628" s="260"/>
      <c r="V628" s="261"/>
      <c r="W628" s="267"/>
      <c r="X628" s="267"/>
      <c r="Y628" s="257"/>
      <c r="Z628" s="264">
        <f t="shared" si="709"/>
        <v>0</v>
      </c>
      <c r="AA628" s="269"/>
      <c r="AB628" s="266"/>
      <c r="AC628" s="254"/>
      <c r="AD628" s="255" t="str">
        <f>IF(ISBLANK(AC628), "", VLOOKUP(AC628, Z!$A$2:$C$4127, 3, FALSE))</f>
        <v/>
      </c>
      <c r="AE628" s="270"/>
      <c r="AF628" s="265">
        <f t="shared" si="710"/>
        <v>0</v>
      </c>
      <c r="AG628" s="246"/>
      <c r="AH628" s="228">
        <f t="shared" si="733"/>
        <v>1</v>
      </c>
      <c r="AI628" s="228">
        <f t="shared" si="734"/>
        <v>1</v>
      </c>
      <c r="AJ628" s="228">
        <f t="shared" si="735"/>
        <v>0</v>
      </c>
      <c r="AK628" s="228">
        <v>0</v>
      </c>
      <c r="AL628" s="228">
        <v>0</v>
      </c>
      <c r="AM628" s="228">
        <f t="shared" si="711"/>
        <v>-100</v>
      </c>
      <c r="AN628" s="228" cm="1">
        <f t="array" ref="AN628">IF(ISBLANK(G628), 1, IFERROR(MATCH(G628, INDEX(Kat,,1), 0), IFERROR(MATCH(Kat, INDEX(Use,,2), 0), MATCH(Kat, INDEX(Use,,3), 0))))</f>
        <v>1</v>
      </c>
      <c r="AO628" s="246"/>
      <c r="AP628" s="228" cm="1">
        <f t="array" ref="AP628">IF(W628&gt;0, INDEX(Kat, AN628,4), 0)</f>
        <v>0</v>
      </c>
      <c r="AQ628" s="228">
        <f t="shared" si="736"/>
        <v>0</v>
      </c>
      <c r="AR628" s="228" cm="1">
        <f t="array" ref="AR628">IF(X628&gt;0, INDEX(Kat, $AN628, 4+AQ628), 0)</f>
        <v>0</v>
      </c>
      <c r="AS628" s="228" cm="1">
        <f t="array" ref="AS628">IF(X628&gt;0, INDEX(Kat, $AN628, 9+AQ628), 0)</f>
        <v>0</v>
      </c>
      <c r="AT628" s="246"/>
      <c r="AU628" s="262"/>
      <c r="AV628" s="262"/>
      <c r="AW628" s="263"/>
      <c r="AX628" s="263"/>
      <c r="AY628" s="263"/>
      <c r="AZ628" s="263"/>
      <c r="BA628" s="263"/>
      <c r="BB628" s="263"/>
      <c r="BC628" s="263"/>
      <c r="BD628" s="263"/>
      <c r="BE628" s="263"/>
      <c r="BF628" s="263"/>
      <c r="BG628" s="263"/>
      <c r="BH628" s="246"/>
      <c r="BI628" s="228" cm="1">
        <f t="array" ref="BI628">INDEX(Use, $AH628, 4)</f>
        <v>7</v>
      </c>
      <c r="BJ628" s="228">
        <f t="shared" si="712"/>
        <v>32</v>
      </c>
      <c r="BK628" s="228">
        <f t="shared" si="738"/>
        <v>13</v>
      </c>
      <c r="BL628" s="228">
        <f t="shared" si="739"/>
        <v>0</v>
      </c>
      <c r="BM628" s="233" cm="1">
        <f t="array" ref="BM628">L628/IF($M628&gt;0, INDEX($AY$22:$BE$76, $M628+20, $AH628), 1)</f>
        <v>0</v>
      </c>
      <c r="BN628" s="229">
        <f t="shared" si="713"/>
        <v>0</v>
      </c>
      <c r="BO628" s="228">
        <v>35</v>
      </c>
      <c r="BP628" s="229">
        <f t="shared" si="714"/>
        <v>48</v>
      </c>
      <c r="BQ628" s="234">
        <f t="shared" si="715"/>
        <v>3.0748170731707316</v>
      </c>
      <c r="BR628" s="234" cm="1">
        <f t="array" ref="BR628">$BM628 * SUMPRODUCT(INDEX($AV$76:$AX$81,,$AI628),INDEX($AY$76:$BE$81,,$AH628), N($AU$76:$AU$81&gt;$AM628)) / BQ628 / 1000</f>
        <v>0</v>
      </c>
      <c r="BS628" s="231">
        <f t="shared" si="740"/>
        <v>30</v>
      </c>
      <c r="BT628" s="229">
        <f t="shared" si="716"/>
        <v>43</v>
      </c>
      <c r="BU628" s="234">
        <f t="shared" si="717"/>
        <v>3.5018750000000001</v>
      </c>
      <c r="BV628" s="234" cm="1">
        <f t="array" ref="BV628">$BM628 * IF($AH628&lt;=2,
SUMPRODUCT(INDEX($AV$71:$AX$75,,$AI628), INDEX($AY$71:$BE$75,,$AH628), 1 / ($BF$71:$BF$75*BU628 + (1-$BF$71:$BF$75)*BQ628), N($AU$71:$AU$75&gt;$AM628)),
SUMPRODUCT(INDEX($AV$66:$AX$75,,$AI628), INDEX($AY$66:$BE$75,,$AH628), 1 / ($BG$66:$BG$75*BU628 + (1-$BG$66:$BG$75)*BQ628), N($AU$66:$AU$75&gt;$AM628))
) / 1000</f>
        <v>0</v>
      </c>
      <c r="BW628" s="231">
        <f t="shared" si="741"/>
        <v>25</v>
      </c>
      <c r="BX628" s="229">
        <f t="shared" si="718"/>
        <v>38</v>
      </c>
      <c r="BY628" s="234">
        <f t="shared" si="719"/>
        <v>4.0666935483870965</v>
      </c>
      <c r="BZ628" s="234" cm="1">
        <f t="array" ref="BZ628">$BM628 * IF($AH628&lt;=2,
SUMPRODUCT(INDEX($AV$66:$AX$70,,$AI628), INDEX($AY$66:$BE$70,,$AH628), 1 / ($BF$66:$BF$70*BY628 + (1-$BF$66:$BF$70)*BU628), N($AU$66:$AU$70&gt;$AM628)),
SUMPRODUCT(INDEX($AV$56:$AX$65,,$AI628), INDEX($AY$56:$BE$65,,$AH628), 1 / ($BG$56:$BG$65*BY628 + (1-$BG$56:$BG$65)*BU628), N($AU$56:$AU$65&gt;$AM628))
) / 1000</f>
        <v>0</v>
      </c>
      <c r="CA628" s="231">
        <f t="shared" si="742"/>
        <v>20</v>
      </c>
      <c r="CB628" s="229">
        <f t="shared" si="720"/>
        <v>33</v>
      </c>
      <c r="CC628" s="234">
        <f t="shared" si="721"/>
        <v>4.8487499999999999</v>
      </c>
      <c r="CD628" s="234" cm="1">
        <f t="array" ref="CD628">$BM628 * IF($AH628&lt;=2,
SUMPRODUCT(INDEX($AV$61:$AX$65,,$AI628), INDEX($AY$61:$BE$65,,$AH628), 1 / ($BF$61:$BF$65*CC628 + (1-$BF$61:$BF$65)*BY628), N($AU$61:$AU$65&gt;$AM628)),
SUMPRODUCT(INDEX($AV$46:$AX$55,,$AI628), INDEX($AY$46:$BE$55,,$AH628), 1 / ($BG$46:$BG$55*CC628 + (1-$BG$46:$BG$55)*BY628), N($AU$46:$AU$55&gt;$AM628))
) / 1000</f>
        <v>0</v>
      </c>
      <c r="CE628" s="234" cm="1">
        <f t="array" ref="CE628">$BM628 * IF($AH628&lt;=2,
SUMPRODUCT(INDEX($AV$22:$AX$60,,$AI628), INDEX($AY$22:$BE$60,,$AH628), 1 / ($BF$22:$BF$60*CC628), N($AU$22:$AU$60&gt;$AM628)),
SUMPRODUCT(INDEX($AV$22:$AX$45,,$AI628), INDEX($AY$22:$BE$45,,$AH628), 1 / ($BG$22:$BG$45*CC628), N($AU$22:$AU$45&gt;$AM628))
) / 1000</f>
        <v>0</v>
      </c>
      <c r="CF628" s="229">
        <f t="shared" si="722"/>
        <v>0</v>
      </c>
      <c r="CG628" s="246"/>
      <c r="CH628" s="229">
        <f t="shared" si="723"/>
        <v>0</v>
      </c>
      <c r="CI628" s="228">
        <v>35</v>
      </c>
      <c r="CJ628" s="229">
        <f t="shared" si="724"/>
        <v>48</v>
      </c>
      <c r="CK628" s="234">
        <f t="shared" si="725"/>
        <v>3.0748170731707316</v>
      </c>
      <c r="CL628" s="234" cm="1">
        <f t="array" ref="CL628">$BM628 * SUMPRODUCT(INDEX($AV$76:$AX$81,,$AI628),INDEX($AY$76:$BE$81,,$AH628), N($AU$76:$AU$81&gt;$AM628)) / CK628 / 1000</f>
        <v>0</v>
      </c>
      <c r="CM628" s="231">
        <f t="shared" si="743"/>
        <v>30</v>
      </c>
      <c r="CN628" s="229">
        <f t="shared" si="726"/>
        <v>43</v>
      </c>
      <c r="CO628" s="234">
        <f t="shared" si="727"/>
        <v>3.5018750000000001</v>
      </c>
      <c r="CP628" s="234" cm="1">
        <f t="array" ref="CP628">$BM628 * IF($AH628&lt;=2,
SUMPRODUCT(INDEX($AV$71:$AX$75,,$AI628), INDEX($AY$71:$BE$75,,$AH628), 1 / ($BF$71:$BF$75*CO628 + (1-$BF$71:$BF$75)*CK628), N($AU$71:$AU$75&gt;$AM628)),
SUMPRODUCT(INDEX($AV$66:$AX$75,,$AI628), INDEX($AY$66:$BE$75,,$AH628), 1 / ($BG$66:$BG$75*CO628 + (1-$BG$66:$BG$75)*CK628), N($AU$66:$AU$75&gt;$AM628))
) / 1000</f>
        <v>0</v>
      </c>
      <c r="CQ628" s="231">
        <f t="shared" si="744"/>
        <v>25</v>
      </c>
      <c r="CR628" s="229">
        <f t="shared" si="728"/>
        <v>38</v>
      </c>
      <c r="CS628" s="234">
        <f t="shared" si="729"/>
        <v>4.0666935483870965</v>
      </c>
      <c r="CT628" s="234" cm="1">
        <f t="array" ref="CT628">$BM628 * IF($AH628&lt;=2,
SUMPRODUCT(INDEX($AV$66:$AX$70,,$AI628), INDEX($AY$66:$BE$70,,$AH628), 1 / ($BF$66:$BF$70*CS628 + (1-$BF$66:$BF$70)*CO628), N($AU$66:$AU$70&gt;$AM628)),
SUMPRODUCT(INDEX($AV$56:$AX$65,,$AI628), INDEX($AY$56:$BE$65,,$AH628), 1 / ($BG$56:$BG$65*CS628 + (1-$BG$56:$BG$65)*CO628), N($AU$56:$AU$65&gt;$AM628))
) / 1000</f>
        <v>0</v>
      </c>
      <c r="CU628" s="231">
        <f t="shared" si="745"/>
        <v>20</v>
      </c>
      <c r="CV628" s="229">
        <f t="shared" si="730"/>
        <v>33</v>
      </c>
      <c r="CW628" s="234">
        <f t="shared" si="731"/>
        <v>4.8487499999999999</v>
      </c>
      <c r="CX628" s="234" cm="1">
        <f t="array" ref="CX628">$BM628 * IF($AH628&lt;=2,
SUMPRODUCT(INDEX($AV$61:$AX$65,,$AI628), INDEX($AY$61:$BE$65,,$AH628), 1 / ($BF$61:$BF$65*CW628 + (1-$BF$61:$BF$65)*CS628), N($AU$61:$AU$65&gt;$AM628)),
SUMPRODUCT(INDEX($AV$46:$AX$55,,$AI628), INDEX($AY$46:$BE$55,,$AH628), 1 / ($BG$46:$BG$55*CW628 + (1-$BG$46:$BG$55)*CS628), N($AU$46:$AU$55&gt;$AM628))
) / 1000</f>
        <v>0</v>
      </c>
      <c r="CY628" s="234" cm="1">
        <f t="array" ref="CY628">$BM628 * IF($AH628&lt;=2,
SUMPRODUCT(INDEX($AV$22:$AX$60,,$AI628), INDEX($AY$22:$BE$60,,$AH628), 1 / ($BF$22:$BF$60*CW628), N($AU$22:$AU$60&gt;$AM628)),
SUMPRODUCT(INDEX($AV$22:$AX$45,,$AI628), INDEX($AY$22:$BE$45,,$AH628), 1 / ($BG$22:$BG$45*CW628), N($AU$22:$AU$45&gt;$AM628))
) / 1000</f>
        <v>0</v>
      </c>
      <c r="CZ628" s="229">
        <f t="shared" si="732"/>
        <v>0</v>
      </c>
      <c r="DA628" s="246"/>
    </row>
    <row r="629" spans="1:105" s="75" customFormat="1" ht="14.25" customHeight="1" x14ac:dyDescent="0.2">
      <c r="A629" s="230" t="b">
        <f t="shared" si="737"/>
        <v>0</v>
      </c>
      <c r="B629" s="253">
        <v>608</v>
      </c>
      <c r="C629" s="266"/>
      <c r="D629" s="266"/>
      <c r="E629" s="254"/>
      <c r="F629" s="255" t="str">
        <f>IF(ISBLANK(E629), "", VLOOKUP(E629, Z!$A$2:$C$4127, 3, FALSE))</f>
        <v/>
      </c>
      <c r="G629" s="256"/>
      <c r="H629" s="256"/>
      <c r="I629" s="256"/>
      <c r="J629" s="257"/>
      <c r="K629" s="258"/>
      <c r="L629" s="267"/>
      <c r="M629" s="268"/>
      <c r="N629" s="259" t="str" cm="1">
        <f t="array" ref="N629">IF($L629&gt;0, INDEX(Clean,1+AK629,$D$1), "")</f>
        <v/>
      </c>
      <c r="O629" s="260"/>
      <c r="P629" s="260"/>
      <c r="Q629" s="261"/>
      <c r="R629" s="264">
        <f t="shared" si="708"/>
        <v>0</v>
      </c>
      <c r="S629" s="259" t="str" cm="1">
        <f t="array" ref="S629">IF($L629&gt;0, INDEX(Clean,1+AL629,$D$1), "")</f>
        <v/>
      </c>
      <c r="T629" s="260"/>
      <c r="U629" s="260"/>
      <c r="V629" s="261"/>
      <c r="W629" s="267"/>
      <c r="X629" s="267"/>
      <c r="Y629" s="257"/>
      <c r="Z629" s="264">
        <f t="shared" si="709"/>
        <v>0</v>
      </c>
      <c r="AA629" s="269"/>
      <c r="AB629" s="266"/>
      <c r="AC629" s="254"/>
      <c r="AD629" s="255" t="str">
        <f>IF(ISBLANK(AC629), "", VLOOKUP(AC629, Z!$A$2:$C$4127, 3, FALSE))</f>
        <v/>
      </c>
      <c r="AE629" s="270"/>
      <c r="AF629" s="265">
        <f t="shared" si="710"/>
        <v>0</v>
      </c>
      <c r="AG629" s="246"/>
      <c r="AH629" s="228">
        <f t="shared" si="733"/>
        <v>1</v>
      </c>
      <c r="AI629" s="228">
        <f t="shared" si="734"/>
        <v>1</v>
      </c>
      <c r="AJ629" s="228">
        <f t="shared" si="735"/>
        <v>0</v>
      </c>
      <c r="AK629" s="228">
        <v>0</v>
      </c>
      <c r="AL629" s="228">
        <v>0</v>
      </c>
      <c r="AM629" s="228">
        <f t="shared" si="711"/>
        <v>-100</v>
      </c>
      <c r="AN629" s="228" cm="1">
        <f t="array" ref="AN629">IF(ISBLANK(G629), 1, IFERROR(MATCH(G629, INDEX(Kat,,1), 0), IFERROR(MATCH(Kat, INDEX(Use,,2), 0), MATCH(Kat, INDEX(Use,,3), 0))))</f>
        <v>1</v>
      </c>
      <c r="AO629" s="246"/>
      <c r="AP629" s="228" cm="1">
        <f t="array" ref="AP629">IF(W629&gt;0, INDEX(Kat, AN629,4), 0)</f>
        <v>0</v>
      </c>
      <c r="AQ629" s="228">
        <f t="shared" si="736"/>
        <v>0</v>
      </c>
      <c r="AR629" s="228" cm="1">
        <f t="array" ref="AR629">IF(X629&gt;0, INDEX(Kat, $AN629, 4+AQ629), 0)</f>
        <v>0</v>
      </c>
      <c r="AS629" s="228" cm="1">
        <f t="array" ref="AS629">IF(X629&gt;0, INDEX(Kat, $AN629, 9+AQ629), 0)</f>
        <v>0</v>
      </c>
      <c r="AT629" s="246"/>
      <c r="AU629" s="262"/>
      <c r="AV629" s="262"/>
      <c r="AW629" s="263"/>
      <c r="AX629" s="263"/>
      <c r="AY629" s="263"/>
      <c r="AZ629" s="263"/>
      <c r="BA629" s="263"/>
      <c r="BB629" s="263"/>
      <c r="BC629" s="263"/>
      <c r="BD629" s="263"/>
      <c r="BE629" s="263"/>
      <c r="BF629" s="263"/>
      <c r="BG629" s="263"/>
      <c r="BH629" s="246"/>
      <c r="BI629" s="228" cm="1">
        <f t="array" ref="BI629">INDEX(Use, $AH629, 4)</f>
        <v>7</v>
      </c>
      <c r="BJ629" s="228">
        <f t="shared" si="712"/>
        <v>32</v>
      </c>
      <c r="BK629" s="228">
        <f t="shared" si="738"/>
        <v>13</v>
      </c>
      <c r="BL629" s="228">
        <f t="shared" si="739"/>
        <v>0</v>
      </c>
      <c r="BM629" s="233" cm="1">
        <f t="array" ref="BM629">L629/IF($M629&gt;0, INDEX($AY$22:$BE$76, $M629+20, $AH629), 1)</f>
        <v>0</v>
      </c>
      <c r="BN629" s="229">
        <f t="shared" si="713"/>
        <v>0</v>
      </c>
      <c r="BO629" s="228">
        <v>35</v>
      </c>
      <c r="BP629" s="229">
        <f t="shared" si="714"/>
        <v>48</v>
      </c>
      <c r="BQ629" s="234">
        <f t="shared" si="715"/>
        <v>3.0748170731707316</v>
      </c>
      <c r="BR629" s="234" cm="1">
        <f t="array" ref="BR629">$BM629 * SUMPRODUCT(INDEX($AV$76:$AX$81,,$AI629),INDEX($AY$76:$BE$81,,$AH629), N($AU$76:$AU$81&gt;$AM629)) / BQ629 / 1000</f>
        <v>0</v>
      </c>
      <c r="BS629" s="231">
        <f t="shared" si="740"/>
        <v>30</v>
      </c>
      <c r="BT629" s="229">
        <f t="shared" si="716"/>
        <v>43</v>
      </c>
      <c r="BU629" s="234">
        <f t="shared" si="717"/>
        <v>3.5018750000000001</v>
      </c>
      <c r="BV629" s="234" cm="1">
        <f t="array" ref="BV629">$BM629 * IF($AH629&lt;=2,
SUMPRODUCT(INDEX($AV$71:$AX$75,,$AI629), INDEX($AY$71:$BE$75,,$AH629), 1 / ($BF$71:$BF$75*BU629 + (1-$BF$71:$BF$75)*BQ629), N($AU$71:$AU$75&gt;$AM629)),
SUMPRODUCT(INDEX($AV$66:$AX$75,,$AI629), INDEX($AY$66:$BE$75,,$AH629), 1 / ($BG$66:$BG$75*BU629 + (1-$BG$66:$BG$75)*BQ629), N($AU$66:$AU$75&gt;$AM629))
) / 1000</f>
        <v>0</v>
      </c>
      <c r="BW629" s="231">
        <f t="shared" si="741"/>
        <v>25</v>
      </c>
      <c r="BX629" s="229">
        <f t="shared" si="718"/>
        <v>38</v>
      </c>
      <c r="BY629" s="234">
        <f t="shared" si="719"/>
        <v>4.0666935483870965</v>
      </c>
      <c r="BZ629" s="234" cm="1">
        <f t="array" ref="BZ629">$BM629 * IF($AH629&lt;=2,
SUMPRODUCT(INDEX($AV$66:$AX$70,,$AI629), INDEX($AY$66:$BE$70,,$AH629), 1 / ($BF$66:$BF$70*BY629 + (1-$BF$66:$BF$70)*BU629), N($AU$66:$AU$70&gt;$AM629)),
SUMPRODUCT(INDEX($AV$56:$AX$65,,$AI629), INDEX($AY$56:$BE$65,,$AH629), 1 / ($BG$56:$BG$65*BY629 + (1-$BG$56:$BG$65)*BU629), N($AU$56:$AU$65&gt;$AM629))
) / 1000</f>
        <v>0</v>
      </c>
      <c r="CA629" s="231">
        <f t="shared" si="742"/>
        <v>20</v>
      </c>
      <c r="CB629" s="229">
        <f t="shared" si="720"/>
        <v>33</v>
      </c>
      <c r="CC629" s="234">
        <f t="shared" si="721"/>
        <v>4.8487499999999999</v>
      </c>
      <c r="CD629" s="234" cm="1">
        <f t="array" ref="CD629">$BM629 * IF($AH629&lt;=2,
SUMPRODUCT(INDEX($AV$61:$AX$65,,$AI629), INDEX($AY$61:$BE$65,,$AH629), 1 / ($BF$61:$BF$65*CC629 + (1-$BF$61:$BF$65)*BY629), N($AU$61:$AU$65&gt;$AM629)),
SUMPRODUCT(INDEX($AV$46:$AX$55,,$AI629), INDEX($AY$46:$BE$55,,$AH629), 1 / ($BG$46:$BG$55*CC629 + (1-$BG$46:$BG$55)*BY629), N($AU$46:$AU$55&gt;$AM629))
) / 1000</f>
        <v>0</v>
      </c>
      <c r="CE629" s="234" cm="1">
        <f t="array" ref="CE629">$BM629 * IF($AH629&lt;=2,
SUMPRODUCT(INDEX($AV$22:$AX$60,,$AI629), INDEX($AY$22:$BE$60,,$AH629), 1 / ($BF$22:$BF$60*CC629), N($AU$22:$AU$60&gt;$AM629)),
SUMPRODUCT(INDEX($AV$22:$AX$45,,$AI629), INDEX($AY$22:$BE$45,,$AH629), 1 / ($BG$22:$BG$45*CC629), N($AU$22:$AU$45&gt;$AM629))
) / 1000</f>
        <v>0</v>
      </c>
      <c r="CF629" s="229">
        <f t="shared" si="722"/>
        <v>0</v>
      </c>
      <c r="CG629" s="246"/>
      <c r="CH629" s="229">
        <f t="shared" si="723"/>
        <v>0</v>
      </c>
      <c r="CI629" s="228">
        <v>35</v>
      </c>
      <c r="CJ629" s="229">
        <f t="shared" si="724"/>
        <v>48</v>
      </c>
      <c r="CK629" s="234">
        <f t="shared" si="725"/>
        <v>3.0748170731707316</v>
      </c>
      <c r="CL629" s="234" cm="1">
        <f t="array" ref="CL629">$BM629 * SUMPRODUCT(INDEX($AV$76:$AX$81,,$AI629),INDEX($AY$76:$BE$81,,$AH629), N($AU$76:$AU$81&gt;$AM629)) / CK629 / 1000</f>
        <v>0</v>
      </c>
      <c r="CM629" s="231">
        <f t="shared" si="743"/>
        <v>30</v>
      </c>
      <c r="CN629" s="229">
        <f t="shared" si="726"/>
        <v>43</v>
      </c>
      <c r="CO629" s="234">
        <f t="shared" si="727"/>
        <v>3.5018750000000001</v>
      </c>
      <c r="CP629" s="234" cm="1">
        <f t="array" ref="CP629">$BM629 * IF($AH629&lt;=2,
SUMPRODUCT(INDEX($AV$71:$AX$75,,$AI629), INDEX($AY$71:$BE$75,,$AH629), 1 / ($BF$71:$BF$75*CO629 + (1-$BF$71:$BF$75)*CK629), N($AU$71:$AU$75&gt;$AM629)),
SUMPRODUCT(INDEX($AV$66:$AX$75,,$AI629), INDEX($AY$66:$BE$75,,$AH629), 1 / ($BG$66:$BG$75*CO629 + (1-$BG$66:$BG$75)*CK629), N($AU$66:$AU$75&gt;$AM629))
) / 1000</f>
        <v>0</v>
      </c>
      <c r="CQ629" s="231">
        <f t="shared" si="744"/>
        <v>25</v>
      </c>
      <c r="CR629" s="229">
        <f t="shared" si="728"/>
        <v>38</v>
      </c>
      <c r="CS629" s="234">
        <f t="shared" si="729"/>
        <v>4.0666935483870965</v>
      </c>
      <c r="CT629" s="234" cm="1">
        <f t="array" ref="CT629">$BM629 * IF($AH629&lt;=2,
SUMPRODUCT(INDEX($AV$66:$AX$70,,$AI629), INDEX($AY$66:$BE$70,,$AH629), 1 / ($BF$66:$BF$70*CS629 + (1-$BF$66:$BF$70)*CO629), N($AU$66:$AU$70&gt;$AM629)),
SUMPRODUCT(INDEX($AV$56:$AX$65,,$AI629), INDEX($AY$56:$BE$65,,$AH629), 1 / ($BG$56:$BG$65*CS629 + (1-$BG$56:$BG$65)*CO629), N($AU$56:$AU$65&gt;$AM629))
) / 1000</f>
        <v>0</v>
      </c>
      <c r="CU629" s="231">
        <f t="shared" si="745"/>
        <v>20</v>
      </c>
      <c r="CV629" s="229">
        <f t="shared" si="730"/>
        <v>33</v>
      </c>
      <c r="CW629" s="234">
        <f t="shared" si="731"/>
        <v>4.8487499999999999</v>
      </c>
      <c r="CX629" s="234" cm="1">
        <f t="array" ref="CX629">$BM629 * IF($AH629&lt;=2,
SUMPRODUCT(INDEX($AV$61:$AX$65,,$AI629), INDEX($AY$61:$BE$65,,$AH629), 1 / ($BF$61:$BF$65*CW629 + (1-$BF$61:$BF$65)*CS629), N($AU$61:$AU$65&gt;$AM629)),
SUMPRODUCT(INDEX($AV$46:$AX$55,,$AI629), INDEX($AY$46:$BE$55,,$AH629), 1 / ($BG$46:$BG$55*CW629 + (1-$BG$46:$BG$55)*CS629), N($AU$46:$AU$55&gt;$AM629))
) / 1000</f>
        <v>0</v>
      </c>
      <c r="CY629" s="234" cm="1">
        <f t="array" ref="CY629">$BM629 * IF($AH629&lt;=2,
SUMPRODUCT(INDEX($AV$22:$AX$60,,$AI629), INDEX($AY$22:$BE$60,,$AH629), 1 / ($BF$22:$BF$60*CW629), N($AU$22:$AU$60&gt;$AM629)),
SUMPRODUCT(INDEX($AV$22:$AX$45,,$AI629), INDEX($AY$22:$BE$45,,$AH629), 1 / ($BG$22:$BG$45*CW629), N($AU$22:$AU$45&gt;$AM629))
) / 1000</f>
        <v>0</v>
      </c>
      <c r="CZ629" s="229">
        <f t="shared" si="732"/>
        <v>0</v>
      </c>
      <c r="DA629" s="246"/>
    </row>
    <row r="630" spans="1:105" s="75" customFormat="1" ht="14.25" customHeight="1" x14ac:dyDescent="0.2">
      <c r="A630" s="230" t="b">
        <f t="shared" si="737"/>
        <v>0</v>
      </c>
      <c r="B630" s="253">
        <v>609</v>
      </c>
      <c r="C630" s="266"/>
      <c r="D630" s="266"/>
      <c r="E630" s="254"/>
      <c r="F630" s="255" t="str">
        <f>IF(ISBLANK(E630), "", VLOOKUP(E630, Z!$A$2:$C$4127, 3, FALSE))</f>
        <v/>
      </c>
      <c r="G630" s="256"/>
      <c r="H630" s="256"/>
      <c r="I630" s="256"/>
      <c r="J630" s="257"/>
      <c r="K630" s="258"/>
      <c r="L630" s="267"/>
      <c r="M630" s="268"/>
      <c r="N630" s="259" t="str" cm="1">
        <f t="array" ref="N630">IF($L630&gt;0, INDEX(Clean,1+AK630,$D$1), "")</f>
        <v/>
      </c>
      <c r="O630" s="260"/>
      <c r="P630" s="260"/>
      <c r="Q630" s="261"/>
      <c r="R630" s="264">
        <f t="shared" si="708"/>
        <v>0</v>
      </c>
      <c r="S630" s="259" t="str" cm="1">
        <f t="array" ref="S630">IF($L630&gt;0, INDEX(Clean,1+AL630,$D$1), "")</f>
        <v/>
      </c>
      <c r="T630" s="260"/>
      <c r="U630" s="260"/>
      <c r="V630" s="261"/>
      <c r="W630" s="267"/>
      <c r="X630" s="267"/>
      <c r="Y630" s="257"/>
      <c r="Z630" s="264">
        <f t="shared" si="709"/>
        <v>0</v>
      </c>
      <c r="AA630" s="269"/>
      <c r="AB630" s="266"/>
      <c r="AC630" s="254"/>
      <c r="AD630" s="255" t="str">
        <f>IF(ISBLANK(AC630), "", VLOOKUP(AC630, Z!$A$2:$C$4127, 3, FALSE))</f>
        <v/>
      </c>
      <c r="AE630" s="270"/>
      <c r="AF630" s="265">
        <f t="shared" si="710"/>
        <v>0</v>
      </c>
      <c r="AG630" s="246"/>
      <c r="AH630" s="228">
        <f t="shared" si="733"/>
        <v>1</v>
      </c>
      <c r="AI630" s="228">
        <f t="shared" si="734"/>
        <v>1</v>
      </c>
      <c r="AJ630" s="228">
        <f t="shared" si="735"/>
        <v>0</v>
      </c>
      <c r="AK630" s="228">
        <v>0</v>
      </c>
      <c r="AL630" s="228">
        <v>0</v>
      </c>
      <c r="AM630" s="228">
        <f t="shared" si="711"/>
        <v>-100</v>
      </c>
      <c r="AN630" s="228" cm="1">
        <f t="array" ref="AN630">IF(ISBLANK(G630), 1, IFERROR(MATCH(G630, INDEX(Kat,,1), 0), IFERROR(MATCH(Kat, INDEX(Use,,2), 0), MATCH(Kat, INDEX(Use,,3), 0))))</f>
        <v>1</v>
      </c>
      <c r="AO630" s="246"/>
      <c r="AP630" s="228" cm="1">
        <f t="array" ref="AP630">IF(W630&gt;0, INDEX(Kat, AN630,4), 0)</f>
        <v>0</v>
      </c>
      <c r="AQ630" s="228">
        <f t="shared" si="736"/>
        <v>0</v>
      </c>
      <c r="AR630" s="228" cm="1">
        <f t="array" ref="AR630">IF(X630&gt;0, INDEX(Kat, $AN630, 4+AQ630), 0)</f>
        <v>0</v>
      </c>
      <c r="AS630" s="228" cm="1">
        <f t="array" ref="AS630">IF(X630&gt;0, INDEX(Kat, $AN630, 9+AQ630), 0)</f>
        <v>0</v>
      </c>
      <c r="AT630" s="246"/>
      <c r="AU630" s="262"/>
      <c r="AV630" s="262"/>
      <c r="AW630" s="263"/>
      <c r="AX630" s="263"/>
      <c r="AY630" s="263"/>
      <c r="AZ630" s="263"/>
      <c r="BA630" s="263"/>
      <c r="BB630" s="263"/>
      <c r="BC630" s="263"/>
      <c r="BD630" s="263"/>
      <c r="BE630" s="263"/>
      <c r="BF630" s="263"/>
      <c r="BG630" s="263"/>
      <c r="BH630" s="246"/>
      <c r="BI630" s="228" cm="1">
        <f t="array" ref="BI630">INDEX(Use, $AH630, 4)</f>
        <v>7</v>
      </c>
      <c r="BJ630" s="228">
        <f t="shared" si="712"/>
        <v>32</v>
      </c>
      <c r="BK630" s="228">
        <f t="shared" si="738"/>
        <v>13</v>
      </c>
      <c r="BL630" s="228">
        <f t="shared" si="739"/>
        <v>0</v>
      </c>
      <c r="BM630" s="233" cm="1">
        <f t="array" ref="BM630">L630/IF($M630&gt;0, INDEX($AY$22:$BE$76, $M630+20, $AH630), 1)</f>
        <v>0</v>
      </c>
      <c r="BN630" s="229">
        <f t="shared" si="713"/>
        <v>0</v>
      </c>
      <c r="BO630" s="228">
        <v>35</v>
      </c>
      <c r="BP630" s="229">
        <f t="shared" si="714"/>
        <v>48</v>
      </c>
      <c r="BQ630" s="234">
        <f t="shared" si="715"/>
        <v>3.0748170731707316</v>
      </c>
      <c r="BR630" s="234" cm="1">
        <f t="array" ref="BR630">$BM630 * SUMPRODUCT(INDEX($AV$76:$AX$81,,$AI630),INDEX($AY$76:$BE$81,,$AH630), N($AU$76:$AU$81&gt;$AM630)) / BQ630 / 1000</f>
        <v>0</v>
      </c>
      <c r="BS630" s="231">
        <f t="shared" si="740"/>
        <v>30</v>
      </c>
      <c r="BT630" s="229">
        <f t="shared" si="716"/>
        <v>43</v>
      </c>
      <c r="BU630" s="234">
        <f t="shared" si="717"/>
        <v>3.5018750000000001</v>
      </c>
      <c r="BV630" s="234" cm="1">
        <f t="array" ref="BV630">$BM630 * IF($AH630&lt;=2,
SUMPRODUCT(INDEX($AV$71:$AX$75,,$AI630), INDEX($AY$71:$BE$75,,$AH630), 1 / ($BF$71:$BF$75*BU630 + (1-$BF$71:$BF$75)*BQ630), N($AU$71:$AU$75&gt;$AM630)),
SUMPRODUCT(INDEX($AV$66:$AX$75,,$AI630), INDEX($AY$66:$BE$75,,$AH630), 1 / ($BG$66:$BG$75*BU630 + (1-$BG$66:$BG$75)*BQ630), N($AU$66:$AU$75&gt;$AM630))
) / 1000</f>
        <v>0</v>
      </c>
      <c r="BW630" s="231">
        <f t="shared" si="741"/>
        <v>25</v>
      </c>
      <c r="BX630" s="229">
        <f t="shared" si="718"/>
        <v>38</v>
      </c>
      <c r="BY630" s="234">
        <f t="shared" si="719"/>
        <v>4.0666935483870965</v>
      </c>
      <c r="BZ630" s="234" cm="1">
        <f t="array" ref="BZ630">$BM630 * IF($AH630&lt;=2,
SUMPRODUCT(INDEX($AV$66:$AX$70,,$AI630), INDEX($AY$66:$BE$70,,$AH630), 1 / ($BF$66:$BF$70*BY630 + (1-$BF$66:$BF$70)*BU630), N($AU$66:$AU$70&gt;$AM630)),
SUMPRODUCT(INDEX($AV$56:$AX$65,,$AI630), INDEX($AY$56:$BE$65,,$AH630), 1 / ($BG$56:$BG$65*BY630 + (1-$BG$56:$BG$65)*BU630), N($AU$56:$AU$65&gt;$AM630))
) / 1000</f>
        <v>0</v>
      </c>
      <c r="CA630" s="231">
        <f t="shared" si="742"/>
        <v>20</v>
      </c>
      <c r="CB630" s="229">
        <f t="shared" si="720"/>
        <v>33</v>
      </c>
      <c r="CC630" s="234">
        <f t="shared" si="721"/>
        <v>4.8487499999999999</v>
      </c>
      <c r="CD630" s="234" cm="1">
        <f t="array" ref="CD630">$BM630 * IF($AH630&lt;=2,
SUMPRODUCT(INDEX($AV$61:$AX$65,,$AI630), INDEX($AY$61:$BE$65,,$AH630), 1 / ($BF$61:$BF$65*CC630 + (1-$BF$61:$BF$65)*BY630), N($AU$61:$AU$65&gt;$AM630)),
SUMPRODUCT(INDEX($AV$46:$AX$55,,$AI630), INDEX($AY$46:$BE$55,,$AH630), 1 / ($BG$46:$BG$55*CC630 + (1-$BG$46:$BG$55)*BY630), N($AU$46:$AU$55&gt;$AM630))
) / 1000</f>
        <v>0</v>
      </c>
      <c r="CE630" s="234" cm="1">
        <f t="array" ref="CE630">$BM630 * IF($AH630&lt;=2,
SUMPRODUCT(INDEX($AV$22:$AX$60,,$AI630), INDEX($AY$22:$BE$60,,$AH630), 1 / ($BF$22:$BF$60*CC630), N($AU$22:$AU$60&gt;$AM630)),
SUMPRODUCT(INDEX($AV$22:$AX$45,,$AI630), INDEX($AY$22:$BE$45,,$AH630), 1 / ($BG$22:$BG$45*CC630), N($AU$22:$AU$45&gt;$AM630))
) / 1000</f>
        <v>0</v>
      </c>
      <c r="CF630" s="229">
        <f t="shared" si="722"/>
        <v>0</v>
      </c>
      <c r="CG630" s="246"/>
      <c r="CH630" s="229">
        <f t="shared" si="723"/>
        <v>0</v>
      </c>
      <c r="CI630" s="228">
        <v>35</v>
      </c>
      <c r="CJ630" s="229">
        <f t="shared" si="724"/>
        <v>48</v>
      </c>
      <c r="CK630" s="234">
        <f t="shared" si="725"/>
        <v>3.0748170731707316</v>
      </c>
      <c r="CL630" s="234" cm="1">
        <f t="array" ref="CL630">$BM630 * SUMPRODUCT(INDEX($AV$76:$AX$81,,$AI630),INDEX($AY$76:$BE$81,,$AH630), N($AU$76:$AU$81&gt;$AM630)) / CK630 / 1000</f>
        <v>0</v>
      </c>
      <c r="CM630" s="231">
        <f t="shared" si="743"/>
        <v>30</v>
      </c>
      <c r="CN630" s="229">
        <f t="shared" si="726"/>
        <v>43</v>
      </c>
      <c r="CO630" s="234">
        <f t="shared" si="727"/>
        <v>3.5018750000000001</v>
      </c>
      <c r="CP630" s="234" cm="1">
        <f t="array" ref="CP630">$BM630 * IF($AH630&lt;=2,
SUMPRODUCT(INDEX($AV$71:$AX$75,,$AI630), INDEX($AY$71:$BE$75,,$AH630), 1 / ($BF$71:$BF$75*CO630 + (1-$BF$71:$BF$75)*CK630), N($AU$71:$AU$75&gt;$AM630)),
SUMPRODUCT(INDEX($AV$66:$AX$75,,$AI630), INDEX($AY$66:$BE$75,,$AH630), 1 / ($BG$66:$BG$75*CO630 + (1-$BG$66:$BG$75)*CK630), N($AU$66:$AU$75&gt;$AM630))
) / 1000</f>
        <v>0</v>
      </c>
      <c r="CQ630" s="231">
        <f t="shared" si="744"/>
        <v>25</v>
      </c>
      <c r="CR630" s="229">
        <f t="shared" si="728"/>
        <v>38</v>
      </c>
      <c r="CS630" s="234">
        <f t="shared" si="729"/>
        <v>4.0666935483870965</v>
      </c>
      <c r="CT630" s="234" cm="1">
        <f t="array" ref="CT630">$BM630 * IF($AH630&lt;=2,
SUMPRODUCT(INDEX($AV$66:$AX$70,,$AI630), INDEX($AY$66:$BE$70,,$AH630), 1 / ($BF$66:$BF$70*CS630 + (1-$BF$66:$BF$70)*CO630), N($AU$66:$AU$70&gt;$AM630)),
SUMPRODUCT(INDEX($AV$56:$AX$65,,$AI630), INDEX($AY$56:$BE$65,,$AH630), 1 / ($BG$56:$BG$65*CS630 + (1-$BG$56:$BG$65)*CO630), N($AU$56:$AU$65&gt;$AM630))
) / 1000</f>
        <v>0</v>
      </c>
      <c r="CU630" s="231">
        <f t="shared" si="745"/>
        <v>20</v>
      </c>
      <c r="CV630" s="229">
        <f t="shared" si="730"/>
        <v>33</v>
      </c>
      <c r="CW630" s="234">
        <f t="shared" si="731"/>
        <v>4.8487499999999999</v>
      </c>
      <c r="CX630" s="234" cm="1">
        <f t="array" ref="CX630">$BM630 * IF($AH630&lt;=2,
SUMPRODUCT(INDEX($AV$61:$AX$65,,$AI630), INDEX($AY$61:$BE$65,,$AH630), 1 / ($BF$61:$BF$65*CW630 + (1-$BF$61:$BF$65)*CS630), N($AU$61:$AU$65&gt;$AM630)),
SUMPRODUCT(INDEX($AV$46:$AX$55,,$AI630), INDEX($AY$46:$BE$55,,$AH630), 1 / ($BG$46:$BG$55*CW630 + (1-$BG$46:$BG$55)*CS630), N($AU$46:$AU$55&gt;$AM630))
) / 1000</f>
        <v>0</v>
      </c>
      <c r="CY630" s="234" cm="1">
        <f t="array" ref="CY630">$BM630 * IF($AH630&lt;=2,
SUMPRODUCT(INDEX($AV$22:$AX$60,,$AI630), INDEX($AY$22:$BE$60,,$AH630), 1 / ($BF$22:$BF$60*CW630), N($AU$22:$AU$60&gt;$AM630)),
SUMPRODUCT(INDEX($AV$22:$AX$45,,$AI630), INDEX($AY$22:$BE$45,,$AH630), 1 / ($BG$22:$BG$45*CW630), N($AU$22:$AU$45&gt;$AM630))
) / 1000</f>
        <v>0</v>
      </c>
      <c r="CZ630" s="229">
        <f t="shared" si="732"/>
        <v>0</v>
      </c>
      <c r="DA630" s="246"/>
    </row>
    <row r="631" spans="1:105" s="75" customFormat="1" ht="14.25" customHeight="1" x14ac:dyDescent="0.2">
      <c r="A631" s="230" t="b">
        <f t="shared" si="737"/>
        <v>0</v>
      </c>
      <c r="B631" s="253">
        <v>610</v>
      </c>
      <c r="C631" s="266"/>
      <c r="D631" s="266"/>
      <c r="E631" s="254"/>
      <c r="F631" s="255" t="str">
        <f>IF(ISBLANK(E631), "", VLOOKUP(E631, Z!$A$2:$C$4127, 3, FALSE))</f>
        <v/>
      </c>
      <c r="G631" s="256"/>
      <c r="H631" s="256"/>
      <c r="I631" s="256"/>
      <c r="J631" s="257"/>
      <c r="K631" s="258"/>
      <c r="L631" s="267"/>
      <c r="M631" s="268"/>
      <c r="N631" s="259" t="str" cm="1">
        <f t="array" ref="N631">IF($L631&gt;0, INDEX(Clean,1+AK631,$D$1), "")</f>
        <v/>
      </c>
      <c r="O631" s="260"/>
      <c r="P631" s="260"/>
      <c r="Q631" s="261"/>
      <c r="R631" s="264">
        <f t="shared" si="708"/>
        <v>0</v>
      </c>
      <c r="S631" s="259" t="str" cm="1">
        <f t="array" ref="S631">IF($L631&gt;0, INDEX(Clean,1+AL631,$D$1), "")</f>
        <v/>
      </c>
      <c r="T631" s="260"/>
      <c r="U631" s="260"/>
      <c r="V631" s="261"/>
      <c r="W631" s="267"/>
      <c r="X631" s="267"/>
      <c r="Y631" s="257"/>
      <c r="Z631" s="264">
        <f t="shared" si="709"/>
        <v>0</v>
      </c>
      <c r="AA631" s="269"/>
      <c r="AB631" s="266"/>
      <c r="AC631" s="254"/>
      <c r="AD631" s="255" t="str">
        <f>IF(ISBLANK(AC631), "", VLOOKUP(AC631, Z!$A$2:$C$4127, 3, FALSE))</f>
        <v/>
      </c>
      <c r="AE631" s="270"/>
      <c r="AF631" s="265">
        <f t="shared" si="710"/>
        <v>0</v>
      </c>
      <c r="AG631" s="246"/>
      <c r="AH631" s="228">
        <f t="shared" si="733"/>
        <v>1</v>
      </c>
      <c r="AI631" s="228">
        <f t="shared" si="734"/>
        <v>1</v>
      </c>
      <c r="AJ631" s="228">
        <f t="shared" si="735"/>
        <v>0</v>
      </c>
      <c r="AK631" s="228">
        <v>0</v>
      </c>
      <c r="AL631" s="228">
        <v>0</v>
      </c>
      <c r="AM631" s="228">
        <f t="shared" si="711"/>
        <v>-100</v>
      </c>
      <c r="AN631" s="228" cm="1">
        <f t="array" ref="AN631">IF(ISBLANK(G631), 1, IFERROR(MATCH(G631, INDEX(Kat,,1), 0), IFERROR(MATCH(Kat, INDEX(Use,,2), 0), MATCH(Kat, INDEX(Use,,3), 0))))</f>
        <v>1</v>
      </c>
      <c r="AO631" s="246"/>
      <c r="AP631" s="228" cm="1">
        <f t="array" ref="AP631">IF(W631&gt;0, INDEX(Kat, AN631,4), 0)</f>
        <v>0</v>
      </c>
      <c r="AQ631" s="228">
        <f t="shared" si="736"/>
        <v>0</v>
      </c>
      <c r="AR631" s="228" cm="1">
        <f t="array" ref="AR631">IF(X631&gt;0, INDEX(Kat, $AN631, 4+AQ631), 0)</f>
        <v>0</v>
      </c>
      <c r="AS631" s="228" cm="1">
        <f t="array" ref="AS631">IF(X631&gt;0, INDEX(Kat, $AN631, 9+AQ631), 0)</f>
        <v>0</v>
      </c>
      <c r="AT631" s="246"/>
      <c r="AU631" s="262"/>
      <c r="AV631" s="262"/>
      <c r="AW631" s="263"/>
      <c r="AX631" s="263"/>
      <c r="AY631" s="263"/>
      <c r="AZ631" s="263"/>
      <c r="BA631" s="263"/>
      <c r="BB631" s="263"/>
      <c r="BC631" s="263"/>
      <c r="BD631" s="263"/>
      <c r="BE631" s="263"/>
      <c r="BF631" s="263"/>
      <c r="BG631" s="263"/>
      <c r="BH631" s="246"/>
      <c r="BI631" s="228" cm="1">
        <f t="array" ref="BI631">INDEX(Use, $AH631, 4)</f>
        <v>7</v>
      </c>
      <c r="BJ631" s="228">
        <f t="shared" si="712"/>
        <v>32</v>
      </c>
      <c r="BK631" s="228">
        <f t="shared" si="738"/>
        <v>13</v>
      </c>
      <c r="BL631" s="228">
        <f t="shared" si="739"/>
        <v>0</v>
      </c>
      <c r="BM631" s="233" cm="1">
        <f t="array" ref="BM631">L631/IF($M631&gt;0, INDEX($AY$22:$BE$76, $M631+20, $AH631), 1)</f>
        <v>0</v>
      </c>
      <c r="BN631" s="229">
        <f t="shared" si="713"/>
        <v>0</v>
      </c>
      <c r="BO631" s="228">
        <v>35</v>
      </c>
      <c r="BP631" s="229">
        <f t="shared" si="714"/>
        <v>48</v>
      </c>
      <c r="BQ631" s="234">
        <f t="shared" si="715"/>
        <v>3.0748170731707316</v>
      </c>
      <c r="BR631" s="234" cm="1">
        <f t="array" ref="BR631">$BM631 * SUMPRODUCT(INDEX($AV$76:$AX$81,,$AI631),INDEX($AY$76:$BE$81,,$AH631), N($AU$76:$AU$81&gt;$AM631)) / BQ631 / 1000</f>
        <v>0</v>
      </c>
      <c r="BS631" s="231">
        <f t="shared" si="740"/>
        <v>30</v>
      </c>
      <c r="BT631" s="229">
        <f t="shared" si="716"/>
        <v>43</v>
      </c>
      <c r="BU631" s="234">
        <f t="shared" si="717"/>
        <v>3.5018750000000001</v>
      </c>
      <c r="BV631" s="234" cm="1">
        <f t="array" ref="BV631">$BM631 * IF($AH631&lt;=2,
SUMPRODUCT(INDEX($AV$71:$AX$75,,$AI631), INDEX($AY$71:$BE$75,,$AH631), 1 / ($BF$71:$BF$75*BU631 + (1-$BF$71:$BF$75)*BQ631), N($AU$71:$AU$75&gt;$AM631)),
SUMPRODUCT(INDEX($AV$66:$AX$75,,$AI631), INDEX($AY$66:$BE$75,,$AH631), 1 / ($BG$66:$BG$75*BU631 + (1-$BG$66:$BG$75)*BQ631), N($AU$66:$AU$75&gt;$AM631))
) / 1000</f>
        <v>0</v>
      </c>
      <c r="BW631" s="231">
        <f t="shared" si="741"/>
        <v>25</v>
      </c>
      <c r="BX631" s="229">
        <f t="shared" si="718"/>
        <v>38</v>
      </c>
      <c r="BY631" s="234">
        <f t="shared" si="719"/>
        <v>4.0666935483870965</v>
      </c>
      <c r="BZ631" s="234" cm="1">
        <f t="array" ref="BZ631">$BM631 * IF($AH631&lt;=2,
SUMPRODUCT(INDEX($AV$66:$AX$70,,$AI631), INDEX($AY$66:$BE$70,,$AH631), 1 / ($BF$66:$BF$70*BY631 + (1-$BF$66:$BF$70)*BU631), N($AU$66:$AU$70&gt;$AM631)),
SUMPRODUCT(INDEX($AV$56:$AX$65,,$AI631), INDEX($AY$56:$BE$65,,$AH631), 1 / ($BG$56:$BG$65*BY631 + (1-$BG$56:$BG$65)*BU631), N($AU$56:$AU$65&gt;$AM631))
) / 1000</f>
        <v>0</v>
      </c>
      <c r="CA631" s="231">
        <f t="shared" si="742"/>
        <v>20</v>
      </c>
      <c r="CB631" s="229">
        <f t="shared" si="720"/>
        <v>33</v>
      </c>
      <c r="CC631" s="234">
        <f t="shared" si="721"/>
        <v>4.8487499999999999</v>
      </c>
      <c r="CD631" s="234" cm="1">
        <f t="array" ref="CD631">$BM631 * IF($AH631&lt;=2,
SUMPRODUCT(INDEX($AV$61:$AX$65,,$AI631), INDEX($AY$61:$BE$65,,$AH631), 1 / ($BF$61:$BF$65*CC631 + (1-$BF$61:$BF$65)*BY631), N($AU$61:$AU$65&gt;$AM631)),
SUMPRODUCT(INDEX($AV$46:$AX$55,,$AI631), INDEX($AY$46:$BE$55,,$AH631), 1 / ($BG$46:$BG$55*CC631 + (1-$BG$46:$BG$55)*BY631), N($AU$46:$AU$55&gt;$AM631))
) / 1000</f>
        <v>0</v>
      </c>
      <c r="CE631" s="234" cm="1">
        <f t="array" ref="CE631">$BM631 * IF($AH631&lt;=2,
SUMPRODUCT(INDEX($AV$22:$AX$60,,$AI631), INDEX($AY$22:$BE$60,,$AH631), 1 / ($BF$22:$BF$60*CC631), N($AU$22:$AU$60&gt;$AM631)),
SUMPRODUCT(INDEX($AV$22:$AX$45,,$AI631), INDEX($AY$22:$BE$45,,$AH631), 1 / ($BG$22:$BG$45*CC631), N($AU$22:$AU$45&gt;$AM631))
) / 1000</f>
        <v>0</v>
      </c>
      <c r="CF631" s="229">
        <f t="shared" si="722"/>
        <v>0</v>
      </c>
      <c r="CG631" s="246"/>
      <c r="CH631" s="229">
        <f t="shared" si="723"/>
        <v>0</v>
      </c>
      <c r="CI631" s="228">
        <v>35</v>
      </c>
      <c r="CJ631" s="229">
        <f t="shared" si="724"/>
        <v>48</v>
      </c>
      <c r="CK631" s="234">
        <f t="shared" si="725"/>
        <v>3.0748170731707316</v>
      </c>
      <c r="CL631" s="234" cm="1">
        <f t="array" ref="CL631">$BM631 * SUMPRODUCT(INDEX($AV$76:$AX$81,,$AI631),INDEX($AY$76:$BE$81,,$AH631), N($AU$76:$AU$81&gt;$AM631)) / CK631 / 1000</f>
        <v>0</v>
      </c>
      <c r="CM631" s="231">
        <f t="shared" si="743"/>
        <v>30</v>
      </c>
      <c r="CN631" s="229">
        <f t="shared" si="726"/>
        <v>43</v>
      </c>
      <c r="CO631" s="234">
        <f t="shared" si="727"/>
        <v>3.5018750000000001</v>
      </c>
      <c r="CP631" s="234" cm="1">
        <f t="array" ref="CP631">$BM631 * IF($AH631&lt;=2,
SUMPRODUCT(INDEX($AV$71:$AX$75,,$AI631), INDEX($AY$71:$BE$75,,$AH631), 1 / ($BF$71:$BF$75*CO631 + (1-$BF$71:$BF$75)*CK631), N($AU$71:$AU$75&gt;$AM631)),
SUMPRODUCT(INDEX($AV$66:$AX$75,,$AI631), INDEX($AY$66:$BE$75,,$AH631), 1 / ($BG$66:$BG$75*CO631 + (1-$BG$66:$BG$75)*CK631), N($AU$66:$AU$75&gt;$AM631))
) / 1000</f>
        <v>0</v>
      </c>
      <c r="CQ631" s="231">
        <f t="shared" si="744"/>
        <v>25</v>
      </c>
      <c r="CR631" s="229">
        <f t="shared" si="728"/>
        <v>38</v>
      </c>
      <c r="CS631" s="234">
        <f t="shared" si="729"/>
        <v>4.0666935483870965</v>
      </c>
      <c r="CT631" s="234" cm="1">
        <f t="array" ref="CT631">$BM631 * IF($AH631&lt;=2,
SUMPRODUCT(INDEX($AV$66:$AX$70,,$AI631), INDEX($AY$66:$BE$70,,$AH631), 1 / ($BF$66:$BF$70*CS631 + (1-$BF$66:$BF$70)*CO631), N($AU$66:$AU$70&gt;$AM631)),
SUMPRODUCT(INDEX($AV$56:$AX$65,,$AI631), INDEX($AY$56:$BE$65,,$AH631), 1 / ($BG$56:$BG$65*CS631 + (1-$BG$56:$BG$65)*CO631), N($AU$56:$AU$65&gt;$AM631))
) / 1000</f>
        <v>0</v>
      </c>
      <c r="CU631" s="231">
        <f t="shared" si="745"/>
        <v>20</v>
      </c>
      <c r="CV631" s="229">
        <f t="shared" si="730"/>
        <v>33</v>
      </c>
      <c r="CW631" s="234">
        <f t="shared" si="731"/>
        <v>4.8487499999999999</v>
      </c>
      <c r="CX631" s="234" cm="1">
        <f t="array" ref="CX631">$BM631 * IF($AH631&lt;=2,
SUMPRODUCT(INDEX($AV$61:$AX$65,,$AI631), INDEX($AY$61:$BE$65,,$AH631), 1 / ($BF$61:$BF$65*CW631 + (1-$BF$61:$BF$65)*CS631), N($AU$61:$AU$65&gt;$AM631)),
SUMPRODUCT(INDEX($AV$46:$AX$55,,$AI631), INDEX($AY$46:$BE$55,,$AH631), 1 / ($BG$46:$BG$55*CW631 + (1-$BG$46:$BG$55)*CS631), N($AU$46:$AU$55&gt;$AM631))
) / 1000</f>
        <v>0</v>
      </c>
      <c r="CY631" s="234" cm="1">
        <f t="array" ref="CY631">$BM631 * IF($AH631&lt;=2,
SUMPRODUCT(INDEX($AV$22:$AX$60,,$AI631), INDEX($AY$22:$BE$60,,$AH631), 1 / ($BF$22:$BF$60*CW631), N($AU$22:$AU$60&gt;$AM631)),
SUMPRODUCT(INDEX($AV$22:$AX$45,,$AI631), INDEX($AY$22:$BE$45,,$AH631), 1 / ($BG$22:$BG$45*CW631), N($AU$22:$AU$45&gt;$AM631))
) / 1000</f>
        <v>0</v>
      </c>
      <c r="CZ631" s="229">
        <f t="shared" si="732"/>
        <v>0</v>
      </c>
      <c r="DA631" s="246"/>
    </row>
    <row r="632" spans="1:105" s="75" customFormat="1" ht="14.25" customHeight="1" x14ac:dyDescent="0.2">
      <c r="A632" s="230" t="b">
        <f t="shared" si="737"/>
        <v>0</v>
      </c>
      <c r="B632" s="253">
        <v>611</v>
      </c>
      <c r="C632" s="266"/>
      <c r="D632" s="266"/>
      <c r="E632" s="254"/>
      <c r="F632" s="255" t="str">
        <f>IF(ISBLANK(E632), "", VLOOKUP(E632, Z!$A$2:$C$4127, 3, FALSE))</f>
        <v/>
      </c>
      <c r="G632" s="256"/>
      <c r="H632" s="256"/>
      <c r="I632" s="256"/>
      <c r="J632" s="257"/>
      <c r="K632" s="258"/>
      <c r="L632" s="267"/>
      <c r="M632" s="268"/>
      <c r="N632" s="259" t="str" cm="1">
        <f t="array" ref="N632">IF($L632&gt;0, INDEX(Clean,1+AK632,$D$1), "")</f>
        <v/>
      </c>
      <c r="O632" s="260"/>
      <c r="P632" s="260"/>
      <c r="Q632" s="261"/>
      <c r="R632" s="264">
        <f t="shared" si="708"/>
        <v>0</v>
      </c>
      <c r="S632" s="259" t="str" cm="1">
        <f t="array" ref="S632">IF($L632&gt;0, INDEX(Clean,1+AL632,$D$1), "")</f>
        <v/>
      </c>
      <c r="T632" s="260"/>
      <c r="U632" s="260"/>
      <c r="V632" s="261"/>
      <c r="W632" s="267"/>
      <c r="X632" s="267"/>
      <c r="Y632" s="257"/>
      <c r="Z632" s="264">
        <f t="shared" si="709"/>
        <v>0</v>
      </c>
      <c r="AA632" s="269"/>
      <c r="AB632" s="266"/>
      <c r="AC632" s="254"/>
      <c r="AD632" s="255" t="str">
        <f>IF(ISBLANK(AC632), "", VLOOKUP(AC632, Z!$A$2:$C$4127, 3, FALSE))</f>
        <v/>
      </c>
      <c r="AE632" s="270"/>
      <c r="AF632" s="265">
        <f t="shared" si="710"/>
        <v>0</v>
      </c>
      <c r="AG632" s="246"/>
      <c r="AH632" s="228">
        <f t="shared" si="733"/>
        <v>1</v>
      </c>
      <c r="AI632" s="228">
        <f t="shared" si="734"/>
        <v>1</v>
      </c>
      <c r="AJ632" s="228">
        <f t="shared" si="735"/>
        <v>0</v>
      </c>
      <c r="AK632" s="228">
        <v>0</v>
      </c>
      <c r="AL632" s="228">
        <v>0</v>
      </c>
      <c r="AM632" s="228">
        <f t="shared" si="711"/>
        <v>-100</v>
      </c>
      <c r="AN632" s="228" cm="1">
        <f t="array" ref="AN632">IF(ISBLANK(G632), 1, IFERROR(MATCH(G632, INDEX(Kat,,1), 0), IFERROR(MATCH(Kat, INDEX(Use,,2), 0), MATCH(Kat, INDEX(Use,,3), 0))))</f>
        <v>1</v>
      </c>
      <c r="AO632" s="246"/>
      <c r="AP632" s="228" cm="1">
        <f t="array" ref="AP632">IF(W632&gt;0, INDEX(Kat, AN632,4), 0)</f>
        <v>0</v>
      </c>
      <c r="AQ632" s="228">
        <f t="shared" si="736"/>
        <v>0</v>
      </c>
      <c r="AR632" s="228" cm="1">
        <f t="array" ref="AR632">IF(X632&gt;0, INDEX(Kat, $AN632, 4+AQ632), 0)</f>
        <v>0</v>
      </c>
      <c r="AS632" s="228" cm="1">
        <f t="array" ref="AS632">IF(X632&gt;0, INDEX(Kat, $AN632, 9+AQ632), 0)</f>
        <v>0</v>
      </c>
      <c r="AT632" s="246"/>
      <c r="AU632" s="262"/>
      <c r="AV632" s="262"/>
      <c r="AW632" s="263"/>
      <c r="AX632" s="263"/>
      <c r="AY632" s="263"/>
      <c r="AZ632" s="263"/>
      <c r="BA632" s="263"/>
      <c r="BB632" s="263"/>
      <c r="BC632" s="263"/>
      <c r="BD632" s="263"/>
      <c r="BE632" s="263"/>
      <c r="BF632" s="263"/>
      <c r="BG632" s="263"/>
      <c r="BH632" s="246"/>
      <c r="BI632" s="228" cm="1">
        <f t="array" ref="BI632">INDEX(Use, $AH632, 4)</f>
        <v>7</v>
      </c>
      <c r="BJ632" s="228">
        <f t="shared" si="712"/>
        <v>32</v>
      </c>
      <c r="BK632" s="228">
        <f t="shared" si="738"/>
        <v>13</v>
      </c>
      <c r="BL632" s="228">
        <f t="shared" si="739"/>
        <v>0</v>
      </c>
      <c r="BM632" s="233" cm="1">
        <f t="array" ref="BM632">L632/IF($M632&gt;0, INDEX($AY$22:$BE$76, $M632+20, $AH632), 1)</f>
        <v>0</v>
      </c>
      <c r="BN632" s="229">
        <f t="shared" si="713"/>
        <v>0</v>
      </c>
      <c r="BO632" s="228">
        <v>35</v>
      </c>
      <c r="BP632" s="229">
        <f t="shared" si="714"/>
        <v>48</v>
      </c>
      <c r="BQ632" s="234">
        <f t="shared" si="715"/>
        <v>3.0748170731707316</v>
      </c>
      <c r="BR632" s="234" cm="1">
        <f t="array" ref="BR632">$BM632 * SUMPRODUCT(INDEX($AV$76:$AX$81,,$AI632),INDEX($AY$76:$BE$81,,$AH632), N($AU$76:$AU$81&gt;$AM632)) / BQ632 / 1000</f>
        <v>0</v>
      </c>
      <c r="BS632" s="231">
        <f t="shared" si="740"/>
        <v>30</v>
      </c>
      <c r="BT632" s="229">
        <f t="shared" si="716"/>
        <v>43</v>
      </c>
      <c r="BU632" s="234">
        <f t="shared" si="717"/>
        <v>3.5018750000000001</v>
      </c>
      <c r="BV632" s="234" cm="1">
        <f t="array" ref="BV632">$BM632 * IF($AH632&lt;=2,
SUMPRODUCT(INDEX($AV$71:$AX$75,,$AI632), INDEX($AY$71:$BE$75,,$AH632), 1 / ($BF$71:$BF$75*BU632 + (1-$BF$71:$BF$75)*BQ632), N($AU$71:$AU$75&gt;$AM632)),
SUMPRODUCT(INDEX($AV$66:$AX$75,,$AI632), INDEX($AY$66:$BE$75,,$AH632), 1 / ($BG$66:$BG$75*BU632 + (1-$BG$66:$BG$75)*BQ632), N($AU$66:$AU$75&gt;$AM632))
) / 1000</f>
        <v>0</v>
      </c>
      <c r="BW632" s="231">
        <f t="shared" si="741"/>
        <v>25</v>
      </c>
      <c r="BX632" s="229">
        <f t="shared" si="718"/>
        <v>38</v>
      </c>
      <c r="BY632" s="234">
        <f t="shared" si="719"/>
        <v>4.0666935483870965</v>
      </c>
      <c r="BZ632" s="234" cm="1">
        <f t="array" ref="BZ632">$BM632 * IF($AH632&lt;=2,
SUMPRODUCT(INDEX($AV$66:$AX$70,,$AI632), INDEX($AY$66:$BE$70,,$AH632), 1 / ($BF$66:$BF$70*BY632 + (1-$BF$66:$BF$70)*BU632), N($AU$66:$AU$70&gt;$AM632)),
SUMPRODUCT(INDEX($AV$56:$AX$65,,$AI632), INDEX($AY$56:$BE$65,,$AH632), 1 / ($BG$56:$BG$65*BY632 + (1-$BG$56:$BG$65)*BU632), N($AU$56:$AU$65&gt;$AM632))
) / 1000</f>
        <v>0</v>
      </c>
      <c r="CA632" s="231">
        <f t="shared" si="742"/>
        <v>20</v>
      </c>
      <c r="CB632" s="229">
        <f t="shared" si="720"/>
        <v>33</v>
      </c>
      <c r="CC632" s="234">
        <f t="shared" si="721"/>
        <v>4.8487499999999999</v>
      </c>
      <c r="CD632" s="234" cm="1">
        <f t="array" ref="CD632">$BM632 * IF($AH632&lt;=2,
SUMPRODUCT(INDEX($AV$61:$AX$65,,$AI632), INDEX($AY$61:$BE$65,,$AH632), 1 / ($BF$61:$BF$65*CC632 + (1-$BF$61:$BF$65)*BY632), N($AU$61:$AU$65&gt;$AM632)),
SUMPRODUCT(INDEX($AV$46:$AX$55,,$AI632), INDEX($AY$46:$BE$55,,$AH632), 1 / ($BG$46:$BG$55*CC632 + (1-$BG$46:$BG$55)*BY632), N($AU$46:$AU$55&gt;$AM632))
) / 1000</f>
        <v>0</v>
      </c>
      <c r="CE632" s="234" cm="1">
        <f t="array" ref="CE632">$BM632 * IF($AH632&lt;=2,
SUMPRODUCT(INDEX($AV$22:$AX$60,,$AI632), INDEX($AY$22:$BE$60,,$AH632), 1 / ($BF$22:$BF$60*CC632), N($AU$22:$AU$60&gt;$AM632)),
SUMPRODUCT(INDEX($AV$22:$AX$45,,$AI632), INDEX($AY$22:$BE$45,,$AH632), 1 / ($BG$22:$BG$45*CC632), N($AU$22:$AU$45&gt;$AM632))
) / 1000</f>
        <v>0</v>
      </c>
      <c r="CF632" s="229">
        <f t="shared" si="722"/>
        <v>0</v>
      </c>
      <c r="CG632" s="246"/>
      <c r="CH632" s="229">
        <f t="shared" si="723"/>
        <v>0</v>
      </c>
      <c r="CI632" s="228">
        <v>35</v>
      </c>
      <c r="CJ632" s="229">
        <f t="shared" si="724"/>
        <v>48</v>
      </c>
      <c r="CK632" s="234">
        <f t="shared" si="725"/>
        <v>3.0748170731707316</v>
      </c>
      <c r="CL632" s="234" cm="1">
        <f t="array" ref="CL632">$BM632 * SUMPRODUCT(INDEX($AV$76:$AX$81,,$AI632),INDEX($AY$76:$BE$81,,$AH632), N($AU$76:$AU$81&gt;$AM632)) / CK632 / 1000</f>
        <v>0</v>
      </c>
      <c r="CM632" s="231">
        <f t="shared" si="743"/>
        <v>30</v>
      </c>
      <c r="CN632" s="229">
        <f t="shared" si="726"/>
        <v>43</v>
      </c>
      <c r="CO632" s="234">
        <f t="shared" si="727"/>
        <v>3.5018750000000001</v>
      </c>
      <c r="CP632" s="234" cm="1">
        <f t="array" ref="CP632">$BM632 * IF($AH632&lt;=2,
SUMPRODUCT(INDEX($AV$71:$AX$75,,$AI632), INDEX($AY$71:$BE$75,,$AH632), 1 / ($BF$71:$BF$75*CO632 + (1-$BF$71:$BF$75)*CK632), N($AU$71:$AU$75&gt;$AM632)),
SUMPRODUCT(INDEX($AV$66:$AX$75,,$AI632), INDEX($AY$66:$BE$75,,$AH632), 1 / ($BG$66:$BG$75*CO632 + (1-$BG$66:$BG$75)*CK632), N($AU$66:$AU$75&gt;$AM632))
) / 1000</f>
        <v>0</v>
      </c>
      <c r="CQ632" s="231">
        <f t="shared" si="744"/>
        <v>25</v>
      </c>
      <c r="CR632" s="229">
        <f t="shared" si="728"/>
        <v>38</v>
      </c>
      <c r="CS632" s="234">
        <f t="shared" si="729"/>
        <v>4.0666935483870965</v>
      </c>
      <c r="CT632" s="234" cm="1">
        <f t="array" ref="CT632">$BM632 * IF($AH632&lt;=2,
SUMPRODUCT(INDEX($AV$66:$AX$70,,$AI632), INDEX($AY$66:$BE$70,,$AH632), 1 / ($BF$66:$BF$70*CS632 + (1-$BF$66:$BF$70)*CO632), N($AU$66:$AU$70&gt;$AM632)),
SUMPRODUCT(INDEX($AV$56:$AX$65,,$AI632), INDEX($AY$56:$BE$65,,$AH632), 1 / ($BG$56:$BG$65*CS632 + (1-$BG$56:$BG$65)*CO632), N($AU$56:$AU$65&gt;$AM632))
) / 1000</f>
        <v>0</v>
      </c>
      <c r="CU632" s="231">
        <f t="shared" si="745"/>
        <v>20</v>
      </c>
      <c r="CV632" s="229">
        <f t="shared" si="730"/>
        <v>33</v>
      </c>
      <c r="CW632" s="234">
        <f t="shared" si="731"/>
        <v>4.8487499999999999</v>
      </c>
      <c r="CX632" s="234" cm="1">
        <f t="array" ref="CX632">$BM632 * IF($AH632&lt;=2,
SUMPRODUCT(INDEX($AV$61:$AX$65,,$AI632), INDEX($AY$61:$BE$65,,$AH632), 1 / ($BF$61:$BF$65*CW632 + (1-$BF$61:$BF$65)*CS632), N($AU$61:$AU$65&gt;$AM632)),
SUMPRODUCT(INDEX($AV$46:$AX$55,,$AI632), INDEX($AY$46:$BE$55,,$AH632), 1 / ($BG$46:$BG$55*CW632 + (1-$BG$46:$BG$55)*CS632), N($AU$46:$AU$55&gt;$AM632))
) / 1000</f>
        <v>0</v>
      </c>
      <c r="CY632" s="234" cm="1">
        <f t="array" ref="CY632">$BM632 * IF($AH632&lt;=2,
SUMPRODUCT(INDEX($AV$22:$AX$60,,$AI632), INDEX($AY$22:$BE$60,,$AH632), 1 / ($BF$22:$BF$60*CW632), N($AU$22:$AU$60&gt;$AM632)),
SUMPRODUCT(INDEX($AV$22:$AX$45,,$AI632), INDEX($AY$22:$BE$45,,$AH632), 1 / ($BG$22:$BG$45*CW632), N($AU$22:$AU$45&gt;$AM632))
) / 1000</f>
        <v>0</v>
      </c>
      <c r="CZ632" s="229">
        <f t="shared" si="732"/>
        <v>0</v>
      </c>
      <c r="DA632" s="246"/>
    </row>
    <row r="633" spans="1:105" s="75" customFormat="1" ht="14.25" customHeight="1" x14ac:dyDescent="0.2">
      <c r="A633" s="230" t="b">
        <f t="shared" si="737"/>
        <v>0</v>
      </c>
      <c r="B633" s="253">
        <v>612</v>
      </c>
      <c r="C633" s="266"/>
      <c r="D633" s="266"/>
      <c r="E633" s="254"/>
      <c r="F633" s="255" t="str">
        <f>IF(ISBLANK(E633), "", VLOOKUP(E633, Z!$A$2:$C$4127, 3, FALSE))</f>
        <v/>
      </c>
      <c r="G633" s="256"/>
      <c r="H633" s="256"/>
      <c r="I633" s="256"/>
      <c r="J633" s="257"/>
      <c r="K633" s="258"/>
      <c r="L633" s="267"/>
      <c r="M633" s="268"/>
      <c r="N633" s="259" t="str" cm="1">
        <f t="array" ref="N633">IF($L633&gt;0, INDEX(Clean,1+AK633,$D$1), "")</f>
        <v/>
      </c>
      <c r="O633" s="260"/>
      <c r="P633" s="260"/>
      <c r="Q633" s="261"/>
      <c r="R633" s="264">
        <f t="shared" si="708"/>
        <v>0</v>
      </c>
      <c r="S633" s="259" t="str" cm="1">
        <f t="array" ref="S633">IF($L633&gt;0, INDEX(Clean,1+AL633,$D$1), "")</f>
        <v/>
      </c>
      <c r="T633" s="260"/>
      <c r="U633" s="260"/>
      <c r="V633" s="261"/>
      <c r="W633" s="267"/>
      <c r="X633" s="267"/>
      <c r="Y633" s="257"/>
      <c r="Z633" s="264">
        <f t="shared" si="709"/>
        <v>0</v>
      </c>
      <c r="AA633" s="269"/>
      <c r="AB633" s="266"/>
      <c r="AC633" s="254"/>
      <c r="AD633" s="255" t="str">
        <f>IF(ISBLANK(AC633), "", VLOOKUP(AC633, Z!$A$2:$C$4127, 3, FALSE))</f>
        <v/>
      </c>
      <c r="AE633" s="270"/>
      <c r="AF633" s="265">
        <f t="shared" si="710"/>
        <v>0</v>
      </c>
      <c r="AG633" s="246"/>
      <c r="AH633" s="228">
        <f t="shared" si="733"/>
        <v>1</v>
      </c>
      <c r="AI633" s="228">
        <f t="shared" si="734"/>
        <v>1</v>
      </c>
      <c r="AJ633" s="228">
        <f t="shared" si="735"/>
        <v>0</v>
      </c>
      <c r="AK633" s="228">
        <v>0</v>
      </c>
      <c r="AL633" s="228">
        <v>0</v>
      </c>
      <c r="AM633" s="228">
        <f t="shared" si="711"/>
        <v>-100</v>
      </c>
      <c r="AN633" s="228" cm="1">
        <f t="array" ref="AN633">IF(ISBLANK(G633), 1, IFERROR(MATCH(G633, INDEX(Kat,,1), 0), IFERROR(MATCH(Kat, INDEX(Use,,2), 0), MATCH(Kat, INDEX(Use,,3), 0))))</f>
        <v>1</v>
      </c>
      <c r="AO633" s="246"/>
      <c r="AP633" s="228" cm="1">
        <f t="array" ref="AP633">IF(W633&gt;0, INDEX(Kat, AN633,4), 0)</f>
        <v>0</v>
      </c>
      <c r="AQ633" s="228">
        <f t="shared" si="736"/>
        <v>0</v>
      </c>
      <c r="AR633" s="228" cm="1">
        <f t="array" ref="AR633">IF(X633&gt;0, INDEX(Kat, $AN633, 4+AQ633), 0)</f>
        <v>0</v>
      </c>
      <c r="AS633" s="228" cm="1">
        <f t="array" ref="AS633">IF(X633&gt;0, INDEX(Kat, $AN633, 9+AQ633), 0)</f>
        <v>0</v>
      </c>
      <c r="AT633" s="246"/>
      <c r="AU633" s="262"/>
      <c r="AV633" s="262"/>
      <c r="AW633" s="263"/>
      <c r="AX633" s="263"/>
      <c r="AY633" s="263"/>
      <c r="AZ633" s="263"/>
      <c r="BA633" s="263"/>
      <c r="BB633" s="263"/>
      <c r="BC633" s="263"/>
      <c r="BD633" s="263"/>
      <c r="BE633" s="263"/>
      <c r="BF633" s="263"/>
      <c r="BG633" s="263"/>
      <c r="BH633" s="246"/>
      <c r="BI633" s="228" cm="1">
        <f t="array" ref="BI633">INDEX(Use, $AH633, 4)</f>
        <v>7</v>
      </c>
      <c r="BJ633" s="228">
        <f t="shared" si="712"/>
        <v>32</v>
      </c>
      <c r="BK633" s="228">
        <f t="shared" si="738"/>
        <v>13</v>
      </c>
      <c r="BL633" s="228">
        <f t="shared" si="739"/>
        <v>0</v>
      </c>
      <c r="BM633" s="233" cm="1">
        <f t="array" ref="BM633">L633/IF($M633&gt;0, INDEX($AY$22:$BE$76, $M633+20, $AH633), 1)</f>
        <v>0</v>
      </c>
      <c r="BN633" s="229">
        <f t="shared" si="713"/>
        <v>0</v>
      </c>
      <c r="BO633" s="228">
        <v>35</v>
      </c>
      <c r="BP633" s="229">
        <f t="shared" si="714"/>
        <v>48</v>
      </c>
      <c r="BQ633" s="234">
        <f t="shared" si="715"/>
        <v>3.0748170731707316</v>
      </c>
      <c r="BR633" s="234" cm="1">
        <f t="array" ref="BR633">$BM633 * SUMPRODUCT(INDEX($AV$76:$AX$81,,$AI633),INDEX($AY$76:$BE$81,,$AH633), N($AU$76:$AU$81&gt;$AM633)) / BQ633 / 1000</f>
        <v>0</v>
      </c>
      <c r="BS633" s="231">
        <f t="shared" si="740"/>
        <v>30</v>
      </c>
      <c r="BT633" s="229">
        <f t="shared" si="716"/>
        <v>43</v>
      </c>
      <c r="BU633" s="234">
        <f t="shared" si="717"/>
        <v>3.5018750000000001</v>
      </c>
      <c r="BV633" s="234" cm="1">
        <f t="array" ref="BV633">$BM633 * IF($AH633&lt;=2,
SUMPRODUCT(INDEX($AV$71:$AX$75,,$AI633), INDEX($AY$71:$BE$75,,$AH633), 1 / ($BF$71:$BF$75*BU633 + (1-$BF$71:$BF$75)*BQ633), N($AU$71:$AU$75&gt;$AM633)),
SUMPRODUCT(INDEX($AV$66:$AX$75,,$AI633), INDEX($AY$66:$BE$75,,$AH633), 1 / ($BG$66:$BG$75*BU633 + (1-$BG$66:$BG$75)*BQ633), N($AU$66:$AU$75&gt;$AM633))
) / 1000</f>
        <v>0</v>
      </c>
      <c r="BW633" s="231">
        <f t="shared" si="741"/>
        <v>25</v>
      </c>
      <c r="BX633" s="229">
        <f t="shared" si="718"/>
        <v>38</v>
      </c>
      <c r="BY633" s="234">
        <f t="shared" si="719"/>
        <v>4.0666935483870965</v>
      </c>
      <c r="BZ633" s="234" cm="1">
        <f t="array" ref="BZ633">$BM633 * IF($AH633&lt;=2,
SUMPRODUCT(INDEX($AV$66:$AX$70,,$AI633), INDEX($AY$66:$BE$70,,$AH633), 1 / ($BF$66:$BF$70*BY633 + (1-$BF$66:$BF$70)*BU633), N($AU$66:$AU$70&gt;$AM633)),
SUMPRODUCT(INDEX($AV$56:$AX$65,,$AI633), INDEX($AY$56:$BE$65,,$AH633), 1 / ($BG$56:$BG$65*BY633 + (1-$BG$56:$BG$65)*BU633), N($AU$56:$AU$65&gt;$AM633))
) / 1000</f>
        <v>0</v>
      </c>
      <c r="CA633" s="231">
        <f t="shared" si="742"/>
        <v>20</v>
      </c>
      <c r="CB633" s="229">
        <f t="shared" si="720"/>
        <v>33</v>
      </c>
      <c r="CC633" s="234">
        <f t="shared" si="721"/>
        <v>4.8487499999999999</v>
      </c>
      <c r="CD633" s="234" cm="1">
        <f t="array" ref="CD633">$BM633 * IF($AH633&lt;=2,
SUMPRODUCT(INDEX($AV$61:$AX$65,,$AI633), INDEX($AY$61:$BE$65,,$AH633), 1 / ($BF$61:$BF$65*CC633 + (1-$BF$61:$BF$65)*BY633), N($AU$61:$AU$65&gt;$AM633)),
SUMPRODUCT(INDEX($AV$46:$AX$55,,$AI633), INDEX($AY$46:$BE$55,,$AH633), 1 / ($BG$46:$BG$55*CC633 + (1-$BG$46:$BG$55)*BY633), N($AU$46:$AU$55&gt;$AM633))
) / 1000</f>
        <v>0</v>
      </c>
      <c r="CE633" s="234" cm="1">
        <f t="array" ref="CE633">$BM633 * IF($AH633&lt;=2,
SUMPRODUCT(INDEX($AV$22:$AX$60,,$AI633), INDEX($AY$22:$BE$60,,$AH633), 1 / ($BF$22:$BF$60*CC633), N($AU$22:$AU$60&gt;$AM633)),
SUMPRODUCT(INDEX($AV$22:$AX$45,,$AI633), INDEX($AY$22:$BE$45,,$AH633), 1 / ($BG$22:$BG$45*CC633), N($AU$22:$AU$45&gt;$AM633))
) / 1000</f>
        <v>0</v>
      </c>
      <c r="CF633" s="229">
        <f t="shared" si="722"/>
        <v>0</v>
      </c>
      <c r="CG633" s="246"/>
      <c r="CH633" s="229">
        <f t="shared" si="723"/>
        <v>0</v>
      </c>
      <c r="CI633" s="228">
        <v>35</v>
      </c>
      <c r="CJ633" s="229">
        <f t="shared" si="724"/>
        <v>48</v>
      </c>
      <c r="CK633" s="234">
        <f t="shared" si="725"/>
        <v>3.0748170731707316</v>
      </c>
      <c r="CL633" s="234" cm="1">
        <f t="array" ref="CL633">$BM633 * SUMPRODUCT(INDEX($AV$76:$AX$81,,$AI633),INDEX($AY$76:$BE$81,,$AH633), N($AU$76:$AU$81&gt;$AM633)) / CK633 / 1000</f>
        <v>0</v>
      </c>
      <c r="CM633" s="231">
        <f t="shared" si="743"/>
        <v>30</v>
      </c>
      <c r="CN633" s="229">
        <f t="shared" si="726"/>
        <v>43</v>
      </c>
      <c r="CO633" s="234">
        <f t="shared" si="727"/>
        <v>3.5018750000000001</v>
      </c>
      <c r="CP633" s="234" cm="1">
        <f t="array" ref="CP633">$BM633 * IF($AH633&lt;=2,
SUMPRODUCT(INDEX($AV$71:$AX$75,,$AI633), INDEX($AY$71:$BE$75,,$AH633), 1 / ($BF$71:$BF$75*CO633 + (1-$BF$71:$BF$75)*CK633), N($AU$71:$AU$75&gt;$AM633)),
SUMPRODUCT(INDEX($AV$66:$AX$75,,$AI633), INDEX($AY$66:$BE$75,,$AH633), 1 / ($BG$66:$BG$75*CO633 + (1-$BG$66:$BG$75)*CK633), N($AU$66:$AU$75&gt;$AM633))
) / 1000</f>
        <v>0</v>
      </c>
      <c r="CQ633" s="231">
        <f t="shared" si="744"/>
        <v>25</v>
      </c>
      <c r="CR633" s="229">
        <f t="shared" si="728"/>
        <v>38</v>
      </c>
      <c r="CS633" s="234">
        <f t="shared" si="729"/>
        <v>4.0666935483870965</v>
      </c>
      <c r="CT633" s="234" cm="1">
        <f t="array" ref="CT633">$BM633 * IF($AH633&lt;=2,
SUMPRODUCT(INDEX($AV$66:$AX$70,,$AI633), INDEX($AY$66:$BE$70,,$AH633), 1 / ($BF$66:$BF$70*CS633 + (1-$BF$66:$BF$70)*CO633), N($AU$66:$AU$70&gt;$AM633)),
SUMPRODUCT(INDEX($AV$56:$AX$65,,$AI633), INDEX($AY$56:$BE$65,,$AH633), 1 / ($BG$56:$BG$65*CS633 + (1-$BG$56:$BG$65)*CO633), N($AU$56:$AU$65&gt;$AM633))
) / 1000</f>
        <v>0</v>
      </c>
      <c r="CU633" s="231">
        <f t="shared" si="745"/>
        <v>20</v>
      </c>
      <c r="CV633" s="229">
        <f t="shared" si="730"/>
        <v>33</v>
      </c>
      <c r="CW633" s="234">
        <f t="shared" si="731"/>
        <v>4.8487499999999999</v>
      </c>
      <c r="CX633" s="234" cm="1">
        <f t="array" ref="CX633">$BM633 * IF($AH633&lt;=2,
SUMPRODUCT(INDEX($AV$61:$AX$65,,$AI633), INDEX($AY$61:$BE$65,,$AH633), 1 / ($BF$61:$BF$65*CW633 + (1-$BF$61:$BF$65)*CS633), N($AU$61:$AU$65&gt;$AM633)),
SUMPRODUCT(INDEX($AV$46:$AX$55,,$AI633), INDEX($AY$46:$BE$55,,$AH633), 1 / ($BG$46:$BG$55*CW633 + (1-$BG$46:$BG$55)*CS633), N($AU$46:$AU$55&gt;$AM633))
) / 1000</f>
        <v>0</v>
      </c>
      <c r="CY633" s="234" cm="1">
        <f t="array" ref="CY633">$BM633 * IF($AH633&lt;=2,
SUMPRODUCT(INDEX($AV$22:$AX$60,,$AI633), INDEX($AY$22:$BE$60,,$AH633), 1 / ($BF$22:$BF$60*CW633), N($AU$22:$AU$60&gt;$AM633)),
SUMPRODUCT(INDEX($AV$22:$AX$45,,$AI633), INDEX($AY$22:$BE$45,,$AH633), 1 / ($BG$22:$BG$45*CW633), N($AU$22:$AU$45&gt;$AM633))
) / 1000</f>
        <v>0</v>
      </c>
      <c r="CZ633" s="229">
        <f t="shared" si="732"/>
        <v>0</v>
      </c>
      <c r="DA633" s="246"/>
    </row>
    <row r="634" spans="1:105" s="75" customFormat="1" ht="14.25" customHeight="1" x14ac:dyDescent="0.2">
      <c r="A634" s="230" t="b">
        <f t="shared" si="737"/>
        <v>0</v>
      </c>
      <c r="B634" s="253">
        <v>613</v>
      </c>
      <c r="C634" s="266"/>
      <c r="D634" s="266"/>
      <c r="E634" s="254"/>
      <c r="F634" s="255" t="str">
        <f>IF(ISBLANK(E634), "", VLOOKUP(E634, Z!$A$2:$C$4127, 3, FALSE))</f>
        <v/>
      </c>
      <c r="G634" s="256"/>
      <c r="H634" s="256"/>
      <c r="I634" s="256"/>
      <c r="J634" s="257"/>
      <c r="K634" s="258"/>
      <c r="L634" s="267"/>
      <c r="M634" s="268"/>
      <c r="N634" s="259" t="str" cm="1">
        <f t="array" ref="N634">IF($L634&gt;0, INDEX(Clean,1+AK634,$D$1), "")</f>
        <v/>
      </c>
      <c r="O634" s="260"/>
      <c r="P634" s="260"/>
      <c r="Q634" s="261"/>
      <c r="R634" s="264">
        <f t="shared" ref="R634:R697" si="746">CF634*1000</f>
        <v>0</v>
      </c>
      <c r="S634" s="259" t="str" cm="1">
        <f t="array" ref="S634">IF($L634&gt;0, INDEX(Clean,1+AL634,$D$1), "")</f>
        <v/>
      </c>
      <c r="T634" s="260"/>
      <c r="U634" s="260"/>
      <c r="V634" s="261"/>
      <c r="W634" s="267"/>
      <c r="X634" s="267"/>
      <c r="Y634" s="257"/>
      <c r="Z634" s="264">
        <f t="shared" ref="Z634:Z697" si="747">(CZ634 - IF(W634&gt;0, CZ634*(W634/7)*AP634, 0) - IF(X634&gt;0, CZ634*(X634*AR634*AS634), 0))*1000</f>
        <v>0</v>
      </c>
      <c r="AA634" s="269"/>
      <c r="AB634" s="266"/>
      <c r="AC634" s="254"/>
      <c r="AD634" s="255" t="str">
        <f>IF(ISBLANK(AC634), "", VLOOKUP(AC634, Z!$A$2:$C$4127, 3, FALSE))</f>
        <v/>
      </c>
      <c r="AE634" s="270"/>
      <c r="AF634" s="265">
        <f t="shared" ref="AF634:AF697" si="748">0.75*AO$22*(R634-Z634)</f>
        <v>0</v>
      </c>
      <c r="AG634" s="246"/>
      <c r="AH634" s="228">
        <f t="shared" si="733"/>
        <v>1</v>
      </c>
      <c r="AI634" s="228">
        <f t="shared" si="734"/>
        <v>1</v>
      </c>
      <c r="AJ634" s="228">
        <f t="shared" si="735"/>
        <v>0</v>
      </c>
      <c r="AK634" s="228">
        <v>0</v>
      </c>
      <c r="AL634" s="228">
        <v>0</v>
      </c>
      <c r="AM634" s="228">
        <f t="shared" ref="AM634:AM697" si="749">IF(AND(K634="x", AH634=5), 11, IF(AND(K634="x", AH634=6), 19, -100))</f>
        <v>-100</v>
      </c>
      <c r="AN634" s="228" cm="1">
        <f t="array" ref="AN634">IF(ISBLANK(G634), 1, IFERROR(MATCH(G634, INDEX(Kat,,1), 0), IFERROR(MATCH(Kat, INDEX(Use,,2), 0), MATCH(Kat, INDEX(Use,,3), 0))))</f>
        <v>1</v>
      </c>
      <c r="AO634" s="246"/>
      <c r="AP634" s="228" cm="1">
        <f t="array" ref="AP634">IF(W634&gt;0, INDEX(Kat, AN634,4), 0)</f>
        <v>0</v>
      </c>
      <c r="AQ634" s="228">
        <f t="shared" si="736"/>
        <v>0</v>
      </c>
      <c r="AR634" s="228" cm="1">
        <f t="array" ref="AR634">IF(X634&gt;0, INDEX(Kat, $AN634, 4+AQ634), 0)</f>
        <v>0</v>
      </c>
      <c r="AS634" s="228" cm="1">
        <f t="array" ref="AS634">IF(X634&gt;0, INDEX(Kat, $AN634, 9+AQ634), 0)</f>
        <v>0</v>
      </c>
      <c r="AT634" s="246"/>
      <c r="AU634" s="262"/>
      <c r="AV634" s="262"/>
      <c r="AW634" s="263"/>
      <c r="AX634" s="263"/>
      <c r="AY634" s="263"/>
      <c r="AZ634" s="263"/>
      <c r="BA634" s="263"/>
      <c r="BB634" s="263"/>
      <c r="BC634" s="263"/>
      <c r="BD634" s="263"/>
      <c r="BE634" s="263"/>
      <c r="BF634" s="263"/>
      <c r="BG634" s="263"/>
      <c r="BH634" s="246"/>
      <c r="BI634" s="228" cm="1">
        <f t="array" ref="BI634">INDEX(Use, $AH634, 4)</f>
        <v>7</v>
      </c>
      <c r="BJ634" s="228">
        <f t="shared" ref="BJ634:BJ697" si="750">MAX(25, BI634+25)</f>
        <v>32</v>
      </c>
      <c r="BK634" s="228">
        <f t="shared" si="738"/>
        <v>13</v>
      </c>
      <c r="BL634" s="228">
        <f t="shared" si="739"/>
        <v>0</v>
      </c>
      <c r="BM634" s="233" cm="1">
        <f t="array" ref="BM634">L634/IF($M634&gt;0, INDEX($AY$22:$BE$76, $M634+20, $AH634), 1)</f>
        <v>0</v>
      </c>
      <c r="BN634" s="229">
        <f t="shared" ref="BN634:BN697" si="751">Q634 /  IF(AH634&lt;=2, 0.7 + 0.3 * (P634-20)/(35-20), 0.4 + 0.6 * (P634-5)/(35-5))</f>
        <v>0</v>
      </c>
      <c r="BO634" s="228">
        <v>35</v>
      </c>
      <c r="BP634" s="229">
        <f t="shared" ref="BP634:BP697" si="752">MAX($O634, MAX($BJ634, $BO634 + $BK634 + $BL634 + 0.35*$AK634*$BK634 + BN634))</f>
        <v>48</v>
      </c>
      <c r="BQ634" s="234">
        <f t="shared" ref="BQ634:BQ697" si="753">0.45*($BI634+273.15)/(BP634-$BI634)</f>
        <v>3.0748170731707316</v>
      </c>
      <c r="BR634" s="234" cm="1">
        <f t="array" ref="BR634">$BM634 * SUMPRODUCT(INDEX($AV$76:$AX$81,,$AI634),INDEX($AY$76:$BE$81,,$AH634), N($AU$76:$AU$81&gt;$AM634)) / BQ634 / 1000</f>
        <v>0</v>
      </c>
      <c r="BS634" s="231">
        <f t="shared" si="740"/>
        <v>30</v>
      </c>
      <c r="BT634" s="229">
        <f t="shared" ref="BT634:BT697" si="754">MAX($O634, MAX($BJ634, BS634 + $BK634 + $BL634 + IF($AH634&lt;=2, (BS634-20)/(35-20), 0.6+0.4*(BS634-5)/(35-5))*0.35*$AK634*$BK634) + IF($AH634&lt;=2,0.9,0.8)*$BN634)</f>
        <v>43</v>
      </c>
      <c r="BU634" s="234">
        <f t="shared" ref="BU634:BU697" si="755">0.45*($BI634+273.15)/(BT634-$BI634)</f>
        <v>3.5018750000000001</v>
      </c>
      <c r="BV634" s="234" cm="1">
        <f t="array" ref="BV634">$BM634 * IF($AH634&lt;=2,
SUMPRODUCT(INDEX($AV$71:$AX$75,,$AI634), INDEX($AY$71:$BE$75,,$AH634), 1 / ($BF$71:$BF$75*BU634 + (1-$BF$71:$BF$75)*BQ634), N($AU$71:$AU$75&gt;$AM634)),
SUMPRODUCT(INDEX($AV$66:$AX$75,,$AI634), INDEX($AY$66:$BE$75,,$AH634), 1 / ($BG$66:$BG$75*BU634 + (1-$BG$66:$BG$75)*BQ634), N($AU$66:$AU$75&gt;$AM634))
) / 1000</f>
        <v>0</v>
      </c>
      <c r="BW634" s="231">
        <f t="shared" si="741"/>
        <v>25</v>
      </c>
      <c r="BX634" s="229">
        <f t="shared" ref="BX634:BX697" si="756">MAX($O634, MAX($BJ634, BW634 + $BK634 + $BL634 + IF($AH634&lt;=2, (BW634-20)/(35-20), 0.6+0.4*(BW634-5)/(35-5))*0.35*$AK634*$BK634) + IF($AH634&lt;=2,0.8,0.6)*$BN634)</f>
        <v>38</v>
      </c>
      <c r="BY634" s="234">
        <f t="shared" ref="BY634:BY697" si="757">0.45*($BI634+273.15)/(BX634-$BI634)</f>
        <v>4.0666935483870965</v>
      </c>
      <c r="BZ634" s="234" cm="1">
        <f t="array" ref="BZ634">$BM634 * IF($AH634&lt;=2,
SUMPRODUCT(INDEX($AV$66:$AX$70,,$AI634), INDEX($AY$66:$BE$70,,$AH634), 1 / ($BF$66:$BF$70*BY634 + (1-$BF$66:$BF$70)*BU634), N($AU$66:$AU$70&gt;$AM634)),
SUMPRODUCT(INDEX($AV$56:$AX$65,,$AI634), INDEX($AY$56:$BE$65,,$AH634), 1 / ($BG$56:$BG$65*BY634 + (1-$BG$56:$BG$65)*BU634), N($AU$56:$AU$65&gt;$AM634))
) / 1000</f>
        <v>0</v>
      </c>
      <c r="CA634" s="231">
        <f t="shared" si="742"/>
        <v>20</v>
      </c>
      <c r="CB634" s="229">
        <f t="shared" ref="CB634:CB697" si="758">MAX($O634, MAX($BJ634, CA634 + $BK634 + $BL634 + IF($AH634&lt;=2, (CA634-20)/(35-20), 0.6+0.4*(CA634-5)/(35-5))*0.35*$AK634*$BK634) + IF($AH634&lt;=2,0.7,0.4)*$BN634)</f>
        <v>33</v>
      </c>
      <c r="CC634" s="234">
        <f t="shared" ref="CC634:CC697" si="759">0.45*($BI634+273.15)/(CB634-$BI634)</f>
        <v>4.8487499999999999</v>
      </c>
      <c r="CD634" s="234" cm="1">
        <f t="array" ref="CD634">$BM634 * IF($AH634&lt;=2,
SUMPRODUCT(INDEX($AV$61:$AX$65,,$AI634), INDEX($AY$61:$BE$65,,$AH634), 1 / ($BF$61:$BF$65*CC634 + (1-$BF$61:$BF$65)*BY634), N($AU$61:$AU$65&gt;$AM634)),
SUMPRODUCT(INDEX($AV$46:$AX$55,,$AI634), INDEX($AY$46:$BE$55,,$AH634), 1 / ($BG$46:$BG$55*CC634 + (1-$BG$46:$BG$55)*BY634), N($AU$46:$AU$55&gt;$AM634))
) / 1000</f>
        <v>0</v>
      </c>
      <c r="CE634" s="234" cm="1">
        <f t="array" ref="CE634">$BM634 * IF($AH634&lt;=2,
SUMPRODUCT(INDEX($AV$22:$AX$60,,$AI634), INDEX($AY$22:$BE$60,,$AH634), 1 / ($BF$22:$BF$60*CC634), N($AU$22:$AU$60&gt;$AM634)),
SUMPRODUCT(INDEX($AV$22:$AX$45,,$AI634), INDEX($AY$22:$BE$45,,$AH634), 1 / ($BG$22:$BG$45*CC634), N($AU$22:$AU$45&gt;$AM634))
) / 1000</f>
        <v>0</v>
      </c>
      <c r="CF634" s="229">
        <f t="shared" ref="CF634:CF697" si="760">BR634+BV634+BZ634+CD634+CE634</f>
        <v>0</v>
      </c>
      <c r="CG634" s="246"/>
      <c r="CH634" s="229">
        <f t="shared" ref="CH634:CH697" si="761">V634 /  IF(AH634&lt;=2, 0.7 + 0.3 * (U634-20)/(35-20), 0.4 + 0.6 * (U634-5)/(35-5))</f>
        <v>0</v>
      </c>
      <c r="CI634" s="228">
        <v>35</v>
      </c>
      <c r="CJ634" s="229">
        <f t="shared" ref="CJ634:CJ697" si="762">MAX($T634, MAX($BJ634, $BO634 + $BK634 + $BL634 + 0.35*$AL634*$BK634 + CH634))</f>
        <v>48</v>
      </c>
      <c r="CK634" s="234">
        <f t="shared" ref="CK634:CK697" si="763">0.45*($BI634+273.15)/(CJ634-$BI634)</f>
        <v>3.0748170731707316</v>
      </c>
      <c r="CL634" s="234" cm="1">
        <f t="array" ref="CL634">$BM634 * SUMPRODUCT(INDEX($AV$76:$AX$81,,$AI634),INDEX($AY$76:$BE$81,,$AH634), N($AU$76:$AU$81&gt;$AM634)) / CK634 / 1000</f>
        <v>0</v>
      </c>
      <c r="CM634" s="231">
        <f t="shared" si="743"/>
        <v>30</v>
      </c>
      <c r="CN634" s="229">
        <f t="shared" ref="CN634:CN697" si="764">MAX($T634, MAX($BJ634, CM634 + $BK634 + $BL634 + IF($AH634&lt;=2, (CM634-20)/(35-20), 0.6+0.4*(CM634-5)/(35-5))*0.35*$AL634*$BK634) + IF($AH634&lt;=2,0.9,0.8)*$CH634)</f>
        <v>43</v>
      </c>
      <c r="CO634" s="234">
        <f t="shared" ref="CO634:CO697" si="765">0.45*($BI634+273.15)/(CN634-$BI634)</f>
        <v>3.5018750000000001</v>
      </c>
      <c r="CP634" s="234" cm="1">
        <f t="array" ref="CP634">$BM634 * IF($AH634&lt;=2,
SUMPRODUCT(INDEX($AV$71:$AX$75,,$AI634), INDEX($AY$71:$BE$75,,$AH634), 1 / ($BF$71:$BF$75*CO634 + (1-$BF$71:$BF$75)*CK634), N($AU$71:$AU$75&gt;$AM634)),
SUMPRODUCT(INDEX($AV$66:$AX$75,,$AI634), INDEX($AY$66:$BE$75,,$AH634), 1 / ($BG$66:$BG$75*CO634 + (1-$BG$66:$BG$75)*CK634), N($AU$66:$AU$75&gt;$AM634))
) / 1000</f>
        <v>0</v>
      </c>
      <c r="CQ634" s="231">
        <f t="shared" si="744"/>
        <v>25</v>
      </c>
      <c r="CR634" s="229">
        <f t="shared" ref="CR634:CR697" si="766">MAX($T634, MAX($BJ634, CQ634 + $BK634 + $BL634 + IF($AH634&lt;=2, (CQ634-20)/(35-20), 0.6+0.4*(CQ634-5)/(35-5))*0.35*$AL634*$BK634) + IF($AH634&lt;=2,0.8,0.6)*$CH634)</f>
        <v>38</v>
      </c>
      <c r="CS634" s="234">
        <f t="shared" ref="CS634:CS697" si="767">0.45*($BI634+273.15)/(CR634-$BI634)</f>
        <v>4.0666935483870965</v>
      </c>
      <c r="CT634" s="234" cm="1">
        <f t="array" ref="CT634">$BM634 * IF($AH634&lt;=2,
SUMPRODUCT(INDEX($AV$66:$AX$70,,$AI634), INDEX($AY$66:$BE$70,,$AH634), 1 / ($BF$66:$BF$70*CS634 + (1-$BF$66:$BF$70)*CO634), N($AU$66:$AU$70&gt;$AM634)),
SUMPRODUCT(INDEX($AV$56:$AX$65,,$AI634), INDEX($AY$56:$BE$65,,$AH634), 1 / ($BG$56:$BG$65*CS634 + (1-$BG$56:$BG$65)*CO634), N($AU$56:$AU$65&gt;$AM634))
) / 1000</f>
        <v>0</v>
      </c>
      <c r="CU634" s="231">
        <f t="shared" si="745"/>
        <v>20</v>
      </c>
      <c r="CV634" s="229">
        <f t="shared" ref="CV634:CV697" si="768">MAX($T634, MAX($BJ634, CU634 + $BK634 + $BL634 + IF($AH634&lt;=2, (CU634-20)/(35-20), 0.6+0.4*(CU634-5)/(35-5))*0.35*$AL634*$BK634) + IF($AH634&lt;=2,0.7,0.4)*$CH634)</f>
        <v>33</v>
      </c>
      <c r="CW634" s="234">
        <f t="shared" ref="CW634:CW697" si="769">0.45*($BI634+273.15)/(CV634-$BI634)</f>
        <v>4.8487499999999999</v>
      </c>
      <c r="CX634" s="234" cm="1">
        <f t="array" ref="CX634">$BM634 * IF($AH634&lt;=2,
SUMPRODUCT(INDEX($AV$61:$AX$65,,$AI634), INDEX($AY$61:$BE$65,,$AH634), 1 / ($BF$61:$BF$65*CW634 + (1-$BF$61:$BF$65)*CS634), N($AU$61:$AU$65&gt;$AM634)),
SUMPRODUCT(INDEX($AV$46:$AX$55,,$AI634), INDEX($AY$46:$BE$55,,$AH634), 1 / ($BG$46:$BG$55*CW634 + (1-$BG$46:$BG$55)*CS634), N($AU$46:$AU$55&gt;$AM634))
) / 1000</f>
        <v>0</v>
      </c>
      <c r="CY634" s="234" cm="1">
        <f t="array" ref="CY634">$BM634 * IF($AH634&lt;=2,
SUMPRODUCT(INDEX($AV$22:$AX$60,,$AI634), INDEX($AY$22:$BE$60,,$AH634), 1 / ($BF$22:$BF$60*CW634), N($AU$22:$AU$60&gt;$AM634)),
SUMPRODUCT(INDEX($AV$22:$AX$45,,$AI634), INDEX($AY$22:$BE$45,,$AH634), 1 / ($BG$22:$BG$45*CW634), N($AU$22:$AU$45&gt;$AM634))
) / 1000</f>
        <v>0</v>
      </c>
      <c r="CZ634" s="229">
        <f t="shared" ref="CZ634:CZ697" si="770">CL634+CP634+CT634+CX634+CY634</f>
        <v>0</v>
      </c>
      <c r="DA634" s="246"/>
    </row>
    <row r="635" spans="1:105" s="75" customFormat="1" ht="14.25" customHeight="1" x14ac:dyDescent="0.2">
      <c r="A635" s="230" t="b">
        <f t="shared" si="737"/>
        <v>0</v>
      </c>
      <c r="B635" s="253">
        <v>614</v>
      </c>
      <c r="C635" s="266"/>
      <c r="D635" s="266"/>
      <c r="E635" s="254"/>
      <c r="F635" s="255" t="str">
        <f>IF(ISBLANK(E635), "", VLOOKUP(E635, Z!$A$2:$C$4127, 3, FALSE))</f>
        <v/>
      </c>
      <c r="G635" s="256"/>
      <c r="H635" s="256"/>
      <c r="I635" s="256"/>
      <c r="J635" s="257"/>
      <c r="K635" s="258"/>
      <c r="L635" s="267"/>
      <c r="M635" s="268"/>
      <c r="N635" s="259" t="str" cm="1">
        <f t="array" ref="N635">IF($L635&gt;0, INDEX(Clean,1+AK635,$D$1), "")</f>
        <v/>
      </c>
      <c r="O635" s="260"/>
      <c r="P635" s="260"/>
      <c r="Q635" s="261"/>
      <c r="R635" s="264">
        <f t="shared" si="746"/>
        <v>0</v>
      </c>
      <c r="S635" s="259" t="str" cm="1">
        <f t="array" ref="S635">IF($L635&gt;0, INDEX(Clean,1+AL635,$D$1), "")</f>
        <v/>
      </c>
      <c r="T635" s="260"/>
      <c r="U635" s="260"/>
      <c r="V635" s="261"/>
      <c r="W635" s="267"/>
      <c r="X635" s="267"/>
      <c r="Y635" s="257"/>
      <c r="Z635" s="264">
        <f t="shared" si="747"/>
        <v>0</v>
      </c>
      <c r="AA635" s="269"/>
      <c r="AB635" s="266"/>
      <c r="AC635" s="254"/>
      <c r="AD635" s="255" t="str">
        <f>IF(ISBLANK(AC635), "", VLOOKUP(AC635, Z!$A$2:$C$4127, 3, FALSE))</f>
        <v/>
      </c>
      <c r="AE635" s="270"/>
      <c r="AF635" s="265">
        <f t="shared" si="748"/>
        <v>0</v>
      </c>
      <c r="AG635" s="246"/>
      <c r="AH635" s="228">
        <f t="shared" ref="AH635:AH698" si="771">IF(ISBLANK(I635), 1, IFERROR(MATCH(I635, INDEX(Use,,1), 0), IFERROR(MATCH(I635, INDEX(Use,,2), 0), MATCH(I635, INDEX(Use,,3), 0))))</f>
        <v>1</v>
      </c>
      <c r="AI635" s="228">
        <f t="shared" ref="AI635:AI698" si="772">IF(ISBLANK(H635), 1, IFERROR(MATCH(H635, INDEX(Loc,,1), 0), IFERROR(MATCH(H635, INDEX(Loc,,2), 0), MATCH(H635, INDEX(Loc,,3), 0))))</f>
        <v>1</v>
      </c>
      <c r="AJ635" s="228">
        <f t="shared" ref="AJ635:AJ698" si="773">_xlfn.IFNA(IF(IFERROR(MATCH(J635, INDEX(Medium,,1), 0), IFERROR(MATCH(J635, INDEX(Medium,,2), 0), MATCH(J635, INDEX(Medium,,3), 0))) = 2, 1, 0), 0)</f>
        <v>0</v>
      </c>
      <c r="AK635" s="228">
        <v>0</v>
      </c>
      <c r="AL635" s="228">
        <v>0</v>
      </c>
      <c r="AM635" s="228">
        <f t="shared" si="749"/>
        <v>-100</v>
      </c>
      <c r="AN635" s="228" cm="1">
        <f t="array" ref="AN635">IF(ISBLANK(G635), 1, IFERROR(MATCH(G635, INDEX(Kat,,1), 0), IFERROR(MATCH(Kat, INDEX(Use,,2), 0), MATCH(Kat, INDEX(Use,,3), 0))))</f>
        <v>1</v>
      </c>
      <c r="AO635" s="246"/>
      <c r="AP635" s="228" cm="1">
        <f t="array" ref="AP635">IF(W635&gt;0, INDEX(Kat, AN635,4), 0)</f>
        <v>0</v>
      </c>
      <c r="AQ635" s="228">
        <f t="shared" ref="AQ635:AQ698" si="774">IF(ISBLANK(Y635), 0, IFERROR(MATCH(Y635, INDEX(Month,,1), 0), IFERROR(MATCH(Y635, INDEX(Month,,2), 0), MATCH(Y635, INDEX(Month,,3), 0))))</f>
        <v>0</v>
      </c>
      <c r="AR635" s="228" cm="1">
        <f t="array" ref="AR635">IF(X635&gt;0, INDEX(Kat, $AN635, 4+AQ635), 0)</f>
        <v>0</v>
      </c>
      <c r="AS635" s="228" cm="1">
        <f t="array" ref="AS635">IF(X635&gt;0, INDEX(Kat, $AN635, 9+AQ635), 0)</f>
        <v>0</v>
      </c>
      <c r="AT635" s="246"/>
      <c r="AU635" s="262"/>
      <c r="AV635" s="262"/>
      <c r="AW635" s="263"/>
      <c r="AX635" s="263"/>
      <c r="AY635" s="263"/>
      <c r="AZ635" s="263"/>
      <c r="BA635" s="263"/>
      <c r="BB635" s="263"/>
      <c r="BC635" s="263"/>
      <c r="BD635" s="263"/>
      <c r="BE635" s="263"/>
      <c r="BF635" s="263"/>
      <c r="BG635" s="263"/>
      <c r="BH635" s="246"/>
      <c r="BI635" s="228" cm="1">
        <f t="array" ref="BI635">INDEX(Use, $AH635, 4)</f>
        <v>7</v>
      </c>
      <c r="BJ635" s="228">
        <f t="shared" si="750"/>
        <v>32</v>
      </c>
      <c r="BK635" s="228">
        <f t="shared" si="738"/>
        <v>13</v>
      </c>
      <c r="BL635" s="228">
        <f t="shared" si="739"/>
        <v>0</v>
      </c>
      <c r="BM635" s="233" cm="1">
        <f t="array" ref="BM635">L635/IF($M635&gt;0, INDEX($AY$22:$BE$76, $M635+20, $AH635), 1)</f>
        <v>0</v>
      </c>
      <c r="BN635" s="229">
        <f t="shared" si="751"/>
        <v>0</v>
      </c>
      <c r="BO635" s="228">
        <v>35</v>
      </c>
      <c r="BP635" s="229">
        <f t="shared" si="752"/>
        <v>48</v>
      </c>
      <c r="BQ635" s="234">
        <f t="shared" si="753"/>
        <v>3.0748170731707316</v>
      </c>
      <c r="BR635" s="234" cm="1">
        <f t="array" ref="BR635">$BM635 * SUMPRODUCT(INDEX($AV$76:$AX$81,,$AI635),INDEX($AY$76:$BE$81,,$AH635), N($AU$76:$AU$81&gt;$AM635)) / BQ635 / 1000</f>
        <v>0</v>
      </c>
      <c r="BS635" s="231">
        <f t="shared" si="740"/>
        <v>30</v>
      </c>
      <c r="BT635" s="229">
        <f t="shared" si="754"/>
        <v>43</v>
      </c>
      <c r="BU635" s="234">
        <f t="shared" si="755"/>
        <v>3.5018750000000001</v>
      </c>
      <c r="BV635" s="234" cm="1">
        <f t="array" ref="BV635">$BM635 * IF($AH635&lt;=2,
SUMPRODUCT(INDEX($AV$71:$AX$75,,$AI635), INDEX($AY$71:$BE$75,,$AH635), 1 / ($BF$71:$BF$75*BU635 + (1-$BF$71:$BF$75)*BQ635), N($AU$71:$AU$75&gt;$AM635)),
SUMPRODUCT(INDEX($AV$66:$AX$75,,$AI635), INDEX($AY$66:$BE$75,,$AH635), 1 / ($BG$66:$BG$75*BU635 + (1-$BG$66:$BG$75)*BQ635), N($AU$66:$AU$75&gt;$AM635))
) / 1000</f>
        <v>0</v>
      </c>
      <c r="BW635" s="231">
        <f t="shared" si="741"/>
        <v>25</v>
      </c>
      <c r="BX635" s="229">
        <f t="shared" si="756"/>
        <v>38</v>
      </c>
      <c r="BY635" s="234">
        <f t="shared" si="757"/>
        <v>4.0666935483870965</v>
      </c>
      <c r="BZ635" s="234" cm="1">
        <f t="array" ref="BZ635">$BM635 * IF($AH635&lt;=2,
SUMPRODUCT(INDEX($AV$66:$AX$70,,$AI635), INDEX($AY$66:$BE$70,,$AH635), 1 / ($BF$66:$BF$70*BY635 + (1-$BF$66:$BF$70)*BU635), N($AU$66:$AU$70&gt;$AM635)),
SUMPRODUCT(INDEX($AV$56:$AX$65,,$AI635), INDEX($AY$56:$BE$65,,$AH635), 1 / ($BG$56:$BG$65*BY635 + (1-$BG$56:$BG$65)*BU635), N($AU$56:$AU$65&gt;$AM635))
) / 1000</f>
        <v>0</v>
      </c>
      <c r="CA635" s="231">
        <f t="shared" si="742"/>
        <v>20</v>
      </c>
      <c r="CB635" s="229">
        <f t="shared" si="758"/>
        <v>33</v>
      </c>
      <c r="CC635" s="234">
        <f t="shared" si="759"/>
        <v>4.8487499999999999</v>
      </c>
      <c r="CD635" s="234" cm="1">
        <f t="array" ref="CD635">$BM635 * IF($AH635&lt;=2,
SUMPRODUCT(INDEX($AV$61:$AX$65,,$AI635), INDEX($AY$61:$BE$65,,$AH635), 1 / ($BF$61:$BF$65*CC635 + (1-$BF$61:$BF$65)*BY635), N($AU$61:$AU$65&gt;$AM635)),
SUMPRODUCT(INDEX($AV$46:$AX$55,,$AI635), INDEX($AY$46:$BE$55,,$AH635), 1 / ($BG$46:$BG$55*CC635 + (1-$BG$46:$BG$55)*BY635), N($AU$46:$AU$55&gt;$AM635))
) / 1000</f>
        <v>0</v>
      </c>
      <c r="CE635" s="234" cm="1">
        <f t="array" ref="CE635">$BM635 * IF($AH635&lt;=2,
SUMPRODUCT(INDEX($AV$22:$AX$60,,$AI635), INDEX($AY$22:$BE$60,,$AH635), 1 / ($BF$22:$BF$60*CC635), N($AU$22:$AU$60&gt;$AM635)),
SUMPRODUCT(INDEX($AV$22:$AX$45,,$AI635), INDEX($AY$22:$BE$45,,$AH635), 1 / ($BG$22:$BG$45*CC635), N($AU$22:$AU$45&gt;$AM635))
) / 1000</f>
        <v>0</v>
      </c>
      <c r="CF635" s="229">
        <f t="shared" si="760"/>
        <v>0</v>
      </c>
      <c r="CG635" s="246"/>
      <c r="CH635" s="229">
        <f t="shared" si="761"/>
        <v>0</v>
      </c>
      <c r="CI635" s="228">
        <v>35</v>
      </c>
      <c r="CJ635" s="229">
        <f t="shared" si="762"/>
        <v>48</v>
      </c>
      <c r="CK635" s="234">
        <f t="shared" si="763"/>
        <v>3.0748170731707316</v>
      </c>
      <c r="CL635" s="234" cm="1">
        <f t="array" ref="CL635">$BM635 * SUMPRODUCT(INDEX($AV$76:$AX$81,,$AI635),INDEX($AY$76:$BE$81,,$AH635), N($AU$76:$AU$81&gt;$AM635)) / CK635 / 1000</f>
        <v>0</v>
      </c>
      <c r="CM635" s="231">
        <f t="shared" si="743"/>
        <v>30</v>
      </c>
      <c r="CN635" s="229">
        <f t="shared" si="764"/>
        <v>43</v>
      </c>
      <c r="CO635" s="234">
        <f t="shared" si="765"/>
        <v>3.5018750000000001</v>
      </c>
      <c r="CP635" s="234" cm="1">
        <f t="array" ref="CP635">$BM635 * IF($AH635&lt;=2,
SUMPRODUCT(INDEX($AV$71:$AX$75,,$AI635), INDEX($AY$71:$BE$75,,$AH635), 1 / ($BF$71:$BF$75*CO635 + (1-$BF$71:$BF$75)*CK635), N($AU$71:$AU$75&gt;$AM635)),
SUMPRODUCT(INDEX($AV$66:$AX$75,,$AI635), INDEX($AY$66:$BE$75,,$AH635), 1 / ($BG$66:$BG$75*CO635 + (1-$BG$66:$BG$75)*CK635), N($AU$66:$AU$75&gt;$AM635))
) / 1000</f>
        <v>0</v>
      </c>
      <c r="CQ635" s="231">
        <f t="shared" si="744"/>
        <v>25</v>
      </c>
      <c r="CR635" s="229">
        <f t="shared" si="766"/>
        <v>38</v>
      </c>
      <c r="CS635" s="234">
        <f t="shared" si="767"/>
        <v>4.0666935483870965</v>
      </c>
      <c r="CT635" s="234" cm="1">
        <f t="array" ref="CT635">$BM635 * IF($AH635&lt;=2,
SUMPRODUCT(INDEX($AV$66:$AX$70,,$AI635), INDEX($AY$66:$BE$70,,$AH635), 1 / ($BF$66:$BF$70*CS635 + (1-$BF$66:$BF$70)*CO635), N($AU$66:$AU$70&gt;$AM635)),
SUMPRODUCT(INDEX($AV$56:$AX$65,,$AI635), INDEX($AY$56:$BE$65,,$AH635), 1 / ($BG$56:$BG$65*CS635 + (1-$BG$56:$BG$65)*CO635), N($AU$56:$AU$65&gt;$AM635))
) / 1000</f>
        <v>0</v>
      </c>
      <c r="CU635" s="231">
        <f t="shared" si="745"/>
        <v>20</v>
      </c>
      <c r="CV635" s="229">
        <f t="shared" si="768"/>
        <v>33</v>
      </c>
      <c r="CW635" s="234">
        <f t="shared" si="769"/>
        <v>4.8487499999999999</v>
      </c>
      <c r="CX635" s="234" cm="1">
        <f t="array" ref="CX635">$BM635 * IF($AH635&lt;=2,
SUMPRODUCT(INDEX($AV$61:$AX$65,,$AI635), INDEX($AY$61:$BE$65,,$AH635), 1 / ($BF$61:$BF$65*CW635 + (1-$BF$61:$BF$65)*CS635), N($AU$61:$AU$65&gt;$AM635)),
SUMPRODUCT(INDEX($AV$46:$AX$55,,$AI635), INDEX($AY$46:$BE$55,,$AH635), 1 / ($BG$46:$BG$55*CW635 + (1-$BG$46:$BG$55)*CS635), N($AU$46:$AU$55&gt;$AM635))
) / 1000</f>
        <v>0</v>
      </c>
      <c r="CY635" s="234" cm="1">
        <f t="array" ref="CY635">$BM635 * IF($AH635&lt;=2,
SUMPRODUCT(INDEX($AV$22:$AX$60,,$AI635), INDEX($AY$22:$BE$60,,$AH635), 1 / ($BF$22:$BF$60*CW635), N($AU$22:$AU$60&gt;$AM635)),
SUMPRODUCT(INDEX($AV$22:$AX$45,,$AI635), INDEX($AY$22:$BE$45,,$AH635), 1 / ($BG$22:$BG$45*CW635), N($AU$22:$AU$45&gt;$AM635))
) / 1000</f>
        <v>0</v>
      </c>
      <c r="CZ635" s="229">
        <f t="shared" si="770"/>
        <v>0</v>
      </c>
      <c r="DA635" s="246"/>
    </row>
    <row r="636" spans="1:105" s="75" customFormat="1" ht="14.25" customHeight="1" x14ac:dyDescent="0.2">
      <c r="A636" s="230" t="b">
        <f t="shared" si="737"/>
        <v>0</v>
      </c>
      <c r="B636" s="253">
        <v>615</v>
      </c>
      <c r="C636" s="266"/>
      <c r="D636" s="266"/>
      <c r="E636" s="254"/>
      <c r="F636" s="255" t="str">
        <f>IF(ISBLANK(E636), "", VLOOKUP(E636, Z!$A$2:$C$4127, 3, FALSE))</f>
        <v/>
      </c>
      <c r="G636" s="256"/>
      <c r="H636" s="256"/>
      <c r="I636" s="256"/>
      <c r="J636" s="257"/>
      <c r="K636" s="258"/>
      <c r="L636" s="267"/>
      <c r="M636" s="268"/>
      <c r="N636" s="259" t="str" cm="1">
        <f t="array" ref="N636">IF($L636&gt;0, INDEX(Clean,1+AK636,$D$1), "")</f>
        <v/>
      </c>
      <c r="O636" s="260"/>
      <c r="P636" s="260"/>
      <c r="Q636" s="261"/>
      <c r="R636" s="264">
        <f t="shared" si="746"/>
        <v>0</v>
      </c>
      <c r="S636" s="259" t="str" cm="1">
        <f t="array" ref="S636">IF($L636&gt;0, INDEX(Clean,1+AL636,$D$1), "")</f>
        <v/>
      </c>
      <c r="T636" s="260"/>
      <c r="U636" s="260"/>
      <c r="V636" s="261"/>
      <c r="W636" s="267"/>
      <c r="X636" s="267"/>
      <c r="Y636" s="257"/>
      <c r="Z636" s="264">
        <f t="shared" si="747"/>
        <v>0</v>
      </c>
      <c r="AA636" s="269"/>
      <c r="AB636" s="266"/>
      <c r="AC636" s="254"/>
      <c r="AD636" s="255" t="str">
        <f>IF(ISBLANK(AC636), "", VLOOKUP(AC636, Z!$A$2:$C$4127, 3, FALSE))</f>
        <v/>
      </c>
      <c r="AE636" s="270"/>
      <c r="AF636" s="265">
        <f t="shared" si="748"/>
        <v>0</v>
      </c>
      <c r="AG636" s="246"/>
      <c r="AH636" s="228">
        <f t="shared" si="771"/>
        <v>1</v>
      </c>
      <c r="AI636" s="228">
        <f t="shared" si="772"/>
        <v>1</v>
      </c>
      <c r="AJ636" s="228">
        <f t="shared" si="773"/>
        <v>0</v>
      </c>
      <c r="AK636" s="228">
        <v>0</v>
      </c>
      <c r="AL636" s="228">
        <v>0</v>
      </c>
      <c r="AM636" s="228">
        <f t="shared" si="749"/>
        <v>-100</v>
      </c>
      <c r="AN636" s="228" cm="1">
        <f t="array" ref="AN636">IF(ISBLANK(G636), 1, IFERROR(MATCH(G636, INDEX(Kat,,1), 0), IFERROR(MATCH(Kat, INDEX(Use,,2), 0), MATCH(Kat, INDEX(Use,,3), 0))))</f>
        <v>1</v>
      </c>
      <c r="AO636" s="246"/>
      <c r="AP636" s="228" cm="1">
        <f t="array" ref="AP636">IF(W636&gt;0, INDEX(Kat, AN636,4), 0)</f>
        <v>0</v>
      </c>
      <c r="AQ636" s="228">
        <f t="shared" si="774"/>
        <v>0</v>
      </c>
      <c r="AR636" s="228" cm="1">
        <f t="array" ref="AR636">IF(X636&gt;0, INDEX(Kat, $AN636, 4+AQ636), 0)</f>
        <v>0</v>
      </c>
      <c r="AS636" s="228" cm="1">
        <f t="array" ref="AS636">IF(X636&gt;0, INDEX(Kat, $AN636, 9+AQ636), 0)</f>
        <v>0</v>
      </c>
      <c r="AT636" s="246"/>
      <c r="AU636" s="262"/>
      <c r="AV636" s="262"/>
      <c r="AW636" s="263"/>
      <c r="AX636" s="263"/>
      <c r="AY636" s="263"/>
      <c r="AZ636" s="263"/>
      <c r="BA636" s="263"/>
      <c r="BB636" s="263"/>
      <c r="BC636" s="263"/>
      <c r="BD636" s="263"/>
      <c r="BE636" s="263"/>
      <c r="BF636" s="263"/>
      <c r="BG636" s="263"/>
      <c r="BH636" s="246"/>
      <c r="BI636" s="228" cm="1">
        <f t="array" ref="BI636">INDEX(Use, $AH636, 4)</f>
        <v>7</v>
      </c>
      <c r="BJ636" s="228">
        <f t="shared" si="750"/>
        <v>32</v>
      </c>
      <c r="BK636" s="228">
        <f t="shared" si="738"/>
        <v>13</v>
      </c>
      <c r="BL636" s="228">
        <f t="shared" si="739"/>
        <v>0</v>
      </c>
      <c r="BM636" s="233" cm="1">
        <f t="array" ref="BM636">L636/IF($M636&gt;0, INDEX($AY$22:$BE$76, $M636+20, $AH636), 1)</f>
        <v>0</v>
      </c>
      <c r="BN636" s="229">
        <f t="shared" si="751"/>
        <v>0</v>
      </c>
      <c r="BO636" s="228">
        <v>35</v>
      </c>
      <c r="BP636" s="229">
        <f t="shared" si="752"/>
        <v>48</v>
      </c>
      <c r="BQ636" s="234">
        <f t="shared" si="753"/>
        <v>3.0748170731707316</v>
      </c>
      <c r="BR636" s="234" cm="1">
        <f t="array" ref="BR636">$BM636 * SUMPRODUCT(INDEX($AV$76:$AX$81,,$AI636),INDEX($AY$76:$BE$81,,$AH636), N($AU$76:$AU$81&gt;$AM636)) / BQ636 / 1000</f>
        <v>0</v>
      </c>
      <c r="BS636" s="231">
        <f t="shared" si="740"/>
        <v>30</v>
      </c>
      <c r="BT636" s="229">
        <f t="shared" si="754"/>
        <v>43</v>
      </c>
      <c r="BU636" s="234">
        <f t="shared" si="755"/>
        <v>3.5018750000000001</v>
      </c>
      <c r="BV636" s="234" cm="1">
        <f t="array" ref="BV636">$BM636 * IF($AH636&lt;=2,
SUMPRODUCT(INDEX($AV$71:$AX$75,,$AI636), INDEX($AY$71:$BE$75,,$AH636), 1 / ($BF$71:$BF$75*BU636 + (1-$BF$71:$BF$75)*BQ636), N($AU$71:$AU$75&gt;$AM636)),
SUMPRODUCT(INDEX($AV$66:$AX$75,,$AI636), INDEX($AY$66:$BE$75,,$AH636), 1 / ($BG$66:$BG$75*BU636 + (1-$BG$66:$BG$75)*BQ636), N($AU$66:$AU$75&gt;$AM636))
) / 1000</f>
        <v>0</v>
      </c>
      <c r="BW636" s="231">
        <f t="shared" si="741"/>
        <v>25</v>
      </c>
      <c r="BX636" s="229">
        <f t="shared" si="756"/>
        <v>38</v>
      </c>
      <c r="BY636" s="234">
        <f t="shared" si="757"/>
        <v>4.0666935483870965</v>
      </c>
      <c r="BZ636" s="234" cm="1">
        <f t="array" ref="BZ636">$BM636 * IF($AH636&lt;=2,
SUMPRODUCT(INDEX($AV$66:$AX$70,,$AI636), INDEX($AY$66:$BE$70,,$AH636), 1 / ($BF$66:$BF$70*BY636 + (1-$BF$66:$BF$70)*BU636), N($AU$66:$AU$70&gt;$AM636)),
SUMPRODUCT(INDEX($AV$56:$AX$65,,$AI636), INDEX($AY$56:$BE$65,,$AH636), 1 / ($BG$56:$BG$65*BY636 + (1-$BG$56:$BG$65)*BU636), N($AU$56:$AU$65&gt;$AM636))
) / 1000</f>
        <v>0</v>
      </c>
      <c r="CA636" s="231">
        <f t="shared" si="742"/>
        <v>20</v>
      </c>
      <c r="CB636" s="229">
        <f t="shared" si="758"/>
        <v>33</v>
      </c>
      <c r="CC636" s="234">
        <f t="shared" si="759"/>
        <v>4.8487499999999999</v>
      </c>
      <c r="CD636" s="234" cm="1">
        <f t="array" ref="CD636">$BM636 * IF($AH636&lt;=2,
SUMPRODUCT(INDEX($AV$61:$AX$65,,$AI636), INDEX($AY$61:$BE$65,,$AH636), 1 / ($BF$61:$BF$65*CC636 + (1-$BF$61:$BF$65)*BY636), N($AU$61:$AU$65&gt;$AM636)),
SUMPRODUCT(INDEX($AV$46:$AX$55,,$AI636), INDEX($AY$46:$BE$55,,$AH636), 1 / ($BG$46:$BG$55*CC636 + (1-$BG$46:$BG$55)*BY636), N($AU$46:$AU$55&gt;$AM636))
) / 1000</f>
        <v>0</v>
      </c>
      <c r="CE636" s="234" cm="1">
        <f t="array" ref="CE636">$BM636 * IF($AH636&lt;=2,
SUMPRODUCT(INDEX($AV$22:$AX$60,,$AI636), INDEX($AY$22:$BE$60,,$AH636), 1 / ($BF$22:$BF$60*CC636), N($AU$22:$AU$60&gt;$AM636)),
SUMPRODUCT(INDEX($AV$22:$AX$45,,$AI636), INDEX($AY$22:$BE$45,,$AH636), 1 / ($BG$22:$BG$45*CC636), N($AU$22:$AU$45&gt;$AM636))
) / 1000</f>
        <v>0</v>
      </c>
      <c r="CF636" s="229">
        <f t="shared" si="760"/>
        <v>0</v>
      </c>
      <c r="CG636" s="246"/>
      <c r="CH636" s="229">
        <f t="shared" si="761"/>
        <v>0</v>
      </c>
      <c r="CI636" s="228">
        <v>35</v>
      </c>
      <c r="CJ636" s="229">
        <f t="shared" si="762"/>
        <v>48</v>
      </c>
      <c r="CK636" s="234">
        <f t="shared" si="763"/>
        <v>3.0748170731707316</v>
      </c>
      <c r="CL636" s="234" cm="1">
        <f t="array" ref="CL636">$BM636 * SUMPRODUCT(INDEX($AV$76:$AX$81,,$AI636),INDEX($AY$76:$BE$81,,$AH636), N($AU$76:$AU$81&gt;$AM636)) / CK636 / 1000</f>
        <v>0</v>
      </c>
      <c r="CM636" s="231">
        <f t="shared" si="743"/>
        <v>30</v>
      </c>
      <c r="CN636" s="229">
        <f t="shared" si="764"/>
        <v>43</v>
      </c>
      <c r="CO636" s="234">
        <f t="shared" si="765"/>
        <v>3.5018750000000001</v>
      </c>
      <c r="CP636" s="234" cm="1">
        <f t="array" ref="CP636">$BM636 * IF($AH636&lt;=2,
SUMPRODUCT(INDEX($AV$71:$AX$75,,$AI636), INDEX($AY$71:$BE$75,,$AH636), 1 / ($BF$71:$BF$75*CO636 + (1-$BF$71:$BF$75)*CK636), N($AU$71:$AU$75&gt;$AM636)),
SUMPRODUCT(INDEX($AV$66:$AX$75,,$AI636), INDEX($AY$66:$BE$75,,$AH636), 1 / ($BG$66:$BG$75*CO636 + (1-$BG$66:$BG$75)*CK636), N($AU$66:$AU$75&gt;$AM636))
) / 1000</f>
        <v>0</v>
      </c>
      <c r="CQ636" s="231">
        <f t="shared" si="744"/>
        <v>25</v>
      </c>
      <c r="CR636" s="229">
        <f t="shared" si="766"/>
        <v>38</v>
      </c>
      <c r="CS636" s="234">
        <f t="shared" si="767"/>
        <v>4.0666935483870965</v>
      </c>
      <c r="CT636" s="234" cm="1">
        <f t="array" ref="CT636">$BM636 * IF($AH636&lt;=2,
SUMPRODUCT(INDEX($AV$66:$AX$70,,$AI636), INDEX($AY$66:$BE$70,,$AH636), 1 / ($BF$66:$BF$70*CS636 + (1-$BF$66:$BF$70)*CO636), N($AU$66:$AU$70&gt;$AM636)),
SUMPRODUCT(INDEX($AV$56:$AX$65,,$AI636), INDEX($AY$56:$BE$65,,$AH636), 1 / ($BG$56:$BG$65*CS636 + (1-$BG$56:$BG$65)*CO636), N($AU$56:$AU$65&gt;$AM636))
) / 1000</f>
        <v>0</v>
      </c>
      <c r="CU636" s="231">
        <f t="shared" si="745"/>
        <v>20</v>
      </c>
      <c r="CV636" s="229">
        <f t="shared" si="768"/>
        <v>33</v>
      </c>
      <c r="CW636" s="234">
        <f t="shared" si="769"/>
        <v>4.8487499999999999</v>
      </c>
      <c r="CX636" s="234" cm="1">
        <f t="array" ref="CX636">$BM636 * IF($AH636&lt;=2,
SUMPRODUCT(INDEX($AV$61:$AX$65,,$AI636), INDEX($AY$61:$BE$65,,$AH636), 1 / ($BF$61:$BF$65*CW636 + (1-$BF$61:$BF$65)*CS636), N($AU$61:$AU$65&gt;$AM636)),
SUMPRODUCT(INDEX($AV$46:$AX$55,,$AI636), INDEX($AY$46:$BE$55,,$AH636), 1 / ($BG$46:$BG$55*CW636 + (1-$BG$46:$BG$55)*CS636), N($AU$46:$AU$55&gt;$AM636))
) / 1000</f>
        <v>0</v>
      </c>
      <c r="CY636" s="234" cm="1">
        <f t="array" ref="CY636">$BM636 * IF($AH636&lt;=2,
SUMPRODUCT(INDEX($AV$22:$AX$60,,$AI636), INDEX($AY$22:$BE$60,,$AH636), 1 / ($BF$22:$BF$60*CW636), N($AU$22:$AU$60&gt;$AM636)),
SUMPRODUCT(INDEX($AV$22:$AX$45,,$AI636), INDEX($AY$22:$BE$45,,$AH636), 1 / ($BG$22:$BG$45*CW636), N($AU$22:$AU$45&gt;$AM636))
) / 1000</f>
        <v>0</v>
      </c>
      <c r="CZ636" s="229">
        <f t="shared" si="770"/>
        <v>0</v>
      </c>
      <c r="DA636" s="246"/>
    </row>
    <row r="637" spans="1:105" s="75" customFormat="1" ht="14.25" customHeight="1" x14ac:dyDescent="0.2">
      <c r="A637" s="230" t="b">
        <f t="shared" si="737"/>
        <v>0</v>
      </c>
      <c r="B637" s="253">
        <v>616</v>
      </c>
      <c r="C637" s="266"/>
      <c r="D637" s="266"/>
      <c r="E637" s="254"/>
      <c r="F637" s="255" t="str">
        <f>IF(ISBLANK(E637), "", VLOOKUP(E637, Z!$A$2:$C$4127, 3, FALSE))</f>
        <v/>
      </c>
      <c r="G637" s="256"/>
      <c r="H637" s="256"/>
      <c r="I637" s="256"/>
      <c r="J637" s="257"/>
      <c r="K637" s="258"/>
      <c r="L637" s="267"/>
      <c r="M637" s="268"/>
      <c r="N637" s="259" t="str" cm="1">
        <f t="array" ref="N637">IF($L637&gt;0, INDEX(Clean,1+AK637,$D$1), "")</f>
        <v/>
      </c>
      <c r="O637" s="260"/>
      <c r="P637" s="260"/>
      <c r="Q637" s="261"/>
      <c r="R637" s="264">
        <f t="shared" si="746"/>
        <v>0</v>
      </c>
      <c r="S637" s="259" t="str" cm="1">
        <f t="array" ref="S637">IF($L637&gt;0, INDEX(Clean,1+AL637,$D$1), "")</f>
        <v/>
      </c>
      <c r="T637" s="260"/>
      <c r="U637" s="260"/>
      <c r="V637" s="261"/>
      <c r="W637" s="267"/>
      <c r="X637" s="267"/>
      <c r="Y637" s="257"/>
      <c r="Z637" s="264">
        <f t="shared" si="747"/>
        <v>0</v>
      </c>
      <c r="AA637" s="269"/>
      <c r="AB637" s="266"/>
      <c r="AC637" s="254"/>
      <c r="AD637" s="255" t="str">
        <f>IF(ISBLANK(AC637), "", VLOOKUP(AC637, Z!$A$2:$C$4127, 3, FALSE))</f>
        <v/>
      </c>
      <c r="AE637" s="270"/>
      <c r="AF637" s="265">
        <f t="shared" si="748"/>
        <v>0</v>
      </c>
      <c r="AG637" s="246"/>
      <c r="AH637" s="228">
        <f t="shared" si="771"/>
        <v>1</v>
      </c>
      <c r="AI637" s="228">
        <f t="shared" si="772"/>
        <v>1</v>
      </c>
      <c r="AJ637" s="228">
        <f t="shared" si="773"/>
        <v>0</v>
      </c>
      <c r="AK637" s="228">
        <v>0</v>
      </c>
      <c r="AL637" s="228">
        <v>0</v>
      </c>
      <c r="AM637" s="228">
        <f t="shared" si="749"/>
        <v>-100</v>
      </c>
      <c r="AN637" s="228" cm="1">
        <f t="array" ref="AN637">IF(ISBLANK(G637), 1, IFERROR(MATCH(G637, INDEX(Kat,,1), 0), IFERROR(MATCH(Kat, INDEX(Use,,2), 0), MATCH(Kat, INDEX(Use,,3), 0))))</f>
        <v>1</v>
      </c>
      <c r="AO637" s="246"/>
      <c r="AP637" s="228" cm="1">
        <f t="array" ref="AP637">IF(W637&gt;0, INDEX(Kat, AN637,4), 0)</f>
        <v>0</v>
      </c>
      <c r="AQ637" s="228">
        <f t="shared" si="774"/>
        <v>0</v>
      </c>
      <c r="AR637" s="228" cm="1">
        <f t="array" ref="AR637">IF(X637&gt;0, INDEX(Kat, $AN637, 4+AQ637), 0)</f>
        <v>0</v>
      </c>
      <c r="AS637" s="228" cm="1">
        <f t="array" ref="AS637">IF(X637&gt;0, INDEX(Kat, $AN637, 9+AQ637), 0)</f>
        <v>0</v>
      </c>
      <c r="AT637" s="246"/>
      <c r="AU637" s="262"/>
      <c r="AV637" s="262"/>
      <c r="AW637" s="263"/>
      <c r="AX637" s="263"/>
      <c r="AY637" s="263"/>
      <c r="AZ637" s="263"/>
      <c r="BA637" s="263"/>
      <c r="BB637" s="263"/>
      <c r="BC637" s="263"/>
      <c r="BD637" s="263"/>
      <c r="BE637" s="263"/>
      <c r="BF637" s="263"/>
      <c r="BG637" s="263"/>
      <c r="BH637" s="246"/>
      <c r="BI637" s="228" cm="1">
        <f t="array" ref="BI637">INDEX(Use, $AH637, 4)</f>
        <v>7</v>
      </c>
      <c r="BJ637" s="228">
        <f t="shared" si="750"/>
        <v>32</v>
      </c>
      <c r="BK637" s="228">
        <f t="shared" si="738"/>
        <v>13</v>
      </c>
      <c r="BL637" s="228">
        <f t="shared" si="739"/>
        <v>0</v>
      </c>
      <c r="BM637" s="233" cm="1">
        <f t="array" ref="BM637">L637/IF($M637&gt;0, INDEX($AY$22:$BE$76, $M637+20, $AH637), 1)</f>
        <v>0</v>
      </c>
      <c r="BN637" s="229">
        <f t="shared" si="751"/>
        <v>0</v>
      </c>
      <c r="BO637" s="228">
        <v>35</v>
      </c>
      <c r="BP637" s="229">
        <f t="shared" si="752"/>
        <v>48</v>
      </c>
      <c r="BQ637" s="234">
        <f t="shared" si="753"/>
        <v>3.0748170731707316</v>
      </c>
      <c r="BR637" s="234" cm="1">
        <f t="array" ref="BR637">$BM637 * SUMPRODUCT(INDEX($AV$76:$AX$81,,$AI637),INDEX($AY$76:$BE$81,,$AH637), N($AU$76:$AU$81&gt;$AM637)) / BQ637 / 1000</f>
        <v>0</v>
      </c>
      <c r="BS637" s="231">
        <f t="shared" si="740"/>
        <v>30</v>
      </c>
      <c r="BT637" s="229">
        <f t="shared" si="754"/>
        <v>43</v>
      </c>
      <c r="BU637" s="234">
        <f t="shared" si="755"/>
        <v>3.5018750000000001</v>
      </c>
      <c r="BV637" s="234" cm="1">
        <f t="array" ref="BV637">$BM637 * IF($AH637&lt;=2,
SUMPRODUCT(INDEX($AV$71:$AX$75,,$AI637), INDEX($AY$71:$BE$75,,$AH637), 1 / ($BF$71:$BF$75*BU637 + (1-$BF$71:$BF$75)*BQ637), N($AU$71:$AU$75&gt;$AM637)),
SUMPRODUCT(INDEX($AV$66:$AX$75,,$AI637), INDEX($AY$66:$BE$75,,$AH637), 1 / ($BG$66:$BG$75*BU637 + (1-$BG$66:$BG$75)*BQ637), N($AU$66:$AU$75&gt;$AM637))
) / 1000</f>
        <v>0</v>
      </c>
      <c r="BW637" s="231">
        <f t="shared" si="741"/>
        <v>25</v>
      </c>
      <c r="BX637" s="229">
        <f t="shared" si="756"/>
        <v>38</v>
      </c>
      <c r="BY637" s="234">
        <f t="shared" si="757"/>
        <v>4.0666935483870965</v>
      </c>
      <c r="BZ637" s="234" cm="1">
        <f t="array" ref="BZ637">$BM637 * IF($AH637&lt;=2,
SUMPRODUCT(INDEX($AV$66:$AX$70,,$AI637), INDEX($AY$66:$BE$70,,$AH637), 1 / ($BF$66:$BF$70*BY637 + (1-$BF$66:$BF$70)*BU637), N($AU$66:$AU$70&gt;$AM637)),
SUMPRODUCT(INDEX($AV$56:$AX$65,,$AI637), INDEX($AY$56:$BE$65,,$AH637), 1 / ($BG$56:$BG$65*BY637 + (1-$BG$56:$BG$65)*BU637), N($AU$56:$AU$65&gt;$AM637))
) / 1000</f>
        <v>0</v>
      </c>
      <c r="CA637" s="231">
        <f t="shared" si="742"/>
        <v>20</v>
      </c>
      <c r="CB637" s="229">
        <f t="shared" si="758"/>
        <v>33</v>
      </c>
      <c r="CC637" s="234">
        <f t="shared" si="759"/>
        <v>4.8487499999999999</v>
      </c>
      <c r="CD637" s="234" cm="1">
        <f t="array" ref="CD637">$BM637 * IF($AH637&lt;=2,
SUMPRODUCT(INDEX($AV$61:$AX$65,,$AI637), INDEX($AY$61:$BE$65,,$AH637), 1 / ($BF$61:$BF$65*CC637 + (1-$BF$61:$BF$65)*BY637), N($AU$61:$AU$65&gt;$AM637)),
SUMPRODUCT(INDEX($AV$46:$AX$55,,$AI637), INDEX($AY$46:$BE$55,,$AH637), 1 / ($BG$46:$BG$55*CC637 + (1-$BG$46:$BG$55)*BY637), N($AU$46:$AU$55&gt;$AM637))
) / 1000</f>
        <v>0</v>
      </c>
      <c r="CE637" s="234" cm="1">
        <f t="array" ref="CE637">$BM637 * IF($AH637&lt;=2,
SUMPRODUCT(INDEX($AV$22:$AX$60,,$AI637), INDEX($AY$22:$BE$60,,$AH637), 1 / ($BF$22:$BF$60*CC637), N($AU$22:$AU$60&gt;$AM637)),
SUMPRODUCT(INDEX($AV$22:$AX$45,,$AI637), INDEX($AY$22:$BE$45,,$AH637), 1 / ($BG$22:$BG$45*CC637), N($AU$22:$AU$45&gt;$AM637))
) / 1000</f>
        <v>0</v>
      </c>
      <c r="CF637" s="229">
        <f t="shared" si="760"/>
        <v>0</v>
      </c>
      <c r="CG637" s="246"/>
      <c r="CH637" s="229">
        <f t="shared" si="761"/>
        <v>0</v>
      </c>
      <c r="CI637" s="228">
        <v>35</v>
      </c>
      <c r="CJ637" s="229">
        <f t="shared" si="762"/>
        <v>48</v>
      </c>
      <c r="CK637" s="234">
        <f t="shared" si="763"/>
        <v>3.0748170731707316</v>
      </c>
      <c r="CL637" s="234" cm="1">
        <f t="array" ref="CL637">$BM637 * SUMPRODUCT(INDEX($AV$76:$AX$81,,$AI637),INDEX($AY$76:$BE$81,,$AH637), N($AU$76:$AU$81&gt;$AM637)) / CK637 / 1000</f>
        <v>0</v>
      </c>
      <c r="CM637" s="231">
        <f t="shared" si="743"/>
        <v>30</v>
      </c>
      <c r="CN637" s="229">
        <f t="shared" si="764"/>
        <v>43</v>
      </c>
      <c r="CO637" s="234">
        <f t="shared" si="765"/>
        <v>3.5018750000000001</v>
      </c>
      <c r="CP637" s="234" cm="1">
        <f t="array" ref="CP637">$BM637 * IF($AH637&lt;=2,
SUMPRODUCT(INDEX($AV$71:$AX$75,,$AI637), INDEX($AY$71:$BE$75,,$AH637), 1 / ($BF$71:$BF$75*CO637 + (1-$BF$71:$BF$75)*CK637), N($AU$71:$AU$75&gt;$AM637)),
SUMPRODUCT(INDEX($AV$66:$AX$75,,$AI637), INDEX($AY$66:$BE$75,,$AH637), 1 / ($BG$66:$BG$75*CO637 + (1-$BG$66:$BG$75)*CK637), N($AU$66:$AU$75&gt;$AM637))
) / 1000</f>
        <v>0</v>
      </c>
      <c r="CQ637" s="231">
        <f t="shared" si="744"/>
        <v>25</v>
      </c>
      <c r="CR637" s="229">
        <f t="shared" si="766"/>
        <v>38</v>
      </c>
      <c r="CS637" s="234">
        <f t="shared" si="767"/>
        <v>4.0666935483870965</v>
      </c>
      <c r="CT637" s="234" cm="1">
        <f t="array" ref="CT637">$BM637 * IF($AH637&lt;=2,
SUMPRODUCT(INDEX($AV$66:$AX$70,,$AI637), INDEX($AY$66:$BE$70,,$AH637), 1 / ($BF$66:$BF$70*CS637 + (1-$BF$66:$BF$70)*CO637), N($AU$66:$AU$70&gt;$AM637)),
SUMPRODUCT(INDEX($AV$56:$AX$65,,$AI637), INDEX($AY$56:$BE$65,,$AH637), 1 / ($BG$56:$BG$65*CS637 + (1-$BG$56:$BG$65)*CO637), N($AU$56:$AU$65&gt;$AM637))
) / 1000</f>
        <v>0</v>
      </c>
      <c r="CU637" s="231">
        <f t="shared" si="745"/>
        <v>20</v>
      </c>
      <c r="CV637" s="229">
        <f t="shared" si="768"/>
        <v>33</v>
      </c>
      <c r="CW637" s="234">
        <f t="shared" si="769"/>
        <v>4.8487499999999999</v>
      </c>
      <c r="CX637" s="234" cm="1">
        <f t="array" ref="CX637">$BM637 * IF($AH637&lt;=2,
SUMPRODUCT(INDEX($AV$61:$AX$65,,$AI637), INDEX($AY$61:$BE$65,,$AH637), 1 / ($BF$61:$BF$65*CW637 + (1-$BF$61:$BF$65)*CS637), N($AU$61:$AU$65&gt;$AM637)),
SUMPRODUCT(INDEX($AV$46:$AX$55,,$AI637), INDEX($AY$46:$BE$55,,$AH637), 1 / ($BG$46:$BG$55*CW637 + (1-$BG$46:$BG$55)*CS637), N($AU$46:$AU$55&gt;$AM637))
) / 1000</f>
        <v>0</v>
      </c>
      <c r="CY637" s="234" cm="1">
        <f t="array" ref="CY637">$BM637 * IF($AH637&lt;=2,
SUMPRODUCT(INDEX($AV$22:$AX$60,,$AI637), INDEX($AY$22:$BE$60,,$AH637), 1 / ($BF$22:$BF$60*CW637), N($AU$22:$AU$60&gt;$AM637)),
SUMPRODUCT(INDEX($AV$22:$AX$45,,$AI637), INDEX($AY$22:$BE$45,,$AH637), 1 / ($BG$22:$BG$45*CW637), N($AU$22:$AU$45&gt;$AM637))
) / 1000</f>
        <v>0</v>
      </c>
      <c r="CZ637" s="229">
        <f t="shared" si="770"/>
        <v>0</v>
      </c>
      <c r="DA637" s="246"/>
    </row>
    <row r="638" spans="1:105" s="75" customFormat="1" ht="14.25" customHeight="1" x14ac:dyDescent="0.2">
      <c r="A638" s="230" t="b">
        <f t="shared" si="737"/>
        <v>0</v>
      </c>
      <c r="B638" s="253">
        <v>617</v>
      </c>
      <c r="C638" s="266"/>
      <c r="D638" s="266"/>
      <c r="E638" s="254"/>
      <c r="F638" s="255" t="str">
        <f>IF(ISBLANK(E638), "", VLOOKUP(E638, Z!$A$2:$C$4127, 3, FALSE))</f>
        <v/>
      </c>
      <c r="G638" s="256"/>
      <c r="H638" s="256"/>
      <c r="I638" s="256"/>
      <c r="J638" s="257"/>
      <c r="K638" s="258"/>
      <c r="L638" s="267"/>
      <c r="M638" s="268"/>
      <c r="N638" s="259" t="str" cm="1">
        <f t="array" ref="N638">IF($L638&gt;0, INDEX(Clean,1+AK638,$D$1), "")</f>
        <v/>
      </c>
      <c r="O638" s="260"/>
      <c r="P638" s="260"/>
      <c r="Q638" s="261"/>
      <c r="R638" s="264">
        <f t="shared" si="746"/>
        <v>0</v>
      </c>
      <c r="S638" s="259" t="str" cm="1">
        <f t="array" ref="S638">IF($L638&gt;0, INDEX(Clean,1+AL638,$D$1), "")</f>
        <v/>
      </c>
      <c r="T638" s="260"/>
      <c r="U638" s="260"/>
      <c r="V638" s="261"/>
      <c r="W638" s="267"/>
      <c r="X638" s="267"/>
      <c r="Y638" s="257"/>
      <c r="Z638" s="264">
        <f t="shared" si="747"/>
        <v>0</v>
      </c>
      <c r="AA638" s="269"/>
      <c r="AB638" s="266"/>
      <c r="AC638" s="254"/>
      <c r="AD638" s="255" t="str">
        <f>IF(ISBLANK(AC638), "", VLOOKUP(AC638, Z!$A$2:$C$4127, 3, FALSE))</f>
        <v/>
      </c>
      <c r="AE638" s="270"/>
      <c r="AF638" s="265">
        <f t="shared" si="748"/>
        <v>0</v>
      </c>
      <c r="AG638" s="246"/>
      <c r="AH638" s="228">
        <f t="shared" si="771"/>
        <v>1</v>
      </c>
      <c r="AI638" s="228">
        <f t="shared" si="772"/>
        <v>1</v>
      </c>
      <c r="AJ638" s="228">
        <f t="shared" si="773"/>
        <v>0</v>
      </c>
      <c r="AK638" s="228">
        <v>0</v>
      </c>
      <c r="AL638" s="228">
        <v>0</v>
      </c>
      <c r="AM638" s="228">
        <f t="shared" si="749"/>
        <v>-100</v>
      </c>
      <c r="AN638" s="228" cm="1">
        <f t="array" ref="AN638">IF(ISBLANK(G638), 1, IFERROR(MATCH(G638, INDEX(Kat,,1), 0), IFERROR(MATCH(Kat, INDEX(Use,,2), 0), MATCH(Kat, INDEX(Use,,3), 0))))</f>
        <v>1</v>
      </c>
      <c r="AO638" s="246"/>
      <c r="AP638" s="228" cm="1">
        <f t="array" ref="AP638">IF(W638&gt;0, INDEX(Kat, AN638,4), 0)</f>
        <v>0</v>
      </c>
      <c r="AQ638" s="228">
        <f t="shared" si="774"/>
        <v>0</v>
      </c>
      <c r="AR638" s="228" cm="1">
        <f t="array" ref="AR638">IF(X638&gt;0, INDEX(Kat, $AN638, 4+AQ638), 0)</f>
        <v>0</v>
      </c>
      <c r="AS638" s="228" cm="1">
        <f t="array" ref="AS638">IF(X638&gt;0, INDEX(Kat, $AN638, 9+AQ638), 0)</f>
        <v>0</v>
      </c>
      <c r="AT638" s="246"/>
      <c r="AU638" s="262"/>
      <c r="AV638" s="262"/>
      <c r="AW638" s="263"/>
      <c r="AX638" s="263"/>
      <c r="AY638" s="263"/>
      <c r="AZ638" s="263"/>
      <c r="BA638" s="263"/>
      <c r="BB638" s="263"/>
      <c r="BC638" s="263"/>
      <c r="BD638" s="263"/>
      <c r="BE638" s="263"/>
      <c r="BF638" s="263"/>
      <c r="BG638" s="263"/>
      <c r="BH638" s="246"/>
      <c r="BI638" s="228" cm="1">
        <f t="array" ref="BI638">INDEX(Use, $AH638, 4)</f>
        <v>7</v>
      </c>
      <c r="BJ638" s="228">
        <f t="shared" si="750"/>
        <v>32</v>
      </c>
      <c r="BK638" s="228">
        <f t="shared" si="738"/>
        <v>13</v>
      </c>
      <c r="BL638" s="228">
        <f t="shared" si="739"/>
        <v>0</v>
      </c>
      <c r="BM638" s="233" cm="1">
        <f t="array" ref="BM638">L638/IF($M638&gt;0, INDEX($AY$22:$BE$76, $M638+20, $AH638), 1)</f>
        <v>0</v>
      </c>
      <c r="BN638" s="229">
        <f t="shared" si="751"/>
        <v>0</v>
      </c>
      <c r="BO638" s="228">
        <v>35</v>
      </c>
      <c r="BP638" s="229">
        <f t="shared" si="752"/>
        <v>48</v>
      </c>
      <c r="BQ638" s="234">
        <f t="shared" si="753"/>
        <v>3.0748170731707316</v>
      </c>
      <c r="BR638" s="234" cm="1">
        <f t="array" ref="BR638">$BM638 * SUMPRODUCT(INDEX($AV$76:$AX$81,,$AI638),INDEX($AY$76:$BE$81,,$AH638), N($AU$76:$AU$81&gt;$AM638)) / BQ638 / 1000</f>
        <v>0</v>
      </c>
      <c r="BS638" s="231">
        <f t="shared" si="740"/>
        <v>30</v>
      </c>
      <c r="BT638" s="229">
        <f t="shared" si="754"/>
        <v>43</v>
      </c>
      <c r="BU638" s="234">
        <f t="shared" si="755"/>
        <v>3.5018750000000001</v>
      </c>
      <c r="BV638" s="234" cm="1">
        <f t="array" ref="BV638">$BM638 * IF($AH638&lt;=2,
SUMPRODUCT(INDEX($AV$71:$AX$75,,$AI638), INDEX($AY$71:$BE$75,,$AH638), 1 / ($BF$71:$BF$75*BU638 + (1-$BF$71:$BF$75)*BQ638), N($AU$71:$AU$75&gt;$AM638)),
SUMPRODUCT(INDEX($AV$66:$AX$75,,$AI638), INDEX($AY$66:$BE$75,,$AH638), 1 / ($BG$66:$BG$75*BU638 + (1-$BG$66:$BG$75)*BQ638), N($AU$66:$AU$75&gt;$AM638))
) / 1000</f>
        <v>0</v>
      </c>
      <c r="BW638" s="231">
        <f t="shared" si="741"/>
        <v>25</v>
      </c>
      <c r="BX638" s="229">
        <f t="shared" si="756"/>
        <v>38</v>
      </c>
      <c r="BY638" s="234">
        <f t="shared" si="757"/>
        <v>4.0666935483870965</v>
      </c>
      <c r="BZ638" s="234" cm="1">
        <f t="array" ref="BZ638">$BM638 * IF($AH638&lt;=2,
SUMPRODUCT(INDEX($AV$66:$AX$70,,$AI638), INDEX($AY$66:$BE$70,,$AH638), 1 / ($BF$66:$BF$70*BY638 + (1-$BF$66:$BF$70)*BU638), N($AU$66:$AU$70&gt;$AM638)),
SUMPRODUCT(INDEX($AV$56:$AX$65,,$AI638), INDEX($AY$56:$BE$65,,$AH638), 1 / ($BG$56:$BG$65*BY638 + (1-$BG$56:$BG$65)*BU638), N($AU$56:$AU$65&gt;$AM638))
) / 1000</f>
        <v>0</v>
      </c>
      <c r="CA638" s="231">
        <f t="shared" si="742"/>
        <v>20</v>
      </c>
      <c r="CB638" s="229">
        <f t="shared" si="758"/>
        <v>33</v>
      </c>
      <c r="CC638" s="234">
        <f t="shared" si="759"/>
        <v>4.8487499999999999</v>
      </c>
      <c r="CD638" s="234" cm="1">
        <f t="array" ref="CD638">$BM638 * IF($AH638&lt;=2,
SUMPRODUCT(INDEX($AV$61:$AX$65,,$AI638), INDEX($AY$61:$BE$65,,$AH638), 1 / ($BF$61:$BF$65*CC638 + (1-$BF$61:$BF$65)*BY638), N($AU$61:$AU$65&gt;$AM638)),
SUMPRODUCT(INDEX($AV$46:$AX$55,,$AI638), INDEX($AY$46:$BE$55,,$AH638), 1 / ($BG$46:$BG$55*CC638 + (1-$BG$46:$BG$55)*BY638), N($AU$46:$AU$55&gt;$AM638))
) / 1000</f>
        <v>0</v>
      </c>
      <c r="CE638" s="234" cm="1">
        <f t="array" ref="CE638">$BM638 * IF($AH638&lt;=2,
SUMPRODUCT(INDEX($AV$22:$AX$60,,$AI638), INDEX($AY$22:$BE$60,,$AH638), 1 / ($BF$22:$BF$60*CC638), N($AU$22:$AU$60&gt;$AM638)),
SUMPRODUCT(INDEX($AV$22:$AX$45,,$AI638), INDEX($AY$22:$BE$45,,$AH638), 1 / ($BG$22:$BG$45*CC638), N($AU$22:$AU$45&gt;$AM638))
) / 1000</f>
        <v>0</v>
      </c>
      <c r="CF638" s="229">
        <f t="shared" si="760"/>
        <v>0</v>
      </c>
      <c r="CG638" s="246"/>
      <c r="CH638" s="229">
        <f t="shared" si="761"/>
        <v>0</v>
      </c>
      <c r="CI638" s="228">
        <v>35</v>
      </c>
      <c r="CJ638" s="229">
        <f t="shared" si="762"/>
        <v>48</v>
      </c>
      <c r="CK638" s="234">
        <f t="shared" si="763"/>
        <v>3.0748170731707316</v>
      </c>
      <c r="CL638" s="234" cm="1">
        <f t="array" ref="CL638">$BM638 * SUMPRODUCT(INDEX($AV$76:$AX$81,,$AI638),INDEX($AY$76:$BE$81,,$AH638), N($AU$76:$AU$81&gt;$AM638)) / CK638 / 1000</f>
        <v>0</v>
      </c>
      <c r="CM638" s="231">
        <f t="shared" si="743"/>
        <v>30</v>
      </c>
      <c r="CN638" s="229">
        <f t="shared" si="764"/>
        <v>43</v>
      </c>
      <c r="CO638" s="234">
        <f t="shared" si="765"/>
        <v>3.5018750000000001</v>
      </c>
      <c r="CP638" s="234" cm="1">
        <f t="array" ref="CP638">$BM638 * IF($AH638&lt;=2,
SUMPRODUCT(INDEX($AV$71:$AX$75,,$AI638), INDEX($AY$71:$BE$75,,$AH638), 1 / ($BF$71:$BF$75*CO638 + (1-$BF$71:$BF$75)*CK638), N($AU$71:$AU$75&gt;$AM638)),
SUMPRODUCT(INDEX($AV$66:$AX$75,,$AI638), INDEX($AY$66:$BE$75,,$AH638), 1 / ($BG$66:$BG$75*CO638 + (1-$BG$66:$BG$75)*CK638), N($AU$66:$AU$75&gt;$AM638))
) / 1000</f>
        <v>0</v>
      </c>
      <c r="CQ638" s="231">
        <f t="shared" si="744"/>
        <v>25</v>
      </c>
      <c r="CR638" s="229">
        <f t="shared" si="766"/>
        <v>38</v>
      </c>
      <c r="CS638" s="234">
        <f t="shared" si="767"/>
        <v>4.0666935483870965</v>
      </c>
      <c r="CT638" s="234" cm="1">
        <f t="array" ref="CT638">$BM638 * IF($AH638&lt;=2,
SUMPRODUCT(INDEX($AV$66:$AX$70,,$AI638), INDEX($AY$66:$BE$70,,$AH638), 1 / ($BF$66:$BF$70*CS638 + (1-$BF$66:$BF$70)*CO638), N($AU$66:$AU$70&gt;$AM638)),
SUMPRODUCT(INDEX($AV$56:$AX$65,,$AI638), INDEX($AY$56:$BE$65,,$AH638), 1 / ($BG$56:$BG$65*CS638 + (1-$BG$56:$BG$65)*CO638), N($AU$56:$AU$65&gt;$AM638))
) / 1000</f>
        <v>0</v>
      </c>
      <c r="CU638" s="231">
        <f t="shared" si="745"/>
        <v>20</v>
      </c>
      <c r="CV638" s="229">
        <f t="shared" si="768"/>
        <v>33</v>
      </c>
      <c r="CW638" s="234">
        <f t="shared" si="769"/>
        <v>4.8487499999999999</v>
      </c>
      <c r="CX638" s="234" cm="1">
        <f t="array" ref="CX638">$BM638 * IF($AH638&lt;=2,
SUMPRODUCT(INDEX($AV$61:$AX$65,,$AI638), INDEX($AY$61:$BE$65,,$AH638), 1 / ($BF$61:$BF$65*CW638 + (1-$BF$61:$BF$65)*CS638), N($AU$61:$AU$65&gt;$AM638)),
SUMPRODUCT(INDEX($AV$46:$AX$55,,$AI638), INDEX($AY$46:$BE$55,,$AH638), 1 / ($BG$46:$BG$55*CW638 + (1-$BG$46:$BG$55)*CS638), N($AU$46:$AU$55&gt;$AM638))
) / 1000</f>
        <v>0</v>
      </c>
      <c r="CY638" s="234" cm="1">
        <f t="array" ref="CY638">$BM638 * IF($AH638&lt;=2,
SUMPRODUCT(INDEX($AV$22:$AX$60,,$AI638), INDEX($AY$22:$BE$60,,$AH638), 1 / ($BF$22:$BF$60*CW638), N($AU$22:$AU$60&gt;$AM638)),
SUMPRODUCT(INDEX($AV$22:$AX$45,,$AI638), INDEX($AY$22:$BE$45,,$AH638), 1 / ($BG$22:$BG$45*CW638), N($AU$22:$AU$45&gt;$AM638))
) / 1000</f>
        <v>0</v>
      </c>
      <c r="CZ638" s="229">
        <f t="shared" si="770"/>
        <v>0</v>
      </c>
      <c r="DA638" s="246"/>
    </row>
    <row r="639" spans="1:105" s="75" customFormat="1" ht="14.25" customHeight="1" x14ac:dyDescent="0.2">
      <c r="A639" s="230" t="b">
        <f t="shared" si="737"/>
        <v>0</v>
      </c>
      <c r="B639" s="253">
        <v>618</v>
      </c>
      <c r="C639" s="266"/>
      <c r="D639" s="266"/>
      <c r="E639" s="254"/>
      <c r="F639" s="255" t="str">
        <f>IF(ISBLANK(E639), "", VLOOKUP(E639, Z!$A$2:$C$4127, 3, FALSE))</f>
        <v/>
      </c>
      <c r="G639" s="256"/>
      <c r="H639" s="256"/>
      <c r="I639" s="256"/>
      <c r="J639" s="257"/>
      <c r="K639" s="258"/>
      <c r="L639" s="267"/>
      <c r="M639" s="268"/>
      <c r="N639" s="259" t="str" cm="1">
        <f t="array" ref="N639">IF($L639&gt;0, INDEX(Clean,1+AK639,$D$1), "")</f>
        <v/>
      </c>
      <c r="O639" s="260"/>
      <c r="P639" s="260"/>
      <c r="Q639" s="261"/>
      <c r="R639" s="264">
        <f t="shared" si="746"/>
        <v>0</v>
      </c>
      <c r="S639" s="259" t="str" cm="1">
        <f t="array" ref="S639">IF($L639&gt;0, INDEX(Clean,1+AL639,$D$1), "")</f>
        <v/>
      </c>
      <c r="T639" s="260"/>
      <c r="U639" s="260"/>
      <c r="V639" s="261"/>
      <c r="W639" s="267"/>
      <c r="X639" s="267"/>
      <c r="Y639" s="257"/>
      <c r="Z639" s="264">
        <f t="shared" si="747"/>
        <v>0</v>
      </c>
      <c r="AA639" s="269"/>
      <c r="AB639" s="266"/>
      <c r="AC639" s="254"/>
      <c r="AD639" s="255" t="str">
        <f>IF(ISBLANK(AC639), "", VLOOKUP(AC639, Z!$A$2:$C$4127, 3, FALSE))</f>
        <v/>
      </c>
      <c r="AE639" s="270"/>
      <c r="AF639" s="265">
        <f t="shared" si="748"/>
        <v>0</v>
      </c>
      <c r="AG639" s="246"/>
      <c r="AH639" s="228">
        <f t="shared" si="771"/>
        <v>1</v>
      </c>
      <c r="AI639" s="228">
        <f t="shared" si="772"/>
        <v>1</v>
      </c>
      <c r="AJ639" s="228">
        <f t="shared" si="773"/>
        <v>0</v>
      </c>
      <c r="AK639" s="228">
        <v>0</v>
      </c>
      <c r="AL639" s="228">
        <v>0</v>
      </c>
      <c r="AM639" s="228">
        <f t="shared" si="749"/>
        <v>-100</v>
      </c>
      <c r="AN639" s="228" cm="1">
        <f t="array" ref="AN639">IF(ISBLANK(G639), 1, IFERROR(MATCH(G639, INDEX(Kat,,1), 0), IFERROR(MATCH(Kat, INDEX(Use,,2), 0), MATCH(Kat, INDEX(Use,,3), 0))))</f>
        <v>1</v>
      </c>
      <c r="AO639" s="246"/>
      <c r="AP639" s="228" cm="1">
        <f t="array" ref="AP639">IF(W639&gt;0, INDEX(Kat, AN639,4), 0)</f>
        <v>0</v>
      </c>
      <c r="AQ639" s="228">
        <f t="shared" si="774"/>
        <v>0</v>
      </c>
      <c r="AR639" s="228" cm="1">
        <f t="array" ref="AR639">IF(X639&gt;0, INDEX(Kat, $AN639, 4+AQ639), 0)</f>
        <v>0</v>
      </c>
      <c r="AS639" s="228" cm="1">
        <f t="array" ref="AS639">IF(X639&gt;0, INDEX(Kat, $AN639, 9+AQ639), 0)</f>
        <v>0</v>
      </c>
      <c r="AT639" s="246"/>
      <c r="AU639" s="262"/>
      <c r="AV639" s="262"/>
      <c r="AW639" s="263"/>
      <c r="AX639" s="263"/>
      <c r="AY639" s="263"/>
      <c r="AZ639" s="263"/>
      <c r="BA639" s="263"/>
      <c r="BB639" s="263"/>
      <c r="BC639" s="263"/>
      <c r="BD639" s="263"/>
      <c r="BE639" s="263"/>
      <c r="BF639" s="263"/>
      <c r="BG639" s="263"/>
      <c r="BH639" s="246"/>
      <c r="BI639" s="228" cm="1">
        <f t="array" ref="BI639">INDEX(Use, $AH639, 4)</f>
        <v>7</v>
      </c>
      <c r="BJ639" s="228">
        <f t="shared" si="750"/>
        <v>32</v>
      </c>
      <c r="BK639" s="228">
        <f t="shared" si="738"/>
        <v>13</v>
      </c>
      <c r="BL639" s="228">
        <f t="shared" si="739"/>
        <v>0</v>
      </c>
      <c r="BM639" s="233" cm="1">
        <f t="array" ref="BM639">L639/IF($M639&gt;0, INDEX($AY$22:$BE$76, $M639+20, $AH639), 1)</f>
        <v>0</v>
      </c>
      <c r="BN639" s="229">
        <f t="shared" si="751"/>
        <v>0</v>
      </c>
      <c r="BO639" s="228">
        <v>35</v>
      </c>
      <c r="BP639" s="229">
        <f t="shared" si="752"/>
        <v>48</v>
      </c>
      <c r="BQ639" s="234">
        <f t="shared" si="753"/>
        <v>3.0748170731707316</v>
      </c>
      <c r="BR639" s="234" cm="1">
        <f t="array" ref="BR639">$BM639 * SUMPRODUCT(INDEX($AV$76:$AX$81,,$AI639),INDEX($AY$76:$BE$81,,$AH639), N($AU$76:$AU$81&gt;$AM639)) / BQ639 / 1000</f>
        <v>0</v>
      </c>
      <c r="BS639" s="231">
        <f t="shared" si="740"/>
        <v>30</v>
      </c>
      <c r="BT639" s="229">
        <f t="shared" si="754"/>
        <v>43</v>
      </c>
      <c r="BU639" s="234">
        <f t="shared" si="755"/>
        <v>3.5018750000000001</v>
      </c>
      <c r="BV639" s="234" cm="1">
        <f t="array" ref="BV639">$BM639 * IF($AH639&lt;=2,
SUMPRODUCT(INDEX($AV$71:$AX$75,,$AI639), INDEX($AY$71:$BE$75,,$AH639), 1 / ($BF$71:$BF$75*BU639 + (1-$BF$71:$BF$75)*BQ639), N($AU$71:$AU$75&gt;$AM639)),
SUMPRODUCT(INDEX($AV$66:$AX$75,,$AI639), INDEX($AY$66:$BE$75,,$AH639), 1 / ($BG$66:$BG$75*BU639 + (1-$BG$66:$BG$75)*BQ639), N($AU$66:$AU$75&gt;$AM639))
) / 1000</f>
        <v>0</v>
      </c>
      <c r="BW639" s="231">
        <f t="shared" si="741"/>
        <v>25</v>
      </c>
      <c r="BX639" s="229">
        <f t="shared" si="756"/>
        <v>38</v>
      </c>
      <c r="BY639" s="234">
        <f t="shared" si="757"/>
        <v>4.0666935483870965</v>
      </c>
      <c r="BZ639" s="234" cm="1">
        <f t="array" ref="BZ639">$BM639 * IF($AH639&lt;=2,
SUMPRODUCT(INDEX($AV$66:$AX$70,,$AI639), INDEX($AY$66:$BE$70,,$AH639), 1 / ($BF$66:$BF$70*BY639 + (1-$BF$66:$BF$70)*BU639), N($AU$66:$AU$70&gt;$AM639)),
SUMPRODUCT(INDEX($AV$56:$AX$65,,$AI639), INDEX($AY$56:$BE$65,,$AH639), 1 / ($BG$56:$BG$65*BY639 + (1-$BG$56:$BG$65)*BU639), N($AU$56:$AU$65&gt;$AM639))
) / 1000</f>
        <v>0</v>
      </c>
      <c r="CA639" s="231">
        <f t="shared" si="742"/>
        <v>20</v>
      </c>
      <c r="CB639" s="229">
        <f t="shared" si="758"/>
        <v>33</v>
      </c>
      <c r="CC639" s="234">
        <f t="shared" si="759"/>
        <v>4.8487499999999999</v>
      </c>
      <c r="CD639" s="234" cm="1">
        <f t="array" ref="CD639">$BM639 * IF($AH639&lt;=2,
SUMPRODUCT(INDEX($AV$61:$AX$65,,$AI639), INDEX($AY$61:$BE$65,,$AH639), 1 / ($BF$61:$BF$65*CC639 + (1-$BF$61:$BF$65)*BY639), N($AU$61:$AU$65&gt;$AM639)),
SUMPRODUCT(INDEX($AV$46:$AX$55,,$AI639), INDEX($AY$46:$BE$55,,$AH639), 1 / ($BG$46:$BG$55*CC639 + (1-$BG$46:$BG$55)*BY639), N($AU$46:$AU$55&gt;$AM639))
) / 1000</f>
        <v>0</v>
      </c>
      <c r="CE639" s="234" cm="1">
        <f t="array" ref="CE639">$BM639 * IF($AH639&lt;=2,
SUMPRODUCT(INDEX($AV$22:$AX$60,,$AI639), INDEX($AY$22:$BE$60,,$AH639), 1 / ($BF$22:$BF$60*CC639), N($AU$22:$AU$60&gt;$AM639)),
SUMPRODUCT(INDEX($AV$22:$AX$45,,$AI639), INDEX($AY$22:$BE$45,,$AH639), 1 / ($BG$22:$BG$45*CC639), N($AU$22:$AU$45&gt;$AM639))
) / 1000</f>
        <v>0</v>
      </c>
      <c r="CF639" s="229">
        <f t="shared" si="760"/>
        <v>0</v>
      </c>
      <c r="CG639" s="246"/>
      <c r="CH639" s="229">
        <f t="shared" si="761"/>
        <v>0</v>
      </c>
      <c r="CI639" s="228">
        <v>35</v>
      </c>
      <c r="CJ639" s="229">
        <f t="shared" si="762"/>
        <v>48</v>
      </c>
      <c r="CK639" s="234">
        <f t="shared" si="763"/>
        <v>3.0748170731707316</v>
      </c>
      <c r="CL639" s="234" cm="1">
        <f t="array" ref="CL639">$BM639 * SUMPRODUCT(INDEX($AV$76:$AX$81,,$AI639),INDEX($AY$76:$BE$81,,$AH639), N($AU$76:$AU$81&gt;$AM639)) / CK639 / 1000</f>
        <v>0</v>
      </c>
      <c r="CM639" s="231">
        <f t="shared" si="743"/>
        <v>30</v>
      </c>
      <c r="CN639" s="229">
        <f t="shared" si="764"/>
        <v>43</v>
      </c>
      <c r="CO639" s="234">
        <f t="shared" si="765"/>
        <v>3.5018750000000001</v>
      </c>
      <c r="CP639" s="234" cm="1">
        <f t="array" ref="CP639">$BM639 * IF($AH639&lt;=2,
SUMPRODUCT(INDEX($AV$71:$AX$75,,$AI639), INDEX($AY$71:$BE$75,,$AH639), 1 / ($BF$71:$BF$75*CO639 + (1-$BF$71:$BF$75)*CK639), N($AU$71:$AU$75&gt;$AM639)),
SUMPRODUCT(INDEX($AV$66:$AX$75,,$AI639), INDEX($AY$66:$BE$75,,$AH639), 1 / ($BG$66:$BG$75*CO639 + (1-$BG$66:$BG$75)*CK639), N($AU$66:$AU$75&gt;$AM639))
) / 1000</f>
        <v>0</v>
      </c>
      <c r="CQ639" s="231">
        <f t="shared" si="744"/>
        <v>25</v>
      </c>
      <c r="CR639" s="229">
        <f t="shared" si="766"/>
        <v>38</v>
      </c>
      <c r="CS639" s="234">
        <f t="shared" si="767"/>
        <v>4.0666935483870965</v>
      </c>
      <c r="CT639" s="234" cm="1">
        <f t="array" ref="CT639">$BM639 * IF($AH639&lt;=2,
SUMPRODUCT(INDEX($AV$66:$AX$70,,$AI639), INDEX($AY$66:$BE$70,,$AH639), 1 / ($BF$66:$BF$70*CS639 + (1-$BF$66:$BF$70)*CO639), N($AU$66:$AU$70&gt;$AM639)),
SUMPRODUCT(INDEX($AV$56:$AX$65,,$AI639), INDEX($AY$56:$BE$65,,$AH639), 1 / ($BG$56:$BG$65*CS639 + (1-$BG$56:$BG$65)*CO639), N($AU$56:$AU$65&gt;$AM639))
) / 1000</f>
        <v>0</v>
      </c>
      <c r="CU639" s="231">
        <f t="shared" si="745"/>
        <v>20</v>
      </c>
      <c r="CV639" s="229">
        <f t="shared" si="768"/>
        <v>33</v>
      </c>
      <c r="CW639" s="234">
        <f t="shared" si="769"/>
        <v>4.8487499999999999</v>
      </c>
      <c r="CX639" s="234" cm="1">
        <f t="array" ref="CX639">$BM639 * IF($AH639&lt;=2,
SUMPRODUCT(INDEX($AV$61:$AX$65,,$AI639), INDEX($AY$61:$BE$65,,$AH639), 1 / ($BF$61:$BF$65*CW639 + (1-$BF$61:$BF$65)*CS639), N($AU$61:$AU$65&gt;$AM639)),
SUMPRODUCT(INDEX($AV$46:$AX$55,,$AI639), INDEX($AY$46:$BE$55,,$AH639), 1 / ($BG$46:$BG$55*CW639 + (1-$BG$46:$BG$55)*CS639), N($AU$46:$AU$55&gt;$AM639))
) / 1000</f>
        <v>0</v>
      </c>
      <c r="CY639" s="234" cm="1">
        <f t="array" ref="CY639">$BM639 * IF($AH639&lt;=2,
SUMPRODUCT(INDEX($AV$22:$AX$60,,$AI639), INDEX($AY$22:$BE$60,,$AH639), 1 / ($BF$22:$BF$60*CW639), N($AU$22:$AU$60&gt;$AM639)),
SUMPRODUCT(INDEX($AV$22:$AX$45,,$AI639), INDEX($AY$22:$BE$45,,$AH639), 1 / ($BG$22:$BG$45*CW639), N($AU$22:$AU$45&gt;$AM639))
) / 1000</f>
        <v>0</v>
      </c>
      <c r="CZ639" s="229">
        <f t="shared" si="770"/>
        <v>0</v>
      </c>
      <c r="DA639" s="246"/>
    </row>
    <row r="640" spans="1:105" s="75" customFormat="1" ht="14.25" customHeight="1" x14ac:dyDescent="0.2">
      <c r="A640" s="230" t="b">
        <f t="shared" si="737"/>
        <v>0</v>
      </c>
      <c r="B640" s="253">
        <v>619</v>
      </c>
      <c r="C640" s="266"/>
      <c r="D640" s="266"/>
      <c r="E640" s="254"/>
      <c r="F640" s="255" t="str">
        <f>IF(ISBLANK(E640), "", VLOOKUP(E640, Z!$A$2:$C$4127, 3, FALSE))</f>
        <v/>
      </c>
      <c r="G640" s="256"/>
      <c r="H640" s="256"/>
      <c r="I640" s="256"/>
      <c r="J640" s="257"/>
      <c r="K640" s="258"/>
      <c r="L640" s="267"/>
      <c r="M640" s="268"/>
      <c r="N640" s="259" t="str" cm="1">
        <f t="array" ref="N640">IF($L640&gt;0, INDEX(Clean,1+AK640,$D$1), "")</f>
        <v/>
      </c>
      <c r="O640" s="260"/>
      <c r="P640" s="260"/>
      <c r="Q640" s="261"/>
      <c r="R640" s="264">
        <f t="shared" si="746"/>
        <v>0</v>
      </c>
      <c r="S640" s="259" t="str" cm="1">
        <f t="array" ref="S640">IF($L640&gt;0, INDEX(Clean,1+AL640,$D$1), "")</f>
        <v/>
      </c>
      <c r="T640" s="260"/>
      <c r="U640" s="260"/>
      <c r="V640" s="261"/>
      <c r="W640" s="267"/>
      <c r="X640" s="267"/>
      <c r="Y640" s="257"/>
      <c r="Z640" s="264">
        <f t="shared" si="747"/>
        <v>0</v>
      </c>
      <c r="AA640" s="269"/>
      <c r="AB640" s="266"/>
      <c r="AC640" s="254"/>
      <c r="AD640" s="255" t="str">
        <f>IF(ISBLANK(AC640), "", VLOOKUP(AC640, Z!$A$2:$C$4127, 3, FALSE))</f>
        <v/>
      </c>
      <c r="AE640" s="270"/>
      <c r="AF640" s="265">
        <f t="shared" si="748"/>
        <v>0</v>
      </c>
      <c r="AG640" s="246"/>
      <c r="AH640" s="228">
        <f t="shared" si="771"/>
        <v>1</v>
      </c>
      <c r="AI640" s="228">
        <f t="shared" si="772"/>
        <v>1</v>
      </c>
      <c r="AJ640" s="228">
        <f t="shared" si="773"/>
        <v>0</v>
      </c>
      <c r="AK640" s="228">
        <v>0</v>
      </c>
      <c r="AL640" s="228">
        <v>0</v>
      </c>
      <c r="AM640" s="228">
        <f t="shared" si="749"/>
        <v>-100</v>
      </c>
      <c r="AN640" s="228" cm="1">
        <f t="array" ref="AN640">IF(ISBLANK(G640), 1, IFERROR(MATCH(G640, INDEX(Kat,,1), 0), IFERROR(MATCH(Kat, INDEX(Use,,2), 0), MATCH(Kat, INDEX(Use,,3), 0))))</f>
        <v>1</v>
      </c>
      <c r="AO640" s="246"/>
      <c r="AP640" s="228" cm="1">
        <f t="array" ref="AP640">IF(W640&gt;0, INDEX(Kat, AN640,4), 0)</f>
        <v>0</v>
      </c>
      <c r="AQ640" s="228">
        <f t="shared" si="774"/>
        <v>0</v>
      </c>
      <c r="AR640" s="228" cm="1">
        <f t="array" ref="AR640">IF(X640&gt;0, INDEX(Kat, $AN640, 4+AQ640), 0)</f>
        <v>0</v>
      </c>
      <c r="AS640" s="228" cm="1">
        <f t="array" ref="AS640">IF(X640&gt;0, INDEX(Kat, $AN640, 9+AQ640), 0)</f>
        <v>0</v>
      </c>
      <c r="AT640" s="246"/>
      <c r="AU640" s="262"/>
      <c r="AV640" s="262"/>
      <c r="AW640" s="263"/>
      <c r="AX640" s="263"/>
      <c r="AY640" s="263"/>
      <c r="AZ640" s="263"/>
      <c r="BA640" s="263"/>
      <c r="BB640" s="263"/>
      <c r="BC640" s="263"/>
      <c r="BD640" s="263"/>
      <c r="BE640" s="263"/>
      <c r="BF640" s="263"/>
      <c r="BG640" s="263"/>
      <c r="BH640" s="246"/>
      <c r="BI640" s="228" cm="1">
        <f t="array" ref="BI640">INDEX(Use, $AH640, 4)</f>
        <v>7</v>
      </c>
      <c r="BJ640" s="228">
        <f t="shared" si="750"/>
        <v>32</v>
      </c>
      <c r="BK640" s="228">
        <f t="shared" si="738"/>
        <v>13</v>
      </c>
      <c r="BL640" s="228">
        <f t="shared" si="739"/>
        <v>0</v>
      </c>
      <c r="BM640" s="233" cm="1">
        <f t="array" ref="BM640">L640/IF($M640&gt;0, INDEX($AY$22:$BE$76, $M640+20, $AH640), 1)</f>
        <v>0</v>
      </c>
      <c r="BN640" s="229">
        <f t="shared" si="751"/>
        <v>0</v>
      </c>
      <c r="BO640" s="228">
        <v>35</v>
      </c>
      <c r="BP640" s="229">
        <f t="shared" si="752"/>
        <v>48</v>
      </c>
      <c r="BQ640" s="234">
        <f t="shared" si="753"/>
        <v>3.0748170731707316</v>
      </c>
      <c r="BR640" s="234" cm="1">
        <f t="array" ref="BR640">$BM640 * SUMPRODUCT(INDEX($AV$76:$AX$81,,$AI640),INDEX($AY$76:$BE$81,,$AH640), N($AU$76:$AU$81&gt;$AM640)) / BQ640 / 1000</f>
        <v>0</v>
      </c>
      <c r="BS640" s="231">
        <f t="shared" si="740"/>
        <v>30</v>
      </c>
      <c r="BT640" s="229">
        <f t="shared" si="754"/>
        <v>43</v>
      </c>
      <c r="BU640" s="234">
        <f t="shared" si="755"/>
        <v>3.5018750000000001</v>
      </c>
      <c r="BV640" s="234" cm="1">
        <f t="array" ref="BV640">$BM640 * IF($AH640&lt;=2,
SUMPRODUCT(INDEX($AV$71:$AX$75,,$AI640), INDEX($AY$71:$BE$75,,$AH640), 1 / ($BF$71:$BF$75*BU640 + (1-$BF$71:$BF$75)*BQ640), N($AU$71:$AU$75&gt;$AM640)),
SUMPRODUCT(INDEX($AV$66:$AX$75,,$AI640), INDEX($AY$66:$BE$75,,$AH640), 1 / ($BG$66:$BG$75*BU640 + (1-$BG$66:$BG$75)*BQ640), N($AU$66:$AU$75&gt;$AM640))
) / 1000</f>
        <v>0</v>
      </c>
      <c r="BW640" s="231">
        <f t="shared" si="741"/>
        <v>25</v>
      </c>
      <c r="BX640" s="229">
        <f t="shared" si="756"/>
        <v>38</v>
      </c>
      <c r="BY640" s="234">
        <f t="shared" si="757"/>
        <v>4.0666935483870965</v>
      </c>
      <c r="BZ640" s="234" cm="1">
        <f t="array" ref="BZ640">$BM640 * IF($AH640&lt;=2,
SUMPRODUCT(INDEX($AV$66:$AX$70,,$AI640), INDEX($AY$66:$BE$70,,$AH640), 1 / ($BF$66:$BF$70*BY640 + (1-$BF$66:$BF$70)*BU640), N($AU$66:$AU$70&gt;$AM640)),
SUMPRODUCT(INDEX($AV$56:$AX$65,,$AI640), INDEX($AY$56:$BE$65,,$AH640), 1 / ($BG$56:$BG$65*BY640 + (1-$BG$56:$BG$65)*BU640), N($AU$56:$AU$65&gt;$AM640))
) / 1000</f>
        <v>0</v>
      </c>
      <c r="CA640" s="231">
        <f t="shared" si="742"/>
        <v>20</v>
      </c>
      <c r="CB640" s="229">
        <f t="shared" si="758"/>
        <v>33</v>
      </c>
      <c r="CC640" s="234">
        <f t="shared" si="759"/>
        <v>4.8487499999999999</v>
      </c>
      <c r="CD640" s="234" cm="1">
        <f t="array" ref="CD640">$BM640 * IF($AH640&lt;=2,
SUMPRODUCT(INDEX($AV$61:$AX$65,,$AI640), INDEX($AY$61:$BE$65,,$AH640), 1 / ($BF$61:$BF$65*CC640 + (1-$BF$61:$BF$65)*BY640), N($AU$61:$AU$65&gt;$AM640)),
SUMPRODUCT(INDEX($AV$46:$AX$55,,$AI640), INDEX($AY$46:$BE$55,,$AH640), 1 / ($BG$46:$BG$55*CC640 + (1-$BG$46:$BG$55)*BY640), N($AU$46:$AU$55&gt;$AM640))
) / 1000</f>
        <v>0</v>
      </c>
      <c r="CE640" s="234" cm="1">
        <f t="array" ref="CE640">$BM640 * IF($AH640&lt;=2,
SUMPRODUCT(INDEX($AV$22:$AX$60,,$AI640), INDEX($AY$22:$BE$60,,$AH640), 1 / ($BF$22:$BF$60*CC640), N($AU$22:$AU$60&gt;$AM640)),
SUMPRODUCT(INDEX($AV$22:$AX$45,,$AI640), INDEX($AY$22:$BE$45,,$AH640), 1 / ($BG$22:$BG$45*CC640), N($AU$22:$AU$45&gt;$AM640))
) / 1000</f>
        <v>0</v>
      </c>
      <c r="CF640" s="229">
        <f t="shared" si="760"/>
        <v>0</v>
      </c>
      <c r="CG640" s="246"/>
      <c r="CH640" s="229">
        <f t="shared" si="761"/>
        <v>0</v>
      </c>
      <c r="CI640" s="228">
        <v>35</v>
      </c>
      <c r="CJ640" s="229">
        <f t="shared" si="762"/>
        <v>48</v>
      </c>
      <c r="CK640" s="234">
        <f t="shared" si="763"/>
        <v>3.0748170731707316</v>
      </c>
      <c r="CL640" s="234" cm="1">
        <f t="array" ref="CL640">$BM640 * SUMPRODUCT(INDEX($AV$76:$AX$81,,$AI640),INDEX($AY$76:$BE$81,,$AH640), N($AU$76:$AU$81&gt;$AM640)) / CK640 / 1000</f>
        <v>0</v>
      </c>
      <c r="CM640" s="231">
        <f t="shared" si="743"/>
        <v>30</v>
      </c>
      <c r="CN640" s="229">
        <f t="shared" si="764"/>
        <v>43</v>
      </c>
      <c r="CO640" s="234">
        <f t="shared" si="765"/>
        <v>3.5018750000000001</v>
      </c>
      <c r="CP640" s="234" cm="1">
        <f t="array" ref="CP640">$BM640 * IF($AH640&lt;=2,
SUMPRODUCT(INDEX($AV$71:$AX$75,,$AI640), INDEX($AY$71:$BE$75,,$AH640), 1 / ($BF$71:$BF$75*CO640 + (1-$BF$71:$BF$75)*CK640), N($AU$71:$AU$75&gt;$AM640)),
SUMPRODUCT(INDEX($AV$66:$AX$75,,$AI640), INDEX($AY$66:$BE$75,,$AH640), 1 / ($BG$66:$BG$75*CO640 + (1-$BG$66:$BG$75)*CK640), N($AU$66:$AU$75&gt;$AM640))
) / 1000</f>
        <v>0</v>
      </c>
      <c r="CQ640" s="231">
        <f t="shared" si="744"/>
        <v>25</v>
      </c>
      <c r="CR640" s="229">
        <f t="shared" si="766"/>
        <v>38</v>
      </c>
      <c r="CS640" s="234">
        <f t="shared" si="767"/>
        <v>4.0666935483870965</v>
      </c>
      <c r="CT640" s="234" cm="1">
        <f t="array" ref="CT640">$BM640 * IF($AH640&lt;=2,
SUMPRODUCT(INDEX($AV$66:$AX$70,,$AI640), INDEX($AY$66:$BE$70,,$AH640), 1 / ($BF$66:$BF$70*CS640 + (1-$BF$66:$BF$70)*CO640), N($AU$66:$AU$70&gt;$AM640)),
SUMPRODUCT(INDEX($AV$56:$AX$65,,$AI640), INDEX($AY$56:$BE$65,,$AH640), 1 / ($BG$56:$BG$65*CS640 + (1-$BG$56:$BG$65)*CO640), N($AU$56:$AU$65&gt;$AM640))
) / 1000</f>
        <v>0</v>
      </c>
      <c r="CU640" s="231">
        <f t="shared" si="745"/>
        <v>20</v>
      </c>
      <c r="CV640" s="229">
        <f t="shared" si="768"/>
        <v>33</v>
      </c>
      <c r="CW640" s="234">
        <f t="shared" si="769"/>
        <v>4.8487499999999999</v>
      </c>
      <c r="CX640" s="234" cm="1">
        <f t="array" ref="CX640">$BM640 * IF($AH640&lt;=2,
SUMPRODUCT(INDEX($AV$61:$AX$65,,$AI640), INDEX($AY$61:$BE$65,,$AH640), 1 / ($BF$61:$BF$65*CW640 + (1-$BF$61:$BF$65)*CS640), N($AU$61:$AU$65&gt;$AM640)),
SUMPRODUCT(INDEX($AV$46:$AX$55,,$AI640), INDEX($AY$46:$BE$55,,$AH640), 1 / ($BG$46:$BG$55*CW640 + (1-$BG$46:$BG$55)*CS640), N($AU$46:$AU$55&gt;$AM640))
) / 1000</f>
        <v>0</v>
      </c>
      <c r="CY640" s="234" cm="1">
        <f t="array" ref="CY640">$BM640 * IF($AH640&lt;=2,
SUMPRODUCT(INDEX($AV$22:$AX$60,,$AI640), INDEX($AY$22:$BE$60,,$AH640), 1 / ($BF$22:$BF$60*CW640), N($AU$22:$AU$60&gt;$AM640)),
SUMPRODUCT(INDEX($AV$22:$AX$45,,$AI640), INDEX($AY$22:$BE$45,,$AH640), 1 / ($BG$22:$BG$45*CW640), N($AU$22:$AU$45&gt;$AM640))
) / 1000</f>
        <v>0</v>
      </c>
      <c r="CZ640" s="229">
        <f t="shared" si="770"/>
        <v>0</v>
      </c>
      <c r="DA640" s="246"/>
    </row>
    <row r="641" spans="1:105" s="75" customFormat="1" ht="14.25" customHeight="1" x14ac:dyDescent="0.2">
      <c r="A641" s="230" t="b">
        <f t="shared" si="737"/>
        <v>0</v>
      </c>
      <c r="B641" s="253">
        <v>620</v>
      </c>
      <c r="C641" s="266"/>
      <c r="D641" s="266"/>
      <c r="E641" s="254"/>
      <c r="F641" s="255" t="str">
        <f>IF(ISBLANK(E641), "", VLOOKUP(E641, Z!$A$2:$C$4127, 3, FALSE))</f>
        <v/>
      </c>
      <c r="G641" s="256"/>
      <c r="H641" s="256"/>
      <c r="I641" s="256"/>
      <c r="J641" s="257"/>
      <c r="K641" s="258"/>
      <c r="L641" s="267"/>
      <c r="M641" s="268"/>
      <c r="N641" s="259" t="str" cm="1">
        <f t="array" ref="N641">IF($L641&gt;0, INDEX(Clean,1+AK641,$D$1), "")</f>
        <v/>
      </c>
      <c r="O641" s="260"/>
      <c r="P641" s="260"/>
      <c r="Q641" s="261"/>
      <c r="R641" s="264">
        <f t="shared" si="746"/>
        <v>0</v>
      </c>
      <c r="S641" s="259" t="str" cm="1">
        <f t="array" ref="S641">IF($L641&gt;0, INDEX(Clean,1+AL641,$D$1), "")</f>
        <v/>
      </c>
      <c r="T641" s="260"/>
      <c r="U641" s="260"/>
      <c r="V641" s="261"/>
      <c r="W641" s="267"/>
      <c r="X641" s="267"/>
      <c r="Y641" s="257"/>
      <c r="Z641" s="264">
        <f t="shared" si="747"/>
        <v>0</v>
      </c>
      <c r="AA641" s="269"/>
      <c r="AB641" s="266"/>
      <c r="AC641" s="254"/>
      <c r="AD641" s="255" t="str">
        <f>IF(ISBLANK(AC641), "", VLOOKUP(AC641, Z!$A$2:$C$4127, 3, FALSE))</f>
        <v/>
      </c>
      <c r="AE641" s="270"/>
      <c r="AF641" s="265">
        <f t="shared" si="748"/>
        <v>0</v>
      </c>
      <c r="AG641" s="246"/>
      <c r="AH641" s="228">
        <f t="shared" si="771"/>
        <v>1</v>
      </c>
      <c r="AI641" s="228">
        <f t="shared" si="772"/>
        <v>1</v>
      </c>
      <c r="AJ641" s="228">
        <f t="shared" si="773"/>
        <v>0</v>
      </c>
      <c r="AK641" s="228">
        <v>0</v>
      </c>
      <c r="AL641" s="228">
        <v>0</v>
      </c>
      <c r="AM641" s="228">
        <f t="shared" si="749"/>
        <v>-100</v>
      </c>
      <c r="AN641" s="228" cm="1">
        <f t="array" ref="AN641">IF(ISBLANK(G641), 1, IFERROR(MATCH(G641, INDEX(Kat,,1), 0), IFERROR(MATCH(Kat, INDEX(Use,,2), 0), MATCH(Kat, INDEX(Use,,3), 0))))</f>
        <v>1</v>
      </c>
      <c r="AO641" s="246"/>
      <c r="AP641" s="228" cm="1">
        <f t="array" ref="AP641">IF(W641&gt;0, INDEX(Kat, AN641,4), 0)</f>
        <v>0</v>
      </c>
      <c r="AQ641" s="228">
        <f t="shared" si="774"/>
        <v>0</v>
      </c>
      <c r="AR641" s="228" cm="1">
        <f t="array" ref="AR641">IF(X641&gt;0, INDEX(Kat, $AN641, 4+AQ641), 0)</f>
        <v>0</v>
      </c>
      <c r="AS641" s="228" cm="1">
        <f t="array" ref="AS641">IF(X641&gt;0, INDEX(Kat, $AN641, 9+AQ641), 0)</f>
        <v>0</v>
      </c>
      <c r="AT641" s="246"/>
      <c r="AU641" s="262"/>
      <c r="AV641" s="262"/>
      <c r="AW641" s="263"/>
      <c r="AX641" s="263"/>
      <c r="AY641" s="263"/>
      <c r="AZ641" s="263"/>
      <c r="BA641" s="263"/>
      <c r="BB641" s="263"/>
      <c r="BC641" s="263"/>
      <c r="BD641" s="263"/>
      <c r="BE641" s="263"/>
      <c r="BF641" s="263"/>
      <c r="BG641" s="263"/>
      <c r="BH641" s="246"/>
      <c r="BI641" s="228" cm="1">
        <f t="array" ref="BI641">INDEX(Use, $AH641, 4)</f>
        <v>7</v>
      </c>
      <c r="BJ641" s="228">
        <f t="shared" si="750"/>
        <v>32</v>
      </c>
      <c r="BK641" s="228">
        <f t="shared" si="738"/>
        <v>13</v>
      </c>
      <c r="BL641" s="228">
        <f t="shared" si="739"/>
        <v>0</v>
      </c>
      <c r="BM641" s="233" cm="1">
        <f t="array" ref="BM641">L641/IF($M641&gt;0, INDEX($AY$22:$BE$76, $M641+20, $AH641), 1)</f>
        <v>0</v>
      </c>
      <c r="BN641" s="229">
        <f t="shared" si="751"/>
        <v>0</v>
      </c>
      <c r="BO641" s="228">
        <v>35</v>
      </c>
      <c r="BP641" s="229">
        <f t="shared" si="752"/>
        <v>48</v>
      </c>
      <c r="BQ641" s="234">
        <f t="shared" si="753"/>
        <v>3.0748170731707316</v>
      </c>
      <c r="BR641" s="234" cm="1">
        <f t="array" ref="BR641">$BM641 * SUMPRODUCT(INDEX($AV$76:$AX$81,,$AI641),INDEX($AY$76:$BE$81,,$AH641), N($AU$76:$AU$81&gt;$AM641)) / BQ641 / 1000</f>
        <v>0</v>
      </c>
      <c r="BS641" s="231">
        <f t="shared" si="740"/>
        <v>30</v>
      </c>
      <c r="BT641" s="229">
        <f t="shared" si="754"/>
        <v>43</v>
      </c>
      <c r="BU641" s="234">
        <f t="shared" si="755"/>
        <v>3.5018750000000001</v>
      </c>
      <c r="BV641" s="234" cm="1">
        <f t="array" ref="BV641">$BM641 * IF($AH641&lt;=2,
SUMPRODUCT(INDEX($AV$71:$AX$75,,$AI641), INDEX($AY$71:$BE$75,,$AH641), 1 / ($BF$71:$BF$75*BU641 + (1-$BF$71:$BF$75)*BQ641), N($AU$71:$AU$75&gt;$AM641)),
SUMPRODUCT(INDEX($AV$66:$AX$75,,$AI641), INDEX($AY$66:$BE$75,,$AH641), 1 / ($BG$66:$BG$75*BU641 + (1-$BG$66:$BG$75)*BQ641), N($AU$66:$AU$75&gt;$AM641))
) / 1000</f>
        <v>0</v>
      </c>
      <c r="BW641" s="231">
        <f t="shared" si="741"/>
        <v>25</v>
      </c>
      <c r="BX641" s="229">
        <f t="shared" si="756"/>
        <v>38</v>
      </c>
      <c r="BY641" s="234">
        <f t="shared" si="757"/>
        <v>4.0666935483870965</v>
      </c>
      <c r="BZ641" s="234" cm="1">
        <f t="array" ref="BZ641">$BM641 * IF($AH641&lt;=2,
SUMPRODUCT(INDEX($AV$66:$AX$70,,$AI641), INDEX($AY$66:$BE$70,,$AH641), 1 / ($BF$66:$BF$70*BY641 + (1-$BF$66:$BF$70)*BU641), N($AU$66:$AU$70&gt;$AM641)),
SUMPRODUCT(INDEX($AV$56:$AX$65,,$AI641), INDEX($AY$56:$BE$65,,$AH641), 1 / ($BG$56:$BG$65*BY641 + (1-$BG$56:$BG$65)*BU641), N($AU$56:$AU$65&gt;$AM641))
) / 1000</f>
        <v>0</v>
      </c>
      <c r="CA641" s="231">
        <f t="shared" si="742"/>
        <v>20</v>
      </c>
      <c r="CB641" s="229">
        <f t="shared" si="758"/>
        <v>33</v>
      </c>
      <c r="CC641" s="234">
        <f t="shared" si="759"/>
        <v>4.8487499999999999</v>
      </c>
      <c r="CD641" s="234" cm="1">
        <f t="array" ref="CD641">$BM641 * IF($AH641&lt;=2,
SUMPRODUCT(INDEX($AV$61:$AX$65,,$AI641), INDEX($AY$61:$BE$65,,$AH641), 1 / ($BF$61:$BF$65*CC641 + (1-$BF$61:$BF$65)*BY641), N($AU$61:$AU$65&gt;$AM641)),
SUMPRODUCT(INDEX($AV$46:$AX$55,,$AI641), INDEX($AY$46:$BE$55,,$AH641), 1 / ($BG$46:$BG$55*CC641 + (1-$BG$46:$BG$55)*BY641), N($AU$46:$AU$55&gt;$AM641))
) / 1000</f>
        <v>0</v>
      </c>
      <c r="CE641" s="234" cm="1">
        <f t="array" ref="CE641">$BM641 * IF($AH641&lt;=2,
SUMPRODUCT(INDEX($AV$22:$AX$60,,$AI641), INDEX($AY$22:$BE$60,,$AH641), 1 / ($BF$22:$BF$60*CC641), N($AU$22:$AU$60&gt;$AM641)),
SUMPRODUCT(INDEX($AV$22:$AX$45,,$AI641), INDEX($AY$22:$BE$45,,$AH641), 1 / ($BG$22:$BG$45*CC641), N($AU$22:$AU$45&gt;$AM641))
) / 1000</f>
        <v>0</v>
      </c>
      <c r="CF641" s="229">
        <f t="shared" si="760"/>
        <v>0</v>
      </c>
      <c r="CG641" s="246"/>
      <c r="CH641" s="229">
        <f t="shared" si="761"/>
        <v>0</v>
      </c>
      <c r="CI641" s="228">
        <v>35</v>
      </c>
      <c r="CJ641" s="229">
        <f t="shared" si="762"/>
        <v>48</v>
      </c>
      <c r="CK641" s="234">
        <f t="shared" si="763"/>
        <v>3.0748170731707316</v>
      </c>
      <c r="CL641" s="234" cm="1">
        <f t="array" ref="CL641">$BM641 * SUMPRODUCT(INDEX($AV$76:$AX$81,,$AI641),INDEX($AY$76:$BE$81,,$AH641), N($AU$76:$AU$81&gt;$AM641)) / CK641 / 1000</f>
        <v>0</v>
      </c>
      <c r="CM641" s="231">
        <f t="shared" si="743"/>
        <v>30</v>
      </c>
      <c r="CN641" s="229">
        <f t="shared" si="764"/>
        <v>43</v>
      </c>
      <c r="CO641" s="234">
        <f t="shared" si="765"/>
        <v>3.5018750000000001</v>
      </c>
      <c r="CP641" s="234" cm="1">
        <f t="array" ref="CP641">$BM641 * IF($AH641&lt;=2,
SUMPRODUCT(INDEX($AV$71:$AX$75,,$AI641), INDEX($AY$71:$BE$75,,$AH641), 1 / ($BF$71:$BF$75*CO641 + (1-$BF$71:$BF$75)*CK641), N($AU$71:$AU$75&gt;$AM641)),
SUMPRODUCT(INDEX($AV$66:$AX$75,,$AI641), INDEX($AY$66:$BE$75,,$AH641), 1 / ($BG$66:$BG$75*CO641 + (1-$BG$66:$BG$75)*CK641), N($AU$66:$AU$75&gt;$AM641))
) / 1000</f>
        <v>0</v>
      </c>
      <c r="CQ641" s="231">
        <f t="shared" si="744"/>
        <v>25</v>
      </c>
      <c r="CR641" s="229">
        <f t="shared" si="766"/>
        <v>38</v>
      </c>
      <c r="CS641" s="234">
        <f t="shared" si="767"/>
        <v>4.0666935483870965</v>
      </c>
      <c r="CT641" s="234" cm="1">
        <f t="array" ref="CT641">$BM641 * IF($AH641&lt;=2,
SUMPRODUCT(INDEX($AV$66:$AX$70,,$AI641), INDEX($AY$66:$BE$70,,$AH641), 1 / ($BF$66:$BF$70*CS641 + (1-$BF$66:$BF$70)*CO641), N($AU$66:$AU$70&gt;$AM641)),
SUMPRODUCT(INDEX($AV$56:$AX$65,,$AI641), INDEX($AY$56:$BE$65,,$AH641), 1 / ($BG$56:$BG$65*CS641 + (1-$BG$56:$BG$65)*CO641), N($AU$56:$AU$65&gt;$AM641))
) / 1000</f>
        <v>0</v>
      </c>
      <c r="CU641" s="231">
        <f t="shared" si="745"/>
        <v>20</v>
      </c>
      <c r="CV641" s="229">
        <f t="shared" si="768"/>
        <v>33</v>
      </c>
      <c r="CW641" s="234">
        <f t="shared" si="769"/>
        <v>4.8487499999999999</v>
      </c>
      <c r="CX641" s="234" cm="1">
        <f t="array" ref="CX641">$BM641 * IF($AH641&lt;=2,
SUMPRODUCT(INDEX($AV$61:$AX$65,,$AI641), INDEX($AY$61:$BE$65,,$AH641), 1 / ($BF$61:$BF$65*CW641 + (1-$BF$61:$BF$65)*CS641), N($AU$61:$AU$65&gt;$AM641)),
SUMPRODUCT(INDEX($AV$46:$AX$55,,$AI641), INDEX($AY$46:$BE$55,,$AH641), 1 / ($BG$46:$BG$55*CW641 + (1-$BG$46:$BG$55)*CS641), N($AU$46:$AU$55&gt;$AM641))
) / 1000</f>
        <v>0</v>
      </c>
      <c r="CY641" s="234" cm="1">
        <f t="array" ref="CY641">$BM641 * IF($AH641&lt;=2,
SUMPRODUCT(INDEX($AV$22:$AX$60,,$AI641), INDEX($AY$22:$BE$60,,$AH641), 1 / ($BF$22:$BF$60*CW641), N($AU$22:$AU$60&gt;$AM641)),
SUMPRODUCT(INDEX($AV$22:$AX$45,,$AI641), INDEX($AY$22:$BE$45,,$AH641), 1 / ($BG$22:$BG$45*CW641), N($AU$22:$AU$45&gt;$AM641))
) / 1000</f>
        <v>0</v>
      </c>
      <c r="CZ641" s="229">
        <f t="shared" si="770"/>
        <v>0</v>
      </c>
      <c r="DA641" s="246"/>
    </row>
    <row r="642" spans="1:105" s="75" customFormat="1" ht="14.25" customHeight="1" x14ac:dyDescent="0.2">
      <c r="A642" s="230" t="b">
        <f t="shared" si="737"/>
        <v>0</v>
      </c>
      <c r="B642" s="253">
        <v>621</v>
      </c>
      <c r="C642" s="266"/>
      <c r="D642" s="266"/>
      <c r="E642" s="254"/>
      <c r="F642" s="255" t="str">
        <f>IF(ISBLANK(E642), "", VLOOKUP(E642, Z!$A$2:$C$4127, 3, FALSE))</f>
        <v/>
      </c>
      <c r="G642" s="256"/>
      <c r="H642" s="256"/>
      <c r="I642" s="256"/>
      <c r="J642" s="257"/>
      <c r="K642" s="258"/>
      <c r="L642" s="267"/>
      <c r="M642" s="268"/>
      <c r="N642" s="259" t="str" cm="1">
        <f t="array" ref="N642">IF($L642&gt;0, INDEX(Clean,1+AK642,$D$1), "")</f>
        <v/>
      </c>
      <c r="O642" s="260"/>
      <c r="P642" s="260"/>
      <c r="Q642" s="261"/>
      <c r="R642" s="264">
        <f t="shared" si="746"/>
        <v>0</v>
      </c>
      <c r="S642" s="259" t="str" cm="1">
        <f t="array" ref="S642">IF($L642&gt;0, INDEX(Clean,1+AL642,$D$1), "")</f>
        <v/>
      </c>
      <c r="T642" s="260"/>
      <c r="U642" s="260"/>
      <c r="V642" s="261"/>
      <c r="W642" s="267"/>
      <c r="X642" s="267"/>
      <c r="Y642" s="257"/>
      <c r="Z642" s="264">
        <f t="shared" si="747"/>
        <v>0</v>
      </c>
      <c r="AA642" s="269"/>
      <c r="AB642" s="266"/>
      <c r="AC642" s="254"/>
      <c r="AD642" s="255" t="str">
        <f>IF(ISBLANK(AC642), "", VLOOKUP(AC642, Z!$A$2:$C$4127, 3, FALSE))</f>
        <v/>
      </c>
      <c r="AE642" s="270"/>
      <c r="AF642" s="265">
        <f t="shared" si="748"/>
        <v>0</v>
      </c>
      <c r="AG642" s="246"/>
      <c r="AH642" s="228">
        <f t="shared" si="771"/>
        <v>1</v>
      </c>
      <c r="AI642" s="228">
        <f t="shared" si="772"/>
        <v>1</v>
      </c>
      <c r="AJ642" s="228">
        <f t="shared" si="773"/>
        <v>0</v>
      </c>
      <c r="AK642" s="228">
        <v>0</v>
      </c>
      <c r="AL642" s="228">
        <v>0</v>
      </c>
      <c r="AM642" s="228">
        <f t="shared" si="749"/>
        <v>-100</v>
      </c>
      <c r="AN642" s="228" cm="1">
        <f t="array" ref="AN642">IF(ISBLANK(G642), 1, IFERROR(MATCH(G642, INDEX(Kat,,1), 0), IFERROR(MATCH(Kat, INDEX(Use,,2), 0), MATCH(Kat, INDEX(Use,,3), 0))))</f>
        <v>1</v>
      </c>
      <c r="AO642" s="246"/>
      <c r="AP642" s="228" cm="1">
        <f t="array" ref="AP642">IF(W642&gt;0, INDEX(Kat, AN642,4), 0)</f>
        <v>0</v>
      </c>
      <c r="AQ642" s="228">
        <f t="shared" si="774"/>
        <v>0</v>
      </c>
      <c r="AR642" s="228" cm="1">
        <f t="array" ref="AR642">IF(X642&gt;0, INDEX(Kat, $AN642, 4+AQ642), 0)</f>
        <v>0</v>
      </c>
      <c r="AS642" s="228" cm="1">
        <f t="array" ref="AS642">IF(X642&gt;0, INDEX(Kat, $AN642, 9+AQ642), 0)</f>
        <v>0</v>
      </c>
      <c r="AT642" s="246"/>
      <c r="AU642" s="262"/>
      <c r="AV642" s="262"/>
      <c r="AW642" s="263"/>
      <c r="AX642" s="263"/>
      <c r="AY642" s="263"/>
      <c r="AZ642" s="263"/>
      <c r="BA642" s="263"/>
      <c r="BB642" s="263"/>
      <c r="BC642" s="263"/>
      <c r="BD642" s="263"/>
      <c r="BE642" s="263"/>
      <c r="BF642" s="263"/>
      <c r="BG642" s="263"/>
      <c r="BH642" s="246"/>
      <c r="BI642" s="228" cm="1">
        <f t="array" ref="BI642">INDEX(Use, $AH642, 4)</f>
        <v>7</v>
      </c>
      <c r="BJ642" s="228">
        <f t="shared" si="750"/>
        <v>32</v>
      </c>
      <c r="BK642" s="228">
        <f t="shared" si="738"/>
        <v>13</v>
      </c>
      <c r="BL642" s="228">
        <f t="shared" si="739"/>
        <v>0</v>
      </c>
      <c r="BM642" s="233" cm="1">
        <f t="array" ref="BM642">L642/IF($M642&gt;0, INDEX($AY$22:$BE$76, $M642+20, $AH642), 1)</f>
        <v>0</v>
      </c>
      <c r="BN642" s="229">
        <f t="shared" si="751"/>
        <v>0</v>
      </c>
      <c r="BO642" s="228">
        <v>35</v>
      </c>
      <c r="BP642" s="229">
        <f t="shared" si="752"/>
        <v>48</v>
      </c>
      <c r="BQ642" s="234">
        <f t="shared" si="753"/>
        <v>3.0748170731707316</v>
      </c>
      <c r="BR642" s="234" cm="1">
        <f t="array" ref="BR642">$BM642 * SUMPRODUCT(INDEX($AV$76:$AX$81,,$AI642),INDEX($AY$76:$BE$81,,$AH642), N($AU$76:$AU$81&gt;$AM642)) / BQ642 / 1000</f>
        <v>0</v>
      </c>
      <c r="BS642" s="231">
        <f t="shared" si="740"/>
        <v>30</v>
      </c>
      <c r="BT642" s="229">
        <f t="shared" si="754"/>
        <v>43</v>
      </c>
      <c r="BU642" s="234">
        <f t="shared" si="755"/>
        <v>3.5018750000000001</v>
      </c>
      <c r="BV642" s="234" cm="1">
        <f t="array" ref="BV642">$BM642 * IF($AH642&lt;=2,
SUMPRODUCT(INDEX($AV$71:$AX$75,,$AI642), INDEX($AY$71:$BE$75,,$AH642), 1 / ($BF$71:$BF$75*BU642 + (1-$BF$71:$BF$75)*BQ642), N($AU$71:$AU$75&gt;$AM642)),
SUMPRODUCT(INDEX($AV$66:$AX$75,,$AI642), INDEX($AY$66:$BE$75,,$AH642), 1 / ($BG$66:$BG$75*BU642 + (1-$BG$66:$BG$75)*BQ642), N($AU$66:$AU$75&gt;$AM642))
) / 1000</f>
        <v>0</v>
      </c>
      <c r="BW642" s="231">
        <f t="shared" si="741"/>
        <v>25</v>
      </c>
      <c r="BX642" s="229">
        <f t="shared" si="756"/>
        <v>38</v>
      </c>
      <c r="BY642" s="234">
        <f t="shared" si="757"/>
        <v>4.0666935483870965</v>
      </c>
      <c r="BZ642" s="234" cm="1">
        <f t="array" ref="BZ642">$BM642 * IF($AH642&lt;=2,
SUMPRODUCT(INDEX($AV$66:$AX$70,,$AI642), INDEX($AY$66:$BE$70,,$AH642), 1 / ($BF$66:$BF$70*BY642 + (1-$BF$66:$BF$70)*BU642), N($AU$66:$AU$70&gt;$AM642)),
SUMPRODUCT(INDEX($AV$56:$AX$65,,$AI642), INDEX($AY$56:$BE$65,,$AH642), 1 / ($BG$56:$BG$65*BY642 + (1-$BG$56:$BG$65)*BU642), N($AU$56:$AU$65&gt;$AM642))
) / 1000</f>
        <v>0</v>
      </c>
      <c r="CA642" s="231">
        <f t="shared" si="742"/>
        <v>20</v>
      </c>
      <c r="CB642" s="229">
        <f t="shared" si="758"/>
        <v>33</v>
      </c>
      <c r="CC642" s="234">
        <f t="shared" si="759"/>
        <v>4.8487499999999999</v>
      </c>
      <c r="CD642" s="234" cm="1">
        <f t="array" ref="CD642">$BM642 * IF($AH642&lt;=2,
SUMPRODUCT(INDEX($AV$61:$AX$65,,$AI642), INDEX($AY$61:$BE$65,,$AH642), 1 / ($BF$61:$BF$65*CC642 + (1-$BF$61:$BF$65)*BY642), N($AU$61:$AU$65&gt;$AM642)),
SUMPRODUCT(INDEX($AV$46:$AX$55,,$AI642), INDEX($AY$46:$BE$55,,$AH642), 1 / ($BG$46:$BG$55*CC642 + (1-$BG$46:$BG$55)*BY642), N($AU$46:$AU$55&gt;$AM642))
) / 1000</f>
        <v>0</v>
      </c>
      <c r="CE642" s="234" cm="1">
        <f t="array" ref="CE642">$BM642 * IF($AH642&lt;=2,
SUMPRODUCT(INDEX($AV$22:$AX$60,,$AI642), INDEX($AY$22:$BE$60,,$AH642), 1 / ($BF$22:$BF$60*CC642), N($AU$22:$AU$60&gt;$AM642)),
SUMPRODUCT(INDEX($AV$22:$AX$45,,$AI642), INDEX($AY$22:$BE$45,,$AH642), 1 / ($BG$22:$BG$45*CC642), N($AU$22:$AU$45&gt;$AM642))
) / 1000</f>
        <v>0</v>
      </c>
      <c r="CF642" s="229">
        <f t="shared" si="760"/>
        <v>0</v>
      </c>
      <c r="CG642" s="246"/>
      <c r="CH642" s="229">
        <f t="shared" si="761"/>
        <v>0</v>
      </c>
      <c r="CI642" s="228">
        <v>35</v>
      </c>
      <c r="CJ642" s="229">
        <f t="shared" si="762"/>
        <v>48</v>
      </c>
      <c r="CK642" s="234">
        <f t="shared" si="763"/>
        <v>3.0748170731707316</v>
      </c>
      <c r="CL642" s="234" cm="1">
        <f t="array" ref="CL642">$BM642 * SUMPRODUCT(INDEX($AV$76:$AX$81,,$AI642),INDEX($AY$76:$BE$81,,$AH642), N($AU$76:$AU$81&gt;$AM642)) / CK642 / 1000</f>
        <v>0</v>
      </c>
      <c r="CM642" s="231">
        <f t="shared" si="743"/>
        <v>30</v>
      </c>
      <c r="CN642" s="229">
        <f t="shared" si="764"/>
        <v>43</v>
      </c>
      <c r="CO642" s="234">
        <f t="shared" si="765"/>
        <v>3.5018750000000001</v>
      </c>
      <c r="CP642" s="234" cm="1">
        <f t="array" ref="CP642">$BM642 * IF($AH642&lt;=2,
SUMPRODUCT(INDEX($AV$71:$AX$75,,$AI642), INDEX($AY$71:$BE$75,,$AH642), 1 / ($BF$71:$BF$75*CO642 + (1-$BF$71:$BF$75)*CK642), N($AU$71:$AU$75&gt;$AM642)),
SUMPRODUCT(INDEX($AV$66:$AX$75,,$AI642), INDEX($AY$66:$BE$75,,$AH642), 1 / ($BG$66:$BG$75*CO642 + (1-$BG$66:$BG$75)*CK642), N($AU$66:$AU$75&gt;$AM642))
) / 1000</f>
        <v>0</v>
      </c>
      <c r="CQ642" s="231">
        <f t="shared" si="744"/>
        <v>25</v>
      </c>
      <c r="CR642" s="229">
        <f t="shared" si="766"/>
        <v>38</v>
      </c>
      <c r="CS642" s="234">
        <f t="shared" si="767"/>
        <v>4.0666935483870965</v>
      </c>
      <c r="CT642" s="234" cm="1">
        <f t="array" ref="CT642">$BM642 * IF($AH642&lt;=2,
SUMPRODUCT(INDEX($AV$66:$AX$70,,$AI642), INDEX($AY$66:$BE$70,,$AH642), 1 / ($BF$66:$BF$70*CS642 + (1-$BF$66:$BF$70)*CO642), N($AU$66:$AU$70&gt;$AM642)),
SUMPRODUCT(INDEX($AV$56:$AX$65,,$AI642), INDEX($AY$56:$BE$65,,$AH642), 1 / ($BG$56:$BG$65*CS642 + (1-$BG$56:$BG$65)*CO642), N($AU$56:$AU$65&gt;$AM642))
) / 1000</f>
        <v>0</v>
      </c>
      <c r="CU642" s="231">
        <f t="shared" si="745"/>
        <v>20</v>
      </c>
      <c r="CV642" s="229">
        <f t="shared" si="768"/>
        <v>33</v>
      </c>
      <c r="CW642" s="234">
        <f t="shared" si="769"/>
        <v>4.8487499999999999</v>
      </c>
      <c r="CX642" s="234" cm="1">
        <f t="array" ref="CX642">$BM642 * IF($AH642&lt;=2,
SUMPRODUCT(INDEX($AV$61:$AX$65,,$AI642), INDEX($AY$61:$BE$65,,$AH642), 1 / ($BF$61:$BF$65*CW642 + (1-$BF$61:$BF$65)*CS642), N($AU$61:$AU$65&gt;$AM642)),
SUMPRODUCT(INDEX($AV$46:$AX$55,,$AI642), INDEX($AY$46:$BE$55,,$AH642), 1 / ($BG$46:$BG$55*CW642 + (1-$BG$46:$BG$55)*CS642), N($AU$46:$AU$55&gt;$AM642))
) / 1000</f>
        <v>0</v>
      </c>
      <c r="CY642" s="234" cm="1">
        <f t="array" ref="CY642">$BM642 * IF($AH642&lt;=2,
SUMPRODUCT(INDEX($AV$22:$AX$60,,$AI642), INDEX($AY$22:$BE$60,,$AH642), 1 / ($BF$22:$BF$60*CW642), N($AU$22:$AU$60&gt;$AM642)),
SUMPRODUCT(INDEX($AV$22:$AX$45,,$AI642), INDEX($AY$22:$BE$45,,$AH642), 1 / ($BG$22:$BG$45*CW642), N($AU$22:$AU$45&gt;$AM642))
) / 1000</f>
        <v>0</v>
      </c>
      <c r="CZ642" s="229">
        <f t="shared" si="770"/>
        <v>0</v>
      </c>
      <c r="DA642" s="246"/>
    </row>
    <row r="643" spans="1:105" s="75" customFormat="1" ht="14.25" customHeight="1" x14ac:dyDescent="0.2">
      <c r="A643" s="230" t="b">
        <f t="shared" si="737"/>
        <v>0</v>
      </c>
      <c r="B643" s="253">
        <v>622</v>
      </c>
      <c r="C643" s="266"/>
      <c r="D643" s="266"/>
      <c r="E643" s="254"/>
      <c r="F643" s="255" t="str">
        <f>IF(ISBLANK(E643), "", VLOOKUP(E643, Z!$A$2:$C$4127, 3, FALSE))</f>
        <v/>
      </c>
      <c r="G643" s="256"/>
      <c r="H643" s="256"/>
      <c r="I643" s="256"/>
      <c r="J643" s="257"/>
      <c r="K643" s="258"/>
      <c r="L643" s="267"/>
      <c r="M643" s="268"/>
      <c r="N643" s="259" t="str" cm="1">
        <f t="array" ref="N643">IF($L643&gt;0, INDEX(Clean,1+AK643,$D$1), "")</f>
        <v/>
      </c>
      <c r="O643" s="260"/>
      <c r="P643" s="260"/>
      <c r="Q643" s="261"/>
      <c r="R643" s="264">
        <f t="shared" si="746"/>
        <v>0</v>
      </c>
      <c r="S643" s="259" t="str" cm="1">
        <f t="array" ref="S643">IF($L643&gt;0, INDEX(Clean,1+AL643,$D$1), "")</f>
        <v/>
      </c>
      <c r="T643" s="260"/>
      <c r="U643" s="260"/>
      <c r="V643" s="261"/>
      <c r="W643" s="267"/>
      <c r="X643" s="267"/>
      <c r="Y643" s="257"/>
      <c r="Z643" s="264">
        <f t="shared" si="747"/>
        <v>0</v>
      </c>
      <c r="AA643" s="269"/>
      <c r="AB643" s="266"/>
      <c r="AC643" s="254"/>
      <c r="AD643" s="255" t="str">
        <f>IF(ISBLANK(AC643), "", VLOOKUP(AC643, Z!$A$2:$C$4127, 3, FALSE))</f>
        <v/>
      </c>
      <c r="AE643" s="270"/>
      <c r="AF643" s="265">
        <f t="shared" si="748"/>
        <v>0</v>
      </c>
      <c r="AG643" s="246"/>
      <c r="AH643" s="228">
        <f t="shared" si="771"/>
        <v>1</v>
      </c>
      <c r="AI643" s="228">
        <f t="shared" si="772"/>
        <v>1</v>
      </c>
      <c r="AJ643" s="228">
        <f t="shared" si="773"/>
        <v>0</v>
      </c>
      <c r="AK643" s="228">
        <v>0</v>
      </c>
      <c r="AL643" s="228">
        <v>0</v>
      </c>
      <c r="AM643" s="228">
        <f t="shared" si="749"/>
        <v>-100</v>
      </c>
      <c r="AN643" s="228" cm="1">
        <f t="array" ref="AN643">IF(ISBLANK(G643), 1, IFERROR(MATCH(G643, INDEX(Kat,,1), 0), IFERROR(MATCH(Kat, INDEX(Use,,2), 0), MATCH(Kat, INDEX(Use,,3), 0))))</f>
        <v>1</v>
      </c>
      <c r="AO643" s="246"/>
      <c r="AP643" s="228" cm="1">
        <f t="array" ref="AP643">IF(W643&gt;0, INDEX(Kat, AN643,4), 0)</f>
        <v>0</v>
      </c>
      <c r="AQ643" s="228">
        <f t="shared" si="774"/>
        <v>0</v>
      </c>
      <c r="AR643" s="228" cm="1">
        <f t="array" ref="AR643">IF(X643&gt;0, INDEX(Kat, $AN643, 4+AQ643), 0)</f>
        <v>0</v>
      </c>
      <c r="AS643" s="228" cm="1">
        <f t="array" ref="AS643">IF(X643&gt;0, INDEX(Kat, $AN643, 9+AQ643), 0)</f>
        <v>0</v>
      </c>
      <c r="AT643" s="246"/>
      <c r="AU643" s="262"/>
      <c r="AV643" s="262"/>
      <c r="AW643" s="263"/>
      <c r="AX643" s="263"/>
      <c r="AY643" s="263"/>
      <c r="AZ643" s="263"/>
      <c r="BA643" s="263"/>
      <c r="BB643" s="263"/>
      <c r="BC643" s="263"/>
      <c r="BD643" s="263"/>
      <c r="BE643" s="263"/>
      <c r="BF643" s="263"/>
      <c r="BG643" s="263"/>
      <c r="BH643" s="246"/>
      <c r="BI643" s="228" cm="1">
        <f t="array" ref="BI643">INDEX(Use, $AH643, 4)</f>
        <v>7</v>
      </c>
      <c r="BJ643" s="228">
        <f t="shared" si="750"/>
        <v>32</v>
      </c>
      <c r="BK643" s="228">
        <f t="shared" si="738"/>
        <v>13</v>
      </c>
      <c r="BL643" s="228">
        <f t="shared" si="739"/>
        <v>0</v>
      </c>
      <c r="BM643" s="233" cm="1">
        <f t="array" ref="BM643">L643/IF($M643&gt;0, INDEX($AY$22:$BE$76, $M643+20, $AH643), 1)</f>
        <v>0</v>
      </c>
      <c r="BN643" s="229">
        <f t="shared" si="751"/>
        <v>0</v>
      </c>
      <c r="BO643" s="228">
        <v>35</v>
      </c>
      <c r="BP643" s="229">
        <f t="shared" si="752"/>
        <v>48</v>
      </c>
      <c r="BQ643" s="234">
        <f t="shared" si="753"/>
        <v>3.0748170731707316</v>
      </c>
      <c r="BR643" s="234" cm="1">
        <f t="array" ref="BR643">$BM643 * SUMPRODUCT(INDEX($AV$76:$AX$81,,$AI643),INDEX($AY$76:$BE$81,,$AH643), N($AU$76:$AU$81&gt;$AM643)) / BQ643 / 1000</f>
        <v>0</v>
      </c>
      <c r="BS643" s="231">
        <f t="shared" si="740"/>
        <v>30</v>
      </c>
      <c r="BT643" s="229">
        <f t="shared" si="754"/>
        <v>43</v>
      </c>
      <c r="BU643" s="234">
        <f t="shared" si="755"/>
        <v>3.5018750000000001</v>
      </c>
      <c r="BV643" s="234" cm="1">
        <f t="array" ref="BV643">$BM643 * IF($AH643&lt;=2,
SUMPRODUCT(INDEX($AV$71:$AX$75,,$AI643), INDEX($AY$71:$BE$75,,$AH643), 1 / ($BF$71:$BF$75*BU643 + (1-$BF$71:$BF$75)*BQ643), N($AU$71:$AU$75&gt;$AM643)),
SUMPRODUCT(INDEX($AV$66:$AX$75,,$AI643), INDEX($AY$66:$BE$75,,$AH643), 1 / ($BG$66:$BG$75*BU643 + (1-$BG$66:$BG$75)*BQ643), N($AU$66:$AU$75&gt;$AM643))
) / 1000</f>
        <v>0</v>
      </c>
      <c r="BW643" s="231">
        <f t="shared" si="741"/>
        <v>25</v>
      </c>
      <c r="BX643" s="229">
        <f t="shared" si="756"/>
        <v>38</v>
      </c>
      <c r="BY643" s="234">
        <f t="shared" si="757"/>
        <v>4.0666935483870965</v>
      </c>
      <c r="BZ643" s="234" cm="1">
        <f t="array" ref="BZ643">$BM643 * IF($AH643&lt;=2,
SUMPRODUCT(INDEX($AV$66:$AX$70,,$AI643), INDEX($AY$66:$BE$70,,$AH643), 1 / ($BF$66:$BF$70*BY643 + (1-$BF$66:$BF$70)*BU643), N($AU$66:$AU$70&gt;$AM643)),
SUMPRODUCT(INDEX($AV$56:$AX$65,,$AI643), INDEX($AY$56:$BE$65,,$AH643), 1 / ($BG$56:$BG$65*BY643 + (1-$BG$56:$BG$65)*BU643), N($AU$56:$AU$65&gt;$AM643))
) / 1000</f>
        <v>0</v>
      </c>
      <c r="CA643" s="231">
        <f t="shared" si="742"/>
        <v>20</v>
      </c>
      <c r="CB643" s="229">
        <f t="shared" si="758"/>
        <v>33</v>
      </c>
      <c r="CC643" s="234">
        <f t="shared" si="759"/>
        <v>4.8487499999999999</v>
      </c>
      <c r="CD643" s="234" cm="1">
        <f t="array" ref="CD643">$BM643 * IF($AH643&lt;=2,
SUMPRODUCT(INDEX($AV$61:$AX$65,,$AI643), INDEX($AY$61:$BE$65,,$AH643), 1 / ($BF$61:$BF$65*CC643 + (1-$BF$61:$BF$65)*BY643), N($AU$61:$AU$65&gt;$AM643)),
SUMPRODUCT(INDEX($AV$46:$AX$55,,$AI643), INDEX($AY$46:$BE$55,,$AH643), 1 / ($BG$46:$BG$55*CC643 + (1-$BG$46:$BG$55)*BY643), N($AU$46:$AU$55&gt;$AM643))
) / 1000</f>
        <v>0</v>
      </c>
      <c r="CE643" s="234" cm="1">
        <f t="array" ref="CE643">$BM643 * IF($AH643&lt;=2,
SUMPRODUCT(INDEX($AV$22:$AX$60,,$AI643), INDEX($AY$22:$BE$60,,$AH643), 1 / ($BF$22:$BF$60*CC643), N($AU$22:$AU$60&gt;$AM643)),
SUMPRODUCT(INDEX($AV$22:$AX$45,,$AI643), INDEX($AY$22:$BE$45,,$AH643), 1 / ($BG$22:$BG$45*CC643), N($AU$22:$AU$45&gt;$AM643))
) / 1000</f>
        <v>0</v>
      </c>
      <c r="CF643" s="229">
        <f t="shared" si="760"/>
        <v>0</v>
      </c>
      <c r="CG643" s="246"/>
      <c r="CH643" s="229">
        <f t="shared" si="761"/>
        <v>0</v>
      </c>
      <c r="CI643" s="228">
        <v>35</v>
      </c>
      <c r="CJ643" s="229">
        <f t="shared" si="762"/>
        <v>48</v>
      </c>
      <c r="CK643" s="234">
        <f t="shared" si="763"/>
        <v>3.0748170731707316</v>
      </c>
      <c r="CL643" s="234" cm="1">
        <f t="array" ref="CL643">$BM643 * SUMPRODUCT(INDEX($AV$76:$AX$81,,$AI643),INDEX($AY$76:$BE$81,,$AH643), N($AU$76:$AU$81&gt;$AM643)) / CK643 / 1000</f>
        <v>0</v>
      </c>
      <c r="CM643" s="231">
        <f t="shared" si="743"/>
        <v>30</v>
      </c>
      <c r="CN643" s="229">
        <f t="shared" si="764"/>
        <v>43</v>
      </c>
      <c r="CO643" s="234">
        <f t="shared" si="765"/>
        <v>3.5018750000000001</v>
      </c>
      <c r="CP643" s="234" cm="1">
        <f t="array" ref="CP643">$BM643 * IF($AH643&lt;=2,
SUMPRODUCT(INDEX($AV$71:$AX$75,,$AI643), INDEX($AY$71:$BE$75,,$AH643), 1 / ($BF$71:$BF$75*CO643 + (1-$BF$71:$BF$75)*CK643), N($AU$71:$AU$75&gt;$AM643)),
SUMPRODUCT(INDEX($AV$66:$AX$75,,$AI643), INDEX($AY$66:$BE$75,,$AH643), 1 / ($BG$66:$BG$75*CO643 + (1-$BG$66:$BG$75)*CK643), N($AU$66:$AU$75&gt;$AM643))
) / 1000</f>
        <v>0</v>
      </c>
      <c r="CQ643" s="231">
        <f t="shared" si="744"/>
        <v>25</v>
      </c>
      <c r="CR643" s="229">
        <f t="shared" si="766"/>
        <v>38</v>
      </c>
      <c r="CS643" s="234">
        <f t="shared" si="767"/>
        <v>4.0666935483870965</v>
      </c>
      <c r="CT643" s="234" cm="1">
        <f t="array" ref="CT643">$BM643 * IF($AH643&lt;=2,
SUMPRODUCT(INDEX($AV$66:$AX$70,,$AI643), INDEX($AY$66:$BE$70,,$AH643), 1 / ($BF$66:$BF$70*CS643 + (1-$BF$66:$BF$70)*CO643), N($AU$66:$AU$70&gt;$AM643)),
SUMPRODUCT(INDEX($AV$56:$AX$65,,$AI643), INDEX($AY$56:$BE$65,,$AH643), 1 / ($BG$56:$BG$65*CS643 + (1-$BG$56:$BG$65)*CO643), N($AU$56:$AU$65&gt;$AM643))
) / 1000</f>
        <v>0</v>
      </c>
      <c r="CU643" s="231">
        <f t="shared" si="745"/>
        <v>20</v>
      </c>
      <c r="CV643" s="229">
        <f t="shared" si="768"/>
        <v>33</v>
      </c>
      <c r="CW643" s="234">
        <f t="shared" si="769"/>
        <v>4.8487499999999999</v>
      </c>
      <c r="CX643" s="234" cm="1">
        <f t="array" ref="CX643">$BM643 * IF($AH643&lt;=2,
SUMPRODUCT(INDEX($AV$61:$AX$65,,$AI643), INDEX($AY$61:$BE$65,,$AH643), 1 / ($BF$61:$BF$65*CW643 + (1-$BF$61:$BF$65)*CS643), N($AU$61:$AU$65&gt;$AM643)),
SUMPRODUCT(INDEX($AV$46:$AX$55,,$AI643), INDEX($AY$46:$BE$55,,$AH643), 1 / ($BG$46:$BG$55*CW643 + (1-$BG$46:$BG$55)*CS643), N($AU$46:$AU$55&gt;$AM643))
) / 1000</f>
        <v>0</v>
      </c>
      <c r="CY643" s="234" cm="1">
        <f t="array" ref="CY643">$BM643 * IF($AH643&lt;=2,
SUMPRODUCT(INDEX($AV$22:$AX$60,,$AI643), INDEX($AY$22:$BE$60,,$AH643), 1 / ($BF$22:$BF$60*CW643), N($AU$22:$AU$60&gt;$AM643)),
SUMPRODUCT(INDEX($AV$22:$AX$45,,$AI643), INDEX($AY$22:$BE$45,,$AH643), 1 / ($BG$22:$BG$45*CW643), N($AU$22:$AU$45&gt;$AM643))
) / 1000</f>
        <v>0</v>
      </c>
      <c r="CZ643" s="229">
        <f t="shared" si="770"/>
        <v>0</v>
      </c>
      <c r="DA643" s="246"/>
    </row>
    <row r="644" spans="1:105" s="75" customFormat="1" ht="14.25" customHeight="1" x14ac:dyDescent="0.2">
      <c r="A644" s="230" t="b">
        <f t="shared" si="737"/>
        <v>0</v>
      </c>
      <c r="B644" s="253">
        <v>623</v>
      </c>
      <c r="C644" s="266"/>
      <c r="D644" s="266"/>
      <c r="E644" s="254"/>
      <c r="F644" s="255" t="str">
        <f>IF(ISBLANK(E644), "", VLOOKUP(E644, Z!$A$2:$C$4127, 3, FALSE))</f>
        <v/>
      </c>
      <c r="G644" s="256"/>
      <c r="H644" s="256"/>
      <c r="I644" s="256"/>
      <c r="J644" s="257"/>
      <c r="K644" s="258"/>
      <c r="L644" s="267"/>
      <c r="M644" s="268"/>
      <c r="N644" s="259" t="str" cm="1">
        <f t="array" ref="N644">IF($L644&gt;0, INDEX(Clean,1+AK644,$D$1), "")</f>
        <v/>
      </c>
      <c r="O644" s="260"/>
      <c r="P644" s="260"/>
      <c r="Q644" s="261"/>
      <c r="R644" s="264">
        <f t="shared" si="746"/>
        <v>0</v>
      </c>
      <c r="S644" s="259" t="str" cm="1">
        <f t="array" ref="S644">IF($L644&gt;0, INDEX(Clean,1+AL644,$D$1), "")</f>
        <v/>
      </c>
      <c r="T644" s="260"/>
      <c r="U644" s="260"/>
      <c r="V644" s="261"/>
      <c r="W644" s="267"/>
      <c r="X644" s="267"/>
      <c r="Y644" s="257"/>
      <c r="Z644" s="264">
        <f t="shared" si="747"/>
        <v>0</v>
      </c>
      <c r="AA644" s="269"/>
      <c r="AB644" s="266"/>
      <c r="AC644" s="254"/>
      <c r="AD644" s="255" t="str">
        <f>IF(ISBLANK(AC644), "", VLOOKUP(AC644, Z!$A$2:$C$4127, 3, FALSE))</f>
        <v/>
      </c>
      <c r="AE644" s="270"/>
      <c r="AF644" s="265">
        <f t="shared" si="748"/>
        <v>0</v>
      </c>
      <c r="AG644" s="246"/>
      <c r="AH644" s="228">
        <f t="shared" si="771"/>
        <v>1</v>
      </c>
      <c r="AI644" s="228">
        <f t="shared" si="772"/>
        <v>1</v>
      </c>
      <c r="AJ644" s="228">
        <f t="shared" si="773"/>
        <v>0</v>
      </c>
      <c r="AK644" s="228">
        <v>0</v>
      </c>
      <c r="AL644" s="228">
        <v>0</v>
      </c>
      <c r="AM644" s="228">
        <f t="shared" si="749"/>
        <v>-100</v>
      </c>
      <c r="AN644" s="228" cm="1">
        <f t="array" ref="AN644">IF(ISBLANK(G644), 1, IFERROR(MATCH(G644, INDEX(Kat,,1), 0), IFERROR(MATCH(Kat, INDEX(Use,,2), 0), MATCH(Kat, INDEX(Use,,3), 0))))</f>
        <v>1</v>
      </c>
      <c r="AO644" s="246"/>
      <c r="AP644" s="228" cm="1">
        <f t="array" ref="AP644">IF(W644&gt;0, INDEX(Kat, AN644,4), 0)</f>
        <v>0</v>
      </c>
      <c r="AQ644" s="228">
        <f t="shared" si="774"/>
        <v>0</v>
      </c>
      <c r="AR644" s="228" cm="1">
        <f t="array" ref="AR644">IF(X644&gt;0, INDEX(Kat, $AN644, 4+AQ644), 0)</f>
        <v>0</v>
      </c>
      <c r="AS644" s="228" cm="1">
        <f t="array" ref="AS644">IF(X644&gt;0, INDEX(Kat, $AN644, 9+AQ644), 0)</f>
        <v>0</v>
      </c>
      <c r="AT644" s="246"/>
      <c r="AU644" s="262"/>
      <c r="AV644" s="262"/>
      <c r="AW644" s="263"/>
      <c r="AX644" s="263"/>
      <c r="AY644" s="263"/>
      <c r="AZ644" s="263"/>
      <c r="BA644" s="263"/>
      <c r="BB644" s="263"/>
      <c r="BC644" s="263"/>
      <c r="BD644" s="263"/>
      <c r="BE644" s="263"/>
      <c r="BF644" s="263"/>
      <c r="BG644" s="263"/>
      <c r="BH644" s="246"/>
      <c r="BI644" s="228" cm="1">
        <f t="array" ref="BI644">INDEX(Use, $AH644, 4)</f>
        <v>7</v>
      </c>
      <c r="BJ644" s="228">
        <f t="shared" si="750"/>
        <v>32</v>
      </c>
      <c r="BK644" s="228">
        <f t="shared" si="738"/>
        <v>13</v>
      </c>
      <c r="BL644" s="228">
        <f t="shared" si="739"/>
        <v>0</v>
      </c>
      <c r="BM644" s="233" cm="1">
        <f t="array" ref="BM644">L644/IF($M644&gt;0, INDEX($AY$22:$BE$76, $M644+20, $AH644), 1)</f>
        <v>0</v>
      </c>
      <c r="BN644" s="229">
        <f t="shared" si="751"/>
        <v>0</v>
      </c>
      <c r="BO644" s="228">
        <v>35</v>
      </c>
      <c r="BP644" s="229">
        <f t="shared" si="752"/>
        <v>48</v>
      </c>
      <c r="BQ644" s="234">
        <f t="shared" si="753"/>
        <v>3.0748170731707316</v>
      </c>
      <c r="BR644" s="234" cm="1">
        <f t="array" ref="BR644">$BM644 * SUMPRODUCT(INDEX($AV$76:$AX$81,,$AI644),INDEX($AY$76:$BE$81,,$AH644), N($AU$76:$AU$81&gt;$AM644)) / BQ644 / 1000</f>
        <v>0</v>
      </c>
      <c r="BS644" s="231">
        <f t="shared" si="740"/>
        <v>30</v>
      </c>
      <c r="BT644" s="229">
        <f t="shared" si="754"/>
        <v>43</v>
      </c>
      <c r="BU644" s="234">
        <f t="shared" si="755"/>
        <v>3.5018750000000001</v>
      </c>
      <c r="BV644" s="234" cm="1">
        <f t="array" ref="BV644">$BM644 * IF($AH644&lt;=2,
SUMPRODUCT(INDEX($AV$71:$AX$75,,$AI644), INDEX($AY$71:$BE$75,,$AH644), 1 / ($BF$71:$BF$75*BU644 + (1-$BF$71:$BF$75)*BQ644), N($AU$71:$AU$75&gt;$AM644)),
SUMPRODUCT(INDEX($AV$66:$AX$75,,$AI644), INDEX($AY$66:$BE$75,,$AH644), 1 / ($BG$66:$BG$75*BU644 + (1-$BG$66:$BG$75)*BQ644), N($AU$66:$AU$75&gt;$AM644))
) / 1000</f>
        <v>0</v>
      </c>
      <c r="BW644" s="231">
        <f t="shared" si="741"/>
        <v>25</v>
      </c>
      <c r="BX644" s="229">
        <f t="shared" si="756"/>
        <v>38</v>
      </c>
      <c r="BY644" s="234">
        <f t="shared" si="757"/>
        <v>4.0666935483870965</v>
      </c>
      <c r="BZ644" s="234" cm="1">
        <f t="array" ref="BZ644">$BM644 * IF($AH644&lt;=2,
SUMPRODUCT(INDEX($AV$66:$AX$70,,$AI644), INDEX($AY$66:$BE$70,,$AH644), 1 / ($BF$66:$BF$70*BY644 + (1-$BF$66:$BF$70)*BU644), N($AU$66:$AU$70&gt;$AM644)),
SUMPRODUCT(INDEX($AV$56:$AX$65,,$AI644), INDEX($AY$56:$BE$65,,$AH644), 1 / ($BG$56:$BG$65*BY644 + (1-$BG$56:$BG$65)*BU644), N($AU$56:$AU$65&gt;$AM644))
) / 1000</f>
        <v>0</v>
      </c>
      <c r="CA644" s="231">
        <f t="shared" si="742"/>
        <v>20</v>
      </c>
      <c r="CB644" s="229">
        <f t="shared" si="758"/>
        <v>33</v>
      </c>
      <c r="CC644" s="234">
        <f t="shared" si="759"/>
        <v>4.8487499999999999</v>
      </c>
      <c r="CD644" s="234" cm="1">
        <f t="array" ref="CD644">$BM644 * IF($AH644&lt;=2,
SUMPRODUCT(INDEX($AV$61:$AX$65,,$AI644), INDEX($AY$61:$BE$65,,$AH644), 1 / ($BF$61:$BF$65*CC644 + (1-$BF$61:$BF$65)*BY644), N($AU$61:$AU$65&gt;$AM644)),
SUMPRODUCT(INDEX($AV$46:$AX$55,,$AI644), INDEX($AY$46:$BE$55,,$AH644), 1 / ($BG$46:$BG$55*CC644 + (1-$BG$46:$BG$55)*BY644), N($AU$46:$AU$55&gt;$AM644))
) / 1000</f>
        <v>0</v>
      </c>
      <c r="CE644" s="234" cm="1">
        <f t="array" ref="CE644">$BM644 * IF($AH644&lt;=2,
SUMPRODUCT(INDEX($AV$22:$AX$60,,$AI644), INDEX($AY$22:$BE$60,,$AH644), 1 / ($BF$22:$BF$60*CC644), N($AU$22:$AU$60&gt;$AM644)),
SUMPRODUCT(INDEX($AV$22:$AX$45,,$AI644), INDEX($AY$22:$BE$45,,$AH644), 1 / ($BG$22:$BG$45*CC644), N($AU$22:$AU$45&gt;$AM644))
) / 1000</f>
        <v>0</v>
      </c>
      <c r="CF644" s="229">
        <f t="shared" si="760"/>
        <v>0</v>
      </c>
      <c r="CG644" s="246"/>
      <c r="CH644" s="229">
        <f t="shared" si="761"/>
        <v>0</v>
      </c>
      <c r="CI644" s="228">
        <v>35</v>
      </c>
      <c r="CJ644" s="229">
        <f t="shared" si="762"/>
        <v>48</v>
      </c>
      <c r="CK644" s="234">
        <f t="shared" si="763"/>
        <v>3.0748170731707316</v>
      </c>
      <c r="CL644" s="234" cm="1">
        <f t="array" ref="CL644">$BM644 * SUMPRODUCT(INDEX($AV$76:$AX$81,,$AI644),INDEX($AY$76:$BE$81,,$AH644), N($AU$76:$AU$81&gt;$AM644)) / CK644 / 1000</f>
        <v>0</v>
      </c>
      <c r="CM644" s="231">
        <f t="shared" si="743"/>
        <v>30</v>
      </c>
      <c r="CN644" s="229">
        <f t="shared" si="764"/>
        <v>43</v>
      </c>
      <c r="CO644" s="234">
        <f t="shared" si="765"/>
        <v>3.5018750000000001</v>
      </c>
      <c r="CP644" s="234" cm="1">
        <f t="array" ref="CP644">$BM644 * IF($AH644&lt;=2,
SUMPRODUCT(INDEX($AV$71:$AX$75,,$AI644), INDEX($AY$71:$BE$75,,$AH644), 1 / ($BF$71:$BF$75*CO644 + (1-$BF$71:$BF$75)*CK644), N($AU$71:$AU$75&gt;$AM644)),
SUMPRODUCT(INDEX($AV$66:$AX$75,,$AI644), INDEX($AY$66:$BE$75,,$AH644), 1 / ($BG$66:$BG$75*CO644 + (1-$BG$66:$BG$75)*CK644), N($AU$66:$AU$75&gt;$AM644))
) / 1000</f>
        <v>0</v>
      </c>
      <c r="CQ644" s="231">
        <f t="shared" si="744"/>
        <v>25</v>
      </c>
      <c r="CR644" s="229">
        <f t="shared" si="766"/>
        <v>38</v>
      </c>
      <c r="CS644" s="234">
        <f t="shared" si="767"/>
        <v>4.0666935483870965</v>
      </c>
      <c r="CT644" s="234" cm="1">
        <f t="array" ref="CT644">$BM644 * IF($AH644&lt;=2,
SUMPRODUCT(INDEX($AV$66:$AX$70,,$AI644), INDEX($AY$66:$BE$70,,$AH644), 1 / ($BF$66:$BF$70*CS644 + (1-$BF$66:$BF$70)*CO644), N($AU$66:$AU$70&gt;$AM644)),
SUMPRODUCT(INDEX($AV$56:$AX$65,,$AI644), INDEX($AY$56:$BE$65,,$AH644), 1 / ($BG$56:$BG$65*CS644 + (1-$BG$56:$BG$65)*CO644), N($AU$56:$AU$65&gt;$AM644))
) / 1000</f>
        <v>0</v>
      </c>
      <c r="CU644" s="231">
        <f t="shared" si="745"/>
        <v>20</v>
      </c>
      <c r="CV644" s="229">
        <f t="shared" si="768"/>
        <v>33</v>
      </c>
      <c r="CW644" s="234">
        <f t="shared" si="769"/>
        <v>4.8487499999999999</v>
      </c>
      <c r="CX644" s="234" cm="1">
        <f t="array" ref="CX644">$BM644 * IF($AH644&lt;=2,
SUMPRODUCT(INDEX($AV$61:$AX$65,,$AI644), INDEX($AY$61:$BE$65,,$AH644), 1 / ($BF$61:$BF$65*CW644 + (1-$BF$61:$BF$65)*CS644), N($AU$61:$AU$65&gt;$AM644)),
SUMPRODUCT(INDEX($AV$46:$AX$55,,$AI644), INDEX($AY$46:$BE$55,,$AH644), 1 / ($BG$46:$BG$55*CW644 + (1-$BG$46:$BG$55)*CS644), N($AU$46:$AU$55&gt;$AM644))
) / 1000</f>
        <v>0</v>
      </c>
      <c r="CY644" s="234" cm="1">
        <f t="array" ref="CY644">$BM644 * IF($AH644&lt;=2,
SUMPRODUCT(INDEX($AV$22:$AX$60,,$AI644), INDEX($AY$22:$BE$60,,$AH644), 1 / ($BF$22:$BF$60*CW644), N($AU$22:$AU$60&gt;$AM644)),
SUMPRODUCT(INDEX($AV$22:$AX$45,,$AI644), INDEX($AY$22:$BE$45,,$AH644), 1 / ($BG$22:$BG$45*CW644), N($AU$22:$AU$45&gt;$AM644))
) / 1000</f>
        <v>0</v>
      </c>
      <c r="CZ644" s="229">
        <f t="shared" si="770"/>
        <v>0</v>
      </c>
      <c r="DA644" s="246"/>
    </row>
    <row r="645" spans="1:105" s="75" customFormat="1" ht="14.25" customHeight="1" x14ac:dyDescent="0.2">
      <c r="A645" s="230" t="b">
        <f t="shared" si="737"/>
        <v>0</v>
      </c>
      <c r="B645" s="253">
        <v>624</v>
      </c>
      <c r="C645" s="266"/>
      <c r="D645" s="266"/>
      <c r="E645" s="254"/>
      <c r="F645" s="255" t="str">
        <f>IF(ISBLANK(E645), "", VLOOKUP(E645, Z!$A$2:$C$4127, 3, FALSE))</f>
        <v/>
      </c>
      <c r="G645" s="256"/>
      <c r="H645" s="256"/>
      <c r="I645" s="256"/>
      <c r="J645" s="257"/>
      <c r="K645" s="258"/>
      <c r="L645" s="267"/>
      <c r="M645" s="268"/>
      <c r="N645" s="259" t="str" cm="1">
        <f t="array" ref="N645">IF($L645&gt;0, INDEX(Clean,1+AK645,$D$1), "")</f>
        <v/>
      </c>
      <c r="O645" s="260"/>
      <c r="P645" s="260"/>
      <c r="Q645" s="261"/>
      <c r="R645" s="264">
        <f t="shared" si="746"/>
        <v>0</v>
      </c>
      <c r="S645" s="259" t="str" cm="1">
        <f t="array" ref="S645">IF($L645&gt;0, INDEX(Clean,1+AL645,$D$1), "")</f>
        <v/>
      </c>
      <c r="T645" s="260"/>
      <c r="U645" s="260"/>
      <c r="V645" s="261"/>
      <c r="W645" s="267"/>
      <c r="X645" s="267"/>
      <c r="Y645" s="257"/>
      <c r="Z645" s="264">
        <f t="shared" si="747"/>
        <v>0</v>
      </c>
      <c r="AA645" s="269"/>
      <c r="AB645" s="266"/>
      <c r="AC645" s="254"/>
      <c r="AD645" s="255" t="str">
        <f>IF(ISBLANK(AC645), "", VLOOKUP(AC645, Z!$A$2:$C$4127, 3, FALSE))</f>
        <v/>
      </c>
      <c r="AE645" s="270"/>
      <c r="AF645" s="265">
        <f t="shared" si="748"/>
        <v>0</v>
      </c>
      <c r="AG645" s="246"/>
      <c r="AH645" s="228">
        <f t="shared" si="771"/>
        <v>1</v>
      </c>
      <c r="AI645" s="228">
        <f t="shared" si="772"/>
        <v>1</v>
      </c>
      <c r="AJ645" s="228">
        <f t="shared" si="773"/>
        <v>0</v>
      </c>
      <c r="AK645" s="228">
        <v>0</v>
      </c>
      <c r="AL645" s="228">
        <v>0</v>
      </c>
      <c r="AM645" s="228">
        <f t="shared" si="749"/>
        <v>-100</v>
      </c>
      <c r="AN645" s="228" cm="1">
        <f t="array" ref="AN645">IF(ISBLANK(G645), 1, IFERROR(MATCH(G645, INDEX(Kat,,1), 0), IFERROR(MATCH(Kat, INDEX(Use,,2), 0), MATCH(Kat, INDEX(Use,,3), 0))))</f>
        <v>1</v>
      </c>
      <c r="AO645" s="246"/>
      <c r="AP645" s="228" cm="1">
        <f t="array" ref="AP645">IF(W645&gt;0, INDEX(Kat, AN645,4), 0)</f>
        <v>0</v>
      </c>
      <c r="AQ645" s="228">
        <f t="shared" si="774"/>
        <v>0</v>
      </c>
      <c r="AR645" s="228" cm="1">
        <f t="array" ref="AR645">IF(X645&gt;0, INDEX(Kat, $AN645, 4+AQ645), 0)</f>
        <v>0</v>
      </c>
      <c r="AS645" s="228" cm="1">
        <f t="array" ref="AS645">IF(X645&gt;0, INDEX(Kat, $AN645, 9+AQ645), 0)</f>
        <v>0</v>
      </c>
      <c r="AT645" s="246"/>
      <c r="AU645" s="262"/>
      <c r="AV645" s="262"/>
      <c r="AW645" s="263"/>
      <c r="AX645" s="263"/>
      <c r="AY645" s="263"/>
      <c r="AZ645" s="263"/>
      <c r="BA645" s="263"/>
      <c r="BB645" s="263"/>
      <c r="BC645" s="263"/>
      <c r="BD645" s="263"/>
      <c r="BE645" s="263"/>
      <c r="BF645" s="263"/>
      <c r="BG645" s="263"/>
      <c r="BH645" s="246"/>
      <c r="BI645" s="228" cm="1">
        <f t="array" ref="BI645">INDEX(Use, $AH645, 4)</f>
        <v>7</v>
      </c>
      <c r="BJ645" s="228">
        <f t="shared" si="750"/>
        <v>32</v>
      </c>
      <c r="BK645" s="228">
        <f t="shared" si="738"/>
        <v>13</v>
      </c>
      <c r="BL645" s="228">
        <f t="shared" si="739"/>
        <v>0</v>
      </c>
      <c r="BM645" s="233" cm="1">
        <f t="array" ref="BM645">L645/IF($M645&gt;0, INDEX($AY$22:$BE$76, $M645+20, $AH645), 1)</f>
        <v>0</v>
      </c>
      <c r="BN645" s="229">
        <f t="shared" si="751"/>
        <v>0</v>
      </c>
      <c r="BO645" s="228">
        <v>35</v>
      </c>
      <c r="BP645" s="229">
        <f t="shared" si="752"/>
        <v>48</v>
      </c>
      <c r="BQ645" s="234">
        <f t="shared" si="753"/>
        <v>3.0748170731707316</v>
      </c>
      <c r="BR645" s="234" cm="1">
        <f t="array" ref="BR645">$BM645 * SUMPRODUCT(INDEX($AV$76:$AX$81,,$AI645),INDEX($AY$76:$BE$81,,$AH645), N($AU$76:$AU$81&gt;$AM645)) / BQ645 / 1000</f>
        <v>0</v>
      </c>
      <c r="BS645" s="231">
        <f t="shared" si="740"/>
        <v>30</v>
      </c>
      <c r="BT645" s="229">
        <f t="shared" si="754"/>
        <v>43</v>
      </c>
      <c r="BU645" s="234">
        <f t="shared" si="755"/>
        <v>3.5018750000000001</v>
      </c>
      <c r="BV645" s="234" cm="1">
        <f t="array" ref="BV645">$BM645 * IF($AH645&lt;=2,
SUMPRODUCT(INDEX($AV$71:$AX$75,,$AI645), INDEX($AY$71:$BE$75,,$AH645), 1 / ($BF$71:$BF$75*BU645 + (1-$BF$71:$BF$75)*BQ645), N($AU$71:$AU$75&gt;$AM645)),
SUMPRODUCT(INDEX($AV$66:$AX$75,,$AI645), INDEX($AY$66:$BE$75,,$AH645), 1 / ($BG$66:$BG$75*BU645 + (1-$BG$66:$BG$75)*BQ645), N($AU$66:$AU$75&gt;$AM645))
) / 1000</f>
        <v>0</v>
      </c>
      <c r="BW645" s="231">
        <f t="shared" si="741"/>
        <v>25</v>
      </c>
      <c r="BX645" s="229">
        <f t="shared" si="756"/>
        <v>38</v>
      </c>
      <c r="BY645" s="234">
        <f t="shared" si="757"/>
        <v>4.0666935483870965</v>
      </c>
      <c r="BZ645" s="234" cm="1">
        <f t="array" ref="BZ645">$BM645 * IF($AH645&lt;=2,
SUMPRODUCT(INDEX($AV$66:$AX$70,,$AI645), INDEX($AY$66:$BE$70,,$AH645), 1 / ($BF$66:$BF$70*BY645 + (1-$BF$66:$BF$70)*BU645), N($AU$66:$AU$70&gt;$AM645)),
SUMPRODUCT(INDEX($AV$56:$AX$65,,$AI645), INDEX($AY$56:$BE$65,,$AH645), 1 / ($BG$56:$BG$65*BY645 + (1-$BG$56:$BG$65)*BU645), N($AU$56:$AU$65&gt;$AM645))
) / 1000</f>
        <v>0</v>
      </c>
      <c r="CA645" s="231">
        <f t="shared" si="742"/>
        <v>20</v>
      </c>
      <c r="CB645" s="229">
        <f t="shared" si="758"/>
        <v>33</v>
      </c>
      <c r="CC645" s="234">
        <f t="shared" si="759"/>
        <v>4.8487499999999999</v>
      </c>
      <c r="CD645" s="234" cm="1">
        <f t="array" ref="CD645">$BM645 * IF($AH645&lt;=2,
SUMPRODUCT(INDEX($AV$61:$AX$65,,$AI645), INDEX($AY$61:$BE$65,,$AH645), 1 / ($BF$61:$BF$65*CC645 + (1-$BF$61:$BF$65)*BY645), N($AU$61:$AU$65&gt;$AM645)),
SUMPRODUCT(INDEX($AV$46:$AX$55,,$AI645), INDEX($AY$46:$BE$55,,$AH645), 1 / ($BG$46:$BG$55*CC645 + (1-$BG$46:$BG$55)*BY645), N($AU$46:$AU$55&gt;$AM645))
) / 1000</f>
        <v>0</v>
      </c>
      <c r="CE645" s="234" cm="1">
        <f t="array" ref="CE645">$BM645 * IF($AH645&lt;=2,
SUMPRODUCT(INDEX($AV$22:$AX$60,,$AI645), INDEX($AY$22:$BE$60,,$AH645), 1 / ($BF$22:$BF$60*CC645), N($AU$22:$AU$60&gt;$AM645)),
SUMPRODUCT(INDEX($AV$22:$AX$45,,$AI645), INDEX($AY$22:$BE$45,,$AH645), 1 / ($BG$22:$BG$45*CC645), N($AU$22:$AU$45&gt;$AM645))
) / 1000</f>
        <v>0</v>
      </c>
      <c r="CF645" s="229">
        <f t="shared" si="760"/>
        <v>0</v>
      </c>
      <c r="CG645" s="246"/>
      <c r="CH645" s="229">
        <f t="shared" si="761"/>
        <v>0</v>
      </c>
      <c r="CI645" s="228">
        <v>35</v>
      </c>
      <c r="CJ645" s="229">
        <f t="shared" si="762"/>
        <v>48</v>
      </c>
      <c r="CK645" s="234">
        <f t="shared" si="763"/>
        <v>3.0748170731707316</v>
      </c>
      <c r="CL645" s="234" cm="1">
        <f t="array" ref="CL645">$BM645 * SUMPRODUCT(INDEX($AV$76:$AX$81,,$AI645),INDEX($AY$76:$BE$81,,$AH645), N($AU$76:$AU$81&gt;$AM645)) / CK645 / 1000</f>
        <v>0</v>
      </c>
      <c r="CM645" s="231">
        <f t="shared" si="743"/>
        <v>30</v>
      </c>
      <c r="CN645" s="229">
        <f t="shared" si="764"/>
        <v>43</v>
      </c>
      <c r="CO645" s="234">
        <f t="shared" si="765"/>
        <v>3.5018750000000001</v>
      </c>
      <c r="CP645" s="234" cm="1">
        <f t="array" ref="CP645">$BM645 * IF($AH645&lt;=2,
SUMPRODUCT(INDEX($AV$71:$AX$75,,$AI645), INDEX($AY$71:$BE$75,,$AH645), 1 / ($BF$71:$BF$75*CO645 + (1-$BF$71:$BF$75)*CK645), N($AU$71:$AU$75&gt;$AM645)),
SUMPRODUCT(INDEX($AV$66:$AX$75,,$AI645), INDEX($AY$66:$BE$75,,$AH645), 1 / ($BG$66:$BG$75*CO645 + (1-$BG$66:$BG$75)*CK645), N($AU$66:$AU$75&gt;$AM645))
) / 1000</f>
        <v>0</v>
      </c>
      <c r="CQ645" s="231">
        <f t="shared" si="744"/>
        <v>25</v>
      </c>
      <c r="CR645" s="229">
        <f t="shared" si="766"/>
        <v>38</v>
      </c>
      <c r="CS645" s="234">
        <f t="shared" si="767"/>
        <v>4.0666935483870965</v>
      </c>
      <c r="CT645" s="234" cm="1">
        <f t="array" ref="CT645">$BM645 * IF($AH645&lt;=2,
SUMPRODUCT(INDEX($AV$66:$AX$70,,$AI645), INDEX($AY$66:$BE$70,,$AH645), 1 / ($BF$66:$BF$70*CS645 + (1-$BF$66:$BF$70)*CO645), N($AU$66:$AU$70&gt;$AM645)),
SUMPRODUCT(INDEX($AV$56:$AX$65,,$AI645), INDEX($AY$56:$BE$65,,$AH645), 1 / ($BG$56:$BG$65*CS645 + (1-$BG$56:$BG$65)*CO645), N($AU$56:$AU$65&gt;$AM645))
) / 1000</f>
        <v>0</v>
      </c>
      <c r="CU645" s="231">
        <f t="shared" si="745"/>
        <v>20</v>
      </c>
      <c r="CV645" s="229">
        <f t="shared" si="768"/>
        <v>33</v>
      </c>
      <c r="CW645" s="234">
        <f t="shared" si="769"/>
        <v>4.8487499999999999</v>
      </c>
      <c r="CX645" s="234" cm="1">
        <f t="array" ref="CX645">$BM645 * IF($AH645&lt;=2,
SUMPRODUCT(INDEX($AV$61:$AX$65,,$AI645), INDEX($AY$61:$BE$65,,$AH645), 1 / ($BF$61:$BF$65*CW645 + (1-$BF$61:$BF$65)*CS645), N($AU$61:$AU$65&gt;$AM645)),
SUMPRODUCT(INDEX($AV$46:$AX$55,,$AI645), INDEX($AY$46:$BE$55,,$AH645), 1 / ($BG$46:$BG$55*CW645 + (1-$BG$46:$BG$55)*CS645), N($AU$46:$AU$55&gt;$AM645))
) / 1000</f>
        <v>0</v>
      </c>
      <c r="CY645" s="234" cm="1">
        <f t="array" ref="CY645">$BM645 * IF($AH645&lt;=2,
SUMPRODUCT(INDEX($AV$22:$AX$60,,$AI645), INDEX($AY$22:$BE$60,,$AH645), 1 / ($BF$22:$BF$60*CW645), N($AU$22:$AU$60&gt;$AM645)),
SUMPRODUCT(INDEX($AV$22:$AX$45,,$AI645), INDEX($AY$22:$BE$45,,$AH645), 1 / ($BG$22:$BG$45*CW645), N($AU$22:$AU$45&gt;$AM645))
) / 1000</f>
        <v>0</v>
      </c>
      <c r="CZ645" s="229">
        <f t="shared" si="770"/>
        <v>0</v>
      </c>
      <c r="DA645" s="246"/>
    </row>
    <row r="646" spans="1:105" s="75" customFormat="1" ht="14.25" customHeight="1" x14ac:dyDescent="0.2">
      <c r="A646" s="230" t="b">
        <f t="shared" si="737"/>
        <v>0</v>
      </c>
      <c r="B646" s="253">
        <v>625</v>
      </c>
      <c r="C646" s="266"/>
      <c r="D646" s="266"/>
      <c r="E646" s="254"/>
      <c r="F646" s="255" t="str">
        <f>IF(ISBLANK(E646), "", VLOOKUP(E646, Z!$A$2:$C$4127, 3, FALSE))</f>
        <v/>
      </c>
      <c r="G646" s="256"/>
      <c r="H646" s="256"/>
      <c r="I646" s="256"/>
      <c r="J646" s="257"/>
      <c r="K646" s="258"/>
      <c r="L646" s="267"/>
      <c r="M646" s="268"/>
      <c r="N646" s="259" t="str" cm="1">
        <f t="array" ref="N646">IF($L646&gt;0, INDEX(Clean,1+AK646,$D$1), "")</f>
        <v/>
      </c>
      <c r="O646" s="260"/>
      <c r="P646" s="260"/>
      <c r="Q646" s="261"/>
      <c r="R646" s="264">
        <f t="shared" si="746"/>
        <v>0</v>
      </c>
      <c r="S646" s="259" t="str" cm="1">
        <f t="array" ref="S646">IF($L646&gt;0, INDEX(Clean,1+AL646,$D$1), "")</f>
        <v/>
      </c>
      <c r="T646" s="260"/>
      <c r="U646" s="260"/>
      <c r="V646" s="261"/>
      <c r="W646" s="267"/>
      <c r="X646" s="267"/>
      <c r="Y646" s="257"/>
      <c r="Z646" s="264">
        <f t="shared" si="747"/>
        <v>0</v>
      </c>
      <c r="AA646" s="269"/>
      <c r="AB646" s="266"/>
      <c r="AC646" s="254"/>
      <c r="AD646" s="255" t="str">
        <f>IF(ISBLANK(AC646), "", VLOOKUP(AC646, Z!$A$2:$C$4127, 3, FALSE))</f>
        <v/>
      </c>
      <c r="AE646" s="270"/>
      <c r="AF646" s="265">
        <f t="shared" si="748"/>
        <v>0</v>
      </c>
      <c r="AG646" s="246"/>
      <c r="AH646" s="228">
        <f t="shared" si="771"/>
        <v>1</v>
      </c>
      <c r="AI646" s="228">
        <f t="shared" si="772"/>
        <v>1</v>
      </c>
      <c r="AJ646" s="228">
        <f t="shared" si="773"/>
        <v>0</v>
      </c>
      <c r="AK646" s="228">
        <v>0</v>
      </c>
      <c r="AL646" s="228">
        <v>0</v>
      </c>
      <c r="AM646" s="228">
        <f t="shared" si="749"/>
        <v>-100</v>
      </c>
      <c r="AN646" s="228" cm="1">
        <f t="array" ref="AN646">IF(ISBLANK(G646), 1, IFERROR(MATCH(G646, INDEX(Kat,,1), 0), IFERROR(MATCH(Kat, INDEX(Use,,2), 0), MATCH(Kat, INDEX(Use,,3), 0))))</f>
        <v>1</v>
      </c>
      <c r="AO646" s="246"/>
      <c r="AP646" s="228" cm="1">
        <f t="array" ref="AP646">IF(W646&gt;0, INDEX(Kat, AN646,4), 0)</f>
        <v>0</v>
      </c>
      <c r="AQ646" s="228">
        <f t="shared" si="774"/>
        <v>0</v>
      </c>
      <c r="AR646" s="228" cm="1">
        <f t="array" ref="AR646">IF(X646&gt;0, INDEX(Kat, $AN646, 4+AQ646), 0)</f>
        <v>0</v>
      </c>
      <c r="AS646" s="228" cm="1">
        <f t="array" ref="AS646">IF(X646&gt;0, INDEX(Kat, $AN646, 9+AQ646), 0)</f>
        <v>0</v>
      </c>
      <c r="AT646" s="246"/>
      <c r="AU646" s="262"/>
      <c r="AV646" s="262"/>
      <c r="AW646" s="263"/>
      <c r="AX646" s="263"/>
      <c r="AY646" s="263"/>
      <c r="AZ646" s="263"/>
      <c r="BA646" s="263"/>
      <c r="BB646" s="263"/>
      <c r="BC646" s="263"/>
      <c r="BD646" s="263"/>
      <c r="BE646" s="263"/>
      <c r="BF646" s="263"/>
      <c r="BG646" s="263"/>
      <c r="BH646" s="246"/>
      <c r="BI646" s="228" cm="1">
        <f t="array" ref="BI646">INDEX(Use, $AH646, 4)</f>
        <v>7</v>
      </c>
      <c r="BJ646" s="228">
        <f t="shared" si="750"/>
        <v>32</v>
      </c>
      <c r="BK646" s="228">
        <f t="shared" si="738"/>
        <v>13</v>
      </c>
      <c r="BL646" s="228">
        <f t="shared" si="739"/>
        <v>0</v>
      </c>
      <c r="BM646" s="233" cm="1">
        <f t="array" ref="BM646">L646/IF($M646&gt;0, INDEX($AY$22:$BE$76, $M646+20, $AH646), 1)</f>
        <v>0</v>
      </c>
      <c r="BN646" s="229">
        <f t="shared" si="751"/>
        <v>0</v>
      </c>
      <c r="BO646" s="228">
        <v>35</v>
      </c>
      <c r="BP646" s="229">
        <f t="shared" si="752"/>
        <v>48</v>
      </c>
      <c r="BQ646" s="234">
        <f t="shared" si="753"/>
        <v>3.0748170731707316</v>
      </c>
      <c r="BR646" s="234" cm="1">
        <f t="array" ref="BR646">$BM646 * SUMPRODUCT(INDEX($AV$76:$AX$81,,$AI646),INDEX($AY$76:$BE$81,,$AH646), N($AU$76:$AU$81&gt;$AM646)) / BQ646 / 1000</f>
        <v>0</v>
      </c>
      <c r="BS646" s="231">
        <f t="shared" si="740"/>
        <v>30</v>
      </c>
      <c r="BT646" s="229">
        <f t="shared" si="754"/>
        <v>43</v>
      </c>
      <c r="BU646" s="234">
        <f t="shared" si="755"/>
        <v>3.5018750000000001</v>
      </c>
      <c r="BV646" s="234" cm="1">
        <f t="array" ref="BV646">$BM646 * IF($AH646&lt;=2,
SUMPRODUCT(INDEX($AV$71:$AX$75,,$AI646), INDEX($AY$71:$BE$75,,$AH646), 1 / ($BF$71:$BF$75*BU646 + (1-$BF$71:$BF$75)*BQ646), N($AU$71:$AU$75&gt;$AM646)),
SUMPRODUCT(INDEX($AV$66:$AX$75,,$AI646), INDEX($AY$66:$BE$75,,$AH646), 1 / ($BG$66:$BG$75*BU646 + (1-$BG$66:$BG$75)*BQ646), N($AU$66:$AU$75&gt;$AM646))
) / 1000</f>
        <v>0</v>
      </c>
      <c r="BW646" s="231">
        <f t="shared" si="741"/>
        <v>25</v>
      </c>
      <c r="BX646" s="229">
        <f t="shared" si="756"/>
        <v>38</v>
      </c>
      <c r="BY646" s="234">
        <f t="shared" si="757"/>
        <v>4.0666935483870965</v>
      </c>
      <c r="BZ646" s="234" cm="1">
        <f t="array" ref="BZ646">$BM646 * IF($AH646&lt;=2,
SUMPRODUCT(INDEX($AV$66:$AX$70,,$AI646), INDEX($AY$66:$BE$70,,$AH646), 1 / ($BF$66:$BF$70*BY646 + (1-$BF$66:$BF$70)*BU646), N($AU$66:$AU$70&gt;$AM646)),
SUMPRODUCT(INDEX($AV$56:$AX$65,,$AI646), INDEX($AY$56:$BE$65,,$AH646), 1 / ($BG$56:$BG$65*BY646 + (1-$BG$56:$BG$65)*BU646), N($AU$56:$AU$65&gt;$AM646))
) / 1000</f>
        <v>0</v>
      </c>
      <c r="CA646" s="231">
        <f t="shared" si="742"/>
        <v>20</v>
      </c>
      <c r="CB646" s="229">
        <f t="shared" si="758"/>
        <v>33</v>
      </c>
      <c r="CC646" s="234">
        <f t="shared" si="759"/>
        <v>4.8487499999999999</v>
      </c>
      <c r="CD646" s="234" cm="1">
        <f t="array" ref="CD646">$BM646 * IF($AH646&lt;=2,
SUMPRODUCT(INDEX($AV$61:$AX$65,,$AI646), INDEX($AY$61:$BE$65,,$AH646), 1 / ($BF$61:$BF$65*CC646 + (1-$BF$61:$BF$65)*BY646), N($AU$61:$AU$65&gt;$AM646)),
SUMPRODUCT(INDEX($AV$46:$AX$55,,$AI646), INDEX($AY$46:$BE$55,,$AH646), 1 / ($BG$46:$BG$55*CC646 + (1-$BG$46:$BG$55)*BY646), N($AU$46:$AU$55&gt;$AM646))
) / 1000</f>
        <v>0</v>
      </c>
      <c r="CE646" s="234" cm="1">
        <f t="array" ref="CE646">$BM646 * IF($AH646&lt;=2,
SUMPRODUCT(INDEX($AV$22:$AX$60,,$AI646), INDEX($AY$22:$BE$60,,$AH646), 1 / ($BF$22:$BF$60*CC646), N($AU$22:$AU$60&gt;$AM646)),
SUMPRODUCT(INDEX($AV$22:$AX$45,,$AI646), INDEX($AY$22:$BE$45,,$AH646), 1 / ($BG$22:$BG$45*CC646), N($AU$22:$AU$45&gt;$AM646))
) / 1000</f>
        <v>0</v>
      </c>
      <c r="CF646" s="229">
        <f t="shared" si="760"/>
        <v>0</v>
      </c>
      <c r="CG646" s="246"/>
      <c r="CH646" s="229">
        <f t="shared" si="761"/>
        <v>0</v>
      </c>
      <c r="CI646" s="228">
        <v>35</v>
      </c>
      <c r="CJ646" s="229">
        <f t="shared" si="762"/>
        <v>48</v>
      </c>
      <c r="CK646" s="234">
        <f t="shared" si="763"/>
        <v>3.0748170731707316</v>
      </c>
      <c r="CL646" s="234" cm="1">
        <f t="array" ref="CL646">$BM646 * SUMPRODUCT(INDEX($AV$76:$AX$81,,$AI646),INDEX($AY$76:$BE$81,,$AH646), N($AU$76:$AU$81&gt;$AM646)) / CK646 / 1000</f>
        <v>0</v>
      </c>
      <c r="CM646" s="231">
        <f t="shared" si="743"/>
        <v>30</v>
      </c>
      <c r="CN646" s="229">
        <f t="shared" si="764"/>
        <v>43</v>
      </c>
      <c r="CO646" s="234">
        <f t="shared" si="765"/>
        <v>3.5018750000000001</v>
      </c>
      <c r="CP646" s="234" cm="1">
        <f t="array" ref="CP646">$BM646 * IF($AH646&lt;=2,
SUMPRODUCT(INDEX($AV$71:$AX$75,,$AI646), INDEX($AY$71:$BE$75,,$AH646), 1 / ($BF$71:$BF$75*CO646 + (1-$BF$71:$BF$75)*CK646), N($AU$71:$AU$75&gt;$AM646)),
SUMPRODUCT(INDEX($AV$66:$AX$75,,$AI646), INDEX($AY$66:$BE$75,,$AH646), 1 / ($BG$66:$BG$75*CO646 + (1-$BG$66:$BG$75)*CK646), N($AU$66:$AU$75&gt;$AM646))
) / 1000</f>
        <v>0</v>
      </c>
      <c r="CQ646" s="231">
        <f t="shared" si="744"/>
        <v>25</v>
      </c>
      <c r="CR646" s="229">
        <f t="shared" si="766"/>
        <v>38</v>
      </c>
      <c r="CS646" s="234">
        <f t="shared" si="767"/>
        <v>4.0666935483870965</v>
      </c>
      <c r="CT646" s="234" cm="1">
        <f t="array" ref="CT646">$BM646 * IF($AH646&lt;=2,
SUMPRODUCT(INDEX($AV$66:$AX$70,,$AI646), INDEX($AY$66:$BE$70,,$AH646), 1 / ($BF$66:$BF$70*CS646 + (1-$BF$66:$BF$70)*CO646), N($AU$66:$AU$70&gt;$AM646)),
SUMPRODUCT(INDEX($AV$56:$AX$65,,$AI646), INDEX($AY$56:$BE$65,,$AH646), 1 / ($BG$56:$BG$65*CS646 + (1-$BG$56:$BG$65)*CO646), N($AU$56:$AU$65&gt;$AM646))
) / 1000</f>
        <v>0</v>
      </c>
      <c r="CU646" s="231">
        <f t="shared" si="745"/>
        <v>20</v>
      </c>
      <c r="CV646" s="229">
        <f t="shared" si="768"/>
        <v>33</v>
      </c>
      <c r="CW646" s="234">
        <f t="shared" si="769"/>
        <v>4.8487499999999999</v>
      </c>
      <c r="CX646" s="234" cm="1">
        <f t="array" ref="CX646">$BM646 * IF($AH646&lt;=2,
SUMPRODUCT(INDEX($AV$61:$AX$65,,$AI646), INDEX($AY$61:$BE$65,,$AH646), 1 / ($BF$61:$BF$65*CW646 + (1-$BF$61:$BF$65)*CS646), N($AU$61:$AU$65&gt;$AM646)),
SUMPRODUCT(INDEX($AV$46:$AX$55,,$AI646), INDEX($AY$46:$BE$55,,$AH646), 1 / ($BG$46:$BG$55*CW646 + (1-$BG$46:$BG$55)*CS646), N($AU$46:$AU$55&gt;$AM646))
) / 1000</f>
        <v>0</v>
      </c>
      <c r="CY646" s="234" cm="1">
        <f t="array" ref="CY646">$BM646 * IF($AH646&lt;=2,
SUMPRODUCT(INDEX($AV$22:$AX$60,,$AI646), INDEX($AY$22:$BE$60,,$AH646), 1 / ($BF$22:$BF$60*CW646), N($AU$22:$AU$60&gt;$AM646)),
SUMPRODUCT(INDEX($AV$22:$AX$45,,$AI646), INDEX($AY$22:$BE$45,,$AH646), 1 / ($BG$22:$BG$45*CW646), N($AU$22:$AU$45&gt;$AM646))
) / 1000</f>
        <v>0</v>
      </c>
      <c r="CZ646" s="229">
        <f t="shared" si="770"/>
        <v>0</v>
      </c>
      <c r="DA646" s="246"/>
    </row>
    <row r="647" spans="1:105" s="75" customFormat="1" ht="14.25" customHeight="1" x14ac:dyDescent="0.2">
      <c r="A647" s="230" t="b">
        <f t="shared" si="737"/>
        <v>0</v>
      </c>
      <c r="B647" s="253">
        <v>626</v>
      </c>
      <c r="C647" s="266"/>
      <c r="D647" s="266"/>
      <c r="E647" s="254"/>
      <c r="F647" s="255" t="str">
        <f>IF(ISBLANK(E647), "", VLOOKUP(E647, Z!$A$2:$C$4127, 3, FALSE))</f>
        <v/>
      </c>
      <c r="G647" s="256"/>
      <c r="H647" s="256"/>
      <c r="I647" s="256"/>
      <c r="J647" s="257"/>
      <c r="K647" s="258"/>
      <c r="L647" s="267"/>
      <c r="M647" s="268"/>
      <c r="N647" s="259" t="str" cm="1">
        <f t="array" ref="N647">IF($L647&gt;0, INDEX(Clean,1+AK647,$D$1), "")</f>
        <v/>
      </c>
      <c r="O647" s="260"/>
      <c r="P647" s="260"/>
      <c r="Q647" s="261"/>
      <c r="R647" s="264">
        <f t="shared" si="746"/>
        <v>0</v>
      </c>
      <c r="S647" s="259" t="str" cm="1">
        <f t="array" ref="S647">IF($L647&gt;0, INDEX(Clean,1+AL647,$D$1), "")</f>
        <v/>
      </c>
      <c r="T647" s="260"/>
      <c r="U647" s="260"/>
      <c r="V647" s="261"/>
      <c r="W647" s="267"/>
      <c r="X647" s="267"/>
      <c r="Y647" s="257"/>
      <c r="Z647" s="264">
        <f t="shared" si="747"/>
        <v>0</v>
      </c>
      <c r="AA647" s="269"/>
      <c r="AB647" s="266"/>
      <c r="AC647" s="254"/>
      <c r="AD647" s="255" t="str">
        <f>IF(ISBLANK(AC647), "", VLOOKUP(AC647, Z!$A$2:$C$4127, 3, FALSE))</f>
        <v/>
      </c>
      <c r="AE647" s="270"/>
      <c r="AF647" s="265">
        <f t="shared" si="748"/>
        <v>0</v>
      </c>
      <c r="AG647" s="246"/>
      <c r="AH647" s="228">
        <f t="shared" si="771"/>
        <v>1</v>
      </c>
      <c r="AI647" s="228">
        <f t="shared" si="772"/>
        <v>1</v>
      </c>
      <c r="AJ647" s="228">
        <f t="shared" si="773"/>
        <v>0</v>
      </c>
      <c r="AK647" s="228">
        <v>0</v>
      </c>
      <c r="AL647" s="228">
        <v>0</v>
      </c>
      <c r="AM647" s="228">
        <f t="shared" si="749"/>
        <v>-100</v>
      </c>
      <c r="AN647" s="228" cm="1">
        <f t="array" ref="AN647">IF(ISBLANK(G647), 1, IFERROR(MATCH(G647, INDEX(Kat,,1), 0), IFERROR(MATCH(Kat, INDEX(Use,,2), 0), MATCH(Kat, INDEX(Use,,3), 0))))</f>
        <v>1</v>
      </c>
      <c r="AO647" s="246"/>
      <c r="AP647" s="228" cm="1">
        <f t="array" ref="AP647">IF(W647&gt;0, INDEX(Kat, AN647,4), 0)</f>
        <v>0</v>
      </c>
      <c r="AQ647" s="228">
        <f t="shared" si="774"/>
        <v>0</v>
      </c>
      <c r="AR647" s="228" cm="1">
        <f t="array" ref="AR647">IF(X647&gt;0, INDEX(Kat, $AN647, 4+AQ647), 0)</f>
        <v>0</v>
      </c>
      <c r="AS647" s="228" cm="1">
        <f t="array" ref="AS647">IF(X647&gt;0, INDEX(Kat, $AN647, 9+AQ647), 0)</f>
        <v>0</v>
      </c>
      <c r="AT647" s="246"/>
      <c r="AU647" s="262"/>
      <c r="AV647" s="262"/>
      <c r="AW647" s="263"/>
      <c r="AX647" s="263"/>
      <c r="AY647" s="263"/>
      <c r="AZ647" s="263"/>
      <c r="BA647" s="263"/>
      <c r="BB647" s="263"/>
      <c r="BC647" s="263"/>
      <c r="BD647" s="263"/>
      <c r="BE647" s="263"/>
      <c r="BF647" s="263"/>
      <c r="BG647" s="263"/>
      <c r="BH647" s="246"/>
      <c r="BI647" s="228" cm="1">
        <f t="array" ref="BI647">INDEX(Use, $AH647, 4)</f>
        <v>7</v>
      </c>
      <c r="BJ647" s="228">
        <f t="shared" si="750"/>
        <v>32</v>
      </c>
      <c r="BK647" s="228">
        <f t="shared" si="738"/>
        <v>13</v>
      </c>
      <c r="BL647" s="228">
        <f t="shared" si="739"/>
        <v>0</v>
      </c>
      <c r="BM647" s="233" cm="1">
        <f t="array" ref="BM647">L647/IF($M647&gt;0, INDEX($AY$22:$BE$76, $M647+20, $AH647), 1)</f>
        <v>0</v>
      </c>
      <c r="BN647" s="229">
        <f t="shared" si="751"/>
        <v>0</v>
      </c>
      <c r="BO647" s="228">
        <v>35</v>
      </c>
      <c r="BP647" s="229">
        <f t="shared" si="752"/>
        <v>48</v>
      </c>
      <c r="BQ647" s="234">
        <f t="shared" si="753"/>
        <v>3.0748170731707316</v>
      </c>
      <c r="BR647" s="234" cm="1">
        <f t="array" ref="BR647">$BM647 * SUMPRODUCT(INDEX($AV$76:$AX$81,,$AI647),INDEX($AY$76:$BE$81,,$AH647), N($AU$76:$AU$81&gt;$AM647)) / BQ647 / 1000</f>
        <v>0</v>
      </c>
      <c r="BS647" s="231">
        <f t="shared" si="740"/>
        <v>30</v>
      </c>
      <c r="BT647" s="229">
        <f t="shared" si="754"/>
        <v>43</v>
      </c>
      <c r="BU647" s="234">
        <f t="shared" si="755"/>
        <v>3.5018750000000001</v>
      </c>
      <c r="BV647" s="234" cm="1">
        <f t="array" ref="BV647">$BM647 * IF($AH647&lt;=2,
SUMPRODUCT(INDEX($AV$71:$AX$75,,$AI647), INDEX($AY$71:$BE$75,,$AH647), 1 / ($BF$71:$BF$75*BU647 + (1-$BF$71:$BF$75)*BQ647), N($AU$71:$AU$75&gt;$AM647)),
SUMPRODUCT(INDEX($AV$66:$AX$75,,$AI647), INDEX($AY$66:$BE$75,,$AH647), 1 / ($BG$66:$BG$75*BU647 + (1-$BG$66:$BG$75)*BQ647), N($AU$66:$AU$75&gt;$AM647))
) / 1000</f>
        <v>0</v>
      </c>
      <c r="BW647" s="231">
        <f t="shared" si="741"/>
        <v>25</v>
      </c>
      <c r="BX647" s="229">
        <f t="shared" si="756"/>
        <v>38</v>
      </c>
      <c r="BY647" s="234">
        <f t="shared" si="757"/>
        <v>4.0666935483870965</v>
      </c>
      <c r="BZ647" s="234" cm="1">
        <f t="array" ref="BZ647">$BM647 * IF($AH647&lt;=2,
SUMPRODUCT(INDEX($AV$66:$AX$70,,$AI647), INDEX($AY$66:$BE$70,,$AH647), 1 / ($BF$66:$BF$70*BY647 + (1-$BF$66:$BF$70)*BU647), N($AU$66:$AU$70&gt;$AM647)),
SUMPRODUCT(INDEX($AV$56:$AX$65,,$AI647), INDEX($AY$56:$BE$65,,$AH647), 1 / ($BG$56:$BG$65*BY647 + (1-$BG$56:$BG$65)*BU647), N($AU$56:$AU$65&gt;$AM647))
) / 1000</f>
        <v>0</v>
      </c>
      <c r="CA647" s="231">
        <f t="shared" si="742"/>
        <v>20</v>
      </c>
      <c r="CB647" s="229">
        <f t="shared" si="758"/>
        <v>33</v>
      </c>
      <c r="CC647" s="234">
        <f t="shared" si="759"/>
        <v>4.8487499999999999</v>
      </c>
      <c r="CD647" s="234" cm="1">
        <f t="array" ref="CD647">$BM647 * IF($AH647&lt;=2,
SUMPRODUCT(INDEX($AV$61:$AX$65,,$AI647), INDEX($AY$61:$BE$65,,$AH647), 1 / ($BF$61:$BF$65*CC647 + (1-$BF$61:$BF$65)*BY647), N($AU$61:$AU$65&gt;$AM647)),
SUMPRODUCT(INDEX($AV$46:$AX$55,,$AI647), INDEX($AY$46:$BE$55,,$AH647), 1 / ($BG$46:$BG$55*CC647 + (1-$BG$46:$BG$55)*BY647), N($AU$46:$AU$55&gt;$AM647))
) / 1000</f>
        <v>0</v>
      </c>
      <c r="CE647" s="234" cm="1">
        <f t="array" ref="CE647">$BM647 * IF($AH647&lt;=2,
SUMPRODUCT(INDEX($AV$22:$AX$60,,$AI647), INDEX($AY$22:$BE$60,,$AH647), 1 / ($BF$22:$BF$60*CC647), N($AU$22:$AU$60&gt;$AM647)),
SUMPRODUCT(INDEX($AV$22:$AX$45,,$AI647), INDEX($AY$22:$BE$45,,$AH647), 1 / ($BG$22:$BG$45*CC647), N($AU$22:$AU$45&gt;$AM647))
) / 1000</f>
        <v>0</v>
      </c>
      <c r="CF647" s="229">
        <f t="shared" si="760"/>
        <v>0</v>
      </c>
      <c r="CG647" s="246"/>
      <c r="CH647" s="229">
        <f t="shared" si="761"/>
        <v>0</v>
      </c>
      <c r="CI647" s="228">
        <v>35</v>
      </c>
      <c r="CJ647" s="229">
        <f t="shared" si="762"/>
        <v>48</v>
      </c>
      <c r="CK647" s="234">
        <f t="shared" si="763"/>
        <v>3.0748170731707316</v>
      </c>
      <c r="CL647" s="234" cm="1">
        <f t="array" ref="CL647">$BM647 * SUMPRODUCT(INDEX($AV$76:$AX$81,,$AI647),INDEX($AY$76:$BE$81,,$AH647), N($AU$76:$AU$81&gt;$AM647)) / CK647 / 1000</f>
        <v>0</v>
      </c>
      <c r="CM647" s="231">
        <f t="shared" si="743"/>
        <v>30</v>
      </c>
      <c r="CN647" s="229">
        <f t="shared" si="764"/>
        <v>43</v>
      </c>
      <c r="CO647" s="234">
        <f t="shared" si="765"/>
        <v>3.5018750000000001</v>
      </c>
      <c r="CP647" s="234" cm="1">
        <f t="array" ref="CP647">$BM647 * IF($AH647&lt;=2,
SUMPRODUCT(INDEX($AV$71:$AX$75,,$AI647), INDEX($AY$71:$BE$75,,$AH647), 1 / ($BF$71:$BF$75*CO647 + (1-$BF$71:$BF$75)*CK647), N($AU$71:$AU$75&gt;$AM647)),
SUMPRODUCT(INDEX($AV$66:$AX$75,,$AI647), INDEX($AY$66:$BE$75,,$AH647), 1 / ($BG$66:$BG$75*CO647 + (1-$BG$66:$BG$75)*CK647), N($AU$66:$AU$75&gt;$AM647))
) / 1000</f>
        <v>0</v>
      </c>
      <c r="CQ647" s="231">
        <f t="shared" si="744"/>
        <v>25</v>
      </c>
      <c r="CR647" s="229">
        <f t="shared" si="766"/>
        <v>38</v>
      </c>
      <c r="CS647" s="234">
        <f t="shared" si="767"/>
        <v>4.0666935483870965</v>
      </c>
      <c r="CT647" s="234" cm="1">
        <f t="array" ref="CT647">$BM647 * IF($AH647&lt;=2,
SUMPRODUCT(INDEX($AV$66:$AX$70,,$AI647), INDEX($AY$66:$BE$70,,$AH647), 1 / ($BF$66:$BF$70*CS647 + (1-$BF$66:$BF$70)*CO647), N($AU$66:$AU$70&gt;$AM647)),
SUMPRODUCT(INDEX($AV$56:$AX$65,,$AI647), INDEX($AY$56:$BE$65,,$AH647), 1 / ($BG$56:$BG$65*CS647 + (1-$BG$56:$BG$65)*CO647), N($AU$56:$AU$65&gt;$AM647))
) / 1000</f>
        <v>0</v>
      </c>
      <c r="CU647" s="231">
        <f t="shared" si="745"/>
        <v>20</v>
      </c>
      <c r="CV647" s="229">
        <f t="shared" si="768"/>
        <v>33</v>
      </c>
      <c r="CW647" s="234">
        <f t="shared" si="769"/>
        <v>4.8487499999999999</v>
      </c>
      <c r="CX647" s="234" cm="1">
        <f t="array" ref="CX647">$BM647 * IF($AH647&lt;=2,
SUMPRODUCT(INDEX($AV$61:$AX$65,,$AI647), INDEX($AY$61:$BE$65,,$AH647), 1 / ($BF$61:$BF$65*CW647 + (1-$BF$61:$BF$65)*CS647), N($AU$61:$AU$65&gt;$AM647)),
SUMPRODUCT(INDEX($AV$46:$AX$55,,$AI647), INDEX($AY$46:$BE$55,,$AH647), 1 / ($BG$46:$BG$55*CW647 + (1-$BG$46:$BG$55)*CS647), N($AU$46:$AU$55&gt;$AM647))
) / 1000</f>
        <v>0</v>
      </c>
      <c r="CY647" s="234" cm="1">
        <f t="array" ref="CY647">$BM647 * IF($AH647&lt;=2,
SUMPRODUCT(INDEX($AV$22:$AX$60,,$AI647), INDEX($AY$22:$BE$60,,$AH647), 1 / ($BF$22:$BF$60*CW647), N($AU$22:$AU$60&gt;$AM647)),
SUMPRODUCT(INDEX($AV$22:$AX$45,,$AI647), INDEX($AY$22:$BE$45,,$AH647), 1 / ($BG$22:$BG$45*CW647), N($AU$22:$AU$45&gt;$AM647))
) / 1000</f>
        <v>0</v>
      </c>
      <c r="CZ647" s="229">
        <f t="shared" si="770"/>
        <v>0</v>
      </c>
      <c r="DA647" s="246"/>
    </row>
    <row r="648" spans="1:105" s="75" customFormat="1" ht="14.25" customHeight="1" x14ac:dyDescent="0.2">
      <c r="A648" s="230" t="b">
        <f t="shared" si="737"/>
        <v>0</v>
      </c>
      <c r="B648" s="253">
        <v>627</v>
      </c>
      <c r="C648" s="266"/>
      <c r="D648" s="266"/>
      <c r="E648" s="254"/>
      <c r="F648" s="255" t="str">
        <f>IF(ISBLANK(E648), "", VLOOKUP(E648, Z!$A$2:$C$4127, 3, FALSE))</f>
        <v/>
      </c>
      <c r="G648" s="256"/>
      <c r="H648" s="256"/>
      <c r="I648" s="256"/>
      <c r="J648" s="257"/>
      <c r="K648" s="258"/>
      <c r="L648" s="267"/>
      <c r="M648" s="268"/>
      <c r="N648" s="259" t="str" cm="1">
        <f t="array" ref="N648">IF($L648&gt;0, INDEX(Clean,1+AK648,$D$1), "")</f>
        <v/>
      </c>
      <c r="O648" s="260"/>
      <c r="P648" s="260"/>
      <c r="Q648" s="261"/>
      <c r="R648" s="264">
        <f t="shared" si="746"/>
        <v>0</v>
      </c>
      <c r="S648" s="259" t="str" cm="1">
        <f t="array" ref="S648">IF($L648&gt;0, INDEX(Clean,1+AL648,$D$1), "")</f>
        <v/>
      </c>
      <c r="T648" s="260"/>
      <c r="U648" s="260"/>
      <c r="V648" s="261"/>
      <c r="W648" s="267"/>
      <c r="X648" s="267"/>
      <c r="Y648" s="257"/>
      <c r="Z648" s="264">
        <f t="shared" si="747"/>
        <v>0</v>
      </c>
      <c r="AA648" s="269"/>
      <c r="AB648" s="266"/>
      <c r="AC648" s="254"/>
      <c r="AD648" s="255" t="str">
        <f>IF(ISBLANK(AC648), "", VLOOKUP(AC648, Z!$A$2:$C$4127, 3, FALSE))</f>
        <v/>
      </c>
      <c r="AE648" s="270"/>
      <c r="AF648" s="265">
        <f t="shared" si="748"/>
        <v>0</v>
      </c>
      <c r="AG648" s="246"/>
      <c r="AH648" s="228">
        <f t="shared" si="771"/>
        <v>1</v>
      </c>
      <c r="AI648" s="228">
        <f t="shared" si="772"/>
        <v>1</v>
      </c>
      <c r="AJ648" s="228">
        <f t="shared" si="773"/>
        <v>0</v>
      </c>
      <c r="AK648" s="228">
        <v>0</v>
      </c>
      <c r="AL648" s="228">
        <v>0</v>
      </c>
      <c r="AM648" s="228">
        <f t="shared" si="749"/>
        <v>-100</v>
      </c>
      <c r="AN648" s="228" cm="1">
        <f t="array" ref="AN648">IF(ISBLANK(G648), 1, IFERROR(MATCH(G648, INDEX(Kat,,1), 0), IFERROR(MATCH(Kat, INDEX(Use,,2), 0), MATCH(Kat, INDEX(Use,,3), 0))))</f>
        <v>1</v>
      </c>
      <c r="AO648" s="246"/>
      <c r="AP648" s="228" cm="1">
        <f t="array" ref="AP648">IF(W648&gt;0, INDEX(Kat, AN648,4), 0)</f>
        <v>0</v>
      </c>
      <c r="AQ648" s="228">
        <f t="shared" si="774"/>
        <v>0</v>
      </c>
      <c r="AR648" s="228" cm="1">
        <f t="array" ref="AR648">IF(X648&gt;0, INDEX(Kat, $AN648, 4+AQ648), 0)</f>
        <v>0</v>
      </c>
      <c r="AS648" s="228" cm="1">
        <f t="array" ref="AS648">IF(X648&gt;0, INDEX(Kat, $AN648, 9+AQ648), 0)</f>
        <v>0</v>
      </c>
      <c r="AT648" s="246"/>
      <c r="AU648" s="262"/>
      <c r="AV648" s="262"/>
      <c r="AW648" s="263"/>
      <c r="AX648" s="263"/>
      <c r="AY648" s="263"/>
      <c r="AZ648" s="263"/>
      <c r="BA648" s="263"/>
      <c r="BB648" s="263"/>
      <c r="BC648" s="263"/>
      <c r="BD648" s="263"/>
      <c r="BE648" s="263"/>
      <c r="BF648" s="263"/>
      <c r="BG648" s="263"/>
      <c r="BH648" s="246"/>
      <c r="BI648" s="228" cm="1">
        <f t="array" ref="BI648">INDEX(Use, $AH648, 4)</f>
        <v>7</v>
      </c>
      <c r="BJ648" s="228">
        <f t="shared" si="750"/>
        <v>32</v>
      </c>
      <c r="BK648" s="228">
        <f t="shared" si="738"/>
        <v>13</v>
      </c>
      <c r="BL648" s="228">
        <f t="shared" si="739"/>
        <v>0</v>
      </c>
      <c r="BM648" s="233" cm="1">
        <f t="array" ref="BM648">L648/IF($M648&gt;0, INDEX($AY$22:$BE$76, $M648+20, $AH648), 1)</f>
        <v>0</v>
      </c>
      <c r="BN648" s="229">
        <f t="shared" si="751"/>
        <v>0</v>
      </c>
      <c r="BO648" s="228">
        <v>35</v>
      </c>
      <c r="BP648" s="229">
        <f t="shared" si="752"/>
        <v>48</v>
      </c>
      <c r="BQ648" s="234">
        <f t="shared" si="753"/>
        <v>3.0748170731707316</v>
      </c>
      <c r="BR648" s="234" cm="1">
        <f t="array" ref="BR648">$BM648 * SUMPRODUCT(INDEX($AV$76:$AX$81,,$AI648),INDEX($AY$76:$BE$81,,$AH648), N($AU$76:$AU$81&gt;$AM648)) / BQ648 / 1000</f>
        <v>0</v>
      </c>
      <c r="BS648" s="231">
        <f t="shared" si="740"/>
        <v>30</v>
      </c>
      <c r="BT648" s="229">
        <f t="shared" si="754"/>
        <v>43</v>
      </c>
      <c r="BU648" s="234">
        <f t="shared" si="755"/>
        <v>3.5018750000000001</v>
      </c>
      <c r="BV648" s="234" cm="1">
        <f t="array" ref="BV648">$BM648 * IF($AH648&lt;=2,
SUMPRODUCT(INDEX($AV$71:$AX$75,,$AI648), INDEX($AY$71:$BE$75,,$AH648), 1 / ($BF$71:$BF$75*BU648 + (1-$BF$71:$BF$75)*BQ648), N($AU$71:$AU$75&gt;$AM648)),
SUMPRODUCT(INDEX($AV$66:$AX$75,,$AI648), INDEX($AY$66:$BE$75,,$AH648), 1 / ($BG$66:$BG$75*BU648 + (1-$BG$66:$BG$75)*BQ648), N($AU$66:$AU$75&gt;$AM648))
) / 1000</f>
        <v>0</v>
      </c>
      <c r="BW648" s="231">
        <f t="shared" si="741"/>
        <v>25</v>
      </c>
      <c r="BX648" s="229">
        <f t="shared" si="756"/>
        <v>38</v>
      </c>
      <c r="BY648" s="234">
        <f t="shared" si="757"/>
        <v>4.0666935483870965</v>
      </c>
      <c r="BZ648" s="234" cm="1">
        <f t="array" ref="BZ648">$BM648 * IF($AH648&lt;=2,
SUMPRODUCT(INDEX($AV$66:$AX$70,,$AI648), INDEX($AY$66:$BE$70,,$AH648), 1 / ($BF$66:$BF$70*BY648 + (1-$BF$66:$BF$70)*BU648), N($AU$66:$AU$70&gt;$AM648)),
SUMPRODUCT(INDEX($AV$56:$AX$65,,$AI648), INDEX($AY$56:$BE$65,,$AH648), 1 / ($BG$56:$BG$65*BY648 + (1-$BG$56:$BG$65)*BU648), N($AU$56:$AU$65&gt;$AM648))
) / 1000</f>
        <v>0</v>
      </c>
      <c r="CA648" s="231">
        <f t="shared" si="742"/>
        <v>20</v>
      </c>
      <c r="CB648" s="229">
        <f t="shared" si="758"/>
        <v>33</v>
      </c>
      <c r="CC648" s="234">
        <f t="shared" si="759"/>
        <v>4.8487499999999999</v>
      </c>
      <c r="CD648" s="234" cm="1">
        <f t="array" ref="CD648">$BM648 * IF($AH648&lt;=2,
SUMPRODUCT(INDEX($AV$61:$AX$65,,$AI648), INDEX($AY$61:$BE$65,,$AH648), 1 / ($BF$61:$BF$65*CC648 + (1-$BF$61:$BF$65)*BY648), N($AU$61:$AU$65&gt;$AM648)),
SUMPRODUCT(INDEX($AV$46:$AX$55,,$AI648), INDEX($AY$46:$BE$55,,$AH648), 1 / ($BG$46:$BG$55*CC648 + (1-$BG$46:$BG$55)*BY648), N($AU$46:$AU$55&gt;$AM648))
) / 1000</f>
        <v>0</v>
      </c>
      <c r="CE648" s="234" cm="1">
        <f t="array" ref="CE648">$BM648 * IF($AH648&lt;=2,
SUMPRODUCT(INDEX($AV$22:$AX$60,,$AI648), INDEX($AY$22:$BE$60,,$AH648), 1 / ($BF$22:$BF$60*CC648), N($AU$22:$AU$60&gt;$AM648)),
SUMPRODUCT(INDEX($AV$22:$AX$45,,$AI648), INDEX($AY$22:$BE$45,,$AH648), 1 / ($BG$22:$BG$45*CC648), N($AU$22:$AU$45&gt;$AM648))
) / 1000</f>
        <v>0</v>
      </c>
      <c r="CF648" s="229">
        <f t="shared" si="760"/>
        <v>0</v>
      </c>
      <c r="CG648" s="246"/>
      <c r="CH648" s="229">
        <f t="shared" si="761"/>
        <v>0</v>
      </c>
      <c r="CI648" s="228">
        <v>35</v>
      </c>
      <c r="CJ648" s="229">
        <f t="shared" si="762"/>
        <v>48</v>
      </c>
      <c r="CK648" s="234">
        <f t="shared" si="763"/>
        <v>3.0748170731707316</v>
      </c>
      <c r="CL648" s="234" cm="1">
        <f t="array" ref="CL648">$BM648 * SUMPRODUCT(INDEX($AV$76:$AX$81,,$AI648),INDEX($AY$76:$BE$81,,$AH648), N($AU$76:$AU$81&gt;$AM648)) / CK648 / 1000</f>
        <v>0</v>
      </c>
      <c r="CM648" s="231">
        <f t="shared" si="743"/>
        <v>30</v>
      </c>
      <c r="CN648" s="229">
        <f t="shared" si="764"/>
        <v>43</v>
      </c>
      <c r="CO648" s="234">
        <f t="shared" si="765"/>
        <v>3.5018750000000001</v>
      </c>
      <c r="CP648" s="234" cm="1">
        <f t="array" ref="CP648">$BM648 * IF($AH648&lt;=2,
SUMPRODUCT(INDEX($AV$71:$AX$75,,$AI648), INDEX($AY$71:$BE$75,,$AH648), 1 / ($BF$71:$BF$75*CO648 + (1-$BF$71:$BF$75)*CK648), N($AU$71:$AU$75&gt;$AM648)),
SUMPRODUCT(INDEX($AV$66:$AX$75,,$AI648), INDEX($AY$66:$BE$75,,$AH648), 1 / ($BG$66:$BG$75*CO648 + (1-$BG$66:$BG$75)*CK648), N($AU$66:$AU$75&gt;$AM648))
) / 1000</f>
        <v>0</v>
      </c>
      <c r="CQ648" s="231">
        <f t="shared" si="744"/>
        <v>25</v>
      </c>
      <c r="CR648" s="229">
        <f t="shared" si="766"/>
        <v>38</v>
      </c>
      <c r="CS648" s="234">
        <f t="shared" si="767"/>
        <v>4.0666935483870965</v>
      </c>
      <c r="CT648" s="234" cm="1">
        <f t="array" ref="CT648">$BM648 * IF($AH648&lt;=2,
SUMPRODUCT(INDEX($AV$66:$AX$70,,$AI648), INDEX($AY$66:$BE$70,,$AH648), 1 / ($BF$66:$BF$70*CS648 + (1-$BF$66:$BF$70)*CO648), N($AU$66:$AU$70&gt;$AM648)),
SUMPRODUCT(INDEX($AV$56:$AX$65,,$AI648), INDEX($AY$56:$BE$65,,$AH648), 1 / ($BG$56:$BG$65*CS648 + (1-$BG$56:$BG$65)*CO648), N($AU$56:$AU$65&gt;$AM648))
) / 1000</f>
        <v>0</v>
      </c>
      <c r="CU648" s="231">
        <f t="shared" si="745"/>
        <v>20</v>
      </c>
      <c r="CV648" s="229">
        <f t="shared" si="768"/>
        <v>33</v>
      </c>
      <c r="CW648" s="234">
        <f t="shared" si="769"/>
        <v>4.8487499999999999</v>
      </c>
      <c r="CX648" s="234" cm="1">
        <f t="array" ref="CX648">$BM648 * IF($AH648&lt;=2,
SUMPRODUCT(INDEX($AV$61:$AX$65,,$AI648), INDEX($AY$61:$BE$65,,$AH648), 1 / ($BF$61:$BF$65*CW648 + (1-$BF$61:$BF$65)*CS648), N($AU$61:$AU$65&gt;$AM648)),
SUMPRODUCT(INDEX($AV$46:$AX$55,,$AI648), INDEX($AY$46:$BE$55,,$AH648), 1 / ($BG$46:$BG$55*CW648 + (1-$BG$46:$BG$55)*CS648), N($AU$46:$AU$55&gt;$AM648))
) / 1000</f>
        <v>0</v>
      </c>
      <c r="CY648" s="234" cm="1">
        <f t="array" ref="CY648">$BM648 * IF($AH648&lt;=2,
SUMPRODUCT(INDEX($AV$22:$AX$60,,$AI648), INDEX($AY$22:$BE$60,,$AH648), 1 / ($BF$22:$BF$60*CW648), N($AU$22:$AU$60&gt;$AM648)),
SUMPRODUCT(INDEX($AV$22:$AX$45,,$AI648), INDEX($AY$22:$BE$45,,$AH648), 1 / ($BG$22:$BG$45*CW648), N($AU$22:$AU$45&gt;$AM648))
) / 1000</f>
        <v>0</v>
      </c>
      <c r="CZ648" s="229">
        <f t="shared" si="770"/>
        <v>0</v>
      </c>
      <c r="DA648" s="246"/>
    </row>
    <row r="649" spans="1:105" s="75" customFormat="1" ht="14.25" customHeight="1" x14ac:dyDescent="0.2">
      <c r="A649" s="230" t="b">
        <f t="shared" si="737"/>
        <v>0</v>
      </c>
      <c r="B649" s="253">
        <v>628</v>
      </c>
      <c r="C649" s="266"/>
      <c r="D649" s="266"/>
      <c r="E649" s="254"/>
      <c r="F649" s="255" t="str">
        <f>IF(ISBLANK(E649), "", VLOOKUP(E649, Z!$A$2:$C$4127, 3, FALSE))</f>
        <v/>
      </c>
      <c r="G649" s="256"/>
      <c r="H649" s="256"/>
      <c r="I649" s="256"/>
      <c r="J649" s="257"/>
      <c r="K649" s="258"/>
      <c r="L649" s="267"/>
      <c r="M649" s="268"/>
      <c r="N649" s="259" t="str" cm="1">
        <f t="array" ref="N649">IF($L649&gt;0, INDEX(Clean,1+AK649,$D$1), "")</f>
        <v/>
      </c>
      <c r="O649" s="260"/>
      <c r="P649" s="260"/>
      <c r="Q649" s="261"/>
      <c r="R649" s="264">
        <f t="shared" si="746"/>
        <v>0</v>
      </c>
      <c r="S649" s="259" t="str" cm="1">
        <f t="array" ref="S649">IF($L649&gt;0, INDEX(Clean,1+AL649,$D$1), "")</f>
        <v/>
      </c>
      <c r="T649" s="260"/>
      <c r="U649" s="260"/>
      <c r="V649" s="261"/>
      <c r="W649" s="267"/>
      <c r="X649" s="267"/>
      <c r="Y649" s="257"/>
      <c r="Z649" s="264">
        <f t="shared" si="747"/>
        <v>0</v>
      </c>
      <c r="AA649" s="269"/>
      <c r="AB649" s="266"/>
      <c r="AC649" s="254"/>
      <c r="AD649" s="255" t="str">
        <f>IF(ISBLANK(AC649), "", VLOOKUP(AC649, Z!$A$2:$C$4127, 3, FALSE))</f>
        <v/>
      </c>
      <c r="AE649" s="270"/>
      <c r="AF649" s="265">
        <f t="shared" si="748"/>
        <v>0</v>
      </c>
      <c r="AG649" s="246"/>
      <c r="AH649" s="228">
        <f t="shared" si="771"/>
        <v>1</v>
      </c>
      <c r="AI649" s="228">
        <f t="shared" si="772"/>
        <v>1</v>
      </c>
      <c r="AJ649" s="228">
        <f t="shared" si="773"/>
        <v>0</v>
      </c>
      <c r="AK649" s="228">
        <v>0</v>
      </c>
      <c r="AL649" s="228">
        <v>0</v>
      </c>
      <c r="AM649" s="228">
        <f t="shared" si="749"/>
        <v>-100</v>
      </c>
      <c r="AN649" s="228" cm="1">
        <f t="array" ref="AN649">IF(ISBLANK(G649), 1, IFERROR(MATCH(G649, INDEX(Kat,,1), 0), IFERROR(MATCH(Kat, INDEX(Use,,2), 0), MATCH(Kat, INDEX(Use,,3), 0))))</f>
        <v>1</v>
      </c>
      <c r="AO649" s="246"/>
      <c r="AP649" s="228" cm="1">
        <f t="array" ref="AP649">IF(W649&gt;0, INDEX(Kat, AN649,4), 0)</f>
        <v>0</v>
      </c>
      <c r="AQ649" s="228">
        <f t="shared" si="774"/>
        <v>0</v>
      </c>
      <c r="AR649" s="228" cm="1">
        <f t="array" ref="AR649">IF(X649&gt;0, INDEX(Kat, $AN649, 4+AQ649), 0)</f>
        <v>0</v>
      </c>
      <c r="AS649" s="228" cm="1">
        <f t="array" ref="AS649">IF(X649&gt;0, INDEX(Kat, $AN649, 9+AQ649), 0)</f>
        <v>0</v>
      </c>
      <c r="AT649" s="246"/>
      <c r="AU649" s="262"/>
      <c r="AV649" s="262"/>
      <c r="AW649" s="263"/>
      <c r="AX649" s="263"/>
      <c r="AY649" s="263"/>
      <c r="AZ649" s="263"/>
      <c r="BA649" s="263"/>
      <c r="BB649" s="263"/>
      <c r="BC649" s="263"/>
      <c r="BD649" s="263"/>
      <c r="BE649" s="263"/>
      <c r="BF649" s="263"/>
      <c r="BG649" s="263"/>
      <c r="BH649" s="246"/>
      <c r="BI649" s="228" cm="1">
        <f t="array" ref="BI649">INDEX(Use, $AH649, 4)</f>
        <v>7</v>
      </c>
      <c r="BJ649" s="228">
        <f t="shared" si="750"/>
        <v>32</v>
      </c>
      <c r="BK649" s="228">
        <f t="shared" si="738"/>
        <v>13</v>
      </c>
      <c r="BL649" s="228">
        <f t="shared" si="739"/>
        <v>0</v>
      </c>
      <c r="BM649" s="233" cm="1">
        <f t="array" ref="BM649">L649/IF($M649&gt;0, INDEX($AY$22:$BE$76, $M649+20, $AH649), 1)</f>
        <v>0</v>
      </c>
      <c r="BN649" s="229">
        <f t="shared" si="751"/>
        <v>0</v>
      </c>
      <c r="BO649" s="228">
        <v>35</v>
      </c>
      <c r="BP649" s="229">
        <f t="shared" si="752"/>
        <v>48</v>
      </c>
      <c r="BQ649" s="234">
        <f t="shared" si="753"/>
        <v>3.0748170731707316</v>
      </c>
      <c r="BR649" s="234" cm="1">
        <f t="array" ref="BR649">$BM649 * SUMPRODUCT(INDEX($AV$76:$AX$81,,$AI649),INDEX($AY$76:$BE$81,,$AH649), N($AU$76:$AU$81&gt;$AM649)) / BQ649 / 1000</f>
        <v>0</v>
      </c>
      <c r="BS649" s="231">
        <f t="shared" si="740"/>
        <v>30</v>
      </c>
      <c r="BT649" s="229">
        <f t="shared" si="754"/>
        <v>43</v>
      </c>
      <c r="BU649" s="234">
        <f t="shared" si="755"/>
        <v>3.5018750000000001</v>
      </c>
      <c r="BV649" s="234" cm="1">
        <f t="array" ref="BV649">$BM649 * IF($AH649&lt;=2,
SUMPRODUCT(INDEX($AV$71:$AX$75,,$AI649), INDEX($AY$71:$BE$75,,$AH649), 1 / ($BF$71:$BF$75*BU649 + (1-$BF$71:$BF$75)*BQ649), N($AU$71:$AU$75&gt;$AM649)),
SUMPRODUCT(INDEX($AV$66:$AX$75,,$AI649), INDEX($AY$66:$BE$75,,$AH649), 1 / ($BG$66:$BG$75*BU649 + (1-$BG$66:$BG$75)*BQ649), N($AU$66:$AU$75&gt;$AM649))
) / 1000</f>
        <v>0</v>
      </c>
      <c r="BW649" s="231">
        <f t="shared" si="741"/>
        <v>25</v>
      </c>
      <c r="BX649" s="229">
        <f t="shared" si="756"/>
        <v>38</v>
      </c>
      <c r="BY649" s="234">
        <f t="shared" si="757"/>
        <v>4.0666935483870965</v>
      </c>
      <c r="BZ649" s="234" cm="1">
        <f t="array" ref="BZ649">$BM649 * IF($AH649&lt;=2,
SUMPRODUCT(INDEX($AV$66:$AX$70,,$AI649), INDEX($AY$66:$BE$70,,$AH649), 1 / ($BF$66:$BF$70*BY649 + (1-$BF$66:$BF$70)*BU649), N($AU$66:$AU$70&gt;$AM649)),
SUMPRODUCT(INDEX($AV$56:$AX$65,,$AI649), INDEX($AY$56:$BE$65,,$AH649), 1 / ($BG$56:$BG$65*BY649 + (1-$BG$56:$BG$65)*BU649), N($AU$56:$AU$65&gt;$AM649))
) / 1000</f>
        <v>0</v>
      </c>
      <c r="CA649" s="231">
        <f t="shared" si="742"/>
        <v>20</v>
      </c>
      <c r="CB649" s="229">
        <f t="shared" si="758"/>
        <v>33</v>
      </c>
      <c r="CC649" s="234">
        <f t="shared" si="759"/>
        <v>4.8487499999999999</v>
      </c>
      <c r="CD649" s="234" cm="1">
        <f t="array" ref="CD649">$BM649 * IF($AH649&lt;=2,
SUMPRODUCT(INDEX($AV$61:$AX$65,,$AI649), INDEX($AY$61:$BE$65,,$AH649), 1 / ($BF$61:$BF$65*CC649 + (1-$BF$61:$BF$65)*BY649), N($AU$61:$AU$65&gt;$AM649)),
SUMPRODUCT(INDEX($AV$46:$AX$55,,$AI649), INDEX($AY$46:$BE$55,,$AH649), 1 / ($BG$46:$BG$55*CC649 + (1-$BG$46:$BG$55)*BY649), N($AU$46:$AU$55&gt;$AM649))
) / 1000</f>
        <v>0</v>
      </c>
      <c r="CE649" s="234" cm="1">
        <f t="array" ref="CE649">$BM649 * IF($AH649&lt;=2,
SUMPRODUCT(INDEX($AV$22:$AX$60,,$AI649), INDEX($AY$22:$BE$60,,$AH649), 1 / ($BF$22:$BF$60*CC649), N($AU$22:$AU$60&gt;$AM649)),
SUMPRODUCT(INDEX($AV$22:$AX$45,,$AI649), INDEX($AY$22:$BE$45,,$AH649), 1 / ($BG$22:$BG$45*CC649), N($AU$22:$AU$45&gt;$AM649))
) / 1000</f>
        <v>0</v>
      </c>
      <c r="CF649" s="229">
        <f t="shared" si="760"/>
        <v>0</v>
      </c>
      <c r="CG649" s="246"/>
      <c r="CH649" s="229">
        <f t="shared" si="761"/>
        <v>0</v>
      </c>
      <c r="CI649" s="228">
        <v>35</v>
      </c>
      <c r="CJ649" s="229">
        <f t="shared" si="762"/>
        <v>48</v>
      </c>
      <c r="CK649" s="234">
        <f t="shared" si="763"/>
        <v>3.0748170731707316</v>
      </c>
      <c r="CL649" s="234" cm="1">
        <f t="array" ref="CL649">$BM649 * SUMPRODUCT(INDEX($AV$76:$AX$81,,$AI649),INDEX($AY$76:$BE$81,,$AH649), N($AU$76:$AU$81&gt;$AM649)) / CK649 / 1000</f>
        <v>0</v>
      </c>
      <c r="CM649" s="231">
        <f t="shared" si="743"/>
        <v>30</v>
      </c>
      <c r="CN649" s="229">
        <f t="shared" si="764"/>
        <v>43</v>
      </c>
      <c r="CO649" s="234">
        <f t="shared" si="765"/>
        <v>3.5018750000000001</v>
      </c>
      <c r="CP649" s="234" cm="1">
        <f t="array" ref="CP649">$BM649 * IF($AH649&lt;=2,
SUMPRODUCT(INDEX($AV$71:$AX$75,,$AI649), INDEX($AY$71:$BE$75,,$AH649), 1 / ($BF$71:$BF$75*CO649 + (1-$BF$71:$BF$75)*CK649), N($AU$71:$AU$75&gt;$AM649)),
SUMPRODUCT(INDEX($AV$66:$AX$75,,$AI649), INDEX($AY$66:$BE$75,,$AH649), 1 / ($BG$66:$BG$75*CO649 + (1-$BG$66:$BG$75)*CK649), N($AU$66:$AU$75&gt;$AM649))
) / 1000</f>
        <v>0</v>
      </c>
      <c r="CQ649" s="231">
        <f t="shared" si="744"/>
        <v>25</v>
      </c>
      <c r="CR649" s="229">
        <f t="shared" si="766"/>
        <v>38</v>
      </c>
      <c r="CS649" s="234">
        <f t="shared" si="767"/>
        <v>4.0666935483870965</v>
      </c>
      <c r="CT649" s="234" cm="1">
        <f t="array" ref="CT649">$BM649 * IF($AH649&lt;=2,
SUMPRODUCT(INDEX($AV$66:$AX$70,,$AI649), INDEX($AY$66:$BE$70,,$AH649), 1 / ($BF$66:$BF$70*CS649 + (1-$BF$66:$BF$70)*CO649), N($AU$66:$AU$70&gt;$AM649)),
SUMPRODUCT(INDEX($AV$56:$AX$65,,$AI649), INDEX($AY$56:$BE$65,,$AH649), 1 / ($BG$56:$BG$65*CS649 + (1-$BG$56:$BG$65)*CO649), N($AU$56:$AU$65&gt;$AM649))
) / 1000</f>
        <v>0</v>
      </c>
      <c r="CU649" s="231">
        <f t="shared" si="745"/>
        <v>20</v>
      </c>
      <c r="CV649" s="229">
        <f t="shared" si="768"/>
        <v>33</v>
      </c>
      <c r="CW649" s="234">
        <f t="shared" si="769"/>
        <v>4.8487499999999999</v>
      </c>
      <c r="CX649" s="234" cm="1">
        <f t="array" ref="CX649">$BM649 * IF($AH649&lt;=2,
SUMPRODUCT(INDEX($AV$61:$AX$65,,$AI649), INDEX($AY$61:$BE$65,,$AH649), 1 / ($BF$61:$BF$65*CW649 + (1-$BF$61:$BF$65)*CS649), N($AU$61:$AU$65&gt;$AM649)),
SUMPRODUCT(INDEX($AV$46:$AX$55,,$AI649), INDEX($AY$46:$BE$55,,$AH649), 1 / ($BG$46:$BG$55*CW649 + (1-$BG$46:$BG$55)*CS649), N($AU$46:$AU$55&gt;$AM649))
) / 1000</f>
        <v>0</v>
      </c>
      <c r="CY649" s="234" cm="1">
        <f t="array" ref="CY649">$BM649 * IF($AH649&lt;=2,
SUMPRODUCT(INDEX($AV$22:$AX$60,,$AI649), INDEX($AY$22:$BE$60,,$AH649), 1 / ($BF$22:$BF$60*CW649), N($AU$22:$AU$60&gt;$AM649)),
SUMPRODUCT(INDEX($AV$22:$AX$45,,$AI649), INDEX($AY$22:$BE$45,,$AH649), 1 / ($BG$22:$BG$45*CW649), N($AU$22:$AU$45&gt;$AM649))
) / 1000</f>
        <v>0</v>
      </c>
      <c r="CZ649" s="229">
        <f t="shared" si="770"/>
        <v>0</v>
      </c>
      <c r="DA649" s="246"/>
    </row>
    <row r="650" spans="1:105" s="75" customFormat="1" ht="14.25" customHeight="1" x14ac:dyDescent="0.2">
      <c r="A650" s="230" t="b">
        <f t="shared" si="737"/>
        <v>0</v>
      </c>
      <c r="B650" s="253">
        <v>629</v>
      </c>
      <c r="C650" s="266"/>
      <c r="D650" s="266"/>
      <c r="E650" s="254"/>
      <c r="F650" s="255" t="str">
        <f>IF(ISBLANK(E650), "", VLOOKUP(E650, Z!$A$2:$C$4127, 3, FALSE))</f>
        <v/>
      </c>
      <c r="G650" s="256"/>
      <c r="H650" s="256"/>
      <c r="I650" s="256"/>
      <c r="J650" s="257"/>
      <c r="K650" s="258"/>
      <c r="L650" s="267"/>
      <c r="M650" s="268"/>
      <c r="N650" s="259" t="str" cm="1">
        <f t="array" ref="N650">IF($L650&gt;0, INDEX(Clean,1+AK650,$D$1), "")</f>
        <v/>
      </c>
      <c r="O650" s="260"/>
      <c r="P650" s="260"/>
      <c r="Q650" s="261"/>
      <c r="R650" s="264">
        <f t="shared" si="746"/>
        <v>0</v>
      </c>
      <c r="S650" s="259" t="str" cm="1">
        <f t="array" ref="S650">IF($L650&gt;0, INDEX(Clean,1+AL650,$D$1), "")</f>
        <v/>
      </c>
      <c r="T650" s="260"/>
      <c r="U650" s="260"/>
      <c r="V650" s="261"/>
      <c r="W650" s="267"/>
      <c r="X650" s="267"/>
      <c r="Y650" s="257"/>
      <c r="Z650" s="264">
        <f t="shared" si="747"/>
        <v>0</v>
      </c>
      <c r="AA650" s="269"/>
      <c r="AB650" s="266"/>
      <c r="AC650" s="254"/>
      <c r="AD650" s="255" t="str">
        <f>IF(ISBLANK(AC650), "", VLOOKUP(AC650, Z!$A$2:$C$4127, 3, FALSE))</f>
        <v/>
      </c>
      <c r="AE650" s="270"/>
      <c r="AF650" s="265">
        <f t="shared" si="748"/>
        <v>0</v>
      </c>
      <c r="AG650" s="246"/>
      <c r="AH650" s="228">
        <f t="shared" si="771"/>
        <v>1</v>
      </c>
      <c r="AI650" s="228">
        <f t="shared" si="772"/>
        <v>1</v>
      </c>
      <c r="AJ650" s="228">
        <f t="shared" si="773"/>
        <v>0</v>
      </c>
      <c r="AK650" s="228">
        <v>0</v>
      </c>
      <c r="AL650" s="228">
        <v>0</v>
      </c>
      <c r="AM650" s="228">
        <f t="shared" si="749"/>
        <v>-100</v>
      </c>
      <c r="AN650" s="228" cm="1">
        <f t="array" ref="AN650">IF(ISBLANK(G650), 1, IFERROR(MATCH(G650, INDEX(Kat,,1), 0), IFERROR(MATCH(Kat, INDEX(Use,,2), 0), MATCH(Kat, INDEX(Use,,3), 0))))</f>
        <v>1</v>
      </c>
      <c r="AO650" s="246"/>
      <c r="AP650" s="228" cm="1">
        <f t="array" ref="AP650">IF(W650&gt;0, INDEX(Kat, AN650,4), 0)</f>
        <v>0</v>
      </c>
      <c r="AQ650" s="228">
        <f t="shared" si="774"/>
        <v>0</v>
      </c>
      <c r="AR650" s="228" cm="1">
        <f t="array" ref="AR650">IF(X650&gt;0, INDEX(Kat, $AN650, 4+AQ650), 0)</f>
        <v>0</v>
      </c>
      <c r="AS650" s="228" cm="1">
        <f t="array" ref="AS650">IF(X650&gt;0, INDEX(Kat, $AN650, 9+AQ650), 0)</f>
        <v>0</v>
      </c>
      <c r="AT650" s="246"/>
      <c r="AU650" s="262"/>
      <c r="AV650" s="262"/>
      <c r="AW650" s="263"/>
      <c r="AX650" s="263"/>
      <c r="AY650" s="263"/>
      <c r="AZ650" s="263"/>
      <c r="BA650" s="263"/>
      <c r="BB650" s="263"/>
      <c r="BC650" s="263"/>
      <c r="BD650" s="263"/>
      <c r="BE650" s="263"/>
      <c r="BF650" s="263"/>
      <c r="BG650" s="263"/>
      <c r="BH650" s="246"/>
      <c r="BI650" s="228" cm="1">
        <f t="array" ref="BI650">INDEX(Use, $AH650, 4)</f>
        <v>7</v>
      </c>
      <c r="BJ650" s="228">
        <f t="shared" si="750"/>
        <v>32</v>
      </c>
      <c r="BK650" s="228">
        <f t="shared" si="738"/>
        <v>13</v>
      </c>
      <c r="BL650" s="228">
        <f t="shared" si="739"/>
        <v>0</v>
      </c>
      <c r="BM650" s="233" cm="1">
        <f t="array" ref="BM650">L650/IF($M650&gt;0, INDEX($AY$22:$BE$76, $M650+20, $AH650), 1)</f>
        <v>0</v>
      </c>
      <c r="BN650" s="229">
        <f t="shared" si="751"/>
        <v>0</v>
      </c>
      <c r="BO650" s="228">
        <v>35</v>
      </c>
      <c r="BP650" s="229">
        <f t="shared" si="752"/>
        <v>48</v>
      </c>
      <c r="BQ650" s="234">
        <f t="shared" si="753"/>
        <v>3.0748170731707316</v>
      </c>
      <c r="BR650" s="234" cm="1">
        <f t="array" ref="BR650">$BM650 * SUMPRODUCT(INDEX($AV$76:$AX$81,,$AI650),INDEX($AY$76:$BE$81,,$AH650), N($AU$76:$AU$81&gt;$AM650)) / BQ650 / 1000</f>
        <v>0</v>
      </c>
      <c r="BS650" s="231">
        <f t="shared" si="740"/>
        <v>30</v>
      </c>
      <c r="BT650" s="229">
        <f t="shared" si="754"/>
        <v>43</v>
      </c>
      <c r="BU650" s="234">
        <f t="shared" si="755"/>
        <v>3.5018750000000001</v>
      </c>
      <c r="BV650" s="234" cm="1">
        <f t="array" ref="BV650">$BM650 * IF($AH650&lt;=2,
SUMPRODUCT(INDEX($AV$71:$AX$75,,$AI650), INDEX($AY$71:$BE$75,,$AH650), 1 / ($BF$71:$BF$75*BU650 + (1-$BF$71:$BF$75)*BQ650), N($AU$71:$AU$75&gt;$AM650)),
SUMPRODUCT(INDEX($AV$66:$AX$75,,$AI650), INDEX($AY$66:$BE$75,,$AH650), 1 / ($BG$66:$BG$75*BU650 + (1-$BG$66:$BG$75)*BQ650), N($AU$66:$AU$75&gt;$AM650))
) / 1000</f>
        <v>0</v>
      </c>
      <c r="BW650" s="231">
        <f t="shared" si="741"/>
        <v>25</v>
      </c>
      <c r="BX650" s="229">
        <f t="shared" si="756"/>
        <v>38</v>
      </c>
      <c r="BY650" s="234">
        <f t="shared" si="757"/>
        <v>4.0666935483870965</v>
      </c>
      <c r="BZ650" s="234" cm="1">
        <f t="array" ref="BZ650">$BM650 * IF($AH650&lt;=2,
SUMPRODUCT(INDEX($AV$66:$AX$70,,$AI650), INDEX($AY$66:$BE$70,,$AH650), 1 / ($BF$66:$BF$70*BY650 + (1-$BF$66:$BF$70)*BU650), N($AU$66:$AU$70&gt;$AM650)),
SUMPRODUCT(INDEX($AV$56:$AX$65,,$AI650), INDEX($AY$56:$BE$65,,$AH650), 1 / ($BG$56:$BG$65*BY650 + (1-$BG$56:$BG$65)*BU650), N($AU$56:$AU$65&gt;$AM650))
) / 1000</f>
        <v>0</v>
      </c>
      <c r="CA650" s="231">
        <f t="shared" si="742"/>
        <v>20</v>
      </c>
      <c r="CB650" s="229">
        <f t="shared" si="758"/>
        <v>33</v>
      </c>
      <c r="CC650" s="234">
        <f t="shared" si="759"/>
        <v>4.8487499999999999</v>
      </c>
      <c r="CD650" s="234" cm="1">
        <f t="array" ref="CD650">$BM650 * IF($AH650&lt;=2,
SUMPRODUCT(INDEX($AV$61:$AX$65,,$AI650), INDEX($AY$61:$BE$65,,$AH650), 1 / ($BF$61:$BF$65*CC650 + (1-$BF$61:$BF$65)*BY650), N($AU$61:$AU$65&gt;$AM650)),
SUMPRODUCT(INDEX($AV$46:$AX$55,,$AI650), INDEX($AY$46:$BE$55,,$AH650), 1 / ($BG$46:$BG$55*CC650 + (1-$BG$46:$BG$55)*BY650), N($AU$46:$AU$55&gt;$AM650))
) / 1000</f>
        <v>0</v>
      </c>
      <c r="CE650" s="234" cm="1">
        <f t="array" ref="CE650">$BM650 * IF($AH650&lt;=2,
SUMPRODUCT(INDEX($AV$22:$AX$60,,$AI650), INDEX($AY$22:$BE$60,,$AH650), 1 / ($BF$22:$BF$60*CC650), N($AU$22:$AU$60&gt;$AM650)),
SUMPRODUCT(INDEX($AV$22:$AX$45,,$AI650), INDEX($AY$22:$BE$45,,$AH650), 1 / ($BG$22:$BG$45*CC650), N($AU$22:$AU$45&gt;$AM650))
) / 1000</f>
        <v>0</v>
      </c>
      <c r="CF650" s="229">
        <f t="shared" si="760"/>
        <v>0</v>
      </c>
      <c r="CG650" s="246"/>
      <c r="CH650" s="229">
        <f t="shared" si="761"/>
        <v>0</v>
      </c>
      <c r="CI650" s="228">
        <v>35</v>
      </c>
      <c r="CJ650" s="229">
        <f t="shared" si="762"/>
        <v>48</v>
      </c>
      <c r="CK650" s="234">
        <f t="shared" si="763"/>
        <v>3.0748170731707316</v>
      </c>
      <c r="CL650" s="234" cm="1">
        <f t="array" ref="CL650">$BM650 * SUMPRODUCT(INDEX($AV$76:$AX$81,,$AI650),INDEX($AY$76:$BE$81,,$AH650), N($AU$76:$AU$81&gt;$AM650)) / CK650 / 1000</f>
        <v>0</v>
      </c>
      <c r="CM650" s="231">
        <f t="shared" si="743"/>
        <v>30</v>
      </c>
      <c r="CN650" s="229">
        <f t="shared" si="764"/>
        <v>43</v>
      </c>
      <c r="CO650" s="234">
        <f t="shared" si="765"/>
        <v>3.5018750000000001</v>
      </c>
      <c r="CP650" s="234" cm="1">
        <f t="array" ref="CP650">$BM650 * IF($AH650&lt;=2,
SUMPRODUCT(INDEX($AV$71:$AX$75,,$AI650), INDEX($AY$71:$BE$75,,$AH650), 1 / ($BF$71:$BF$75*CO650 + (1-$BF$71:$BF$75)*CK650), N($AU$71:$AU$75&gt;$AM650)),
SUMPRODUCT(INDEX($AV$66:$AX$75,,$AI650), INDEX($AY$66:$BE$75,,$AH650), 1 / ($BG$66:$BG$75*CO650 + (1-$BG$66:$BG$75)*CK650), N($AU$66:$AU$75&gt;$AM650))
) / 1000</f>
        <v>0</v>
      </c>
      <c r="CQ650" s="231">
        <f t="shared" si="744"/>
        <v>25</v>
      </c>
      <c r="CR650" s="229">
        <f t="shared" si="766"/>
        <v>38</v>
      </c>
      <c r="CS650" s="234">
        <f t="shared" si="767"/>
        <v>4.0666935483870965</v>
      </c>
      <c r="CT650" s="234" cm="1">
        <f t="array" ref="CT650">$BM650 * IF($AH650&lt;=2,
SUMPRODUCT(INDEX($AV$66:$AX$70,,$AI650), INDEX($AY$66:$BE$70,,$AH650), 1 / ($BF$66:$BF$70*CS650 + (1-$BF$66:$BF$70)*CO650), N($AU$66:$AU$70&gt;$AM650)),
SUMPRODUCT(INDEX($AV$56:$AX$65,,$AI650), INDEX($AY$56:$BE$65,,$AH650), 1 / ($BG$56:$BG$65*CS650 + (1-$BG$56:$BG$65)*CO650), N($AU$56:$AU$65&gt;$AM650))
) / 1000</f>
        <v>0</v>
      </c>
      <c r="CU650" s="231">
        <f t="shared" si="745"/>
        <v>20</v>
      </c>
      <c r="CV650" s="229">
        <f t="shared" si="768"/>
        <v>33</v>
      </c>
      <c r="CW650" s="234">
        <f t="shared" si="769"/>
        <v>4.8487499999999999</v>
      </c>
      <c r="CX650" s="234" cm="1">
        <f t="array" ref="CX650">$BM650 * IF($AH650&lt;=2,
SUMPRODUCT(INDEX($AV$61:$AX$65,,$AI650), INDEX($AY$61:$BE$65,,$AH650), 1 / ($BF$61:$BF$65*CW650 + (1-$BF$61:$BF$65)*CS650), N($AU$61:$AU$65&gt;$AM650)),
SUMPRODUCT(INDEX($AV$46:$AX$55,,$AI650), INDEX($AY$46:$BE$55,,$AH650), 1 / ($BG$46:$BG$55*CW650 + (1-$BG$46:$BG$55)*CS650), N($AU$46:$AU$55&gt;$AM650))
) / 1000</f>
        <v>0</v>
      </c>
      <c r="CY650" s="234" cm="1">
        <f t="array" ref="CY650">$BM650 * IF($AH650&lt;=2,
SUMPRODUCT(INDEX($AV$22:$AX$60,,$AI650), INDEX($AY$22:$BE$60,,$AH650), 1 / ($BF$22:$BF$60*CW650), N($AU$22:$AU$60&gt;$AM650)),
SUMPRODUCT(INDEX($AV$22:$AX$45,,$AI650), INDEX($AY$22:$BE$45,,$AH650), 1 / ($BG$22:$BG$45*CW650), N($AU$22:$AU$45&gt;$AM650))
) / 1000</f>
        <v>0</v>
      </c>
      <c r="CZ650" s="229">
        <f t="shared" si="770"/>
        <v>0</v>
      </c>
      <c r="DA650" s="246"/>
    </row>
    <row r="651" spans="1:105" s="75" customFormat="1" ht="14.25" customHeight="1" x14ac:dyDescent="0.2">
      <c r="A651" s="230" t="b">
        <f t="shared" si="737"/>
        <v>0</v>
      </c>
      <c r="B651" s="253">
        <v>630</v>
      </c>
      <c r="C651" s="266"/>
      <c r="D651" s="266"/>
      <c r="E651" s="254"/>
      <c r="F651" s="255" t="str">
        <f>IF(ISBLANK(E651), "", VLOOKUP(E651, Z!$A$2:$C$4127, 3, FALSE))</f>
        <v/>
      </c>
      <c r="G651" s="256"/>
      <c r="H651" s="256"/>
      <c r="I651" s="256"/>
      <c r="J651" s="257"/>
      <c r="K651" s="258"/>
      <c r="L651" s="267"/>
      <c r="M651" s="268"/>
      <c r="N651" s="259" t="str" cm="1">
        <f t="array" ref="N651">IF($L651&gt;0, INDEX(Clean,1+AK651,$D$1), "")</f>
        <v/>
      </c>
      <c r="O651" s="260"/>
      <c r="P651" s="260"/>
      <c r="Q651" s="261"/>
      <c r="R651" s="264">
        <f t="shared" si="746"/>
        <v>0</v>
      </c>
      <c r="S651" s="259" t="str" cm="1">
        <f t="array" ref="S651">IF($L651&gt;0, INDEX(Clean,1+AL651,$D$1), "")</f>
        <v/>
      </c>
      <c r="T651" s="260"/>
      <c r="U651" s="260"/>
      <c r="V651" s="261"/>
      <c r="W651" s="267"/>
      <c r="X651" s="267"/>
      <c r="Y651" s="257"/>
      <c r="Z651" s="264">
        <f t="shared" si="747"/>
        <v>0</v>
      </c>
      <c r="AA651" s="269"/>
      <c r="AB651" s="266"/>
      <c r="AC651" s="254"/>
      <c r="AD651" s="255" t="str">
        <f>IF(ISBLANK(AC651), "", VLOOKUP(AC651, Z!$A$2:$C$4127, 3, FALSE))</f>
        <v/>
      </c>
      <c r="AE651" s="270"/>
      <c r="AF651" s="265">
        <f t="shared" si="748"/>
        <v>0</v>
      </c>
      <c r="AG651" s="246"/>
      <c r="AH651" s="228">
        <f t="shared" si="771"/>
        <v>1</v>
      </c>
      <c r="AI651" s="228">
        <f t="shared" si="772"/>
        <v>1</v>
      </c>
      <c r="AJ651" s="228">
        <f t="shared" si="773"/>
        <v>0</v>
      </c>
      <c r="AK651" s="228">
        <v>0</v>
      </c>
      <c r="AL651" s="228">
        <v>0</v>
      </c>
      <c r="AM651" s="228">
        <f t="shared" si="749"/>
        <v>-100</v>
      </c>
      <c r="AN651" s="228" cm="1">
        <f t="array" ref="AN651">IF(ISBLANK(G651), 1, IFERROR(MATCH(G651, INDEX(Kat,,1), 0), IFERROR(MATCH(Kat, INDEX(Use,,2), 0), MATCH(Kat, INDEX(Use,,3), 0))))</f>
        <v>1</v>
      </c>
      <c r="AO651" s="246"/>
      <c r="AP651" s="228" cm="1">
        <f t="array" ref="AP651">IF(W651&gt;0, INDEX(Kat, AN651,4), 0)</f>
        <v>0</v>
      </c>
      <c r="AQ651" s="228">
        <f t="shared" si="774"/>
        <v>0</v>
      </c>
      <c r="AR651" s="228" cm="1">
        <f t="array" ref="AR651">IF(X651&gt;0, INDEX(Kat, $AN651, 4+AQ651), 0)</f>
        <v>0</v>
      </c>
      <c r="AS651" s="228" cm="1">
        <f t="array" ref="AS651">IF(X651&gt;0, INDEX(Kat, $AN651, 9+AQ651), 0)</f>
        <v>0</v>
      </c>
      <c r="AT651" s="246"/>
      <c r="AU651" s="262"/>
      <c r="AV651" s="262"/>
      <c r="AW651" s="263"/>
      <c r="AX651" s="263"/>
      <c r="AY651" s="263"/>
      <c r="AZ651" s="263"/>
      <c r="BA651" s="263"/>
      <c r="BB651" s="263"/>
      <c r="BC651" s="263"/>
      <c r="BD651" s="263"/>
      <c r="BE651" s="263"/>
      <c r="BF651" s="263"/>
      <c r="BG651" s="263"/>
      <c r="BH651" s="246"/>
      <c r="BI651" s="228" cm="1">
        <f t="array" ref="BI651">INDEX(Use, $AH651, 4)</f>
        <v>7</v>
      </c>
      <c r="BJ651" s="228">
        <f t="shared" si="750"/>
        <v>32</v>
      </c>
      <c r="BK651" s="228">
        <f t="shared" si="738"/>
        <v>13</v>
      </c>
      <c r="BL651" s="228">
        <f t="shared" si="739"/>
        <v>0</v>
      </c>
      <c r="BM651" s="233" cm="1">
        <f t="array" ref="BM651">L651/IF($M651&gt;0, INDEX($AY$22:$BE$76, $M651+20, $AH651), 1)</f>
        <v>0</v>
      </c>
      <c r="BN651" s="229">
        <f t="shared" si="751"/>
        <v>0</v>
      </c>
      <c r="BO651" s="228">
        <v>35</v>
      </c>
      <c r="BP651" s="229">
        <f t="shared" si="752"/>
        <v>48</v>
      </c>
      <c r="BQ651" s="234">
        <f t="shared" si="753"/>
        <v>3.0748170731707316</v>
      </c>
      <c r="BR651" s="234" cm="1">
        <f t="array" ref="BR651">$BM651 * SUMPRODUCT(INDEX($AV$76:$AX$81,,$AI651),INDEX($AY$76:$BE$81,,$AH651), N($AU$76:$AU$81&gt;$AM651)) / BQ651 / 1000</f>
        <v>0</v>
      </c>
      <c r="BS651" s="231">
        <f t="shared" si="740"/>
        <v>30</v>
      </c>
      <c r="BT651" s="229">
        <f t="shared" si="754"/>
        <v>43</v>
      </c>
      <c r="BU651" s="234">
        <f t="shared" si="755"/>
        <v>3.5018750000000001</v>
      </c>
      <c r="BV651" s="234" cm="1">
        <f t="array" ref="BV651">$BM651 * IF($AH651&lt;=2,
SUMPRODUCT(INDEX($AV$71:$AX$75,,$AI651), INDEX($AY$71:$BE$75,,$AH651), 1 / ($BF$71:$BF$75*BU651 + (1-$BF$71:$BF$75)*BQ651), N($AU$71:$AU$75&gt;$AM651)),
SUMPRODUCT(INDEX($AV$66:$AX$75,,$AI651), INDEX($AY$66:$BE$75,,$AH651), 1 / ($BG$66:$BG$75*BU651 + (1-$BG$66:$BG$75)*BQ651), N($AU$66:$AU$75&gt;$AM651))
) / 1000</f>
        <v>0</v>
      </c>
      <c r="BW651" s="231">
        <f t="shared" si="741"/>
        <v>25</v>
      </c>
      <c r="BX651" s="229">
        <f t="shared" si="756"/>
        <v>38</v>
      </c>
      <c r="BY651" s="234">
        <f t="shared" si="757"/>
        <v>4.0666935483870965</v>
      </c>
      <c r="BZ651" s="234" cm="1">
        <f t="array" ref="BZ651">$BM651 * IF($AH651&lt;=2,
SUMPRODUCT(INDEX($AV$66:$AX$70,,$AI651), INDEX($AY$66:$BE$70,,$AH651), 1 / ($BF$66:$BF$70*BY651 + (1-$BF$66:$BF$70)*BU651), N($AU$66:$AU$70&gt;$AM651)),
SUMPRODUCT(INDEX($AV$56:$AX$65,,$AI651), INDEX($AY$56:$BE$65,,$AH651), 1 / ($BG$56:$BG$65*BY651 + (1-$BG$56:$BG$65)*BU651), N($AU$56:$AU$65&gt;$AM651))
) / 1000</f>
        <v>0</v>
      </c>
      <c r="CA651" s="231">
        <f t="shared" si="742"/>
        <v>20</v>
      </c>
      <c r="CB651" s="229">
        <f t="shared" si="758"/>
        <v>33</v>
      </c>
      <c r="CC651" s="234">
        <f t="shared" si="759"/>
        <v>4.8487499999999999</v>
      </c>
      <c r="CD651" s="234" cm="1">
        <f t="array" ref="CD651">$BM651 * IF($AH651&lt;=2,
SUMPRODUCT(INDEX($AV$61:$AX$65,,$AI651), INDEX($AY$61:$BE$65,,$AH651), 1 / ($BF$61:$BF$65*CC651 + (1-$BF$61:$BF$65)*BY651), N($AU$61:$AU$65&gt;$AM651)),
SUMPRODUCT(INDEX($AV$46:$AX$55,,$AI651), INDEX($AY$46:$BE$55,,$AH651), 1 / ($BG$46:$BG$55*CC651 + (1-$BG$46:$BG$55)*BY651), N($AU$46:$AU$55&gt;$AM651))
) / 1000</f>
        <v>0</v>
      </c>
      <c r="CE651" s="234" cm="1">
        <f t="array" ref="CE651">$BM651 * IF($AH651&lt;=2,
SUMPRODUCT(INDEX($AV$22:$AX$60,,$AI651), INDEX($AY$22:$BE$60,,$AH651), 1 / ($BF$22:$BF$60*CC651), N($AU$22:$AU$60&gt;$AM651)),
SUMPRODUCT(INDEX($AV$22:$AX$45,,$AI651), INDEX($AY$22:$BE$45,,$AH651), 1 / ($BG$22:$BG$45*CC651), N($AU$22:$AU$45&gt;$AM651))
) / 1000</f>
        <v>0</v>
      </c>
      <c r="CF651" s="229">
        <f t="shared" si="760"/>
        <v>0</v>
      </c>
      <c r="CG651" s="246"/>
      <c r="CH651" s="229">
        <f t="shared" si="761"/>
        <v>0</v>
      </c>
      <c r="CI651" s="228">
        <v>35</v>
      </c>
      <c r="CJ651" s="229">
        <f t="shared" si="762"/>
        <v>48</v>
      </c>
      <c r="CK651" s="234">
        <f t="shared" si="763"/>
        <v>3.0748170731707316</v>
      </c>
      <c r="CL651" s="234" cm="1">
        <f t="array" ref="CL651">$BM651 * SUMPRODUCT(INDEX($AV$76:$AX$81,,$AI651),INDEX($AY$76:$BE$81,,$AH651), N($AU$76:$AU$81&gt;$AM651)) / CK651 / 1000</f>
        <v>0</v>
      </c>
      <c r="CM651" s="231">
        <f t="shared" si="743"/>
        <v>30</v>
      </c>
      <c r="CN651" s="229">
        <f t="shared" si="764"/>
        <v>43</v>
      </c>
      <c r="CO651" s="234">
        <f t="shared" si="765"/>
        <v>3.5018750000000001</v>
      </c>
      <c r="CP651" s="234" cm="1">
        <f t="array" ref="CP651">$BM651 * IF($AH651&lt;=2,
SUMPRODUCT(INDEX($AV$71:$AX$75,,$AI651), INDEX($AY$71:$BE$75,,$AH651), 1 / ($BF$71:$BF$75*CO651 + (1-$BF$71:$BF$75)*CK651), N($AU$71:$AU$75&gt;$AM651)),
SUMPRODUCT(INDEX($AV$66:$AX$75,,$AI651), INDEX($AY$66:$BE$75,,$AH651), 1 / ($BG$66:$BG$75*CO651 + (1-$BG$66:$BG$75)*CK651), N($AU$66:$AU$75&gt;$AM651))
) / 1000</f>
        <v>0</v>
      </c>
      <c r="CQ651" s="231">
        <f t="shared" si="744"/>
        <v>25</v>
      </c>
      <c r="CR651" s="229">
        <f t="shared" si="766"/>
        <v>38</v>
      </c>
      <c r="CS651" s="234">
        <f t="shared" si="767"/>
        <v>4.0666935483870965</v>
      </c>
      <c r="CT651" s="234" cm="1">
        <f t="array" ref="CT651">$BM651 * IF($AH651&lt;=2,
SUMPRODUCT(INDEX($AV$66:$AX$70,,$AI651), INDEX($AY$66:$BE$70,,$AH651), 1 / ($BF$66:$BF$70*CS651 + (1-$BF$66:$BF$70)*CO651), N($AU$66:$AU$70&gt;$AM651)),
SUMPRODUCT(INDEX($AV$56:$AX$65,,$AI651), INDEX($AY$56:$BE$65,,$AH651), 1 / ($BG$56:$BG$65*CS651 + (1-$BG$56:$BG$65)*CO651), N($AU$56:$AU$65&gt;$AM651))
) / 1000</f>
        <v>0</v>
      </c>
      <c r="CU651" s="231">
        <f t="shared" si="745"/>
        <v>20</v>
      </c>
      <c r="CV651" s="229">
        <f t="shared" si="768"/>
        <v>33</v>
      </c>
      <c r="CW651" s="234">
        <f t="shared" si="769"/>
        <v>4.8487499999999999</v>
      </c>
      <c r="CX651" s="234" cm="1">
        <f t="array" ref="CX651">$BM651 * IF($AH651&lt;=2,
SUMPRODUCT(INDEX($AV$61:$AX$65,,$AI651), INDEX($AY$61:$BE$65,,$AH651), 1 / ($BF$61:$BF$65*CW651 + (1-$BF$61:$BF$65)*CS651), N($AU$61:$AU$65&gt;$AM651)),
SUMPRODUCT(INDEX($AV$46:$AX$55,,$AI651), INDEX($AY$46:$BE$55,,$AH651), 1 / ($BG$46:$BG$55*CW651 + (1-$BG$46:$BG$55)*CS651), N($AU$46:$AU$55&gt;$AM651))
) / 1000</f>
        <v>0</v>
      </c>
      <c r="CY651" s="234" cm="1">
        <f t="array" ref="CY651">$BM651 * IF($AH651&lt;=2,
SUMPRODUCT(INDEX($AV$22:$AX$60,,$AI651), INDEX($AY$22:$BE$60,,$AH651), 1 / ($BF$22:$BF$60*CW651), N($AU$22:$AU$60&gt;$AM651)),
SUMPRODUCT(INDEX($AV$22:$AX$45,,$AI651), INDEX($AY$22:$BE$45,,$AH651), 1 / ($BG$22:$BG$45*CW651), N($AU$22:$AU$45&gt;$AM651))
) / 1000</f>
        <v>0</v>
      </c>
      <c r="CZ651" s="229">
        <f t="shared" si="770"/>
        <v>0</v>
      </c>
      <c r="DA651" s="246"/>
    </row>
    <row r="652" spans="1:105" s="75" customFormat="1" ht="14.25" customHeight="1" x14ac:dyDescent="0.2">
      <c r="A652" s="230" t="b">
        <f t="shared" si="737"/>
        <v>0</v>
      </c>
      <c r="B652" s="253">
        <v>631</v>
      </c>
      <c r="C652" s="266"/>
      <c r="D652" s="266"/>
      <c r="E652" s="254"/>
      <c r="F652" s="255" t="str">
        <f>IF(ISBLANK(E652), "", VLOOKUP(E652, Z!$A$2:$C$4127, 3, FALSE))</f>
        <v/>
      </c>
      <c r="G652" s="256"/>
      <c r="H652" s="256"/>
      <c r="I652" s="256"/>
      <c r="J652" s="257"/>
      <c r="K652" s="258"/>
      <c r="L652" s="267"/>
      <c r="M652" s="268"/>
      <c r="N652" s="259" t="str" cm="1">
        <f t="array" ref="N652">IF($L652&gt;0, INDEX(Clean,1+AK652,$D$1), "")</f>
        <v/>
      </c>
      <c r="O652" s="260"/>
      <c r="P652" s="260"/>
      <c r="Q652" s="261"/>
      <c r="R652" s="264">
        <f t="shared" si="746"/>
        <v>0</v>
      </c>
      <c r="S652" s="259" t="str" cm="1">
        <f t="array" ref="S652">IF($L652&gt;0, INDEX(Clean,1+AL652,$D$1), "")</f>
        <v/>
      </c>
      <c r="T652" s="260"/>
      <c r="U652" s="260"/>
      <c r="V652" s="261"/>
      <c r="W652" s="267"/>
      <c r="X652" s="267"/>
      <c r="Y652" s="257"/>
      <c r="Z652" s="264">
        <f t="shared" si="747"/>
        <v>0</v>
      </c>
      <c r="AA652" s="269"/>
      <c r="AB652" s="266"/>
      <c r="AC652" s="254"/>
      <c r="AD652" s="255" t="str">
        <f>IF(ISBLANK(AC652), "", VLOOKUP(AC652, Z!$A$2:$C$4127, 3, FALSE))</f>
        <v/>
      </c>
      <c r="AE652" s="270"/>
      <c r="AF652" s="265">
        <f t="shared" si="748"/>
        <v>0</v>
      </c>
      <c r="AG652" s="246"/>
      <c r="AH652" s="228">
        <f t="shared" si="771"/>
        <v>1</v>
      </c>
      <c r="AI652" s="228">
        <f t="shared" si="772"/>
        <v>1</v>
      </c>
      <c r="AJ652" s="228">
        <f t="shared" si="773"/>
        <v>0</v>
      </c>
      <c r="AK652" s="228">
        <v>0</v>
      </c>
      <c r="AL652" s="228">
        <v>0</v>
      </c>
      <c r="AM652" s="228">
        <f t="shared" si="749"/>
        <v>-100</v>
      </c>
      <c r="AN652" s="228" cm="1">
        <f t="array" ref="AN652">IF(ISBLANK(G652), 1, IFERROR(MATCH(G652, INDEX(Kat,,1), 0), IFERROR(MATCH(Kat, INDEX(Use,,2), 0), MATCH(Kat, INDEX(Use,,3), 0))))</f>
        <v>1</v>
      </c>
      <c r="AO652" s="246"/>
      <c r="AP652" s="228" cm="1">
        <f t="array" ref="AP652">IF(W652&gt;0, INDEX(Kat, AN652,4), 0)</f>
        <v>0</v>
      </c>
      <c r="AQ652" s="228">
        <f t="shared" si="774"/>
        <v>0</v>
      </c>
      <c r="AR652" s="228" cm="1">
        <f t="array" ref="AR652">IF(X652&gt;0, INDEX(Kat, $AN652, 4+AQ652), 0)</f>
        <v>0</v>
      </c>
      <c r="AS652" s="228" cm="1">
        <f t="array" ref="AS652">IF(X652&gt;0, INDEX(Kat, $AN652, 9+AQ652), 0)</f>
        <v>0</v>
      </c>
      <c r="AT652" s="246"/>
      <c r="AU652" s="262"/>
      <c r="AV652" s="262"/>
      <c r="AW652" s="263"/>
      <c r="AX652" s="263"/>
      <c r="AY652" s="263"/>
      <c r="AZ652" s="263"/>
      <c r="BA652" s="263"/>
      <c r="BB652" s="263"/>
      <c r="BC652" s="263"/>
      <c r="BD652" s="263"/>
      <c r="BE652" s="263"/>
      <c r="BF652" s="263"/>
      <c r="BG652" s="263"/>
      <c r="BH652" s="246"/>
      <c r="BI652" s="228" cm="1">
        <f t="array" ref="BI652">INDEX(Use, $AH652, 4)</f>
        <v>7</v>
      </c>
      <c r="BJ652" s="228">
        <f t="shared" si="750"/>
        <v>32</v>
      </c>
      <c r="BK652" s="228">
        <f t="shared" si="738"/>
        <v>13</v>
      </c>
      <c r="BL652" s="228">
        <f t="shared" si="739"/>
        <v>0</v>
      </c>
      <c r="BM652" s="233" cm="1">
        <f t="array" ref="BM652">L652/IF($M652&gt;0, INDEX($AY$22:$BE$76, $M652+20, $AH652), 1)</f>
        <v>0</v>
      </c>
      <c r="BN652" s="229">
        <f t="shared" si="751"/>
        <v>0</v>
      </c>
      <c r="BO652" s="228">
        <v>35</v>
      </c>
      <c r="BP652" s="229">
        <f t="shared" si="752"/>
        <v>48</v>
      </c>
      <c r="BQ652" s="234">
        <f t="shared" si="753"/>
        <v>3.0748170731707316</v>
      </c>
      <c r="BR652" s="234" cm="1">
        <f t="array" ref="BR652">$BM652 * SUMPRODUCT(INDEX($AV$76:$AX$81,,$AI652),INDEX($AY$76:$BE$81,,$AH652), N($AU$76:$AU$81&gt;$AM652)) / BQ652 / 1000</f>
        <v>0</v>
      </c>
      <c r="BS652" s="231">
        <f t="shared" si="740"/>
        <v>30</v>
      </c>
      <c r="BT652" s="229">
        <f t="shared" si="754"/>
        <v>43</v>
      </c>
      <c r="BU652" s="234">
        <f t="shared" si="755"/>
        <v>3.5018750000000001</v>
      </c>
      <c r="BV652" s="234" cm="1">
        <f t="array" ref="BV652">$BM652 * IF($AH652&lt;=2,
SUMPRODUCT(INDEX($AV$71:$AX$75,,$AI652), INDEX($AY$71:$BE$75,,$AH652), 1 / ($BF$71:$BF$75*BU652 + (1-$BF$71:$BF$75)*BQ652), N($AU$71:$AU$75&gt;$AM652)),
SUMPRODUCT(INDEX($AV$66:$AX$75,,$AI652), INDEX($AY$66:$BE$75,,$AH652), 1 / ($BG$66:$BG$75*BU652 + (1-$BG$66:$BG$75)*BQ652), N($AU$66:$AU$75&gt;$AM652))
) / 1000</f>
        <v>0</v>
      </c>
      <c r="BW652" s="231">
        <f t="shared" si="741"/>
        <v>25</v>
      </c>
      <c r="BX652" s="229">
        <f t="shared" si="756"/>
        <v>38</v>
      </c>
      <c r="BY652" s="234">
        <f t="shared" si="757"/>
        <v>4.0666935483870965</v>
      </c>
      <c r="BZ652" s="234" cm="1">
        <f t="array" ref="BZ652">$BM652 * IF($AH652&lt;=2,
SUMPRODUCT(INDEX($AV$66:$AX$70,,$AI652), INDEX($AY$66:$BE$70,,$AH652), 1 / ($BF$66:$BF$70*BY652 + (1-$BF$66:$BF$70)*BU652), N($AU$66:$AU$70&gt;$AM652)),
SUMPRODUCT(INDEX($AV$56:$AX$65,,$AI652), INDEX($AY$56:$BE$65,,$AH652), 1 / ($BG$56:$BG$65*BY652 + (1-$BG$56:$BG$65)*BU652), N($AU$56:$AU$65&gt;$AM652))
) / 1000</f>
        <v>0</v>
      </c>
      <c r="CA652" s="231">
        <f t="shared" si="742"/>
        <v>20</v>
      </c>
      <c r="CB652" s="229">
        <f t="shared" si="758"/>
        <v>33</v>
      </c>
      <c r="CC652" s="234">
        <f t="shared" si="759"/>
        <v>4.8487499999999999</v>
      </c>
      <c r="CD652" s="234" cm="1">
        <f t="array" ref="CD652">$BM652 * IF($AH652&lt;=2,
SUMPRODUCT(INDEX($AV$61:$AX$65,,$AI652), INDEX($AY$61:$BE$65,,$AH652), 1 / ($BF$61:$BF$65*CC652 + (1-$BF$61:$BF$65)*BY652), N($AU$61:$AU$65&gt;$AM652)),
SUMPRODUCT(INDEX($AV$46:$AX$55,,$AI652), INDEX($AY$46:$BE$55,,$AH652), 1 / ($BG$46:$BG$55*CC652 + (1-$BG$46:$BG$55)*BY652), N($AU$46:$AU$55&gt;$AM652))
) / 1000</f>
        <v>0</v>
      </c>
      <c r="CE652" s="234" cm="1">
        <f t="array" ref="CE652">$BM652 * IF($AH652&lt;=2,
SUMPRODUCT(INDEX($AV$22:$AX$60,,$AI652), INDEX($AY$22:$BE$60,,$AH652), 1 / ($BF$22:$BF$60*CC652), N($AU$22:$AU$60&gt;$AM652)),
SUMPRODUCT(INDEX($AV$22:$AX$45,,$AI652), INDEX($AY$22:$BE$45,,$AH652), 1 / ($BG$22:$BG$45*CC652), N($AU$22:$AU$45&gt;$AM652))
) / 1000</f>
        <v>0</v>
      </c>
      <c r="CF652" s="229">
        <f t="shared" si="760"/>
        <v>0</v>
      </c>
      <c r="CG652" s="246"/>
      <c r="CH652" s="229">
        <f t="shared" si="761"/>
        <v>0</v>
      </c>
      <c r="CI652" s="228">
        <v>35</v>
      </c>
      <c r="CJ652" s="229">
        <f t="shared" si="762"/>
        <v>48</v>
      </c>
      <c r="CK652" s="234">
        <f t="shared" si="763"/>
        <v>3.0748170731707316</v>
      </c>
      <c r="CL652" s="234" cm="1">
        <f t="array" ref="CL652">$BM652 * SUMPRODUCT(INDEX($AV$76:$AX$81,,$AI652),INDEX($AY$76:$BE$81,,$AH652), N($AU$76:$AU$81&gt;$AM652)) / CK652 / 1000</f>
        <v>0</v>
      </c>
      <c r="CM652" s="231">
        <f t="shared" si="743"/>
        <v>30</v>
      </c>
      <c r="CN652" s="229">
        <f t="shared" si="764"/>
        <v>43</v>
      </c>
      <c r="CO652" s="234">
        <f t="shared" si="765"/>
        <v>3.5018750000000001</v>
      </c>
      <c r="CP652" s="234" cm="1">
        <f t="array" ref="CP652">$BM652 * IF($AH652&lt;=2,
SUMPRODUCT(INDEX($AV$71:$AX$75,,$AI652), INDEX($AY$71:$BE$75,,$AH652), 1 / ($BF$71:$BF$75*CO652 + (1-$BF$71:$BF$75)*CK652), N($AU$71:$AU$75&gt;$AM652)),
SUMPRODUCT(INDEX($AV$66:$AX$75,,$AI652), INDEX($AY$66:$BE$75,,$AH652), 1 / ($BG$66:$BG$75*CO652 + (1-$BG$66:$BG$75)*CK652), N($AU$66:$AU$75&gt;$AM652))
) / 1000</f>
        <v>0</v>
      </c>
      <c r="CQ652" s="231">
        <f t="shared" si="744"/>
        <v>25</v>
      </c>
      <c r="CR652" s="229">
        <f t="shared" si="766"/>
        <v>38</v>
      </c>
      <c r="CS652" s="234">
        <f t="shared" si="767"/>
        <v>4.0666935483870965</v>
      </c>
      <c r="CT652" s="234" cm="1">
        <f t="array" ref="CT652">$BM652 * IF($AH652&lt;=2,
SUMPRODUCT(INDEX($AV$66:$AX$70,,$AI652), INDEX($AY$66:$BE$70,,$AH652), 1 / ($BF$66:$BF$70*CS652 + (1-$BF$66:$BF$70)*CO652), N($AU$66:$AU$70&gt;$AM652)),
SUMPRODUCT(INDEX($AV$56:$AX$65,,$AI652), INDEX($AY$56:$BE$65,,$AH652), 1 / ($BG$56:$BG$65*CS652 + (1-$BG$56:$BG$65)*CO652), N($AU$56:$AU$65&gt;$AM652))
) / 1000</f>
        <v>0</v>
      </c>
      <c r="CU652" s="231">
        <f t="shared" si="745"/>
        <v>20</v>
      </c>
      <c r="CV652" s="229">
        <f t="shared" si="768"/>
        <v>33</v>
      </c>
      <c r="CW652" s="234">
        <f t="shared" si="769"/>
        <v>4.8487499999999999</v>
      </c>
      <c r="CX652" s="234" cm="1">
        <f t="array" ref="CX652">$BM652 * IF($AH652&lt;=2,
SUMPRODUCT(INDEX($AV$61:$AX$65,,$AI652), INDEX($AY$61:$BE$65,,$AH652), 1 / ($BF$61:$BF$65*CW652 + (1-$BF$61:$BF$65)*CS652), N($AU$61:$AU$65&gt;$AM652)),
SUMPRODUCT(INDEX($AV$46:$AX$55,,$AI652), INDEX($AY$46:$BE$55,,$AH652), 1 / ($BG$46:$BG$55*CW652 + (1-$BG$46:$BG$55)*CS652), N($AU$46:$AU$55&gt;$AM652))
) / 1000</f>
        <v>0</v>
      </c>
      <c r="CY652" s="234" cm="1">
        <f t="array" ref="CY652">$BM652 * IF($AH652&lt;=2,
SUMPRODUCT(INDEX($AV$22:$AX$60,,$AI652), INDEX($AY$22:$BE$60,,$AH652), 1 / ($BF$22:$BF$60*CW652), N($AU$22:$AU$60&gt;$AM652)),
SUMPRODUCT(INDEX($AV$22:$AX$45,,$AI652), INDEX($AY$22:$BE$45,,$AH652), 1 / ($BG$22:$BG$45*CW652), N($AU$22:$AU$45&gt;$AM652))
) / 1000</f>
        <v>0</v>
      </c>
      <c r="CZ652" s="229">
        <f t="shared" si="770"/>
        <v>0</v>
      </c>
      <c r="DA652" s="246"/>
    </row>
    <row r="653" spans="1:105" s="75" customFormat="1" ht="14.25" customHeight="1" x14ac:dyDescent="0.2">
      <c r="A653" s="230" t="b">
        <f t="shared" si="737"/>
        <v>0</v>
      </c>
      <c r="B653" s="253">
        <v>632</v>
      </c>
      <c r="C653" s="266"/>
      <c r="D653" s="266"/>
      <c r="E653" s="254"/>
      <c r="F653" s="255" t="str">
        <f>IF(ISBLANK(E653), "", VLOOKUP(E653, Z!$A$2:$C$4127, 3, FALSE))</f>
        <v/>
      </c>
      <c r="G653" s="256"/>
      <c r="H653" s="256"/>
      <c r="I653" s="256"/>
      <c r="J653" s="257"/>
      <c r="K653" s="258"/>
      <c r="L653" s="267"/>
      <c r="M653" s="268"/>
      <c r="N653" s="259" t="str" cm="1">
        <f t="array" ref="N653">IF($L653&gt;0, INDEX(Clean,1+AK653,$D$1), "")</f>
        <v/>
      </c>
      <c r="O653" s="260"/>
      <c r="P653" s="260"/>
      <c r="Q653" s="261"/>
      <c r="R653" s="264">
        <f t="shared" si="746"/>
        <v>0</v>
      </c>
      <c r="S653" s="259" t="str" cm="1">
        <f t="array" ref="S653">IF($L653&gt;0, INDEX(Clean,1+AL653,$D$1), "")</f>
        <v/>
      </c>
      <c r="T653" s="260"/>
      <c r="U653" s="260"/>
      <c r="V653" s="261"/>
      <c r="W653" s="267"/>
      <c r="X653" s="267"/>
      <c r="Y653" s="257"/>
      <c r="Z653" s="264">
        <f t="shared" si="747"/>
        <v>0</v>
      </c>
      <c r="AA653" s="269"/>
      <c r="AB653" s="266"/>
      <c r="AC653" s="254"/>
      <c r="AD653" s="255" t="str">
        <f>IF(ISBLANK(AC653), "", VLOOKUP(AC653, Z!$A$2:$C$4127, 3, FALSE))</f>
        <v/>
      </c>
      <c r="AE653" s="270"/>
      <c r="AF653" s="265">
        <f t="shared" si="748"/>
        <v>0</v>
      </c>
      <c r="AG653" s="246"/>
      <c r="AH653" s="228">
        <f t="shared" si="771"/>
        <v>1</v>
      </c>
      <c r="AI653" s="228">
        <f t="shared" si="772"/>
        <v>1</v>
      </c>
      <c r="AJ653" s="228">
        <f t="shared" si="773"/>
        <v>0</v>
      </c>
      <c r="AK653" s="228">
        <v>0</v>
      </c>
      <c r="AL653" s="228">
        <v>0</v>
      </c>
      <c r="AM653" s="228">
        <f t="shared" si="749"/>
        <v>-100</v>
      </c>
      <c r="AN653" s="228" cm="1">
        <f t="array" ref="AN653">IF(ISBLANK(G653), 1, IFERROR(MATCH(G653, INDEX(Kat,,1), 0), IFERROR(MATCH(Kat, INDEX(Use,,2), 0), MATCH(Kat, INDEX(Use,,3), 0))))</f>
        <v>1</v>
      </c>
      <c r="AO653" s="246"/>
      <c r="AP653" s="228" cm="1">
        <f t="array" ref="AP653">IF(W653&gt;0, INDEX(Kat, AN653,4), 0)</f>
        <v>0</v>
      </c>
      <c r="AQ653" s="228">
        <f t="shared" si="774"/>
        <v>0</v>
      </c>
      <c r="AR653" s="228" cm="1">
        <f t="array" ref="AR653">IF(X653&gt;0, INDEX(Kat, $AN653, 4+AQ653), 0)</f>
        <v>0</v>
      </c>
      <c r="AS653" s="228" cm="1">
        <f t="array" ref="AS653">IF(X653&gt;0, INDEX(Kat, $AN653, 9+AQ653), 0)</f>
        <v>0</v>
      </c>
      <c r="AT653" s="246"/>
      <c r="AU653" s="262"/>
      <c r="AV653" s="262"/>
      <c r="AW653" s="263"/>
      <c r="AX653" s="263"/>
      <c r="AY653" s="263"/>
      <c r="AZ653" s="263"/>
      <c r="BA653" s="263"/>
      <c r="BB653" s="263"/>
      <c r="BC653" s="263"/>
      <c r="BD653" s="263"/>
      <c r="BE653" s="263"/>
      <c r="BF653" s="263"/>
      <c r="BG653" s="263"/>
      <c r="BH653" s="246"/>
      <c r="BI653" s="228" cm="1">
        <f t="array" ref="BI653">INDEX(Use, $AH653, 4)</f>
        <v>7</v>
      </c>
      <c r="BJ653" s="228">
        <f t="shared" si="750"/>
        <v>32</v>
      </c>
      <c r="BK653" s="228">
        <f t="shared" si="738"/>
        <v>13</v>
      </c>
      <c r="BL653" s="228">
        <f t="shared" si="739"/>
        <v>0</v>
      </c>
      <c r="BM653" s="233" cm="1">
        <f t="array" ref="BM653">L653/IF($M653&gt;0, INDEX($AY$22:$BE$76, $M653+20, $AH653), 1)</f>
        <v>0</v>
      </c>
      <c r="BN653" s="229">
        <f t="shared" si="751"/>
        <v>0</v>
      </c>
      <c r="BO653" s="228">
        <v>35</v>
      </c>
      <c r="BP653" s="229">
        <f t="shared" si="752"/>
        <v>48</v>
      </c>
      <c r="BQ653" s="234">
        <f t="shared" si="753"/>
        <v>3.0748170731707316</v>
      </c>
      <c r="BR653" s="234" cm="1">
        <f t="array" ref="BR653">$BM653 * SUMPRODUCT(INDEX($AV$76:$AX$81,,$AI653),INDEX($AY$76:$BE$81,,$AH653), N($AU$76:$AU$81&gt;$AM653)) / BQ653 / 1000</f>
        <v>0</v>
      </c>
      <c r="BS653" s="231">
        <f t="shared" si="740"/>
        <v>30</v>
      </c>
      <c r="BT653" s="229">
        <f t="shared" si="754"/>
        <v>43</v>
      </c>
      <c r="BU653" s="234">
        <f t="shared" si="755"/>
        <v>3.5018750000000001</v>
      </c>
      <c r="BV653" s="234" cm="1">
        <f t="array" ref="BV653">$BM653 * IF($AH653&lt;=2,
SUMPRODUCT(INDEX($AV$71:$AX$75,,$AI653), INDEX($AY$71:$BE$75,,$AH653), 1 / ($BF$71:$BF$75*BU653 + (1-$BF$71:$BF$75)*BQ653), N($AU$71:$AU$75&gt;$AM653)),
SUMPRODUCT(INDEX($AV$66:$AX$75,,$AI653), INDEX($AY$66:$BE$75,,$AH653), 1 / ($BG$66:$BG$75*BU653 + (1-$BG$66:$BG$75)*BQ653), N($AU$66:$AU$75&gt;$AM653))
) / 1000</f>
        <v>0</v>
      </c>
      <c r="BW653" s="231">
        <f t="shared" si="741"/>
        <v>25</v>
      </c>
      <c r="BX653" s="229">
        <f t="shared" si="756"/>
        <v>38</v>
      </c>
      <c r="BY653" s="234">
        <f t="shared" si="757"/>
        <v>4.0666935483870965</v>
      </c>
      <c r="BZ653" s="234" cm="1">
        <f t="array" ref="BZ653">$BM653 * IF($AH653&lt;=2,
SUMPRODUCT(INDEX($AV$66:$AX$70,,$AI653), INDEX($AY$66:$BE$70,,$AH653), 1 / ($BF$66:$BF$70*BY653 + (1-$BF$66:$BF$70)*BU653), N($AU$66:$AU$70&gt;$AM653)),
SUMPRODUCT(INDEX($AV$56:$AX$65,,$AI653), INDEX($AY$56:$BE$65,,$AH653), 1 / ($BG$56:$BG$65*BY653 + (1-$BG$56:$BG$65)*BU653), N($AU$56:$AU$65&gt;$AM653))
) / 1000</f>
        <v>0</v>
      </c>
      <c r="CA653" s="231">
        <f t="shared" si="742"/>
        <v>20</v>
      </c>
      <c r="CB653" s="229">
        <f t="shared" si="758"/>
        <v>33</v>
      </c>
      <c r="CC653" s="234">
        <f t="shared" si="759"/>
        <v>4.8487499999999999</v>
      </c>
      <c r="CD653" s="234" cm="1">
        <f t="array" ref="CD653">$BM653 * IF($AH653&lt;=2,
SUMPRODUCT(INDEX($AV$61:$AX$65,,$AI653), INDEX($AY$61:$BE$65,,$AH653), 1 / ($BF$61:$BF$65*CC653 + (1-$BF$61:$BF$65)*BY653), N($AU$61:$AU$65&gt;$AM653)),
SUMPRODUCT(INDEX($AV$46:$AX$55,,$AI653), INDEX($AY$46:$BE$55,,$AH653), 1 / ($BG$46:$BG$55*CC653 + (1-$BG$46:$BG$55)*BY653), N($AU$46:$AU$55&gt;$AM653))
) / 1000</f>
        <v>0</v>
      </c>
      <c r="CE653" s="234" cm="1">
        <f t="array" ref="CE653">$BM653 * IF($AH653&lt;=2,
SUMPRODUCT(INDEX($AV$22:$AX$60,,$AI653), INDEX($AY$22:$BE$60,,$AH653), 1 / ($BF$22:$BF$60*CC653), N($AU$22:$AU$60&gt;$AM653)),
SUMPRODUCT(INDEX($AV$22:$AX$45,,$AI653), INDEX($AY$22:$BE$45,,$AH653), 1 / ($BG$22:$BG$45*CC653), N($AU$22:$AU$45&gt;$AM653))
) / 1000</f>
        <v>0</v>
      </c>
      <c r="CF653" s="229">
        <f t="shared" si="760"/>
        <v>0</v>
      </c>
      <c r="CG653" s="246"/>
      <c r="CH653" s="229">
        <f t="shared" si="761"/>
        <v>0</v>
      </c>
      <c r="CI653" s="228">
        <v>35</v>
      </c>
      <c r="CJ653" s="229">
        <f t="shared" si="762"/>
        <v>48</v>
      </c>
      <c r="CK653" s="234">
        <f t="shared" si="763"/>
        <v>3.0748170731707316</v>
      </c>
      <c r="CL653" s="234" cm="1">
        <f t="array" ref="CL653">$BM653 * SUMPRODUCT(INDEX($AV$76:$AX$81,,$AI653),INDEX($AY$76:$BE$81,,$AH653), N($AU$76:$AU$81&gt;$AM653)) / CK653 / 1000</f>
        <v>0</v>
      </c>
      <c r="CM653" s="231">
        <f t="shared" si="743"/>
        <v>30</v>
      </c>
      <c r="CN653" s="229">
        <f t="shared" si="764"/>
        <v>43</v>
      </c>
      <c r="CO653" s="234">
        <f t="shared" si="765"/>
        <v>3.5018750000000001</v>
      </c>
      <c r="CP653" s="234" cm="1">
        <f t="array" ref="CP653">$BM653 * IF($AH653&lt;=2,
SUMPRODUCT(INDEX($AV$71:$AX$75,,$AI653), INDEX($AY$71:$BE$75,,$AH653), 1 / ($BF$71:$BF$75*CO653 + (1-$BF$71:$BF$75)*CK653), N($AU$71:$AU$75&gt;$AM653)),
SUMPRODUCT(INDEX($AV$66:$AX$75,,$AI653), INDEX($AY$66:$BE$75,,$AH653), 1 / ($BG$66:$BG$75*CO653 + (1-$BG$66:$BG$75)*CK653), N($AU$66:$AU$75&gt;$AM653))
) / 1000</f>
        <v>0</v>
      </c>
      <c r="CQ653" s="231">
        <f t="shared" si="744"/>
        <v>25</v>
      </c>
      <c r="CR653" s="229">
        <f t="shared" si="766"/>
        <v>38</v>
      </c>
      <c r="CS653" s="234">
        <f t="shared" si="767"/>
        <v>4.0666935483870965</v>
      </c>
      <c r="CT653" s="234" cm="1">
        <f t="array" ref="CT653">$BM653 * IF($AH653&lt;=2,
SUMPRODUCT(INDEX($AV$66:$AX$70,,$AI653), INDEX($AY$66:$BE$70,,$AH653), 1 / ($BF$66:$BF$70*CS653 + (1-$BF$66:$BF$70)*CO653), N($AU$66:$AU$70&gt;$AM653)),
SUMPRODUCT(INDEX($AV$56:$AX$65,,$AI653), INDEX($AY$56:$BE$65,,$AH653), 1 / ($BG$56:$BG$65*CS653 + (1-$BG$56:$BG$65)*CO653), N($AU$56:$AU$65&gt;$AM653))
) / 1000</f>
        <v>0</v>
      </c>
      <c r="CU653" s="231">
        <f t="shared" si="745"/>
        <v>20</v>
      </c>
      <c r="CV653" s="229">
        <f t="shared" si="768"/>
        <v>33</v>
      </c>
      <c r="CW653" s="234">
        <f t="shared" si="769"/>
        <v>4.8487499999999999</v>
      </c>
      <c r="CX653" s="234" cm="1">
        <f t="array" ref="CX653">$BM653 * IF($AH653&lt;=2,
SUMPRODUCT(INDEX($AV$61:$AX$65,,$AI653), INDEX($AY$61:$BE$65,,$AH653), 1 / ($BF$61:$BF$65*CW653 + (1-$BF$61:$BF$65)*CS653), N($AU$61:$AU$65&gt;$AM653)),
SUMPRODUCT(INDEX($AV$46:$AX$55,,$AI653), INDEX($AY$46:$BE$55,,$AH653), 1 / ($BG$46:$BG$55*CW653 + (1-$BG$46:$BG$55)*CS653), N($AU$46:$AU$55&gt;$AM653))
) / 1000</f>
        <v>0</v>
      </c>
      <c r="CY653" s="234" cm="1">
        <f t="array" ref="CY653">$BM653 * IF($AH653&lt;=2,
SUMPRODUCT(INDEX($AV$22:$AX$60,,$AI653), INDEX($AY$22:$BE$60,,$AH653), 1 / ($BF$22:$BF$60*CW653), N($AU$22:$AU$60&gt;$AM653)),
SUMPRODUCT(INDEX($AV$22:$AX$45,,$AI653), INDEX($AY$22:$BE$45,,$AH653), 1 / ($BG$22:$BG$45*CW653), N($AU$22:$AU$45&gt;$AM653))
) / 1000</f>
        <v>0</v>
      </c>
      <c r="CZ653" s="229">
        <f t="shared" si="770"/>
        <v>0</v>
      </c>
      <c r="DA653" s="246"/>
    </row>
    <row r="654" spans="1:105" s="75" customFormat="1" ht="14.25" customHeight="1" x14ac:dyDescent="0.2">
      <c r="A654" s="230" t="b">
        <f t="shared" si="737"/>
        <v>0</v>
      </c>
      <c r="B654" s="253">
        <v>633</v>
      </c>
      <c r="C654" s="266"/>
      <c r="D654" s="266"/>
      <c r="E654" s="254"/>
      <c r="F654" s="255" t="str">
        <f>IF(ISBLANK(E654), "", VLOOKUP(E654, Z!$A$2:$C$4127, 3, FALSE))</f>
        <v/>
      </c>
      <c r="G654" s="256"/>
      <c r="H654" s="256"/>
      <c r="I654" s="256"/>
      <c r="J654" s="257"/>
      <c r="K654" s="258"/>
      <c r="L654" s="267"/>
      <c r="M654" s="268"/>
      <c r="N654" s="259" t="str" cm="1">
        <f t="array" ref="N654">IF($L654&gt;0, INDEX(Clean,1+AK654,$D$1), "")</f>
        <v/>
      </c>
      <c r="O654" s="260"/>
      <c r="P654" s="260"/>
      <c r="Q654" s="261"/>
      <c r="R654" s="264">
        <f t="shared" si="746"/>
        <v>0</v>
      </c>
      <c r="S654" s="259" t="str" cm="1">
        <f t="array" ref="S654">IF($L654&gt;0, INDEX(Clean,1+AL654,$D$1), "")</f>
        <v/>
      </c>
      <c r="T654" s="260"/>
      <c r="U654" s="260"/>
      <c r="V654" s="261"/>
      <c r="W654" s="267"/>
      <c r="X654" s="267"/>
      <c r="Y654" s="257"/>
      <c r="Z654" s="264">
        <f t="shared" si="747"/>
        <v>0</v>
      </c>
      <c r="AA654" s="269"/>
      <c r="AB654" s="266"/>
      <c r="AC654" s="254"/>
      <c r="AD654" s="255" t="str">
        <f>IF(ISBLANK(AC654), "", VLOOKUP(AC654, Z!$A$2:$C$4127, 3, FALSE))</f>
        <v/>
      </c>
      <c r="AE654" s="270"/>
      <c r="AF654" s="265">
        <f t="shared" si="748"/>
        <v>0</v>
      </c>
      <c r="AG654" s="246"/>
      <c r="AH654" s="228">
        <f t="shared" si="771"/>
        <v>1</v>
      </c>
      <c r="AI654" s="228">
        <f t="shared" si="772"/>
        <v>1</v>
      </c>
      <c r="AJ654" s="228">
        <f t="shared" si="773"/>
        <v>0</v>
      </c>
      <c r="AK654" s="228">
        <v>0</v>
      </c>
      <c r="AL654" s="228">
        <v>0</v>
      </c>
      <c r="AM654" s="228">
        <f t="shared" si="749"/>
        <v>-100</v>
      </c>
      <c r="AN654" s="228" cm="1">
        <f t="array" ref="AN654">IF(ISBLANK(G654), 1, IFERROR(MATCH(G654, INDEX(Kat,,1), 0), IFERROR(MATCH(Kat, INDEX(Use,,2), 0), MATCH(Kat, INDEX(Use,,3), 0))))</f>
        <v>1</v>
      </c>
      <c r="AO654" s="246"/>
      <c r="AP654" s="228" cm="1">
        <f t="array" ref="AP654">IF(W654&gt;0, INDEX(Kat, AN654,4), 0)</f>
        <v>0</v>
      </c>
      <c r="AQ654" s="228">
        <f t="shared" si="774"/>
        <v>0</v>
      </c>
      <c r="AR654" s="228" cm="1">
        <f t="array" ref="AR654">IF(X654&gt;0, INDEX(Kat, $AN654, 4+AQ654), 0)</f>
        <v>0</v>
      </c>
      <c r="AS654" s="228" cm="1">
        <f t="array" ref="AS654">IF(X654&gt;0, INDEX(Kat, $AN654, 9+AQ654), 0)</f>
        <v>0</v>
      </c>
      <c r="AT654" s="246"/>
      <c r="AU654" s="262"/>
      <c r="AV654" s="262"/>
      <c r="AW654" s="263"/>
      <c r="AX654" s="263"/>
      <c r="AY654" s="263"/>
      <c r="AZ654" s="263"/>
      <c r="BA654" s="263"/>
      <c r="BB654" s="263"/>
      <c r="BC654" s="263"/>
      <c r="BD654" s="263"/>
      <c r="BE654" s="263"/>
      <c r="BF654" s="263"/>
      <c r="BG654" s="263"/>
      <c r="BH654" s="246"/>
      <c r="BI654" s="228" cm="1">
        <f t="array" ref="BI654">INDEX(Use, $AH654, 4)</f>
        <v>7</v>
      </c>
      <c r="BJ654" s="228">
        <f t="shared" si="750"/>
        <v>32</v>
      </c>
      <c r="BK654" s="228">
        <f t="shared" si="738"/>
        <v>13</v>
      </c>
      <c r="BL654" s="228">
        <f t="shared" si="739"/>
        <v>0</v>
      </c>
      <c r="BM654" s="233" cm="1">
        <f t="array" ref="BM654">L654/IF($M654&gt;0, INDEX($AY$22:$BE$76, $M654+20, $AH654), 1)</f>
        <v>0</v>
      </c>
      <c r="BN654" s="229">
        <f t="shared" si="751"/>
        <v>0</v>
      </c>
      <c r="BO654" s="228">
        <v>35</v>
      </c>
      <c r="BP654" s="229">
        <f t="shared" si="752"/>
        <v>48</v>
      </c>
      <c r="BQ654" s="234">
        <f t="shared" si="753"/>
        <v>3.0748170731707316</v>
      </c>
      <c r="BR654" s="234" cm="1">
        <f t="array" ref="BR654">$BM654 * SUMPRODUCT(INDEX($AV$76:$AX$81,,$AI654),INDEX($AY$76:$BE$81,,$AH654), N($AU$76:$AU$81&gt;$AM654)) / BQ654 / 1000</f>
        <v>0</v>
      </c>
      <c r="BS654" s="231">
        <f t="shared" si="740"/>
        <v>30</v>
      </c>
      <c r="BT654" s="229">
        <f t="shared" si="754"/>
        <v>43</v>
      </c>
      <c r="BU654" s="234">
        <f t="shared" si="755"/>
        <v>3.5018750000000001</v>
      </c>
      <c r="BV654" s="234" cm="1">
        <f t="array" ref="BV654">$BM654 * IF($AH654&lt;=2,
SUMPRODUCT(INDEX($AV$71:$AX$75,,$AI654), INDEX($AY$71:$BE$75,,$AH654), 1 / ($BF$71:$BF$75*BU654 + (1-$BF$71:$BF$75)*BQ654), N($AU$71:$AU$75&gt;$AM654)),
SUMPRODUCT(INDEX($AV$66:$AX$75,,$AI654), INDEX($AY$66:$BE$75,,$AH654), 1 / ($BG$66:$BG$75*BU654 + (1-$BG$66:$BG$75)*BQ654), N($AU$66:$AU$75&gt;$AM654))
) / 1000</f>
        <v>0</v>
      </c>
      <c r="BW654" s="231">
        <f t="shared" si="741"/>
        <v>25</v>
      </c>
      <c r="BX654" s="229">
        <f t="shared" si="756"/>
        <v>38</v>
      </c>
      <c r="BY654" s="234">
        <f t="shared" si="757"/>
        <v>4.0666935483870965</v>
      </c>
      <c r="BZ654" s="234" cm="1">
        <f t="array" ref="BZ654">$BM654 * IF($AH654&lt;=2,
SUMPRODUCT(INDEX($AV$66:$AX$70,,$AI654), INDEX($AY$66:$BE$70,,$AH654), 1 / ($BF$66:$BF$70*BY654 + (1-$BF$66:$BF$70)*BU654), N($AU$66:$AU$70&gt;$AM654)),
SUMPRODUCT(INDEX($AV$56:$AX$65,,$AI654), INDEX($AY$56:$BE$65,,$AH654), 1 / ($BG$56:$BG$65*BY654 + (1-$BG$56:$BG$65)*BU654), N($AU$56:$AU$65&gt;$AM654))
) / 1000</f>
        <v>0</v>
      </c>
      <c r="CA654" s="231">
        <f t="shared" si="742"/>
        <v>20</v>
      </c>
      <c r="CB654" s="229">
        <f t="shared" si="758"/>
        <v>33</v>
      </c>
      <c r="CC654" s="234">
        <f t="shared" si="759"/>
        <v>4.8487499999999999</v>
      </c>
      <c r="CD654" s="234" cm="1">
        <f t="array" ref="CD654">$BM654 * IF($AH654&lt;=2,
SUMPRODUCT(INDEX($AV$61:$AX$65,,$AI654), INDEX($AY$61:$BE$65,,$AH654), 1 / ($BF$61:$BF$65*CC654 + (1-$BF$61:$BF$65)*BY654), N($AU$61:$AU$65&gt;$AM654)),
SUMPRODUCT(INDEX($AV$46:$AX$55,,$AI654), INDEX($AY$46:$BE$55,,$AH654), 1 / ($BG$46:$BG$55*CC654 + (1-$BG$46:$BG$55)*BY654), N($AU$46:$AU$55&gt;$AM654))
) / 1000</f>
        <v>0</v>
      </c>
      <c r="CE654" s="234" cm="1">
        <f t="array" ref="CE654">$BM654 * IF($AH654&lt;=2,
SUMPRODUCT(INDEX($AV$22:$AX$60,,$AI654), INDEX($AY$22:$BE$60,,$AH654), 1 / ($BF$22:$BF$60*CC654), N($AU$22:$AU$60&gt;$AM654)),
SUMPRODUCT(INDEX($AV$22:$AX$45,,$AI654), INDEX($AY$22:$BE$45,,$AH654), 1 / ($BG$22:$BG$45*CC654), N($AU$22:$AU$45&gt;$AM654))
) / 1000</f>
        <v>0</v>
      </c>
      <c r="CF654" s="229">
        <f t="shared" si="760"/>
        <v>0</v>
      </c>
      <c r="CG654" s="246"/>
      <c r="CH654" s="229">
        <f t="shared" si="761"/>
        <v>0</v>
      </c>
      <c r="CI654" s="228">
        <v>35</v>
      </c>
      <c r="CJ654" s="229">
        <f t="shared" si="762"/>
        <v>48</v>
      </c>
      <c r="CK654" s="234">
        <f t="shared" si="763"/>
        <v>3.0748170731707316</v>
      </c>
      <c r="CL654" s="234" cm="1">
        <f t="array" ref="CL654">$BM654 * SUMPRODUCT(INDEX($AV$76:$AX$81,,$AI654),INDEX($AY$76:$BE$81,,$AH654), N($AU$76:$AU$81&gt;$AM654)) / CK654 / 1000</f>
        <v>0</v>
      </c>
      <c r="CM654" s="231">
        <f t="shared" si="743"/>
        <v>30</v>
      </c>
      <c r="CN654" s="229">
        <f t="shared" si="764"/>
        <v>43</v>
      </c>
      <c r="CO654" s="234">
        <f t="shared" si="765"/>
        <v>3.5018750000000001</v>
      </c>
      <c r="CP654" s="234" cm="1">
        <f t="array" ref="CP654">$BM654 * IF($AH654&lt;=2,
SUMPRODUCT(INDEX($AV$71:$AX$75,,$AI654), INDEX($AY$71:$BE$75,,$AH654), 1 / ($BF$71:$BF$75*CO654 + (1-$BF$71:$BF$75)*CK654), N($AU$71:$AU$75&gt;$AM654)),
SUMPRODUCT(INDEX($AV$66:$AX$75,,$AI654), INDEX($AY$66:$BE$75,,$AH654), 1 / ($BG$66:$BG$75*CO654 + (1-$BG$66:$BG$75)*CK654), N($AU$66:$AU$75&gt;$AM654))
) / 1000</f>
        <v>0</v>
      </c>
      <c r="CQ654" s="231">
        <f t="shared" si="744"/>
        <v>25</v>
      </c>
      <c r="CR654" s="229">
        <f t="shared" si="766"/>
        <v>38</v>
      </c>
      <c r="CS654" s="234">
        <f t="shared" si="767"/>
        <v>4.0666935483870965</v>
      </c>
      <c r="CT654" s="234" cm="1">
        <f t="array" ref="CT654">$BM654 * IF($AH654&lt;=2,
SUMPRODUCT(INDEX($AV$66:$AX$70,,$AI654), INDEX($AY$66:$BE$70,,$AH654), 1 / ($BF$66:$BF$70*CS654 + (1-$BF$66:$BF$70)*CO654), N($AU$66:$AU$70&gt;$AM654)),
SUMPRODUCT(INDEX($AV$56:$AX$65,,$AI654), INDEX($AY$56:$BE$65,,$AH654), 1 / ($BG$56:$BG$65*CS654 + (1-$BG$56:$BG$65)*CO654), N($AU$56:$AU$65&gt;$AM654))
) / 1000</f>
        <v>0</v>
      </c>
      <c r="CU654" s="231">
        <f t="shared" si="745"/>
        <v>20</v>
      </c>
      <c r="CV654" s="229">
        <f t="shared" si="768"/>
        <v>33</v>
      </c>
      <c r="CW654" s="234">
        <f t="shared" si="769"/>
        <v>4.8487499999999999</v>
      </c>
      <c r="CX654" s="234" cm="1">
        <f t="array" ref="CX654">$BM654 * IF($AH654&lt;=2,
SUMPRODUCT(INDEX($AV$61:$AX$65,,$AI654), INDEX($AY$61:$BE$65,,$AH654), 1 / ($BF$61:$BF$65*CW654 + (1-$BF$61:$BF$65)*CS654), N($AU$61:$AU$65&gt;$AM654)),
SUMPRODUCT(INDEX($AV$46:$AX$55,,$AI654), INDEX($AY$46:$BE$55,,$AH654), 1 / ($BG$46:$BG$55*CW654 + (1-$BG$46:$BG$55)*CS654), N($AU$46:$AU$55&gt;$AM654))
) / 1000</f>
        <v>0</v>
      </c>
      <c r="CY654" s="234" cm="1">
        <f t="array" ref="CY654">$BM654 * IF($AH654&lt;=2,
SUMPRODUCT(INDEX($AV$22:$AX$60,,$AI654), INDEX($AY$22:$BE$60,,$AH654), 1 / ($BF$22:$BF$60*CW654), N($AU$22:$AU$60&gt;$AM654)),
SUMPRODUCT(INDEX($AV$22:$AX$45,,$AI654), INDEX($AY$22:$BE$45,,$AH654), 1 / ($BG$22:$BG$45*CW654), N($AU$22:$AU$45&gt;$AM654))
) / 1000</f>
        <v>0</v>
      </c>
      <c r="CZ654" s="229">
        <f t="shared" si="770"/>
        <v>0</v>
      </c>
      <c r="DA654" s="246"/>
    </row>
    <row r="655" spans="1:105" s="75" customFormat="1" ht="14.25" customHeight="1" x14ac:dyDescent="0.2">
      <c r="A655" s="230" t="b">
        <f t="shared" si="737"/>
        <v>0</v>
      </c>
      <c r="B655" s="253">
        <v>634</v>
      </c>
      <c r="C655" s="266"/>
      <c r="D655" s="266"/>
      <c r="E655" s="254"/>
      <c r="F655" s="255" t="str">
        <f>IF(ISBLANK(E655), "", VLOOKUP(E655, Z!$A$2:$C$4127, 3, FALSE))</f>
        <v/>
      </c>
      <c r="G655" s="256"/>
      <c r="H655" s="256"/>
      <c r="I655" s="256"/>
      <c r="J655" s="257"/>
      <c r="K655" s="258"/>
      <c r="L655" s="267"/>
      <c r="M655" s="268"/>
      <c r="N655" s="259" t="str" cm="1">
        <f t="array" ref="N655">IF($L655&gt;0, INDEX(Clean,1+AK655,$D$1), "")</f>
        <v/>
      </c>
      <c r="O655" s="260"/>
      <c r="P655" s="260"/>
      <c r="Q655" s="261"/>
      <c r="R655" s="264">
        <f t="shared" si="746"/>
        <v>0</v>
      </c>
      <c r="S655" s="259" t="str" cm="1">
        <f t="array" ref="S655">IF($L655&gt;0, INDEX(Clean,1+AL655,$D$1), "")</f>
        <v/>
      </c>
      <c r="T655" s="260"/>
      <c r="U655" s="260"/>
      <c r="V655" s="261"/>
      <c r="W655" s="267"/>
      <c r="X655" s="267"/>
      <c r="Y655" s="257"/>
      <c r="Z655" s="264">
        <f t="shared" si="747"/>
        <v>0</v>
      </c>
      <c r="AA655" s="269"/>
      <c r="AB655" s="266"/>
      <c r="AC655" s="254"/>
      <c r="AD655" s="255" t="str">
        <f>IF(ISBLANK(AC655), "", VLOOKUP(AC655, Z!$A$2:$C$4127, 3, FALSE))</f>
        <v/>
      </c>
      <c r="AE655" s="270"/>
      <c r="AF655" s="265">
        <f t="shared" si="748"/>
        <v>0</v>
      </c>
      <c r="AG655" s="246"/>
      <c r="AH655" s="228">
        <f t="shared" si="771"/>
        <v>1</v>
      </c>
      <c r="AI655" s="228">
        <f t="shared" si="772"/>
        <v>1</v>
      </c>
      <c r="AJ655" s="228">
        <f t="shared" si="773"/>
        <v>0</v>
      </c>
      <c r="AK655" s="228">
        <v>0</v>
      </c>
      <c r="AL655" s="228">
        <v>0</v>
      </c>
      <c r="AM655" s="228">
        <f t="shared" si="749"/>
        <v>-100</v>
      </c>
      <c r="AN655" s="228" cm="1">
        <f t="array" ref="AN655">IF(ISBLANK(G655), 1, IFERROR(MATCH(G655, INDEX(Kat,,1), 0), IFERROR(MATCH(Kat, INDEX(Use,,2), 0), MATCH(Kat, INDEX(Use,,3), 0))))</f>
        <v>1</v>
      </c>
      <c r="AO655" s="246"/>
      <c r="AP655" s="228" cm="1">
        <f t="array" ref="AP655">IF(W655&gt;0, INDEX(Kat, AN655,4), 0)</f>
        <v>0</v>
      </c>
      <c r="AQ655" s="228">
        <f t="shared" si="774"/>
        <v>0</v>
      </c>
      <c r="AR655" s="228" cm="1">
        <f t="array" ref="AR655">IF(X655&gt;0, INDEX(Kat, $AN655, 4+AQ655), 0)</f>
        <v>0</v>
      </c>
      <c r="AS655" s="228" cm="1">
        <f t="array" ref="AS655">IF(X655&gt;0, INDEX(Kat, $AN655, 9+AQ655), 0)</f>
        <v>0</v>
      </c>
      <c r="AT655" s="246"/>
      <c r="AU655" s="262"/>
      <c r="AV655" s="262"/>
      <c r="AW655" s="263"/>
      <c r="AX655" s="263"/>
      <c r="AY655" s="263"/>
      <c r="AZ655" s="263"/>
      <c r="BA655" s="263"/>
      <c r="BB655" s="263"/>
      <c r="BC655" s="263"/>
      <c r="BD655" s="263"/>
      <c r="BE655" s="263"/>
      <c r="BF655" s="263"/>
      <c r="BG655" s="263"/>
      <c r="BH655" s="246"/>
      <c r="BI655" s="228" cm="1">
        <f t="array" ref="BI655">INDEX(Use, $AH655, 4)</f>
        <v>7</v>
      </c>
      <c r="BJ655" s="228">
        <f t="shared" si="750"/>
        <v>32</v>
      </c>
      <c r="BK655" s="228">
        <f t="shared" si="738"/>
        <v>13</v>
      </c>
      <c r="BL655" s="228">
        <f t="shared" si="739"/>
        <v>0</v>
      </c>
      <c r="BM655" s="233" cm="1">
        <f t="array" ref="BM655">L655/IF($M655&gt;0, INDEX($AY$22:$BE$76, $M655+20, $AH655), 1)</f>
        <v>0</v>
      </c>
      <c r="BN655" s="229">
        <f t="shared" si="751"/>
        <v>0</v>
      </c>
      <c r="BO655" s="228">
        <v>35</v>
      </c>
      <c r="BP655" s="229">
        <f t="shared" si="752"/>
        <v>48</v>
      </c>
      <c r="BQ655" s="234">
        <f t="shared" si="753"/>
        <v>3.0748170731707316</v>
      </c>
      <c r="BR655" s="234" cm="1">
        <f t="array" ref="BR655">$BM655 * SUMPRODUCT(INDEX($AV$76:$AX$81,,$AI655),INDEX($AY$76:$BE$81,,$AH655), N($AU$76:$AU$81&gt;$AM655)) / BQ655 / 1000</f>
        <v>0</v>
      </c>
      <c r="BS655" s="231">
        <f t="shared" si="740"/>
        <v>30</v>
      </c>
      <c r="BT655" s="229">
        <f t="shared" si="754"/>
        <v>43</v>
      </c>
      <c r="BU655" s="234">
        <f t="shared" si="755"/>
        <v>3.5018750000000001</v>
      </c>
      <c r="BV655" s="234" cm="1">
        <f t="array" ref="BV655">$BM655 * IF($AH655&lt;=2,
SUMPRODUCT(INDEX($AV$71:$AX$75,,$AI655), INDEX($AY$71:$BE$75,,$AH655), 1 / ($BF$71:$BF$75*BU655 + (1-$BF$71:$BF$75)*BQ655), N($AU$71:$AU$75&gt;$AM655)),
SUMPRODUCT(INDEX($AV$66:$AX$75,,$AI655), INDEX($AY$66:$BE$75,,$AH655), 1 / ($BG$66:$BG$75*BU655 + (1-$BG$66:$BG$75)*BQ655), N($AU$66:$AU$75&gt;$AM655))
) / 1000</f>
        <v>0</v>
      </c>
      <c r="BW655" s="231">
        <f t="shared" si="741"/>
        <v>25</v>
      </c>
      <c r="BX655" s="229">
        <f t="shared" si="756"/>
        <v>38</v>
      </c>
      <c r="BY655" s="234">
        <f t="shared" si="757"/>
        <v>4.0666935483870965</v>
      </c>
      <c r="BZ655" s="234" cm="1">
        <f t="array" ref="BZ655">$BM655 * IF($AH655&lt;=2,
SUMPRODUCT(INDEX($AV$66:$AX$70,,$AI655), INDEX($AY$66:$BE$70,,$AH655), 1 / ($BF$66:$BF$70*BY655 + (1-$BF$66:$BF$70)*BU655), N($AU$66:$AU$70&gt;$AM655)),
SUMPRODUCT(INDEX($AV$56:$AX$65,,$AI655), INDEX($AY$56:$BE$65,,$AH655), 1 / ($BG$56:$BG$65*BY655 + (1-$BG$56:$BG$65)*BU655), N($AU$56:$AU$65&gt;$AM655))
) / 1000</f>
        <v>0</v>
      </c>
      <c r="CA655" s="231">
        <f t="shared" si="742"/>
        <v>20</v>
      </c>
      <c r="CB655" s="229">
        <f t="shared" si="758"/>
        <v>33</v>
      </c>
      <c r="CC655" s="234">
        <f t="shared" si="759"/>
        <v>4.8487499999999999</v>
      </c>
      <c r="CD655" s="234" cm="1">
        <f t="array" ref="CD655">$BM655 * IF($AH655&lt;=2,
SUMPRODUCT(INDEX($AV$61:$AX$65,,$AI655), INDEX($AY$61:$BE$65,,$AH655), 1 / ($BF$61:$BF$65*CC655 + (1-$BF$61:$BF$65)*BY655), N($AU$61:$AU$65&gt;$AM655)),
SUMPRODUCT(INDEX($AV$46:$AX$55,,$AI655), INDEX($AY$46:$BE$55,,$AH655), 1 / ($BG$46:$BG$55*CC655 + (1-$BG$46:$BG$55)*BY655), N($AU$46:$AU$55&gt;$AM655))
) / 1000</f>
        <v>0</v>
      </c>
      <c r="CE655" s="234" cm="1">
        <f t="array" ref="CE655">$BM655 * IF($AH655&lt;=2,
SUMPRODUCT(INDEX($AV$22:$AX$60,,$AI655), INDEX($AY$22:$BE$60,,$AH655), 1 / ($BF$22:$BF$60*CC655), N($AU$22:$AU$60&gt;$AM655)),
SUMPRODUCT(INDEX($AV$22:$AX$45,,$AI655), INDEX($AY$22:$BE$45,,$AH655), 1 / ($BG$22:$BG$45*CC655), N($AU$22:$AU$45&gt;$AM655))
) / 1000</f>
        <v>0</v>
      </c>
      <c r="CF655" s="229">
        <f t="shared" si="760"/>
        <v>0</v>
      </c>
      <c r="CG655" s="246"/>
      <c r="CH655" s="229">
        <f t="shared" si="761"/>
        <v>0</v>
      </c>
      <c r="CI655" s="228">
        <v>35</v>
      </c>
      <c r="CJ655" s="229">
        <f t="shared" si="762"/>
        <v>48</v>
      </c>
      <c r="CK655" s="234">
        <f t="shared" si="763"/>
        <v>3.0748170731707316</v>
      </c>
      <c r="CL655" s="234" cm="1">
        <f t="array" ref="CL655">$BM655 * SUMPRODUCT(INDEX($AV$76:$AX$81,,$AI655),INDEX($AY$76:$BE$81,,$AH655), N($AU$76:$AU$81&gt;$AM655)) / CK655 / 1000</f>
        <v>0</v>
      </c>
      <c r="CM655" s="231">
        <f t="shared" si="743"/>
        <v>30</v>
      </c>
      <c r="CN655" s="229">
        <f t="shared" si="764"/>
        <v>43</v>
      </c>
      <c r="CO655" s="234">
        <f t="shared" si="765"/>
        <v>3.5018750000000001</v>
      </c>
      <c r="CP655" s="234" cm="1">
        <f t="array" ref="CP655">$BM655 * IF($AH655&lt;=2,
SUMPRODUCT(INDEX($AV$71:$AX$75,,$AI655), INDEX($AY$71:$BE$75,,$AH655), 1 / ($BF$71:$BF$75*CO655 + (1-$BF$71:$BF$75)*CK655), N($AU$71:$AU$75&gt;$AM655)),
SUMPRODUCT(INDEX($AV$66:$AX$75,,$AI655), INDEX($AY$66:$BE$75,,$AH655), 1 / ($BG$66:$BG$75*CO655 + (1-$BG$66:$BG$75)*CK655), N($AU$66:$AU$75&gt;$AM655))
) / 1000</f>
        <v>0</v>
      </c>
      <c r="CQ655" s="231">
        <f t="shared" si="744"/>
        <v>25</v>
      </c>
      <c r="CR655" s="229">
        <f t="shared" si="766"/>
        <v>38</v>
      </c>
      <c r="CS655" s="234">
        <f t="shared" si="767"/>
        <v>4.0666935483870965</v>
      </c>
      <c r="CT655" s="234" cm="1">
        <f t="array" ref="CT655">$BM655 * IF($AH655&lt;=2,
SUMPRODUCT(INDEX($AV$66:$AX$70,,$AI655), INDEX($AY$66:$BE$70,,$AH655), 1 / ($BF$66:$BF$70*CS655 + (1-$BF$66:$BF$70)*CO655), N($AU$66:$AU$70&gt;$AM655)),
SUMPRODUCT(INDEX($AV$56:$AX$65,,$AI655), INDEX($AY$56:$BE$65,,$AH655), 1 / ($BG$56:$BG$65*CS655 + (1-$BG$56:$BG$65)*CO655), N($AU$56:$AU$65&gt;$AM655))
) / 1000</f>
        <v>0</v>
      </c>
      <c r="CU655" s="231">
        <f t="shared" si="745"/>
        <v>20</v>
      </c>
      <c r="CV655" s="229">
        <f t="shared" si="768"/>
        <v>33</v>
      </c>
      <c r="CW655" s="234">
        <f t="shared" si="769"/>
        <v>4.8487499999999999</v>
      </c>
      <c r="CX655" s="234" cm="1">
        <f t="array" ref="CX655">$BM655 * IF($AH655&lt;=2,
SUMPRODUCT(INDEX($AV$61:$AX$65,,$AI655), INDEX($AY$61:$BE$65,,$AH655), 1 / ($BF$61:$BF$65*CW655 + (1-$BF$61:$BF$65)*CS655), N($AU$61:$AU$65&gt;$AM655)),
SUMPRODUCT(INDEX($AV$46:$AX$55,,$AI655), INDEX($AY$46:$BE$55,,$AH655), 1 / ($BG$46:$BG$55*CW655 + (1-$BG$46:$BG$55)*CS655), N($AU$46:$AU$55&gt;$AM655))
) / 1000</f>
        <v>0</v>
      </c>
      <c r="CY655" s="234" cm="1">
        <f t="array" ref="CY655">$BM655 * IF($AH655&lt;=2,
SUMPRODUCT(INDEX($AV$22:$AX$60,,$AI655), INDEX($AY$22:$BE$60,,$AH655), 1 / ($BF$22:$BF$60*CW655), N($AU$22:$AU$60&gt;$AM655)),
SUMPRODUCT(INDEX($AV$22:$AX$45,,$AI655), INDEX($AY$22:$BE$45,,$AH655), 1 / ($BG$22:$BG$45*CW655), N($AU$22:$AU$45&gt;$AM655))
) / 1000</f>
        <v>0</v>
      </c>
      <c r="CZ655" s="229">
        <f t="shared" si="770"/>
        <v>0</v>
      </c>
      <c r="DA655" s="246"/>
    </row>
    <row r="656" spans="1:105" s="75" customFormat="1" ht="14.25" customHeight="1" x14ac:dyDescent="0.2">
      <c r="A656" s="230" t="b">
        <f t="shared" si="737"/>
        <v>0</v>
      </c>
      <c r="B656" s="253">
        <v>635</v>
      </c>
      <c r="C656" s="266"/>
      <c r="D656" s="266"/>
      <c r="E656" s="254"/>
      <c r="F656" s="255" t="str">
        <f>IF(ISBLANK(E656), "", VLOOKUP(E656, Z!$A$2:$C$4127, 3, FALSE))</f>
        <v/>
      </c>
      <c r="G656" s="256"/>
      <c r="H656" s="256"/>
      <c r="I656" s="256"/>
      <c r="J656" s="257"/>
      <c r="K656" s="258"/>
      <c r="L656" s="267"/>
      <c r="M656" s="268"/>
      <c r="N656" s="259" t="str" cm="1">
        <f t="array" ref="N656">IF($L656&gt;0, INDEX(Clean,1+AK656,$D$1), "")</f>
        <v/>
      </c>
      <c r="O656" s="260"/>
      <c r="P656" s="260"/>
      <c r="Q656" s="261"/>
      <c r="R656" s="264">
        <f t="shared" si="746"/>
        <v>0</v>
      </c>
      <c r="S656" s="259" t="str" cm="1">
        <f t="array" ref="S656">IF($L656&gt;0, INDEX(Clean,1+AL656,$D$1), "")</f>
        <v/>
      </c>
      <c r="T656" s="260"/>
      <c r="U656" s="260"/>
      <c r="V656" s="261"/>
      <c r="W656" s="267"/>
      <c r="X656" s="267"/>
      <c r="Y656" s="257"/>
      <c r="Z656" s="264">
        <f t="shared" si="747"/>
        <v>0</v>
      </c>
      <c r="AA656" s="269"/>
      <c r="AB656" s="266"/>
      <c r="AC656" s="254"/>
      <c r="AD656" s="255" t="str">
        <f>IF(ISBLANK(AC656), "", VLOOKUP(AC656, Z!$A$2:$C$4127, 3, FALSE))</f>
        <v/>
      </c>
      <c r="AE656" s="270"/>
      <c r="AF656" s="265">
        <f t="shared" si="748"/>
        <v>0</v>
      </c>
      <c r="AG656" s="246"/>
      <c r="AH656" s="228">
        <f t="shared" si="771"/>
        <v>1</v>
      </c>
      <c r="AI656" s="228">
        <f t="shared" si="772"/>
        <v>1</v>
      </c>
      <c r="AJ656" s="228">
        <f t="shared" si="773"/>
        <v>0</v>
      </c>
      <c r="AK656" s="228">
        <v>0</v>
      </c>
      <c r="AL656" s="228">
        <v>0</v>
      </c>
      <c r="AM656" s="228">
        <f t="shared" si="749"/>
        <v>-100</v>
      </c>
      <c r="AN656" s="228" cm="1">
        <f t="array" ref="AN656">IF(ISBLANK(G656), 1, IFERROR(MATCH(G656, INDEX(Kat,,1), 0), IFERROR(MATCH(Kat, INDEX(Use,,2), 0), MATCH(Kat, INDEX(Use,,3), 0))))</f>
        <v>1</v>
      </c>
      <c r="AO656" s="246"/>
      <c r="AP656" s="228" cm="1">
        <f t="array" ref="AP656">IF(W656&gt;0, INDEX(Kat, AN656,4), 0)</f>
        <v>0</v>
      </c>
      <c r="AQ656" s="228">
        <f t="shared" si="774"/>
        <v>0</v>
      </c>
      <c r="AR656" s="228" cm="1">
        <f t="array" ref="AR656">IF(X656&gt;0, INDEX(Kat, $AN656, 4+AQ656), 0)</f>
        <v>0</v>
      </c>
      <c r="AS656" s="228" cm="1">
        <f t="array" ref="AS656">IF(X656&gt;0, INDEX(Kat, $AN656, 9+AQ656), 0)</f>
        <v>0</v>
      </c>
      <c r="AT656" s="246"/>
      <c r="AU656" s="262"/>
      <c r="AV656" s="262"/>
      <c r="AW656" s="263"/>
      <c r="AX656" s="263"/>
      <c r="AY656" s="263"/>
      <c r="AZ656" s="263"/>
      <c r="BA656" s="263"/>
      <c r="BB656" s="263"/>
      <c r="BC656" s="263"/>
      <c r="BD656" s="263"/>
      <c r="BE656" s="263"/>
      <c r="BF656" s="263"/>
      <c r="BG656" s="263"/>
      <c r="BH656" s="246"/>
      <c r="BI656" s="228" cm="1">
        <f t="array" ref="BI656">INDEX(Use, $AH656, 4)</f>
        <v>7</v>
      </c>
      <c r="BJ656" s="228">
        <f t="shared" si="750"/>
        <v>32</v>
      </c>
      <c r="BK656" s="228">
        <f t="shared" si="738"/>
        <v>13</v>
      </c>
      <c r="BL656" s="228">
        <f t="shared" si="739"/>
        <v>0</v>
      </c>
      <c r="BM656" s="233" cm="1">
        <f t="array" ref="BM656">L656/IF($M656&gt;0, INDEX($AY$22:$BE$76, $M656+20, $AH656), 1)</f>
        <v>0</v>
      </c>
      <c r="BN656" s="229">
        <f t="shared" si="751"/>
        <v>0</v>
      </c>
      <c r="BO656" s="228">
        <v>35</v>
      </c>
      <c r="BP656" s="229">
        <f t="shared" si="752"/>
        <v>48</v>
      </c>
      <c r="BQ656" s="234">
        <f t="shared" si="753"/>
        <v>3.0748170731707316</v>
      </c>
      <c r="BR656" s="234" cm="1">
        <f t="array" ref="BR656">$BM656 * SUMPRODUCT(INDEX($AV$76:$AX$81,,$AI656),INDEX($AY$76:$BE$81,,$AH656), N($AU$76:$AU$81&gt;$AM656)) / BQ656 / 1000</f>
        <v>0</v>
      </c>
      <c r="BS656" s="231">
        <f t="shared" si="740"/>
        <v>30</v>
      </c>
      <c r="BT656" s="229">
        <f t="shared" si="754"/>
        <v>43</v>
      </c>
      <c r="BU656" s="234">
        <f t="shared" si="755"/>
        <v>3.5018750000000001</v>
      </c>
      <c r="BV656" s="234" cm="1">
        <f t="array" ref="BV656">$BM656 * IF($AH656&lt;=2,
SUMPRODUCT(INDEX($AV$71:$AX$75,,$AI656), INDEX($AY$71:$BE$75,,$AH656), 1 / ($BF$71:$BF$75*BU656 + (1-$BF$71:$BF$75)*BQ656), N($AU$71:$AU$75&gt;$AM656)),
SUMPRODUCT(INDEX($AV$66:$AX$75,,$AI656), INDEX($AY$66:$BE$75,,$AH656), 1 / ($BG$66:$BG$75*BU656 + (1-$BG$66:$BG$75)*BQ656), N($AU$66:$AU$75&gt;$AM656))
) / 1000</f>
        <v>0</v>
      </c>
      <c r="BW656" s="231">
        <f t="shared" si="741"/>
        <v>25</v>
      </c>
      <c r="BX656" s="229">
        <f t="shared" si="756"/>
        <v>38</v>
      </c>
      <c r="BY656" s="234">
        <f t="shared" si="757"/>
        <v>4.0666935483870965</v>
      </c>
      <c r="BZ656" s="234" cm="1">
        <f t="array" ref="BZ656">$BM656 * IF($AH656&lt;=2,
SUMPRODUCT(INDEX($AV$66:$AX$70,,$AI656), INDEX($AY$66:$BE$70,,$AH656), 1 / ($BF$66:$BF$70*BY656 + (1-$BF$66:$BF$70)*BU656), N($AU$66:$AU$70&gt;$AM656)),
SUMPRODUCT(INDEX($AV$56:$AX$65,,$AI656), INDEX($AY$56:$BE$65,,$AH656), 1 / ($BG$56:$BG$65*BY656 + (1-$BG$56:$BG$65)*BU656), N($AU$56:$AU$65&gt;$AM656))
) / 1000</f>
        <v>0</v>
      </c>
      <c r="CA656" s="231">
        <f t="shared" si="742"/>
        <v>20</v>
      </c>
      <c r="CB656" s="229">
        <f t="shared" si="758"/>
        <v>33</v>
      </c>
      <c r="CC656" s="234">
        <f t="shared" si="759"/>
        <v>4.8487499999999999</v>
      </c>
      <c r="CD656" s="234" cm="1">
        <f t="array" ref="CD656">$BM656 * IF($AH656&lt;=2,
SUMPRODUCT(INDEX($AV$61:$AX$65,,$AI656), INDEX($AY$61:$BE$65,,$AH656), 1 / ($BF$61:$BF$65*CC656 + (1-$BF$61:$BF$65)*BY656), N($AU$61:$AU$65&gt;$AM656)),
SUMPRODUCT(INDEX($AV$46:$AX$55,,$AI656), INDEX($AY$46:$BE$55,,$AH656), 1 / ($BG$46:$BG$55*CC656 + (1-$BG$46:$BG$55)*BY656), N($AU$46:$AU$55&gt;$AM656))
) / 1000</f>
        <v>0</v>
      </c>
      <c r="CE656" s="234" cm="1">
        <f t="array" ref="CE656">$BM656 * IF($AH656&lt;=2,
SUMPRODUCT(INDEX($AV$22:$AX$60,,$AI656), INDEX($AY$22:$BE$60,,$AH656), 1 / ($BF$22:$BF$60*CC656), N($AU$22:$AU$60&gt;$AM656)),
SUMPRODUCT(INDEX($AV$22:$AX$45,,$AI656), INDEX($AY$22:$BE$45,,$AH656), 1 / ($BG$22:$BG$45*CC656), N($AU$22:$AU$45&gt;$AM656))
) / 1000</f>
        <v>0</v>
      </c>
      <c r="CF656" s="229">
        <f t="shared" si="760"/>
        <v>0</v>
      </c>
      <c r="CG656" s="246"/>
      <c r="CH656" s="229">
        <f t="shared" si="761"/>
        <v>0</v>
      </c>
      <c r="CI656" s="228">
        <v>35</v>
      </c>
      <c r="CJ656" s="229">
        <f t="shared" si="762"/>
        <v>48</v>
      </c>
      <c r="CK656" s="234">
        <f t="shared" si="763"/>
        <v>3.0748170731707316</v>
      </c>
      <c r="CL656" s="234" cm="1">
        <f t="array" ref="CL656">$BM656 * SUMPRODUCT(INDEX($AV$76:$AX$81,,$AI656),INDEX($AY$76:$BE$81,,$AH656), N($AU$76:$AU$81&gt;$AM656)) / CK656 / 1000</f>
        <v>0</v>
      </c>
      <c r="CM656" s="231">
        <f t="shared" si="743"/>
        <v>30</v>
      </c>
      <c r="CN656" s="229">
        <f t="shared" si="764"/>
        <v>43</v>
      </c>
      <c r="CO656" s="234">
        <f t="shared" si="765"/>
        <v>3.5018750000000001</v>
      </c>
      <c r="CP656" s="234" cm="1">
        <f t="array" ref="CP656">$BM656 * IF($AH656&lt;=2,
SUMPRODUCT(INDEX($AV$71:$AX$75,,$AI656), INDEX($AY$71:$BE$75,,$AH656), 1 / ($BF$71:$BF$75*CO656 + (1-$BF$71:$BF$75)*CK656), N($AU$71:$AU$75&gt;$AM656)),
SUMPRODUCT(INDEX($AV$66:$AX$75,,$AI656), INDEX($AY$66:$BE$75,,$AH656), 1 / ($BG$66:$BG$75*CO656 + (1-$BG$66:$BG$75)*CK656), N($AU$66:$AU$75&gt;$AM656))
) / 1000</f>
        <v>0</v>
      </c>
      <c r="CQ656" s="231">
        <f t="shared" si="744"/>
        <v>25</v>
      </c>
      <c r="CR656" s="229">
        <f t="shared" si="766"/>
        <v>38</v>
      </c>
      <c r="CS656" s="234">
        <f t="shared" si="767"/>
        <v>4.0666935483870965</v>
      </c>
      <c r="CT656" s="234" cm="1">
        <f t="array" ref="CT656">$BM656 * IF($AH656&lt;=2,
SUMPRODUCT(INDEX($AV$66:$AX$70,,$AI656), INDEX($AY$66:$BE$70,,$AH656), 1 / ($BF$66:$BF$70*CS656 + (1-$BF$66:$BF$70)*CO656), N($AU$66:$AU$70&gt;$AM656)),
SUMPRODUCT(INDEX($AV$56:$AX$65,,$AI656), INDEX($AY$56:$BE$65,,$AH656), 1 / ($BG$56:$BG$65*CS656 + (1-$BG$56:$BG$65)*CO656), N($AU$56:$AU$65&gt;$AM656))
) / 1000</f>
        <v>0</v>
      </c>
      <c r="CU656" s="231">
        <f t="shared" si="745"/>
        <v>20</v>
      </c>
      <c r="CV656" s="229">
        <f t="shared" si="768"/>
        <v>33</v>
      </c>
      <c r="CW656" s="234">
        <f t="shared" si="769"/>
        <v>4.8487499999999999</v>
      </c>
      <c r="CX656" s="234" cm="1">
        <f t="array" ref="CX656">$BM656 * IF($AH656&lt;=2,
SUMPRODUCT(INDEX($AV$61:$AX$65,,$AI656), INDEX($AY$61:$BE$65,,$AH656), 1 / ($BF$61:$BF$65*CW656 + (1-$BF$61:$BF$65)*CS656), N($AU$61:$AU$65&gt;$AM656)),
SUMPRODUCT(INDEX($AV$46:$AX$55,,$AI656), INDEX($AY$46:$BE$55,,$AH656), 1 / ($BG$46:$BG$55*CW656 + (1-$BG$46:$BG$55)*CS656), N($AU$46:$AU$55&gt;$AM656))
) / 1000</f>
        <v>0</v>
      </c>
      <c r="CY656" s="234" cm="1">
        <f t="array" ref="CY656">$BM656 * IF($AH656&lt;=2,
SUMPRODUCT(INDEX($AV$22:$AX$60,,$AI656), INDEX($AY$22:$BE$60,,$AH656), 1 / ($BF$22:$BF$60*CW656), N($AU$22:$AU$60&gt;$AM656)),
SUMPRODUCT(INDEX($AV$22:$AX$45,,$AI656), INDEX($AY$22:$BE$45,,$AH656), 1 / ($BG$22:$BG$45*CW656), N($AU$22:$AU$45&gt;$AM656))
) / 1000</f>
        <v>0</v>
      </c>
      <c r="CZ656" s="229">
        <f t="shared" si="770"/>
        <v>0</v>
      </c>
      <c r="DA656" s="246"/>
    </row>
    <row r="657" spans="1:105" s="75" customFormat="1" ht="14.25" customHeight="1" x14ac:dyDescent="0.2">
      <c r="A657" s="230" t="b">
        <f t="shared" si="737"/>
        <v>0</v>
      </c>
      <c r="B657" s="253">
        <v>636</v>
      </c>
      <c r="C657" s="266"/>
      <c r="D657" s="266"/>
      <c r="E657" s="254"/>
      <c r="F657" s="255" t="str">
        <f>IF(ISBLANK(E657), "", VLOOKUP(E657, Z!$A$2:$C$4127, 3, FALSE))</f>
        <v/>
      </c>
      <c r="G657" s="256"/>
      <c r="H657" s="256"/>
      <c r="I657" s="256"/>
      <c r="J657" s="257"/>
      <c r="K657" s="258"/>
      <c r="L657" s="267"/>
      <c r="M657" s="268"/>
      <c r="N657" s="259" t="str" cm="1">
        <f t="array" ref="N657">IF($L657&gt;0, INDEX(Clean,1+AK657,$D$1), "")</f>
        <v/>
      </c>
      <c r="O657" s="260"/>
      <c r="P657" s="260"/>
      <c r="Q657" s="261"/>
      <c r="R657" s="264">
        <f t="shared" si="746"/>
        <v>0</v>
      </c>
      <c r="S657" s="259" t="str" cm="1">
        <f t="array" ref="S657">IF($L657&gt;0, INDEX(Clean,1+AL657,$D$1), "")</f>
        <v/>
      </c>
      <c r="T657" s="260"/>
      <c r="U657" s="260"/>
      <c r="V657" s="261"/>
      <c r="W657" s="267"/>
      <c r="X657" s="267"/>
      <c r="Y657" s="257"/>
      <c r="Z657" s="264">
        <f t="shared" si="747"/>
        <v>0</v>
      </c>
      <c r="AA657" s="269"/>
      <c r="AB657" s="266"/>
      <c r="AC657" s="254"/>
      <c r="AD657" s="255" t="str">
        <f>IF(ISBLANK(AC657), "", VLOOKUP(AC657, Z!$A$2:$C$4127, 3, FALSE))</f>
        <v/>
      </c>
      <c r="AE657" s="270"/>
      <c r="AF657" s="265">
        <f t="shared" si="748"/>
        <v>0</v>
      </c>
      <c r="AG657" s="246"/>
      <c r="AH657" s="228">
        <f t="shared" si="771"/>
        <v>1</v>
      </c>
      <c r="AI657" s="228">
        <f t="shared" si="772"/>
        <v>1</v>
      </c>
      <c r="AJ657" s="228">
        <f t="shared" si="773"/>
        <v>0</v>
      </c>
      <c r="AK657" s="228">
        <v>0</v>
      </c>
      <c r="AL657" s="228">
        <v>0</v>
      </c>
      <c r="AM657" s="228">
        <f t="shared" si="749"/>
        <v>-100</v>
      </c>
      <c r="AN657" s="228" cm="1">
        <f t="array" ref="AN657">IF(ISBLANK(G657), 1, IFERROR(MATCH(G657, INDEX(Kat,,1), 0), IFERROR(MATCH(Kat, INDEX(Use,,2), 0), MATCH(Kat, INDEX(Use,,3), 0))))</f>
        <v>1</v>
      </c>
      <c r="AO657" s="246"/>
      <c r="AP657" s="228" cm="1">
        <f t="array" ref="AP657">IF(W657&gt;0, INDEX(Kat, AN657,4), 0)</f>
        <v>0</v>
      </c>
      <c r="AQ657" s="228">
        <f t="shared" si="774"/>
        <v>0</v>
      </c>
      <c r="AR657" s="228" cm="1">
        <f t="array" ref="AR657">IF(X657&gt;0, INDEX(Kat, $AN657, 4+AQ657), 0)</f>
        <v>0</v>
      </c>
      <c r="AS657" s="228" cm="1">
        <f t="array" ref="AS657">IF(X657&gt;0, INDEX(Kat, $AN657, 9+AQ657), 0)</f>
        <v>0</v>
      </c>
      <c r="AT657" s="246"/>
      <c r="AU657" s="262"/>
      <c r="AV657" s="262"/>
      <c r="AW657" s="263"/>
      <c r="AX657" s="263"/>
      <c r="AY657" s="263"/>
      <c r="AZ657" s="263"/>
      <c r="BA657" s="263"/>
      <c r="BB657" s="263"/>
      <c r="BC657" s="263"/>
      <c r="BD657" s="263"/>
      <c r="BE657" s="263"/>
      <c r="BF657" s="263"/>
      <c r="BG657" s="263"/>
      <c r="BH657" s="246"/>
      <c r="BI657" s="228" cm="1">
        <f t="array" ref="BI657">INDEX(Use, $AH657, 4)</f>
        <v>7</v>
      </c>
      <c r="BJ657" s="228">
        <f t="shared" si="750"/>
        <v>32</v>
      </c>
      <c r="BK657" s="228">
        <f t="shared" si="738"/>
        <v>13</v>
      </c>
      <c r="BL657" s="228">
        <f t="shared" si="739"/>
        <v>0</v>
      </c>
      <c r="BM657" s="233" cm="1">
        <f t="array" ref="BM657">L657/IF($M657&gt;0, INDEX($AY$22:$BE$76, $M657+20, $AH657), 1)</f>
        <v>0</v>
      </c>
      <c r="BN657" s="229">
        <f t="shared" si="751"/>
        <v>0</v>
      </c>
      <c r="BO657" s="228">
        <v>35</v>
      </c>
      <c r="BP657" s="229">
        <f t="shared" si="752"/>
        <v>48</v>
      </c>
      <c r="BQ657" s="234">
        <f t="shared" si="753"/>
        <v>3.0748170731707316</v>
      </c>
      <c r="BR657" s="234" cm="1">
        <f t="array" ref="BR657">$BM657 * SUMPRODUCT(INDEX($AV$76:$AX$81,,$AI657),INDEX($AY$76:$BE$81,,$AH657), N($AU$76:$AU$81&gt;$AM657)) / BQ657 / 1000</f>
        <v>0</v>
      </c>
      <c r="BS657" s="231">
        <f t="shared" si="740"/>
        <v>30</v>
      </c>
      <c r="BT657" s="229">
        <f t="shared" si="754"/>
        <v>43</v>
      </c>
      <c r="BU657" s="234">
        <f t="shared" si="755"/>
        <v>3.5018750000000001</v>
      </c>
      <c r="BV657" s="234" cm="1">
        <f t="array" ref="BV657">$BM657 * IF($AH657&lt;=2,
SUMPRODUCT(INDEX($AV$71:$AX$75,,$AI657), INDEX($AY$71:$BE$75,,$AH657), 1 / ($BF$71:$BF$75*BU657 + (1-$BF$71:$BF$75)*BQ657), N($AU$71:$AU$75&gt;$AM657)),
SUMPRODUCT(INDEX($AV$66:$AX$75,,$AI657), INDEX($AY$66:$BE$75,,$AH657), 1 / ($BG$66:$BG$75*BU657 + (1-$BG$66:$BG$75)*BQ657), N($AU$66:$AU$75&gt;$AM657))
) / 1000</f>
        <v>0</v>
      </c>
      <c r="BW657" s="231">
        <f t="shared" si="741"/>
        <v>25</v>
      </c>
      <c r="BX657" s="229">
        <f t="shared" si="756"/>
        <v>38</v>
      </c>
      <c r="BY657" s="234">
        <f t="shared" si="757"/>
        <v>4.0666935483870965</v>
      </c>
      <c r="BZ657" s="234" cm="1">
        <f t="array" ref="BZ657">$BM657 * IF($AH657&lt;=2,
SUMPRODUCT(INDEX($AV$66:$AX$70,,$AI657), INDEX($AY$66:$BE$70,,$AH657), 1 / ($BF$66:$BF$70*BY657 + (1-$BF$66:$BF$70)*BU657), N($AU$66:$AU$70&gt;$AM657)),
SUMPRODUCT(INDEX($AV$56:$AX$65,,$AI657), INDEX($AY$56:$BE$65,,$AH657), 1 / ($BG$56:$BG$65*BY657 + (1-$BG$56:$BG$65)*BU657), N($AU$56:$AU$65&gt;$AM657))
) / 1000</f>
        <v>0</v>
      </c>
      <c r="CA657" s="231">
        <f t="shared" si="742"/>
        <v>20</v>
      </c>
      <c r="CB657" s="229">
        <f t="shared" si="758"/>
        <v>33</v>
      </c>
      <c r="CC657" s="234">
        <f t="shared" si="759"/>
        <v>4.8487499999999999</v>
      </c>
      <c r="CD657" s="234" cm="1">
        <f t="array" ref="CD657">$BM657 * IF($AH657&lt;=2,
SUMPRODUCT(INDEX($AV$61:$AX$65,,$AI657), INDEX($AY$61:$BE$65,,$AH657), 1 / ($BF$61:$BF$65*CC657 + (1-$BF$61:$BF$65)*BY657), N($AU$61:$AU$65&gt;$AM657)),
SUMPRODUCT(INDEX($AV$46:$AX$55,,$AI657), INDEX($AY$46:$BE$55,,$AH657), 1 / ($BG$46:$BG$55*CC657 + (1-$BG$46:$BG$55)*BY657), N($AU$46:$AU$55&gt;$AM657))
) / 1000</f>
        <v>0</v>
      </c>
      <c r="CE657" s="234" cm="1">
        <f t="array" ref="CE657">$BM657 * IF($AH657&lt;=2,
SUMPRODUCT(INDEX($AV$22:$AX$60,,$AI657), INDEX($AY$22:$BE$60,,$AH657), 1 / ($BF$22:$BF$60*CC657), N($AU$22:$AU$60&gt;$AM657)),
SUMPRODUCT(INDEX($AV$22:$AX$45,,$AI657), INDEX($AY$22:$BE$45,,$AH657), 1 / ($BG$22:$BG$45*CC657), N($AU$22:$AU$45&gt;$AM657))
) / 1000</f>
        <v>0</v>
      </c>
      <c r="CF657" s="229">
        <f t="shared" si="760"/>
        <v>0</v>
      </c>
      <c r="CG657" s="246"/>
      <c r="CH657" s="229">
        <f t="shared" si="761"/>
        <v>0</v>
      </c>
      <c r="CI657" s="228">
        <v>35</v>
      </c>
      <c r="CJ657" s="229">
        <f t="shared" si="762"/>
        <v>48</v>
      </c>
      <c r="CK657" s="234">
        <f t="shared" si="763"/>
        <v>3.0748170731707316</v>
      </c>
      <c r="CL657" s="234" cm="1">
        <f t="array" ref="CL657">$BM657 * SUMPRODUCT(INDEX($AV$76:$AX$81,,$AI657),INDEX($AY$76:$BE$81,,$AH657), N($AU$76:$AU$81&gt;$AM657)) / CK657 / 1000</f>
        <v>0</v>
      </c>
      <c r="CM657" s="231">
        <f t="shared" si="743"/>
        <v>30</v>
      </c>
      <c r="CN657" s="229">
        <f t="shared" si="764"/>
        <v>43</v>
      </c>
      <c r="CO657" s="234">
        <f t="shared" si="765"/>
        <v>3.5018750000000001</v>
      </c>
      <c r="CP657" s="234" cm="1">
        <f t="array" ref="CP657">$BM657 * IF($AH657&lt;=2,
SUMPRODUCT(INDEX($AV$71:$AX$75,,$AI657), INDEX($AY$71:$BE$75,,$AH657), 1 / ($BF$71:$BF$75*CO657 + (1-$BF$71:$BF$75)*CK657), N($AU$71:$AU$75&gt;$AM657)),
SUMPRODUCT(INDEX($AV$66:$AX$75,,$AI657), INDEX($AY$66:$BE$75,,$AH657), 1 / ($BG$66:$BG$75*CO657 + (1-$BG$66:$BG$75)*CK657), N($AU$66:$AU$75&gt;$AM657))
) / 1000</f>
        <v>0</v>
      </c>
      <c r="CQ657" s="231">
        <f t="shared" si="744"/>
        <v>25</v>
      </c>
      <c r="CR657" s="229">
        <f t="shared" si="766"/>
        <v>38</v>
      </c>
      <c r="CS657" s="234">
        <f t="shared" si="767"/>
        <v>4.0666935483870965</v>
      </c>
      <c r="CT657" s="234" cm="1">
        <f t="array" ref="CT657">$BM657 * IF($AH657&lt;=2,
SUMPRODUCT(INDEX($AV$66:$AX$70,,$AI657), INDEX($AY$66:$BE$70,,$AH657), 1 / ($BF$66:$BF$70*CS657 + (1-$BF$66:$BF$70)*CO657), N($AU$66:$AU$70&gt;$AM657)),
SUMPRODUCT(INDEX($AV$56:$AX$65,,$AI657), INDEX($AY$56:$BE$65,,$AH657), 1 / ($BG$56:$BG$65*CS657 + (1-$BG$56:$BG$65)*CO657), N($AU$56:$AU$65&gt;$AM657))
) / 1000</f>
        <v>0</v>
      </c>
      <c r="CU657" s="231">
        <f t="shared" si="745"/>
        <v>20</v>
      </c>
      <c r="CV657" s="229">
        <f t="shared" si="768"/>
        <v>33</v>
      </c>
      <c r="CW657" s="234">
        <f t="shared" si="769"/>
        <v>4.8487499999999999</v>
      </c>
      <c r="CX657" s="234" cm="1">
        <f t="array" ref="CX657">$BM657 * IF($AH657&lt;=2,
SUMPRODUCT(INDEX($AV$61:$AX$65,,$AI657), INDEX($AY$61:$BE$65,,$AH657), 1 / ($BF$61:$BF$65*CW657 + (1-$BF$61:$BF$65)*CS657), N($AU$61:$AU$65&gt;$AM657)),
SUMPRODUCT(INDEX($AV$46:$AX$55,,$AI657), INDEX($AY$46:$BE$55,,$AH657), 1 / ($BG$46:$BG$55*CW657 + (1-$BG$46:$BG$55)*CS657), N($AU$46:$AU$55&gt;$AM657))
) / 1000</f>
        <v>0</v>
      </c>
      <c r="CY657" s="234" cm="1">
        <f t="array" ref="CY657">$BM657 * IF($AH657&lt;=2,
SUMPRODUCT(INDEX($AV$22:$AX$60,,$AI657), INDEX($AY$22:$BE$60,,$AH657), 1 / ($BF$22:$BF$60*CW657), N($AU$22:$AU$60&gt;$AM657)),
SUMPRODUCT(INDEX($AV$22:$AX$45,,$AI657), INDEX($AY$22:$BE$45,,$AH657), 1 / ($BG$22:$BG$45*CW657), N($AU$22:$AU$45&gt;$AM657))
) / 1000</f>
        <v>0</v>
      </c>
      <c r="CZ657" s="229">
        <f t="shared" si="770"/>
        <v>0</v>
      </c>
      <c r="DA657" s="246"/>
    </row>
    <row r="658" spans="1:105" s="75" customFormat="1" ht="14.25" customHeight="1" x14ac:dyDescent="0.2">
      <c r="A658" s="230" t="b">
        <f t="shared" si="737"/>
        <v>0</v>
      </c>
      <c r="B658" s="253">
        <v>637</v>
      </c>
      <c r="C658" s="266"/>
      <c r="D658" s="266"/>
      <c r="E658" s="254"/>
      <c r="F658" s="255" t="str">
        <f>IF(ISBLANK(E658), "", VLOOKUP(E658, Z!$A$2:$C$4127, 3, FALSE))</f>
        <v/>
      </c>
      <c r="G658" s="256"/>
      <c r="H658" s="256"/>
      <c r="I658" s="256"/>
      <c r="J658" s="257"/>
      <c r="K658" s="258"/>
      <c r="L658" s="267"/>
      <c r="M658" s="268"/>
      <c r="N658" s="259" t="str" cm="1">
        <f t="array" ref="N658">IF($L658&gt;0, INDEX(Clean,1+AK658,$D$1), "")</f>
        <v/>
      </c>
      <c r="O658" s="260"/>
      <c r="P658" s="260"/>
      <c r="Q658" s="261"/>
      <c r="R658" s="264">
        <f t="shared" si="746"/>
        <v>0</v>
      </c>
      <c r="S658" s="259" t="str" cm="1">
        <f t="array" ref="S658">IF($L658&gt;0, INDEX(Clean,1+AL658,$D$1), "")</f>
        <v/>
      </c>
      <c r="T658" s="260"/>
      <c r="U658" s="260"/>
      <c r="V658" s="261"/>
      <c r="W658" s="267"/>
      <c r="X658" s="267"/>
      <c r="Y658" s="257"/>
      <c r="Z658" s="264">
        <f t="shared" si="747"/>
        <v>0</v>
      </c>
      <c r="AA658" s="269"/>
      <c r="AB658" s="266"/>
      <c r="AC658" s="254"/>
      <c r="AD658" s="255" t="str">
        <f>IF(ISBLANK(AC658), "", VLOOKUP(AC658, Z!$A$2:$C$4127, 3, FALSE))</f>
        <v/>
      </c>
      <c r="AE658" s="270"/>
      <c r="AF658" s="265">
        <f t="shared" si="748"/>
        <v>0</v>
      </c>
      <c r="AG658" s="246"/>
      <c r="AH658" s="228">
        <f t="shared" si="771"/>
        <v>1</v>
      </c>
      <c r="AI658" s="228">
        <f t="shared" si="772"/>
        <v>1</v>
      </c>
      <c r="AJ658" s="228">
        <f t="shared" si="773"/>
        <v>0</v>
      </c>
      <c r="AK658" s="228">
        <v>0</v>
      </c>
      <c r="AL658" s="228">
        <v>0</v>
      </c>
      <c r="AM658" s="228">
        <f t="shared" si="749"/>
        <v>-100</v>
      </c>
      <c r="AN658" s="228" cm="1">
        <f t="array" ref="AN658">IF(ISBLANK(G658), 1, IFERROR(MATCH(G658, INDEX(Kat,,1), 0), IFERROR(MATCH(Kat, INDEX(Use,,2), 0), MATCH(Kat, INDEX(Use,,3), 0))))</f>
        <v>1</v>
      </c>
      <c r="AO658" s="246"/>
      <c r="AP658" s="228" cm="1">
        <f t="array" ref="AP658">IF(W658&gt;0, INDEX(Kat, AN658,4), 0)</f>
        <v>0</v>
      </c>
      <c r="AQ658" s="228">
        <f t="shared" si="774"/>
        <v>0</v>
      </c>
      <c r="AR658" s="228" cm="1">
        <f t="array" ref="AR658">IF(X658&gt;0, INDEX(Kat, $AN658, 4+AQ658), 0)</f>
        <v>0</v>
      </c>
      <c r="AS658" s="228" cm="1">
        <f t="array" ref="AS658">IF(X658&gt;0, INDEX(Kat, $AN658, 9+AQ658), 0)</f>
        <v>0</v>
      </c>
      <c r="AT658" s="246"/>
      <c r="AU658" s="262"/>
      <c r="AV658" s="262"/>
      <c r="AW658" s="263"/>
      <c r="AX658" s="263"/>
      <c r="AY658" s="263"/>
      <c r="AZ658" s="263"/>
      <c r="BA658" s="263"/>
      <c r="BB658" s="263"/>
      <c r="BC658" s="263"/>
      <c r="BD658" s="263"/>
      <c r="BE658" s="263"/>
      <c r="BF658" s="263"/>
      <c r="BG658" s="263"/>
      <c r="BH658" s="246"/>
      <c r="BI658" s="228" cm="1">
        <f t="array" ref="BI658">INDEX(Use, $AH658, 4)</f>
        <v>7</v>
      </c>
      <c r="BJ658" s="228">
        <f t="shared" si="750"/>
        <v>32</v>
      </c>
      <c r="BK658" s="228">
        <f t="shared" si="738"/>
        <v>13</v>
      </c>
      <c r="BL658" s="228">
        <f t="shared" si="739"/>
        <v>0</v>
      </c>
      <c r="BM658" s="233" cm="1">
        <f t="array" ref="BM658">L658/IF($M658&gt;0, INDEX($AY$22:$BE$76, $M658+20, $AH658), 1)</f>
        <v>0</v>
      </c>
      <c r="BN658" s="229">
        <f t="shared" si="751"/>
        <v>0</v>
      </c>
      <c r="BO658" s="228">
        <v>35</v>
      </c>
      <c r="BP658" s="229">
        <f t="shared" si="752"/>
        <v>48</v>
      </c>
      <c r="BQ658" s="234">
        <f t="shared" si="753"/>
        <v>3.0748170731707316</v>
      </c>
      <c r="BR658" s="234" cm="1">
        <f t="array" ref="BR658">$BM658 * SUMPRODUCT(INDEX($AV$76:$AX$81,,$AI658),INDEX($AY$76:$BE$81,,$AH658), N($AU$76:$AU$81&gt;$AM658)) / BQ658 / 1000</f>
        <v>0</v>
      </c>
      <c r="BS658" s="231">
        <f t="shared" si="740"/>
        <v>30</v>
      </c>
      <c r="BT658" s="229">
        <f t="shared" si="754"/>
        <v>43</v>
      </c>
      <c r="BU658" s="234">
        <f t="shared" si="755"/>
        <v>3.5018750000000001</v>
      </c>
      <c r="BV658" s="234" cm="1">
        <f t="array" ref="BV658">$BM658 * IF($AH658&lt;=2,
SUMPRODUCT(INDEX($AV$71:$AX$75,,$AI658), INDEX($AY$71:$BE$75,,$AH658), 1 / ($BF$71:$BF$75*BU658 + (1-$BF$71:$BF$75)*BQ658), N($AU$71:$AU$75&gt;$AM658)),
SUMPRODUCT(INDEX($AV$66:$AX$75,,$AI658), INDEX($AY$66:$BE$75,,$AH658), 1 / ($BG$66:$BG$75*BU658 + (1-$BG$66:$BG$75)*BQ658), N($AU$66:$AU$75&gt;$AM658))
) / 1000</f>
        <v>0</v>
      </c>
      <c r="BW658" s="231">
        <f t="shared" si="741"/>
        <v>25</v>
      </c>
      <c r="BX658" s="229">
        <f t="shared" si="756"/>
        <v>38</v>
      </c>
      <c r="BY658" s="234">
        <f t="shared" si="757"/>
        <v>4.0666935483870965</v>
      </c>
      <c r="BZ658" s="234" cm="1">
        <f t="array" ref="BZ658">$BM658 * IF($AH658&lt;=2,
SUMPRODUCT(INDEX($AV$66:$AX$70,,$AI658), INDEX($AY$66:$BE$70,,$AH658), 1 / ($BF$66:$BF$70*BY658 + (1-$BF$66:$BF$70)*BU658), N($AU$66:$AU$70&gt;$AM658)),
SUMPRODUCT(INDEX($AV$56:$AX$65,,$AI658), INDEX($AY$56:$BE$65,,$AH658), 1 / ($BG$56:$BG$65*BY658 + (1-$BG$56:$BG$65)*BU658), N($AU$56:$AU$65&gt;$AM658))
) / 1000</f>
        <v>0</v>
      </c>
      <c r="CA658" s="231">
        <f t="shared" si="742"/>
        <v>20</v>
      </c>
      <c r="CB658" s="229">
        <f t="shared" si="758"/>
        <v>33</v>
      </c>
      <c r="CC658" s="234">
        <f t="shared" si="759"/>
        <v>4.8487499999999999</v>
      </c>
      <c r="CD658" s="234" cm="1">
        <f t="array" ref="CD658">$BM658 * IF($AH658&lt;=2,
SUMPRODUCT(INDEX($AV$61:$AX$65,,$AI658), INDEX($AY$61:$BE$65,,$AH658), 1 / ($BF$61:$BF$65*CC658 + (1-$BF$61:$BF$65)*BY658), N($AU$61:$AU$65&gt;$AM658)),
SUMPRODUCT(INDEX($AV$46:$AX$55,,$AI658), INDEX($AY$46:$BE$55,,$AH658), 1 / ($BG$46:$BG$55*CC658 + (1-$BG$46:$BG$55)*BY658), N($AU$46:$AU$55&gt;$AM658))
) / 1000</f>
        <v>0</v>
      </c>
      <c r="CE658" s="234" cm="1">
        <f t="array" ref="CE658">$BM658 * IF($AH658&lt;=2,
SUMPRODUCT(INDEX($AV$22:$AX$60,,$AI658), INDEX($AY$22:$BE$60,,$AH658), 1 / ($BF$22:$BF$60*CC658), N($AU$22:$AU$60&gt;$AM658)),
SUMPRODUCT(INDEX($AV$22:$AX$45,,$AI658), INDEX($AY$22:$BE$45,,$AH658), 1 / ($BG$22:$BG$45*CC658), N($AU$22:$AU$45&gt;$AM658))
) / 1000</f>
        <v>0</v>
      </c>
      <c r="CF658" s="229">
        <f t="shared" si="760"/>
        <v>0</v>
      </c>
      <c r="CG658" s="246"/>
      <c r="CH658" s="229">
        <f t="shared" si="761"/>
        <v>0</v>
      </c>
      <c r="CI658" s="228">
        <v>35</v>
      </c>
      <c r="CJ658" s="229">
        <f t="shared" si="762"/>
        <v>48</v>
      </c>
      <c r="CK658" s="234">
        <f t="shared" si="763"/>
        <v>3.0748170731707316</v>
      </c>
      <c r="CL658" s="234" cm="1">
        <f t="array" ref="CL658">$BM658 * SUMPRODUCT(INDEX($AV$76:$AX$81,,$AI658),INDEX($AY$76:$BE$81,,$AH658), N($AU$76:$AU$81&gt;$AM658)) / CK658 / 1000</f>
        <v>0</v>
      </c>
      <c r="CM658" s="231">
        <f t="shared" si="743"/>
        <v>30</v>
      </c>
      <c r="CN658" s="229">
        <f t="shared" si="764"/>
        <v>43</v>
      </c>
      <c r="CO658" s="234">
        <f t="shared" si="765"/>
        <v>3.5018750000000001</v>
      </c>
      <c r="CP658" s="234" cm="1">
        <f t="array" ref="CP658">$BM658 * IF($AH658&lt;=2,
SUMPRODUCT(INDEX($AV$71:$AX$75,,$AI658), INDEX($AY$71:$BE$75,,$AH658), 1 / ($BF$71:$BF$75*CO658 + (1-$BF$71:$BF$75)*CK658), N($AU$71:$AU$75&gt;$AM658)),
SUMPRODUCT(INDEX($AV$66:$AX$75,,$AI658), INDEX($AY$66:$BE$75,,$AH658), 1 / ($BG$66:$BG$75*CO658 + (1-$BG$66:$BG$75)*CK658), N($AU$66:$AU$75&gt;$AM658))
) / 1000</f>
        <v>0</v>
      </c>
      <c r="CQ658" s="231">
        <f t="shared" si="744"/>
        <v>25</v>
      </c>
      <c r="CR658" s="229">
        <f t="shared" si="766"/>
        <v>38</v>
      </c>
      <c r="CS658" s="234">
        <f t="shared" si="767"/>
        <v>4.0666935483870965</v>
      </c>
      <c r="CT658" s="234" cm="1">
        <f t="array" ref="CT658">$BM658 * IF($AH658&lt;=2,
SUMPRODUCT(INDEX($AV$66:$AX$70,,$AI658), INDEX($AY$66:$BE$70,,$AH658), 1 / ($BF$66:$BF$70*CS658 + (1-$BF$66:$BF$70)*CO658), N($AU$66:$AU$70&gt;$AM658)),
SUMPRODUCT(INDEX($AV$56:$AX$65,,$AI658), INDEX($AY$56:$BE$65,,$AH658), 1 / ($BG$56:$BG$65*CS658 + (1-$BG$56:$BG$65)*CO658), N($AU$56:$AU$65&gt;$AM658))
) / 1000</f>
        <v>0</v>
      </c>
      <c r="CU658" s="231">
        <f t="shared" si="745"/>
        <v>20</v>
      </c>
      <c r="CV658" s="229">
        <f t="shared" si="768"/>
        <v>33</v>
      </c>
      <c r="CW658" s="234">
        <f t="shared" si="769"/>
        <v>4.8487499999999999</v>
      </c>
      <c r="CX658" s="234" cm="1">
        <f t="array" ref="CX658">$BM658 * IF($AH658&lt;=2,
SUMPRODUCT(INDEX($AV$61:$AX$65,,$AI658), INDEX($AY$61:$BE$65,,$AH658), 1 / ($BF$61:$BF$65*CW658 + (1-$BF$61:$BF$65)*CS658), N($AU$61:$AU$65&gt;$AM658)),
SUMPRODUCT(INDEX($AV$46:$AX$55,,$AI658), INDEX($AY$46:$BE$55,,$AH658), 1 / ($BG$46:$BG$55*CW658 + (1-$BG$46:$BG$55)*CS658), N($AU$46:$AU$55&gt;$AM658))
) / 1000</f>
        <v>0</v>
      </c>
      <c r="CY658" s="234" cm="1">
        <f t="array" ref="CY658">$BM658 * IF($AH658&lt;=2,
SUMPRODUCT(INDEX($AV$22:$AX$60,,$AI658), INDEX($AY$22:$BE$60,,$AH658), 1 / ($BF$22:$BF$60*CW658), N($AU$22:$AU$60&gt;$AM658)),
SUMPRODUCT(INDEX($AV$22:$AX$45,,$AI658), INDEX($AY$22:$BE$45,,$AH658), 1 / ($BG$22:$BG$45*CW658), N($AU$22:$AU$45&gt;$AM658))
) / 1000</f>
        <v>0</v>
      </c>
      <c r="CZ658" s="229">
        <f t="shared" si="770"/>
        <v>0</v>
      </c>
      <c r="DA658" s="246"/>
    </row>
    <row r="659" spans="1:105" s="75" customFormat="1" ht="14.25" customHeight="1" x14ac:dyDescent="0.2">
      <c r="A659" s="230" t="b">
        <f t="shared" si="737"/>
        <v>0</v>
      </c>
      <c r="B659" s="253">
        <v>638</v>
      </c>
      <c r="C659" s="266"/>
      <c r="D659" s="266"/>
      <c r="E659" s="254"/>
      <c r="F659" s="255" t="str">
        <f>IF(ISBLANK(E659), "", VLOOKUP(E659, Z!$A$2:$C$4127, 3, FALSE))</f>
        <v/>
      </c>
      <c r="G659" s="256"/>
      <c r="H659" s="256"/>
      <c r="I659" s="256"/>
      <c r="J659" s="257"/>
      <c r="K659" s="258"/>
      <c r="L659" s="267"/>
      <c r="M659" s="268"/>
      <c r="N659" s="259" t="str" cm="1">
        <f t="array" ref="N659">IF($L659&gt;0, INDEX(Clean,1+AK659,$D$1), "")</f>
        <v/>
      </c>
      <c r="O659" s="260"/>
      <c r="P659" s="260"/>
      <c r="Q659" s="261"/>
      <c r="R659" s="264">
        <f t="shared" si="746"/>
        <v>0</v>
      </c>
      <c r="S659" s="259" t="str" cm="1">
        <f t="array" ref="S659">IF($L659&gt;0, INDEX(Clean,1+AL659,$D$1), "")</f>
        <v/>
      </c>
      <c r="T659" s="260"/>
      <c r="U659" s="260"/>
      <c r="V659" s="261"/>
      <c r="W659" s="267"/>
      <c r="X659" s="267"/>
      <c r="Y659" s="257"/>
      <c r="Z659" s="264">
        <f t="shared" si="747"/>
        <v>0</v>
      </c>
      <c r="AA659" s="269"/>
      <c r="AB659" s="266"/>
      <c r="AC659" s="254"/>
      <c r="AD659" s="255" t="str">
        <f>IF(ISBLANK(AC659), "", VLOOKUP(AC659, Z!$A$2:$C$4127, 3, FALSE))</f>
        <v/>
      </c>
      <c r="AE659" s="270"/>
      <c r="AF659" s="265">
        <f t="shared" si="748"/>
        <v>0</v>
      </c>
      <c r="AG659" s="246"/>
      <c r="AH659" s="228">
        <f t="shared" si="771"/>
        <v>1</v>
      </c>
      <c r="AI659" s="228">
        <f t="shared" si="772"/>
        <v>1</v>
      </c>
      <c r="AJ659" s="228">
        <f t="shared" si="773"/>
        <v>0</v>
      </c>
      <c r="AK659" s="228">
        <v>0</v>
      </c>
      <c r="AL659" s="228">
        <v>0</v>
      </c>
      <c r="AM659" s="228">
        <f t="shared" si="749"/>
        <v>-100</v>
      </c>
      <c r="AN659" s="228" cm="1">
        <f t="array" ref="AN659">IF(ISBLANK(G659), 1, IFERROR(MATCH(G659, INDEX(Kat,,1), 0), IFERROR(MATCH(Kat, INDEX(Use,,2), 0), MATCH(Kat, INDEX(Use,,3), 0))))</f>
        <v>1</v>
      </c>
      <c r="AO659" s="246"/>
      <c r="AP659" s="228" cm="1">
        <f t="array" ref="AP659">IF(W659&gt;0, INDEX(Kat, AN659,4), 0)</f>
        <v>0</v>
      </c>
      <c r="AQ659" s="228">
        <f t="shared" si="774"/>
        <v>0</v>
      </c>
      <c r="AR659" s="228" cm="1">
        <f t="array" ref="AR659">IF(X659&gt;0, INDEX(Kat, $AN659, 4+AQ659), 0)</f>
        <v>0</v>
      </c>
      <c r="AS659" s="228" cm="1">
        <f t="array" ref="AS659">IF(X659&gt;0, INDEX(Kat, $AN659, 9+AQ659), 0)</f>
        <v>0</v>
      </c>
      <c r="AT659" s="246"/>
      <c r="AU659" s="262"/>
      <c r="AV659" s="262"/>
      <c r="AW659" s="263"/>
      <c r="AX659" s="263"/>
      <c r="AY659" s="263"/>
      <c r="AZ659" s="263"/>
      <c r="BA659" s="263"/>
      <c r="BB659" s="263"/>
      <c r="BC659" s="263"/>
      <c r="BD659" s="263"/>
      <c r="BE659" s="263"/>
      <c r="BF659" s="263"/>
      <c r="BG659" s="263"/>
      <c r="BH659" s="246"/>
      <c r="BI659" s="228" cm="1">
        <f t="array" ref="BI659">INDEX(Use, $AH659, 4)</f>
        <v>7</v>
      </c>
      <c r="BJ659" s="228">
        <f t="shared" si="750"/>
        <v>32</v>
      </c>
      <c r="BK659" s="228">
        <f t="shared" si="738"/>
        <v>13</v>
      </c>
      <c r="BL659" s="228">
        <f t="shared" si="739"/>
        <v>0</v>
      </c>
      <c r="BM659" s="233" cm="1">
        <f t="array" ref="BM659">L659/IF($M659&gt;0, INDEX($AY$22:$BE$76, $M659+20, $AH659), 1)</f>
        <v>0</v>
      </c>
      <c r="BN659" s="229">
        <f t="shared" si="751"/>
        <v>0</v>
      </c>
      <c r="BO659" s="228">
        <v>35</v>
      </c>
      <c r="BP659" s="229">
        <f t="shared" si="752"/>
        <v>48</v>
      </c>
      <c r="BQ659" s="234">
        <f t="shared" si="753"/>
        <v>3.0748170731707316</v>
      </c>
      <c r="BR659" s="234" cm="1">
        <f t="array" ref="BR659">$BM659 * SUMPRODUCT(INDEX($AV$76:$AX$81,,$AI659),INDEX($AY$76:$BE$81,,$AH659), N($AU$76:$AU$81&gt;$AM659)) / BQ659 / 1000</f>
        <v>0</v>
      </c>
      <c r="BS659" s="231">
        <f t="shared" si="740"/>
        <v>30</v>
      </c>
      <c r="BT659" s="229">
        <f t="shared" si="754"/>
        <v>43</v>
      </c>
      <c r="BU659" s="234">
        <f t="shared" si="755"/>
        <v>3.5018750000000001</v>
      </c>
      <c r="BV659" s="234" cm="1">
        <f t="array" ref="BV659">$BM659 * IF($AH659&lt;=2,
SUMPRODUCT(INDEX($AV$71:$AX$75,,$AI659), INDEX($AY$71:$BE$75,,$AH659), 1 / ($BF$71:$BF$75*BU659 + (1-$BF$71:$BF$75)*BQ659), N($AU$71:$AU$75&gt;$AM659)),
SUMPRODUCT(INDEX($AV$66:$AX$75,,$AI659), INDEX($AY$66:$BE$75,,$AH659), 1 / ($BG$66:$BG$75*BU659 + (1-$BG$66:$BG$75)*BQ659), N($AU$66:$AU$75&gt;$AM659))
) / 1000</f>
        <v>0</v>
      </c>
      <c r="BW659" s="231">
        <f t="shared" si="741"/>
        <v>25</v>
      </c>
      <c r="BX659" s="229">
        <f t="shared" si="756"/>
        <v>38</v>
      </c>
      <c r="BY659" s="234">
        <f t="shared" si="757"/>
        <v>4.0666935483870965</v>
      </c>
      <c r="BZ659" s="234" cm="1">
        <f t="array" ref="BZ659">$BM659 * IF($AH659&lt;=2,
SUMPRODUCT(INDEX($AV$66:$AX$70,,$AI659), INDEX($AY$66:$BE$70,,$AH659), 1 / ($BF$66:$BF$70*BY659 + (1-$BF$66:$BF$70)*BU659), N($AU$66:$AU$70&gt;$AM659)),
SUMPRODUCT(INDEX($AV$56:$AX$65,,$AI659), INDEX($AY$56:$BE$65,,$AH659), 1 / ($BG$56:$BG$65*BY659 + (1-$BG$56:$BG$65)*BU659), N($AU$56:$AU$65&gt;$AM659))
) / 1000</f>
        <v>0</v>
      </c>
      <c r="CA659" s="231">
        <f t="shared" si="742"/>
        <v>20</v>
      </c>
      <c r="CB659" s="229">
        <f t="shared" si="758"/>
        <v>33</v>
      </c>
      <c r="CC659" s="234">
        <f t="shared" si="759"/>
        <v>4.8487499999999999</v>
      </c>
      <c r="CD659" s="234" cm="1">
        <f t="array" ref="CD659">$BM659 * IF($AH659&lt;=2,
SUMPRODUCT(INDEX($AV$61:$AX$65,,$AI659), INDEX($AY$61:$BE$65,,$AH659), 1 / ($BF$61:$BF$65*CC659 + (1-$BF$61:$BF$65)*BY659), N($AU$61:$AU$65&gt;$AM659)),
SUMPRODUCT(INDEX($AV$46:$AX$55,,$AI659), INDEX($AY$46:$BE$55,,$AH659), 1 / ($BG$46:$BG$55*CC659 + (1-$BG$46:$BG$55)*BY659), N($AU$46:$AU$55&gt;$AM659))
) / 1000</f>
        <v>0</v>
      </c>
      <c r="CE659" s="234" cm="1">
        <f t="array" ref="CE659">$BM659 * IF($AH659&lt;=2,
SUMPRODUCT(INDEX($AV$22:$AX$60,,$AI659), INDEX($AY$22:$BE$60,,$AH659), 1 / ($BF$22:$BF$60*CC659), N($AU$22:$AU$60&gt;$AM659)),
SUMPRODUCT(INDEX($AV$22:$AX$45,,$AI659), INDEX($AY$22:$BE$45,,$AH659), 1 / ($BG$22:$BG$45*CC659), N($AU$22:$AU$45&gt;$AM659))
) / 1000</f>
        <v>0</v>
      </c>
      <c r="CF659" s="229">
        <f t="shared" si="760"/>
        <v>0</v>
      </c>
      <c r="CG659" s="246"/>
      <c r="CH659" s="229">
        <f t="shared" si="761"/>
        <v>0</v>
      </c>
      <c r="CI659" s="228">
        <v>35</v>
      </c>
      <c r="CJ659" s="229">
        <f t="shared" si="762"/>
        <v>48</v>
      </c>
      <c r="CK659" s="234">
        <f t="shared" si="763"/>
        <v>3.0748170731707316</v>
      </c>
      <c r="CL659" s="234" cm="1">
        <f t="array" ref="CL659">$BM659 * SUMPRODUCT(INDEX($AV$76:$AX$81,,$AI659),INDEX($AY$76:$BE$81,,$AH659), N($AU$76:$AU$81&gt;$AM659)) / CK659 / 1000</f>
        <v>0</v>
      </c>
      <c r="CM659" s="231">
        <f t="shared" si="743"/>
        <v>30</v>
      </c>
      <c r="CN659" s="229">
        <f t="shared" si="764"/>
        <v>43</v>
      </c>
      <c r="CO659" s="234">
        <f t="shared" si="765"/>
        <v>3.5018750000000001</v>
      </c>
      <c r="CP659" s="234" cm="1">
        <f t="array" ref="CP659">$BM659 * IF($AH659&lt;=2,
SUMPRODUCT(INDEX($AV$71:$AX$75,,$AI659), INDEX($AY$71:$BE$75,,$AH659), 1 / ($BF$71:$BF$75*CO659 + (1-$BF$71:$BF$75)*CK659), N($AU$71:$AU$75&gt;$AM659)),
SUMPRODUCT(INDEX($AV$66:$AX$75,,$AI659), INDEX($AY$66:$BE$75,,$AH659), 1 / ($BG$66:$BG$75*CO659 + (1-$BG$66:$BG$75)*CK659), N($AU$66:$AU$75&gt;$AM659))
) / 1000</f>
        <v>0</v>
      </c>
      <c r="CQ659" s="231">
        <f t="shared" si="744"/>
        <v>25</v>
      </c>
      <c r="CR659" s="229">
        <f t="shared" si="766"/>
        <v>38</v>
      </c>
      <c r="CS659" s="234">
        <f t="shared" si="767"/>
        <v>4.0666935483870965</v>
      </c>
      <c r="CT659" s="234" cm="1">
        <f t="array" ref="CT659">$BM659 * IF($AH659&lt;=2,
SUMPRODUCT(INDEX($AV$66:$AX$70,,$AI659), INDEX($AY$66:$BE$70,,$AH659), 1 / ($BF$66:$BF$70*CS659 + (1-$BF$66:$BF$70)*CO659), N($AU$66:$AU$70&gt;$AM659)),
SUMPRODUCT(INDEX($AV$56:$AX$65,,$AI659), INDEX($AY$56:$BE$65,,$AH659), 1 / ($BG$56:$BG$65*CS659 + (1-$BG$56:$BG$65)*CO659), N($AU$56:$AU$65&gt;$AM659))
) / 1000</f>
        <v>0</v>
      </c>
      <c r="CU659" s="231">
        <f t="shared" si="745"/>
        <v>20</v>
      </c>
      <c r="CV659" s="229">
        <f t="shared" si="768"/>
        <v>33</v>
      </c>
      <c r="CW659" s="234">
        <f t="shared" si="769"/>
        <v>4.8487499999999999</v>
      </c>
      <c r="CX659" s="234" cm="1">
        <f t="array" ref="CX659">$BM659 * IF($AH659&lt;=2,
SUMPRODUCT(INDEX($AV$61:$AX$65,,$AI659), INDEX($AY$61:$BE$65,,$AH659), 1 / ($BF$61:$BF$65*CW659 + (1-$BF$61:$BF$65)*CS659), N($AU$61:$AU$65&gt;$AM659)),
SUMPRODUCT(INDEX($AV$46:$AX$55,,$AI659), INDEX($AY$46:$BE$55,,$AH659), 1 / ($BG$46:$BG$55*CW659 + (1-$BG$46:$BG$55)*CS659), N($AU$46:$AU$55&gt;$AM659))
) / 1000</f>
        <v>0</v>
      </c>
      <c r="CY659" s="234" cm="1">
        <f t="array" ref="CY659">$BM659 * IF($AH659&lt;=2,
SUMPRODUCT(INDEX($AV$22:$AX$60,,$AI659), INDEX($AY$22:$BE$60,,$AH659), 1 / ($BF$22:$BF$60*CW659), N($AU$22:$AU$60&gt;$AM659)),
SUMPRODUCT(INDEX($AV$22:$AX$45,,$AI659), INDEX($AY$22:$BE$45,,$AH659), 1 / ($BG$22:$BG$45*CW659), N($AU$22:$AU$45&gt;$AM659))
) / 1000</f>
        <v>0</v>
      </c>
      <c r="CZ659" s="229">
        <f t="shared" si="770"/>
        <v>0</v>
      </c>
      <c r="DA659" s="246"/>
    </row>
    <row r="660" spans="1:105" s="75" customFormat="1" ht="14.25" customHeight="1" x14ac:dyDescent="0.2">
      <c r="A660" s="230" t="b">
        <f t="shared" si="737"/>
        <v>0</v>
      </c>
      <c r="B660" s="253">
        <v>639</v>
      </c>
      <c r="C660" s="266"/>
      <c r="D660" s="266"/>
      <c r="E660" s="254"/>
      <c r="F660" s="255" t="str">
        <f>IF(ISBLANK(E660), "", VLOOKUP(E660, Z!$A$2:$C$4127, 3, FALSE))</f>
        <v/>
      </c>
      <c r="G660" s="256"/>
      <c r="H660" s="256"/>
      <c r="I660" s="256"/>
      <c r="J660" s="257"/>
      <c r="K660" s="258"/>
      <c r="L660" s="267"/>
      <c r="M660" s="268"/>
      <c r="N660" s="259" t="str" cm="1">
        <f t="array" ref="N660">IF($L660&gt;0, INDEX(Clean,1+AK660,$D$1), "")</f>
        <v/>
      </c>
      <c r="O660" s="260"/>
      <c r="P660" s="260"/>
      <c r="Q660" s="261"/>
      <c r="R660" s="264">
        <f t="shared" si="746"/>
        <v>0</v>
      </c>
      <c r="S660" s="259" t="str" cm="1">
        <f t="array" ref="S660">IF($L660&gt;0, INDEX(Clean,1+AL660,$D$1), "")</f>
        <v/>
      </c>
      <c r="T660" s="260"/>
      <c r="U660" s="260"/>
      <c r="V660" s="261"/>
      <c r="W660" s="267"/>
      <c r="X660" s="267"/>
      <c r="Y660" s="257"/>
      <c r="Z660" s="264">
        <f t="shared" si="747"/>
        <v>0</v>
      </c>
      <c r="AA660" s="269"/>
      <c r="AB660" s="266"/>
      <c r="AC660" s="254"/>
      <c r="AD660" s="255" t="str">
        <f>IF(ISBLANK(AC660), "", VLOOKUP(AC660, Z!$A$2:$C$4127, 3, FALSE))</f>
        <v/>
      </c>
      <c r="AE660" s="270"/>
      <c r="AF660" s="265">
        <f t="shared" si="748"/>
        <v>0</v>
      </c>
      <c r="AG660" s="246"/>
      <c r="AH660" s="228">
        <f t="shared" si="771"/>
        <v>1</v>
      </c>
      <c r="AI660" s="228">
        <f t="shared" si="772"/>
        <v>1</v>
      </c>
      <c r="AJ660" s="228">
        <f t="shared" si="773"/>
        <v>0</v>
      </c>
      <c r="AK660" s="228">
        <v>0</v>
      </c>
      <c r="AL660" s="228">
        <v>0</v>
      </c>
      <c r="AM660" s="228">
        <f t="shared" si="749"/>
        <v>-100</v>
      </c>
      <c r="AN660" s="228" cm="1">
        <f t="array" ref="AN660">IF(ISBLANK(G660), 1, IFERROR(MATCH(G660, INDEX(Kat,,1), 0), IFERROR(MATCH(Kat, INDEX(Use,,2), 0), MATCH(Kat, INDEX(Use,,3), 0))))</f>
        <v>1</v>
      </c>
      <c r="AO660" s="246"/>
      <c r="AP660" s="228" cm="1">
        <f t="array" ref="AP660">IF(W660&gt;0, INDEX(Kat, AN660,4), 0)</f>
        <v>0</v>
      </c>
      <c r="AQ660" s="228">
        <f t="shared" si="774"/>
        <v>0</v>
      </c>
      <c r="AR660" s="228" cm="1">
        <f t="array" ref="AR660">IF(X660&gt;0, INDEX(Kat, $AN660, 4+AQ660), 0)</f>
        <v>0</v>
      </c>
      <c r="AS660" s="228" cm="1">
        <f t="array" ref="AS660">IF(X660&gt;0, INDEX(Kat, $AN660, 9+AQ660), 0)</f>
        <v>0</v>
      </c>
      <c r="AT660" s="246"/>
      <c r="AU660" s="262"/>
      <c r="AV660" s="262"/>
      <c r="AW660" s="263"/>
      <c r="AX660" s="263"/>
      <c r="AY660" s="263"/>
      <c r="AZ660" s="263"/>
      <c r="BA660" s="263"/>
      <c r="BB660" s="263"/>
      <c r="BC660" s="263"/>
      <c r="BD660" s="263"/>
      <c r="BE660" s="263"/>
      <c r="BF660" s="263"/>
      <c r="BG660" s="263"/>
      <c r="BH660" s="246"/>
      <c r="BI660" s="228" cm="1">
        <f t="array" ref="BI660">INDEX(Use, $AH660, 4)</f>
        <v>7</v>
      </c>
      <c r="BJ660" s="228">
        <f t="shared" si="750"/>
        <v>32</v>
      </c>
      <c r="BK660" s="228">
        <f t="shared" si="738"/>
        <v>13</v>
      </c>
      <c r="BL660" s="228">
        <f t="shared" si="739"/>
        <v>0</v>
      </c>
      <c r="BM660" s="233" cm="1">
        <f t="array" ref="BM660">L660/IF($M660&gt;0, INDEX($AY$22:$BE$76, $M660+20, $AH660), 1)</f>
        <v>0</v>
      </c>
      <c r="BN660" s="229">
        <f t="shared" si="751"/>
        <v>0</v>
      </c>
      <c r="BO660" s="228">
        <v>35</v>
      </c>
      <c r="BP660" s="229">
        <f t="shared" si="752"/>
        <v>48</v>
      </c>
      <c r="BQ660" s="234">
        <f t="shared" si="753"/>
        <v>3.0748170731707316</v>
      </c>
      <c r="BR660" s="234" cm="1">
        <f t="array" ref="BR660">$BM660 * SUMPRODUCT(INDEX($AV$76:$AX$81,,$AI660),INDEX($AY$76:$BE$81,,$AH660), N($AU$76:$AU$81&gt;$AM660)) / BQ660 / 1000</f>
        <v>0</v>
      </c>
      <c r="BS660" s="231">
        <f t="shared" si="740"/>
        <v>30</v>
      </c>
      <c r="BT660" s="229">
        <f t="shared" si="754"/>
        <v>43</v>
      </c>
      <c r="BU660" s="234">
        <f t="shared" si="755"/>
        <v>3.5018750000000001</v>
      </c>
      <c r="BV660" s="234" cm="1">
        <f t="array" ref="BV660">$BM660 * IF($AH660&lt;=2,
SUMPRODUCT(INDEX($AV$71:$AX$75,,$AI660), INDEX($AY$71:$BE$75,,$AH660), 1 / ($BF$71:$BF$75*BU660 + (1-$BF$71:$BF$75)*BQ660), N($AU$71:$AU$75&gt;$AM660)),
SUMPRODUCT(INDEX($AV$66:$AX$75,,$AI660), INDEX($AY$66:$BE$75,,$AH660), 1 / ($BG$66:$BG$75*BU660 + (1-$BG$66:$BG$75)*BQ660), N($AU$66:$AU$75&gt;$AM660))
) / 1000</f>
        <v>0</v>
      </c>
      <c r="BW660" s="231">
        <f t="shared" si="741"/>
        <v>25</v>
      </c>
      <c r="BX660" s="229">
        <f t="shared" si="756"/>
        <v>38</v>
      </c>
      <c r="BY660" s="234">
        <f t="shared" si="757"/>
        <v>4.0666935483870965</v>
      </c>
      <c r="BZ660" s="234" cm="1">
        <f t="array" ref="BZ660">$BM660 * IF($AH660&lt;=2,
SUMPRODUCT(INDEX($AV$66:$AX$70,,$AI660), INDEX($AY$66:$BE$70,,$AH660), 1 / ($BF$66:$BF$70*BY660 + (1-$BF$66:$BF$70)*BU660), N($AU$66:$AU$70&gt;$AM660)),
SUMPRODUCT(INDEX($AV$56:$AX$65,,$AI660), INDEX($AY$56:$BE$65,,$AH660), 1 / ($BG$56:$BG$65*BY660 + (1-$BG$56:$BG$65)*BU660), N($AU$56:$AU$65&gt;$AM660))
) / 1000</f>
        <v>0</v>
      </c>
      <c r="CA660" s="231">
        <f t="shared" si="742"/>
        <v>20</v>
      </c>
      <c r="CB660" s="229">
        <f t="shared" si="758"/>
        <v>33</v>
      </c>
      <c r="CC660" s="234">
        <f t="shared" si="759"/>
        <v>4.8487499999999999</v>
      </c>
      <c r="CD660" s="234" cm="1">
        <f t="array" ref="CD660">$BM660 * IF($AH660&lt;=2,
SUMPRODUCT(INDEX($AV$61:$AX$65,,$AI660), INDEX($AY$61:$BE$65,,$AH660), 1 / ($BF$61:$BF$65*CC660 + (1-$BF$61:$BF$65)*BY660), N($AU$61:$AU$65&gt;$AM660)),
SUMPRODUCT(INDEX($AV$46:$AX$55,,$AI660), INDEX($AY$46:$BE$55,,$AH660), 1 / ($BG$46:$BG$55*CC660 + (1-$BG$46:$BG$55)*BY660), N($AU$46:$AU$55&gt;$AM660))
) / 1000</f>
        <v>0</v>
      </c>
      <c r="CE660" s="234" cm="1">
        <f t="array" ref="CE660">$BM660 * IF($AH660&lt;=2,
SUMPRODUCT(INDEX($AV$22:$AX$60,,$AI660), INDEX($AY$22:$BE$60,,$AH660), 1 / ($BF$22:$BF$60*CC660), N($AU$22:$AU$60&gt;$AM660)),
SUMPRODUCT(INDEX($AV$22:$AX$45,,$AI660), INDEX($AY$22:$BE$45,,$AH660), 1 / ($BG$22:$BG$45*CC660), N($AU$22:$AU$45&gt;$AM660))
) / 1000</f>
        <v>0</v>
      </c>
      <c r="CF660" s="229">
        <f t="shared" si="760"/>
        <v>0</v>
      </c>
      <c r="CG660" s="246"/>
      <c r="CH660" s="229">
        <f t="shared" si="761"/>
        <v>0</v>
      </c>
      <c r="CI660" s="228">
        <v>35</v>
      </c>
      <c r="CJ660" s="229">
        <f t="shared" si="762"/>
        <v>48</v>
      </c>
      <c r="CK660" s="234">
        <f t="shared" si="763"/>
        <v>3.0748170731707316</v>
      </c>
      <c r="CL660" s="234" cm="1">
        <f t="array" ref="CL660">$BM660 * SUMPRODUCT(INDEX($AV$76:$AX$81,,$AI660),INDEX($AY$76:$BE$81,,$AH660), N($AU$76:$AU$81&gt;$AM660)) / CK660 / 1000</f>
        <v>0</v>
      </c>
      <c r="CM660" s="231">
        <f t="shared" si="743"/>
        <v>30</v>
      </c>
      <c r="CN660" s="229">
        <f t="shared" si="764"/>
        <v>43</v>
      </c>
      <c r="CO660" s="234">
        <f t="shared" si="765"/>
        <v>3.5018750000000001</v>
      </c>
      <c r="CP660" s="234" cm="1">
        <f t="array" ref="CP660">$BM660 * IF($AH660&lt;=2,
SUMPRODUCT(INDEX($AV$71:$AX$75,,$AI660), INDEX($AY$71:$BE$75,,$AH660), 1 / ($BF$71:$BF$75*CO660 + (1-$BF$71:$BF$75)*CK660), N($AU$71:$AU$75&gt;$AM660)),
SUMPRODUCT(INDEX($AV$66:$AX$75,,$AI660), INDEX($AY$66:$BE$75,,$AH660), 1 / ($BG$66:$BG$75*CO660 + (1-$BG$66:$BG$75)*CK660), N($AU$66:$AU$75&gt;$AM660))
) / 1000</f>
        <v>0</v>
      </c>
      <c r="CQ660" s="231">
        <f t="shared" si="744"/>
        <v>25</v>
      </c>
      <c r="CR660" s="229">
        <f t="shared" si="766"/>
        <v>38</v>
      </c>
      <c r="CS660" s="234">
        <f t="shared" si="767"/>
        <v>4.0666935483870965</v>
      </c>
      <c r="CT660" s="234" cm="1">
        <f t="array" ref="CT660">$BM660 * IF($AH660&lt;=2,
SUMPRODUCT(INDEX($AV$66:$AX$70,,$AI660), INDEX($AY$66:$BE$70,,$AH660), 1 / ($BF$66:$BF$70*CS660 + (1-$BF$66:$BF$70)*CO660), N($AU$66:$AU$70&gt;$AM660)),
SUMPRODUCT(INDEX($AV$56:$AX$65,,$AI660), INDEX($AY$56:$BE$65,,$AH660), 1 / ($BG$56:$BG$65*CS660 + (1-$BG$56:$BG$65)*CO660), N($AU$56:$AU$65&gt;$AM660))
) / 1000</f>
        <v>0</v>
      </c>
      <c r="CU660" s="231">
        <f t="shared" si="745"/>
        <v>20</v>
      </c>
      <c r="CV660" s="229">
        <f t="shared" si="768"/>
        <v>33</v>
      </c>
      <c r="CW660" s="234">
        <f t="shared" si="769"/>
        <v>4.8487499999999999</v>
      </c>
      <c r="CX660" s="234" cm="1">
        <f t="array" ref="CX660">$BM660 * IF($AH660&lt;=2,
SUMPRODUCT(INDEX($AV$61:$AX$65,,$AI660), INDEX($AY$61:$BE$65,,$AH660), 1 / ($BF$61:$BF$65*CW660 + (1-$BF$61:$BF$65)*CS660), N($AU$61:$AU$65&gt;$AM660)),
SUMPRODUCT(INDEX($AV$46:$AX$55,,$AI660), INDEX($AY$46:$BE$55,,$AH660), 1 / ($BG$46:$BG$55*CW660 + (1-$BG$46:$BG$55)*CS660), N($AU$46:$AU$55&gt;$AM660))
) / 1000</f>
        <v>0</v>
      </c>
      <c r="CY660" s="234" cm="1">
        <f t="array" ref="CY660">$BM660 * IF($AH660&lt;=2,
SUMPRODUCT(INDEX($AV$22:$AX$60,,$AI660), INDEX($AY$22:$BE$60,,$AH660), 1 / ($BF$22:$BF$60*CW660), N($AU$22:$AU$60&gt;$AM660)),
SUMPRODUCT(INDEX($AV$22:$AX$45,,$AI660), INDEX($AY$22:$BE$45,,$AH660), 1 / ($BG$22:$BG$45*CW660), N($AU$22:$AU$45&gt;$AM660))
) / 1000</f>
        <v>0</v>
      </c>
      <c r="CZ660" s="229">
        <f t="shared" si="770"/>
        <v>0</v>
      </c>
      <c r="DA660" s="246"/>
    </row>
    <row r="661" spans="1:105" s="75" customFormat="1" ht="14.25" customHeight="1" x14ac:dyDescent="0.2">
      <c r="A661" s="230" t="b">
        <f t="shared" ref="A661:A724" si="775">IF(OR(AND($L661&gt;80, $AH661=1), AND($L661&gt;40, $AH661=3), AND($L661&gt;30, $AH661=4),), TRUE, FALSE)</f>
        <v>0</v>
      </c>
      <c r="B661" s="253">
        <v>640</v>
      </c>
      <c r="C661" s="266"/>
      <c r="D661" s="266"/>
      <c r="E661" s="254"/>
      <c r="F661" s="255" t="str">
        <f>IF(ISBLANK(E661), "", VLOOKUP(E661, Z!$A$2:$C$4127, 3, FALSE))</f>
        <v/>
      </c>
      <c r="G661" s="256"/>
      <c r="H661" s="256"/>
      <c r="I661" s="256"/>
      <c r="J661" s="257"/>
      <c r="K661" s="258"/>
      <c r="L661" s="267"/>
      <c r="M661" s="268"/>
      <c r="N661" s="259" t="str" cm="1">
        <f t="array" ref="N661">IF($L661&gt;0, INDEX(Clean,1+AK661,$D$1), "")</f>
        <v/>
      </c>
      <c r="O661" s="260"/>
      <c r="P661" s="260"/>
      <c r="Q661" s="261"/>
      <c r="R661" s="264">
        <f t="shared" si="746"/>
        <v>0</v>
      </c>
      <c r="S661" s="259" t="str" cm="1">
        <f t="array" ref="S661">IF($L661&gt;0, INDEX(Clean,1+AL661,$D$1), "")</f>
        <v/>
      </c>
      <c r="T661" s="260"/>
      <c r="U661" s="260"/>
      <c r="V661" s="261"/>
      <c r="W661" s="267"/>
      <c r="X661" s="267"/>
      <c r="Y661" s="257"/>
      <c r="Z661" s="264">
        <f t="shared" si="747"/>
        <v>0</v>
      </c>
      <c r="AA661" s="269"/>
      <c r="AB661" s="266"/>
      <c r="AC661" s="254"/>
      <c r="AD661" s="255" t="str">
        <f>IF(ISBLANK(AC661), "", VLOOKUP(AC661, Z!$A$2:$C$4127, 3, FALSE))</f>
        <v/>
      </c>
      <c r="AE661" s="270"/>
      <c r="AF661" s="265">
        <f t="shared" si="748"/>
        <v>0</v>
      </c>
      <c r="AG661" s="246"/>
      <c r="AH661" s="228">
        <f t="shared" si="771"/>
        <v>1</v>
      </c>
      <c r="AI661" s="228">
        <f t="shared" si="772"/>
        <v>1</v>
      </c>
      <c r="AJ661" s="228">
        <f t="shared" si="773"/>
        <v>0</v>
      </c>
      <c r="AK661" s="228">
        <v>0</v>
      </c>
      <c r="AL661" s="228">
        <v>0</v>
      </c>
      <c r="AM661" s="228">
        <f t="shared" si="749"/>
        <v>-100</v>
      </c>
      <c r="AN661" s="228" cm="1">
        <f t="array" ref="AN661">IF(ISBLANK(G661), 1, IFERROR(MATCH(G661, INDEX(Kat,,1), 0), IFERROR(MATCH(Kat, INDEX(Use,,2), 0), MATCH(Kat, INDEX(Use,,3), 0))))</f>
        <v>1</v>
      </c>
      <c r="AO661" s="246"/>
      <c r="AP661" s="228" cm="1">
        <f t="array" ref="AP661">IF(W661&gt;0, INDEX(Kat, AN661,4), 0)</f>
        <v>0</v>
      </c>
      <c r="AQ661" s="228">
        <f t="shared" si="774"/>
        <v>0</v>
      </c>
      <c r="AR661" s="228" cm="1">
        <f t="array" ref="AR661">IF(X661&gt;0, INDEX(Kat, $AN661, 4+AQ661), 0)</f>
        <v>0</v>
      </c>
      <c r="AS661" s="228" cm="1">
        <f t="array" ref="AS661">IF(X661&gt;0, INDEX(Kat, $AN661, 9+AQ661), 0)</f>
        <v>0</v>
      </c>
      <c r="AT661" s="246"/>
      <c r="AU661" s="262"/>
      <c r="AV661" s="262"/>
      <c r="AW661" s="263"/>
      <c r="AX661" s="263"/>
      <c r="AY661" s="263"/>
      <c r="AZ661" s="263"/>
      <c r="BA661" s="263"/>
      <c r="BB661" s="263"/>
      <c r="BC661" s="263"/>
      <c r="BD661" s="263"/>
      <c r="BE661" s="263"/>
      <c r="BF661" s="263"/>
      <c r="BG661" s="263"/>
      <c r="BH661" s="246"/>
      <c r="BI661" s="228" cm="1">
        <f t="array" ref="BI661">INDEX(Use, $AH661, 4)</f>
        <v>7</v>
      </c>
      <c r="BJ661" s="228">
        <f t="shared" si="750"/>
        <v>32</v>
      </c>
      <c r="BK661" s="228">
        <f t="shared" si="738"/>
        <v>13</v>
      </c>
      <c r="BL661" s="228">
        <f t="shared" si="739"/>
        <v>0</v>
      </c>
      <c r="BM661" s="233" cm="1">
        <f t="array" ref="BM661">L661/IF($M661&gt;0, INDEX($AY$22:$BE$76, $M661+20, $AH661), 1)</f>
        <v>0</v>
      </c>
      <c r="BN661" s="229">
        <f t="shared" si="751"/>
        <v>0</v>
      </c>
      <c r="BO661" s="228">
        <v>35</v>
      </c>
      <c r="BP661" s="229">
        <f t="shared" si="752"/>
        <v>48</v>
      </c>
      <c r="BQ661" s="234">
        <f t="shared" si="753"/>
        <v>3.0748170731707316</v>
      </c>
      <c r="BR661" s="234" cm="1">
        <f t="array" ref="BR661">$BM661 * SUMPRODUCT(INDEX($AV$76:$AX$81,,$AI661),INDEX($AY$76:$BE$81,,$AH661), N($AU$76:$AU$81&gt;$AM661)) / BQ661 / 1000</f>
        <v>0</v>
      </c>
      <c r="BS661" s="231">
        <f t="shared" si="740"/>
        <v>30</v>
      </c>
      <c r="BT661" s="229">
        <f t="shared" si="754"/>
        <v>43</v>
      </c>
      <c r="BU661" s="234">
        <f t="shared" si="755"/>
        <v>3.5018750000000001</v>
      </c>
      <c r="BV661" s="234" cm="1">
        <f t="array" ref="BV661">$BM661 * IF($AH661&lt;=2,
SUMPRODUCT(INDEX($AV$71:$AX$75,,$AI661), INDEX($AY$71:$BE$75,,$AH661), 1 / ($BF$71:$BF$75*BU661 + (1-$BF$71:$BF$75)*BQ661), N($AU$71:$AU$75&gt;$AM661)),
SUMPRODUCT(INDEX($AV$66:$AX$75,,$AI661), INDEX($AY$66:$BE$75,,$AH661), 1 / ($BG$66:$BG$75*BU661 + (1-$BG$66:$BG$75)*BQ661), N($AU$66:$AU$75&gt;$AM661))
) / 1000</f>
        <v>0</v>
      </c>
      <c r="BW661" s="231">
        <f t="shared" si="741"/>
        <v>25</v>
      </c>
      <c r="BX661" s="229">
        <f t="shared" si="756"/>
        <v>38</v>
      </c>
      <c r="BY661" s="234">
        <f t="shared" si="757"/>
        <v>4.0666935483870965</v>
      </c>
      <c r="BZ661" s="234" cm="1">
        <f t="array" ref="BZ661">$BM661 * IF($AH661&lt;=2,
SUMPRODUCT(INDEX($AV$66:$AX$70,,$AI661), INDEX($AY$66:$BE$70,,$AH661), 1 / ($BF$66:$BF$70*BY661 + (1-$BF$66:$BF$70)*BU661), N($AU$66:$AU$70&gt;$AM661)),
SUMPRODUCT(INDEX($AV$56:$AX$65,,$AI661), INDEX($AY$56:$BE$65,,$AH661), 1 / ($BG$56:$BG$65*BY661 + (1-$BG$56:$BG$65)*BU661), N($AU$56:$AU$65&gt;$AM661))
) / 1000</f>
        <v>0</v>
      </c>
      <c r="CA661" s="231">
        <f t="shared" si="742"/>
        <v>20</v>
      </c>
      <c r="CB661" s="229">
        <f t="shared" si="758"/>
        <v>33</v>
      </c>
      <c r="CC661" s="234">
        <f t="shared" si="759"/>
        <v>4.8487499999999999</v>
      </c>
      <c r="CD661" s="234" cm="1">
        <f t="array" ref="CD661">$BM661 * IF($AH661&lt;=2,
SUMPRODUCT(INDEX($AV$61:$AX$65,,$AI661), INDEX($AY$61:$BE$65,,$AH661), 1 / ($BF$61:$BF$65*CC661 + (1-$BF$61:$BF$65)*BY661), N($AU$61:$AU$65&gt;$AM661)),
SUMPRODUCT(INDEX($AV$46:$AX$55,,$AI661), INDEX($AY$46:$BE$55,,$AH661), 1 / ($BG$46:$BG$55*CC661 + (1-$BG$46:$BG$55)*BY661), N($AU$46:$AU$55&gt;$AM661))
) / 1000</f>
        <v>0</v>
      </c>
      <c r="CE661" s="234" cm="1">
        <f t="array" ref="CE661">$BM661 * IF($AH661&lt;=2,
SUMPRODUCT(INDEX($AV$22:$AX$60,,$AI661), INDEX($AY$22:$BE$60,,$AH661), 1 / ($BF$22:$BF$60*CC661), N($AU$22:$AU$60&gt;$AM661)),
SUMPRODUCT(INDEX($AV$22:$AX$45,,$AI661), INDEX($AY$22:$BE$45,,$AH661), 1 / ($BG$22:$BG$45*CC661), N($AU$22:$AU$45&gt;$AM661))
) / 1000</f>
        <v>0</v>
      </c>
      <c r="CF661" s="229">
        <f t="shared" si="760"/>
        <v>0</v>
      </c>
      <c r="CG661" s="246"/>
      <c r="CH661" s="229">
        <f t="shared" si="761"/>
        <v>0</v>
      </c>
      <c r="CI661" s="228">
        <v>35</v>
      </c>
      <c r="CJ661" s="229">
        <f t="shared" si="762"/>
        <v>48</v>
      </c>
      <c r="CK661" s="234">
        <f t="shared" si="763"/>
        <v>3.0748170731707316</v>
      </c>
      <c r="CL661" s="234" cm="1">
        <f t="array" ref="CL661">$BM661 * SUMPRODUCT(INDEX($AV$76:$AX$81,,$AI661),INDEX($AY$76:$BE$81,,$AH661), N($AU$76:$AU$81&gt;$AM661)) / CK661 / 1000</f>
        <v>0</v>
      </c>
      <c r="CM661" s="231">
        <f t="shared" si="743"/>
        <v>30</v>
      </c>
      <c r="CN661" s="229">
        <f t="shared" si="764"/>
        <v>43</v>
      </c>
      <c r="CO661" s="234">
        <f t="shared" si="765"/>
        <v>3.5018750000000001</v>
      </c>
      <c r="CP661" s="234" cm="1">
        <f t="array" ref="CP661">$BM661 * IF($AH661&lt;=2,
SUMPRODUCT(INDEX($AV$71:$AX$75,,$AI661), INDEX($AY$71:$BE$75,,$AH661), 1 / ($BF$71:$BF$75*CO661 + (1-$BF$71:$BF$75)*CK661), N($AU$71:$AU$75&gt;$AM661)),
SUMPRODUCT(INDEX($AV$66:$AX$75,,$AI661), INDEX($AY$66:$BE$75,,$AH661), 1 / ($BG$66:$BG$75*CO661 + (1-$BG$66:$BG$75)*CK661), N($AU$66:$AU$75&gt;$AM661))
) / 1000</f>
        <v>0</v>
      </c>
      <c r="CQ661" s="231">
        <f t="shared" si="744"/>
        <v>25</v>
      </c>
      <c r="CR661" s="229">
        <f t="shared" si="766"/>
        <v>38</v>
      </c>
      <c r="CS661" s="234">
        <f t="shared" si="767"/>
        <v>4.0666935483870965</v>
      </c>
      <c r="CT661" s="234" cm="1">
        <f t="array" ref="CT661">$BM661 * IF($AH661&lt;=2,
SUMPRODUCT(INDEX($AV$66:$AX$70,,$AI661), INDEX($AY$66:$BE$70,,$AH661), 1 / ($BF$66:$BF$70*CS661 + (1-$BF$66:$BF$70)*CO661), N($AU$66:$AU$70&gt;$AM661)),
SUMPRODUCT(INDEX($AV$56:$AX$65,,$AI661), INDEX($AY$56:$BE$65,,$AH661), 1 / ($BG$56:$BG$65*CS661 + (1-$BG$56:$BG$65)*CO661), N($AU$56:$AU$65&gt;$AM661))
) / 1000</f>
        <v>0</v>
      </c>
      <c r="CU661" s="231">
        <f t="shared" si="745"/>
        <v>20</v>
      </c>
      <c r="CV661" s="229">
        <f t="shared" si="768"/>
        <v>33</v>
      </c>
      <c r="CW661" s="234">
        <f t="shared" si="769"/>
        <v>4.8487499999999999</v>
      </c>
      <c r="CX661" s="234" cm="1">
        <f t="array" ref="CX661">$BM661 * IF($AH661&lt;=2,
SUMPRODUCT(INDEX($AV$61:$AX$65,,$AI661), INDEX($AY$61:$BE$65,,$AH661), 1 / ($BF$61:$BF$65*CW661 + (1-$BF$61:$BF$65)*CS661), N($AU$61:$AU$65&gt;$AM661)),
SUMPRODUCT(INDEX($AV$46:$AX$55,,$AI661), INDEX($AY$46:$BE$55,,$AH661), 1 / ($BG$46:$BG$55*CW661 + (1-$BG$46:$BG$55)*CS661), N($AU$46:$AU$55&gt;$AM661))
) / 1000</f>
        <v>0</v>
      </c>
      <c r="CY661" s="234" cm="1">
        <f t="array" ref="CY661">$BM661 * IF($AH661&lt;=2,
SUMPRODUCT(INDEX($AV$22:$AX$60,,$AI661), INDEX($AY$22:$BE$60,,$AH661), 1 / ($BF$22:$BF$60*CW661), N($AU$22:$AU$60&gt;$AM661)),
SUMPRODUCT(INDEX($AV$22:$AX$45,,$AI661), INDEX($AY$22:$BE$45,,$AH661), 1 / ($BG$22:$BG$45*CW661), N($AU$22:$AU$45&gt;$AM661))
) / 1000</f>
        <v>0</v>
      </c>
      <c r="CZ661" s="229">
        <f t="shared" si="770"/>
        <v>0</v>
      </c>
      <c r="DA661" s="246"/>
    </row>
    <row r="662" spans="1:105" s="75" customFormat="1" ht="14.25" customHeight="1" x14ac:dyDescent="0.2">
      <c r="A662" s="230" t="b">
        <f t="shared" si="775"/>
        <v>0</v>
      </c>
      <c r="B662" s="253">
        <v>641</v>
      </c>
      <c r="C662" s="266"/>
      <c r="D662" s="266"/>
      <c r="E662" s="254"/>
      <c r="F662" s="255" t="str">
        <f>IF(ISBLANK(E662), "", VLOOKUP(E662, Z!$A$2:$C$4127, 3, FALSE))</f>
        <v/>
      </c>
      <c r="G662" s="256"/>
      <c r="H662" s="256"/>
      <c r="I662" s="256"/>
      <c r="J662" s="257"/>
      <c r="K662" s="258"/>
      <c r="L662" s="267"/>
      <c r="M662" s="268"/>
      <c r="N662" s="259" t="str" cm="1">
        <f t="array" ref="N662">IF($L662&gt;0, INDEX(Clean,1+AK662,$D$1), "")</f>
        <v/>
      </c>
      <c r="O662" s="260"/>
      <c r="P662" s="260"/>
      <c r="Q662" s="261"/>
      <c r="R662" s="264">
        <f t="shared" si="746"/>
        <v>0</v>
      </c>
      <c r="S662" s="259" t="str" cm="1">
        <f t="array" ref="S662">IF($L662&gt;0, INDEX(Clean,1+AL662,$D$1), "")</f>
        <v/>
      </c>
      <c r="T662" s="260"/>
      <c r="U662" s="260"/>
      <c r="V662" s="261"/>
      <c r="W662" s="267"/>
      <c r="X662" s="267"/>
      <c r="Y662" s="257"/>
      <c r="Z662" s="264">
        <f t="shared" si="747"/>
        <v>0</v>
      </c>
      <c r="AA662" s="269"/>
      <c r="AB662" s="266"/>
      <c r="AC662" s="254"/>
      <c r="AD662" s="255" t="str">
        <f>IF(ISBLANK(AC662), "", VLOOKUP(AC662, Z!$A$2:$C$4127, 3, FALSE))</f>
        <v/>
      </c>
      <c r="AE662" s="270"/>
      <c r="AF662" s="265">
        <f t="shared" si="748"/>
        <v>0</v>
      </c>
      <c r="AG662" s="246"/>
      <c r="AH662" s="228">
        <f t="shared" si="771"/>
        <v>1</v>
      </c>
      <c r="AI662" s="228">
        <f t="shared" si="772"/>
        <v>1</v>
      </c>
      <c r="AJ662" s="228">
        <f t="shared" si="773"/>
        <v>0</v>
      </c>
      <c r="AK662" s="228">
        <v>0</v>
      </c>
      <c r="AL662" s="228">
        <v>0</v>
      </c>
      <c r="AM662" s="228">
        <f t="shared" si="749"/>
        <v>-100</v>
      </c>
      <c r="AN662" s="228" cm="1">
        <f t="array" ref="AN662">IF(ISBLANK(G662), 1, IFERROR(MATCH(G662, INDEX(Kat,,1), 0), IFERROR(MATCH(Kat, INDEX(Use,,2), 0), MATCH(Kat, INDEX(Use,,3), 0))))</f>
        <v>1</v>
      </c>
      <c r="AO662" s="246"/>
      <c r="AP662" s="228" cm="1">
        <f t="array" ref="AP662">IF(W662&gt;0, INDEX(Kat, AN662,4), 0)</f>
        <v>0</v>
      </c>
      <c r="AQ662" s="228">
        <f t="shared" si="774"/>
        <v>0</v>
      </c>
      <c r="AR662" s="228" cm="1">
        <f t="array" ref="AR662">IF(X662&gt;0, INDEX(Kat, $AN662, 4+AQ662), 0)</f>
        <v>0</v>
      </c>
      <c r="AS662" s="228" cm="1">
        <f t="array" ref="AS662">IF(X662&gt;0, INDEX(Kat, $AN662, 9+AQ662), 0)</f>
        <v>0</v>
      </c>
      <c r="AT662" s="246"/>
      <c r="AU662" s="262"/>
      <c r="AV662" s="262"/>
      <c r="AW662" s="263"/>
      <c r="AX662" s="263"/>
      <c r="AY662" s="263"/>
      <c r="AZ662" s="263"/>
      <c r="BA662" s="263"/>
      <c r="BB662" s="263"/>
      <c r="BC662" s="263"/>
      <c r="BD662" s="263"/>
      <c r="BE662" s="263"/>
      <c r="BF662" s="263"/>
      <c r="BG662" s="263"/>
      <c r="BH662" s="246"/>
      <c r="BI662" s="228" cm="1">
        <f t="array" ref="BI662">INDEX(Use, $AH662, 4)</f>
        <v>7</v>
      </c>
      <c r="BJ662" s="228">
        <f t="shared" si="750"/>
        <v>32</v>
      </c>
      <c r="BK662" s="228">
        <f t="shared" ref="BK662:BK725" si="776">IF($AJ662=1, 6, IF($AH662=4, 10, 13))</f>
        <v>13</v>
      </c>
      <c r="BL662" s="228">
        <f t="shared" ref="BL662:BL725" si="777">IF($AJ662=1, 9, 0)</f>
        <v>0</v>
      </c>
      <c r="BM662" s="233" cm="1">
        <f t="array" ref="BM662">L662/IF($M662&gt;0, INDEX($AY$22:$BE$76, $M662+20, $AH662), 1)</f>
        <v>0</v>
      </c>
      <c r="BN662" s="229">
        <f t="shared" si="751"/>
        <v>0</v>
      </c>
      <c r="BO662" s="228">
        <v>35</v>
      </c>
      <c r="BP662" s="229">
        <f t="shared" si="752"/>
        <v>48</v>
      </c>
      <c r="BQ662" s="234">
        <f t="shared" si="753"/>
        <v>3.0748170731707316</v>
      </c>
      <c r="BR662" s="234" cm="1">
        <f t="array" ref="BR662">$BM662 * SUMPRODUCT(INDEX($AV$76:$AX$81,,$AI662),INDEX($AY$76:$BE$81,,$AH662), N($AU$76:$AU$81&gt;$AM662)) / BQ662 / 1000</f>
        <v>0</v>
      </c>
      <c r="BS662" s="231">
        <f t="shared" ref="BS662:BS725" si="778">IF($AH662&lt;=2, 30, 25)</f>
        <v>30</v>
      </c>
      <c r="BT662" s="229">
        <f t="shared" si="754"/>
        <v>43</v>
      </c>
      <c r="BU662" s="234">
        <f t="shared" si="755"/>
        <v>3.5018750000000001</v>
      </c>
      <c r="BV662" s="234" cm="1">
        <f t="array" ref="BV662">$BM662 * IF($AH662&lt;=2,
SUMPRODUCT(INDEX($AV$71:$AX$75,,$AI662), INDEX($AY$71:$BE$75,,$AH662), 1 / ($BF$71:$BF$75*BU662 + (1-$BF$71:$BF$75)*BQ662), N($AU$71:$AU$75&gt;$AM662)),
SUMPRODUCT(INDEX($AV$66:$AX$75,,$AI662), INDEX($AY$66:$BE$75,,$AH662), 1 / ($BG$66:$BG$75*BU662 + (1-$BG$66:$BG$75)*BQ662), N($AU$66:$AU$75&gt;$AM662))
) / 1000</f>
        <v>0</v>
      </c>
      <c r="BW662" s="231">
        <f t="shared" ref="BW662:BW725" si="779">IF($AH662&lt;=2, 25, 15)</f>
        <v>25</v>
      </c>
      <c r="BX662" s="229">
        <f t="shared" si="756"/>
        <v>38</v>
      </c>
      <c r="BY662" s="234">
        <f t="shared" si="757"/>
        <v>4.0666935483870965</v>
      </c>
      <c r="BZ662" s="234" cm="1">
        <f t="array" ref="BZ662">$BM662 * IF($AH662&lt;=2,
SUMPRODUCT(INDEX($AV$66:$AX$70,,$AI662), INDEX($AY$66:$BE$70,,$AH662), 1 / ($BF$66:$BF$70*BY662 + (1-$BF$66:$BF$70)*BU662), N($AU$66:$AU$70&gt;$AM662)),
SUMPRODUCT(INDEX($AV$56:$AX$65,,$AI662), INDEX($AY$56:$BE$65,,$AH662), 1 / ($BG$56:$BG$65*BY662 + (1-$BG$56:$BG$65)*BU662), N($AU$56:$AU$65&gt;$AM662))
) / 1000</f>
        <v>0</v>
      </c>
      <c r="CA662" s="231">
        <f t="shared" ref="CA662:CA725" si="780">IF($AH662&lt;=2, 20, 5)</f>
        <v>20</v>
      </c>
      <c r="CB662" s="229">
        <f t="shared" si="758"/>
        <v>33</v>
      </c>
      <c r="CC662" s="234">
        <f t="shared" si="759"/>
        <v>4.8487499999999999</v>
      </c>
      <c r="CD662" s="234" cm="1">
        <f t="array" ref="CD662">$BM662 * IF($AH662&lt;=2,
SUMPRODUCT(INDEX($AV$61:$AX$65,,$AI662), INDEX($AY$61:$BE$65,,$AH662), 1 / ($BF$61:$BF$65*CC662 + (1-$BF$61:$BF$65)*BY662), N($AU$61:$AU$65&gt;$AM662)),
SUMPRODUCT(INDEX($AV$46:$AX$55,,$AI662), INDEX($AY$46:$BE$55,,$AH662), 1 / ($BG$46:$BG$55*CC662 + (1-$BG$46:$BG$55)*BY662), N($AU$46:$AU$55&gt;$AM662))
) / 1000</f>
        <v>0</v>
      </c>
      <c r="CE662" s="234" cm="1">
        <f t="array" ref="CE662">$BM662 * IF($AH662&lt;=2,
SUMPRODUCT(INDEX($AV$22:$AX$60,,$AI662), INDEX($AY$22:$BE$60,,$AH662), 1 / ($BF$22:$BF$60*CC662), N($AU$22:$AU$60&gt;$AM662)),
SUMPRODUCT(INDEX($AV$22:$AX$45,,$AI662), INDEX($AY$22:$BE$45,,$AH662), 1 / ($BG$22:$BG$45*CC662), N($AU$22:$AU$45&gt;$AM662))
) / 1000</f>
        <v>0</v>
      </c>
      <c r="CF662" s="229">
        <f t="shared" si="760"/>
        <v>0</v>
      </c>
      <c r="CG662" s="246"/>
      <c r="CH662" s="229">
        <f t="shared" si="761"/>
        <v>0</v>
      </c>
      <c r="CI662" s="228">
        <v>35</v>
      </c>
      <c r="CJ662" s="229">
        <f t="shared" si="762"/>
        <v>48</v>
      </c>
      <c r="CK662" s="234">
        <f t="shared" si="763"/>
        <v>3.0748170731707316</v>
      </c>
      <c r="CL662" s="234" cm="1">
        <f t="array" ref="CL662">$BM662 * SUMPRODUCT(INDEX($AV$76:$AX$81,,$AI662),INDEX($AY$76:$BE$81,,$AH662), N($AU$76:$AU$81&gt;$AM662)) / CK662 / 1000</f>
        <v>0</v>
      </c>
      <c r="CM662" s="231">
        <f t="shared" ref="CM662:CM725" si="781">IF($AH662&lt;=2, 30, 25)</f>
        <v>30</v>
      </c>
      <c r="CN662" s="229">
        <f t="shared" si="764"/>
        <v>43</v>
      </c>
      <c r="CO662" s="234">
        <f t="shared" si="765"/>
        <v>3.5018750000000001</v>
      </c>
      <c r="CP662" s="234" cm="1">
        <f t="array" ref="CP662">$BM662 * IF($AH662&lt;=2,
SUMPRODUCT(INDEX($AV$71:$AX$75,,$AI662), INDEX($AY$71:$BE$75,,$AH662), 1 / ($BF$71:$BF$75*CO662 + (1-$BF$71:$BF$75)*CK662), N($AU$71:$AU$75&gt;$AM662)),
SUMPRODUCT(INDEX($AV$66:$AX$75,,$AI662), INDEX($AY$66:$BE$75,,$AH662), 1 / ($BG$66:$BG$75*CO662 + (1-$BG$66:$BG$75)*CK662), N($AU$66:$AU$75&gt;$AM662))
) / 1000</f>
        <v>0</v>
      </c>
      <c r="CQ662" s="231">
        <f t="shared" ref="CQ662:CQ725" si="782">IF($AH662&lt;=2, 25, 15)</f>
        <v>25</v>
      </c>
      <c r="CR662" s="229">
        <f t="shared" si="766"/>
        <v>38</v>
      </c>
      <c r="CS662" s="234">
        <f t="shared" si="767"/>
        <v>4.0666935483870965</v>
      </c>
      <c r="CT662" s="234" cm="1">
        <f t="array" ref="CT662">$BM662 * IF($AH662&lt;=2,
SUMPRODUCT(INDEX($AV$66:$AX$70,,$AI662), INDEX($AY$66:$BE$70,,$AH662), 1 / ($BF$66:$BF$70*CS662 + (1-$BF$66:$BF$70)*CO662), N($AU$66:$AU$70&gt;$AM662)),
SUMPRODUCT(INDEX($AV$56:$AX$65,,$AI662), INDEX($AY$56:$BE$65,,$AH662), 1 / ($BG$56:$BG$65*CS662 + (1-$BG$56:$BG$65)*CO662), N($AU$56:$AU$65&gt;$AM662))
) / 1000</f>
        <v>0</v>
      </c>
      <c r="CU662" s="231">
        <f t="shared" ref="CU662:CU725" si="783">IF($AH662&lt;=2, 20, 5)</f>
        <v>20</v>
      </c>
      <c r="CV662" s="229">
        <f t="shared" si="768"/>
        <v>33</v>
      </c>
      <c r="CW662" s="234">
        <f t="shared" si="769"/>
        <v>4.8487499999999999</v>
      </c>
      <c r="CX662" s="234" cm="1">
        <f t="array" ref="CX662">$BM662 * IF($AH662&lt;=2,
SUMPRODUCT(INDEX($AV$61:$AX$65,,$AI662), INDEX($AY$61:$BE$65,,$AH662), 1 / ($BF$61:$BF$65*CW662 + (1-$BF$61:$BF$65)*CS662), N($AU$61:$AU$65&gt;$AM662)),
SUMPRODUCT(INDEX($AV$46:$AX$55,,$AI662), INDEX($AY$46:$BE$55,,$AH662), 1 / ($BG$46:$BG$55*CW662 + (1-$BG$46:$BG$55)*CS662), N($AU$46:$AU$55&gt;$AM662))
) / 1000</f>
        <v>0</v>
      </c>
      <c r="CY662" s="234" cm="1">
        <f t="array" ref="CY662">$BM662 * IF($AH662&lt;=2,
SUMPRODUCT(INDEX($AV$22:$AX$60,,$AI662), INDEX($AY$22:$BE$60,,$AH662), 1 / ($BF$22:$BF$60*CW662), N($AU$22:$AU$60&gt;$AM662)),
SUMPRODUCT(INDEX($AV$22:$AX$45,,$AI662), INDEX($AY$22:$BE$45,,$AH662), 1 / ($BG$22:$BG$45*CW662), N($AU$22:$AU$45&gt;$AM662))
) / 1000</f>
        <v>0</v>
      </c>
      <c r="CZ662" s="229">
        <f t="shared" si="770"/>
        <v>0</v>
      </c>
      <c r="DA662" s="246"/>
    </row>
    <row r="663" spans="1:105" s="75" customFormat="1" ht="14.25" customHeight="1" x14ac:dyDescent="0.2">
      <c r="A663" s="230" t="b">
        <f t="shared" si="775"/>
        <v>0</v>
      </c>
      <c r="B663" s="253">
        <v>642</v>
      </c>
      <c r="C663" s="266"/>
      <c r="D663" s="266"/>
      <c r="E663" s="254"/>
      <c r="F663" s="255" t="str">
        <f>IF(ISBLANK(E663), "", VLOOKUP(E663, Z!$A$2:$C$4127, 3, FALSE))</f>
        <v/>
      </c>
      <c r="G663" s="256"/>
      <c r="H663" s="256"/>
      <c r="I663" s="256"/>
      <c r="J663" s="257"/>
      <c r="K663" s="258"/>
      <c r="L663" s="267"/>
      <c r="M663" s="268"/>
      <c r="N663" s="259" t="str" cm="1">
        <f t="array" ref="N663">IF($L663&gt;0, INDEX(Clean,1+AK663,$D$1), "")</f>
        <v/>
      </c>
      <c r="O663" s="260"/>
      <c r="P663" s="260"/>
      <c r="Q663" s="261"/>
      <c r="R663" s="264">
        <f t="shared" si="746"/>
        <v>0</v>
      </c>
      <c r="S663" s="259" t="str" cm="1">
        <f t="array" ref="S663">IF($L663&gt;0, INDEX(Clean,1+AL663,$D$1), "")</f>
        <v/>
      </c>
      <c r="T663" s="260"/>
      <c r="U663" s="260"/>
      <c r="V663" s="261"/>
      <c r="W663" s="267"/>
      <c r="X663" s="267"/>
      <c r="Y663" s="257"/>
      <c r="Z663" s="264">
        <f t="shared" si="747"/>
        <v>0</v>
      </c>
      <c r="AA663" s="269"/>
      <c r="AB663" s="266"/>
      <c r="AC663" s="254"/>
      <c r="AD663" s="255" t="str">
        <f>IF(ISBLANK(AC663), "", VLOOKUP(AC663, Z!$A$2:$C$4127, 3, FALSE))</f>
        <v/>
      </c>
      <c r="AE663" s="270"/>
      <c r="AF663" s="265">
        <f t="shared" si="748"/>
        <v>0</v>
      </c>
      <c r="AG663" s="246"/>
      <c r="AH663" s="228">
        <f t="shared" si="771"/>
        <v>1</v>
      </c>
      <c r="AI663" s="228">
        <f t="shared" si="772"/>
        <v>1</v>
      </c>
      <c r="AJ663" s="228">
        <f t="shared" si="773"/>
        <v>0</v>
      </c>
      <c r="AK663" s="228">
        <v>0</v>
      </c>
      <c r="AL663" s="228">
        <v>0</v>
      </c>
      <c r="AM663" s="228">
        <f t="shared" si="749"/>
        <v>-100</v>
      </c>
      <c r="AN663" s="228" cm="1">
        <f t="array" ref="AN663">IF(ISBLANK(G663), 1, IFERROR(MATCH(G663, INDEX(Kat,,1), 0), IFERROR(MATCH(Kat, INDEX(Use,,2), 0), MATCH(Kat, INDEX(Use,,3), 0))))</f>
        <v>1</v>
      </c>
      <c r="AO663" s="246"/>
      <c r="AP663" s="228" cm="1">
        <f t="array" ref="AP663">IF(W663&gt;0, INDEX(Kat, AN663,4), 0)</f>
        <v>0</v>
      </c>
      <c r="AQ663" s="228">
        <f t="shared" si="774"/>
        <v>0</v>
      </c>
      <c r="AR663" s="228" cm="1">
        <f t="array" ref="AR663">IF(X663&gt;0, INDEX(Kat, $AN663, 4+AQ663), 0)</f>
        <v>0</v>
      </c>
      <c r="AS663" s="228" cm="1">
        <f t="array" ref="AS663">IF(X663&gt;0, INDEX(Kat, $AN663, 9+AQ663), 0)</f>
        <v>0</v>
      </c>
      <c r="AT663" s="246"/>
      <c r="AU663" s="262"/>
      <c r="AV663" s="262"/>
      <c r="AW663" s="263"/>
      <c r="AX663" s="263"/>
      <c r="AY663" s="263"/>
      <c r="AZ663" s="263"/>
      <c r="BA663" s="263"/>
      <c r="BB663" s="263"/>
      <c r="BC663" s="263"/>
      <c r="BD663" s="263"/>
      <c r="BE663" s="263"/>
      <c r="BF663" s="263"/>
      <c r="BG663" s="263"/>
      <c r="BH663" s="246"/>
      <c r="BI663" s="228" cm="1">
        <f t="array" ref="BI663">INDEX(Use, $AH663, 4)</f>
        <v>7</v>
      </c>
      <c r="BJ663" s="228">
        <f t="shared" si="750"/>
        <v>32</v>
      </c>
      <c r="BK663" s="228">
        <f t="shared" si="776"/>
        <v>13</v>
      </c>
      <c r="BL663" s="228">
        <f t="shared" si="777"/>
        <v>0</v>
      </c>
      <c r="BM663" s="233" cm="1">
        <f t="array" ref="BM663">L663/IF($M663&gt;0, INDEX($AY$22:$BE$76, $M663+20, $AH663), 1)</f>
        <v>0</v>
      </c>
      <c r="BN663" s="229">
        <f t="shared" si="751"/>
        <v>0</v>
      </c>
      <c r="BO663" s="228">
        <v>35</v>
      </c>
      <c r="BP663" s="229">
        <f t="shared" si="752"/>
        <v>48</v>
      </c>
      <c r="BQ663" s="234">
        <f t="shared" si="753"/>
        <v>3.0748170731707316</v>
      </c>
      <c r="BR663" s="234" cm="1">
        <f t="array" ref="BR663">$BM663 * SUMPRODUCT(INDEX($AV$76:$AX$81,,$AI663),INDEX($AY$76:$BE$81,,$AH663), N($AU$76:$AU$81&gt;$AM663)) / BQ663 / 1000</f>
        <v>0</v>
      </c>
      <c r="BS663" s="231">
        <f t="shared" si="778"/>
        <v>30</v>
      </c>
      <c r="BT663" s="229">
        <f t="shared" si="754"/>
        <v>43</v>
      </c>
      <c r="BU663" s="234">
        <f t="shared" si="755"/>
        <v>3.5018750000000001</v>
      </c>
      <c r="BV663" s="234" cm="1">
        <f t="array" ref="BV663">$BM663 * IF($AH663&lt;=2,
SUMPRODUCT(INDEX($AV$71:$AX$75,,$AI663), INDEX($AY$71:$BE$75,,$AH663), 1 / ($BF$71:$BF$75*BU663 + (1-$BF$71:$BF$75)*BQ663), N($AU$71:$AU$75&gt;$AM663)),
SUMPRODUCT(INDEX($AV$66:$AX$75,,$AI663), INDEX($AY$66:$BE$75,,$AH663), 1 / ($BG$66:$BG$75*BU663 + (1-$BG$66:$BG$75)*BQ663), N($AU$66:$AU$75&gt;$AM663))
) / 1000</f>
        <v>0</v>
      </c>
      <c r="BW663" s="231">
        <f t="shared" si="779"/>
        <v>25</v>
      </c>
      <c r="BX663" s="229">
        <f t="shared" si="756"/>
        <v>38</v>
      </c>
      <c r="BY663" s="234">
        <f t="shared" si="757"/>
        <v>4.0666935483870965</v>
      </c>
      <c r="BZ663" s="234" cm="1">
        <f t="array" ref="BZ663">$BM663 * IF($AH663&lt;=2,
SUMPRODUCT(INDEX($AV$66:$AX$70,,$AI663), INDEX($AY$66:$BE$70,,$AH663), 1 / ($BF$66:$BF$70*BY663 + (1-$BF$66:$BF$70)*BU663), N($AU$66:$AU$70&gt;$AM663)),
SUMPRODUCT(INDEX($AV$56:$AX$65,,$AI663), INDEX($AY$56:$BE$65,,$AH663), 1 / ($BG$56:$BG$65*BY663 + (1-$BG$56:$BG$65)*BU663), N($AU$56:$AU$65&gt;$AM663))
) / 1000</f>
        <v>0</v>
      </c>
      <c r="CA663" s="231">
        <f t="shared" si="780"/>
        <v>20</v>
      </c>
      <c r="CB663" s="229">
        <f t="shared" si="758"/>
        <v>33</v>
      </c>
      <c r="CC663" s="234">
        <f t="shared" si="759"/>
        <v>4.8487499999999999</v>
      </c>
      <c r="CD663" s="234" cm="1">
        <f t="array" ref="CD663">$BM663 * IF($AH663&lt;=2,
SUMPRODUCT(INDEX($AV$61:$AX$65,,$AI663), INDEX($AY$61:$BE$65,,$AH663), 1 / ($BF$61:$BF$65*CC663 + (1-$BF$61:$BF$65)*BY663), N($AU$61:$AU$65&gt;$AM663)),
SUMPRODUCT(INDEX($AV$46:$AX$55,,$AI663), INDEX($AY$46:$BE$55,,$AH663), 1 / ($BG$46:$BG$55*CC663 + (1-$BG$46:$BG$55)*BY663), N($AU$46:$AU$55&gt;$AM663))
) / 1000</f>
        <v>0</v>
      </c>
      <c r="CE663" s="234" cm="1">
        <f t="array" ref="CE663">$BM663 * IF($AH663&lt;=2,
SUMPRODUCT(INDEX($AV$22:$AX$60,,$AI663), INDEX($AY$22:$BE$60,,$AH663), 1 / ($BF$22:$BF$60*CC663), N($AU$22:$AU$60&gt;$AM663)),
SUMPRODUCT(INDEX($AV$22:$AX$45,,$AI663), INDEX($AY$22:$BE$45,,$AH663), 1 / ($BG$22:$BG$45*CC663), N($AU$22:$AU$45&gt;$AM663))
) / 1000</f>
        <v>0</v>
      </c>
      <c r="CF663" s="229">
        <f t="shared" si="760"/>
        <v>0</v>
      </c>
      <c r="CG663" s="246"/>
      <c r="CH663" s="229">
        <f t="shared" si="761"/>
        <v>0</v>
      </c>
      <c r="CI663" s="228">
        <v>35</v>
      </c>
      <c r="CJ663" s="229">
        <f t="shared" si="762"/>
        <v>48</v>
      </c>
      <c r="CK663" s="234">
        <f t="shared" si="763"/>
        <v>3.0748170731707316</v>
      </c>
      <c r="CL663" s="234" cm="1">
        <f t="array" ref="CL663">$BM663 * SUMPRODUCT(INDEX($AV$76:$AX$81,,$AI663),INDEX($AY$76:$BE$81,,$AH663), N($AU$76:$AU$81&gt;$AM663)) / CK663 / 1000</f>
        <v>0</v>
      </c>
      <c r="CM663" s="231">
        <f t="shared" si="781"/>
        <v>30</v>
      </c>
      <c r="CN663" s="229">
        <f t="shared" si="764"/>
        <v>43</v>
      </c>
      <c r="CO663" s="234">
        <f t="shared" si="765"/>
        <v>3.5018750000000001</v>
      </c>
      <c r="CP663" s="234" cm="1">
        <f t="array" ref="CP663">$BM663 * IF($AH663&lt;=2,
SUMPRODUCT(INDEX($AV$71:$AX$75,,$AI663), INDEX($AY$71:$BE$75,,$AH663), 1 / ($BF$71:$BF$75*CO663 + (1-$BF$71:$BF$75)*CK663), N($AU$71:$AU$75&gt;$AM663)),
SUMPRODUCT(INDEX($AV$66:$AX$75,,$AI663), INDEX($AY$66:$BE$75,,$AH663), 1 / ($BG$66:$BG$75*CO663 + (1-$BG$66:$BG$75)*CK663), N($AU$66:$AU$75&gt;$AM663))
) / 1000</f>
        <v>0</v>
      </c>
      <c r="CQ663" s="231">
        <f t="shared" si="782"/>
        <v>25</v>
      </c>
      <c r="CR663" s="229">
        <f t="shared" si="766"/>
        <v>38</v>
      </c>
      <c r="CS663" s="234">
        <f t="shared" si="767"/>
        <v>4.0666935483870965</v>
      </c>
      <c r="CT663" s="234" cm="1">
        <f t="array" ref="CT663">$BM663 * IF($AH663&lt;=2,
SUMPRODUCT(INDEX($AV$66:$AX$70,,$AI663), INDEX($AY$66:$BE$70,,$AH663), 1 / ($BF$66:$BF$70*CS663 + (1-$BF$66:$BF$70)*CO663), N($AU$66:$AU$70&gt;$AM663)),
SUMPRODUCT(INDEX($AV$56:$AX$65,,$AI663), INDEX($AY$56:$BE$65,,$AH663), 1 / ($BG$56:$BG$65*CS663 + (1-$BG$56:$BG$65)*CO663), N($AU$56:$AU$65&gt;$AM663))
) / 1000</f>
        <v>0</v>
      </c>
      <c r="CU663" s="231">
        <f t="shared" si="783"/>
        <v>20</v>
      </c>
      <c r="CV663" s="229">
        <f t="shared" si="768"/>
        <v>33</v>
      </c>
      <c r="CW663" s="234">
        <f t="shared" si="769"/>
        <v>4.8487499999999999</v>
      </c>
      <c r="CX663" s="234" cm="1">
        <f t="array" ref="CX663">$BM663 * IF($AH663&lt;=2,
SUMPRODUCT(INDEX($AV$61:$AX$65,,$AI663), INDEX($AY$61:$BE$65,,$AH663), 1 / ($BF$61:$BF$65*CW663 + (1-$BF$61:$BF$65)*CS663), N($AU$61:$AU$65&gt;$AM663)),
SUMPRODUCT(INDEX($AV$46:$AX$55,,$AI663), INDEX($AY$46:$BE$55,,$AH663), 1 / ($BG$46:$BG$55*CW663 + (1-$BG$46:$BG$55)*CS663), N($AU$46:$AU$55&gt;$AM663))
) / 1000</f>
        <v>0</v>
      </c>
      <c r="CY663" s="234" cm="1">
        <f t="array" ref="CY663">$BM663 * IF($AH663&lt;=2,
SUMPRODUCT(INDEX($AV$22:$AX$60,,$AI663), INDEX($AY$22:$BE$60,,$AH663), 1 / ($BF$22:$BF$60*CW663), N($AU$22:$AU$60&gt;$AM663)),
SUMPRODUCT(INDEX($AV$22:$AX$45,,$AI663), INDEX($AY$22:$BE$45,,$AH663), 1 / ($BG$22:$BG$45*CW663), N($AU$22:$AU$45&gt;$AM663))
) / 1000</f>
        <v>0</v>
      </c>
      <c r="CZ663" s="229">
        <f t="shared" si="770"/>
        <v>0</v>
      </c>
      <c r="DA663" s="246"/>
    </row>
    <row r="664" spans="1:105" s="75" customFormat="1" ht="14.25" customHeight="1" x14ac:dyDescent="0.2">
      <c r="A664" s="230" t="b">
        <f t="shared" si="775"/>
        <v>0</v>
      </c>
      <c r="B664" s="253">
        <v>643</v>
      </c>
      <c r="C664" s="266"/>
      <c r="D664" s="266"/>
      <c r="E664" s="254"/>
      <c r="F664" s="255" t="str">
        <f>IF(ISBLANK(E664), "", VLOOKUP(E664, Z!$A$2:$C$4127, 3, FALSE))</f>
        <v/>
      </c>
      <c r="G664" s="256"/>
      <c r="H664" s="256"/>
      <c r="I664" s="256"/>
      <c r="J664" s="257"/>
      <c r="K664" s="258"/>
      <c r="L664" s="267"/>
      <c r="M664" s="268"/>
      <c r="N664" s="259" t="str" cm="1">
        <f t="array" ref="N664">IF($L664&gt;0, INDEX(Clean,1+AK664,$D$1), "")</f>
        <v/>
      </c>
      <c r="O664" s="260"/>
      <c r="P664" s="260"/>
      <c r="Q664" s="261"/>
      <c r="R664" s="264">
        <f t="shared" si="746"/>
        <v>0</v>
      </c>
      <c r="S664" s="259" t="str" cm="1">
        <f t="array" ref="S664">IF($L664&gt;0, INDEX(Clean,1+AL664,$D$1), "")</f>
        <v/>
      </c>
      <c r="T664" s="260"/>
      <c r="U664" s="260"/>
      <c r="V664" s="261"/>
      <c r="W664" s="267"/>
      <c r="X664" s="267"/>
      <c r="Y664" s="257"/>
      <c r="Z664" s="264">
        <f t="shared" si="747"/>
        <v>0</v>
      </c>
      <c r="AA664" s="269"/>
      <c r="AB664" s="266"/>
      <c r="AC664" s="254"/>
      <c r="AD664" s="255" t="str">
        <f>IF(ISBLANK(AC664), "", VLOOKUP(AC664, Z!$A$2:$C$4127, 3, FALSE))</f>
        <v/>
      </c>
      <c r="AE664" s="270"/>
      <c r="AF664" s="265">
        <f t="shared" si="748"/>
        <v>0</v>
      </c>
      <c r="AG664" s="246"/>
      <c r="AH664" s="228">
        <f t="shared" si="771"/>
        <v>1</v>
      </c>
      <c r="AI664" s="228">
        <f t="shared" si="772"/>
        <v>1</v>
      </c>
      <c r="AJ664" s="228">
        <f t="shared" si="773"/>
        <v>0</v>
      </c>
      <c r="AK664" s="228">
        <v>0</v>
      </c>
      <c r="AL664" s="228">
        <v>0</v>
      </c>
      <c r="AM664" s="228">
        <f t="shared" si="749"/>
        <v>-100</v>
      </c>
      <c r="AN664" s="228" cm="1">
        <f t="array" ref="AN664">IF(ISBLANK(G664), 1, IFERROR(MATCH(G664, INDEX(Kat,,1), 0), IFERROR(MATCH(Kat, INDEX(Use,,2), 0), MATCH(Kat, INDEX(Use,,3), 0))))</f>
        <v>1</v>
      </c>
      <c r="AO664" s="246"/>
      <c r="AP664" s="228" cm="1">
        <f t="array" ref="AP664">IF(W664&gt;0, INDEX(Kat, AN664,4), 0)</f>
        <v>0</v>
      </c>
      <c r="AQ664" s="228">
        <f t="shared" si="774"/>
        <v>0</v>
      </c>
      <c r="AR664" s="228" cm="1">
        <f t="array" ref="AR664">IF(X664&gt;0, INDEX(Kat, $AN664, 4+AQ664), 0)</f>
        <v>0</v>
      </c>
      <c r="AS664" s="228" cm="1">
        <f t="array" ref="AS664">IF(X664&gt;0, INDEX(Kat, $AN664, 9+AQ664), 0)</f>
        <v>0</v>
      </c>
      <c r="AT664" s="246"/>
      <c r="AU664" s="262"/>
      <c r="AV664" s="262"/>
      <c r="AW664" s="263"/>
      <c r="AX664" s="263"/>
      <c r="AY664" s="263"/>
      <c r="AZ664" s="263"/>
      <c r="BA664" s="263"/>
      <c r="BB664" s="263"/>
      <c r="BC664" s="263"/>
      <c r="BD664" s="263"/>
      <c r="BE664" s="263"/>
      <c r="BF664" s="263"/>
      <c r="BG664" s="263"/>
      <c r="BH664" s="246"/>
      <c r="BI664" s="228" cm="1">
        <f t="array" ref="BI664">INDEX(Use, $AH664, 4)</f>
        <v>7</v>
      </c>
      <c r="BJ664" s="228">
        <f t="shared" si="750"/>
        <v>32</v>
      </c>
      <c r="BK664" s="228">
        <f t="shared" si="776"/>
        <v>13</v>
      </c>
      <c r="BL664" s="228">
        <f t="shared" si="777"/>
        <v>0</v>
      </c>
      <c r="BM664" s="233" cm="1">
        <f t="array" ref="BM664">L664/IF($M664&gt;0, INDEX($AY$22:$BE$76, $M664+20, $AH664), 1)</f>
        <v>0</v>
      </c>
      <c r="BN664" s="229">
        <f t="shared" si="751"/>
        <v>0</v>
      </c>
      <c r="BO664" s="228">
        <v>35</v>
      </c>
      <c r="BP664" s="229">
        <f t="shared" si="752"/>
        <v>48</v>
      </c>
      <c r="BQ664" s="234">
        <f t="shared" si="753"/>
        <v>3.0748170731707316</v>
      </c>
      <c r="BR664" s="234" cm="1">
        <f t="array" ref="BR664">$BM664 * SUMPRODUCT(INDEX($AV$76:$AX$81,,$AI664),INDEX($AY$76:$BE$81,,$AH664), N($AU$76:$AU$81&gt;$AM664)) / BQ664 / 1000</f>
        <v>0</v>
      </c>
      <c r="BS664" s="231">
        <f t="shared" si="778"/>
        <v>30</v>
      </c>
      <c r="BT664" s="229">
        <f t="shared" si="754"/>
        <v>43</v>
      </c>
      <c r="BU664" s="234">
        <f t="shared" si="755"/>
        <v>3.5018750000000001</v>
      </c>
      <c r="BV664" s="234" cm="1">
        <f t="array" ref="BV664">$BM664 * IF($AH664&lt;=2,
SUMPRODUCT(INDEX($AV$71:$AX$75,,$AI664), INDEX($AY$71:$BE$75,,$AH664), 1 / ($BF$71:$BF$75*BU664 + (1-$BF$71:$BF$75)*BQ664), N($AU$71:$AU$75&gt;$AM664)),
SUMPRODUCT(INDEX($AV$66:$AX$75,,$AI664), INDEX($AY$66:$BE$75,,$AH664), 1 / ($BG$66:$BG$75*BU664 + (1-$BG$66:$BG$75)*BQ664), N($AU$66:$AU$75&gt;$AM664))
) / 1000</f>
        <v>0</v>
      </c>
      <c r="BW664" s="231">
        <f t="shared" si="779"/>
        <v>25</v>
      </c>
      <c r="BX664" s="229">
        <f t="shared" si="756"/>
        <v>38</v>
      </c>
      <c r="BY664" s="234">
        <f t="shared" si="757"/>
        <v>4.0666935483870965</v>
      </c>
      <c r="BZ664" s="234" cm="1">
        <f t="array" ref="BZ664">$BM664 * IF($AH664&lt;=2,
SUMPRODUCT(INDEX($AV$66:$AX$70,,$AI664), INDEX($AY$66:$BE$70,,$AH664), 1 / ($BF$66:$BF$70*BY664 + (1-$BF$66:$BF$70)*BU664), N($AU$66:$AU$70&gt;$AM664)),
SUMPRODUCT(INDEX($AV$56:$AX$65,,$AI664), INDEX($AY$56:$BE$65,,$AH664), 1 / ($BG$56:$BG$65*BY664 + (1-$BG$56:$BG$65)*BU664), N($AU$56:$AU$65&gt;$AM664))
) / 1000</f>
        <v>0</v>
      </c>
      <c r="CA664" s="231">
        <f t="shared" si="780"/>
        <v>20</v>
      </c>
      <c r="CB664" s="229">
        <f t="shared" si="758"/>
        <v>33</v>
      </c>
      <c r="CC664" s="234">
        <f t="shared" si="759"/>
        <v>4.8487499999999999</v>
      </c>
      <c r="CD664" s="234" cm="1">
        <f t="array" ref="CD664">$BM664 * IF($AH664&lt;=2,
SUMPRODUCT(INDEX($AV$61:$AX$65,,$AI664), INDEX($AY$61:$BE$65,,$AH664), 1 / ($BF$61:$BF$65*CC664 + (1-$BF$61:$BF$65)*BY664), N($AU$61:$AU$65&gt;$AM664)),
SUMPRODUCT(INDEX($AV$46:$AX$55,,$AI664), INDEX($AY$46:$BE$55,,$AH664), 1 / ($BG$46:$BG$55*CC664 + (1-$BG$46:$BG$55)*BY664), N($AU$46:$AU$55&gt;$AM664))
) / 1000</f>
        <v>0</v>
      </c>
      <c r="CE664" s="234" cm="1">
        <f t="array" ref="CE664">$BM664 * IF($AH664&lt;=2,
SUMPRODUCT(INDEX($AV$22:$AX$60,,$AI664), INDEX($AY$22:$BE$60,,$AH664), 1 / ($BF$22:$BF$60*CC664), N($AU$22:$AU$60&gt;$AM664)),
SUMPRODUCT(INDEX($AV$22:$AX$45,,$AI664), INDEX($AY$22:$BE$45,,$AH664), 1 / ($BG$22:$BG$45*CC664), N($AU$22:$AU$45&gt;$AM664))
) / 1000</f>
        <v>0</v>
      </c>
      <c r="CF664" s="229">
        <f t="shared" si="760"/>
        <v>0</v>
      </c>
      <c r="CG664" s="246"/>
      <c r="CH664" s="229">
        <f t="shared" si="761"/>
        <v>0</v>
      </c>
      <c r="CI664" s="228">
        <v>35</v>
      </c>
      <c r="CJ664" s="229">
        <f t="shared" si="762"/>
        <v>48</v>
      </c>
      <c r="CK664" s="234">
        <f t="shared" si="763"/>
        <v>3.0748170731707316</v>
      </c>
      <c r="CL664" s="234" cm="1">
        <f t="array" ref="CL664">$BM664 * SUMPRODUCT(INDEX($AV$76:$AX$81,,$AI664),INDEX($AY$76:$BE$81,,$AH664), N($AU$76:$AU$81&gt;$AM664)) / CK664 / 1000</f>
        <v>0</v>
      </c>
      <c r="CM664" s="231">
        <f t="shared" si="781"/>
        <v>30</v>
      </c>
      <c r="CN664" s="229">
        <f t="shared" si="764"/>
        <v>43</v>
      </c>
      <c r="CO664" s="234">
        <f t="shared" si="765"/>
        <v>3.5018750000000001</v>
      </c>
      <c r="CP664" s="234" cm="1">
        <f t="array" ref="CP664">$BM664 * IF($AH664&lt;=2,
SUMPRODUCT(INDEX($AV$71:$AX$75,,$AI664), INDEX($AY$71:$BE$75,,$AH664), 1 / ($BF$71:$BF$75*CO664 + (1-$BF$71:$BF$75)*CK664), N($AU$71:$AU$75&gt;$AM664)),
SUMPRODUCT(INDEX($AV$66:$AX$75,,$AI664), INDEX($AY$66:$BE$75,,$AH664), 1 / ($BG$66:$BG$75*CO664 + (1-$BG$66:$BG$75)*CK664), N($AU$66:$AU$75&gt;$AM664))
) / 1000</f>
        <v>0</v>
      </c>
      <c r="CQ664" s="231">
        <f t="shared" si="782"/>
        <v>25</v>
      </c>
      <c r="CR664" s="229">
        <f t="shared" si="766"/>
        <v>38</v>
      </c>
      <c r="CS664" s="234">
        <f t="shared" si="767"/>
        <v>4.0666935483870965</v>
      </c>
      <c r="CT664" s="234" cm="1">
        <f t="array" ref="CT664">$BM664 * IF($AH664&lt;=2,
SUMPRODUCT(INDEX($AV$66:$AX$70,,$AI664), INDEX($AY$66:$BE$70,,$AH664), 1 / ($BF$66:$BF$70*CS664 + (1-$BF$66:$BF$70)*CO664), N($AU$66:$AU$70&gt;$AM664)),
SUMPRODUCT(INDEX($AV$56:$AX$65,,$AI664), INDEX($AY$56:$BE$65,,$AH664), 1 / ($BG$56:$BG$65*CS664 + (1-$BG$56:$BG$65)*CO664), N($AU$56:$AU$65&gt;$AM664))
) / 1000</f>
        <v>0</v>
      </c>
      <c r="CU664" s="231">
        <f t="shared" si="783"/>
        <v>20</v>
      </c>
      <c r="CV664" s="229">
        <f t="shared" si="768"/>
        <v>33</v>
      </c>
      <c r="CW664" s="234">
        <f t="shared" si="769"/>
        <v>4.8487499999999999</v>
      </c>
      <c r="CX664" s="234" cm="1">
        <f t="array" ref="CX664">$BM664 * IF($AH664&lt;=2,
SUMPRODUCT(INDEX($AV$61:$AX$65,,$AI664), INDEX($AY$61:$BE$65,,$AH664), 1 / ($BF$61:$BF$65*CW664 + (1-$BF$61:$BF$65)*CS664), N($AU$61:$AU$65&gt;$AM664)),
SUMPRODUCT(INDEX($AV$46:$AX$55,,$AI664), INDEX($AY$46:$BE$55,,$AH664), 1 / ($BG$46:$BG$55*CW664 + (1-$BG$46:$BG$55)*CS664), N($AU$46:$AU$55&gt;$AM664))
) / 1000</f>
        <v>0</v>
      </c>
      <c r="CY664" s="234" cm="1">
        <f t="array" ref="CY664">$BM664 * IF($AH664&lt;=2,
SUMPRODUCT(INDEX($AV$22:$AX$60,,$AI664), INDEX($AY$22:$BE$60,,$AH664), 1 / ($BF$22:$BF$60*CW664), N($AU$22:$AU$60&gt;$AM664)),
SUMPRODUCT(INDEX($AV$22:$AX$45,,$AI664), INDEX($AY$22:$BE$45,,$AH664), 1 / ($BG$22:$BG$45*CW664), N($AU$22:$AU$45&gt;$AM664))
) / 1000</f>
        <v>0</v>
      </c>
      <c r="CZ664" s="229">
        <f t="shared" si="770"/>
        <v>0</v>
      </c>
      <c r="DA664" s="246"/>
    </row>
    <row r="665" spans="1:105" s="75" customFormat="1" ht="14.25" customHeight="1" x14ac:dyDescent="0.2">
      <c r="A665" s="230" t="b">
        <f t="shared" si="775"/>
        <v>0</v>
      </c>
      <c r="B665" s="253">
        <v>644</v>
      </c>
      <c r="C665" s="266"/>
      <c r="D665" s="266"/>
      <c r="E665" s="254"/>
      <c r="F665" s="255" t="str">
        <f>IF(ISBLANK(E665), "", VLOOKUP(E665, Z!$A$2:$C$4127, 3, FALSE))</f>
        <v/>
      </c>
      <c r="G665" s="256"/>
      <c r="H665" s="256"/>
      <c r="I665" s="256"/>
      <c r="J665" s="257"/>
      <c r="K665" s="258"/>
      <c r="L665" s="267"/>
      <c r="M665" s="268"/>
      <c r="N665" s="259" t="str" cm="1">
        <f t="array" ref="N665">IF($L665&gt;0, INDEX(Clean,1+AK665,$D$1), "")</f>
        <v/>
      </c>
      <c r="O665" s="260"/>
      <c r="P665" s="260"/>
      <c r="Q665" s="261"/>
      <c r="R665" s="264">
        <f t="shared" si="746"/>
        <v>0</v>
      </c>
      <c r="S665" s="259" t="str" cm="1">
        <f t="array" ref="S665">IF($L665&gt;0, INDEX(Clean,1+AL665,$D$1), "")</f>
        <v/>
      </c>
      <c r="T665" s="260"/>
      <c r="U665" s="260"/>
      <c r="V665" s="261"/>
      <c r="W665" s="267"/>
      <c r="X665" s="267"/>
      <c r="Y665" s="257"/>
      <c r="Z665" s="264">
        <f t="shared" si="747"/>
        <v>0</v>
      </c>
      <c r="AA665" s="269"/>
      <c r="AB665" s="266"/>
      <c r="AC665" s="254"/>
      <c r="AD665" s="255" t="str">
        <f>IF(ISBLANK(AC665), "", VLOOKUP(AC665, Z!$A$2:$C$4127, 3, FALSE))</f>
        <v/>
      </c>
      <c r="AE665" s="270"/>
      <c r="AF665" s="265">
        <f t="shared" si="748"/>
        <v>0</v>
      </c>
      <c r="AG665" s="246"/>
      <c r="AH665" s="228">
        <f t="shared" si="771"/>
        <v>1</v>
      </c>
      <c r="AI665" s="228">
        <f t="shared" si="772"/>
        <v>1</v>
      </c>
      <c r="AJ665" s="228">
        <f t="shared" si="773"/>
        <v>0</v>
      </c>
      <c r="AK665" s="228">
        <v>0</v>
      </c>
      <c r="AL665" s="228">
        <v>0</v>
      </c>
      <c r="AM665" s="228">
        <f t="shared" si="749"/>
        <v>-100</v>
      </c>
      <c r="AN665" s="228" cm="1">
        <f t="array" ref="AN665">IF(ISBLANK(G665), 1, IFERROR(MATCH(G665, INDEX(Kat,,1), 0), IFERROR(MATCH(Kat, INDEX(Use,,2), 0), MATCH(Kat, INDEX(Use,,3), 0))))</f>
        <v>1</v>
      </c>
      <c r="AO665" s="246"/>
      <c r="AP665" s="228" cm="1">
        <f t="array" ref="AP665">IF(W665&gt;0, INDEX(Kat, AN665,4), 0)</f>
        <v>0</v>
      </c>
      <c r="AQ665" s="228">
        <f t="shared" si="774"/>
        <v>0</v>
      </c>
      <c r="AR665" s="228" cm="1">
        <f t="array" ref="AR665">IF(X665&gt;0, INDEX(Kat, $AN665, 4+AQ665), 0)</f>
        <v>0</v>
      </c>
      <c r="AS665" s="228" cm="1">
        <f t="array" ref="AS665">IF(X665&gt;0, INDEX(Kat, $AN665, 9+AQ665), 0)</f>
        <v>0</v>
      </c>
      <c r="AT665" s="246"/>
      <c r="AU665" s="262"/>
      <c r="AV665" s="262"/>
      <c r="AW665" s="263"/>
      <c r="AX665" s="263"/>
      <c r="AY665" s="263"/>
      <c r="AZ665" s="263"/>
      <c r="BA665" s="263"/>
      <c r="BB665" s="263"/>
      <c r="BC665" s="263"/>
      <c r="BD665" s="263"/>
      <c r="BE665" s="263"/>
      <c r="BF665" s="263"/>
      <c r="BG665" s="263"/>
      <c r="BH665" s="246"/>
      <c r="BI665" s="228" cm="1">
        <f t="array" ref="BI665">INDEX(Use, $AH665, 4)</f>
        <v>7</v>
      </c>
      <c r="BJ665" s="228">
        <f t="shared" si="750"/>
        <v>32</v>
      </c>
      <c r="BK665" s="228">
        <f t="shared" si="776"/>
        <v>13</v>
      </c>
      <c r="BL665" s="228">
        <f t="shared" si="777"/>
        <v>0</v>
      </c>
      <c r="BM665" s="233" cm="1">
        <f t="array" ref="BM665">L665/IF($M665&gt;0, INDEX($AY$22:$BE$76, $M665+20, $AH665), 1)</f>
        <v>0</v>
      </c>
      <c r="BN665" s="229">
        <f t="shared" si="751"/>
        <v>0</v>
      </c>
      <c r="BO665" s="228">
        <v>35</v>
      </c>
      <c r="BP665" s="229">
        <f t="shared" si="752"/>
        <v>48</v>
      </c>
      <c r="BQ665" s="234">
        <f t="shared" si="753"/>
        <v>3.0748170731707316</v>
      </c>
      <c r="BR665" s="234" cm="1">
        <f t="array" ref="BR665">$BM665 * SUMPRODUCT(INDEX($AV$76:$AX$81,,$AI665),INDEX($AY$76:$BE$81,,$AH665), N($AU$76:$AU$81&gt;$AM665)) / BQ665 / 1000</f>
        <v>0</v>
      </c>
      <c r="BS665" s="231">
        <f t="shared" si="778"/>
        <v>30</v>
      </c>
      <c r="BT665" s="229">
        <f t="shared" si="754"/>
        <v>43</v>
      </c>
      <c r="BU665" s="234">
        <f t="shared" si="755"/>
        <v>3.5018750000000001</v>
      </c>
      <c r="BV665" s="234" cm="1">
        <f t="array" ref="BV665">$BM665 * IF($AH665&lt;=2,
SUMPRODUCT(INDEX($AV$71:$AX$75,,$AI665), INDEX($AY$71:$BE$75,,$AH665), 1 / ($BF$71:$BF$75*BU665 + (1-$BF$71:$BF$75)*BQ665), N($AU$71:$AU$75&gt;$AM665)),
SUMPRODUCT(INDEX($AV$66:$AX$75,,$AI665), INDEX($AY$66:$BE$75,,$AH665), 1 / ($BG$66:$BG$75*BU665 + (1-$BG$66:$BG$75)*BQ665), N($AU$66:$AU$75&gt;$AM665))
) / 1000</f>
        <v>0</v>
      </c>
      <c r="BW665" s="231">
        <f t="shared" si="779"/>
        <v>25</v>
      </c>
      <c r="BX665" s="229">
        <f t="shared" si="756"/>
        <v>38</v>
      </c>
      <c r="BY665" s="234">
        <f t="shared" si="757"/>
        <v>4.0666935483870965</v>
      </c>
      <c r="BZ665" s="234" cm="1">
        <f t="array" ref="BZ665">$BM665 * IF($AH665&lt;=2,
SUMPRODUCT(INDEX($AV$66:$AX$70,,$AI665), INDEX($AY$66:$BE$70,,$AH665), 1 / ($BF$66:$BF$70*BY665 + (1-$BF$66:$BF$70)*BU665), N($AU$66:$AU$70&gt;$AM665)),
SUMPRODUCT(INDEX($AV$56:$AX$65,,$AI665), INDEX($AY$56:$BE$65,,$AH665), 1 / ($BG$56:$BG$65*BY665 + (1-$BG$56:$BG$65)*BU665), N($AU$56:$AU$65&gt;$AM665))
) / 1000</f>
        <v>0</v>
      </c>
      <c r="CA665" s="231">
        <f t="shared" si="780"/>
        <v>20</v>
      </c>
      <c r="CB665" s="229">
        <f t="shared" si="758"/>
        <v>33</v>
      </c>
      <c r="CC665" s="234">
        <f t="shared" si="759"/>
        <v>4.8487499999999999</v>
      </c>
      <c r="CD665" s="234" cm="1">
        <f t="array" ref="CD665">$BM665 * IF($AH665&lt;=2,
SUMPRODUCT(INDEX($AV$61:$AX$65,,$AI665), INDEX($AY$61:$BE$65,,$AH665), 1 / ($BF$61:$BF$65*CC665 + (1-$BF$61:$BF$65)*BY665), N($AU$61:$AU$65&gt;$AM665)),
SUMPRODUCT(INDEX($AV$46:$AX$55,,$AI665), INDEX($AY$46:$BE$55,,$AH665), 1 / ($BG$46:$BG$55*CC665 + (1-$BG$46:$BG$55)*BY665), N($AU$46:$AU$55&gt;$AM665))
) / 1000</f>
        <v>0</v>
      </c>
      <c r="CE665" s="234" cm="1">
        <f t="array" ref="CE665">$BM665 * IF($AH665&lt;=2,
SUMPRODUCT(INDEX($AV$22:$AX$60,,$AI665), INDEX($AY$22:$BE$60,,$AH665), 1 / ($BF$22:$BF$60*CC665), N($AU$22:$AU$60&gt;$AM665)),
SUMPRODUCT(INDEX($AV$22:$AX$45,,$AI665), INDEX($AY$22:$BE$45,,$AH665), 1 / ($BG$22:$BG$45*CC665), N($AU$22:$AU$45&gt;$AM665))
) / 1000</f>
        <v>0</v>
      </c>
      <c r="CF665" s="229">
        <f t="shared" si="760"/>
        <v>0</v>
      </c>
      <c r="CG665" s="246"/>
      <c r="CH665" s="229">
        <f t="shared" si="761"/>
        <v>0</v>
      </c>
      <c r="CI665" s="228">
        <v>35</v>
      </c>
      <c r="CJ665" s="229">
        <f t="shared" si="762"/>
        <v>48</v>
      </c>
      <c r="CK665" s="234">
        <f t="shared" si="763"/>
        <v>3.0748170731707316</v>
      </c>
      <c r="CL665" s="234" cm="1">
        <f t="array" ref="CL665">$BM665 * SUMPRODUCT(INDEX($AV$76:$AX$81,,$AI665),INDEX($AY$76:$BE$81,,$AH665), N($AU$76:$AU$81&gt;$AM665)) / CK665 / 1000</f>
        <v>0</v>
      </c>
      <c r="CM665" s="231">
        <f t="shared" si="781"/>
        <v>30</v>
      </c>
      <c r="CN665" s="229">
        <f t="shared" si="764"/>
        <v>43</v>
      </c>
      <c r="CO665" s="234">
        <f t="shared" si="765"/>
        <v>3.5018750000000001</v>
      </c>
      <c r="CP665" s="234" cm="1">
        <f t="array" ref="CP665">$BM665 * IF($AH665&lt;=2,
SUMPRODUCT(INDEX($AV$71:$AX$75,,$AI665), INDEX($AY$71:$BE$75,,$AH665), 1 / ($BF$71:$BF$75*CO665 + (1-$BF$71:$BF$75)*CK665), N($AU$71:$AU$75&gt;$AM665)),
SUMPRODUCT(INDEX($AV$66:$AX$75,,$AI665), INDEX($AY$66:$BE$75,,$AH665), 1 / ($BG$66:$BG$75*CO665 + (1-$BG$66:$BG$75)*CK665), N($AU$66:$AU$75&gt;$AM665))
) / 1000</f>
        <v>0</v>
      </c>
      <c r="CQ665" s="231">
        <f t="shared" si="782"/>
        <v>25</v>
      </c>
      <c r="CR665" s="229">
        <f t="shared" si="766"/>
        <v>38</v>
      </c>
      <c r="CS665" s="234">
        <f t="shared" si="767"/>
        <v>4.0666935483870965</v>
      </c>
      <c r="CT665" s="234" cm="1">
        <f t="array" ref="CT665">$BM665 * IF($AH665&lt;=2,
SUMPRODUCT(INDEX($AV$66:$AX$70,,$AI665), INDEX($AY$66:$BE$70,,$AH665), 1 / ($BF$66:$BF$70*CS665 + (1-$BF$66:$BF$70)*CO665), N($AU$66:$AU$70&gt;$AM665)),
SUMPRODUCT(INDEX($AV$56:$AX$65,,$AI665), INDEX($AY$56:$BE$65,,$AH665), 1 / ($BG$56:$BG$65*CS665 + (1-$BG$56:$BG$65)*CO665), N($AU$56:$AU$65&gt;$AM665))
) / 1000</f>
        <v>0</v>
      </c>
      <c r="CU665" s="231">
        <f t="shared" si="783"/>
        <v>20</v>
      </c>
      <c r="CV665" s="229">
        <f t="shared" si="768"/>
        <v>33</v>
      </c>
      <c r="CW665" s="234">
        <f t="shared" si="769"/>
        <v>4.8487499999999999</v>
      </c>
      <c r="CX665" s="234" cm="1">
        <f t="array" ref="CX665">$BM665 * IF($AH665&lt;=2,
SUMPRODUCT(INDEX($AV$61:$AX$65,,$AI665), INDEX($AY$61:$BE$65,,$AH665), 1 / ($BF$61:$BF$65*CW665 + (1-$BF$61:$BF$65)*CS665), N($AU$61:$AU$65&gt;$AM665)),
SUMPRODUCT(INDEX($AV$46:$AX$55,,$AI665), INDEX($AY$46:$BE$55,,$AH665), 1 / ($BG$46:$BG$55*CW665 + (1-$BG$46:$BG$55)*CS665), N($AU$46:$AU$55&gt;$AM665))
) / 1000</f>
        <v>0</v>
      </c>
      <c r="CY665" s="234" cm="1">
        <f t="array" ref="CY665">$BM665 * IF($AH665&lt;=2,
SUMPRODUCT(INDEX($AV$22:$AX$60,,$AI665), INDEX($AY$22:$BE$60,,$AH665), 1 / ($BF$22:$BF$60*CW665), N($AU$22:$AU$60&gt;$AM665)),
SUMPRODUCT(INDEX($AV$22:$AX$45,,$AI665), INDEX($AY$22:$BE$45,,$AH665), 1 / ($BG$22:$BG$45*CW665), N($AU$22:$AU$45&gt;$AM665))
) / 1000</f>
        <v>0</v>
      </c>
      <c r="CZ665" s="229">
        <f t="shared" si="770"/>
        <v>0</v>
      </c>
      <c r="DA665" s="246"/>
    </row>
    <row r="666" spans="1:105" s="75" customFormat="1" ht="14.25" customHeight="1" x14ac:dyDescent="0.2">
      <c r="A666" s="230" t="b">
        <f t="shared" si="775"/>
        <v>0</v>
      </c>
      <c r="B666" s="253">
        <v>645</v>
      </c>
      <c r="C666" s="266"/>
      <c r="D666" s="266"/>
      <c r="E666" s="254"/>
      <c r="F666" s="255" t="str">
        <f>IF(ISBLANK(E666), "", VLOOKUP(E666, Z!$A$2:$C$4127, 3, FALSE))</f>
        <v/>
      </c>
      <c r="G666" s="256"/>
      <c r="H666" s="256"/>
      <c r="I666" s="256"/>
      <c r="J666" s="257"/>
      <c r="K666" s="258"/>
      <c r="L666" s="267"/>
      <c r="M666" s="268"/>
      <c r="N666" s="259" t="str" cm="1">
        <f t="array" ref="N666">IF($L666&gt;0, INDEX(Clean,1+AK666,$D$1), "")</f>
        <v/>
      </c>
      <c r="O666" s="260"/>
      <c r="P666" s="260"/>
      <c r="Q666" s="261"/>
      <c r="R666" s="264">
        <f t="shared" si="746"/>
        <v>0</v>
      </c>
      <c r="S666" s="259" t="str" cm="1">
        <f t="array" ref="S666">IF($L666&gt;0, INDEX(Clean,1+AL666,$D$1), "")</f>
        <v/>
      </c>
      <c r="T666" s="260"/>
      <c r="U666" s="260"/>
      <c r="V666" s="261"/>
      <c r="W666" s="267"/>
      <c r="X666" s="267"/>
      <c r="Y666" s="257"/>
      <c r="Z666" s="264">
        <f t="shared" si="747"/>
        <v>0</v>
      </c>
      <c r="AA666" s="269"/>
      <c r="AB666" s="266"/>
      <c r="AC666" s="254"/>
      <c r="AD666" s="255" t="str">
        <f>IF(ISBLANK(AC666), "", VLOOKUP(AC666, Z!$A$2:$C$4127, 3, FALSE))</f>
        <v/>
      </c>
      <c r="AE666" s="270"/>
      <c r="AF666" s="265">
        <f t="shared" si="748"/>
        <v>0</v>
      </c>
      <c r="AG666" s="246"/>
      <c r="AH666" s="228">
        <f t="shared" si="771"/>
        <v>1</v>
      </c>
      <c r="AI666" s="228">
        <f t="shared" si="772"/>
        <v>1</v>
      </c>
      <c r="AJ666" s="228">
        <f t="shared" si="773"/>
        <v>0</v>
      </c>
      <c r="AK666" s="228">
        <v>0</v>
      </c>
      <c r="AL666" s="228">
        <v>0</v>
      </c>
      <c r="AM666" s="228">
        <f t="shared" si="749"/>
        <v>-100</v>
      </c>
      <c r="AN666" s="228" cm="1">
        <f t="array" ref="AN666">IF(ISBLANK(G666), 1, IFERROR(MATCH(G666, INDEX(Kat,,1), 0), IFERROR(MATCH(Kat, INDEX(Use,,2), 0), MATCH(Kat, INDEX(Use,,3), 0))))</f>
        <v>1</v>
      </c>
      <c r="AO666" s="246"/>
      <c r="AP666" s="228" cm="1">
        <f t="array" ref="AP666">IF(W666&gt;0, INDEX(Kat, AN666,4), 0)</f>
        <v>0</v>
      </c>
      <c r="AQ666" s="228">
        <f t="shared" si="774"/>
        <v>0</v>
      </c>
      <c r="AR666" s="228" cm="1">
        <f t="array" ref="AR666">IF(X666&gt;0, INDEX(Kat, $AN666, 4+AQ666), 0)</f>
        <v>0</v>
      </c>
      <c r="AS666" s="228" cm="1">
        <f t="array" ref="AS666">IF(X666&gt;0, INDEX(Kat, $AN666, 9+AQ666), 0)</f>
        <v>0</v>
      </c>
      <c r="AT666" s="246"/>
      <c r="AU666" s="262"/>
      <c r="AV666" s="262"/>
      <c r="AW666" s="263"/>
      <c r="AX666" s="263"/>
      <c r="AY666" s="263"/>
      <c r="AZ666" s="263"/>
      <c r="BA666" s="263"/>
      <c r="BB666" s="263"/>
      <c r="BC666" s="263"/>
      <c r="BD666" s="263"/>
      <c r="BE666" s="263"/>
      <c r="BF666" s="263"/>
      <c r="BG666" s="263"/>
      <c r="BH666" s="246"/>
      <c r="BI666" s="228" cm="1">
        <f t="array" ref="BI666">INDEX(Use, $AH666, 4)</f>
        <v>7</v>
      </c>
      <c r="BJ666" s="228">
        <f t="shared" si="750"/>
        <v>32</v>
      </c>
      <c r="BK666" s="228">
        <f t="shared" si="776"/>
        <v>13</v>
      </c>
      <c r="BL666" s="228">
        <f t="shared" si="777"/>
        <v>0</v>
      </c>
      <c r="BM666" s="233" cm="1">
        <f t="array" ref="BM666">L666/IF($M666&gt;0, INDEX($AY$22:$BE$76, $M666+20, $AH666), 1)</f>
        <v>0</v>
      </c>
      <c r="BN666" s="229">
        <f t="shared" si="751"/>
        <v>0</v>
      </c>
      <c r="BO666" s="228">
        <v>35</v>
      </c>
      <c r="BP666" s="229">
        <f t="shared" si="752"/>
        <v>48</v>
      </c>
      <c r="BQ666" s="234">
        <f t="shared" si="753"/>
        <v>3.0748170731707316</v>
      </c>
      <c r="BR666" s="234" cm="1">
        <f t="array" ref="BR666">$BM666 * SUMPRODUCT(INDEX($AV$76:$AX$81,,$AI666),INDEX($AY$76:$BE$81,,$AH666), N($AU$76:$AU$81&gt;$AM666)) / BQ666 / 1000</f>
        <v>0</v>
      </c>
      <c r="BS666" s="231">
        <f t="shared" si="778"/>
        <v>30</v>
      </c>
      <c r="BT666" s="229">
        <f t="shared" si="754"/>
        <v>43</v>
      </c>
      <c r="BU666" s="234">
        <f t="shared" si="755"/>
        <v>3.5018750000000001</v>
      </c>
      <c r="BV666" s="234" cm="1">
        <f t="array" ref="BV666">$BM666 * IF($AH666&lt;=2,
SUMPRODUCT(INDEX($AV$71:$AX$75,,$AI666), INDEX($AY$71:$BE$75,,$AH666), 1 / ($BF$71:$BF$75*BU666 + (1-$BF$71:$BF$75)*BQ666), N($AU$71:$AU$75&gt;$AM666)),
SUMPRODUCT(INDEX($AV$66:$AX$75,,$AI666), INDEX($AY$66:$BE$75,,$AH666), 1 / ($BG$66:$BG$75*BU666 + (1-$BG$66:$BG$75)*BQ666), N($AU$66:$AU$75&gt;$AM666))
) / 1000</f>
        <v>0</v>
      </c>
      <c r="BW666" s="231">
        <f t="shared" si="779"/>
        <v>25</v>
      </c>
      <c r="BX666" s="229">
        <f t="shared" si="756"/>
        <v>38</v>
      </c>
      <c r="BY666" s="234">
        <f t="shared" si="757"/>
        <v>4.0666935483870965</v>
      </c>
      <c r="BZ666" s="234" cm="1">
        <f t="array" ref="BZ666">$BM666 * IF($AH666&lt;=2,
SUMPRODUCT(INDEX($AV$66:$AX$70,,$AI666), INDEX($AY$66:$BE$70,,$AH666), 1 / ($BF$66:$BF$70*BY666 + (1-$BF$66:$BF$70)*BU666), N($AU$66:$AU$70&gt;$AM666)),
SUMPRODUCT(INDEX($AV$56:$AX$65,,$AI666), INDEX($AY$56:$BE$65,,$AH666), 1 / ($BG$56:$BG$65*BY666 + (1-$BG$56:$BG$65)*BU666), N($AU$56:$AU$65&gt;$AM666))
) / 1000</f>
        <v>0</v>
      </c>
      <c r="CA666" s="231">
        <f t="shared" si="780"/>
        <v>20</v>
      </c>
      <c r="CB666" s="229">
        <f t="shared" si="758"/>
        <v>33</v>
      </c>
      <c r="CC666" s="234">
        <f t="shared" si="759"/>
        <v>4.8487499999999999</v>
      </c>
      <c r="CD666" s="234" cm="1">
        <f t="array" ref="CD666">$BM666 * IF($AH666&lt;=2,
SUMPRODUCT(INDEX($AV$61:$AX$65,,$AI666), INDEX($AY$61:$BE$65,,$AH666), 1 / ($BF$61:$BF$65*CC666 + (1-$BF$61:$BF$65)*BY666), N($AU$61:$AU$65&gt;$AM666)),
SUMPRODUCT(INDEX($AV$46:$AX$55,,$AI666), INDEX($AY$46:$BE$55,,$AH666), 1 / ($BG$46:$BG$55*CC666 + (1-$BG$46:$BG$55)*BY666), N($AU$46:$AU$55&gt;$AM666))
) / 1000</f>
        <v>0</v>
      </c>
      <c r="CE666" s="234" cm="1">
        <f t="array" ref="CE666">$BM666 * IF($AH666&lt;=2,
SUMPRODUCT(INDEX($AV$22:$AX$60,,$AI666), INDEX($AY$22:$BE$60,,$AH666), 1 / ($BF$22:$BF$60*CC666), N($AU$22:$AU$60&gt;$AM666)),
SUMPRODUCT(INDEX($AV$22:$AX$45,,$AI666), INDEX($AY$22:$BE$45,,$AH666), 1 / ($BG$22:$BG$45*CC666), N($AU$22:$AU$45&gt;$AM666))
) / 1000</f>
        <v>0</v>
      </c>
      <c r="CF666" s="229">
        <f t="shared" si="760"/>
        <v>0</v>
      </c>
      <c r="CG666" s="246"/>
      <c r="CH666" s="229">
        <f t="shared" si="761"/>
        <v>0</v>
      </c>
      <c r="CI666" s="228">
        <v>35</v>
      </c>
      <c r="CJ666" s="229">
        <f t="shared" si="762"/>
        <v>48</v>
      </c>
      <c r="CK666" s="234">
        <f t="shared" si="763"/>
        <v>3.0748170731707316</v>
      </c>
      <c r="CL666" s="234" cm="1">
        <f t="array" ref="CL666">$BM666 * SUMPRODUCT(INDEX($AV$76:$AX$81,,$AI666),INDEX($AY$76:$BE$81,,$AH666), N($AU$76:$AU$81&gt;$AM666)) / CK666 / 1000</f>
        <v>0</v>
      </c>
      <c r="CM666" s="231">
        <f t="shared" si="781"/>
        <v>30</v>
      </c>
      <c r="CN666" s="229">
        <f t="shared" si="764"/>
        <v>43</v>
      </c>
      <c r="CO666" s="234">
        <f t="shared" si="765"/>
        <v>3.5018750000000001</v>
      </c>
      <c r="CP666" s="234" cm="1">
        <f t="array" ref="CP666">$BM666 * IF($AH666&lt;=2,
SUMPRODUCT(INDEX($AV$71:$AX$75,,$AI666), INDEX($AY$71:$BE$75,,$AH666), 1 / ($BF$71:$BF$75*CO666 + (1-$BF$71:$BF$75)*CK666), N($AU$71:$AU$75&gt;$AM666)),
SUMPRODUCT(INDEX($AV$66:$AX$75,,$AI666), INDEX($AY$66:$BE$75,,$AH666), 1 / ($BG$66:$BG$75*CO666 + (1-$BG$66:$BG$75)*CK666), N($AU$66:$AU$75&gt;$AM666))
) / 1000</f>
        <v>0</v>
      </c>
      <c r="CQ666" s="231">
        <f t="shared" si="782"/>
        <v>25</v>
      </c>
      <c r="CR666" s="229">
        <f t="shared" si="766"/>
        <v>38</v>
      </c>
      <c r="CS666" s="234">
        <f t="shared" si="767"/>
        <v>4.0666935483870965</v>
      </c>
      <c r="CT666" s="234" cm="1">
        <f t="array" ref="CT666">$BM666 * IF($AH666&lt;=2,
SUMPRODUCT(INDEX($AV$66:$AX$70,,$AI666), INDEX($AY$66:$BE$70,,$AH666), 1 / ($BF$66:$BF$70*CS666 + (1-$BF$66:$BF$70)*CO666), N($AU$66:$AU$70&gt;$AM666)),
SUMPRODUCT(INDEX($AV$56:$AX$65,,$AI666), INDEX($AY$56:$BE$65,,$AH666), 1 / ($BG$56:$BG$65*CS666 + (1-$BG$56:$BG$65)*CO666), N($AU$56:$AU$65&gt;$AM666))
) / 1000</f>
        <v>0</v>
      </c>
      <c r="CU666" s="231">
        <f t="shared" si="783"/>
        <v>20</v>
      </c>
      <c r="CV666" s="229">
        <f t="shared" si="768"/>
        <v>33</v>
      </c>
      <c r="CW666" s="234">
        <f t="shared" si="769"/>
        <v>4.8487499999999999</v>
      </c>
      <c r="CX666" s="234" cm="1">
        <f t="array" ref="CX666">$BM666 * IF($AH666&lt;=2,
SUMPRODUCT(INDEX($AV$61:$AX$65,,$AI666), INDEX($AY$61:$BE$65,,$AH666), 1 / ($BF$61:$BF$65*CW666 + (1-$BF$61:$BF$65)*CS666), N($AU$61:$AU$65&gt;$AM666)),
SUMPRODUCT(INDEX($AV$46:$AX$55,,$AI666), INDEX($AY$46:$BE$55,,$AH666), 1 / ($BG$46:$BG$55*CW666 + (1-$BG$46:$BG$55)*CS666), N($AU$46:$AU$55&gt;$AM666))
) / 1000</f>
        <v>0</v>
      </c>
      <c r="CY666" s="234" cm="1">
        <f t="array" ref="CY666">$BM666 * IF($AH666&lt;=2,
SUMPRODUCT(INDEX($AV$22:$AX$60,,$AI666), INDEX($AY$22:$BE$60,,$AH666), 1 / ($BF$22:$BF$60*CW666), N($AU$22:$AU$60&gt;$AM666)),
SUMPRODUCT(INDEX($AV$22:$AX$45,,$AI666), INDEX($AY$22:$BE$45,,$AH666), 1 / ($BG$22:$BG$45*CW666), N($AU$22:$AU$45&gt;$AM666))
) / 1000</f>
        <v>0</v>
      </c>
      <c r="CZ666" s="229">
        <f t="shared" si="770"/>
        <v>0</v>
      </c>
      <c r="DA666" s="246"/>
    </row>
    <row r="667" spans="1:105" s="75" customFormat="1" ht="14.25" customHeight="1" x14ac:dyDescent="0.2">
      <c r="A667" s="230" t="b">
        <f t="shared" si="775"/>
        <v>0</v>
      </c>
      <c r="B667" s="253">
        <v>646</v>
      </c>
      <c r="C667" s="266"/>
      <c r="D667" s="266"/>
      <c r="E667" s="254"/>
      <c r="F667" s="255" t="str">
        <f>IF(ISBLANK(E667), "", VLOOKUP(E667, Z!$A$2:$C$4127, 3, FALSE))</f>
        <v/>
      </c>
      <c r="G667" s="256"/>
      <c r="H667" s="256"/>
      <c r="I667" s="256"/>
      <c r="J667" s="257"/>
      <c r="K667" s="258"/>
      <c r="L667" s="267"/>
      <c r="M667" s="268"/>
      <c r="N667" s="259" t="str" cm="1">
        <f t="array" ref="N667">IF($L667&gt;0, INDEX(Clean,1+AK667,$D$1), "")</f>
        <v/>
      </c>
      <c r="O667" s="260"/>
      <c r="P667" s="260"/>
      <c r="Q667" s="261"/>
      <c r="R667" s="264">
        <f t="shared" si="746"/>
        <v>0</v>
      </c>
      <c r="S667" s="259" t="str" cm="1">
        <f t="array" ref="S667">IF($L667&gt;0, INDEX(Clean,1+AL667,$D$1), "")</f>
        <v/>
      </c>
      <c r="T667" s="260"/>
      <c r="U667" s="260"/>
      <c r="V667" s="261"/>
      <c r="W667" s="267"/>
      <c r="X667" s="267"/>
      <c r="Y667" s="257"/>
      <c r="Z667" s="264">
        <f t="shared" si="747"/>
        <v>0</v>
      </c>
      <c r="AA667" s="269"/>
      <c r="AB667" s="266"/>
      <c r="AC667" s="254"/>
      <c r="AD667" s="255" t="str">
        <f>IF(ISBLANK(AC667), "", VLOOKUP(AC667, Z!$A$2:$C$4127, 3, FALSE))</f>
        <v/>
      </c>
      <c r="AE667" s="270"/>
      <c r="AF667" s="265">
        <f t="shared" si="748"/>
        <v>0</v>
      </c>
      <c r="AG667" s="246"/>
      <c r="AH667" s="228">
        <f t="shared" si="771"/>
        <v>1</v>
      </c>
      <c r="AI667" s="228">
        <f t="shared" si="772"/>
        <v>1</v>
      </c>
      <c r="AJ667" s="228">
        <f t="shared" si="773"/>
        <v>0</v>
      </c>
      <c r="AK667" s="228">
        <v>0</v>
      </c>
      <c r="AL667" s="228">
        <v>0</v>
      </c>
      <c r="AM667" s="228">
        <f t="shared" si="749"/>
        <v>-100</v>
      </c>
      <c r="AN667" s="228" cm="1">
        <f t="array" ref="AN667">IF(ISBLANK(G667), 1, IFERROR(MATCH(G667, INDEX(Kat,,1), 0), IFERROR(MATCH(Kat, INDEX(Use,,2), 0), MATCH(Kat, INDEX(Use,,3), 0))))</f>
        <v>1</v>
      </c>
      <c r="AO667" s="246"/>
      <c r="AP667" s="228" cm="1">
        <f t="array" ref="AP667">IF(W667&gt;0, INDEX(Kat, AN667,4), 0)</f>
        <v>0</v>
      </c>
      <c r="AQ667" s="228">
        <f t="shared" si="774"/>
        <v>0</v>
      </c>
      <c r="AR667" s="228" cm="1">
        <f t="array" ref="AR667">IF(X667&gt;0, INDEX(Kat, $AN667, 4+AQ667), 0)</f>
        <v>0</v>
      </c>
      <c r="AS667" s="228" cm="1">
        <f t="array" ref="AS667">IF(X667&gt;0, INDEX(Kat, $AN667, 9+AQ667), 0)</f>
        <v>0</v>
      </c>
      <c r="AT667" s="246"/>
      <c r="AU667" s="262"/>
      <c r="AV667" s="262"/>
      <c r="AW667" s="263"/>
      <c r="AX667" s="263"/>
      <c r="AY667" s="263"/>
      <c r="AZ667" s="263"/>
      <c r="BA667" s="263"/>
      <c r="BB667" s="263"/>
      <c r="BC667" s="263"/>
      <c r="BD667" s="263"/>
      <c r="BE667" s="263"/>
      <c r="BF667" s="263"/>
      <c r="BG667" s="263"/>
      <c r="BH667" s="246"/>
      <c r="BI667" s="228" cm="1">
        <f t="array" ref="BI667">INDEX(Use, $AH667, 4)</f>
        <v>7</v>
      </c>
      <c r="BJ667" s="228">
        <f t="shared" si="750"/>
        <v>32</v>
      </c>
      <c r="BK667" s="228">
        <f t="shared" si="776"/>
        <v>13</v>
      </c>
      <c r="BL667" s="228">
        <f t="shared" si="777"/>
        <v>0</v>
      </c>
      <c r="BM667" s="233" cm="1">
        <f t="array" ref="BM667">L667/IF($M667&gt;0, INDEX($AY$22:$BE$76, $M667+20, $AH667), 1)</f>
        <v>0</v>
      </c>
      <c r="BN667" s="229">
        <f t="shared" si="751"/>
        <v>0</v>
      </c>
      <c r="BO667" s="228">
        <v>35</v>
      </c>
      <c r="BP667" s="229">
        <f t="shared" si="752"/>
        <v>48</v>
      </c>
      <c r="BQ667" s="234">
        <f t="shared" si="753"/>
        <v>3.0748170731707316</v>
      </c>
      <c r="BR667" s="234" cm="1">
        <f t="array" ref="BR667">$BM667 * SUMPRODUCT(INDEX($AV$76:$AX$81,,$AI667),INDEX($AY$76:$BE$81,,$AH667), N($AU$76:$AU$81&gt;$AM667)) / BQ667 / 1000</f>
        <v>0</v>
      </c>
      <c r="BS667" s="231">
        <f t="shared" si="778"/>
        <v>30</v>
      </c>
      <c r="BT667" s="229">
        <f t="shared" si="754"/>
        <v>43</v>
      </c>
      <c r="BU667" s="234">
        <f t="shared" si="755"/>
        <v>3.5018750000000001</v>
      </c>
      <c r="BV667" s="234" cm="1">
        <f t="array" ref="BV667">$BM667 * IF($AH667&lt;=2,
SUMPRODUCT(INDEX($AV$71:$AX$75,,$AI667), INDEX($AY$71:$BE$75,,$AH667), 1 / ($BF$71:$BF$75*BU667 + (1-$BF$71:$BF$75)*BQ667), N($AU$71:$AU$75&gt;$AM667)),
SUMPRODUCT(INDEX($AV$66:$AX$75,,$AI667), INDEX($AY$66:$BE$75,,$AH667), 1 / ($BG$66:$BG$75*BU667 + (1-$BG$66:$BG$75)*BQ667), N($AU$66:$AU$75&gt;$AM667))
) / 1000</f>
        <v>0</v>
      </c>
      <c r="BW667" s="231">
        <f t="shared" si="779"/>
        <v>25</v>
      </c>
      <c r="BX667" s="229">
        <f t="shared" si="756"/>
        <v>38</v>
      </c>
      <c r="BY667" s="234">
        <f t="shared" si="757"/>
        <v>4.0666935483870965</v>
      </c>
      <c r="BZ667" s="234" cm="1">
        <f t="array" ref="BZ667">$BM667 * IF($AH667&lt;=2,
SUMPRODUCT(INDEX($AV$66:$AX$70,,$AI667), INDEX($AY$66:$BE$70,,$AH667), 1 / ($BF$66:$BF$70*BY667 + (1-$BF$66:$BF$70)*BU667), N($AU$66:$AU$70&gt;$AM667)),
SUMPRODUCT(INDEX($AV$56:$AX$65,,$AI667), INDEX($AY$56:$BE$65,,$AH667), 1 / ($BG$56:$BG$65*BY667 + (1-$BG$56:$BG$65)*BU667), N($AU$56:$AU$65&gt;$AM667))
) / 1000</f>
        <v>0</v>
      </c>
      <c r="CA667" s="231">
        <f t="shared" si="780"/>
        <v>20</v>
      </c>
      <c r="CB667" s="229">
        <f t="shared" si="758"/>
        <v>33</v>
      </c>
      <c r="CC667" s="234">
        <f t="shared" si="759"/>
        <v>4.8487499999999999</v>
      </c>
      <c r="CD667" s="234" cm="1">
        <f t="array" ref="CD667">$BM667 * IF($AH667&lt;=2,
SUMPRODUCT(INDEX($AV$61:$AX$65,,$AI667), INDEX($AY$61:$BE$65,,$AH667), 1 / ($BF$61:$BF$65*CC667 + (1-$BF$61:$BF$65)*BY667), N($AU$61:$AU$65&gt;$AM667)),
SUMPRODUCT(INDEX($AV$46:$AX$55,,$AI667), INDEX($AY$46:$BE$55,,$AH667), 1 / ($BG$46:$BG$55*CC667 + (1-$BG$46:$BG$55)*BY667), N($AU$46:$AU$55&gt;$AM667))
) / 1000</f>
        <v>0</v>
      </c>
      <c r="CE667" s="234" cm="1">
        <f t="array" ref="CE667">$BM667 * IF($AH667&lt;=2,
SUMPRODUCT(INDEX($AV$22:$AX$60,,$AI667), INDEX($AY$22:$BE$60,,$AH667), 1 / ($BF$22:$BF$60*CC667), N($AU$22:$AU$60&gt;$AM667)),
SUMPRODUCT(INDEX($AV$22:$AX$45,,$AI667), INDEX($AY$22:$BE$45,,$AH667), 1 / ($BG$22:$BG$45*CC667), N($AU$22:$AU$45&gt;$AM667))
) / 1000</f>
        <v>0</v>
      </c>
      <c r="CF667" s="229">
        <f t="shared" si="760"/>
        <v>0</v>
      </c>
      <c r="CG667" s="246"/>
      <c r="CH667" s="229">
        <f t="shared" si="761"/>
        <v>0</v>
      </c>
      <c r="CI667" s="228">
        <v>35</v>
      </c>
      <c r="CJ667" s="229">
        <f t="shared" si="762"/>
        <v>48</v>
      </c>
      <c r="CK667" s="234">
        <f t="shared" si="763"/>
        <v>3.0748170731707316</v>
      </c>
      <c r="CL667" s="234" cm="1">
        <f t="array" ref="CL667">$BM667 * SUMPRODUCT(INDEX($AV$76:$AX$81,,$AI667),INDEX($AY$76:$BE$81,,$AH667), N($AU$76:$AU$81&gt;$AM667)) / CK667 / 1000</f>
        <v>0</v>
      </c>
      <c r="CM667" s="231">
        <f t="shared" si="781"/>
        <v>30</v>
      </c>
      <c r="CN667" s="229">
        <f t="shared" si="764"/>
        <v>43</v>
      </c>
      <c r="CO667" s="234">
        <f t="shared" si="765"/>
        <v>3.5018750000000001</v>
      </c>
      <c r="CP667" s="234" cm="1">
        <f t="array" ref="CP667">$BM667 * IF($AH667&lt;=2,
SUMPRODUCT(INDEX($AV$71:$AX$75,,$AI667), INDEX($AY$71:$BE$75,,$AH667), 1 / ($BF$71:$BF$75*CO667 + (1-$BF$71:$BF$75)*CK667), N($AU$71:$AU$75&gt;$AM667)),
SUMPRODUCT(INDEX($AV$66:$AX$75,,$AI667), INDEX($AY$66:$BE$75,,$AH667), 1 / ($BG$66:$BG$75*CO667 + (1-$BG$66:$BG$75)*CK667), N($AU$66:$AU$75&gt;$AM667))
) / 1000</f>
        <v>0</v>
      </c>
      <c r="CQ667" s="231">
        <f t="shared" si="782"/>
        <v>25</v>
      </c>
      <c r="CR667" s="229">
        <f t="shared" si="766"/>
        <v>38</v>
      </c>
      <c r="CS667" s="234">
        <f t="shared" si="767"/>
        <v>4.0666935483870965</v>
      </c>
      <c r="CT667" s="234" cm="1">
        <f t="array" ref="CT667">$BM667 * IF($AH667&lt;=2,
SUMPRODUCT(INDEX($AV$66:$AX$70,,$AI667), INDEX($AY$66:$BE$70,,$AH667), 1 / ($BF$66:$BF$70*CS667 + (1-$BF$66:$BF$70)*CO667), N($AU$66:$AU$70&gt;$AM667)),
SUMPRODUCT(INDEX($AV$56:$AX$65,,$AI667), INDEX($AY$56:$BE$65,,$AH667), 1 / ($BG$56:$BG$65*CS667 + (1-$BG$56:$BG$65)*CO667), N($AU$56:$AU$65&gt;$AM667))
) / 1000</f>
        <v>0</v>
      </c>
      <c r="CU667" s="231">
        <f t="shared" si="783"/>
        <v>20</v>
      </c>
      <c r="CV667" s="229">
        <f t="shared" si="768"/>
        <v>33</v>
      </c>
      <c r="CW667" s="234">
        <f t="shared" si="769"/>
        <v>4.8487499999999999</v>
      </c>
      <c r="CX667" s="234" cm="1">
        <f t="array" ref="CX667">$BM667 * IF($AH667&lt;=2,
SUMPRODUCT(INDEX($AV$61:$AX$65,,$AI667), INDEX($AY$61:$BE$65,,$AH667), 1 / ($BF$61:$BF$65*CW667 + (1-$BF$61:$BF$65)*CS667), N($AU$61:$AU$65&gt;$AM667)),
SUMPRODUCT(INDEX($AV$46:$AX$55,,$AI667), INDEX($AY$46:$BE$55,,$AH667), 1 / ($BG$46:$BG$55*CW667 + (1-$BG$46:$BG$55)*CS667), N($AU$46:$AU$55&gt;$AM667))
) / 1000</f>
        <v>0</v>
      </c>
      <c r="CY667" s="234" cm="1">
        <f t="array" ref="CY667">$BM667 * IF($AH667&lt;=2,
SUMPRODUCT(INDEX($AV$22:$AX$60,,$AI667), INDEX($AY$22:$BE$60,,$AH667), 1 / ($BF$22:$BF$60*CW667), N($AU$22:$AU$60&gt;$AM667)),
SUMPRODUCT(INDEX($AV$22:$AX$45,,$AI667), INDEX($AY$22:$BE$45,,$AH667), 1 / ($BG$22:$BG$45*CW667), N($AU$22:$AU$45&gt;$AM667))
) / 1000</f>
        <v>0</v>
      </c>
      <c r="CZ667" s="229">
        <f t="shared" si="770"/>
        <v>0</v>
      </c>
      <c r="DA667" s="246"/>
    </row>
    <row r="668" spans="1:105" s="75" customFormat="1" ht="14.25" customHeight="1" x14ac:dyDescent="0.2">
      <c r="A668" s="230" t="b">
        <f t="shared" si="775"/>
        <v>0</v>
      </c>
      <c r="B668" s="253">
        <v>647</v>
      </c>
      <c r="C668" s="266"/>
      <c r="D668" s="266"/>
      <c r="E668" s="254"/>
      <c r="F668" s="255" t="str">
        <f>IF(ISBLANK(E668), "", VLOOKUP(E668, Z!$A$2:$C$4127, 3, FALSE))</f>
        <v/>
      </c>
      <c r="G668" s="256"/>
      <c r="H668" s="256"/>
      <c r="I668" s="256"/>
      <c r="J668" s="257"/>
      <c r="K668" s="258"/>
      <c r="L668" s="267"/>
      <c r="M668" s="268"/>
      <c r="N668" s="259" t="str" cm="1">
        <f t="array" ref="N668">IF($L668&gt;0, INDEX(Clean,1+AK668,$D$1), "")</f>
        <v/>
      </c>
      <c r="O668" s="260"/>
      <c r="P668" s="260"/>
      <c r="Q668" s="261"/>
      <c r="R668" s="264">
        <f t="shared" si="746"/>
        <v>0</v>
      </c>
      <c r="S668" s="259" t="str" cm="1">
        <f t="array" ref="S668">IF($L668&gt;0, INDEX(Clean,1+AL668,$D$1), "")</f>
        <v/>
      </c>
      <c r="T668" s="260"/>
      <c r="U668" s="260"/>
      <c r="V668" s="261"/>
      <c r="W668" s="267"/>
      <c r="X668" s="267"/>
      <c r="Y668" s="257"/>
      <c r="Z668" s="264">
        <f t="shared" si="747"/>
        <v>0</v>
      </c>
      <c r="AA668" s="269"/>
      <c r="AB668" s="266"/>
      <c r="AC668" s="254"/>
      <c r="AD668" s="255" t="str">
        <f>IF(ISBLANK(AC668), "", VLOOKUP(AC668, Z!$A$2:$C$4127, 3, FALSE))</f>
        <v/>
      </c>
      <c r="AE668" s="270"/>
      <c r="AF668" s="265">
        <f t="shared" si="748"/>
        <v>0</v>
      </c>
      <c r="AG668" s="246"/>
      <c r="AH668" s="228">
        <f t="shared" si="771"/>
        <v>1</v>
      </c>
      <c r="AI668" s="228">
        <f t="shared" si="772"/>
        <v>1</v>
      </c>
      <c r="AJ668" s="228">
        <f t="shared" si="773"/>
        <v>0</v>
      </c>
      <c r="AK668" s="228">
        <v>0</v>
      </c>
      <c r="AL668" s="228">
        <v>0</v>
      </c>
      <c r="AM668" s="228">
        <f t="shared" si="749"/>
        <v>-100</v>
      </c>
      <c r="AN668" s="228" cm="1">
        <f t="array" ref="AN668">IF(ISBLANK(G668), 1, IFERROR(MATCH(G668, INDEX(Kat,,1), 0), IFERROR(MATCH(Kat, INDEX(Use,,2), 0), MATCH(Kat, INDEX(Use,,3), 0))))</f>
        <v>1</v>
      </c>
      <c r="AO668" s="246"/>
      <c r="AP668" s="228" cm="1">
        <f t="array" ref="AP668">IF(W668&gt;0, INDEX(Kat, AN668,4), 0)</f>
        <v>0</v>
      </c>
      <c r="AQ668" s="228">
        <f t="shared" si="774"/>
        <v>0</v>
      </c>
      <c r="AR668" s="228" cm="1">
        <f t="array" ref="AR668">IF(X668&gt;0, INDEX(Kat, $AN668, 4+AQ668), 0)</f>
        <v>0</v>
      </c>
      <c r="AS668" s="228" cm="1">
        <f t="array" ref="AS668">IF(X668&gt;0, INDEX(Kat, $AN668, 9+AQ668), 0)</f>
        <v>0</v>
      </c>
      <c r="AT668" s="246"/>
      <c r="AU668" s="262"/>
      <c r="AV668" s="262"/>
      <c r="AW668" s="263"/>
      <c r="AX668" s="263"/>
      <c r="AY668" s="263"/>
      <c r="AZ668" s="263"/>
      <c r="BA668" s="263"/>
      <c r="BB668" s="263"/>
      <c r="BC668" s="263"/>
      <c r="BD668" s="263"/>
      <c r="BE668" s="263"/>
      <c r="BF668" s="263"/>
      <c r="BG668" s="263"/>
      <c r="BH668" s="246"/>
      <c r="BI668" s="228" cm="1">
        <f t="array" ref="BI668">INDEX(Use, $AH668, 4)</f>
        <v>7</v>
      </c>
      <c r="BJ668" s="228">
        <f t="shared" si="750"/>
        <v>32</v>
      </c>
      <c r="BK668" s="228">
        <f t="shared" si="776"/>
        <v>13</v>
      </c>
      <c r="BL668" s="228">
        <f t="shared" si="777"/>
        <v>0</v>
      </c>
      <c r="BM668" s="233" cm="1">
        <f t="array" ref="BM668">L668/IF($M668&gt;0, INDEX($AY$22:$BE$76, $M668+20, $AH668), 1)</f>
        <v>0</v>
      </c>
      <c r="BN668" s="229">
        <f t="shared" si="751"/>
        <v>0</v>
      </c>
      <c r="BO668" s="228">
        <v>35</v>
      </c>
      <c r="BP668" s="229">
        <f t="shared" si="752"/>
        <v>48</v>
      </c>
      <c r="BQ668" s="234">
        <f t="shared" si="753"/>
        <v>3.0748170731707316</v>
      </c>
      <c r="BR668" s="234" cm="1">
        <f t="array" ref="BR668">$BM668 * SUMPRODUCT(INDEX($AV$76:$AX$81,,$AI668),INDEX($AY$76:$BE$81,,$AH668), N($AU$76:$AU$81&gt;$AM668)) / BQ668 / 1000</f>
        <v>0</v>
      </c>
      <c r="BS668" s="231">
        <f t="shared" si="778"/>
        <v>30</v>
      </c>
      <c r="BT668" s="229">
        <f t="shared" si="754"/>
        <v>43</v>
      </c>
      <c r="BU668" s="234">
        <f t="shared" si="755"/>
        <v>3.5018750000000001</v>
      </c>
      <c r="BV668" s="234" cm="1">
        <f t="array" ref="BV668">$BM668 * IF($AH668&lt;=2,
SUMPRODUCT(INDEX($AV$71:$AX$75,,$AI668), INDEX($AY$71:$BE$75,,$AH668), 1 / ($BF$71:$BF$75*BU668 + (1-$BF$71:$BF$75)*BQ668), N($AU$71:$AU$75&gt;$AM668)),
SUMPRODUCT(INDEX($AV$66:$AX$75,,$AI668), INDEX($AY$66:$BE$75,,$AH668), 1 / ($BG$66:$BG$75*BU668 + (1-$BG$66:$BG$75)*BQ668), N($AU$66:$AU$75&gt;$AM668))
) / 1000</f>
        <v>0</v>
      </c>
      <c r="BW668" s="231">
        <f t="shared" si="779"/>
        <v>25</v>
      </c>
      <c r="BX668" s="229">
        <f t="shared" si="756"/>
        <v>38</v>
      </c>
      <c r="BY668" s="234">
        <f t="shared" si="757"/>
        <v>4.0666935483870965</v>
      </c>
      <c r="BZ668" s="234" cm="1">
        <f t="array" ref="BZ668">$BM668 * IF($AH668&lt;=2,
SUMPRODUCT(INDEX($AV$66:$AX$70,,$AI668), INDEX($AY$66:$BE$70,,$AH668), 1 / ($BF$66:$BF$70*BY668 + (1-$BF$66:$BF$70)*BU668), N($AU$66:$AU$70&gt;$AM668)),
SUMPRODUCT(INDEX($AV$56:$AX$65,,$AI668), INDEX($AY$56:$BE$65,,$AH668), 1 / ($BG$56:$BG$65*BY668 + (1-$BG$56:$BG$65)*BU668), N($AU$56:$AU$65&gt;$AM668))
) / 1000</f>
        <v>0</v>
      </c>
      <c r="CA668" s="231">
        <f t="shared" si="780"/>
        <v>20</v>
      </c>
      <c r="CB668" s="229">
        <f t="shared" si="758"/>
        <v>33</v>
      </c>
      <c r="CC668" s="234">
        <f t="shared" si="759"/>
        <v>4.8487499999999999</v>
      </c>
      <c r="CD668" s="234" cm="1">
        <f t="array" ref="CD668">$BM668 * IF($AH668&lt;=2,
SUMPRODUCT(INDEX($AV$61:$AX$65,,$AI668), INDEX($AY$61:$BE$65,,$AH668), 1 / ($BF$61:$BF$65*CC668 + (1-$BF$61:$BF$65)*BY668), N($AU$61:$AU$65&gt;$AM668)),
SUMPRODUCT(INDEX($AV$46:$AX$55,,$AI668), INDEX($AY$46:$BE$55,,$AH668), 1 / ($BG$46:$BG$55*CC668 + (1-$BG$46:$BG$55)*BY668), N($AU$46:$AU$55&gt;$AM668))
) / 1000</f>
        <v>0</v>
      </c>
      <c r="CE668" s="234" cm="1">
        <f t="array" ref="CE668">$BM668 * IF($AH668&lt;=2,
SUMPRODUCT(INDEX($AV$22:$AX$60,,$AI668), INDEX($AY$22:$BE$60,,$AH668), 1 / ($BF$22:$BF$60*CC668), N($AU$22:$AU$60&gt;$AM668)),
SUMPRODUCT(INDEX($AV$22:$AX$45,,$AI668), INDEX($AY$22:$BE$45,,$AH668), 1 / ($BG$22:$BG$45*CC668), N($AU$22:$AU$45&gt;$AM668))
) / 1000</f>
        <v>0</v>
      </c>
      <c r="CF668" s="229">
        <f t="shared" si="760"/>
        <v>0</v>
      </c>
      <c r="CG668" s="246"/>
      <c r="CH668" s="229">
        <f t="shared" si="761"/>
        <v>0</v>
      </c>
      <c r="CI668" s="228">
        <v>35</v>
      </c>
      <c r="CJ668" s="229">
        <f t="shared" si="762"/>
        <v>48</v>
      </c>
      <c r="CK668" s="234">
        <f t="shared" si="763"/>
        <v>3.0748170731707316</v>
      </c>
      <c r="CL668" s="234" cm="1">
        <f t="array" ref="CL668">$BM668 * SUMPRODUCT(INDEX($AV$76:$AX$81,,$AI668),INDEX($AY$76:$BE$81,,$AH668), N($AU$76:$AU$81&gt;$AM668)) / CK668 / 1000</f>
        <v>0</v>
      </c>
      <c r="CM668" s="231">
        <f t="shared" si="781"/>
        <v>30</v>
      </c>
      <c r="CN668" s="229">
        <f t="shared" si="764"/>
        <v>43</v>
      </c>
      <c r="CO668" s="234">
        <f t="shared" si="765"/>
        <v>3.5018750000000001</v>
      </c>
      <c r="CP668" s="234" cm="1">
        <f t="array" ref="CP668">$BM668 * IF($AH668&lt;=2,
SUMPRODUCT(INDEX($AV$71:$AX$75,,$AI668), INDEX($AY$71:$BE$75,,$AH668), 1 / ($BF$71:$BF$75*CO668 + (1-$BF$71:$BF$75)*CK668), N($AU$71:$AU$75&gt;$AM668)),
SUMPRODUCT(INDEX($AV$66:$AX$75,,$AI668), INDEX($AY$66:$BE$75,,$AH668), 1 / ($BG$66:$BG$75*CO668 + (1-$BG$66:$BG$75)*CK668), N($AU$66:$AU$75&gt;$AM668))
) / 1000</f>
        <v>0</v>
      </c>
      <c r="CQ668" s="231">
        <f t="shared" si="782"/>
        <v>25</v>
      </c>
      <c r="CR668" s="229">
        <f t="shared" si="766"/>
        <v>38</v>
      </c>
      <c r="CS668" s="234">
        <f t="shared" si="767"/>
        <v>4.0666935483870965</v>
      </c>
      <c r="CT668" s="234" cm="1">
        <f t="array" ref="CT668">$BM668 * IF($AH668&lt;=2,
SUMPRODUCT(INDEX($AV$66:$AX$70,,$AI668), INDEX($AY$66:$BE$70,,$AH668), 1 / ($BF$66:$BF$70*CS668 + (1-$BF$66:$BF$70)*CO668), N($AU$66:$AU$70&gt;$AM668)),
SUMPRODUCT(INDEX($AV$56:$AX$65,,$AI668), INDEX($AY$56:$BE$65,,$AH668), 1 / ($BG$56:$BG$65*CS668 + (1-$BG$56:$BG$65)*CO668), N($AU$56:$AU$65&gt;$AM668))
) / 1000</f>
        <v>0</v>
      </c>
      <c r="CU668" s="231">
        <f t="shared" si="783"/>
        <v>20</v>
      </c>
      <c r="CV668" s="229">
        <f t="shared" si="768"/>
        <v>33</v>
      </c>
      <c r="CW668" s="234">
        <f t="shared" si="769"/>
        <v>4.8487499999999999</v>
      </c>
      <c r="CX668" s="234" cm="1">
        <f t="array" ref="CX668">$BM668 * IF($AH668&lt;=2,
SUMPRODUCT(INDEX($AV$61:$AX$65,,$AI668), INDEX($AY$61:$BE$65,,$AH668), 1 / ($BF$61:$BF$65*CW668 + (1-$BF$61:$BF$65)*CS668), N($AU$61:$AU$65&gt;$AM668)),
SUMPRODUCT(INDEX($AV$46:$AX$55,,$AI668), INDEX($AY$46:$BE$55,,$AH668), 1 / ($BG$46:$BG$55*CW668 + (1-$BG$46:$BG$55)*CS668), N($AU$46:$AU$55&gt;$AM668))
) / 1000</f>
        <v>0</v>
      </c>
      <c r="CY668" s="234" cm="1">
        <f t="array" ref="CY668">$BM668 * IF($AH668&lt;=2,
SUMPRODUCT(INDEX($AV$22:$AX$60,,$AI668), INDEX($AY$22:$BE$60,,$AH668), 1 / ($BF$22:$BF$60*CW668), N($AU$22:$AU$60&gt;$AM668)),
SUMPRODUCT(INDEX($AV$22:$AX$45,,$AI668), INDEX($AY$22:$BE$45,,$AH668), 1 / ($BG$22:$BG$45*CW668), N($AU$22:$AU$45&gt;$AM668))
) / 1000</f>
        <v>0</v>
      </c>
      <c r="CZ668" s="229">
        <f t="shared" si="770"/>
        <v>0</v>
      </c>
      <c r="DA668" s="246"/>
    </row>
    <row r="669" spans="1:105" s="75" customFormat="1" ht="14.25" customHeight="1" x14ac:dyDescent="0.2">
      <c r="A669" s="230" t="b">
        <f t="shared" si="775"/>
        <v>0</v>
      </c>
      <c r="B669" s="253">
        <v>648</v>
      </c>
      <c r="C669" s="266"/>
      <c r="D669" s="266"/>
      <c r="E669" s="254"/>
      <c r="F669" s="255" t="str">
        <f>IF(ISBLANK(E669), "", VLOOKUP(E669, Z!$A$2:$C$4127, 3, FALSE))</f>
        <v/>
      </c>
      <c r="G669" s="256"/>
      <c r="H669" s="256"/>
      <c r="I669" s="256"/>
      <c r="J669" s="257"/>
      <c r="K669" s="258"/>
      <c r="L669" s="267"/>
      <c r="M669" s="268"/>
      <c r="N669" s="259" t="str" cm="1">
        <f t="array" ref="N669">IF($L669&gt;0, INDEX(Clean,1+AK669,$D$1), "")</f>
        <v/>
      </c>
      <c r="O669" s="260"/>
      <c r="P669" s="260"/>
      <c r="Q669" s="261"/>
      <c r="R669" s="264">
        <f t="shared" si="746"/>
        <v>0</v>
      </c>
      <c r="S669" s="259" t="str" cm="1">
        <f t="array" ref="S669">IF($L669&gt;0, INDEX(Clean,1+AL669,$D$1), "")</f>
        <v/>
      </c>
      <c r="T669" s="260"/>
      <c r="U669" s="260"/>
      <c r="V669" s="261"/>
      <c r="W669" s="267"/>
      <c r="X669" s="267"/>
      <c r="Y669" s="257"/>
      <c r="Z669" s="264">
        <f t="shared" si="747"/>
        <v>0</v>
      </c>
      <c r="AA669" s="269"/>
      <c r="AB669" s="266"/>
      <c r="AC669" s="254"/>
      <c r="AD669" s="255" t="str">
        <f>IF(ISBLANK(AC669), "", VLOOKUP(AC669, Z!$A$2:$C$4127, 3, FALSE))</f>
        <v/>
      </c>
      <c r="AE669" s="270"/>
      <c r="AF669" s="265">
        <f t="shared" si="748"/>
        <v>0</v>
      </c>
      <c r="AG669" s="246"/>
      <c r="AH669" s="228">
        <f t="shared" si="771"/>
        <v>1</v>
      </c>
      <c r="AI669" s="228">
        <f t="shared" si="772"/>
        <v>1</v>
      </c>
      <c r="AJ669" s="228">
        <f t="shared" si="773"/>
        <v>0</v>
      </c>
      <c r="AK669" s="228">
        <v>0</v>
      </c>
      <c r="AL669" s="228">
        <v>0</v>
      </c>
      <c r="AM669" s="228">
        <f t="shared" si="749"/>
        <v>-100</v>
      </c>
      <c r="AN669" s="228" cm="1">
        <f t="array" ref="AN669">IF(ISBLANK(G669), 1, IFERROR(MATCH(G669, INDEX(Kat,,1), 0), IFERROR(MATCH(Kat, INDEX(Use,,2), 0), MATCH(Kat, INDEX(Use,,3), 0))))</f>
        <v>1</v>
      </c>
      <c r="AO669" s="246"/>
      <c r="AP669" s="228" cm="1">
        <f t="array" ref="AP669">IF(W669&gt;0, INDEX(Kat, AN669,4), 0)</f>
        <v>0</v>
      </c>
      <c r="AQ669" s="228">
        <f t="shared" si="774"/>
        <v>0</v>
      </c>
      <c r="AR669" s="228" cm="1">
        <f t="array" ref="AR669">IF(X669&gt;0, INDEX(Kat, $AN669, 4+AQ669), 0)</f>
        <v>0</v>
      </c>
      <c r="AS669" s="228" cm="1">
        <f t="array" ref="AS669">IF(X669&gt;0, INDEX(Kat, $AN669, 9+AQ669), 0)</f>
        <v>0</v>
      </c>
      <c r="AT669" s="246"/>
      <c r="AU669" s="262"/>
      <c r="AV669" s="262"/>
      <c r="AW669" s="263"/>
      <c r="AX669" s="263"/>
      <c r="AY669" s="263"/>
      <c r="AZ669" s="263"/>
      <c r="BA669" s="263"/>
      <c r="BB669" s="263"/>
      <c r="BC669" s="263"/>
      <c r="BD669" s="263"/>
      <c r="BE669" s="263"/>
      <c r="BF669" s="263"/>
      <c r="BG669" s="263"/>
      <c r="BH669" s="246"/>
      <c r="BI669" s="228" cm="1">
        <f t="array" ref="BI669">INDEX(Use, $AH669, 4)</f>
        <v>7</v>
      </c>
      <c r="BJ669" s="228">
        <f t="shared" si="750"/>
        <v>32</v>
      </c>
      <c r="BK669" s="228">
        <f t="shared" si="776"/>
        <v>13</v>
      </c>
      <c r="BL669" s="228">
        <f t="shared" si="777"/>
        <v>0</v>
      </c>
      <c r="BM669" s="233" cm="1">
        <f t="array" ref="BM669">L669/IF($M669&gt;0, INDEX($AY$22:$BE$76, $M669+20, $AH669), 1)</f>
        <v>0</v>
      </c>
      <c r="BN669" s="229">
        <f t="shared" si="751"/>
        <v>0</v>
      </c>
      <c r="BO669" s="228">
        <v>35</v>
      </c>
      <c r="BP669" s="229">
        <f t="shared" si="752"/>
        <v>48</v>
      </c>
      <c r="BQ669" s="234">
        <f t="shared" si="753"/>
        <v>3.0748170731707316</v>
      </c>
      <c r="BR669" s="234" cm="1">
        <f t="array" ref="BR669">$BM669 * SUMPRODUCT(INDEX($AV$76:$AX$81,,$AI669),INDEX($AY$76:$BE$81,,$AH669), N($AU$76:$AU$81&gt;$AM669)) / BQ669 / 1000</f>
        <v>0</v>
      </c>
      <c r="BS669" s="231">
        <f t="shared" si="778"/>
        <v>30</v>
      </c>
      <c r="BT669" s="229">
        <f t="shared" si="754"/>
        <v>43</v>
      </c>
      <c r="BU669" s="234">
        <f t="shared" si="755"/>
        <v>3.5018750000000001</v>
      </c>
      <c r="BV669" s="234" cm="1">
        <f t="array" ref="BV669">$BM669 * IF($AH669&lt;=2,
SUMPRODUCT(INDEX($AV$71:$AX$75,,$AI669), INDEX($AY$71:$BE$75,,$AH669), 1 / ($BF$71:$BF$75*BU669 + (1-$BF$71:$BF$75)*BQ669), N($AU$71:$AU$75&gt;$AM669)),
SUMPRODUCT(INDEX($AV$66:$AX$75,,$AI669), INDEX($AY$66:$BE$75,,$AH669), 1 / ($BG$66:$BG$75*BU669 + (1-$BG$66:$BG$75)*BQ669), N($AU$66:$AU$75&gt;$AM669))
) / 1000</f>
        <v>0</v>
      </c>
      <c r="BW669" s="231">
        <f t="shared" si="779"/>
        <v>25</v>
      </c>
      <c r="BX669" s="229">
        <f t="shared" si="756"/>
        <v>38</v>
      </c>
      <c r="BY669" s="234">
        <f t="shared" si="757"/>
        <v>4.0666935483870965</v>
      </c>
      <c r="BZ669" s="234" cm="1">
        <f t="array" ref="BZ669">$BM669 * IF($AH669&lt;=2,
SUMPRODUCT(INDEX($AV$66:$AX$70,,$AI669), INDEX($AY$66:$BE$70,,$AH669), 1 / ($BF$66:$BF$70*BY669 + (1-$BF$66:$BF$70)*BU669), N($AU$66:$AU$70&gt;$AM669)),
SUMPRODUCT(INDEX($AV$56:$AX$65,,$AI669), INDEX($AY$56:$BE$65,,$AH669), 1 / ($BG$56:$BG$65*BY669 + (1-$BG$56:$BG$65)*BU669), N($AU$56:$AU$65&gt;$AM669))
) / 1000</f>
        <v>0</v>
      </c>
      <c r="CA669" s="231">
        <f t="shared" si="780"/>
        <v>20</v>
      </c>
      <c r="CB669" s="229">
        <f t="shared" si="758"/>
        <v>33</v>
      </c>
      <c r="CC669" s="234">
        <f t="shared" si="759"/>
        <v>4.8487499999999999</v>
      </c>
      <c r="CD669" s="234" cm="1">
        <f t="array" ref="CD669">$BM669 * IF($AH669&lt;=2,
SUMPRODUCT(INDEX($AV$61:$AX$65,,$AI669), INDEX($AY$61:$BE$65,,$AH669), 1 / ($BF$61:$BF$65*CC669 + (1-$BF$61:$BF$65)*BY669), N($AU$61:$AU$65&gt;$AM669)),
SUMPRODUCT(INDEX($AV$46:$AX$55,,$AI669), INDEX($AY$46:$BE$55,,$AH669), 1 / ($BG$46:$BG$55*CC669 + (1-$BG$46:$BG$55)*BY669), N($AU$46:$AU$55&gt;$AM669))
) / 1000</f>
        <v>0</v>
      </c>
      <c r="CE669" s="234" cm="1">
        <f t="array" ref="CE669">$BM669 * IF($AH669&lt;=2,
SUMPRODUCT(INDEX($AV$22:$AX$60,,$AI669), INDEX($AY$22:$BE$60,,$AH669), 1 / ($BF$22:$BF$60*CC669), N($AU$22:$AU$60&gt;$AM669)),
SUMPRODUCT(INDEX($AV$22:$AX$45,,$AI669), INDEX($AY$22:$BE$45,,$AH669), 1 / ($BG$22:$BG$45*CC669), N($AU$22:$AU$45&gt;$AM669))
) / 1000</f>
        <v>0</v>
      </c>
      <c r="CF669" s="229">
        <f t="shared" si="760"/>
        <v>0</v>
      </c>
      <c r="CG669" s="246"/>
      <c r="CH669" s="229">
        <f t="shared" si="761"/>
        <v>0</v>
      </c>
      <c r="CI669" s="228">
        <v>35</v>
      </c>
      <c r="CJ669" s="229">
        <f t="shared" si="762"/>
        <v>48</v>
      </c>
      <c r="CK669" s="234">
        <f t="shared" si="763"/>
        <v>3.0748170731707316</v>
      </c>
      <c r="CL669" s="234" cm="1">
        <f t="array" ref="CL669">$BM669 * SUMPRODUCT(INDEX($AV$76:$AX$81,,$AI669),INDEX($AY$76:$BE$81,,$AH669), N($AU$76:$AU$81&gt;$AM669)) / CK669 / 1000</f>
        <v>0</v>
      </c>
      <c r="CM669" s="231">
        <f t="shared" si="781"/>
        <v>30</v>
      </c>
      <c r="CN669" s="229">
        <f t="shared" si="764"/>
        <v>43</v>
      </c>
      <c r="CO669" s="234">
        <f t="shared" si="765"/>
        <v>3.5018750000000001</v>
      </c>
      <c r="CP669" s="234" cm="1">
        <f t="array" ref="CP669">$BM669 * IF($AH669&lt;=2,
SUMPRODUCT(INDEX($AV$71:$AX$75,,$AI669), INDEX($AY$71:$BE$75,,$AH669), 1 / ($BF$71:$BF$75*CO669 + (1-$BF$71:$BF$75)*CK669), N($AU$71:$AU$75&gt;$AM669)),
SUMPRODUCT(INDEX($AV$66:$AX$75,,$AI669), INDEX($AY$66:$BE$75,,$AH669), 1 / ($BG$66:$BG$75*CO669 + (1-$BG$66:$BG$75)*CK669), N($AU$66:$AU$75&gt;$AM669))
) / 1000</f>
        <v>0</v>
      </c>
      <c r="CQ669" s="231">
        <f t="shared" si="782"/>
        <v>25</v>
      </c>
      <c r="CR669" s="229">
        <f t="shared" si="766"/>
        <v>38</v>
      </c>
      <c r="CS669" s="234">
        <f t="shared" si="767"/>
        <v>4.0666935483870965</v>
      </c>
      <c r="CT669" s="234" cm="1">
        <f t="array" ref="CT669">$BM669 * IF($AH669&lt;=2,
SUMPRODUCT(INDEX($AV$66:$AX$70,,$AI669), INDEX($AY$66:$BE$70,,$AH669), 1 / ($BF$66:$BF$70*CS669 + (1-$BF$66:$BF$70)*CO669), N($AU$66:$AU$70&gt;$AM669)),
SUMPRODUCT(INDEX($AV$56:$AX$65,,$AI669), INDEX($AY$56:$BE$65,,$AH669), 1 / ($BG$56:$BG$65*CS669 + (1-$BG$56:$BG$65)*CO669), N($AU$56:$AU$65&gt;$AM669))
) / 1000</f>
        <v>0</v>
      </c>
      <c r="CU669" s="231">
        <f t="shared" si="783"/>
        <v>20</v>
      </c>
      <c r="CV669" s="229">
        <f t="shared" si="768"/>
        <v>33</v>
      </c>
      <c r="CW669" s="234">
        <f t="shared" si="769"/>
        <v>4.8487499999999999</v>
      </c>
      <c r="CX669" s="234" cm="1">
        <f t="array" ref="CX669">$BM669 * IF($AH669&lt;=2,
SUMPRODUCT(INDEX($AV$61:$AX$65,,$AI669), INDEX($AY$61:$BE$65,,$AH669), 1 / ($BF$61:$BF$65*CW669 + (1-$BF$61:$BF$65)*CS669), N($AU$61:$AU$65&gt;$AM669)),
SUMPRODUCT(INDEX($AV$46:$AX$55,,$AI669), INDEX($AY$46:$BE$55,,$AH669), 1 / ($BG$46:$BG$55*CW669 + (1-$BG$46:$BG$55)*CS669), N($AU$46:$AU$55&gt;$AM669))
) / 1000</f>
        <v>0</v>
      </c>
      <c r="CY669" s="234" cm="1">
        <f t="array" ref="CY669">$BM669 * IF($AH669&lt;=2,
SUMPRODUCT(INDEX($AV$22:$AX$60,,$AI669), INDEX($AY$22:$BE$60,,$AH669), 1 / ($BF$22:$BF$60*CW669), N($AU$22:$AU$60&gt;$AM669)),
SUMPRODUCT(INDEX($AV$22:$AX$45,,$AI669), INDEX($AY$22:$BE$45,,$AH669), 1 / ($BG$22:$BG$45*CW669), N($AU$22:$AU$45&gt;$AM669))
) / 1000</f>
        <v>0</v>
      </c>
      <c r="CZ669" s="229">
        <f t="shared" si="770"/>
        <v>0</v>
      </c>
      <c r="DA669" s="246"/>
    </row>
    <row r="670" spans="1:105" s="75" customFormat="1" ht="14.25" customHeight="1" x14ac:dyDescent="0.2">
      <c r="A670" s="230" t="b">
        <f t="shared" si="775"/>
        <v>0</v>
      </c>
      <c r="B670" s="253">
        <v>649</v>
      </c>
      <c r="C670" s="266"/>
      <c r="D670" s="266"/>
      <c r="E670" s="254"/>
      <c r="F670" s="255" t="str">
        <f>IF(ISBLANK(E670), "", VLOOKUP(E670, Z!$A$2:$C$4127, 3, FALSE))</f>
        <v/>
      </c>
      <c r="G670" s="256"/>
      <c r="H670" s="256"/>
      <c r="I670" s="256"/>
      <c r="J670" s="257"/>
      <c r="K670" s="258"/>
      <c r="L670" s="267"/>
      <c r="M670" s="268"/>
      <c r="N670" s="259" t="str" cm="1">
        <f t="array" ref="N670">IF($L670&gt;0, INDEX(Clean,1+AK670,$D$1), "")</f>
        <v/>
      </c>
      <c r="O670" s="260"/>
      <c r="P670" s="260"/>
      <c r="Q670" s="261"/>
      <c r="R670" s="264">
        <f t="shared" si="746"/>
        <v>0</v>
      </c>
      <c r="S670" s="259" t="str" cm="1">
        <f t="array" ref="S670">IF($L670&gt;0, INDEX(Clean,1+AL670,$D$1), "")</f>
        <v/>
      </c>
      <c r="T670" s="260"/>
      <c r="U670" s="260"/>
      <c r="V670" s="261"/>
      <c r="W670" s="267"/>
      <c r="X670" s="267"/>
      <c r="Y670" s="257"/>
      <c r="Z670" s="264">
        <f t="shared" si="747"/>
        <v>0</v>
      </c>
      <c r="AA670" s="269"/>
      <c r="AB670" s="266"/>
      <c r="AC670" s="254"/>
      <c r="AD670" s="255" t="str">
        <f>IF(ISBLANK(AC670), "", VLOOKUP(AC670, Z!$A$2:$C$4127, 3, FALSE))</f>
        <v/>
      </c>
      <c r="AE670" s="270"/>
      <c r="AF670" s="265">
        <f t="shared" si="748"/>
        <v>0</v>
      </c>
      <c r="AG670" s="246"/>
      <c r="AH670" s="228">
        <f t="shared" si="771"/>
        <v>1</v>
      </c>
      <c r="AI670" s="228">
        <f t="shared" si="772"/>
        <v>1</v>
      </c>
      <c r="AJ670" s="228">
        <f t="shared" si="773"/>
        <v>0</v>
      </c>
      <c r="AK670" s="228">
        <v>0</v>
      </c>
      <c r="AL670" s="228">
        <v>0</v>
      </c>
      <c r="AM670" s="228">
        <f t="shared" si="749"/>
        <v>-100</v>
      </c>
      <c r="AN670" s="228" cm="1">
        <f t="array" ref="AN670">IF(ISBLANK(G670), 1, IFERROR(MATCH(G670, INDEX(Kat,,1), 0), IFERROR(MATCH(Kat, INDEX(Use,,2), 0), MATCH(Kat, INDEX(Use,,3), 0))))</f>
        <v>1</v>
      </c>
      <c r="AO670" s="246"/>
      <c r="AP670" s="228" cm="1">
        <f t="array" ref="AP670">IF(W670&gt;0, INDEX(Kat, AN670,4), 0)</f>
        <v>0</v>
      </c>
      <c r="AQ670" s="228">
        <f t="shared" si="774"/>
        <v>0</v>
      </c>
      <c r="AR670" s="228" cm="1">
        <f t="array" ref="AR670">IF(X670&gt;0, INDEX(Kat, $AN670, 4+AQ670), 0)</f>
        <v>0</v>
      </c>
      <c r="AS670" s="228" cm="1">
        <f t="array" ref="AS670">IF(X670&gt;0, INDEX(Kat, $AN670, 9+AQ670), 0)</f>
        <v>0</v>
      </c>
      <c r="AT670" s="246"/>
      <c r="AU670" s="262"/>
      <c r="AV670" s="262"/>
      <c r="AW670" s="263"/>
      <c r="AX670" s="263"/>
      <c r="AY670" s="263"/>
      <c r="AZ670" s="263"/>
      <c r="BA670" s="263"/>
      <c r="BB670" s="263"/>
      <c r="BC670" s="263"/>
      <c r="BD670" s="263"/>
      <c r="BE670" s="263"/>
      <c r="BF670" s="263"/>
      <c r="BG670" s="263"/>
      <c r="BH670" s="246"/>
      <c r="BI670" s="228" cm="1">
        <f t="array" ref="BI670">INDEX(Use, $AH670, 4)</f>
        <v>7</v>
      </c>
      <c r="BJ670" s="228">
        <f t="shared" si="750"/>
        <v>32</v>
      </c>
      <c r="BK670" s="228">
        <f t="shared" si="776"/>
        <v>13</v>
      </c>
      <c r="BL670" s="228">
        <f t="shared" si="777"/>
        <v>0</v>
      </c>
      <c r="BM670" s="233" cm="1">
        <f t="array" ref="BM670">L670/IF($M670&gt;0, INDEX($AY$22:$BE$76, $M670+20, $AH670), 1)</f>
        <v>0</v>
      </c>
      <c r="BN670" s="229">
        <f t="shared" si="751"/>
        <v>0</v>
      </c>
      <c r="BO670" s="228">
        <v>35</v>
      </c>
      <c r="BP670" s="229">
        <f t="shared" si="752"/>
        <v>48</v>
      </c>
      <c r="BQ670" s="234">
        <f t="shared" si="753"/>
        <v>3.0748170731707316</v>
      </c>
      <c r="BR670" s="234" cm="1">
        <f t="array" ref="BR670">$BM670 * SUMPRODUCT(INDEX($AV$76:$AX$81,,$AI670),INDEX($AY$76:$BE$81,,$AH670), N($AU$76:$AU$81&gt;$AM670)) / BQ670 / 1000</f>
        <v>0</v>
      </c>
      <c r="BS670" s="231">
        <f t="shared" si="778"/>
        <v>30</v>
      </c>
      <c r="BT670" s="229">
        <f t="shared" si="754"/>
        <v>43</v>
      </c>
      <c r="BU670" s="234">
        <f t="shared" si="755"/>
        <v>3.5018750000000001</v>
      </c>
      <c r="BV670" s="234" cm="1">
        <f t="array" ref="BV670">$BM670 * IF($AH670&lt;=2,
SUMPRODUCT(INDEX($AV$71:$AX$75,,$AI670), INDEX($AY$71:$BE$75,,$AH670), 1 / ($BF$71:$BF$75*BU670 + (1-$BF$71:$BF$75)*BQ670), N($AU$71:$AU$75&gt;$AM670)),
SUMPRODUCT(INDEX($AV$66:$AX$75,,$AI670), INDEX($AY$66:$BE$75,,$AH670), 1 / ($BG$66:$BG$75*BU670 + (1-$BG$66:$BG$75)*BQ670), N($AU$66:$AU$75&gt;$AM670))
) / 1000</f>
        <v>0</v>
      </c>
      <c r="BW670" s="231">
        <f t="shared" si="779"/>
        <v>25</v>
      </c>
      <c r="BX670" s="229">
        <f t="shared" si="756"/>
        <v>38</v>
      </c>
      <c r="BY670" s="234">
        <f t="shared" si="757"/>
        <v>4.0666935483870965</v>
      </c>
      <c r="BZ670" s="234" cm="1">
        <f t="array" ref="BZ670">$BM670 * IF($AH670&lt;=2,
SUMPRODUCT(INDEX($AV$66:$AX$70,,$AI670), INDEX($AY$66:$BE$70,,$AH670), 1 / ($BF$66:$BF$70*BY670 + (1-$BF$66:$BF$70)*BU670), N($AU$66:$AU$70&gt;$AM670)),
SUMPRODUCT(INDEX($AV$56:$AX$65,,$AI670), INDEX($AY$56:$BE$65,,$AH670), 1 / ($BG$56:$BG$65*BY670 + (1-$BG$56:$BG$65)*BU670), N($AU$56:$AU$65&gt;$AM670))
) / 1000</f>
        <v>0</v>
      </c>
      <c r="CA670" s="231">
        <f t="shared" si="780"/>
        <v>20</v>
      </c>
      <c r="CB670" s="229">
        <f t="shared" si="758"/>
        <v>33</v>
      </c>
      <c r="CC670" s="234">
        <f t="shared" si="759"/>
        <v>4.8487499999999999</v>
      </c>
      <c r="CD670" s="234" cm="1">
        <f t="array" ref="CD670">$BM670 * IF($AH670&lt;=2,
SUMPRODUCT(INDEX($AV$61:$AX$65,,$AI670), INDEX($AY$61:$BE$65,,$AH670), 1 / ($BF$61:$BF$65*CC670 + (1-$BF$61:$BF$65)*BY670), N($AU$61:$AU$65&gt;$AM670)),
SUMPRODUCT(INDEX($AV$46:$AX$55,,$AI670), INDEX($AY$46:$BE$55,,$AH670), 1 / ($BG$46:$BG$55*CC670 + (1-$BG$46:$BG$55)*BY670), N($AU$46:$AU$55&gt;$AM670))
) / 1000</f>
        <v>0</v>
      </c>
      <c r="CE670" s="234" cm="1">
        <f t="array" ref="CE670">$BM670 * IF($AH670&lt;=2,
SUMPRODUCT(INDEX($AV$22:$AX$60,,$AI670), INDEX($AY$22:$BE$60,,$AH670), 1 / ($BF$22:$BF$60*CC670), N($AU$22:$AU$60&gt;$AM670)),
SUMPRODUCT(INDEX($AV$22:$AX$45,,$AI670), INDEX($AY$22:$BE$45,,$AH670), 1 / ($BG$22:$BG$45*CC670), N($AU$22:$AU$45&gt;$AM670))
) / 1000</f>
        <v>0</v>
      </c>
      <c r="CF670" s="229">
        <f t="shared" si="760"/>
        <v>0</v>
      </c>
      <c r="CG670" s="246"/>
      <c r="CH670" s="229">
        <f t="shared" si="761"/>
        <v>0</v>
      </c>
      <c r="CI670" s="228">
        <v>35</v>
      </c>
      <c r="CJ670" s="229">
        <f t="shared" si="762"/>
        <v>48</v>
      </c>
      <c r="CK670" s="234">
        <f t="shared" si="763"/>
        <v>3.0748170731707316</v>
      </c>
      <c r="CL670" s="234" cm="1">
        <f t="array" ref="CL670">$BM670 * SUMPRODUCT(INDEX($AV$76:$AX$81,,$AI670),INDEX($AY$76:$BE$81,,$AH670), N($AU$76:$AU$81&gt;$AM670)) / CK670 / 1000</f>
        <v>0</v>
      </c>
      <c r="CM670" s="231">
        <f t="shared" si="781"/>
        <v>30</v>
      </c>
      <c r="CN670" s="229">
        <f t="shared" si="764"/>
        <v>43</v>
      </c>
      <c r="CO670" s="234">
        <f t="shared" si="765"/>
        <v>3.5018750000000001</v>
      </c>
      <c r="CP670" s="234" cm="1">
        <f t="array" ref="CP670">$BM670 * IF($AH670&lt;=2,
SUMPRODUCT(INDEX($AV$71:$AX$75,,$AI670), INDEX($AY$71:$BE$75,,$AH670), 1 / ($BF$71:$BF$75*CO670 + (1-$BF$71:$BF$75)*CK670), N($AU$71:$AU$75&gt;$AM670)),
SUMPRODUCT(INDEX($AV$66:$AX$75,,$AI670), INDEX($AY$66:$BE$75,,$AH670), 1 / ($BG$66:$BG$75*CO670 + (1-$BG$66:$BG$75)*CK670), N($AU$66:$AU$75&gt;$AM670))
) / 1000</f>
        <v>0</v>
      </c>
      <c r="CQ670" s="231">
        <f t="shared" si="782"/>
        <v>25</v>
      </c>
      <c r="CR670" s="229">
        <f t="shared" si="766"/>
        <v>38</v>
      </c>
      <c r="CS670" s="234">
        <f t="shared" si="767"/>
        <v>4.0666935483870965</v>
      </c>
      <c r="CT670" s="234" cm="1">
        <f t="array" ref="CT670">$BM670 * IF($AH670&lt;=2,
SUMPRODUCT(INDEX($AV$66:$AX$70,,$AI670), INDEX($AY$66:$BE$70,,$AH670), 1 / ($BF$66:$BF$70*CS670 + (1-$BF$66:$BF$70)*CO670), N($AU$66:$AU$70&gt;$AM670)),
SUMPRODUCT(INDEX($AV$56:$AX$65,,$AI670), INDEX($AY$56:$BE$65,,$AH670), 1 / ($BG$56:$BG$65*CS670 + (1-$BG$56:$BG$65)*CO670), N($AU$56:$AU$65&gt;$AM670))
) / 1000</f>
        <v>0</v>
      </c>
      <c r="CU670" s="231">
        <f t="shared" si="783"/>
        <v>20</v>
      </c>
      <c r="CV670" s="229">
        <f t="shared" si="768"/>
        <v>33</v>
      </c>
      <c r="CW670" s="234">
        <f t="shared" si="769"/>
        <v>4.8487499999999999</v>
      </c>
      <c r="CX670" s="234" cm="1">
        <f t="array" ref="CX670">$BM670 * IF($AH670&lt;=2,
SUMPRODUCT(INDEX($AV$61:$AX$65,,$AI670), INDEX($AY$61:$BE$65,,$AH670), 1 / ($BF$61:$BF$65*CW670 + (1-$BF$61:$BF$65)*CS670), N($AU$61:$AU$65&gt;$AM670)),
SUMPRODUCT(INDEX($AV$46:$AX$55,,$AI670), INDEX($AY$46:$BE$55,,$AH670), 1 / ($BG$46:$BG$55*CW670 + (1-$BG$46:$BG$55)*CS670), N($AU$46:$AU$55&gt;$AM670))
) / 1000</f>
        <v>0</v>
      </c>
      <c r="CY670" s="234" cm="1">
        <f t="array" ref="CY670">$BM670 * IF($AH670&lt;=2,
SUMPRODUCT(INDEX($AV$22:$AX$60,,$AI670), INDEX($AY$22:$BE$60,,$AH670), 1 / ($BF$22:$BF$60*CW670), N($AU$22:$AU$60&gt;$AM670)),
SUMPRODUCT(INDEX($AV$22:$AX$45,,$AI670), INDEX($AY$22:$BE$45,,$AH670), 1 / ($BG$22:$BG$45*CW670), N($AU$22:$AU$45&gt;$AM670))
) / 1000</f>
        <v>0</v>
      </c>
      <c r="CZ670" s="229">
        <f t="shared" si="770"/>
        <v>0</v>
      </c>
      <c r="DA670" s="246"/>
    </row>
    <row r="671" spans="1:105" s="75" customFormat="1" ht="14.25" customHeight="1" x14ac:dyDescent="0.2">
      <c r="A671" s="230" t="b">
        <f t="shared" si="775"/>
        <v>0</v>
      </c>
      <c r="B671" s="253">
        <v>650</v>
      </c>
      <c r="C671" s="266"/>
      <c r="D671" s="266"/>
      <c r="E671" s="254"/>
      <c r="F671" s="255" t="str">
        <f>IF(ISBLANK(E671), "", VLOOKUP(E671, Z!$A$2:$C$4127, 3, FALSE))</f>
        <v/>
      </c>
      <c r="G671" s="256"/>
      <c r="H671" s="256"/>
      <c r="I671" s="256"/>
      <c r="J671" s="257"/>
      <c r="K671" s="258"/>
      <c r="L671" s="267"/>
      <c r="M671" s="268"/>
      <c r="N671" s="259" t="str" cm="1">
        <f t="array" ref="N671">IF($L671&gt;0, INDEX(Clean,1+AK671,$D$1), "")</f>
        <v/>
      </c>
      <c r="O671" s="260"/>
      <c r="P671" s="260"/>
      <c r="Q671" s="261"/>
      <c r="R671" s="264">
        <f t="shared" si="746"/>
        <v>0</v>
      </c>
      <c r="S671" s="259" t="str" cm="1">
        <f t="array" ref="S671">IF($L671&gt;0, INDEX(Clean,1+AL671,$D$1), "")</f>
        <v/>
      </c>
      <c r="T671" s="260"/>
      <c r="U671" s="260"/>
      <c r="V671" s="261"/>
      <c r="W671" s="267"/>
      <c r="X671" s="267"/>
      <c r="Y671" s="257"/>
      <c r="Z671" s="264">
        <f t="shared" si="747"/>
        <v>0</v>
      </c>
      <c r="AA671" s="269"/>
      <c r="AB671" s="266"/>
      <c r="AC671" s="254"/>
      <c r="AD671" s="255" t="str">
        <f>IF(ISBLANK(AC671), "", VLOOKUP(AC671, Z!$A$2:$C$4127, 3, FALSE))</f>
        <v/>
      </c>
      <c r="AE671" s="270"/>
      <c r="AF671" s="265">
        <f t="shared" si="748"/>
        <v>0</v>
      </c>
      <c r="AG671" s="246"/>
      <c r="AH671" s="228">
        <f t="shared" si="771"/>
        <v>1</v>
      </c>
      <c r="AI671" s="228">
        <f t="shared" si="772"/>
        <v>1</v>
      </c>
      <c r="AJ671" s="228">
        <f t="shared" si="773"/>
        <v>0</v>
      </c>
      <c r="AK671" s="228">
        <v>0</v>
      </c>
      <c r="AL671" s="228">
        <v>0</v>
      </c>
      <c r="AM671" s="228">
        <f t="shared" si="749"/>
        <v>-100</v>
      </c>
      <c r="AN671" s="228" cm="1">
        <f t="array" ref="AN671">IF(ISBLANK(G671), 1, IFERROR(MATCH(G671, INDEX(Kat,,1), 0), IFERROR(MATCH(Kat, INDEX(Use,,2), 0), MATCH(Kat, INDEX(Use,,3), 0))))</f>
        <v>1</v>
      </c>
      <c r="AO671" s="246"/>
      <c r="AP671" s="228" cm="1">
        <f t="array" ref="AP671">IF(W671&gt;0, INDEX(Kat, AN671,4), 0)</f>
        <v>0</v>
      </c>
      <c r="AQ671" s="228">
        <f t="shared" si="774"/>
        <v>0</v>
      </c>
      <c r="AR671" s="228" cm="1">
        <f t="array" ref="AR671">IF(X671&gt;0, INDEX(Kat, $AN671, 4+AQ671), 0)</f>
        <v>0</v>
      </c>
      <c r="AS671" s="228" cm="1">
        <f t="array" ref="AS671">IF(X671&gt;0, INDEX(Kat, $AN671, 9+AQ671), 0)</f>
        <v>0</v>
      </c>
      <c r="AT671" s="246"/>
      <c r="AU671" s="262"/>
      <c r="AV671" s="262"/>
      <c r="AW671" s="263"/>
      <c r="AX671" s="263"/>
      <c r="AY671" s="263"/>
      <c r="AZ671" s="263"/>
      <c r="BA671" s="263"/>
      <c r="BB671" s="263"/>
      <c r="BC671" s="263"/>
      <c r="BD671" s="263"/>
      <c r="BE671" s="263"/>
      <c r="BF671" s="263"/>
      <c r="BG671" s="263"/>
      <c r="BH671" s="246"/>
      <c r="BI671" s="228" cm="1">
        <f t="array" ref="BI671">INDEX(Use, $AH671, 4)</f>
        <v>7</v>
      </c>
      <c r="BJ671" s="228">
        <f t="shared" si="750"/>
        <v>32</v>
      </c>
      <c r="BK671" s="228">
        <f t="shared" si="776"/>
        <v>13</v>
      </c>
      <c r="BL671" s="228">
        <f t="shared" si="777"/>
        <v>0</v>
      </c>
      <c r="BM671" s="233" cm="1">
        <f t="array" ref="BM671">L671/IF($M671&gt;0, INDEX($AY$22:$BE$76, $M671+20, $AH671), 1)</f>
        <v>0</v>
      </c>
      <c r="BN671" s="229">
        <f t="shared" si="751"/>
        <v>0</v>
      </c>
      <c r="BO671" s="228">
        <v>35</v>
      </c>
      <c r="BP671" s="229">
        <f t="shared" si="752"/>
        <v>48</v>
      </c>
      <c r="BQ671" s="234">
        <f t="shared" si="753"/>
        <v>3.0748170731707316</v>
      </c>
      <c r="BR671" s="234" cm="1">
        <f t="array" ref="BR671">$BM671 * SUMPRODUCT(INDEX($AV$76:$AX$81,,$AI671),INDEX($AY$76:$BE$81,,$AH671), N($AU$76:$AU$81&gt;$AM671)) / BQ671 / 1000</f>
        <v>0</v>
      </c>
      <c r="BS671" s="231">
        <f t="shared" si="778"/>
        <v>30</v>
      </c>
      <c r="BT671" s="229">
        <f t="shared" si="754"/>
        <v>43</v>
      </c>
      <c r="BU671" s="234">
        <f t="shared" si="755"/>
        <v>3.5018750000000001</v>
      </c>
      <c r="BV671" s="234" cm="1">
        <f t="array" ref="BV671">$BM671 * IF($AH671&lt;=2,
SUMPRODUCT(INDEX($AV$71:$AX$75,,$AI671), INDEX($AY$71:$BE$75,,$AH671), 1 / ($BF$71:$BF$75*BU671 + (1-$BF$71:$BF$75)*BQ671), N($AU$71:$AU$75&gt;$AM671)),
SUMPRODUCT(INDEX($AV$66:$AX$75,,$AI671), INDEX($AY$66:$BE$75,,$AH671), 1 / ($BG$66:$BG$75*BU671 + (1-$BG$66:$BG$75)*BQ671), N($AU$66:$AU$75&gt;$AM671))
) / 1000</f>
        <v>0</v>
      </c>
      <c r="BW671" s="231">
        <f t="shared" si="779"/>
        <v>25</v>
      </c>
      <c r="BX671" s="229">
        <f t="shared" si="756"/>
        <v>38</v>
      </c>
      <c r="BY671" s="234">
        <f t="shared" si="757"/>
        <v>4.0666935483870965</v>
      </c>
      <c r="BZ671" s="234" cm="1">
        <f t="array" ref="BZ671">$BM671 * IF($AH671&lt;=2,
SUMPRODUCT(INDEX($AV$66:$AX$70,,$AI671), INDEX($AY$66:$BE$70,,$AH671), 1 / ($BF$66:$BF$70*BY671 + (1-$BF$66:$BF$70)*BU671), N($AU$66:$AU$70&gt;$AM671)),
SUMPRODUCT(INDEX($AV$56:$AX$65,,$AI671), INDEX($AY$56:$BE$65,,$AH671), 1 / ($BG$56:$BG$65*BY671 + (1-$BG$56:$BG$65)*BU671), N($AU$56:$AU$65&gt;$AM671))
) / 1000</f>
        <v>0</v>
      </c>
      <c r="CA671" s="231">
        <f t="shared" si="780"/>
        <v>20</v>
      </c>
      <c r="CB671" s="229">
        <f t="shared" si="758"/>
        <v>33</v>
      </c>
      <c r="CC671" s="234">
        <f t="shared" si="759"/>
        <v>4.8487499999999999</v>
      </c>
      <c r="CD671" s="234" cm="1">
        <f t="array" ref="CD671">$BM671 * IF($AH671&lt;=2,
SUMPRODUCT(INDEX($AV$61:$AX$65,,$AI671), INDEX($AY$61:$BE$65,,$AH671), 1 / ($BF$61:$BF$65*CC671 + (1-$BF$61:$BF$65)*BY671), N($AU$61:$AU$65&gt;$AM671)),
SUMPRODUCT(INDEX($AV$46:$AX$55,,$AI671), INDEX($AY$46:$BE$55,,$AH671), 1 / ($BG$46:$BG$55*CC671 + (1-$BG$46:$BG$55)*BY671), N($AU$46:$AU$55&gt;$AM671))
) / 1000</f>
        <v>0</v>
      </c>
      <c r="CE671" s="234" cm="1">
        <f t="array" ref="CE671">$BM671 * IF($AH671&lt;=2,
SUMPRODUCT(INDEX($AV$22:$AX$60,,$AI671), INDEX($AY$22:$BE$60,,$AH671), 1 / ($BF$22:$BF$60*CC671), N($AU$22:$AU$60&gt;$AM671)),
SUMPRODUCT(INDEX($AV$22:$AX$45,,$AI671), INDEX($AY$22:$BE$45,,$AH671), 1 / ($BG$22:$BG$45*CC671), N($AU$22:$AU$45&gt;$AM671))
) / 1000</f>
        <v>0</v>
      </c>
      <c r="CF671" s="229">
        <f t="shared" si="760"/>
        <v>0</v>
      </c>
      <c r="CG671" s="246"/>
      <c r="CH671" s="229">
        <f t="shared" si="761"/>
        <v>0</v>
      </c>
      <c r="CI671" s="228">
        <v>35</v>
      </c>
      <c r="CJ671" s="229">
        <f t="shared" si="762"/>
        <v>48</v>
      </c>
      <c r="CK671" s="234">
        <f t="shared" si="763"/>
        <v>3.0748170731707316</v>
      </c>
      <c r="CL671" s="234" cm="1">
        <f t="array" ref="CL671">$BM671 * SUMPRODUCT(INDEX($AV$76:$AX$81,,$AI671),INDEX($AY$76:$BE$81,,$AH671), N($AU$76:$AU$81&gt;$AM671)) / CK671 / 1000</f>
        <v>0</v>
      </c>
      <c r="CM671" s="231">
        <f t="shared" si="781"/>
        <v>30</v>
      </c>
      <c r="CN671" s="229">
        <f t="shared" si="764"/>
        <v>43</v>
      </c>
      <c r="CO671" s="234">
        <f t="shared" si="765"/>
        <v>3.5018750000000001</v>
      </c>
      <c r="CP671" s="234" cm="1">
        <f t="array" ref="CP671">$BM671 * IF($AH671&lt;=2,
SUMPRODUCT(INDEX($AV$71:$AX$75,,$AI671), INDEX($AY$71:$BE$75,,$AH671), 1 / ($BF$71:$BF$75*CO671 + (1-$BF$71:$BF$75)*CK671), N($AU$71:$AU$75&gt;$AM671)),
SUMPRODUCT(INDEX($AV$66:$AX$75,,$AI671), INDEX($AY$66:$BE$75,,$AH671), 1 / ($BG$66:$BG$75*CO671 + (1-$BG$66:$BG$75)*CK671), N($AU$66:$AU$75&gt;$AM671))
) / 1000</f>
        <v>0</v>
      </c>
      <c r="CQ671" s="231">
        <f t="shared" si="782"/>
        <v>25</v>
      </c>
      <c r="CR671" s="229">
        <f t="shared" si="766"/>
        <v>38</v>
      </c>
      <c r="CS671" s="234">
        <f t="shared" si="767"/>
        <v>4.0666935483870965</v>
      </c>
      <c r="CT671" s="234" cm="1">
        <f t="array" ref="CT671">$BM671 * IF($AH671&lt;=2,
SUMPRODUCT(INDEX($AV$66:$AX$70,,$AI671), INDEX($AY$66:$BE$70,,$AH671), 1 / ($BF$66:$BF$70*CS671 + (1-$BF$66:$BF$70)*CO671), N($AU$66:$AU$70&gt;$AM671)),
SUMPRODUCT(INDEX($AV$56:$AX$65,,$AI671), INDEX($AY$56:$BE$65,,$AH671), 1 / ($BG$56:$BG$65*CS671 + (1-$BG$56:$BG$65)*CO671), N($AU$56:$AU$65&gt;$AM671))
) / 1000</f>
        <v>0</v>
      </c>
      <c r="CU671" s="231">
        <f t="shared" si="783"/>
        <v>20</v>
      </c>
      <c r="CV671" s="229">
        <f t="shared" si="768"/>
        <v>33</v>
      </c>
      <c r="CW671" s="234">
        <f t="shared" si="769"/>
        <v>4.8487499999999999</v>
      </c>
      <c r="CX671" s="234" cm="1">
        <f t="array" ref="CX671">$BM671 * IF($AH671&lt;=2,
SUMPRODUCT(INDEX($AV$61:$AX$65,,$AI671), INDEX($AY$61:$BE$65,,$AH671), 1 / ($BF$61:$BF$65*CW671 + (1-$BF$61:$BF$65)*CS671), N($AU$61:$AU$65&gt;$AM671)),
SUMPRODUCT(INDEX($AV$46:$AX$55,,$AI671), INDEX($AY$46:$BE$55,,$AH671), 1 / ($BG$46:$BG$55*CW671 + (1-$BG$46:$BG$55)*CS671), N($AU$46:$AU$55&gt;$AM671))
) / 1000</f>
        <v>0</v>
      </c>
      <c r="CY671" s="234" cm="1">
        <f t="array" ref="CY671">$BM671 * IF($AH671&lt;=2,
SUMPRODUCT(INDEX($AV$22:$AX$60,,$AI671), INDEX($AY$22:$BE$60,,$AH671), 1 / ($BF$22:$BF$60*CW671), N($AU$22:$AU$60&gt;$AM671)),
SUMPRODUCT(INDEX($AV$22:$AX$45,,$AI671), INDEX($AY$22:$BE$45,,$AH671), 1 / ($BG$22:$BG$45*CW671), N($AU$22:$AU$45&gt;$AM671))
) / 1000</f>
        <v>0</v>
      </c>
      <c r="CZ671" s="229">
        <f t="shared" si="770"/>
        <v>0</v>
      </c>
      <c r="DA671" s="246"/>
    </row>
    <row r="672" spans="1:105" s="75" customFormat="1" ht="14.25" customHeight="1" x14ac:dyDescent="0.2">
      <c r="A672" s="230" t="b">
        <f t="shared" si="775"/>
        <v>0</v>
      </c>
      <c r="B672" s="253">
        <v>651</v>
      </c>
      <c r="C672" s="266"/>
      <c r="D672" s="266"/>
      <c r="E672" s="254"/>
      <c r="F672" s="255" t="str">
        <f>IF(ISBLANK(E672), "", VLOOKUP(E672, Z!$A$2:$C$4127, 3, FALSE))</f>
        <v/>
      </c>
      <c r="G672" s="256"/>
      <c r="H672" s="256"/>
      <c r="I672" s="256"/>
      <c r="J672" s="257"/>
      <c r="K672" s="258"/>
      <c r="L672" s="267"/>
      <c r="M672" s="268"/>
      <c r="N672" s="259" t="str" cm="1">
        <f t="array" ref="N672">IF($L672&gt;0, INDEX(Clean,1+AK672,$D$1), "")</f>
        <v/>
      </c>
      <c r="O672" s="260"/>
      <c r="P672" s="260"/>
      <c r="Q672" s="261"/>
      <c r="R672" s="264">
        <f t="shared" si="746"/>
        <v>0</v>
      </c>
      <c r="S672" s="259" t="str" cm="1">
        <f t="array" ref="S672">IF($L672&gt;0, INDEX(Clean,1+AL672,$D$1), "")</f>
        <v/>
      </c>
      <c r="T672" s="260"/>
      <c r="U672" s="260"/>
      <c r="V672" s="261"/>
      <c r="W672" s="267"/>
      <c r="X672" s="267"/>
      <c r="Y672" s="257"/>
      <c r="Z672" s="264">
        <f t="shared" si="747"/>
        <v>0</v>
      </c>
      <c r="AA672" s="269"/>
      <c r="AB672" s="266"/>
      <c r="AC672" s="254"/>
      <c r="AD672" s="255" t="str">
        <f>IF(ISBLANK(AC672), "", VLOOKUP(AC672, Z!$A$2:$C$4127, 3, FALSE))</f>
        <v/>
      </c>
      <c r="AE672" s="270"/>
      <c r="AF672" s="265">
        <f t="shared" si="748"/>
        <v>0</v>
      </c>
      <c r="AG672" s="246"/>
      <c r="AH672" s="228">
        <f t="shared" si="771"/>
        <v>1</v>
      </c>
      <c r="AI672" s="228">
        <f t="shared" si="772"/>
        <v>1</v>
      </c>
      <c r="AJ672" s="228">
        <f t="shared" si="773"/>
        <v>0</v>
      </c>
      <c r="AK672" s="228">
        <v>0</v>
      </c>
      <c r="AL672" s="228">
        <v>0</v>
      </c>
      <c r="AM672" s="228">
        <f t="shared" si="749"/>
        <v>-100</v>
      </c>
      <c r="AN672" s="228" cm="1">
        <f t="array" ref="AN672">IF(ISBLANK(G672), 1, IFERROR(MATCH(G672, INDEX(Kat,,1), 0), IFERROR(MATCH(Kat, INDEX(Use,,2), 0), MATCH(Kat, INDEX(Use,,3), 0))))</f>
        <v>1</v>
      </c>
      <c r="AO672" s="246"/>
      <c r="AP672" s="228" cm="1">
        <f t="array" ref="AP672">IF(W672&gt;0, INDEX(Kat, AN672,4), 0)</f>
        <v>0</v>
      </c>
      <c r="AQ672" s="228">
        <f t="shared" si="774"/>
        <v>0</v>
      </c>
      <c r="AR672" s="228" cm="1">
        <f t="array" ref="AR672">IF(X672&gt;0, INDEX(Kat, $AN672, 4+AQ672), 0)</f>
        <v>0</v>
      </c>
      <c r="AS672" s="228" cm="1">
        <f t="array" ref="AS672">IF(X672&gt;0, INDEX(Kat, $AN672, 9+AQ672), 0)</f>
        <v>0</v>
      </c>
      <c r="AT672" s="246"/>
      <c r="AU672" s="262"/>
      <c r="AV672" s="262"/>
      <c r="AW672" s="263"/>
      <c r="AX672" s="263"/>
      <c r="AY672" s="263"/>
      <c r="AZ672" s="263"/>
      <c r="BA672" s="263"/>
      <c r="BB672" s="263"/>
      <c r="BC672" s="263"/>
      <c r="BD672" s="263"/>
      <c r="BE672" s="263"/>
      <c r="BF672" s="263"/>
      <c r="BG672" s="263"/>
      <c r="BH672" s="246"/>
      <c r="BI672" s="228" cm="1">
        <f t="array" ref="BI672">INDEX(Use, $AH672, 4)</f>
        <v>7</v>
      </c>
      <c r="BJ672" s="228">
        <f t="shared" si="750"/>
        <v>32</v>
      </c>
      <c r="BK672" s="228">
        <f t="shared" si="776"/>
        <v>13</v>
      </c>
      <c r="BL672" s="228">
        <f t="shared" si="777"/>
        <v>0</v>
      </c>
      <c r="BM672" s="233" cm="1">
        <f t="array" ref="BM672">L672/IF($M672&gt;0, INDEX($AY$22:$BE$76, $M672+20, $AH672), 1)</f>
        <v>0</v>
      </c>
      <c r="BN672" s="229">
        <f t="shared" si="751"/>
        <v>0</v>
      </c>
      <c r="BO672" s="228">
        <v>35</v>
      </c>
      <c r="BP672" s="229">
        <f t="shared" si="752"/>
        <v>48</v>
      </c>
      <c r="BQ672" s="234">
        <f t="shared" si="753"/>
        <v>3.0748170731707316</v>
      </c>
      <c r="BR672" s="234" cm="1">
        <f t="array" ref="BR672">$BM672 * SUMPRODUCT(INDEX($AV$76:$AX$81,,$AI672),INDEX($AY$76:$BE$81,,$AH672), N($AU$76:$AU$81&gt;$AM672)) / BQ672 / 1000</f>
        <v>0</v>
      </c>
      <c r="BS672" s="231">
        <f t="shared" si="778"/>
        <v>30</v>
      </c>
      <c r="BT672" s="229">
        <f t="shared" si="754"/>
        <v>43</v>
      </c>
      <c r="BU672" s="234">
        <f t="shared" si="755"/>
        <v>3.5018750000000001</v>
      </c>
      <c r="BV672" s="234" cm="1">
        <f t="array" ref="BV672">$BM672 * IF($AH672&lt;=2,
SUMPRODUCT(INDEX($AV$71:$AX$75,,$AI672), INDEX($AY$71:$BE$75,,$AH672), 1 / ($BF$71:$BF$75*BU672 + (1-$BF$71:$BF$75)*BQ672), N($AU$71:$AU$75&gt;$AM672)),
SUMPRODUCT(INDEX($AV$66:$AX$75,,$AI672), INDEX($AY$66:$BE$75,,$AH672), 1 / ($BG$66:$BG$75*BU672 + (1-$BG$66:$BG$75)*BQ672), N($AU$66:$AU$75&gt;$AM672))
) / 1000</f>
        <v>0</v>
      </c>
      <c r="BW672" s="231">
        <f t="shared" si="779"/>
        <v>25</v>
      </c>
      <c r="BX672" s="229">
        <f t="shared" si="756"/>
        <v>38</v>
      </c>
      <c r="BY672" s="234">
        <f t="shared" si="757"/>
        <v>4.0666935483870965</v>
      </c>
      <c r="BZ672" s="234" cm="1">
        <f t="array" ref="BZ672">$BM672 * IF($AH672&lt;=2,
SUMPRODUCT(INDEX($AV$66:$AX$70,,$AI672), INDEX($AY$66:$BE$70,,$AH672), 1 / ($BF$66:$BF$70*BY672 + (1-$BF$66:$BF$70)*BU672), N($AU$66:$AU$70&gt;$AM672)),
SUMPRODUCT(INDEX($AV$56:$AX$65,,$AI672), INDEX($AY$56:$BE$65,,$AH672), 1 / ($BG$56:$BG$65*BY672 + (1-$BG$56:$BG$65)*BU672), N($AU$56:$AU$65&gt;$AM672))
) / 1000</f>
        <v>0</v>
      </c>
      <c r="CA672" s="231">
        <f t="shared" si="780"/>
        <v>20</v>
      </c>
      <c r="CB672" s="229">
        <f t="shared" si="758"/>
        <v>33</v>
      </c>
      <c r="CC672" s="234">
        <f t="shared" si="759"/>
        <v>4.8487499999999999</v>
      </c>
      <c r="CD672" s="234" cm="1">
        <f t="array" ref="CD672">$BM672 * IF($AH672&lt;=2,
SUMPRODUCT(INDEX($AV$61:$AX$65,,$AI672), INDEX($AY$61:$BE$65,,$AH672), 1 / ($BF$61:$BF$65*CC672 + (1-$BF$61:$BF$65)*BY672), N($AU$61:$AU$65&gt;$AM672)),
SUMPRODUCT(INDEX($AV$46:$AX$55,,$AI672), INDEX($AY$46:$BE$55,,$AH672), 1 / ($BG$46:$BG$55*CC672 + (1-$BG$46:$BG$55)*BY672), N($AU$46:$AU$55&gt;$AM672))
) / 1000</f>
        <v>0</v>
      </c>
      <c r="CE672" s="234" cm="1">
        <f t="array" ref="CE672">$BM672 * IF($AH672&lt;=2,
SUMPRODUCT(INDEX($AV$22:$AX$60,,$AI672), INDEX($AY$22:$BE$60,,$AH672), 1 / ($BF$22:$BF$60*CC672), N($AU$22:$AU$60&gt;$AM672)),
SUMPRODUCT(INDEX($AV$22:$AX$45,,$AI672), INDEX($AY$22:$BE$45,,$AH672), 1 / ($BG$22:$BG$45*CC672), N($AU$22:$AU$45&gt;$AM672))
) / 1000</f>
        <v>0</v>
      </c>
      <c r="CF672" s="229">
        <f t="shared" si="760"/>
        <v>0</v>
      </c>
      <c r="CG672" s="246"/>
      <c r="CH672" s="229">
        <f t="shared" si="761"/>
        <v>0</v>
      </c>
      <c r="CI672" s="228">
        <v>35</v>
      </c>
      <c r="CJ672" s="229">
        <f t="shared" si="762"/>
        <v>48</v>
      </c>
      <c r="CK672" s="234">
        <f t="shared" si="763"/>
        <v>3.0748170731707316</v>
      </c>
      <c r="CL672" s="234" cm="1">
        <f t="array" ref="CL672">$BM672 * SUMPRODUCT(INDEX($AV$76:$AX$81,,$AI672),INDEX($AY$76:$BE$81,,$AH672), N($AU$76:$AU$81&gt;$AM672)) / CK672 / 1000</f>
        <v>0</v>
      </c>
      <c r="CM672" s="231">
        <f t="shared" si="781"/>
        <v>30</v>
      </c>
      <c r="CN672" s="229">
        <f t="shared" si="764"/>
        <v>43</v>
      </c>
      <c r="CO672" s="234">
        <f t="shared" si="765"/>
        <v>3.5018750000000001</v>
      </c>
      <c r="CP672" s="234" cm="1">
        <f t="array" ref="CP672">$BM672 * IF($AH672&lt;=2,
SUMPRODUCT(INDEX($AV$71:$AX$75,,$AI672), INDEX($AY$71:$BE$75,,$AH672), 1 / ($BF$71:$BF$75*CO672 + (1-$BF$71:$BF$75)*CK672), N($AU$71:$AU$75&gt;$AM672)),
SUMPRODUCT(INDEX($AV$66:$AX$75,,$AI672), INDEX($AY$66:$BE$75,,$AH672), 1 / ($BG$66:$BG$75*CO672 + (1-$BG$66:$BG$75)*CK672), N($AU$66:$AU$75&gt;$AM672))
) / 1000</f>
        <v>0</v>
      </c>
      <c r="CQ672" s="231">
        <f t="shared" si="782"/>
        <v>25</v>
      </c>
      <c r="CR672" s="229">
        <f t="shared" si="766"/>
        <v>38</v>
      </c>
      <c r="CS672" s="234">
        <f t="shared" si="767"/>
        <v>4.0666935483870965</v>
      </c>
      <c r="CT672" s="234" cm="1">
        <f t="array" ref="CT672">$BM672 * IF($AH672&lt;=2,
SUMPRODUCT(INDEX($AV$66:$AX$70,,$AI672), INDEX($AY$66:$BE$70,,$AH672), 1 / ($BF$66:$BF$70*CS672 + (1-$BF$66:$BF$70)*CO672), N($AU$66:$AU$70&gt;$AM672)),
SUMPRODUCT(INDEX($AV$56:$AX$65,,$AI672), INDEX($AY$56:$BE$65,,$AH672), 1 / ($BG$56:$BG$65*CS672 + (1-$BG$56:$BG$65)*CO672), N($AU$56:$AU$65&gt;$AM672))
) / 1000</f>
        <v>0</v>
      </c>
      <c r="CU672" s="231">
        <f t="shared" si="783"/>
        <v>20</v>
      </c>
      <c r="CV672" s="229">
        <f t="shared" si="768"/>
        <v>33</v>
      </c>
      <c r="CW672" s="234">
        <f t="shared" si="769"/>
        <v>4.8487499999999999</v>
      </c>
      <c r="CX672" s="234" cm="1">
        <f t="array" ref="CX672">$BM672 * IF($AH672&lt;=2,
SUMPRODUCT(INDEX($AV$61:$AX$65,,$AI672), INDEX($AY$61:$BE$65,,$AH672), 1 / ($BF$61:$BF$65*CW672 + (1-$BF$61:$BF$65)*CS672), N($AU$61:$AU$65&gt;$AM672)),
SUMPRODUCT(INDEX($AV$46:$AX$55,,$AI672), INDEX($AY$46:$BE$55,,$AH672), 1 / ($BG$46:$BG$55*CW672 + (1-$BG$46:$BG$55)*CS672), N($AU$46:$AU$55&gt;$AM672))
) / 1000</f>
        <v>0</v>
      </c>
      <c r="CY672" s="234" cm="1">
        <f t="array" ref="CY672">$BM672 * IF($AH672&lt;=2,
SUMPRODUCT(INDEX($AV$22:$AX$60,,$AI672), INDEX($AY$22:$BE$60,,$AH672), 1 / ($BF$22:$BF$60*CW672), N($AU$22:$AU$60&gt;$AM672)),
SUMPRODUCT(INDEX($AV$22:$AX$45,,$AI672), INDEX($AY$22:$BE$45,,$AH672), 1 / ($BG$22:$BG$45*CW672), N($AU$22:$AU$45&gt;$AM672))
) / 1000</f>
        <v>0</v>
      </c>
      <c r="CZ672" s="229">
        <f t="shared" si="770"/>
        <v>0</v>
      </c>
      <c r="DA672" s="246"/>
    </row>
    <row r="673" spans="1:105" s="75" customFormat="1" ht="14.25" customHeight="1" x14ac:dyDescent="0.2">
      <c r="A673" s="230" t="b">
        <f t="shared" si="775"/>
        <v>0</v>
      </c>
      <c r="B673" s="253">
        <v>652</v>
      </c>
      <c r="C673" s="266"/>
      <c r="D673" s="266"/>
      <c r="E673" s="254"/>
      <c r="F673" s="255" t="str">
        <f>IF(ISBLANK(E673), "", VLOOKUP(E673, Z!$A$2:$C$4127, 3, FALSE))</f>
        <v/>
      </c>
      <c r="G673" s="256"/>
      <c r="H673" s="256"/>
      <c r="I673" s="256"/>
      <c r="J673" s="257"/>
      <c r="K673" s="258"/>
      <c r="L673" s="267"/>
      <c r="M673" s="268"/>
      <c r="N673" s="259" t="str" cm="1">
        <f t="array" ref="N673">IF($L673&gt;0, INDEX(Clean,1+AK673,$D$1), "")</f>
        <v/>
      </c>
      <c r="O673" s="260"/>
      <c r="P673" s="260"/>
      <c r="Q673" s="261"/>
      <c r="R673" s="264">
        <f t="shared" si="746"/>
        <v>0</v>
      </c>
      <c r="S673" s="259" t="str" cm="1">
        <f t="array" ref="S673">IF($L673&gt;0, INDEX(Clean,1+AL673,$D$1), "")</f>
        <v/>
      </c>
      <c r="T673" s="260"/>
      <c r="U673" s="260"/>
      <c r="V673" s="261"/>
      <c r="W673" s="267"/>
      <c r="X673" s="267"/>
      <c r="Y673" s="257"/>
      <c r="Z673" s="264">
        <f t="shared" si="747"/>
        <v>0</v>
      </c>
      <c r="AA673" s="269"/>
      <c r="AB673" s="266"/>
      <c r="AC673" s="254"/>
      <c r="AD673" s="255" t="str">
        <f>IF(ISBLANK(AC673), "", VLOOKUP(AC673, Z!$A$2:$C$4127, 3, FALSE))</f>
        <v/>
      </c>
      <c r="AE673" s="270"/>
      <c r="AF673" s="265">
        <f t="shared" si="748"/>
        <v>0</v>
      </c>
      <c r="AG673" s="246"/>
      <c r="AH673" s="228">
        <f t="shared" si="771"/>
        <v>1</v>
      </c>
      <c r="AI673" s="228">
        <f t="shared" si="772"/>
        <v>1</v>
      </c>
      <c r="AJ673" s="228">
        <f t="shared" si="773"/>
        <v>0</v>
      </c>
      <c r="AK673" s="228">
        <v>0</v>
      </c>
      <c r="AL673" s="228">
        <v>0</v>
      </c>
      <c r="AM673" s="228">
        <f t="shared" si="749"/>
        <v>-100</v>
      </c>
      <c r="AN673" s="228" cm="1">
        <f t="array" ref="AN673">IF(ISBLANK(G673), 1, IFERROR(MATCH(G673, INDEX(Kat,,1), 0), IFERROR(MATCH(Kat, INDEX(Use,,2), 0), MATCH(Kat, INDEX(Use,,3), 0))))</f>
        <v>1</v>
      </c>
      <c r="AO673" s="246"/>
      <c r="AP673" s="228" cm="1">
        <f t="array" ref="AP673">IF(W673&gt;0, INDEX(Kat, AN673,4), 0)</f>
        <v>0</v>
      </c>
      <c r="AQ673" s="228">
        <f t="shared" si="774"/>
        <v>0</v>
      </c>
      <c r="AR673" s="228" cm="1">
        <f t="array" ref="AR673">IF(X673&gt;0, INDEX(Kat, $AN673, 4+AQ673), 0)</f>
        <v>0</v>
      </c>
      <c r="AS673" s="228" cm="1">
        <f t="array" ref="AS673">IF(X673&gt;0, INDEX(Kat, $AN673, 9+AQ673), 0)</f>
        <v>0</v>
      </c>
      <c r="AT673" s="246"/>
      <c r="AU673" s="262"/>
      <c r="AV673" s="262"/>
      <c r="AW673" s="263"/>
      <c r="AX673" s="263"/>
      <c r="AY673" s="263"/>
      <c r="AZ673" s="263"/>
      <c r="BA673" s="263"/>
      <c r="BB673" s="263"/>
      <c r="BC673" s="263"/>
      <c r="BD673" s="263"/>
      <c r="BE673" s="263"/>
      <c r="BF673" s="263"/>
      <c r="BG673" s="263"/>
      <c r="BH673" s="246"/>
      <c r="BI673" s="228" cm="1">
        <f t="array" ref="BI673">INDEX(Use, $AH673, 4)</f>
        <v>7</v>
      </c>
      <c r="BJ673" s="228">
        <f t="shared" si="750"/>
        <v>32</v>
      </c>
      <c r="BK673" s="228">
        <f t="shared" si="776"/>
        <v>13</v>
      </c>
      <c r="BL673" s="228">
        <f t="shared" si="777"/>
        <v>0</v>
      </c>
      <c r="BM673" s="233" cm="1">
        <f t="array" ref="BM673">L673/IF($M673&gt;0, INDEX($AY$22:$BE$76, $M673+20, $AH673), 1)</f>
        <v>0</v>
      </c>
      <c r="BN673" s="229">
        <f t="shared" si="751"/>
        <v>0</v>
      </c>
      <c r="BO673" s="228">
        <v>35</v>
      </c>
      <c r="BP673" s="229">
        <f t="shared" si="752"/>
        <v>48</v>
      </c>
      <c r="BQ673" s="234">
        <f t="shared" si="753"/>
        <v>3.0748170731707316</v>
      </c>
      <c r="BR673" s="234" cm="1">
        <f t="array" ref="BR673">$BM673 * SUMPRODUCT(INDEX($AV$76:$AX$81,,$AI673),INDEX($AY$76:$BE$81,,$AH673), N($AU$76:$AU$81&gt;$AM673)) / BQ673 / 1000</f>
        <v>0</v>
      </c>
      <c r="BS673" s="231">
        <f t="shared" si="778"/>
        <v>30</v>
      </c>
      <c r="BT673" s="229">
        <f t="shared" si="754"/>
        <v>43</v>
      </c>
      <c r="BU673" s="234">
        <f t="shared" si="755"/>
        <v>3.5018750000000001</v>
      </c>
      <c r="BV673" s="234" cm="1">
        <f t="array" ref="BV673">$BM673 * IF($AH673&lt;=2,
SUMPRODUCT(INDEX($AV$71:$AX$75,,$AI673), INDEX($AY$71:$BE$75,,$AH673), 1 / ($BF$71:$BF$75*BU673 + (1-$BF$71:$BF$75)*BQ673), N($AU$71:$AU$75&gt;$AM673)),
SUMPRODUCT(INDEX($AV$66:$AX$75,,$AI673), INDEX($AY$66:$BE$75,,$AH673), 1 / ($BG$66:$BG$75*BU673 + (1-$BG$66:$BG$75)*BQ673), N($AU$66:$AU$75&gt;$AM673))
) / 1000</f>
        <v>0</v>
      </c>
      <c r="BW673" s="231">
        <f t="shared" si="779"/>
        <v>25</v>
      </c>
      <c r="BX673" s="229">
        <f t="shared" si="756"/>
        <v>38</v>
      </c>
      <c r="BY673" s="234">
        <f t="shared" si="757"/>
        <v>4.0666935483870965</v>
      </c>
      <c r="BZ673" s="234" cm="1">
        <f t="array" ref="BZ673">$BM673 * IF($AH673&lt;=2,
SUMPRODUCT(INDEX($AV$66:$AX$70,,$AI673), INDEX($AY$66:$BE$70,,$AH673), 1 / ($BF$66:$BF$70*BY673 + (1-$BF$66:$BF$70)*BU673), N($AU$66:$AU$70&gt;$AM673)),
SUMPRODUCT(INDEX($AV$56:$AX$65,,$AI673), INDEX($AY$56:$BE$65,,$AH673), 1 / ($BG$56:$BG$65*BY673 + (1-$BG$56:$BG$65)*BU673), N($AU$56:$AU$65&gt;$AM673))
) / 1000</f>
        <v>0</v>
      </c>
      <c r="CA673" s="231">
        <f t="shared" si="780"/>
        <v>20</v>
      </c>
      <c r="CB673" s="229">
        <f t="shared" si="758"/>
        <v>33</v>
      </c>
      <c r="CC673" s="234">
        <f t="shared" si="759"/>
        <v>4.8487499999999999</v>
      </c>
      <c r="CD673" s="234" cm="1">
        <f t="array" ref="CD673">$BM673 * IF($AH673&lt;=2,
SUMPRODUCT(INDEX($AV$61:$AX$65,,$AI673), INDEX($AY$61:$BE$65,,$AH673), 1 / ($BF$61:$BF$65*CC673 + (1-$BF$61:$BF$65)*BY673), N($AU$61:$AU$65&gt;$AM673)),
SUMPRODUCT(INDEX($AV$46:$AX$55,,$AI673), INDEX($AY$46:$BE$55,,$AH673), 1 / ($BG$46:$BG$55*CC673 + (1-$BG$46:$BG$55)*BY673), N($AU$46:$AU$55&gt;$AM673))
) / 1000</f>
        <v>0</v>
      </c>
      <c r="CE673" s="234" cm="1">
        <f t="array" ref="CE673">$BM673 * IF($AH673&lt;=2,
SUMPRODUCT(INDEX($AV$22:$AX$60,,$AI673), INDEX($AY$22:$BE$60,,$AH673), 1 / ($BF$22:$BF$60*CC673), N($AU$22:$AU$60&gt;$AM673)),
SUMPRODUCT(INDEX($AV$22:$AX$45,,$AI673), INDEX($AY$22:$BE$45,,$AH673), 1 / ($BG$22:$BG$45*CC673), N($AU$22:$AU$45&gt;$AM673))
) / 1000</f>
        <v>0</v>
      </c>
      <c r="CF673" s="229">
        <f t="shared" si="760"/>
        <v>0</v>
      </c>
      <c r="CG673" s="246"/>
      <c r="CH673" s="229">
        <f t="shared" si="761"/>
        <v>0</v>
      </c>
      <c r="CI673" s="228">
        <v>35</v>
      </c>
      <c r="CJ673" s="229">
        <f t="shared" si="762"/>
        <v>48</v>
      </c>
      <c r="CK673" s="234">
        <f t="shared" si="763"/>
        <v>3.0748170731707316</v>
      </c>
      <c r="CL673" s="234" cm="1">
        <f t="array" ref="CL673">$BM673 * SUMPRODUCT(INDEX($AV$76:$AX$81,,$AI673),INDEX($AY$76:$BE$81,,$AH673), N($AU$76:$AU$81&gt;$AM673)) / CK673 / 1000</f>
        <v>0</v>
      </c>
      <c r="CM673" s="231">
        <f t="shared" si="781"/>
        <v>30</v>
      </c>
      <c r="CN673" s="229">
        <f t="shared" si="764"/>
        <v>43</v>
      </c>
      <c r="CO673" s="234">
        <f t="shared" si="765"/>
        <v>3.5018750000000001</v>
      </c>
      <c r="CP673" s="234" cm="1">
        <f t="array" ref="CP673">$BM673 * IF($AH673&lt;=2,
SUMPRODUCT(INDEX($AV$71:$AX$75,,$AI673), INDEX($AY$71:$BE$75,,$AH673), 1 / ($BF$71:$BF$75*CO673 + (1-$BF$71:$BF$75)*CK673), N($AU$71:$AU$75&gt;$AM673)),
SUMPRODUCT(INDEX($AV$66:$AX$75,,$AI673), INDEX($AY$66:$BE$75,,$AH673), 1 / ($BG$66:$BG$75*CO673 + (1-$BG$66:$BG$75)*CK673), N($AU$66:$AU$75&gt;$AM673))
) / 1000</f>
        <v>0</v>
      </c>
      <c r="CQ673" s="231">
        <f t="shared" si="782"/>
        <v>25</v>
      </c>
      <c r="CR673" s="229">
        <f t="shared" si="766"/>
        <v>38</v>
      </c>
      <c r="CS673" s="234">
        <f t="shared" si="767"/>
        <v>4.0666935483870965</v>
      </c>
      <c r="CT673" s="234" cm="1">
        <f t="array" ref="CT673">$BM673 * IF($AH673&lt;=2,
SUMPRODUCT(INDEX($AV$66:$AX$70,,$AI673), INDEX($AY$66:$BE$70,,$AH673), 1 / ($BF$66:$BF$70*CS673 + (1-$BF$66:$BF$70)*CO673), N($AU$66:$AU$70&gt;$AM673)),
SUMPRODUCT(INDEX($AV$56:$AX$65,,$AI673), INDEX($AY$56:$BE$65,,$AH673), 1 / ($BG$56:$BG$65*CS673 + (1-$BG$56:$BG$65)*CO673), N($AU$56:$AU$65&gt;$AM673))
) / 1000</f>
        <v>0</v>
      </c>
      <c r="CU673" s="231">
        <f t="shared" si="783"/>
        <v>20</v>
      </c>
      <c r="CV673" s="229">
        <f t="shared" si="768"/>
        <v>33</v>
      </c>
      <c r="CW673" s="234">
        <f t="shared" si="769"/>
        <v>4.8487499999999999</v>
      </c>
      <c r="CX673" s="234" cm="1">
        <f t="array" ref="CX673">$BM673 * IF($AH673&lt;=2,
SUMPRODUCT(INDEX($AV$61:$AX$65,,$AI673), INDEX($AY$61:$BE$65,,$AH673), 1 / ($BF$61:$BF$65*CW673 + (1-$BF$61:$BF$65)*CS673), N($AU$61:$AU$65&gt;$AM673)),
SUMPRODUCT(INDEX($AV$46:$AX$55,,$AI673), INDEX($AY$46:$BE$55,,$AH673), 1 / ($BG$46:$BG$55*CW673 + (1-$BG$46:$BG$55)*CS673), N($AU$46:$AU$55&gt;$AM673))
) / 1000</f>
        <v>0</v>
      </c>
      <c r="CY673" s="234" cm="1">
        <f t="array" ref="CY673">$BM673 * IF($AH673&lt;=2,
SUMPRODUCT(INDEX($AV$22:$AX$60,,$AI673), INDEX($AY$22:$BE$60,,$AH673), 1 / ($BF$22:$BF$60*CW673), N($AU$22:$AU$60&gt;$AM673)),
SUMPRODUCT(INDEX($AV$22:$AX$45,,$AI673), INDEX($AY$22:$BE$45,,$AH673), 1 / ($BG$22:$BG$45*CW673), N($AU$22:$AU$45&gt;$AM673))
) / 1000</f>
        <v>0</v>
      </c>
      <c r="CZ673" s="229">
        <f t="shared" si="770"/>
        <v>0</v>
      </c>
      <c r="DA673" s="246"/>
    </row>
    <row r="674" spans="1:105" s="75" customFormat="1" ht="14.25" customHeight="1" x14ac:dyDescent="0.2">
      <c r="A674" s="230" t="b">
        <f t="shared" si="775"/>
        <v>0</v>
      </c>
      <c r="B674" s="253">
        <v>653</v>
      </c>
      <c r="C674" s="266"/>
      <c r="D674" s="266"/>
      <c r="E674" s="254"/>
      <c r="F674" s="255" t="str">
        <f>IF(ISBLANK(E674), "", VLOOKUP(E674, Z!$A$2:$C$4127, 3, FALSE))</f>
        <v/>
      </c>
      <c r="G674" s="256"/>
      <c r="H674" s="256"/>
      <c r="I674" s="256"/>
      <c r="J674" s="257"/>
      <c r="K674" s="258"/>
      <c r="L674" s="267"/>
      <c r="M674" s="268"/>
      <c r="N674" s="259" t="str" cm="1">
        <f t="array" ref="N674">IF($L674&gt;0, INDEX(Clean,1+AK674,$D$1), "")</f>
        <v/>
      </c>
      <c r="O674" s="260"/>
      <c r="P674" s="260"/>
      <c r="Q674" s="261"/>
      <c r="R674" s="264">
        <f t="shared" si="746"/>
        <v>0</v>
      </c>
      <c r="S674" s="259" t="str" cm="1">
        <f t="array" ref="S674">IF($L674&gt;0, INDEX(Clean,1+AL674,$D$1), "")</f>
        <v/>
      </c>
      <c r="T674" s="260"/>
      <c r="U674" s="260"/>
      <c r="V674" s="261"/>
      <c r="W674" s="267"/>
      <c r="X674" s="267"/>
      <c r="Y674" s="257"/>
      <c r="Z674" s="264">
        <f t="shared" si="747"/>
        <v>0</v>
      </c>
      <c r="AA674" s="269"/>
      <c r="AB674" s="266"/>
      <c r="AC674" s="254"/>
      <c r="AD674" s="255" t="str">
        <f>IF(ISBLANK(AC674), "", VLOOKUP(AC674, Z!$A$2:$C$4127, 3, FALSE))</f>
        <v/>
      </c>
      <c r="AE674" s="270"/>
      <c r="AF674" s="265">
        <f t="shared" si="748"/>
        <v>0</v>
      </c>
      <c r="AG674" s="246"/>
      <c r="AH674" s="228">
        <f t="shared" si="771"/>
        <v>1</v>
      </c>
      <c r="AI674" s="228">
        <f t="shared" si="772"/>
        <v>1</v>
      </c>
      <c r="AJ674" s="228">
        <f t="shared" si="773"/>
        <v>0</v>
      </c>
      <c r="AK674" s="228">
        <v>0</v>
      </c>
      <c r="AL674" s="228">
        <v>0</v>
      </c>
      <c r="AM674" s="228">
        <f t="shared" si="749"/>
        <v>-100</v>
      </c>
      <c r="AN674" s="228" cm="1">
        <f t="array" ref="AN674">IF(ISBLANK(G674), 1, IFERROR(MATCH(G674, INDEX(Kat,,1), 0), IFERROR(MATCH(Kat, INDEX(Use,,2), 0), MATCH(Kat, INDEX(Use,,3), 0))))</f>
        <v>1</v>
      </c>
      <c r="AO674" s="246"/>
      <c r="AP674" s="228" cm="1">
        <f t="array" ref="AP674">IF(W674&gt;0, INDEX(Kat, AN674,4), 0)</f>
        <v>0</v>
      </c>
      <c r="AQ674" s="228">
        <f t="shared" si="774"/>
        <v>0</v>
      </c>
      <c r="AR674" s="228" cm="1">
        <f t="array" ref="AR674">IF(X674&gt;0, INDEX(Kat, $AN674, 4+AQ674), 0)</f>
        <v>0</v>
      </c>
      <c r="AS674" s="228" cm="1">
        <f t="array" ref="AS674">IF(X674&gt;0, INDEX(Kat, $AN674, 9+AQ674), 0)</f>
        <v>0</v>
      </c>
      <c r="AT674" s="246"/>
      <c r="AU674" s="262"/>
      <c r="AV674" s="262"/>
      <c r="AW674" s="263"/>
      <c r="AX674" s="263"/>
      <c r="AY674" s="263"/>
      <c r="AZ674" s="263"/>
      <c r="BA674" s="263"/>
      <c r="BB674" s="263"/>
      <c r="BC674" s="263"/>
      <c r="BD674" s="263"/>
      <c r="BE674" s="263"/>
      <c r="BF674" s="263"/>
      <c r="BG674" s="263"/>
      <c r="BH674" s="246"/>
      <c r="BI674" s="228" cm="1">
        <f t="array" ref="BI674">INDEX(Use, $AH674, 4)</f>
        <v>7</v>
      </c>
      <c r="BJ674" s="228">
        <f t="shared" si="750"/>
        <v>32</v>
      </c>
      <c r="BK674" s="228">
        <f t="shared" si="776"/>
        <v>13</v>
      </c>
      <c r="BL674" s="228">
        <f t="shared" si="777"/>
        <v>0</v>
      </c>
      <c r="BM674" s="233" cm="1">
        <f t="array" ref="BM674">L674/IF($M674&gt;0, INDEX($AY$22:$BE$76, $M674+20, $AH674), 1)</f>
        <v>0</v>
      </c>
      <c r="BN674" s="229">
        <f t="shared" si="751"/>
        <v>0</v>
      </c>
      <c r="BO674" s="228">
        <v>35</v>
      </c>
      <c r="BP674" s="229">
        <f t="shared" si="752"/>
        <v>48</v>
      </c>
      <c r="BQ674" s="234">
        <f t="shared" si="753"/>
        <v>3.0748170731707316</v>
      </c>
      <c r="BR674" s="234" cm="1">
        <f t="array" ref="BR674">$BM674 * SUMPRODUCT(INDEX($AV$76:$AX$81,,$AI674),INDEX($AY$76:$BE$81,,$AH674), N($AU$76:$AU$81&gt;$AM674)) / BQ674 / 1000</f>
        <v>0</v>
      </c>
      <c r="BS674" s="231">
        <f t="shared" si="778"/>
        <v>30</v>
      </c>
      <c r="BT674" s="229">
        <f t="shared" si="754"/>
        <v>43</v>
      </c>
      <c r="BU674" s="234">
        <f t="shared" si="755"/>
        <v>3.5018750000000001</v>
      </c>
      <c r="BV674" s="234" cm="1">
        <f t="array" ref="BV674">$BM674 * IF($AH674&lt;=2,
SUMPRODUCT(INDEX($AV$71:$AX$75,,$AI674), INDEX($AY$71:$BE$75,,$AH674), 1 / ($BF$71:$BF$75*BU674 + (1-$BF$71:$BF$75)*BQ674), N($AU$71:$AU$75&gt;$AM674)),
SUMPRODUCT(INDEX($AV$66:$AX$75,,$AI674), INDEX($AY$66:$BE$75,,$AH674), 1 / ($BG$66:$BG$75*BU674 + (1-$BG$66:$BG$75)*BQ674), N($AU$66:$AU$75&gt;$AM674))
) / 1000</f>
        <v>0</v>
      </c>
      <c r="BW674" s="231">
        <f t="shared" si="779"/>
        <v>25</v>
      </c>
      <c r="BX674" s="229">
        <f t="shared" si="756"/>
        <v>38</v>
      </c>
      <c r="BY674" s="234">
        <f t="shared" si="757"/>
        <v>4.0666935483870965</v>
      </c>
      <c r="BZ674" s="234" cm="1">
        <f t="array" ref="BZ674">$BM674 * IF($AH674&lt;=2,
SUMPRODUCT(INDEX($AV$66:$AX$70,,$AI674), INDEX($AY$66:$BE$70,,$AH674), 1 / ($BF$66:$BF$70*BY674 + (1-$BF$66:$BF$70)*BU674), N($AU$66:$AU$70&gt;$AM674)),
SUMPRODUCT(INDEX($AV$56:$AX$65,,$AI674), INDEX($AY$56:$BE$65,,$AH674), 1 / ($BG$56:$BG$65*BY674 + (1-$BG$56:$BG$65)*BU674), N($AU$56:$AU$65&gt;$AM674))
) / 1000</f>
        <v>0</v>
      </c>
      <c r="CA674" s="231">
        <f t="shared" si="780"/>
        <v>20</v>
      </c>
      <c r="CB674" s="229">
        <f t="shared" si="758"/>
        <v>33</v>
      </c>
      <c r="CC674" s="234">
        <f t="shared" si="759"/>
        <v>4.8487499999999999</v>
      </c>
      <c r="CD674" s="234" cm="1">
        <f t="array" ref="CD674">$BM674 * IF($AH674&lt;=2,
SUMPRODUCT(INDEX($AV$61:$AX$65,,$AI674), INDEX($AY$61:$BE$65,,$AH674), 1 / ($BF$61:$BF$65*CC674 + (1-$BF$61:$BF$65)*BY674), N($AU$61:$AU$65&gt;$AM674)),
SUMPRODUCT(INDEX($AV$46:$AX$55,,$AI674), INDEX($AY$46:$BE$55,,$AH674), 1 / ($BG$46:$BG$55*CC674 + (1-$BG$46:$BG$55)*BY674), N($AU$46:$AU$55&gt;$AM674))
) / 1000</f>
        <v>0</v>
      </c>
      <c r="CE674" s="234" cm="1">
        <f t="array" ref="CE674">$BM674 * IF($AH674&lt;=2,
SUMPRODUCT(INDEX($AV$22:$AX$60,,$AI674), INDEX($AY$22:$BE$60,,$AH674), 1 / ($BF$22:$BF$60*CC674), N($AU$22:$AU$60&gt;$AM674)),
SUMPRODUCT(INDEX($AV$22:$AX$45,,$AI674), INDEX($AY$22:$BE$45,,$AH674), 1 / ($BG$22:$BG$45*CC674), N($AU$22:$AU$45&gt;$AM674))
) / 1000</f>
        <v>0</v>
      </c>
      <c r="CF674" s="229">
        <f t="shared" si="760"/>
        <v>0</v>
      </c>
      <c r="CG674" s="246"/>
      <c r="CH674" s="229">
        <f t="shared" si="761"/>
        <v>0</v>
      </c>
      <c r="CI674" s="228">
        <v>35</v>
      </c>
      <c r="CJ674" s="229">
        <f t="shared" si="762"/>
        <v>48</v>
      </c>
      <c r="CK674" s="234">
        <f t="shared" si="763"/>
        <v>3.0748170731707316</v>
      </c>
      <c r="CL674" s="234" cm="1">
        <f t="array" ref="CL674">$BM674 * SUMPRODUCT(INDEX($AV$76:$AX$81,,$AI674),INDEX($AY$76:$BE$81,,$AH674), N($AU$76:$AU$81&gt;$AM674)) / CK674 / 1000</f>
        <v>0</v>
      </c>
      <c r="CM674" s="231">
        <f t="shared" si="781"/>
        <v>30</v>
      </c>
      <c r="CN674" s="229">
        <f t="shared" si="764"/>
        <v>43</v>
      </c>
      <c r="CO674" s="234">
        <f t="shared" si="765"/>
        <v>3.5018750000000001</v>
      </c>
      <c r="CP674" s="234" cm="1">
        <f t="array" ref="CP674">$BM674 * IF($AH674&lt;=2,
SUMPRODUCT(INDEX($AV$71:$AX$75,,$AI674), INDEX($AY$71:$BE$75,,$AH674), 1 / ($BF$71:$BF$75*CO674 + (1-$BF$71:$BF$75)*CK674), N($AU$71:$AU$75&gt;$AM674)),
SUMPRODUCT(INDEX($AV$66:$AX$75,,$AI674), INDEX($AY$66:$BE$75,,$AH674), 1 / ($BG$66:$BG$75*CO674 + (1-$BG$66:$BG$75)*CK674), N($AU$66:$AU$75&gt;$AM674))
) / 1000</f>
        <v>0</v>
      </c>
      <c r="CQ674" s="231">
        <f t="shared" si="782"/>
        <v>25</v>
      </c>
      <c r="CR674" s="229">
        <f t="shared" si="766"/>
        <v>38</v>
      </c>
      <c r="CS674" s="234">
        <f t="shared" si="767"/>
        <v>4.0666935483870965</v>
      </c>
      <c r="CT674" s="234" cm="1">
        <f t="array" ref="CT674">$BM674 * IF($AH674&lt;=2,
SUMPRODUCT(INDEX($AV$66:$AX$70,,$AI674), INDEX($AY$66:$BE$70,,$AH674), 1 / ($BF$66:$BF$70*CS674 + (1-$BF$66:$BF$70)*CO674), N($AU$66:$AU$70&gt;$AM674)),
SUMPRODUCT(INDEX($AV$56:$AX$65,,$AI674), INDEX($AY$56:$BE$65,,$AH674), 1 / ($BG$56:$BG$65*CS674 + (1-$BG$56:$BG$65)*CO674), N($AU$56:$AU$65&gt;$AM674))
) / 1000</f>
        <v>0</v>
      </c>
      <c r="CU674" s="231">
        <f t="shared" si="783"/>
        <v>20</v>
      </c>
      <c r="CV674" s="229">
        <f t="shared" si="768"/>
        <v>33</v>
      </c>
      <c r="CW674" s="234">
        <f t="shared" si="769"/>
        <v>4.8487499999999999</v>
      </c>
      <c r="CX674" s="234" cm="1">
        <f t="array" ref="CX674">$BM674 * IF($AH674&lt;=2,
SUMPRODUCT(INDEX($AV$61:$AX$65,,$AI674), INDEX($AY$61:$BE$65,,$AH674), 1 / ($BF$61:$BF$65*CW674 + (1-$BF$61:$BF$65)*CS674), N($AU$61:$AU$65&gt;$AM674)),
SUMPRODUCT(INDEX($AV$46:$AX$55,,$AI674), INDEX($AY$46:$BE$55,,$AH674), 1 / ($BG$46:$BG$55*CW674 + (1-$BG$46:$BG$55)*CS674), N($AU$46:$AU$55&gt;$AM674))
) / 1000</f>
        <v>0</v>
      </c>
      <c r="CY674" s="234" cm="1">
        <f t="array" ref="CY674">$BM674 * IF($AH674&lt;=2,
SUMPRODUCT(INDEX($AV$22:$AX$60,,$AI674), INDEX($AY$22:$BE$60,,$AH674), 1 / ($BF$22:$BF$60*CW674), N($AU$22:$AU$60&gt;$AM674)),
SUMPRODUCT(INDEX($AV$22:$AX$45,,$AI674), INDEX($AY$22:$BE$45,,$AH674), 1 / ($BG$22:$BG$45*CW674), N($AU$22:$AU$45&gt;$AM674))
) / 1000</f>
        <v>0</v>
      </c>
      <c r="CZ674" s="229">
        <f t="shared" si="770"/>
        <v>0</v>
      </c>
      <c r="DA674" s="246"/>
    </row>
    <row r="675" spans="1:105" s="75" customFormat="1" ht="14.25" customHeight="1" x14ac:dyDescent="0.2">
      <c r="A675" s="230" t="b">
        <f t="shared" si="775"/>
        <v>0</v>
      </c>
      <c r="B675" s="253">
        <v>654</v>
      </c>
      <c r="C675" s="266"/>
      <c r="D675" s="266"/>
      <c r="E675" s="254"/>
      <c r="F675" s="255" t="str">
        <f>IF(ISBLANK(E675), "", VLOOKUP(E675, Z!$A$2:$C$4127, 3, FALSE))</f>
        <v/>
      </c>
      <c r="G675" s="256"/>
      <c r="H675" s="256"/>
      <c r="I675" s="256"/>
      <c r="J675" s="257"/>
      <c r="K675" s="258"/>
      <c r="L675" s="267"/>
      <c r="M675" s="268"/>
      <c r="N675" s="259" t="str" cm="1">
        <f t="array" ref="N675">IF($L675&gt;0, INDEX(Clean,1+AK675,$D$1), "")</f>
        <v/>
      </c>
      <c r="O675" s="260"/>
      <c r="P675" s="260"/>
      <c r="Q675" s="261"/>
      <c r="R675" s="264">
        <f t="shared" si="746"/>
        <v>0</v>
      </c>
      <c r="S675" s="259" t="str" cm="1">
        <f t="array" ref="S675">IF($L675&gt;0, INDEX(Clean,1+AL675,$D$1), "")</f>
        <v/>
      </c>
      <c r="T675" s="260"/>
      <c r="U675" s="260"/>
      <c r="V675" s="261"/>
      <c r="W675" s="267"/>
      <c r="X675" s="267"/>
      <c r="Y675" s="257"/>
      <c r="Z675" s="264">
        <f t="shared" si="747"/>
        <v>0</v>
      </c>
      <c r="AA675" s="269"/>
      <c r="AB675" s="266"/>
      <c r="AC675" s="254"/>
      <c r="AD675" s="255" t="str">
        <f>IF(ISBLANK(AC675), "", VLOOKUP(AC675, Z!$A$2:$C$4127, 3, FALSE))</f>
        <v/>
      </c>
      <c r="AE675" s="270"/>
      <c r="AF675" s="265">
        <f t="shared" si="748"/>
        <v>0</v>
      </c>
      <c r="AG675" s="246"/>
      <c r="AH675" s="228">
        <f t="shared" si="771"/>
        <v>1</v>
      </c>
      <c r="AI675" s="228">
        <f t="shared" si="772"/>
        <v>1</v>
      </c>
      <c r="AJ675" s="228">
        <f t="shared" si="773"/>
        <v>0</v>
      </c>
      <c r="AK675" s="228">
        <v>0</v>
      </c>
      <c r="AL675" s="228">
        <v>0</v>
      </c>
      <c r="AM675" s="228">
        <f t="shared" si="749"/>
        <v>-100</v>
      </c>
      <c r="AN675" s="228" cm="1">
        <f t="array" ref="AN675">IF(ISBLANK(G675), 1, IFERROR(MATCH(G675, INDEX(Kat,,1), 0), IFERROR(MATCH(Kat, INDEX(Use,,2), 0), MATCH(Kat, INDEX(Use,,3), 0))))</f>
        <v>1</v>
      </c>
      <c r="AO675" s="246"/>
      <c r="AP675" s="228" cm="1">
        <f t="array" ref="AP675">IF(W675&gt;0, INDEX(Kat, AN675,4), 0)</f>
        <v>0</v>
      </c>
      <c r="AQ675" s="228">
        <f t="shared" si="774"/>
        <v>0</v>
      </c>
      <c r="AR675" s="228" cm="1">
        <f t="array" ref="AR675">IF(X675&gt;0, INDEX(Kat, $AN675, 4+AQ675), 0)</f>
        <v>0</v>
      </c>
      <c r="AS675" s="228" cm="1">
        <f t="array" ref="AS675">IF(X675&gt;0, INDEX(Kat, $AN675, 9+AQ675), 0)</f>
        <v>0</v>
      </c>
      <c r="AT675" s="246"/>
      <c r="AU675" s="262"/>
      <c r="AV675" s="262"/>
      <c r="AW675" s="263"/>
      <c r="AX675" s="263"/>
      <c r="AY675" s="263"/>
      <c r="AZ675" s="263"/>
      <c r="BA675" s="263"/>
      <c r="BB675" s="263"/>
      <c r="BC675" s="263"/>
      <c r="BD675" s="263"/>
      <c r="BE675" s="263"/>
      <c r="BF675" s="263"/>
      <c r="BG675" s="263"/>
      <c r="BH675" s="246"/>
      <c r="BI675" s="228" cm="1">
        <f t="array" ref="BI675">INDEX(Use, $AH675, 4)</f>
        <v>7</v>
      </c>
      <c r="BJ675" s="228">
        <f t="shared" si="750"/>
        <v>32</v>
      </c>
      <c r="BK675" s="228">
        <f t="shared" si="776"/>
        <v>13</v>
      </c>
      <c r="BL675" s="228">
        <f t="shared" si="777"/>
        <v>0</v>
      </c>
      <c r="BM675" s="233" cm="1">
        <f t="array" ref="BM675">L675/IF($M675&gt;0, INDEX($AY$22:$BE$76, $M675+20, $AH675), 1)</f>
        <v>0</v>
      </c>
      <c r="BN675" s="229">
        <f t="shared" si="751"/>
        <v>0</v>
      </c>
      <c r="BO675" s="228">
        <v>35</v>
      </c>
      <c r="BP675" s="229">
        <f t="shared" si="752"/>
        <v>48</v>
      </c>
      <c r="BQ675" s="234">
        <f t="shared" si="753"/>
        <v>3.0748170731707316</v>
      </c>
      <c r="BR675" s="234" cm="1">
        <f t="array" ref="BR675">$BM675 * SUMPRODUCT(INDEX($AV$76:$AX$81,,$AI675),INDEX($AY$76:$BE$81,,$AH675), N($AU$76:$AU$81&gt;$AM675)) / BQ675 / 1000</f>
        <v>0</v>
      </c>
      <c r="BS675" s="231">
        <f t="shared" si="778"/>
        <v>30</v>
      </c>
      <c r="BT675" s="229">
        <f t="shared" si="754"/>
        <v>43</v>
      </c>
      <c r="BU675" s="234">
        <f t="shared" si="755"/>
        <v>3.5018750000000001</v>
      </c>
      <c r="BV675" s="234" cm="1">
        <f t="array" ref="BV675">$BM675 * IF($AH675&lt;=2,
SUMPRODUCT(INDEX($AV$71:$AX$75,,$AI675), INDEX($AY$71:$BE$75,,$AH675), 1 / ($BF$71:$BF$75*BU675 + (1-$BF$71:$BF$75)*BQ675), N($AU$71:$AU$75&gt;$AM675)),
SUMPRODUCT(INDEX($AV$66:$AX$75,,$AI675), INDEX($AY$66:$BE$75,,$AH675), 1 / ($BG$66:$BG$75*BU675 + (1-$BG$66:$BG$75)*BQ675), N($AU$66:$AU$75&gt;$AM675))
) / 1000</f>
        <v>0</v>
      </c>
      <c r="BW675" s="231">
        <f t="shared" si="779"/>
        <v>25</v>
      </c>
      <c r="BX675" s="229">
        <f t="shared" si="756"/>
        <v>38</v>
      </c>
      <c r="BY675" s="234">
        <f t="shared" si="757"/>
        <v>4.0666935483870965</v>
      </c>
      <c r="BZ675" s="234" cm="1">
        <f t="array" ref="BZ675">$BM675 * IF($AH675&lt;=2,
SUMPRODUCT(INDEX($AV$66:$AX$70,,$AI675), INDEX($AY$66:$BE$70,,$AH675), 1 / ($BF$66:$BF$70*BY675 + (1-$BF$66:$BF$70)*BU675), N($AU$66:$AU$70&gt;$AM675)),
SUMPRODUCT(INDEX($AV$56:$AX$65,,$AI675), INDEX($AY$56:$BE$65,,$AH675), 1 / ($BG$56:$BG$65*BY675 + (1-$BG$56:$BG$65)*BU675), N($AU$56:$AU$65&gt;$AM675))
) / 1000</f>
        <v>0</v>
      </c>
      <c r="CA675" s="231">
        <f t="shared" si="780"/>
        <v>20</v>
      </c>
      <c r="CB675" s="229">
        <f t="shared" si="758"/>
        <v>33</v>
      </c>
      <c r="CC675" s="234">
        <f t="shared" si="759"/>
        <v>4.8487499999999999</v>
      </c>
      <c r="CD675" s="234" cm="1">
        <f t="array" ref="CD675">$BM675 * IF($AH675&lt;=2,
SUMPRODUCT(INDEX($AV$61:$AX$65,,$AI675), INDEX($AY$61:$BE$65,,$AH675), 1 / ($BF$61:$BF$65*CC675 + (1-$BF$61:$BF$65)*BY675), N($AU$61:$AU$65&gt;$AM675)),
SUMPRODUCT(INDEX($AV$46:$AX$55,,$AI675), INDEX($AY$46:$BE$55,,$AH675), 1 / ($BG$46:$BG$55*CC675 + (1-$BG$46:$BG$55)*BY675), N($AU$46:$AU$55&gt;$AM675))
) / 1000</f>
        <v>0</v>
      </c>
      <c r="CE675" s="234" cm="1">
        <f t="array" ref="CE675">$BM675 * IF($AH675&lt;=2,
SUMPRODUCT(INDEX($AV$22:$AX$60,,$AI675), INDEX($AY$22:$BE$60,,$AH675), 1 / ($BF$22:$BF$60*CC675), N($AU$22:$AU$60&gt;$AM675)),
SUMPRODUCT(INDEX($AV$22:$AX$45,,$AI675), INDEX($AY$22:$BE$45,,$AH675), 1 / ($BG$22:$BG$45*CC675), N($AU$22:$AU$45&gt;$AM675))
) / 1000</f>
        <v>0</v>
      </c>
      <c r="CF675" s="229">
        <f t="shared" si="760"/>
        <v>0</v>
      </c>
      <c r="CG675" s="246"/>
      <c r="CH675" s="229">
        <f t="shared" si="761"/>
        <v>0</v>
      </c>
      <c r="CI675" s="228">
        <v>35</v>
      </c>
      <c r="CJ675" s="229">
        <f t="shared" si="762"/>
        <v>48</v>
      </c>
      <c r="CK675" s="234">
        <f t="shared" si="763"/>
        <v>3.0748170731707316</v>
      </c>
      <c r="CL675" s="234" cm="1">
        <f t="array" ref="CL675">$BM675 * SUMPRODUCT(INDEX($AV$76:$AX$81,,$AI675),INDEX($AY$76:$BE$81,,$AH675), N($AU$76:$AU$81&gt;$AM675)) / CK675 / 1000</f>
        <v>0</v>
      </c>
      <c r="CM675" s="231">
        <f t="shared" si="781"/>
        <v>30</v>
      </c>
      <c r="CN675" s="229">
        <f t="shared" si="764"/>
        <v>43</v>
      </c>
      <c r="CO675" s="234">
        <f t="shared" si="765"/>
        <v>3.5018750000000001</v>
      </c>
      <c r="CP675" s="234" cm="1">
        <f t="array" ref="CP675">$BM675 * IF($AH675&lt;=2,
SUMPRODUCT(INDEX($AV$71:$AX$75,,$AI675), INDEX($AY$71:$BE$75,,$AH675), 1 / ($BF$71:$BF$75*CO675 + (1-$BF$71:$BF$75)*CK675), N($AU$71:$AU$75&gt;$AM675)),
SUMPRODUCT(INDEX($AV$66:$AX$75,,$AI675), INDEX($AY$66:$BE$75,,$AH675), 1 / ($BG$66:$BG$75*CO675 + (1-$BG$66:$BG$75)*CK675), N($AU$66:$AU$75&gt;$AM675))
) / 1000</f>
        <v>0</v>
      </c>
      <c r="CQ675" s="231">
        <f t="shared" si="782"/>
        <v>25</v>
      </c>
      <c r="CR675" s="229">
        <f t="shared" si="766"/>
        <v>38</v>
      </c>
      <c r="CS675" s="234">
        <f t="shared" si="767"/>
        <v>4.0666935483870965</v>
      </c>
      <c r="CT675" s="234" cm="1">
        <f t="array" ref="CT675">$BM675 * IF($AH675&lt;=2,
SUMPRODUCT(INDEX($AV$66:$AX$70,,$AI675), INDEX($AY$66:$BE$70,,$AH675), 1 / ($BF$66:$BF$70*CS675 + (1-$BF$66:$BF$70)*CO675), N($AU$66:$AU$70&gt;$AM675)),
SUMPRODUCT(INDEX($AV$56:$AX$65,,$AI675), INDEX($AY$56:$BE$65,,$AH675), 1 / ($BG$56:$BG$65*CS675 + (1-$BG$56:$BG$65)*CO675), N($AU$56:$AU$65&gt;$AM675))
) / 1000</f>
        <v>0</v>
      </c>
      <c r="CU675" s="231">
        <f t="shared" si="783"/>
        <v>20</v>
      </c>
      <c r="CV675" s="229">
        <f t="shared" si="768"/>
        <v>33</v>
      </c>
      <c r="CW675" s="234">
        <f t="shared" si="769"/>
        <v>4.8487499999999999</v>
      </c>
      <c r="CX675" s="234" cm="1">
        <f t="array" ref="CX675">$BM675 * IF($AH675&lt;=2,
SUMPRODUCT(INDEX($AV$61:$AX$65,,$AI675), INDEX($AY$61:$BE$65,,$AH675), 1 / ($BF$61:$BF$65*CW675 + (1-$BF$61:$BF$65)*CS675), N($AU$61:$AU$65&gt;$AM675)),
SUMPRODUCT(INDEX($AV$46:$AX$55,,$AI675), INDEX($AY$46:$BE$55,,$AH675), 1 / ($BG$46:$BG$55*CW675 + (1-$BG$46:$BG$55)*CS675), N($AU$46:$AU$55&gt;$AM675))
) / 1000</f>
        <v>0</v>
      </c>
      <c r="CY675" s="234" cm="1">
        <f t="array" ref="CY675">$BM675 * IF($AH675&lt;=2,
SUMPRODUCT(INDEX($AV$22:$AX$60,,$AI675), INDEX($AY$22:$BE$60,,$AH675), 1 / ($BF$22:$BF$60*CW675), N($AU$22:$AU$60&gt;$AM675)),
SUMPRODUCT(INDEX($AV$22:$AX$45,,$AI675), INDEX($AY$22:$BE$45,,$AH675), 1 / ($BG$22:$BG$45*CW675), N($AU$22:$AU$45&gt;$AM675))
) / 1000</f>
        <v>0</v>
      </c>
      <c r="CZ675" s="229">
        <f t="shared" si="770"/>
        <v>0</v>
      </c>
      <c r="DA675" s="246"/>
    </row>
    <row r="676" spans="1:105" s="75" customFormat="1" ht="14.25" customHeight="1" x14ac:dyDescent="0.2">
      <c r="A676" s="230" t="b">
        <f t="shared" si="775"/>
        <v>0</v>
      </c>
      <c r="B676" s="253">
        <v>655</v>
      </c>
      <c r="C676" s="266"/>
      <c r="D676" s="266"/>
      <c r="E676" s="254"/>
      <c r="F676" s="255" t="str">
        <f>IF(ISBLANK(E676), "", VLOOKUP(E676, Z!$A$2:$C$4127, 3, FALSE))</f>
        <v/>
      </c>
      <c r="G676" s="256"/>
      <c r="H676" s="256"/>
      <c r="I676" s="256"/>
      <c r="J676" s="257"/>
      <c r="K676" s="258"/>
      <c r="L676" s="267"/>
      <c r="M676" s="268"/>
      <c r="N676" s="259" t="str" cm="1">
        <f t="array" ref="N676">IF($L676&gt;0, INDEX(Clean,1+AK676,$D$1), "")</f>
        <v/>
      </c>
      <c r="O676" s="260"/>
      <c r="P676" s="260"/>
      <c r="Q676" s="261"/>
      <c r="R676" s="264">
        <f t="shared" si="746"/>
        <v>0</v>
      </c>
      <c r="S676" s="259" t="str" cm="1">
        <f t="array" ref="S676">IF($L676&gt;0, INDEX(Clean,1+AL676,$D$1), "")</f>
        <v/>
      </c>
      <c r="T676" s="260"/>
      <c r="U676" s="260"/>
      <c r="V676" s="261"/>
      <c r="W676" s="267"/>
      <c r="X676" s="267"/>
      <c r="Y676" s="257"/>
      <c r="Z676" s="264">
        <f t="shared" si="747"/>
        <v>0</v>
      </c>
      <c r="AA676" s="269"/>
      <c r="AB676" s="266"/>
      <c r="AC676" s="254"/>
      <c r="AD676" s="255" t="str">
        <f>IF(ISBLANK(AC676), "", VLOOKUP(AC676, Z!$A$2:$C$4127, 3, FALSE))</f>
        <v/>
      </c>
      <c r="AE676" s="270"/>
      <c r="AF676" s="265">
        <f t="shared" si="748"/>
        <v>0</v>
      </c>
      <c r="AG676" s="246"/>
      <c r="AH676" s="228">
        <f t="shared" si="771"/>
        <v>1</v>
      </c>
      <c r="AI676" s="228">
        <f t="shared" si="772"/>
        <v>1</v>
      </c>
      <c r="AJ676" s="228">
        <f t="shared" si="773"/>
        <v>0</v>
      </c>
      <c r="AK676" s="228">
        <v>0</v>
      </c>
      <c r="AL676" s="228">
        <v>0</v>
      </c>
      <c r="AM676" s="228">
        <f t="shared" si="749"/>
        <v>-100</v>
      </c>
      <c r="AN676" s="228" cm="1">
        <f t="array" ref="AN676">IF(ISBLANK(G676), 1, IFERROR(MATCH(G676, INDEX(Kat,,1), 0), IFERROR(MATCH(Kat, INDEX(Use,,2), 0), MATCH(Kat, INDEX(Use,,3), 0))))</f>
        <v>1</v>
      </c>
      <c r="AO676" s="246"/>
      <c r="AP676" s="228" cm="1">
        <f t="array" ref="AP676">IF(W676&gt;0, INDEX(Kat, AN676,4), 0)</f>
        <v>0</v>
      </c>
      <c r="AQ676" s="228">
        <f t="shared" si="774"/>
        <v>0</v>
      </c>
      <c r="AR676" s="228" cm="1">
        <f t="array" ref="AR676">IF(X676&gt;0, INDEX(Kat, $AN676, 4+AQ676), 0)</f>
        <v>0</v>
      </c>
      <c r="AS676" s="228" cm="1">
        <f t="array" ref="AS676">IF(X676&gt;0, INDEX(Kat, $AN676, 9+AQ676), 0)</f>
        <v>0</v>
      </c>
      <c r="AT676" s="246"/>
      <c r="AU676" s="262"/>
      <c r="AV676" s="262"/>
      <c r="AW676" s="263"/>
      <c r="AX676" s="263"/>
      <c r="AY676" s="263"/>
      <c r="AZ676" s="263"/>
      <c r="BA676" s="263"/>
      <c r="BB676" s="263"/>
      <c r="BC676" s="263"/>
      <c r="BD676" s="263"/>
      <c r="BE676" s="263"/>
      <c r="BF676" s="263"/>
      <c r="BG676" s="263"/>
      <c r="BH676" s="246"/>
      <c r="BI676" s="228" cm="1">
        <f t="array" ref="BI676">INDEX(Use, $AH676, 4)</f>
        <v>7</v>
      </c>
      <c r="BJ676" s="228">
        <f t="shared" si="750"/>
        <v>32</v>
      </c>
      <c r="BK676" s="228">
        <f t="shared" si="776"/>
        <v>13</v>
      </c>
      <c r="BL676" s="228">
        <f t="shared" si="777"/>
        <v>0</v>
      </c>
      <c r="BM676" s="233" cm="1">
        <f t="array" ref="BM676">L676/IF($M676&gt;0, INDEX($AY$22:$BE$76, $M676+20, $AH676), 1)</f>
        <v>0</v>
      </c>
      <c r="BN676" s="229">
        <f t="shared" si="751"/>
        <v>0</v>
      </c>
      <c r="BO676" s="228">
        <v>35</v>
      </c>
      <c r="BP676" s="229">
        <f t="shared" si="752"/>
        <v>48</v>
      </c>
      <c r="BQ676" s="234">
        <f t="shared" si="753"/>
        <v>3.0748170731707316</v>
      </c>
      <c r="BR676" s="234" cm="1">
        <f t="array" ref="BR676">$BM676 * SUMPRODUCT(INDEX($AV$76:$AX$81,,$AI676),INDEX($AY$76:$BE$81,,$AH676), N($AU$76:$AU$81&gt;$AM676)) / BQ676 / 1000</f>
        <v>0</v>
      </c>
      <c r="BS676" s="231">
        <f t="shared" si="778"/>
        <v>30</v>
      </c>
      <c r="BT676" s="229">
        <f t="shared" si="754"/>
        <v>43</v>
      </c>
      <c r="BU676" s="234">
        <f t="shared" si="755"/>
        <v>3.5018750000000001</v>
      </c>
      <c r="BV676" s="234" cm="1">
        <f t="array" ref="BV676">$BM676 * IF($AH676&lt;=2,
SUMPRODUCT(INDEX($AV$71:$AX$75,,$AI676), INDEX($AY$71:$BE$75,,$AH676), 1 / ($BF$71:$BF$75*BU676 + (1-$BF$71:$BF$75)*BQ676), N($AU$71:$AU$75&gt;$AM676)),
SUMPRODUCT(INDEX($AV$66:$AX$75,,$AI676), INDEX($AY$66:$BE$75,,$AH676), 1 / ($BG$66:$BG$75*BU676 + (1-$BG$66:$BG$75)*BQ676), N($AU$66:$AU$75&gt;$AM676))
) / 1000</f>
        <v>0</v>
      </c>
      <c r="BW676" s="231">
        <f t="shared" si="779"/>
        <v>25</v>
      </c>
      <c r="BX676" s="229">
        <f t="shared" si="756"/>
        <v>38</v>
      </c>
      <c r="BY676" s="234">
        <f t="shared" si="757"/>
        <v>4.0666935483870965</v>
      </c>
      <c r="BZ676" s="234" cm="1">
        <f t="array" ref="BZ676">$BM676 * IF($AH676&lt;=2,
SUMPRODUCT(INDEX($AV$66:$AX$70,,$AI676), INDEX($AY$66:$BE$70,,$AH676), 1 / ($BF$66:$BF$70*BY676 + (1-$BF$66:$BF$70)*BU676), N($AU$66:$AU$70&gt;$AM676)),
SUMPRODUCT(INDEX($AV$56:$AX$65,,$AI676), INDEX($AY$56:$BE$65,,$AH676), 1 / ($BG$56:$BG$65*BY676 + (1-$BG$56:$BG$65)*BU676), N($AU$56:$AU$65&gt;$AM676))
) / 1000</f>
        <v>0</v>
      </c>
      <c r="CA676" s="231">
        <f t="shared" si="780"/>
        <v>20</v>
      </c>
      <c r="CB676" s="229">
        <f t="shared" si="758"/>
        <v>33</v>
      </c>
      <c r="CC676" s="234">
        <f t="shared" si="759"/>
        <v>4.8487499999999999</v>
      </c>
      <c r="CD676" s="234" cm="1">
        <f t="array" ref="CD676">$BM676 * IF($AH676&lt;=2,
SUMPRODUCT(INDEX($AV$61:$AX$65,,$AI676), INDEX($AY$61:$BE$65,,$AH676), 1 / ($BF$61:$BF$65*CC676 + (1-$BF$61:$BF$65)*BY676), N($AU$61:$AU$65&gt;$AM676)),
SUMPRODUCT(INDEX($AV$46:$AX$55,,$AI676), INDEX($AY$46:$BE$55,,$AH676), 1 / ($BG$46:$BG$55*CC676 + (1-$BG$46:$BG$55)*BY676), N($AU$46:$AU$55&gt;$AM676))
) / 1000</f>
        <v>0</v>
      </c>
      <c r="CE676" s="234" cm="1">
        <f t="array" ref="CE676">$BM676 * IF($AH676&lt;=2,
SUMPRODUCT(INDEX($AV$22:$AX$60,,$AI676), INDEX($AY$22:$BE$60,,$AH676), 1 / ($BF$22:$BF$60*CC676), N($AU$22:$AU$60&gt;$AM676)),
SUMPRODUCT(INDEX($AV$22:$AX$45,,$AI676), INDEX($AY$22:$BE$45,,$AH676), 1 / ($BG$22:$BG$45*CC676), N($AU$22:$AU$45&gt;$AM676))
) / 1000</f>
        <v>0</v>
      </c>
      <c r="CF676" s="229">
        <f t="shared" si="760"/>
        <v>0</v>
      </c>
      <c r="CG676" s="246"/>
      <c r="CH676" s="229">
        <f t="shared" si="761"/>
        <v>0</v>
      </c>
      <c r="CI676" s="228">
        <v>35</v>
      </c>
      <c r="CJ676" s="229">
        <f t="shared" si="762"/>
        <v>48</v>
      </c>
      <c r="CK676" s="234">
        <f t="shared" si="763"/>
        <v>3.0748170731707316</v>
      </c>
      <c r="CL676" s="234" cm="1">
        <f t="array" ref="CL676">$BM676 * SUMPRODUCT(INDEX($AV$76:$AX$81,,$AI676),INDEX($AY$76:$BE$81,,$AH676), N($AU$76:$AU$81&gt;$AM676)) / CK676 / 1000</f>
        <v>0</v>
      </c>
      <c r="CM676" s="231">
        <f t="shared" si="781"/>
        <v>30</v>
      </c>
      <c r="CN676" s="229">
        <f t="shared" si="764"/>
        <v>43</v>
      </c>
      <c r="CO676" s="234">
        <f t="shared" si="765"/>
        <v>3.5018750000000001</v>
      </c>
      <c r="CP676" s="234" cm="1">
        <f t="array" ref="CP676">$BM676 * IF($AH676&lt;=2,
SUMPRODUCT(INDEX($AV$71:$AX$75,,$AI676), INDEX($AY$71:$BE$75,,$AH676), 1 / ($BF$71:$BF$75*CO676 + (1-$BF$71:$BF$75)*CK676), N($AU$71:$AU$75&gt;$AM676)),
SUMPRODUCT(INDEX($AV$66:$AX$75,,$AI676), INDEX($AY$66:$BE$75,,$AH676), 1 / ($BG$66:$BG$75*CO676 + (1-$BG$66:$BG$75)*CK676), N($AU$66:$AU$75&gt;$AM676))
) / 1000</f>
        <v>0</v>
      </c>
      <c r="CQ676" s="231">
        <f t="shared" si="782"/>
        <v>25</v>
      </c>
      <c r="CR676" s="229">
        <f t="shared" si="766"/>
        <v>38</v>
      </c>
      <c r="CS676" s="234">
        <f t="shared" si="767"/>
        <v>4.0666935483870965</v>
      </c>
      <c r="CT676" s="234" cm="1">
        <f t="array" ref="CT676">$BM676 * IF($AH676&lt;=2,
SUMPRODUCT(INDEX($AV$66:$AX$70,,$AI676), INDEX($AY$66:$BE$70,,$AH676), 1 / ($BF$66:$BF$70*CS676 + (1-$BF$66:$BF$70)*CO676), N($AU$66:$AU$70&gt;$AM676)),
SUMPRODUCT(INDEX($AV$56:$AX$65,,$AI676), INDEX($AY$56:$BE$65,,$AH676), 1 / ($BG$56:$BG$65*CS676 + (1-$BG$56:$BG$65)*CO676), N($AU$56:$AU$65&gt;$AM676))
) / 1000</f>
        <v>0</v>
      </c>
      <c r="CU676" s="231">
        <f t="shared" si="783"/>
        <v>20</v>
      </c>
      <c r="CV676" s="229">
        <f t="shared" si="768"/>
        <v>33</v>
      </c>
      <c r="CW676" s="234">
        <f t="shared" si="769"/>
        <v>4.8487499999999999</v>
      </c>
      <c r="CX676" s="234" cm="1">
        <f t="array" ref="CX676">$BM676 * IF($AH676&lt;=2,
SUMPRODUCT(INDEX($AV$61:$AX$65,,$AI676), INDEX($AY$61:$BE$65,,$AH676), 1 / ($BF$61:$BF$65*CW676 + (1-$BF$61:$BF$65)*CS676), N($AU$61:$AU$65&gt;$AM676)),
SUMPRODUCT(INDEX($AV$46:$AX$55,,$AI676), INDEX($AY$46:$BE$55,,$AH676), 1 / ($BG$46:$BG$55*CW676 + (1-$BG$46:$BG$55)*CS676), N($AU$46:$AU$55&gt;$AM676))
) / 1000</f>
        <v>0</v>
      </c>
      <c r="CY676" s="234" cm="1">
        <f t="array" ref="CY676">$BM676 * IF($AH676&lt;=2,
SUMPRODUCT(INDEX($AV$22:$AX$60,,$AI676), INDEX($AY$22:$BE$60,,$AH676), 1 / ($BF$22:$BF$60*CW676), N($AU$22:$AU$60&gt;$AM676)),
SUMPRODUCT(INDEX($AV$22:$AX$45,,$AI676), INDEX($AY$22:$BE$45,,$AH676), 1 / ($BG$22:$BG$45*CW676), N($AU$22:$AU$45&gt;$AM676))
) / 1000</f>
        <v>0</v>
      </c>
      <c r="CZ676" s="229">
        <f t="shared" si="770"/>
        <v>0</v>
      </c>
      <c r="DA676" s="246"/>
    </row>
    <row r="677" spans="1:105" s="75" customFormat="1" ht="14.25" customHeight="1" x14ac:dyDescent="0.2">
      <c r="A677" s="230" t="b">
        <f t="shared" si="775"/>
        <v>0</v>
      </c>
      <c r="B677" s="253">
        <v>656</v>
      </c>
      <c r="C677" s="266"/>
      <c r="D677" s="266"/>
      <c r="E677" s="254"/>
      <c r="F677" s="255" t="str">
        <f>IF(ISBLANK(E677), "", VLOOKUP(E677, Z!$A$2:$C$4127, 3, FALSE))</f>
        <v/>
      </c>
      <c r="G677" s="256"/>
      <c r="H677" s="256"/>
      <c r="I677" s="256"/>
      <c r="J677" s="257"/>
      <c r="K677" s="258"/>
      <c r="L677" s="267"/>
      <c r="M677" s="268"/>
      <c r="N677" s="259" t="str" cm="1">
        <f t="array" ref="N677">IF($L677&gt;0, INDEX(Clean,1+AK677,$D$1), "")</f>
        <v/>
      </c>
      <c r="O677" s="260"/>
      <c r="P677" s="260"/>
      <c r="Q677" s="261"/>
      <c r="R677" s="264">
        <f t="shared" si="746"/>
        <v>0</v>
      </c>
      <c r="S677" s="259" t="str" cm="1">
        <f t="array" ref="S677">IF($L677&gt;0, INDEX(Clean,1+AL677,$D$1), "")</f>
        <v/>
      </c>
      <c r="T677" s="260"/>
      <c r="U677" s="260"/>
      <c r="V677" s="261"/>
      <c r="W677" s="267"/>
      <c r="X677" s="267"/>
      <c r="Y677" s="257"/>
      <c r="Z677" s="264">
        <f t="shared" si="747"/>
        <v>0</v>
      </c>
      <c r="AA677" s="269"/>
      <c r="AB677" s="266"/>
      <c r="AC677" s="254"/>
      <c r="AD677" s="255" t="str">
        <f>IF(ISBLANK(AC677), "", VLOOKUP(AC677, Z!$A$2:$C$4127, 3, FALSE))</f>
        <v/>
      </c>
      <c r="AE677" s="270"/>
      <c r="AF677" s="265">
        <f t="shared" si="748"/>
        <v>0</v>
      </c>
      <c r="AG677" s="246"/>
      <c r="AH677" s="228">
        <f t="shared" si="771"/>
        <v>1</v>
      </c>
      <c r="AI677" s="228">
        <f t="shared" si="772"/>
        <v>1</v>
      </c>
      <c r="AJ677" s="228">
        <f t="shared" si="773"/>
        <v>0</v>
      </c>
      <c r="AK677" s="228">
        <v>0</v>
      </c>
      <c r="AL677" s="228">
        <v>0</v>
      </c>
      <c r="AM677" s="228">
        <f t="shared" si="749"/>
        <v>-100</v>
      </c>
      <c r="AN677" s="228" cm="1">
        <f t="array" ref="AN677">IF(ISBLANK(G677), 1, IFERROR(MATCH(G677, INDEX(Kat,,1), 0), IFERROR(MATCH(Kat, INDEX(Use,,2), 0), MATCH(Kat, INDEX(Use,,3), 0))))</f>
        <v>1</v>
      </c>
      <c r="AO677" s="246"/>
      <c r="AP677" s="228" cm="1">
        <f t="array" ref="AP677">IF(W677&gt;0, INDEX(Kat, AN677,4), 0)</f>
        <v>0</v>
      </c>
      <c r="AQ677" s="228">
        <f t="shared" si="774"/>
        <v>0</v>
      </c>
      <c r="AR677" s="228" cm="1">
        <f t="array" ref="AR677">IF(X677&gt;0, INDEX(Kat, $AN677, 4+AQ677), 0)</f>
        <v>0</v>
      </c>
      <c r="AS677" s="228" cm="1">
        <f t="array" ref="AS677">IF(X677&gt;0, INDEX(Kat, $AN677, 9+AQ677), 0)</f>
        <v>0</v>
      </c>
      <c r="AT677" s="246"/>
      <c r="AU677" s="262"/>
      <c r="AV677" s="262"/>
      <c r="AW677" s="263"/>
      <c r="AX677" s="263"/>
      <c r="AY677" s="263"/>
      <c r="AZ677" s="263"/>
      <c r="BA677" s="263"/>
      <c r="BB677" s="263"/>
      <c r="BC677" s="263"/>
      <c r="BD677" s="263"/>
      <c r="BE677" s="263"/>
      <c r="BF677" s="263"/>
      <c r="BG677" s="263"/>
      <c r="BH677" s="246"/>
      <c r="BI677" s="228" cm="1">
        <f t="array" ref="BI677">INDEX(Use, $AH677, 4)</f>
        <v>7</v>
      </c>
      <c r="BJ677" s="228">
        <f t="shared" si="750"/>
        <v>32</v>
      </c>
      <c r="BK677" s="228">
        <f t="shared" si="776"/>
        <v>13</v>
      </c>
      <c r="BL677" s="228">
        <f t="shared" si="777"/>
        <v>0</v>
      </c>
      <c r="BM677" s="233" cm="1">
        <f t="array" ref="BM677">L677/IF($M677&gt;0, INDEX($AY$22:$BE$76, $M677+20, $AH677), 1)</f>
        <v>0</v>
      </c>
      <c r="BN677" s="229">
        <f t="shared" si="751"/>
        <v>0</v>
      </c>
      <c r="BO677" s="228">
        <v>35</v>
      </c>
      <c r="BP677" s="229">
        <f t="shared" si="752"/>
        <v>48</v>
      </c>
      <c r="BQ677" s="234">
        <f t="shared" si="753"/>
        <v>3.0748170731707316</v>
      </c>
      <c r="BR677" s="234" cm="1">
        <f t="array" ref="BR677">$BM677 * SUMPRODUCT(INDEX($AV$76:$AX$81,,$AI677),INDEX($AY$76:$BE$81,,$AH677), N($AU$76:$AU$81&gt;$AM677)) / BQ677 / 1000</f>
        <v>0</v>
      </c>
      <c r="BS677" s="231">
        <f t="shared" si="778"/>
        <v>30</v>
      </c>
      <c r="BT677" s="229">
        <f t="shared" si="754"/>
        <v>43</v>
      </c>
      <c r="BU677" s="234">
        <f t="shared" si="755"/>
        <v>3.5018750000000001</v>
      </c>
      <c r="BV677" s="234" cm="1">
        <f t="array" ref="BV677">$BM677 * IF($AH677&lt;=2,
SUMPRODUCT(INDEX($AV$71:$AX$75,,$AI677), INDEX($AY$71:$BE$75,,$AH677), 1 / ($BF$71:$BF$75*BU677 + (1-$BF$71:$BF$75)*BQ677), N($AU$71:$AU$75&gt;$AM677)),
SUMPRODUCT(INDEX($AV$66:$AX$75,,$AI677), INDEX($AY$66:$BE$75,,$AH677), 1 / ($BG$66:$BG$75*BU677 + (1-$BG$66:$BG$75)*BQ677), N($AU$66:$AU$75&gt;$AM677))
) / 1000</f>
        <v>0</v>
      </c>
      <c r="BW677" s="231">
        <f t="shared" si="779"/>
        <v>25</v>
      </c>
      <c r="BX677" s="229">
        <f t="shared" si="756"/>
        <v>38</v>
      </c>
      <c r="BY677" s="234">
        <f t="shared" si="757"/>
        <v>4.0666935483870965</v>
      </c>
      <c r="BZ677" s="234" cm="1">
        <f t="array" ref="BZ677">$BM677 * IF($AH677&lt;=2,
SUMPRODUCT(INDEX($AV$66:$AX$70,,$AI677), INDEX($AY$66:$BE$70,,$AH677), 1 / ($BF$66:$BF$70*BY677 + (1-$BF$66:$BF$70)*BU677), N($AU$66:$AU$70&gt;$AM677)),
SUMPRODUCT(INDEX($AV$56:$AX$65,,$AI677), INDEX($AY$56:$BE$65,,$AH677), 1 / ($BG$56:$BG$65*BY677 + (1-$BG$56:$BG$65)*BU677), N($AU$56:$AU$65&gt;$AM677))
) / 1000</f>
        <v>0</v>
      </c>
      <c r="CA677" s="231">
        <f t="shared" si="780"/>
        <v>20</v>
      </c>
      <c r="CB677" s="229">
        <f t="shared" si="758"/>
        <v>33</v>
      </c>
      <c r="CC677" s="234">
        <f t="shared" si="759"/>
        <v>4.8487499999999999</v>
      </c>
      <c r="CD677" s="234" cm="1">
        <f t="array" ref="CD677">$BM677 * IF($AH677&lt;=2,
SUMPRODUCT(INDEX($AV$61:$AX$65,,$AI677), INDEX($AY$61:$BE$65,,$AH677), 1 / ($BF$61:$BF$65*CC677 + (1-$BF$61:$BF$65)*BY677), N($AU$61:$AU$65&gt;$AM677)),
SUMPRODUCT(INDEX($AV$46:$AX$55,,$AI677), INDEX($AY$46:$BE$55,,$AH677), 1 / ($BG$46:$BG$55*CC677 + (1-$BG$46:$BG$55)*BY677), N($AU$46:$AU$55&gt;$AM677))
) / 1000</f>
        <v>0</v>
      </c>
      <c r="CE677" s="234" cm="1">
        <f t="array" ref="CE677">$BM677 * IF($AH677&lt;=2,
SUMPRODUCT(INDEX($AV$22:$AX$60,,$AI677), INDEX($AY$22:$BE$60,,$AH677), 1 / ($BF$22:$BF$60*CC677), N($AU$22:$AU$60&gt;$AM677)),
SUMPRODUCT(INDEX($AV$22:$AX$45,,$AI677), INDEX($AY$22:$BE$45,,$AH677), 1 / ($BG$22:$BG$45*CC677), N($AU$22:$AU$45&gt;$AM677))
) / 1000</f>
        <v>0</v>
      </c>
      <c r="CF677" s="229">
        <f t="shared" si="760"/>
        <v>0</v>
      </c>
      <c r="CG677" s="246"/>
      <c r="CH677" s="229">
        <f t="shared" si="761"/>
        <v>0</v>
      </c>
      <c r="CI677" s="228">
        <v>35</v>
      </c>
      <c r="CJ677" s="229">
        <f t="shared" si="762"/>
        <v>48</v>
      </c>
      <c r="CK677" s="234">
        <f t="shared" si="763"/>
        <v>3.0748170731707316</v>
      </c>
      <c r="CL677" s="234" cm="1">
        <f t="array" ref="CL677">$BM677 * SUMPRODUCT(INDEX($AV$76:$AX$81,,$AI677),INDEX($AY$76:$BE$81,,$AH677), N($AU$76:$AU$81&gt;$AM677)) / CK677 / 1000</f>
        <v>0</v>
      </c>
      <c r="CM677" s="231">
        <f t="shared" si="781"/>
        <v>30</v>
      </c>
      <c r="CN677" s="229">
        <f t="shared" si="764"/>
        <v>43</v>
      </c>
      <c r="CO677" s="234">
        <f t="shared" si="765"/>
        <v>3.5018750000000001</v>
      </c>
      <c r="CP677" s="234" cm="1">
        <f t="array" ref="CP677">$BM677 * IF($AH677&lt;=2,
SUMPRODUCT(INDEX($AV$71:$AX$75,,$AI677), INDEX($AY$71:$BE$75,,$AH677), 1 / ($BF$71:$BF$75*CO677 + (1-$BF$71:$BF$75)*CK677), N($AU$71:$AU$75&gt;$AM677)),
SUMPRODUCT(INDEX($AV$66:$AX$75,,$AI677), INDEX($AY$66:$BE$75,,$AH677), 1 / ($BG$66:$BG$75*CO677 + (1-$BG$66:$BG$75)*CK677), N($AU$66:$AU$75&gt;$AM677))
) / 1000</f>
        <v>0</v>
      </c>
      <c r="CQ677" s="231">
        <f t="shared" si="782"/>
        <v>25</v>
      </c>
      <c r="CR677" s="229">
        <f t="shared" si="766"/>
        <v>38</v>
      </c>
      <c r="CS677" s="234">
        <f t="shared" si="767"/>
        <v>4.0666935483870965</v>
      </c>
      <c r="CT677" s="234" cm="1">
        <f t="array" ref="CT677">$BM677 * IF($AH677&lt;=2,
SUMPRODUCT(INDEX($AV$66:$AX$70,,$AI677), INDEX($AY$66:$BE$70,,$AH677), 1 / ($BF$66:$BF$70*CS677 + (1-$BF$66:$BF$70)*CO677), N($AU$66:$AU$70&gt;$AM677)),
SUMPRODUCT(INDEX($AV$56:$AX$65,,$AI677), INDEX($AY$56:$BE$65,,$AH677), 1 / ($BG$56:$BG$65*CS677 + (1-$BG$56:$BG$65)*CO677), N($AU$56:$AU$65&gt;$AM677))
) / 1000</f>
        <v>0</v>
      </c>
      <c r="CU677" s="231">
        <f t="shared" si="783"/>
        <v>20</v>
      </c>
      <c r="CV677" s="229">
        <f t="shared" si="768"/>
        <v>33</v>
      </c>
      <c r="CW677" s="234">
        <f t="shared" si="769"/>
        <v>4.8487499999999999</v>
      </c>
      <c r="CX677" s="234" cm="1">
        <f t="array" ref="CX677">$BM677 * IF($AH677&lt;=2,
SUMPRODUCT(INDEX($AV$61:$AX$65,,$AI677), INDEX($AY$61:$BE$65,,$AH677), 1 / ($BF$61:$BF$65*CW677 + (1-$BF$61:$BF$65)*CS677), N($AU$61:$AU$65&gt;$AM677)),
SUMPRODUCT(INDEX($AV$46:$AX$55,,$AI677), INDEX($AY$46:$BE$55,,$AH677), 1 / ($BG$46:$BG$55*CW677 + (1-$BG$46:$BG$55)*CS677), N($AU$46:$AU$55&gt;$AM677))
) / 1000</f>
        <v>0</v>
      </c>
      <c r="CY677" s="234" cm="1">
        <f t="array" ref="CY677">$BM677 * IF($AH677&lt;=2,
SUMPRODUCT(INDEX($AV$22:$AX$60,,$AI677), INDEX($AY$22:$BE$60,,$AH677), 1 / ($BF$22:$BF$60*CW677), N($AU$22:$AU$60&gt;$AM677)),
SUMPRODUCT(INDEX($AV$22:$AX$45,,$AI677), INDEX($AY$22:$BE$45,,$AH677), 1 / ($BG$22:$BG$45*CW677), N($AU$22:$AU$45&gt;$AM677))
) / 1000</f>
        <v>0</v>
      </c>
      <c r="CZ677" s="229">
        <f t="shared" si="770"/>
        <v>0</v>
      </c>
      <c r="DA677" s="246"/>
    </row>
    <row r="678" spans="1:105" s="75" customFormat="1" ht="14.25" customHeight="1" x14ac:dyDescent="0.2">
      <c r="A678" s="230" t="b">
        <f t="shared" si="775"/>
        <v>0</v>
      </c>
      <c r="B678" s="253">
        <v>657</v>
      </c>
      <c r="C678" s="266"/>
      <c r="D678" s="266"/>
      <c r="E678" s="254"/>
      <c r="F678" s="255" t="str">
        <f>IF(ISBLANK(E678), "", VLOOKUP(E678, Z!$A$2:$C$4127, 3, FALSE))</f>
        <v/>
      </c>
      <c r="G678" s="256"/>
      <c r="H678" s="256"/>
      <c r="I678" s="256"/>
      <c r="J678" s="257"/>
      <c r="K678" s="258"/>
      <c r="L678" s="267"/>
      <c r="M678" s="268"/>
      <c r="N678" s="259" t="str" cm="1">
        <f t="array" ref="N678">IF($L678&gt;0, INDEX(Clean,1+AK678,$D$1), "")</f>
        <v/>
      </c>
      <c r="O678" s="260"/>
      <c r="P678" s="260"/>
      <c r="Q678" s="261"/>
      <c r="R678" s="264">
        <f t="shared" si="746"/>
        <v>0</v>
      </c>
      <c r="S678" s="259" t="str" cm="1">
        <f t="array" ref="S678">IF($L678&gt;0, INDEX(Clean,1+AL678,$D$1), "")</f>
        <v/>
      </c>
      <c r="T678" s="260"/>
      <c r="U678" s="260"/>
      <c r="V678" s="261"/>
      <c r="W678" s="267"/>
      <c r="X678" s="267"/>
      <c r="Y678" s="257"/>
      <c r="Z678" s="264">
        <f t="shared" si="747"/>
        <v>0</v>
      </c>
      <c r="AA678" s="269"/>
      <c r="AB678" s="266"/>
      <c r="AC678" s="254"/>
      <c r="AD678" s="255" t="str">
        <f>IF(ISBLANK(AC678), "", VLOOKUP(AC678, Z!$A$2:$C$4127, 3, FALSE))</f>
        <v/>
      </c>
      <c r="AE678" s="270"/>
      <c r="AF678" s="265">
        <f t="shared" si="748"/>
        <v>0</v>
      </c>
      <c r="AG678" s="246"/>
      <c r="AH678" s="228">
        <f t="shared" si="771"/>
        <v>1</v>
      </c>
      <c r="AI678" s="228">
        <f t="shared" si="772"/>
        <v>1</v>
      </c>
      <c r="AJ678" s="228">
        <f t="shared" si="773"/>
        <v>0</v>
      </c>
      <c r="AK678" s="228">
        <v>0</v>
      </c>
      <c r="AL678" s="228">
        <v>0</v>
      </c>
      <c r="AM678" s="228">
        <f t="shared" si="749"/>
        <v>-100</v>
      </c>
      <c r="AN678" s="228" cm="1">
        <f t="array" ref="AN678">IF(ISBLANK(G678), 1, IFERROR(MATCH(G678, INDEX(Kat,,1), 0), IFERROR(MATCH(Kat, INDEX(Use,,2), 0), MATCH(Kat, INDEX(Use,,3), 0))))</f>
        <v>1</v>
      </c>
      <c r="AO678" s="246"/>
      <c r="AP678" s="228" cm="1">
        <f t="array" ref="AP678">IF(W678&gt;0, INDEX(Kat, AN678,4), 0)</f>
        <v>0</v>
      </c>
      <c r="AQ678" s="228">
        <f t="shared" si="774"/>
        <v>0</v>
      </c>
      <c r="AR678" s="228" cm="1">
        <f t="array" ref="AR678">IF(X678&gt;0, INDEX(Kat, $AN678, 4+AQ678), 0)</f>
        <v>0</v>
      </c>
      <c r="AS678" s="228" cm="1">
        <f t="array" ref="AS678">IF(X678&gt;0, INDEX(Kat, $AN678, 9+AQ678), 0)</f>
        <v>0</v>
      </c>
      <c r="AT678" s="246"/>
      <c r="AU678" s="262"/>
      <c r="AV678" s="262"/>
      <c r="AW678" s="263"/>
      <c r="AX678" s="263"/>
      <c r="AY678" s="263"/>
      <c r="AZ678" s="263"/>
      <c r="BA678" s="263"/>
      <c r="BB678" s="263"/>
      <c r="BC678" s="263"/>
      <c r="BD678" s="263"/>
      <c r="BE678" s="263"/>
      <c r="BF678" s="263"/>
      <c r="BG678" s="263"/>
      <c r="BH678" s="246"/>
      <c r="BI678" s="228" cm="1">
        <f t="array" ref="BI678">INDEX(Use, $AH678, 4)</f>
        <v>7</v>
      </c>
      <c r="BJ678" s="228">
        <f t="shared" si="750"/>
        <v>32</v>
      </c>
      <c r="BK678" s="228">
        <f t="shared" si="776"/>
        <v>13</v>
      </c>
      <c r="BL678" s="228">
        <f t="shared" si="777"/>
        <v>0</v>
      </c>
      <c r="BM678" s="233" cm="1">
        <f t="array" ref="BM678">L678/IF($M678&gt;0, INDEX($AY$22:$BE$76, $M678+20, $AH678), 1)</f>
        <v>0</v>
      </c>
      <c r="BN678" s="229">
        <f t="shared" si="751"/>
        <v>0</v>
      </c>
      <c r="BO678" s="228">
        <v>35</v>
      </c>
      <c r="BP678" s="229">
        <f t="shared" si="752"/>
        <v>48</v>
      </c>
      <c r="BQ678" s="234">
        <f t="shared" si="753"/>
        <v>3.0748170731707316</v>
      </c>
      <c r="BR678" s="234" cm="1">
        <f t="array" ref="BR678">$BM678 * SUMPRODUCT(INDEX($AV$76:$AX$81,,$AI678),INDEX($AY$76:$BE$81,,$AH678), N($AU$76:$AU$81&gt;$AM678)) / BQ678 / 1000</f>
        <v>0</v>
      </c>
      <c r="BS678" s="231">
        <f t="shared" si="778"/>
        <v>30</v>
      </c>
      <c r="BT678" s="229">
        <f t="shared" si="754"/>
        <v>43</v>
      </c>
      <c r="BU678" s="234">
        <f t="shared" si="755"/>
        <v>3.5018750000000001</v>
      </c>
      <c r="BV678" s="234" cm="1">
        <f t="array" ref="BV678">$BM678 * IF($AH678&lt;=2,
SUMPRODUCT(INDEX($AV$71:$AX$75,,$AI678), INDEX($AY$71:$BE$75,,$AH678), 1 / ($BF$71:$BF$75*BU678 + (1-$BF$71:$BF$75)*BQ678), N($AU$71:$AU$75&gt;$AM678)),
SUMPRODUCT(INDEX($AV$66:$AX$75,,$AI678), INDEX($AY$66:$BE$75,,$AH678), 1 / ($BG$66:$BG$75*BU678 + (1-$BG$66:$BG$75)*BQ678), N($AU$66:$AU$75&gt;$AM678))
) / 1000</f>
        <v>0</v>
      </c>
      <c r="BW678" s="231">
        <f t="shared" si="779"/>
        <v>25</v>
      </c>
      <c r="BX678" s="229">
        <f t="shared" si="756"/>
        <v>38</v>
      </c>
      <c r="BY678" s="234">
        <f t="shared" si="757"/>
        <v>4.0666935483870965</v>
      </c>
      <c r="BZ678" s="234" cm="1">
        <f t="array" ref="BZ678">$BM678 * IF($AH678&lt;=2,
SUMPRODUCT(INDEX($AV$66:$AX$70,,$AI678), INDEX($AY$66:$BE$70,,$AH678), 1 / ($BF$66:$BF$70*BY678 + (1-$BF$66:$BF$70)*BU678), N($AU$66:$AU$70&gt;$AM678)),
SUMPRODUCT(INDEX($AV$56:$AX$65,,$AI678), INDEX($AY$56:$BE$65,,$AH678), 1 / ($BG$56:$BG$65*BY678 + (1-$BG$56:$BG$65)*BU678), N($AU$56:$AU$65&gt;$AM678))
) / 1000</f>
        <v>0</v>
      </c>
      <c r="CA678" s="231">
        <f t="shared" si="780"/>
        <v>20</v>
      </c>
      <c r="CB678" s="229">
        <f t="shared" si="758"/>
        <v>33</v>
      </c>
      <c r="CC678" s="234">
        <f t="shared" si="759"/>
        <v>4.8487499999999999</v>
      </c>
      <c r="CD678" s="234" cm="1">
        <f t="array" ref="CD678">$BM678 * IF($AH678&lt;=2,
SUMPRODUCT(INDEX($AV$61:$AX$65,,$AI678), INDEX($AY$61:$BE$65,,$AH678), 1 / ($BF$61:$BF$65*CC678 + (1-$BF$61:$BF$65)*BY678), N($AU$61:$AU$65&gt;$AM678)),
SUMPRODUCT(INDEX($AV$46:$AX$55,,$AI678), INDEX($AY$46:$BE$55,,$AH678), 1 / ($BG$46:$BG$55*CC678 + (1-$BG$46:$BG$55)*BY678), N($AU$46:$AU$55&gt;$AM678))
) / 1000</f>
        <v>0</v>
      </c>
      <c r="CE678" s="234" cm="1">
        <f t="array" ref="CE678">$BM678 * IF($AH678&lt;=2,
SUMPRODUCT(INDEX($AV$22:$AX$60,,$AI678), INDEX($AY$22:$BE$60,,$AH678), 1 / ($BF$22:$BF$60*CC678), N($AU$22:$AU$60&gt;$AM678)),
SUMPRODUCT(INDEX($AV$22:$AX$45,,$AI678), INDEX($AY$22:$BE$45,,$AH678), 1 / ($BG$22:$BG$45*CC678), N($AU$22:$AU$45&gt;$AM678))
) / 1000</f>
        <v>0</v>
      </c>
      <c r="CF678" s="229">
        <f t="shared" si="760"/>
        <v>0</v>
      </c>
      <c r="CG678" s="246"/>
      <c r="CH678" s="229">
        <f t="shared" si="761"/>
        <v>0</v>
      </c>
      <c r="CI678" s="228">
        <v>35</v>
      </c>
      <c r="CJ678" s="229">
        <f t="shared" si="762"/>
        <v>48</v>
      </c>
      <c r="CK678" s="234">
        <f t="shared" si="763"/>
        <v>3.0748170731707316</v>
      </c>
      <c r="CL678" s="234" cm="1">
        <f t="array" ref="CL678">$BM678 * SUMPRODUCT(INDEX($AV$76:$AX$81,,$AI678),INDEX($AY$76:$BE$81,,$AH678), N($AU$76:$AU$81&gt;$AM678)) / CK678 / 1000</f>
        <v>0</v>
      </c>
      <c r="CM678" s="231">
        <f t="shared" si="781"/>
        <v>30</v>
      </c>
      <c r="CN678" s="229">
        <f t="shared" si="764"/>
        <v>43</v>
      </c>
      <c r="CO678" s="234">
        <f t="shared" si="765"/>
        <v>3.5018750000000001</v>
      </c>
      <c r="CP678" s="234" cm="1">
        <f t="array" ref="CP678">$BM678 * IF($AH678&lt;=2,
SUMPRODUCT(INDEX($AV$71:$AX$75,,$AI678), INDEX($AY$71:$BE$75,,$AH678), 1 / ($BF$71:$BF$75*CO678 + (1-$BF$71:$BF$75)*CK678), N($AU$71:$AU$75&gt;$AM678)),
SUMPRODUCT(INDEX($AV$66:$AX$75,,$AI678), INDEX($AY$66:$BE$75,,$AH678), 1 / ($BG$66:$BG$75*CO678 + (1-$BG$66:$BG$75)*CK678), N($AU$66:$AU$75&gt;$AM678))
) / 1000</f>
        <v>0</v>
      </c>
      <c r="CQ678" s="231">
        <f t="shared" si="782"/>
        <v>25</v>
      </c>
      <c r="CR678" s="229">
        <f t="shared" si="766"/>
        <v>38</v>
      </c>
      <c r="CS678" s="234">
        <f t="shared" si="767"/>
        <v>4.0666935483870965</v>
      </c>
      <c r="CT678" s="234" cm="1">
        <f t="array" ref="CT678">$BM678 * IF($AH678&lt;=2,
SUMPRODUCT(INDEX($AV$66:$AX$70,,$AI678), INDEX($AY$66:$BE$70,,$AH678), 1 / ($BF$66:$BF$70*CS678 + (1-$BF$66:$BF$70)*CO678), N($AU$66:$AU$70&gt;$AM678)),
SUMPRODUCT(INDEX($AV$56:$AX$65,,$AI678), INDEX($AY$56:$BE$65,,$AH678), 1 / ($BG$56:$BG$65*CS678 + (1-$BG$56:$BG$65)*CO678), N($AU$56:$AU$65&gt;$AM678))
) / 1000</f>
        <v>0</v>
      </c>
      <c r="CU678" s="231">
        <f t="shared" si="783"/>
        <v>20</v>
      </c>
      <c r="CV678" s="229">
        <f t="shared" si="768"/>
        <v>33</v>
      </c>
      <c r="CW678" s="234">
        <f t="shared" si="769"/>
        <v>4.8487499999999999</v>
      </c>
      <c r="CX678" s="234" cm="1">
        <f t="array" ref="CX678">$BM678 * IF($AH678&lt;=2,
SUMPRODUCT(INDEX($AV$61:$AX$65,,$AI678), INDEX($AY$61:$BE$65,,$AH678), 1 / ($BF$61:$BF$65*CW678 + (1-$BF$61:$BF$65)*CS678), N($AU$61:$AU$65&gt;$AM678)),
SUMPRODUCT(INDEX($AV$46:$AX$55,,$AI678), INDEX($AY$46:$BE$55,,$AH678), 1 / ($BG$46:$BG$55*CW678 + (1-$BG$46:$BG$55)*CS678), N($AU$46:$AU$55&gt;$AM678))
) / 1000</f>
        <v>0</v>
      </c>
      <c r="CY678" s="234" cm="1">
        <f t="array" ref="CY678">$BM678 * IF($AH678&lt;=2,
SUMPRODUCT(INDEX($AV$22:$AX$60,,$AI678), INDEX($AY$22:$BE$60,,$AH678), 1 / ($BF$22:$BF$60*CW678), N($AU$22:$AU$60&gt;$AM678)),
SUMPRODUCT(INDEX($AV$22:$AX$45,,$AI678), INDEX($AY$22:$BE$45,,$AH678), 1 / ($BG$22:$BG$45*CW678), N($AU$22:$AU$45&gt;$AM678))
) / 1000</f>
        <v>0</v>
      </c>
      <c r="CZ678" s="229">
        <f t="shared" si="770"/>
        <v>0</v>
      </c>
      <c r="DA678" s="246"/>
    </row>
    <row r="679" spans="1:105" s="75" customFormat="1" ht="14.25" customHeight="1" x14ac:dyDescent="0.2">
      <c r="A679" s="230" t="b">
        <f t="shared" si="775"/>
        <v>0</v>
      </c>
      <c r="B679" s="253">
        <v>658</v>
      </c>
      <c r="C679" s="266"/>
      <c r="D679" s="266"/>
      <c r="E679" s="254"/>
      <c r="F679" s="255" t="str">
        <f>IF(ISBLANK(E679), "", VLOOKUP(E679, Z!$A$2:$C$4127, 3, FALSE))</f>
        <v/>
      </c>
      <c r="G679" s="256"/>
      <c r="H679" s="256"/>
      <c r="I679" s="256"/>
      <c r="J679" s="257"/>
      <c r="K679" s="258"/>
      <c r="L679" s="267"/>
      <c r="M679" s="268"/>
      <c r="N679" s="259" t="str" cm="1">
        <f t="array" ref="N679">IF($L679&gt;0, INDEX(Clean,1+AK679,$D$1), "")</f>
        <v/>
      </c>
      <c r="O679" s="260"/>
      <c r="P679" s="260"/>
      <c r="Q679" s="261"/>
      <c r="R679" s="264">
        <f t="shared" si="746"/>
        <v>0</v>
      </c>
      <c r="S679" s="259" t="str" cm="1">
        <f t="array" ref="S679">IF($L679&gt;0, INDEX(Clean,1+AL679,$D$1), "")</f>
        <v/>
      </c>
      <c r="T679" s="260"/>
      <c r="U679" s="260"/>
      <c r="V679" s="261"/>
      <c r="W679" s="267"/>
      <c r="X679" s="267"/>
      <c r="Y679" s="257"/>
      <c r="Z679" s="264">
        <f t="shared" si="747"/>
        <v>0</v>
      </c>
      <c r="AA679" s="269"/>
      <c r="AB679" s="266"/>
      <c r="AC679" s="254"/>
      <c r="AD679" s="255" t="str">
        <f>IF(ISBLANK(AC679), "", VLOOKUP(AC679, Z!$A$2:$C$4127, 3, FALSE))</f>
        <v/>
      </c>
      <c r="AE679" s="270"/>
      <c r="AF679" s="265">
        <f t="shared" si="748"/>
        <v>0</v>
      </c>
      <c r="AG679" s="246"/>
      <c r="AH679" s="228">
        <f t="shared" si="771"/>
        <v>1</v>
      </c>
      <c r="AI679" s="228">
        <f t="shared" si="772"/>
        <v>1</v>
      </c>
      <c r="AJ679" s="228">
        <f t="shared" si="773"/>
        <v>0</v>
      </c>
      <c r="AK679" s="228">
        <v>0</v>
      </c>
      <c r="AL679" s="228">
        <v>0</v>
      </c>
      <c r="AM679" s="228">
        <f t="shared" si="749"/>
        <v>-100</v>
      </c>
      <c r="AN679" s="228" cm="1">
        <f t="array" ref="AN679">IF(ISBLANK(G679), 1, IFERROR(MATCH(G679, INDEX(Kat,,1), 0), IFERROR(MATCH(Kat, INDEX(Use,,2), 0), MATCH(Kat, INDEX(Use,,3), 0))))</f>
        <v>1</v>
      </c>
      <c r="AO679" s="246"/>
      <c r="AP679" s="228" cm="1">
        <f t="array" ref="AP679">IF(W679&gt;0, INDEX(Kat, AN679,4), 0)</f>
        <v>0</v>
      </c>
      <c r="AQ679" s="228">
        <f t="shared" si="774"/>
        <v>0</v>
      </c>
      <c r="AR679" s="228" cm="1">
        <f t="array" ref="AR679">IF(X679&gt;0, INDEX(Kat, $AN679, 4+AQ679), 0)</f>
        <v>0</v>
      </c>
      <c r="AS679" s="228" cm="1">
        <f t="array" ref="AS679">IF(X679&gt;0, INDEX(Kat, $AN679, 9+AQ679), 0)</f>
        <v>0</v>
      </c>
      <c r="AT679" s="246"/>
      <c r="AU679" s="262"/>
      <c r="AV679" s="262"/>
      <c r="AW679" s="263"/>
      <c r="AX679" s="263"/>
      <c r="AY679" s="263"/>
      <c r="AZ679" s="263"/>
      <c r="BA679" s="263"/>
      <c r="BB679" s="263"/>
      <c r="BC679" s="263"/>
      <c r="BD679" s="263"/>
      <c r="BE679" s="263"/>
      <c r="BF679" s="263"/>
      <c r="BG679" s="263"/>
      <c r="BH679" s="246"/>
      <c r="BI679" s="228" cm="1">
        <f t="array" ref="BI679">INDEX(Use, $AH679, 4)</f>
        <v>7</v>
      </c>
      <c r="BJ679" s="228">
        <f t="shared" si="750"/>
        <v>32</v>
      </c>
      <c r="BK679" s="228">
        <f t="shared" si="776"/>
        <v>13</v>
      </c>
      <c r="BL679" s="228">
        <f t="shared" si="777"/>
        <v>0</v>
      </c>
      <c r="BM679" s="233" cm="1">
        <f t="array" ref="BM679">L679/IF($M679&gt;0, INDEX($AY$22:$BE$76, $M679+20, $AH679), 1)</f>
        <v>0</v>
      </c>
      <c r="BN679" s="229">
        <f t="shared" si="751"/>
        <v>0</v>
      </c>
      <c r="BO679" s="228">
        <v>35</v>
      </c>
      <c r="BP679" s="229">
        <f t="shared" si="752"/>
        <v>48</v>
      </c>
      <c r="BQ679" s="234">
        <f t="shared" si="753"/>
        <v>3.0748170731707316</v>
      </c>
      <c r="BR679" s="234" cm="1">
        <f t="array" ref="BR679">$BM679 * SUMPRODUCT(INDEX($AV$76:$AX$81,,$AI679),INDEX($AY$76:$BE$81,,$AH679), N($AU$76:$AU$81&gt;$AM679)) / BQ679 / 1000</f>
        <v>0</v>
      </c>
      <c r="BS679" s="231">
        <f t="shared" si="778"/>
        <v>30</v>
      </c>
      <c r="BT679" s="229">
        <f t="shared" si="754"/>
        <v>43</v>
      </c>
      <c r="BU679" s="234">
        <f t="shared" si="755"/>
        <v>3.5018750000000001</v>
      </c>
      <c r="BV679" s="234" cm="1">
        <f t="array" ref="BV679">$BM679 * IF($AH679&lt;=2,
SUMPRODUCT(INDEX($AV$71:$AX$75,,$AI679), INDEX($AY$71:$BE$75,,$AH679), 1 / ($BF$71:$BF$75*BU679 + (1-$BF$71:$BF$75)*BQ679), N($AU$71:$AU$75&gt;$AM679)),
SUMPRODUCT(INDEX($AV$66:$AX$75,,$AI679), INDEX($AY$66:$BE$75,,$AH679), 1 / ($BG$66:$BG$75*BU679 + (1-$BG$66:$BG$75)*BQ679), N($AU$66:$AU$75&gt;$AM679))
) / 1000</f>
        <v>0</v>
      </c>
      <c r="BW679" s="231">
        <f t="shared" si="779"/>
        <v>25</v>
      </c>
      <c r="BX679" s="229">
        <f t="shared" si="756"/>
        <v>38</v>
      </c>
      <c r="BY679" s="234">
        <f t="shared" si="757"/>
        <v>4.0666935483870965</v>
      </c>
      <c r="BZ679" s="234" cm="1">
        <f t="array" ref="BZ679">$BM679 * IF($AH679&lt;=2,
SUMPRODUCT(INDEX($AV$66:$AX$70,,$AI679), INDEX($AY$66:$BE$70,,$AH679), 1 / ($BF$66:$BF$70*BY679 + (1-$BF$66:$BF$70)*BU679), N($AU$66:$AU$70&gt;$AM679)),
SUMPRODUCT(INDEX($AV$56:$AX$65,,$AI679), INDEX($AY$56:$BE$65,,$AH679), 1 / ($BG$56:$BG$65*BY679 + (1-$BG$56:$BG$65)*BU679), N($AU$56:$AU$65&gt;$AM679))
) / 1000</f>
        <v>0</v>
      </c>
      <c r="CA679" s="231">
        <f t="shared" si="780"/>
        <v>20</v>
      </c>
      <c r="CB679" s="229">
        <f t="shared" si="758"/>
        <v>33</v>
      </c>
      <c r="CC679" s="234">
        <f t="shared" si="759"/>
        <v>4.8487499999999999</v>
      </c>
      <c r="CD679" s="234" cm="1">
        <f t="array" ref="CD679">$BM679 * IF($AH679&lt;=2,
SUMPRODUCT(INDEX($AV$61:$AX$65,,$AI679), INDEX($AY$61:$BE$65,,$AH679), 1 / ($BF$61:$BF$65*CC679 + (1-$BF$61:$BF$65)*BY679), N($AU$61:$AU$65&gt;$AM679)),
SUMPRODUCT(INDEX($AV$46:$AX$55,,$AI679), INDEX($AY$46:$BE$55,,$AH679), 1 / ($BG$46:$BG$55*CC679 + (1-$BG$46:$BG$55)*BY679), N($AU$46:$AU$55&gt;$AM679))
) / 1000</f>
        <v>0</v>
      </c>
      <c r="CE679" s="234" cm="1">
        <f t="array" ref="CE679">$BM679 * IF($AH679&lt;=2,
SUMPRODUCT(INDEX($AV$22:$AX$60,,$AI679), INDEX($AY$22:$BE$60,,$AH679), 1 / ($BF$22:$BF$60*CC679), N($AU$22:$AU$60&gt;$AM679)),
SUMPRODUCT(INDEX($AV$22:$AX$45,,$AI679), INDEX($AY$22:$BE$45,,$AH679), 1 / ($BG$22:$BG$45*CC679), N($AU$22:$AU$45&gt;$AM679))
) / 1000</f>
        <v>0</v>
      </c>
      <c r="CF679" s="229">
        <f t="shared" si="760"/>
        <v>0</v>
      </c>
      <c r="CG679" s="246"/>
      <c r="CH679" s="229">
        <f t="shared" si="761"/>
        <v>0</v>
      </c>
      <c r="CI679" s="228">
        <v>35</v>
      </c>
      <c r="CJ679" s="229">
        <f t="shared" si="762"/>
        <v>48</v>
      </c>
      <c r="CK679" s="234">
        <f t="shared" si="763"/>
        <v>3.0748170731707316</v>
      </c>
      <c r="CL679" s="234" cm="1">
        <f t="array" ref="CL679">$BM679 * SUMPRODUCT(INDEX($AV$76:$AX$81,,$AI679),INDEX($AY$76:$BE$81,,$AH679), N($AU$76:$AU$81&gt;$AM679)) / CK679 / 1000</f>
        <v>0</v>
      </c>
      <c r="CM679" s="231">
        <f t="shared" si="781"/>
        <v>30</v>
      </c>
      <c r="CN679" s="229">
        <f t="shared" si="764"/>
        <v>43</v>
      </c>
      <c r="CO679" s="234">
        <f t="shared" si="765"/>
        <v>3.5018750000000001</v>
      </c>
      <c r="CP679" s="234" cm="1">
        <f t="array" ref="CP679">$BM679 * IF($AH679&lt;=2,
SUMPRODUCT(INDEX($AV$71:$AX$75,,$AI679), INDEX($AY$71:$BE$75,,$AH679), 1 / ($BF$71:$BF$75*CO679 + (1-$BF$71:$BF$75)*CK679), N($AU$71:$AU$75&gt;$AM679)),
SUMPRODUCT(INDEX($AV$66:$AX$75,,$AI679), INDEX($AY$66:$BE$75,,$AH679), 1 / ($BG$66:$BG$75*CO679 + (1-$BG$66:$BG$75)*CK679), N($AU$66:$AU$75&gt;$AM679))
) / 1000</f>
        <v>0</v>
      </c>
      <c r="CQ679" s="231">
        <f t="shared" si="782"/>
        <v>25</v>
      </c>
      <c r="CR679" s="229">
        <f t="shared" si="766"/>
        <v>38</v>
      </c>
      <c r="CS679" s="234">
        <f t="shared" si="767"/>
        <v>4.0666935483870965</v>
      </c>
      <c r="CT679" s="234" cm="1">
        <f t="array" ref="CT679">$BM679 * IF($AH679&lt;=2,
SUMPRODUCT(INDEX($AV$66:$AX$70,,$AI679), INDEX($AY$66:$BE$70,,$AH679), 1 / ($BF$66:$BF$70*CS679 + (1-$BF$66:$BF$70)*CO679), N($AU$66:$AU$70&gt;$AM679)),
SUMPRODUCT(INDEX($AV$56:$AX$65,,$AI679), INDEX($AY$56:$BE$65,,$AH679), 1 / ($BG$56:$BG$65*CS679 + (1-$BG$56:$BG$65)*CO679), N($AU$56:$AU$65&gt;$AM679))
) / 1000</f>
        <v>0</v>
      </c>
      <c r="CU679" s="231">
        <f t="shared" si="783"/>
        <v>20</v>
      </c>
      <c r="CV679" s="229">
        <f t="shared" si="768"/>
        <v>33</v>
      </c>
      <c r="CW679" s="234">
        <f t="shared" si="769"/>
        <v>4.8487499999999999</v>
      </c>
      <c r="CX679" s="234" cm="1">
        <f t="array" ref="CX679">$BM679 * IF($AH679&lt;=2,
SUMPRODUCT(INDEX($AV$61:$AX$65,,$AI679), INDEX($AY$61:$BE$65,,$AH679), 1 / ($BF$61:$BF$65*CW679 + (1-$BF$61:$BF$65)*CS679), N($AU$61:$AU$65&gt;$AM679)),
SUMPRODUCT(INDEX($AV$46:$AX$55,,$AI679), INDEX($AY$46:$BE$55,,$AH679), 1 / ($BG$46:$BG$55*CW679 + (1-$BG$46:$BG$55)*CS679), N($AU$46:$AU$55&gt;$AM679))
) / 1000</f>
        <v>0</v>
      </c>
      <c r="CY679" s="234" cm="1">
        <f t="array" ref="CY679">$BM679 * IF($AH679&lt;=2,
SUMPRODUCT(INDEX($AV$22:$AX$60,,$AI679), INDEX($AY$22:$BE$60,,$AH679), 1 / ($BF$22:$BF$60*CW679), N($AU$22:$AU$60&gt;$AM679)),
SUMPRODUCT(INDEX($AV$22:$AX$45,,$AI679), INDEX($AY$22:$BE$45,,$AH679), 1 / ($BG$22:$BG$45*CW679), N($AU$22:$AU$45&gt;$AM679))
) / 1000</f>
        <v>0</v>
      </c>
      <c r="CZ679" s="229">
        <f t="shared" si="770"/>
        <v>0</v>
      </c>
      <c r="DA679" s="246"/>
    </row>
    <row r="680" spans="1:105" s="75" customFormat="1" ht="14.25" customHeight="1" x14ac:dyDescent="0.2">
      <c r="A680" s="230" t="b">
        <f t="shared" si="775"/>
        <v>0</v>
      </c>
      <c r="B680" s="253">
        <v>659</v>
      </c>
      <c r="C680" s="266"/>
      <c r="D680" s="266"/>
      <c r="E680" s="254"/>
      <c r="F680" s="255" t="str">
        <f>IF(ISBLANK(E680), "", VLOOKUP(E680, Z!$A$2:$C$4127, 3, FALSE))</f>
        <v/>
      </c>
      <c r="G680" s="256"/>
      <c r="H680" s="256"/>
      <c r="I680" s="256"/>
      <c r="J680" s="257"/>
      <c r="K680" s="258"/>
      <c r="L680" s="267"/>
      <c r="M680" s="268"/>
      <c r="N680" s="259" t="str" cm="1">
        <f t="array" ref="N680">IF($L680&gt;0, INDEX(Clean,1+AK680,$D$1), "")</f>
        <v/>
      </c>
      <c r="O680" s="260"/>
      <c r="P680" s="260"/>
      <c r="Q680" s="261"/>
      <c r="R680" s="264">
        <f t="shared" si="746"/>
        <v>0</v>
      </c>
      <c r="S680" s="259" t="str" cm="1">
        <f t="array" ref="S680">IF($L680&gt;0, INDEX(Clean,1+AL680,$D$1), "")</f>
        <v/>
      </c>
      <c r="T680" s="260"/>
      <c r="U680" s="260"/>
      <c r="V680" s="261"/>
      <c r="W680" s="267"/>
      <c r="X680" s="267"/>
      <c r="Y680" s="257"/>
      <c r="Z680" s="264">
        <f t="shared" si="747"/>
        <v>0</v>
      </c>
      <c r="AA680" s="269"/>
      <c r="AB680" s="266"/>
      <c r="AC680" s="254"/>
      <c r="AD680" s="255" t="str">
        <f>IF(ISBLANK(AC680), "", VLOOKUP(AC680, Z!$A$2:$C$4127, 3, FALSE))</f>
        <v/>
      </c>
      <c r="AE680" s="270"/>
      <c r="AF680" s="265">
        <f t="shared" si="748"/>
        <v>0</v>
      </c>
      <c r="AG680" s="246"/>
      <c r="AH680" s="228">
        <f t="shared" si="771"/>
        <v>1</v>
      </c>
      <c r="AI680" s="228">
        <f t="shared" si="772"/>
        <v>1</v>
      </c>
      <c r="AJ680" s="228">
        <f t="shared" si="773"/>
        <v>0</v>
      </c>
      <c r="AK680" s="228">
        <v>0</v>
      </c>
      <c r="AL680" s="228">
        <v>0</v>
      </c>
      <c r="AM680" s="228">
        <f t="shared" si="749"/>
        <v>-100</v>
      </c>
      <c r="AN680" s="228" cm="1">
        <f t="array" ref="AN680">IF(ISBLANK(G680), 1, IFERROR(MATCH(G680, INDEX(Kat,,1), 0), IFERROR(MATCH(Kat, INDEX(Use,,2), 0), MATCH(Kat, INDEX(Use,,3), 0))))</f>
        <v>1</v>
      </c>
      <c r="AO680" s="246"/>
      <c r="AP680" s="228" cm="1">
        <f t="array" ref="AP680">IF(W680&gt;0, INDEX(Kat, AN680,4), 0)</f>
        <v>0</v>
      </c>
      <c r="AQ680" s="228">
        <f t="shared" si="774"/>
        <v>0</v>
      </c>
      <c r="AR680" s="228" cm="1">
        <f t="array" ref="AR680">IF(X680&gt;0, INDEX(Kat, $AN680, 4+AQ680), 0)</f>
        <v>0</v>
      </c>
      <c r="AS680" s="228" cm="1">
        <f t="array" ref="AS680">IF(X680&gt;0, INDEX(Kat, $AN680, 9+AQ680), 0)</f>
        <v>0</v>
      </c>
      <c r="AT680" s="246"/>
      <c r="AU680" s="262"/>
      <c r="AV680" s="262"/>
      <c r="AW680" s="263"/>
      <c r="AX680" s="263"/>
      <c r="AY680" s="263"/>
      <c r="AZ680" s="263"/>
      <c r="BA680" s="263"/>
      <c r="BB680" s="263"/>
      <c r="BC680" s="263"/>
      <c r="BD680" s="263"/>
      <c r="BE680" s="263"/>
      <c r="BF680" s="263"/>
      <c r="BG680" s="263"/>
      <c r="BH680" s="246"/>
      <c r="BI680" s="228" cm="1">
        <f t="array" ref="BI680">INDEX(Use, $AH680, 4)</f>
        <v>7</v>
      </c>
      <c r="BJ680" s="228">
        <f t="shared" si="750"/>
        <v>32</v>
      </c>
      <c r="BK680" s="228">
        <f t="shared" si="776"/>
        <v>13</v>
      </c>
      <c r="BL680" s="228">
        <f t="shared" si="777"/>
        <v>0</v>
      </c>
      <c r="BM680" s="233" cm="1">
        <f t="array" ref="BM680">L680/IF($M680&gt;0, INDEX($AY$22:$BE$76, $M680+20, $AH680), 1)</f>
        <v>0</v>
      </c>
      <c r="BN680" s="229">
        <f t="shared" si="751"/>
        <v>0</v>
      </c>
      <c r="BO680" s="228">
        <v>35</v>
      </c>
      <c r="BP680" s="229">
        <f t="shared" si="752"/>
        <v>48</v>
      </c>
      <c r="BQ680" s="234">
        <f t="shared" si="753"/>
        <v>3.0748170731707316</v>
      </c>
      <c r="BR680" s="234" cm="1">
        <f t="array" ref="BR680">$BM680 * SUMPRODUCT(INDEX($AV$76:$AX$81,,$AI680),INDEX($AY$76:$BE$81,,$AH680), N($AU$76:$AU$81&gt;$AM680)) / BQ680 / 1000</f>
        <v>0</v>
      </c>
      <c r="BS680" s="231">
        <f t="shared" si="778"/>
        <v>30</v>
      </c>
      <c r="BT680" s="229">
        <f t="shared" si="754"/>
        <v>43</v>
      </c>
      <c r="BU680" s="234">
        <f t="shared" si="755"/>
        <v>3.5018750000000001</v>
      </c>
      <c r="BV680" s="234" cm="1">
        <f t="array" ref="BV680">$BM680 * IF($AH680&lt;=2,
SUMPRODUCT(INDEX($AV$71:$AX$75,,$AI680), INDEX($AY$71:$BE$75,,$AH680), 1 / ($BF$71:$BF$75*BU680 + (1-$BF$71:$BF$75)*BQ680), N($AU$71:$AU$75&gt;$AM680)),
SUMPRODUCT(INDEX($AV$66:$AX$75,,$AI680), INDEX($AY$66:$BE$75,,$AH680), 1 / ($BG$66:$BG$75*BU680 + (1-$BG$66:$BG$75)*BQ680), N($AU$66:$AU$75&gt;$AM680))
) / 1000</f>
        <v>0</v>
      </c>
      <c r="BW680" s="231">
        <f t="shared" si="779"/>
        <v>25</v>
      </c>
      <c r="BX680" s="229">
        <f t="shared" si="756"/>
        <v>38</v>
      </c>
      <c r="BY680" s="234">
        <f t="shared" si="757"/>
        <v>4.0666935483870965</v>
      </c>
      <c r="BZ680" s="234" cm="1">
        <f t="array" ref="BZ680">$BM680 * IF($AH680&lt;=2,
SUMPRODUCT(INDEX($AV$66:$AX$70,,$AI680), INDEX($AY$66:$BE$70,,$AH680), 1 / ($BF$66:$BF$70*BY680 + (1-$BF$66:$BF$70)*BU680), N($AU$66:$AU$70&gt;$AM680)),
SUMPRODUCT(INDEX($AV$56:$AX$65,,$AI680), INDEX($AY$56:$BE$65,,$AH680), 1 / ($BG$56:$BG$65*BY680 + (1-$BG$56:$BG$65)*BU680), N($AU$56:$AU$65&gt;$AM680))
) / 1000</f>
        <v>0</v>
      </c>
      <c r="CA680" s="231">
        <f t="shared" si="780"/>
        <v>20</v>
      </c>
      <c r="CB680" s="229">
        <f t="shared" si="758"/>
        <v>33</v>
      </c>
      <c r="CC680" s="234">
        <f t="shared" si="759"/>
        <v>4.8487499999999999</v>
      </c>
      <c r="CD680" s="234" cm="1">
        <f t="array" ref="CD680">$BM680 * IF($AH680&lt;=2,
SUMPRODUCT(INDEX($AV$61:$AX$65,,$AI680), INDEX($AY$61:$BE$65,,$AH680), 1 / ($BF$61:$BF$65*CC680 + (1-$BF$61:$BF$65)*BY680), N($AU$61:$AU$65&gt;$AM680)),
SUMPRODUCT(INDEX($AV$46:$AX$55,,$AI680), INDEX($AY$46:$BE$55,,$AH680), 1 / ($BG$46:$BG$55*CC680 + (1-$BG$46:$BG$55)*BY680), N($AU$46:$AU$55&gt;$AM680))
) / 1000</f>
        <v>0</v>
      </c>
      <c r="CE680" s="234" cm="1">
        <f t="array" ref="CE680">$BM680 * IF($AH680&lt;=2,
SUMPRODUCT(INDEX($AV$22:$AX$60,,$AI680), INDEX($AY$22:$BE$60,,$AH680), 1 / ($BF$22:$BF$60*CC680), N($AU$22:$AU$60&gt;$AM680)),
SUMPRODUCT(INDEX($AV$22:$AX$45,,$AI680), INDEX($AY$22:$BE$45,,$AH680), 1 / ($BG$22:$BG$45*CC680), N($AU$22:$AU$45&gt;$AM680))
) / 1000</f>
        <v>0</v>
      </c>
      <c r="CF680" s="229">
        <f t="shared" si="760"/>
        <v>0</v>
      </c>
      <c r="CG680" s="246"/>
      <c r="CH680" s="229">
        <f t="shared" si="761"/>
        <v>0</v>
      </c>
      <c r="CI680" s="228">
        <v>35</v>
      </c>
      <c r="CJ680" s="229">
        <f t="shared" si="762"/>
        <v>48</v>
      </c>
      <c r="CK680" s="234">
        <f t="shared" si="763"/>
        <v>3.0748170731707316</v>
      </c>
      <c r="CL680" s="234" cm="1">
        <f t="array" ref="CL680">$BM680 * SUMPRODUCT(INDEX($AV$76:$AX$81,,$AI680),INDEX($AY$76:$BE$81,,$AH680), N($AU$76:$AU$81&gt;$AM680)) / CK680 / 1000</f>
        <v>0</v>
      </c>
      <c r="CM680" s="231">
        <f t="shared" si="781"/>
        <v>30</v>
      </c>
      <c r="CN680" s="229">
        <f t="shared" si="764"/>
        <v>43</v>
      </c>
      <c r="CO680" s="234">
        <f t="shared" si="765"/>
        <v>3.5018750000000001</v>
      </c>
      <c r="CP680" s="234" cm="1">
        <f t="array" ref="CP680">$BM680 * IF($AH680&lt;=2,
SUMPRODUCT(INDEX($AV$71:$AX$75,,$AI680), INDEX($AY$71:$BE$75,,$AH680), 1 / ($BF$71:$BF$75*CO680 + (1-$BF$71:$BF$75)*CK680), N($AU$71:$AU$75&gt;$AM680)),
SUMPRODUCT(INDEX($AV$66:$AX$75,,$AI680), INDEX($AY$66:$BE$75,,$AH680), 1 / ($BG$66:$BG$75*CO680 + (1-$BG$66:$BG$75)*CK680), N($AU$66:$AU$75&gt;$AM680))
) / 1000</f>
        <v>0</v>
      </c>
      <c r="CQ680" s="231">
        <f t="shared" si="782"/>
        <v>25</v>
      </c>
      <c r="CR680" s="229">
        <f t="shared" si="766"/>
        <v>38</v>
      </c>
      <c r="CS680" s="234">
        <f t="shared" si="767"/>
        <v>4.0666935483870965</v>
      </c>
      <c r="CT680" s="234" cm="1">
        <f t="array" ref="CT680">$BM680 * IF($AH680&lt;=2,
SUMPRODUCT(INDEX($AV$66:$AX$70,,$AI680), INDEX($AY$66:$BE$70,,$AH680), 1 / ($BF$66:$BF$70*CS680 + (1-$BF$66:$BF$70)*CO680), N($AU$66:$AU$70&gt;$AM680)),
SUMPRODUCT(INDEX($AV$56:$AX$65,,$AI680), INDEX($AY$56:$BE$65,,$AH680), 1 / ($BG$56:$BG$65*CS680 + (1-$BG$56:$BG$65)*CO680), N($AU$56:$AU$65&gt;$AM680))
) / 1000</f>
        <v>0</v>
      </c>
      <c r="CU680" s="231">
        <f t="shared" si="783"/>
        <v>20</v>
      </c>
      <c r="CV680" s="229">
        <f t="shared" si="768"/>
        <v>33</v>
      </c>
      <c r="CW680" s="234">
        <f t="shared" si="769"/>
        <v>4.8487499999999999</v>
      </c>
      <c r="CX680" s="234" cm="1">
        <f t="array" ref="CX680">$BM680 * IF($AH680&lt;=2,
SUMPRODUCT(INDEX($AV$61:$AX$65,,$AI680), INDEX($AY$61:$BE$65,,$AH680), 1 / ($BF$61:$BF$65*CW680 + (1-$BF$61:$BF$65)*CS680), N($AU$61:$AU$65&gt;$AM680)),
SUMPRODUCT(INDEX($AV$46:$AX$55,,$AI680), INDEX($AY$46:$BE$55,,$AH680), 1 / ($BG$46:$BG$55*CW680 + (1-$BG$46:$BG$55)*CS680), N($AU$46:$AU$55&gt;$AM680))
) / 1000</f>
        <v>0</v>
      </c>
      <c r="CY680" s="234" cm="1">
        <f t="array" ref="CY680">$BM680 * IF($AH680&lt;=2,
SUMPRODUCT(INDEX($AV$22:$AX$60,,$AI680), INDEX($AY$22:$BE$60,,$AH680), 1 / ($BF$22:$BF$60*CW680), N($AU$22:$AU$60&gt;$AM680)),
SUMPRODUCT(INDEX($AV$22:$AX$45,,$AI680), INDEX($AY$22:$BE$45,,$AH680), 1 / ($BG$22:$BG$45*CW680), N($AU$22:$AU$45&gt;$AM680))
) / 1000</f>
        <v>0</v>
      </c>
      <c r="CZ680" s="229">
        <f t="shared" si="770"/>
        <v>0</v>
      </c>
      <c r="DA680" s="246"/>
    </row>
    <row r="681" spans="1:105" s="75" customFormat="1" ht="14.25" customHeight="1" x14ac:dyDescent="0.2">
      <c r="A681" s="230" t="b">
        <f t="shared" si="775"/>
        <v>0</v>
      </c>
      <c r="B681" s="253">
        <v>660</v>
      </c>
      <c r="C681" s="266"/>
      <c r="D681" s="266"/>
      <c r="E681" s="254"/>
      <c r="F681" s="255" t="str">
        <f>IF(ISBLANK(E681), "", VLOOKUP(E681, Z!$A$2:$C$4127, 3, FALSE))</f>
        <v/>
      </c>
      <c r="G681" s="256"/>
      <c r="H681" s="256"/>
      <c r="I681" s="256"/>
      <c r="J681" s="257"/>
      <c r="K681" s="258"/>
      <c r="L681" s="267"/>
      <c r="M681" s="268"/>
      <c r="N681" s="259" t="str" cm="1">
        <f t="array" ref="N681">IF($L681&gt;0, INDEX(Clean,1+AK681,$D$1), "")</f>
        <v/>
      </c>
      <c r="O681" s="260"/>
      <c r="P681" s="260"/>
      <c r="Q681" s="261"/>
      <c r="R681" s="264">
        <f t="shared" si="746"/>
        <v>0</v>
      </c>
      <c r="S681" s="259" t="str" cm="1">
        <f t="array" ref="S681">IF($L681&gt;0, INDEX(Clean,1+AL681,$D$1), "")</f>
        <v/>
      </c>
      <c r="T681" s="260"/>
      <c r="U681" s="260"/>
      <c r="V681" s="261"/>
      <c r="W681" s="267"/>
      <c r="X681" s="267"/>
      <c r="Y681" s="257"/>
      <c r="Z681" s="264">
        <f t="shared" si="747"/>
        <v>0</v>
      </c>
      <c r="AA681" s="269"/>
      <c r="AB681" s="266"/>
      <c r="AC681" s="254"/>
      <c r="AD681" s="255" t="str">
        <f>IF(ISBLANK(AC681), "", VLOOKUP(AC681, Z!$A$2:$C$4127, 3, FALSE))</f>
        <v/>
      </c>
      <c r="AE681" s="270"/>
      <c r="AF681" s="265">
        <f t="shared" si="748"/>
        <v>0</v>
      </c>
      <c r="AG681" s="246"/>
      <c r="AH681" s="228">
        <f t="shared" si="771"/>
        <v>1</v>
      </c>
      <c r="AI681" s="228">
        <f t="shared" si="772"/>
        <v>1</v>
      </c>
      <c r="AJ681" s="228">
        <f t="shared" si="773"/>
        <v>0</v>
      </c>
      <c r="AK681" s="228">
        <v>0</v>
      </c>
      <c r="AL681" s="228">
        <v>0</v>
      </c>
      <c r="AM681" s="228">
        <f t="shared" si="749"/>
        <v>-100</v>
      </c>
      <c r="AN681" s="228" cm="1">
        <f t="array" ref="AN681">IF(ISBLANK(G681), 1, IFERROR(MATCH(G681, INDEX(Kat,,1), 0), IFERROR(MATCH(Kat, INDEX(Use,,2), 0), MATCH(Kat, INDEX(Use,,3), 0))))</f>
        <v>1</v>
      </c>
      <c r="AO681" s="246"/>
      <c r="AP681" s="228" cm="1">
        <f t="array" ref="AP681">IF(W681&gt;0, INDEX(Kat, AN681,4), 0)</f>
        <v>0</v>
      </c>
      <c r="AQ681" s="228">
        <f t="shared" si="774"/>
        <v>0</v>
      </c>
      <c r="AR681" s="228" cm="1">
        <f t="array" ref="AR681">IF(X681&gt;0, INDEX(Kat, $AN681, 4+AQ681), 0)</f>
        <v>0</v>
      </c>
      <c r="AS681" s="228" cm="1">
        <f t="array" ref="AS681">IF(X681&gt;0, INDEX(Kat, $AN681, 9+AQ681), 0)</f>
        <v>0</v>
      </c>
      <c r="AT681" s="246"/>
      <c r="AU681" s="262"/>
      <c r="AV681" s="262"/>
      <c r="AW681" s="263"/>
      <c r="AX681" s="263"/>
      <c r="AY681" s="263"/>
      <c r="AZ681" s="263"/>
      <c r="BA681" s="263"/>
      <c r="BB681" s="263"/>
      <c r="BC681" s="263"/>
      <c r="BD681" s="263"/>
      <c r="BE681" s="263"/>
      <c r="BF681" s="263"/>
      <c r="BG681" s="263"/>
      <c r="BH681" s="246"/>
      <c r="BI681" s="228" cm="1">
        <f t="array" ref="BI681">INDEX(Use, $AH681, 4)</f>
        <v>7</v>
      </c>
      <c r="BJ681" s="228">
        <f t="shared" si="750"/>
        <v>32</v>
      </c>
      <c r="BK681" s="228">
        <f t="shared" si="776"/>
        <v>13</v>
      </c>
      <c r="BL681" s="228">
        <f t="shared" si="777"/>
        <v>0</v>
      </c>
      <c r="BM681" s="233" cm="1">
        <f t="array" ref="BM681">L681/IF($M681&gt;0, INDEX($AY$22:$BE$76, $M681+20, $AH681), 1)</f>
        <v>0</v>
      </c>
      <c r="BN681" s="229">
        <f t="shared" si="751"/>
        <v>0</v>
      </c>
      <c r="BO681" s="228">
        <v>35</v>
      </c>
      <c r="BP681" s="229">
        <f t="shared" si="752"/>
        <v>48</v>
      </c>
      <c r="BQ681" s="234">
        <f t="shared" si="753"/>
        <v>3.0748170731707316</v>
      </c>
      <c r="BR681" s="234" cm="1">
        <f t="array" ref="BR681">$BM681 * SUMPRODUCT(INDEX($AV$76:$AX$81,,$AI681),INDEX($AY$76:$BE$81,,$AH681), N($AU$76:$AU$81&gt;$AM681)) / BQ681 / 1000</f>
        <v>0</v>
      </c>
      <c r="BS681" s="231">
        <f t="shared" si="778"/>
        <v>30</v>
      </c>
      <c r="BT681" s="229">
        <f t="shared" si="754"/>
        <v>43</v>
      </c>
      <c r="BU681" s="234">
        <f t="shared" si="755"/>
        <v>3.5018750000000001</v>
      </c>
      <c r="BV681" s="234" cm="1">
        <f t="array" ref="BV681">$BM681 * IF($AH681&lt;=2,
SUMPRODUCT(INDEX($AV$71:$AX$75,,$AI681), INDEX($AY$71:$BE$75,,$AH681), 1 / ($BF$71:$BF$75*BU681 + (1-$BF$71:$BF$75)*BQ681), N($AU$71:$AU$75&gt;$AM681)),
SUMPRODUCT(INDEX($AV$66:$AX$75,,$AI681), INDEX($AY$66:$BE$75,,$AH681), 1 / ($BG$66:$BG$75*BU681 + (1-$BG$66:$BG$75)*BQ681), N($AU$66:$AU$75&gt;$AM681))
) / 1000</f>
        <v>0</v>
      </c>
      <c r="BW681" s="231">
        <f t="shared" si="779"/>
        <v>25</v>
      </c>
      <c r="BX681" s="229">
        <f t="shared" si="756"/>
        <v>38</v>
      </c>
      <c r="BY681" s="234">
        <f t="shared" si="757"/>
        <v>4.0666935483870965</v>
      </c>
      <c r="BZ681" s="234" cm="1">
        <f t="array" ref="BZ681">$BM681 * IF($AH681&lt;=2,
SUMPRODUCT(INDEX($AV$66:$AX$70,,$AI681), INDEX($AY$66:$BE$70,,$AH681), 1 / ($BF$66:$BF$70*BY681 + (1-$BF$66:$BF$70)*BU681), N($AU$66:$AU$70&gt;$AM681)),
SUMPRODUCT(INDEX($AV$56:$AX$65,,$AI681), INDEX($AY$56:$BE$65,,$AH681), 1 / ($BG$56:$BG$65*BY681 + (1-$BG$56:$BG$65)*BU681), N($AU$56:$AU$65&gt;$AM681))
) / 1000</f>
        <v>0</v>
      </c>
      <c r="CA681" s="231">
        <f t="shared" si="780"/>
        <v>20</v>
      </c>
      <c r="CB681" s="229">
        <f t="shared" si="758"/>
        <v>33</v>
      </c>
      <c r="CC681" s="234">
        <f t="shared" si="759"/>
        <v>4.8487499999999999</v>
      </c>
      <c r="CD681" s="234" cm="1">
        <f t="array" ref="CD681">$BM681 * IF($AH681&lt;=2,
SUMPRODUCT(INDEX($AV$61:$AX$65,,$AI681), INDEX($AY$61:$BE$65,,$AH681), 1 / ($BF$61:$BF$65*CC681 + (1-$BF$61:$BF$65)*BY681), N($AU$61:$AU$65&gt;$AM681)),
SUMPRODUCT(INDEX($AV$46:$AX$55,,$AI681), INDEX($AY$46:$BE$55,,$AH681), 1 / ($BG$46:$BG$55*CC681 + (1-$BG$46:$BG$55)*BY681), N($AU$46:$AU$55&gt;$AM681))
) / 1000</f>
        <v>0</v>
      </c>
      <c r="CE681" s="234" cm="1">
        <f t="array" ref="CE681">$BM681 * IF($AH681&lt;=2,
SUMPRODUCT(INDEX($AV$22:$AX$60,,$AI681), INDEX($AY$22:$BE$60,,$AH681), 1 / ($BF$22:$BF$60*CC681), N($AU$22:$AU$60&gt;$AM681)),
SUMPRODUCT(INDEX($AV$22:$AX$45,,$AI681), INDEX($AY$22:$BE$45,,$AH681), 1 / ($BG$22:$BG$45*CC681), N($AU$22:$AU$45&gt;$AM681))
) / 1000</f>
        <v>0</v>
      </c>
      <c r="CF681" s="229">
        <f t="shared" si="760"/>
        <v>0</v>
      </c>
      <c r="CG681" s="246"/>
      <c r="CH681" s="229">
        <f t="shared" si="761"/>
        <v>0</v>
      </c>
      <c r="CI681" s="228">
        <v>35</v>
      </c>
      <c r="CJ681" s="229">
        <f t="shared" si="762"/>
        <v>48</v>
      </c>
      <c r="CK681" s="234">
        <f t="shared" si="763"/>
        <v>3.0748170731707316</v>
      </c>
      <c r="CL681" s="234" cm="1">
        <f t="array" ref="CL681">$BM681 * SUMPRODUCT(INDEX($AV$76:$AX$81,,$AI681),INDEX($AY$76:$BE$81,,$AH681), N($AU$76:$AU$81&gt;$AM681)) / CK681 / 1000</f>
        <v>0</v>
      </c>
      <c r="CM681" s="231">
        <f t="shared" si="781"/>
        <v>30</v>
      </c>
      <c r="CN681" s="229">
        <f t="shared" si="764"/>
        <v>43</v>
      </c>
      <c r="CO681" s="234">
        <f t="shared" si="765"/>
        <v>3.5018750000000001</v>
      </c>
      <c r="CP681" s="234" cm="1">
        <f t="array" ref="CP681">$BM681 * IF($AH681&lt;=2,
SUMPRODUCT(INDEX($AV$71:$AX$75,,$AI681), INDEX($AY$71:$BE$75,,$AH681), 1 / ($BF$71:$BF$75*CO681 + (1-$BF$71:$BF$75)*CK681), N($AU$71:$AU$75&gt;$AM681)),
SUMPRODUCT(INDEX($AV$66:$AX$75,,$AI681), INDEX($AY$66:$BE$75,,$AH681), 1 / ($BG$66:$BG$75*CO681 + (1-$BG$66:$BG$75)*CK681), N($AU$66:$AU$75&gt;$AM681))
) / 1000</f>
        <v>0</v>
      </c>
      <c r="CQ681" s="231">
        <f t="shared" si="782"/>
        <v>25</v>
      </c>
      <c r="CR681" s="229">
        <f t="shared" si="766"/>
        <v>38</v>
      </c>
      <c r="CS681" s="234">
        <f t="shared" si="767"/>
        <v>4.0666935483870965</v>
      </c>
      <c r="CT681" s="234" cm="1">
        <f t="array" ref="CT681">$BM681 * IF($AH681&lt;=2,
SUMPRODUCT(INDEX($AV$66:$AX$70,,$AI681), INDEX($AY$66:$BE$70,,$AH681), 1 / ($BF$66:$BF$70*CS681 + (1-$BF$66:$BF$70)*CO681), N($AU$66:$AU$70&gt;$AM681)),
SUMPRODUCT(INDEX($AV$56:$AX$65,,$AI681), INDEX($AY$56:$BE$65,,$AH681), 1 / ($BG$56:$BG$65*CS681 + (1-$BG$56:$BG$65)*CO681), N($AU$56:$AU$65&gt;$AM681))
) / 1000</f>
        <v>0</v>
      </c>
      <c r="CU681" s="231">
        <f t="shared" si="783"/>
        <v>20</v>
      </c>
      <c r="CV681" s="229">
        <f t="shared" si="768"/>
        <v>33</v>
      </c>
      <c r="CW681" s="234">
        <f t="shared" si="769"/>
        <v>4.8487499999999999</v>
      </c>
      <c r="CX681" s="234" cm="1">
        <f t="array" ref="CX681">$BM681 * IF($AH681&lt;=2,
SUMPRODUCT(INDEX($AV$61:$AX$65,,$AI681), INDEX($AY$61:$BE$65,,$AH681), 1 / ($BF$61:$BF$65*CW681 + (1-$BF$61:$BF$65)*CS681), N($AU$61:$AU$65&gt;$AM681)),
SUMPRODUCT(INDEX($AV$46:$AX$55,,$AI681), INDEX($AY$46:$BE$55,,$AH681), 1 / ($BG$46:$BG$55*CW681 + (1-$BG$46:$BG$55)*CS681), N($AU$46:$AU$55&gt;$AM681))
) / 1000</f>
        <v>0</v>
      </c>
      <c r="CY681" s="234" cm="1">
        <f t="array" ref="CY681">$BM681 * IF($AH681&lt;=2,
SUMPRODUCT(INDEX($AV$22:$AX$60,,$AI681), INDEX($AY$22:$BE$60,,$AH681), 1 / ($BF$22:$BF$60*CW681), N($AU$22:$AU$60&gt;$AM681)),
SUMPRODUCT(INDEX($AV$22:$AX$45,,$AI681), INDEX($AY$22:$BE$45,,$AH681), 1 / ($BG$22:$BG$45*CW681), N($AU$22:$AU$45&gt;$AM681))
) / 1000</f>
        <v>0</v>
      </c>
      <c r="CZ681" s="229">
        <f t="shared" si="770"/>
        <v>0</v>
      </c>
      <c r="DA681" s="246"/>
    </row>
    <row r="682" spans="1:105" s="75" customFormat="1" ht="14.25" customHeight="1" x14ac:dyDescent="0.2">
      <c r="A682" s="230" t="b">
        <f t="shared" si="775"/>
        <v>0</v>
      </c>
      <c r="B682" s="253">
        <v>661</v>
      </c>
      <c r="C682" s="266"/>
      <c r="D682" s="266"/>
      <c r="E682" s="254"/>
      <c r="F682" s="255" t="str">
        <f>IF(ISBLANK(E682), "", VLOOKUP(E682, Z!$A$2:$C$4127, 3, FALSE))</f>
        <v/>
      </c>
      <c r="G682" s="256"/>
      <c r="H682" s="256"/>
      <c r="I682" s="256"/>
      <c r="J682" s="257"/>
      <c r="K682" s="258"/>
      <c r="L682" s="267"/>
      <c r="M682" s="268"/>
      <c r="N682" s="259" t="str" cm="1">
        <f t="array" ref="N682">IF($L682&gt;0, INDEX(Clean,1+AK682,$D$1), "")</f>
        <v/>
      </c>
      <c r="O682" s="260"/>
      <c r="P682" s="260"/>
      <c r="Q682" s="261"/>
      <c r="R682" s="264">
        <f t="shared" si="746"/>
        <v>0</v>
      </c>
      <c r="S682" s="259" t="str" cm="1">
        <f t="array" ref="S682">IF($L682&gt;0, INDEX(Clean,1+AL682,$D$1), "")</f>
        <v/>
      </c>
      <c r="T682" s="260"/>
      <c r="U682" s="260"/>
      <c r="V682" s="261"/>
      <c r="W682" s="267"/>
      <c r="X682" s="267"/>
      <c r="Y682" s="257"/>
      <c r="Z682" s="264">
        <f t="shared" si="747"/>
        <v>0</v>
      </c>
      <c r="AA682" s="269"/>
      <c r="AB682" s="266"/>
      <c r="AC682" s="254"/>
      <c r="AD682" s="255" t="str">
        <f>IF(ISBLANK(AC682), "", VLOOKUP(AC682, Z!$A$2:$C$4127, 3, FALSE))</f>
        <v/>
      </c>
      <c r="AE682" s="270"/>
      <c r="AF682" s="265">
        <f t="shared" si="748"/>
        <v>0</v>
      </c>
      <c r="AG682" s="246"/>
      <c r="AH682" s="228">
        <f t="shared" si="771"/>
        <v>1</v>
      </c>
      <c r="AI682" s="228">
        <f t="shared" si="772"/>
        <v>1</v>
      </c>
      <c r="AJ682" s="228">
        <f t="shared" si="773"/>
        <v>0</v>
      </c>
      <c r="AK682" s="228">
        <v>0</v>
      </c>
      <c r="AL682" s="228">
        <v>0</v>
      </c>
      <c r="AM682" s="228">
        <f t="shared" si="749"/>
        <v>-100</v>
      </c>
      <c r="AN682" s="228" cm="1">
        <f t="array" ref="AN682">IF(ISBLANK(G682), 1, IFERROR(MATCH(G682, INDEX(Kat,,1), 0), IFERROR(MATCH(Kat, INDEX(Use,,2), 0), MATCH(Kat, INDEX(Use,,3), 0))))</f>
        <v>1</v>
      </c>
      <c r="AO682" s="246"/>
      <c r="AP682" s="228" cm="1">
        <f t="array" ref="AP682">IF(W682&gt;0, INDEX(Kat, AN682,4), 0)</f>
        <v>0</v>
      </c>
      <c r="AQ682" s="228">
        <f t="shared" si="774"/>
        <v>0</v>
      </c>
      <c r="AR682" s="228" cm="1">
        <f t="array" ref="AR682">IF(X682&gt;0, INDEX(Kat, $AN682, 4+AQ682), 0)</f>
        <v>0</v>
      </c>
      <c r="AS682" s="228" cm="1">
        <f t="array" ref="AS682">IF(X682&gt;0, INDEX(Kat, $AN682, 9+AQ682), 0)</f>
        <v>0</v>
      </c>
      <c r="AT682" s="246"/>
      <c r="AU682" s="262"/>
      <c r="AV682" s="262"/>
      <c r="AW682" s="263"/>
      <c r="AX682" s="263"/>
      <c r="AY682" s="263"/>
      <c r="AZ682" s="263"/>
      <c r="BA682" s="263"/>
      <c r="BB682" s="263"/>
      <c r="BC682" s="263"/>
      <c r="BD682" s="263"/>
      <c r="BE682" s="263"/>
      <c r="BF682" s="263"/>
      <c r="BG682" s="263"/>
      <c r="BH682" s="246"/>
      <c r="BI682" s="228" cm="1">
        <f t="array" ref="BI682">INDEX(Use, $AH682, 4)</f>
        <v>7</v>
      </c>
      <c r="BJ682" s="228">
        <f t="shared" si="750"/>
        <v>32</v>
      </c>
      <c r="BK682" s="228">
        <f t="shared" si="776"/>
        <v>13</v>
      </c>
      <c r="BL682" s="228">
        <f t="shared" si="777"/>
        <v>0</v>
      </c>
      <c r="BM682" s="233" cm="1">
        <f t="array" ref="BM682">L682/IF($M682&gt;0, INDEX($AY$22:$BE$76, $M682+20, $AH682), 1)</f>
        <v>0</v>
      </c>
      <c r="BN682" s="229">
        <f t="shared" si="751"/>
        <v>0</v>
      </c>
      <c r="BO682" s="228">
        <v>35</v>
      </c>
      <c r="BP682" s="229">
        <f t="shared" si="752"/>
        <v>48</v>
      </c>
      <c r="BQ682" s="234">
        <f t="shared" si="753"/>
        <v>3.0748170731707316</v>
      </c>
      <c r="BR682" s="234" cm="1">
        <f t="array" ref="BR682">$BM682 * SUMPRODUCT(INDEX($AV$76:$AX$81,,$AI682),INDEX($AY$76:$BE$81,,$AH682), N($AU$76:$AU$81&gt;$AM682)) / BQ682 / 1000</f>
        <v>0</v>
      </c>
      <c r="BS682" s="231">
        <f t="shared" si="778"/>
        <v>30</v>
      </c>
      <c r="BT682" s="229">
        <f t="shared" si="754"/>
        <v>43</v>
      </c>
      <c r="BU682" s="234">
        <f t="shared" si="755"/>
        <v>3.5018750000000001</v>
      </c>
      <c r="BV682" s="234" cm="1">
        <f t="array" ref="BV682">$BM682 * IF($AH682&lt;=2,
SUMPRODUCT(INDEX($AV$71:$AX$75,,$AI682), INDEX($AY$71:$BE$75,,$AH682), 1 / ($BF$71:$BF$75*BU682 + (1-$BF$71:$BF$75)*BQ682), N($AU$71:$AU$75&gt;$AM682)),
SUMPRODUCT(INDEX($AV$66:$AX$75,,$AI682), INDEX($AY$66:$BE$75,,$AH682), 1 / ($BG$66:$BG$75*BU682 + (1-$BG$66:$BG$75)*BQ682), N($AU$66:$AU$75&gt;$AM682))
) / 1000</f>
        <v>0</v>
      </c>
      <c r="BW682" s="231">
        <f t="shared" si="779"/>
        <v>25</v>
      </c>
      <c r="BX682" s="229">
        <f t="shared" si="756"/>
        <v>38</v>
      </c>
      <c r="BY682" s="234">
        <f t="shared" si="757"/>
        <v>4.0666935483870965</v>
      </c>
      <c r="BZ682" s="234" cm="1">
        <f t="array" ref="BZ682">$BM682 * IF($AH682&lt;=2,
SUMPRODUCT(INDEX($AV$66:$AX$70,,$AI682), INDEX($AY$66:$BE$70,,$AH682), 1 / ($BF$66:$BF$70*BY682 + (1-$BF$66:$BF$70)*BU682), N($AU$66:$AU$70&gt;$AM682)),
SUMPRODUCT(INDEX($AV$56:$AX$65,,$AI682), INDEX($AY$56:$BE$65,,$AH682), 1 / ($BG$56:$BG$65*BY682 + (1-$BG$56:$BG$65)*BU682), N($AU$56:$AU$65&gt;$AM682))
) / 1000</f>
        <v>0</v>
      </c>
      <c r="CA682" s="231">
        <f t="shared" si="780"/>
        <v>20</v>
      </c>
      <c r="CB682" s="229">
        <f t="shared" si="758"/>
        <v>33</v>
      </c>
      <c r="CC682" s="234">
        <f t="shared" si="759"/>
        <v>4.8487499999999999</v>
      </c>
      <c r="CD682" s="234" cm="1">
        <f t="array" ref="CD682">$BM682 * IF($AH682&lt;=2,
SUMPRODUCT(INDEX($AV$61:$AX$65,,$AI682), INDEX($AY$61:$BE$65,,$AH682), 1 / ($BF$61:$BF$65*CC682 + (1-$BF$61:$BF$65)*BY682), N($AU$61:$AU$65&gt;$AM682)),
SUMPRODUCT(INDEX($AV$46:$AX$55,,$AI682), INDEX($AY$46:$BE$55,,$AH682), 1 / ($BG$46:$BG$55*CC682 + (1-$BG$46:$BG$55)*BY682), N($AU$46:$AU$55&gt;$AM682))
) / 1000</f>
        <v>0</v>
      </c>
      <c r="CE682" s="234" cm="1">
        <f t="array" ref="CE682">$BM682 * IF($AH682&lt;=2,
SUMPRODUCT(INDEX($AV$22:$AX$60,,$AI682), INDEX($AY$22:$BE$60,,$AH682), 1 / ($BF$22:$BF$60*CC682), N($AU$22:$AU$60&gt;$AM682)),
SUMPRODUCT(INDEX($AV$22:$AX$45,,$AI682), INDEX($AY$22:$BE$45,,$AH682), 1 / ($BG$22:$BG$45*CC682), N($AU$22:$AU$45&gt;$AM682))
) / 1000</f>
        <v>0</v>
      </c>
      <c r="CF682" s="229">
        <f t="shared" si="760"/>
        <v>0</v>
      </c>
      <c r="CG682" s="246"/>
      <c r="CH682" s="229">
        <f t="shared" si="761"/>
        <v>0</v>
      </c>
      <c r="CI682" s="228">
        <v>35</v>
      </c>
      <c r="CJ682" s="229">
        <f t="shared" si="762"/>
        <v>48</v>
      </c>
      <c r="CK682" s="234">
        <f t="shared" si="763"/>
        <v>3.0748170731707316</v>
      </c>
      <c r="CL682" s="234" cm="1">
        <f t="array" ref="CL682">$BM682 * SUMPRODUCT(INDEX($AV$76:$AX$81,,$AI682),INDEX($AY$76:$BE$81,,$AH682), N($AU$76:$AU$81&gt;$AM682)) / CK682 / 1000</f>
        <v>0</v>
      </c>
      <c r="CM682" s="231">
        <f t="shared" si="781"/>
        <v>30</v>
      </c>
      <c r="CN682" s="229">
        <f t="shared" si="764"/>
        <v>43</v>
      </c>
      <c r="CO682" s="234">
        <f t="shared" si="765"/>
        <v>3.5018750000000001</v>
      </c>
      <c r="CP682" s="234" cm="1">
        <f t="array" ref="CP682">$BM682 * IF($AH682&lt;=2,
SUMPRODUCT(INDEX($AV$71:$AX$75,,$AI682), INDEX($AY$71:$BE$75,,$AH682), 1 / ($BF$71:$BF$75*CO682 + (1-$BF$71:$BF$75)*CK682), N($AU$71:$AU$75&gt;$AM682)),
SUMPRODUCT(INDEX($AV$66:$AX$75,,$AI682), INDEX($AY$66:$BE$75,,$AH682), 1 / ($BG$66:$BG$75*CO682 + (1-$BG$66:$BG$75)*CK682), N($AU$66:$AU$75&gt;$AM682))
) / 1000</f>
        <v>0</v>
      </c>
      <c r="CQ682" s="231">
        <f t="shared" si="782"/>
        <v>25</v>
      </c>
      <c r="CR682" s="229">
        <f t="shared" si="766"/>
        <v>38</v>
      </c>
      <c r="CS682" s="234">
        <f t="shared" si="767"/>
        <v>4.0666935483870965</v>
      </c>
      <c r="CT682" s="234" cm="1">
        <f t="array" ref="CT682">$BM682 * IF($AH682&lt;=2,
SUMPRODUCT(INDEX($AV$66:$AX$70,,$AI682), INDEX($AY$66:$BE$70,,$AH682), 1 / ($BF$66:$BF$70*CS682 + (1-$BF$66:$BF$70)*CO682), N($AU$66:$AU$70&gt;$AM682)),
SUMPRODUCT(INDEX($AV$56:$AX$65,,$AI682), INDEX($AY$56:$BE$65,,$AH682), 1 / ($BG$56:$BG$65*CS682 + (1-$BG$56:$BG$65)*CO682), N($AU$56:$AU$65&gt;$AM682))
) / 1000</f>
        <v>0</v>
      </c>
      <c r="CU682" s="231">
        <f t="shared" si="783"/>
        <v>20</v>
      </c>
      <c r="CV682" s="229">
        <f t="shared" si="768"/>
        <v>33</v>
      </c>
      <c r="CW682" s="234">
        <f t="shared" si="769"/>
        <v>4.8487499999999999</v>
      </c>
      <c r="CX682" s="234" cm="1">
        <f t="array" ref="CX682">$BM682 * IF($AH682&lt;=2,
SUMPRODUCT(INDEX($AV$61:$AX$65,,$AI682), INDEX($AY$61:$BE$65,,$AH682), 1 / ($BF$61:$BF$65*CW682 + (1-$BF$61:$BF$65)*CS682), N($AU$61:$AU$65&gt;$AM682)),
SUMPRODUCT(INDEX($AV$46:$AX$55,,$AI682), INDEX($AY$46:$BE$55,,$AH682), 1 / ($BG$46:$BG$55*CW682 + (1-$BG$46:$BG$55)*CS682), N($AU$46:$AU$55&gt;$AM682))
) / 1000</f>
        <v>0</v>
      </c>
      <c r="CY682" s="234" cm="1">
        <f t="array" ref="CY682">$BM682 * IF($AH682&lt;=2,
SUMPRODUCT(INDEX($AV$22:$AX$60,,$AI682), INDEX($AY$22:$BE$60,,$AH682), 1 / ($BF$22:$BF$60*CW682), N($AU$22:$AU$60&gt;$AM682)),
SUMPRODUCT(INDEX($AV$22:$AX$45,,$AI682), INDEX($AY$22:$BE$45,,$AH682), 1 / ($BG$22:$BG$45*CW682), N($AU$22:$AU$45&gt;$AM682))
) / 1000</f>
        <v>0</v>
      </c>
      <c r="CZ682" s="229">
        <f t="shared" si="770"/>
        <v>0</v>
      </c>
      <c r="DA682" s="246"/>
    </row>
    <row r="683" spans="1:105" s="75" customFormat="1" ht="14.25" customHeight="1" x14ac:dyDescent="0.2">
      <c r="A683" s="230" t="b">
        <f t="shared" si="775"/>
        <v>0</v>
      </c>
      <c r="B683" s="253">
        <v>662</v>
      </c>
      <c r="C683" s="266"/>
      <c r="D683" s="266"/>
      <c r="E683" s="254"/>
      <c r="F683" s="255" t="str">
        <f>IF(ISBLANK(E683), "", VLOOKUP(E683, Z!$A$2:$C$4127, 3, FALSE))</f>
        <v/>
      </c>
      <c r="G683" s="256"/>
      <c r="H683" s="256"/>
      <c r="I683" s="256"/>
      <c r="J683" s="257"/>
      <c r="K683" s="258"/>
      <c r="L683" s="267"/>
      <c r="M683" s="268"/>
      <c r="N683" s="259" t="str" cm="1">
        <f t="array" ref="N683">IF($L683&gt;0, INDEX(Clean,1+AK683,$D$1), "")</f>
        <v/>
      </c>
      <c r="O683" s="260"/>
      <c r="P683" s="260"/>
      <c r="Q683" s="261"/>
      <c r="R683" s="264">
        <f t="shared" si="746"/>
        <v>0</v>
      </c>
      <c r="S683" s="259" t="str" cm="1">
        <f t="array" ref="S683">IF($L683&gt;0, INDEX(Clean,1+AL683,$D$1), "")</f>
        <v/>
      </c>
      <c r="T683" s="260"/>
      <c r="U683" s="260"/>
      <c r="V683" s="261"/>
      <c r="W683" s="267"/>
      <c r="X683" s="267"/>
      <c r="Y683" s="257"/>
      <c r="Z683" s="264">
        <f t="shared" si="747"/>
        <v>0</v>
      </c>
      <c r="AA683" s="269"/>
      <c r="AB683" s="266"/>
      <c r="AC683" s="254"/>
      <c r="AD683" s="255" t="str">
        <f>IF(ISBLANK(AC683), "", VLOOKUP(AC683, Z!$A$2:$C$4127, 3, FALSE))</f>
        <v/>
      </c>
      <c r="AE683" s="270"/>
      <c r="AF683" s="265">
        <f t="shared" si="748"/>
        <v>0</v>
      </c>
      <c r="AG683" s="246"/>
      <c r="AH683" s="228">
        <f t="shared" si="771"/>
        <v>1</v>
      </c>
      <c r="AI683" s="228">
        <f t="shared" si="772"/>
        <v>1</v>
      </c>
      <c r="AJ683" s="228">
        <f t="shared" si="773"/>
        <v>0</v>
      </c>
      <c r="AK683" s="228">
        <v>0</v>
      </c>
      <c r="AL683" s="228">
        <v>0</v>
      </c>
      <c r="AM683" s="228">
        <f t="shared" si="749"/>
        <v>-100</v>
      </c>
      <c r="AN683" s="228" cm="1">
        <f t="array" ref="AN683">IF(ISBLANK(G683), 1, IFERROR(MATCH(G683, INDEX(Kat,,1), 0), IFERROR(MATCH(Kat, INDEX(Use,,2), 0), MATCH(Kat, INDEX(Use,,3), 0))))</f>
        <v>1</v>
      </c>
      <c r="AO683" s="246"/>
      <c r="AP683" s="228" cm="1">
        <f t="array" ref="AP683">IF(W683&gt;0, INDEX(Kat, AN683,4), 0)</f>
        <v>0</v>
      </c>
      <c r="AQ683" s="228">
        <f t="shared" si="774"/>
        <v>0</v>
      </c>
      <c r="AR683" s="228" cm="1">
        <f t="array" ref="AR683">IF(X683&gt;0, INDEX(Kat, $AN683, 4+AQ683), 0)</f>
        <v>0</v>
      </c>
      <c r="AS683" s="228" cm="1">
        <f t="array" ref="AS683">IF(X683&gt;0, INDEX(Kat, $AN683, 9+AQ683), 0)</f>
        <v>0</v>
      </c>
      <c r="AT683" s="246"/>
      <c r="AU683" s="262"/>
      <c r="AV683" s="262"/>
      <c r="AW683" s="263"/>
      <c r="AX683" s="263"/>
      <c r="AY683" s="263"/>
      <c r="AZ683" s="263"/>
      <c r="BA683" s="263"/>
      <c r="BB683" s="263"/>
      <c r="BC683" s="263"/>
      <c r="BD683" s="263"/>
      <c r="BE683" s="263"/>
      <c r="BF683" s="263"/>
      <c r="BG683" s="263"/>
      <c r="BH683" s="246"/>
      <c r="BI683" s="228" cm="1">
        <f t="array" ref="BI683">INDEX(Use, $AH683, 4)</f>
        <v>7</v>
      </c>
      <c r="BJ683" s="228">
        <f t="shared" si="750"/>
        <v>32</v>
      </c>
      <c r="BK683" s="228">
        <f t="shared" si="776"/>
        <v>13</v>
      </c>
      <c r="BL683" s="228">
        <f t="shared" si="777"/>
        <v>0</v>
      </c>
      <c r="BM683" s="233" cm="1">
        <f t="array" ref="BM683">L683/IF($M683&gt;0, INDEX($AY$22:$BE$76, $M683+20, $AH683), 1)</f>
        <v>0</v>
      </c>
      <c r="BN683" s="229">
        <f t="shared" si="751"/>
        <v>0</v>
      </c>
      <c r="BO683" s="228">
        <v>35</v>
      </c>
      <c r="BP683" s="229">
        <f t="shared" si="752"/>
        <v>48</v>
      </c>
      <c r="BQ683" s="234">
        <f t="shared" si="753"/>
        <v>3.0748170731707316</v>
      </c>
      <c r="BR683" s="234" cm="1">
        <f t="array" ref="BR683">$BM683 * SUMPRODUCT(INDEX($AV$76:$AX$81,,$AI683),INDEX($AY$76:$BE$81,,$AH683), N($AU$76:$AU$81&gt;$AM683)) / BQ683 / 1000</f>
        <v>0</v>
      </c>
      <c r="BS683" s="231">
        <f t="shared" si="778"/>
        <v>30</v>
      </c>
      <c r="BT683" s="229">
        <f t="shared" si="754"/>
        <v>43</v>
      </c>
      <c r="BU683" s="234">
        <f t="shared" si="755"/>
        <v>3.5018750000000001</v>
      </c>
      <c r="BV683" s="234" cm="1">
        <f t="array" ref="BV683">$BM683 * IF($AH683&lt;=2,
SUMPRODUCT(INDEX($AV$71:$AX$75,,$AI683), INDEX($AY$71:$BE$75,,$AH683), 1 / ($BF$71:$BF$75*BU683 + (1-$BF$71:$BF$75)*BQ683), N($AU$71:$AU$75&gt;$AM683)),
SUMPRODUCT(INDEX($AV$66:$AX$75,,$AI683), INDEX($AY$66:$BE$75,,$AH683), 1 / ($BG$66:$BG$75*BU683 + (1-$BG$66:$BG$75)*BQ683), N($AU$66:$AU$75&gt;$AM683))
) / 1000</f>
        <v>0</v>
      </c>
      <c r="BW683" s="231">
        <f t="shared" si="779"/>
        <v>25</v>
      </c>
      <c r="BX683" s="229">
        <f t="shared" si="756"/>
        <v>38</v>
      </c>
      <c r="BY683" s="234">
        <f t="shared" si="757"/>
        <v>4.0666935483870965</v>
      </c>
      <c r="BZ683" s="234" cm="1">
        <f t="array" ref="BZ683">$BM683 * IF($AH683&lt;=2,
SUMPRODUCT(INDEX($AV$66:$AX$70,,$AI683), INDEX($AY$66:$BE$70,,$AH683), 1 / ($BF$66:$BF$70*BY683 + (1-$BF$66:$BF$70)*BU683), N($AU$66:$AU$70&gt;$AM683)),
SUMPRODUCT(INDEX($AV$56:$AX$65,,$AI683), INDEX($AY$56:$BE$65,,$AH683), 1 / ($BG$56:$BG$65*BY683 + (1-$BG$56:$BG$65)*BU683), N($AU$56:$AU$65&gt;$AM683))
) / 1000</f>
        <v>0</v>
      </c>
      <c r="CA683" s="231">
        <f t="shared" si="780"/>
        <v>20</v>
      </c>
      <c r="CB683" s="229">
        <f t="shared" si="758"/>
        <v>33</v>
      </c>
      <c r="CC683" s="234">
        <f t="shared" si="759"/>
        <v>4.8487499999999999</v>
      </c>
      <c r="CD683" s="234" cm="1">
        <f t="array" ref="CD683">$BM683 * IF($AH683&lt;=2,
SUMPRODUCT(INDEX($AV$61:$AX$65,,$AI683), INDEX($AY$61:$BE$65,,$AH683), 1 / ($BF$61:$BF$65*CC683 + (1-$BF$61:$BF$65)*BY683), N($AU$61:$AU$65&gt;$AM683)),
SUMPRODUCT(INDEX($AV$46:$AX$55,,$AI683), INDEX($AY$46:$BE$55,,$AH683), 1 / ($BG$46:$BG$55*CC683 + (1-$BG$46:$BG$55)*BY683), N($AU$46:$AU$55&gt;$AM683))
) / 1000</f>
        <v>0</v>
      </c>
      <c r="CE683" s="234" cm="1">
        <f t="array" ref="CE683">$BM683 * IF($AH683&lt;=2,
SUMPRODUCT(INDEX($AV$22:$AX$60,,$AI683), INDEX($AY$22:$BE$60,,$AH683), 1 / ($BF$22:$BF$60*CC683), N($AU$22:$AU$60&gt;$AM683)),
SUMPRODUCT(INDEX($AV$22:$AX$45,,$AI683), INDEX($AY$22:$BE$45,,$AH683), 1 / ($BG$22:$BG$45*CC683), N($AU$22:$AU$45&gt;$AM683))
) / 1000</f>
        <v>0</v>
      </c>
      <c r="CF683" s="229">
        <f t="shared" si="760"/>
        <v>0</v>
      </c>
      <c r="CG683" s="246"/>
      <c r="CH683" s="229">
        <f t="shared" si="761"/>
        <v>0</v>
      </c>
      <c r="CI683" s="228">
        <v>35</v>
      </c>
      <c r="CJ683" s="229">
        <f t="shared" si="762"/>
        <v>48</v>
      </c>
      <c r="CK683" s="234">
        <f t="shared" si="763"/>
        <v>3.0748170731707316</v>
      </c>
      <c r="CL683" s="234" cm="1">
        <f t="array" ref="CL683">$BM683 * SUMPRODUCT(INDEX($AV$76:$AX$81,,$AI683),INDEX($AY$76:$BE$81,,$AH683), N($AU$76:$AU$81&gt;$AM683)) / CK683 / 1000</f>
        <v>0</v>
      </c>
      <c r="CM683" s="231">
        <f t="shared" si="781"/>
        <v>30</v>
      </c>
      <c r="CN683" s="229">
        <f t="shared" si="764"/>
        <v>43</v>
      </c>
      <c r="CO683" s="234">
        <f t="shared" si="765"/>
        <v>3.5018750000000001</v>
      </c>
      <c r="CP683" s="234" cm="1">
        <f t="array" ref="CP683">$BM683 * IF($AH683&lt;=2,
SUMPRODUCT(INDEX($AV$71:$AX$75,,$AI683), INDEX($AY$71:$BE$75,,$AH683), 1 / ($BF$71:$BF$75*CO683 + (1-$BF$71:$BF$75)*CK683), N($AU$71:$AU$75&gt;$AM683)),
SUMPRODUCT(INDEX($AV$66:$AX$75,,$AI683), INDEX($AY$66:$BE$75,,$AH683), 1 / ($BG$66:$BG$75*CO683 + (1-$BG$66:$BG$75)*CK683), N($AU$66:$AU$75&gt;$AM683))
) / 1000</f>
        <v>0</v>
      </c>
      <c r="CQ683" s="231">
        <f t="shared" si="782"/>
        <v>25</v>
      </c>
      <c r="CR683" s="229">
        <f t="shared" si="766"/>
        <v>38</v>
      </c>
      <c r="CS683" s="234">
        <f t="shared" si="767"/>
        <v>4.0666935483870965</v>
      </c>
      <c r="CT683" s="234" cm="1">
        <f t="array" ref="CT683">$BM683 * IF($AH683&lt;=2,
SUMPRODUCT(INDEX($AV$66:$AX$70,,$AI683), INDEX($AY$66:$BE$70,,$AH683), 1 / ($BF$66:$BF$70*CS683 + (1-$BF$66:$BF$70)*CO683), N($AU$66:$AU$70&gt;$AM683)),
SUMPRODUCT(INDEX($AV$56:$AX$65,,$AI683), INDEX($AY$56:$BE$65,,$AH683), 1 / ($BG$56:$BG$65*CS683 + (1-$BG$56:$BG$65)*CO683), N($AU$56:$AU$65&gt;$AM683))
) / 1000</f>
        <v>0</v>
      </c>
      <c r="CU683" s="231">
        <f t="shared" si="783"/>
        <v>20</v>
      </c>
      <c r="CV683" s="229">
        <f t="shared" si="768"/>
        <v>33</v>
      </c>
      <c r="CW683" s="234">
        <f t="shared" si="769"/>
        <v>4.8487499999999999</v>
      </c>
      <c r="CX683" s="234" cm="1">
        <f t="array" ref="CX683">$BM683 * IF($AH683&lt;=2,
SUMPRODUCT(INDEX($AV$61:$AX$65,,$AI683), INDEX($AY$61:$BE$65,,$AH683), 1 / ($BF$61:$BF$65*CW683 + (1-$BF$61:$BF$65)*CS683), N($AU$61:$AU$65&gt;$AM683)),
SUMPRODUCT(INDEX($AV$46:$AX$55,,$AI683), INDEX($AY$46:$BE$55,,$AH683), 1 / ($BG$46:$BG$55*CW683 + (1-$BG$46:$BG$55)*CS683), N($AU$46:$AU$55&gt;$AM683))
) / 1000</f>
        <v>0</v>
      </c>
      <c r="CY683" s="234" cm="1">
        <f t="array" ref="CY683">$BM683 * IF($AH683&lt;=2,
SUMPRODUCT(INDEX($AV$22:$AX$60,,$AI683), INDEX($AY$22:$BE$60,,$AH683), 1 / ($BF$22:$BF$60*CW683), N($AU$22:$AU$60&gt;$AM683)),
SUMPRODUCT(INDEX($AV$22:$AX$45,,$AI683), INDEX($AY$22:$BE$45,,$AH683), 1 / ($BG$22:$BG$45*CW683), N($AU$22:$AU$45&gt;$AM683))
) / 1000</f>
        <v>0</v>
      </c>
      <c r="CZ683" s="229">
        <f t="shared" si="770"/>
        <v>0</v>
      </c>
      <c r="DA683" s="246"/>
    </row>
    <row r="684" spans="1:105" s="75" customFormat="1" ht="14.25" customHeight="1" x14ac:dyDescent="0.2">
      <c r="A684" s="230" t="b">
        <f t="shared" si="775"/>
        <v>0</v>
      </c>
      <c r="B684" s="253">
        <v>663</v>
      </c>
      <c r="C684" s="266"/>
      <c r="D684" s="266"/>
      <c r="E684" s="254"/>
      <c r="F684" s="255" t="str">
        <f>IF(ISBLANK(E684), "", VLOOKUP(E684, Z!$A$2:$C$4127, 3, FALSE))</f>
        <v/>
      </c>
      <c r="G684" s="256"/>
      <c r="H684" s="256"/>
      <c r="I684" s="256"/>
      <c r="J684" s="257"/>
      <c r="K684" s="258"/>
      <c r="L684" s="267"/>
      <c r="M684" s="268"/>
      <c r="N684" s="259" t="str" cm="1">
        <f t="array" ref="N684">IF($L684&gt;0, INDEX(Clean,1+AK684,$D$1), "")</f>
        <v/>
      </c>
      <c r="O684" s="260"/>
      <c r="P684" s="260"/>
      <c r="Q684" s="261"/>
      <c r="R684" s="264">
        <f t="shared" si="746"/>
        <v>0</v>
      </c>
      <c r="S684" s="259" t="str" cm="1">
        <f t="array" ref="S684">IF($L684&gt;0, INDEX(Clean,1+AL684,$D$1), "")</f>
        <v/>
      </c>
      <c r="T684" s="260"/>
      <c r="U684" s="260"/>
      <c r="V684" s="261"/>
      <c r="W684" s="267"/>
      <c r="X684" s="267"/>
      <c r="Y684" s="257"/>
      <c r="Z684" s="264">
        <f t="shared" si="747"/>
        <v>0</v>
      </c>
      <c r="AA684" s="269"/>
      <c r="AB684" s="266"/>
      <c r="AC684" s="254"/>
      <c r="AD684" s="255" t="str">
        <f>IF(ISBLANK(AC684), "", VLOOKUP(AC684, Z!$A$2:$C$4127, 3, FALSE))</f>
        <v/>
      </c>
      <c r="AE684" s="270"/>
      <c r="AF684" s="265">
        <f t="shared" si="748"/>
        <v>0</v>
      </c>
      <c r="AG684" s="246"/>
      <c r="AH684" s="228">
        <f t="shared" si="771"/>
        <v>1</v>
      </c>
      <c r="AI684" s="228">
        <f t="shared" si="772"/>
        <v>1</v>
      </c>
      <c r="AJ684" s="228">
        <f t="shared" si="773"/>
        <v>0</v>
      </c>
      <c r="AK684" s="228">
        <v>0</v>
      </c>
      <c r="AL684" s="228">
        <v>0</v>
      </c>
      <c r="AM684" s="228">
        <f t="shared" si="749"/>
        <v>-100</v>
      </c>
      <c r="AN684" s="228" cm="1">
        <f t="array" ref="AN684">IF(ISBLANK(G684), 1, IFERROR(MATCH(G684, INDEX(Kat,,1), 0), IFERROR(MATCH(Kat, INDEX(Use,,2), 0), MATCH(Kat, INDEX(Use,,3), 0))))</f>
        <v>1</v>
      </c>
      <c r="AO684" s="246"/>
      <c r="AP684" s="228" cm="1">
        <f t="array" ref="AP684">IF(W684&gt;0, INDEX(Kat, AN684,4), 0)</f>
        <v>0</v>
      </c>
      <c r="AQ684" s="228">
        <f t="shared" si="774"/>
        <v>0</v>
      </c>
      <c r="AR684" s="228" cm="1">
        <f t="array" ref="AR684">IF(X684&gt;0, INDEX(Kat, $AN684, 4+AQ684), 0)</f>
        <v>0</v>
      </c>
      <c r="AS684" s="228" cm="1">
        <f t="array" ref="AS684">IF(X684&gt;0, INDEX(Kat, $AN684, 9+AQ684), 0)</f>
        <v>0</v>
      </c>
      <c r="AT684" s="246"/>
      <c r="AU684" s="262"/>
      <c r="AV684" s="262"/>
      <c r="AW684" s="263"/>
      <c r="AX684" s="263"/>
      <c r="AY684" s="263"/>
      <c r="AZ684" s="263"/>
      <c r="BA684" s="263"/>
      <c r="BB684" s="263"/>
      <c r="BC684" s="263"/>
      <c r="BD684" s="263"/>
      <c r="BE684" s="263"/>
      <c r="BF684" s="263"/>
      <c r="BG684" s="263"/>
      <c r="BH684" s="246"/>
      <c r="BI684" s="228" cm="1">
        <f t="array" ref="BI684">INDEX(Use, $AH684, 4)</f>
        <v>7</v>
      </c>
      <c r="BJ684" s="228">
        <f t="shared" si="750"/>
        <v>32</v>
      </c>
      <c r="BK684" s="228">
        <f t="shared" si="776"/>
        <v>13</v>
      </c>
      <c r="BL684" s="228">
        <f t="shared" si="777"/>
        <v>0</v>
      </c>
      <c r="BM684" s="233" cm="1">
        <f t="array" ref="BM684">L684/IF($M684&gt;0, INDEX($AY$22:$BE$76, $M684+20, $AH684), 1)</f>
        <v>0</v>
      </c>
      <c r="BN684" s="229">
        <f t="shared" si="751"/>
        <v>0</v>
      </c>
      <c r="BO684" s="228">
        <v>35</v>
      </c>
      <c r="BP684" s="229">
        <f t="shared" si="752"/>
        <v>48</v>
      </c>
      <c r="BQ684" s="234">
        <f t="shared" si="753"/>
        <v>3.0748170731707316</v>
      </c>
      <c r="BR684" s="234" cm="1">
        <f t="array" ref="BR684">$BM684 * SUMPRODUCT(INDEX($AV$76:$AX$81,,$AI684),INDEX($AY$76:$BE$81,,$AH684), N($AU$76:$AU$81&gt;$AM684)) / BQ684 / 1000</f>
        <v>0</v>
      </c>
      <c r="BS684" s="231">
        <f t="shared" si="778"/>
        <v>30</v>
      </c>
      <c r="BT684" s="229">
        <f t="shared" si="754"/>
        <v>43</v>
      </c>
      <c r="BU684" s="234">
        <f t="shared" si="755"/>
        <v>3.5018750000000001</v>
      </c>
      <c r="BV684" s="234" cm="1">
        <f t="array" ref="BV684">$BM684 * IF($AH684&lt;=2,
SUMPRODUCT(INDEX($AV$71:$AX$75,,$AI684), INDEX($AY$71:$BE$75,,$AH684), 1 / ($BF$71:$BF$75*BU684 + (1-$BF$71:$BF$75)*BQ684), N($AU$71:$AU$75&gt;$AM684)),
SUMPRODUCT(INDEX($AV$66:$AX$75,,$AI684), INDEX($AY$66:$BE$75,,$AH684), 1 / ($BG$66:$BG$75*BU684 + (1-$BG$66:$BG$75)*BQ684), N($AU$66:$AU$75&gt;$AM684))
) / 1000</f>
        <v>0</v>
      </c>
      <c r="BW684" s="231">
        <f t="shared" si="779"/>
        <v>25</v>
      </c>
      <c r="BX684" s="229">
        <f t="shared" si="756"/>
        <v>38</v>
      </c>
      <c r="BY684" s="234">
        <f t="shared" si="757"/>
        <v>4.0666935483870965</v>
      </c>
      <c r="BZ684" s="234" cm="1">
        <f t="array" ref="BZ684">$BM684 * IF($AH684&lt;=2,
SUMPRODUCT(INDEX($AV$66:$AX$70,,$AI684), INDEX($AY$66:$BE$70,,$AH684), 1 / ($BF$66:$BF$70*BY684 + (1-$BF$66:$BF$70)*BU684), N($AU$66:$AU$70&gt;$AM684)),
SUMPRODUCT(INDEX($AV$56:$AX$65,,$AI684), INDEX($AY$56:$BE$65,,$AH684), 1 / ($BG$56:$BG$65*BY684 + (1-$BG$56:$BG$65)*BU684), N($AU$56:$AU$65&gt;$AM684))
) / 1000</f>
        <v>0</v>
      </c>
      <c r="CA684" s="231">
        <f t="shared" si="780"/>
        <v>20</v>
      </c>
      <c r="CB684" s="229">
        <f t="shared" si="758"/>
        <v>33</v>
      </c>
      <c r="CC684" s="234">
        <f t="shared" si="759"/>
        <v>4.8487499999999999</v>
      </c>
      <c r="CD684" s="234" cm="1">
        <f t="array" ref="CD684">$BM684 * IF($AH684&lt;=2,
SUMPRODUCT(INDEX($AV$61:$AX$65,,$AI684), INDEX($AY$61:$BE$65,,$AH684), 1 / ($BF$61:$BF$65*CC684 + (1-$BF$61:$BF$65)*BY684), N($AU$61:$AU$65&gt;$AM684)),
SUMPRODUCT(INDEX($AV$46:$AX$55,,$AI684), INDEX($AY$46:$BE$55,,$AH684), 1 / ($BG$46:$BG$55*CC684 + (1-$BG$46:$BG$55)*BY684), N($AU$46:$AU$55&gt;$AM684))
) / 1000</f>
        <v>0</v>
      </c>
      <c r="CE684" s="234" cm="1">
        <f t="array" ref="CE684">$BM684 * IF($AH684&lt;=2,
SUMPRODUCT(INDEX($AV$22:$AX$60,,$AI684), INDEX($AY$22:$BE$60,,$AH684), 1 / ($BF$22:$BF$60*CC684), N($AU$22:$AU$60&gt;$AM684)),
SUMPRODUCT(INDEX($AV$22:$AX$45,,$AI684), INDEX($AY$22:$BE$45,,$AH684), 1 / ($BG$22:$BG$45*CC684), N($AU$22:$AU$45&gt;$AM684))
) / 1000</f>
        <v>0</v>
      </c>
      <c r="CF684" s="229">
        <f t="shared" si="760"/>
        <v>0</v>
      </c>
      <c r="CG684" s="246"/>
      <c r="CH684" s="229">
        <f t="shared" si="761"/>
        <v>0</v>
      </c>
      <c r="CI684" s="228">
        <v>35</v>
      </c>
      <c r="CJ684" s="229">
        <f t="shared" si="762"/>
        <v>48</v>
      </c>
      <c r="CK684" s="234">
        <f t="shared" si="763"/>
        <v>3.0748170731707316</v>
      </c>
      <c r="CL684" s="234" cm="1">
        <f t="array" ref="CL684">$BM684 * SUMPRODUCT(INDEX($AV$76:$AX$81,,$AI684),INDEX($AY$76:$BE$81,,$AH684), N($AU$76:$AU$81&gt;$AM684)) / CK684 / 1000</f>
        <v>0</v>
      </c>
      <c r="CM684" s="231">
        <f t="shared" si="781"/>
        <v>30</v>
      </c>
      <c r="CN684" s="229">
        <f t="shared" si="764"/>
        <v>43</v>
      </c>
      <c r="CO684" s="234">
        <f t="shared" si="765"/>
        <v>3.5018750000000001</v>
      </c>
      <c r="CP684" s="234" cm="1">
        <f t="array" ref="CP684">$BM684 * IF($AH684&lt;=2,
SUMPRODUCT(INDEX($AV$71:$AX$75,,$AI684), INDEX($AY$71:$BE$75,,$AH684), 1 / ($BF$71:$BF$75*CO684 + (1-$BF$71:$BF$75)*CK684), N($AU$71:$AU$75&gt;$AM684)),
SUMPRODUCT(INDEX($AV$66:$AX$75,,$AI684), INDEX($AY$66:$BE$75,,$AH684), 1 / ($BG$66:$BG$75*CO684 + (1-$BG$66:$BG$75)*CK684), N($AU$66:$AU$75&gt;$AM684))
) / 1000</f>
        <v>0</v>
      </c>
      <c r="CQ684" s="231">
        <f t="shared" si="782"/>
        <v>25</v>
      </c>
      <c r="CR684" s="229">
        <f t="shared" si="766"/>
        <v>38</v>
      </c>
      <c r="CS684" s="234">
        <f t="shared" si="767"/>
        <v>4.0666935483870965</v>
      </c>
      <c r="CT684" s="234" cm="1">
        <f t="array" ref="CT684">$BM684 * IF($AH684&lt;=2,
SUMPRODUCT(INDEX($AV$66:$AX$70,,$AI684), INDEX($AY$66:$BE$70,,$AH684), 1 / ($BF$66:$BF$70*CS684 + (1-$BF$66:$BF$70)*CO684), N($AU$66:$AU$70&gt;$AM684)),
SUMPRODUCT(INDEX($AV$56:$AX$65,,$AI684), INDEX($AY$56:$BE$65,,$AH684), 1 / ($BG$56:$BG$65*CS684 + (1-$BG$56:$BG$65)*CO684), N($AU$56:$AU$65&gt;$AM684))
) / 1000</f>
        <v>0</v>
      </c>
      <c r="CU684" s="231">
        <f t="shared" si="783"/>
        <v>20</v>
      </c>
      <c r="CV684" s="229">
        <f t="shared" si="768"/>
        <v>33</v>
      </c>
      <c r="CW684" s="234">
        <f t="shared" si="769"/>
        <v>4.8487499999999999</v>
      </c>
      <c r="CX684" s="234" cm="1">
        <f t="array" ref="CX684">$BM684 * IF($AH684&lt;=2,
SUMPRODUCT(INDEX($AV$61:$AX$65,,$AI684), INDEX($AY$61:$BE$65,,$AH684), 1 / ($BF$61:$BF$65*CW684 + (1-$BF$61:$BF$65)*CS684), N($AU$61:$AU$65&gt;$AM684)),
SUMPRODUCT(INDEX($AV$46:$AX$55,,$AI684), INDEX($AY$46:$BE$55,,$AH684), 1 / ($BG$46:$BG$55*CW684 + (1-$BG$46:$BG$55)*CS684), N($AU$46:$AU$55&gt;$AM684))
) / 1000</f>
        <v>0</v>
      </c>
      <c r="CY684" s="234" cm="1">
        <f t="array" ref="CY684">$BM684 * IF($AH684&lt;=2,
SUMPRODUCT(INDEX($AV$22:$AX$60,,$AI684), INDEX($AY$22:$BE$60,,$AH684), 1 / ($BF$22:$BF$60*CW684), N($AU$22:$AU$60&gt;$AM684)),
SUMPRODUCT(INDEX($AV$22:$AX$45,,$AI684), INDEX($AY$22:$BE$45,,$AH684), 1 / ($BG$22:$BG$45*CW684), N($AU$22:$AU$45&gt;$AM684))
) / 1000</f>
        <v>0</v>
      </c>
      <c r="CZ684" s="229">
        <f t="shared" si="770"/>
        <v>0</v>
      </c>
      <c r="DA684" s="246"/>
    </row>
    <row r="685" spans="1:105" s="75" customFormat="1" ht="14.25" customHeight="1" x14ac:dyDescent="0.2">
      <c r="A685" s="230" t="b">
        <f t="shared" si="775"/>
        <v>0</v>
      </c>
      <c r="B685" s="253">
        <v>664</v>
      </c>
      <c r="C685" s="266"/>
      <c r="D685" s="266"/>
      <c r="E685" s="254"/>
      <c r="F685" s="255" t="str">
        <f>IF(ISBLANK(E685), "", VLOOKUP(E685, Z!$A$2:$C$4127, 3, FALSE))</f>
        <v/>
      </c>
      <c r="G685" s="256"/>
      <c r="H685" s="256"/>
      <c r="I685" s="256"/>
      <c r="J685" s="257"/>
      <c r="K685" s="258"/>
      <c r="L685" s="267"/>
      <c r="M685" s="268"/>
      <c r="N685" s="259" t="str" cm="1">
        <f t="array" ref="N685">IF($L685&gt;0, INDEX(Clean,1+AK685,$D$1), "")</f>
        <v/>
      </c>
      <c r="O685" s="260"/>
      <c r="P685" s="260"/>
      <c r="Q685" s="261"/>
      <c r="R685" s="264">
        <f t="shared" si="746"/>
        <v>0</v>
      </c>
      <c r="S685" s="259" t="str" cm="1">
        <f t="array" ref="S685">IF($L685&gt;0, INDEX(Clean,1+AL685,$D$1), "")</f>
        <v/>
      </c>
      <c r="T685" s="260"/>
      <c r="U685" s="260"/>
      <c r="V685" s="261"/>
      <c r="W685" s="267"/>
      <c r="X685" s="267"/>
      <c r="Y685" s="257"/>
      <c r="Z685" s="264">
        <f t="shared" si="747"/>
        <v>0</v>
      </c>
      <c r="AA685" s="269"/>
      <c r="AB685" s="266"/>
      <c r="AC685" s="254"/>
      <c r="AD685" s="255" t="str">
        <f>IF(ISBLANK(AC685), "", VLOOKUP(AC685, Z!$A$2:$C$4127, 3, FALSE))</f>
        <v/>
      </c>
      <c r="AE685" s="270"/>
      <c r="AF685" s="265">
        <f t="shared" si="748"/>
        <v>0</v>
      </c>
      <c r="AG685" s="246"/>
      <c r="AH685" s="228">
        <f t="shared" si="771"/>
        <v>1</v>
      </c>
      <c r="AI685" s="228">
        <f t="shared" si="772"/>
        <v>1</v>
      </c>
      <c r="AJ685" s="228">
        <f t="shared" si="773"/>
        <v>0</v>
      </c>
      <c r="AK685" s="228">
        <v>0</v>
      </c>
      <c r="AL685" s="228">
        <v>0</v>
      </c>
      <c r="AM685" s="228">
        <f t="shared" si="749"/>
        <v>-100</v>
      </c>
      <c r="AN685" s="228" cm="1">
        <f t="array" ref="AN685">IF(ISBLANK(G685), 1, IFERROR(MATCH(G685, INDEX(Kat,,1), 0), IFERROR(MATCH(Kat, INDEX(Use,,2), 0), MATCH(Kat, INDEX(Use,,3), 0))))</f>
        <v>1</v>
      </c>
      <c r="AO685" s="246"/>
      <c r="AP685" s="228" cm="1">
        <f t="array" ref="AP685">IF(W685&gt;0, INDEX(Kat, AN685,4), 0)</f>
        <v>0</v>
      </c>
      <c r="AQ685" s="228">
        <f t="shared" si="774"/>
        <v>0</v>
      </c>
      <c r="AR685" s="228" cm="1">
        <f t="array" ref="AR685">IF(X685&gt;0, INDEX(Kat, $AN685, 4+AQ685), 0)</f>
        <v>0</v>
      </c>
      <c r="AS685" s="228" cm="1">
        <f t="array" ref="AS685">IF(X685&gt;0, INDEX(Kat, $AN685, 9+AQ685), 0)</f>
        <v>0</v>
      </c>
      <c r="AT685" s="246"/>
      <c r="AU685" s="262"/>
      <c r="AV685" s="262"/>
      <c r="AW685" s="263"/>
      <c r="AX685" s="263"/>
      <c r="AY685" s="263"/>
      <c r="AZ685" s="263"/>
      <c r="BA685" s="263"/>
      <c r="BB685" s="263"/>
      <c r="BC685" s="263"/>
      <c r="BD685" s="263"/>
      <c r="BE685" s="263"/>
      <c r="BF685" s="263"/>
      <c r="BG685" s="263"/>
      <c r="BH685" s="246"/>
      <c r="BI685" s="228" cm="1">
        <f t="array" ref="BI685">INDEX(Use, $AH685, 4)</f>
        <v>7</v>
      </c>
      <c r="BJ685" s="228">
        <f t="shared" si="750"/>
        <v>32</v>
      </c>
      <c r="BK685" s="228">
        <f t="shared" si="776"/>
        <v>13</v>
      </c>
      <c r="BL685" s="228">
        <f t="shared" si="777"/>
        <v>0</v>
      </c>
      <c r="BM685" s="233" cm="1">
        <f t="array" ref="BM685">L685/IF($M685&gt;0, INDEX($AY$22:$BE$76, $M685+20, $AH685), 1)</f>
        <v>0</v>
      </c>
      <c r="BN685" s="229">
        <f t="shared" si="751"/>
        <v>0</v>
      </c>
      <c r="BO685" s="228">
        <v>35</v>
      </c>
      <c r="BP685" s="229">
        <f t="shared" si="752"/>
        <v>48</v>
      </c>
      <c r="BQ685" s="234">
        <f t="shared" si="753"/>
        <v>3.0748170731707316</v>
      </c>
      <c r="BR685" s="234" cm="1">
        <f t="array" ref="BR685">$BM685 * SUMPRODUCT(INDEX($AV$76:$AX$81,,$AI685),INDEX($AY$76:$BE$81,,$AH685), N($AU$76:$AU$81&gt;$AM685)) / BQ685 / 1000</f>
        <v>0</v>
      </c>
      <c r="BS685" s="231">
        <f t="shared" si="778"/>
        <v>30</v>
      </c>
      <c r="BT685" s="229">
        <f t="shared" si="754"/>
        <v>43</v>
      </c>
      <c r="BU685" s="234">
        <f t="shared" si="755"/>
        <v>3.5018750000000001</v>
      </c>
      <c r="BV685" s="234" cm="1">
        <f t="array" ref="BV685">$BM685 * IF($AH685&lt;=2,
SUMPRODUCT(INDEX($AV$71:$AX$75,,$AI685), INDEX($AY$71:$BE$75,,$AH685), 1 / ($BF$71:$BF$75*BU685 + (1-$BF$71:$BF$75)*BQ685), N($AU$71:$AU$75&gt;$AM685)),
SUMPRODUCT(INDEX($AV$66:$AX$75,,$AI685), INDEX($AY$66:$BE$75,,$AH685), 1 / ($BG$66:$BG$75*BU685 + (1-$BG$66:$BG$75)*BQ685), N($AU$66:$AU$75&gt;$AM685))
) / 1000</f>
        <v>0</v>
      </c>
      <c r="BW685" s="231">
        <f t="shared" si="779"/>
        <v>25</v>
      </c>
      <c r="BX685" s="229">
        <f t="shared" si="756"/>
        <v>38</v>
      </c>
      <c r="BY685" s="234">
        <f t="shared" si="757"/>
        <v>4.0666935483870965</v>
      </c>
      <c r="BZ685" s="234" cm="1">
        <f t="array" ref="BZ685">$BM685 * IF($AH685&lt;=2,
SUMPRODUCT(INDEX($AV$66:$AX$70,,$AI685), INDEX($AY$66:$BE$70,,$AH685), 1 / ($BF$66:$BF$70*BY685 + (1-$BF$66:$BF$70)*BU685), N($AU$66:$AU$70&gt;$AM685)),
SUMPRODUCT(INDEX($AV$56:$AX$65,,$AI685), INDEX($AY$56:$BE$65,,$AH685), 1 / ($BG$56:$BG$65*BY685 + (1-$BG$56:$BG$65)*BU685), N($AU$56:$AU$65&gt;$AM685))
) / 1000</f>
        <v>0</v>
      </c>
      <c r="CA685" s="231">
        <f t="shared" si="780"/>
        <v>20</v>
      </c>
      <c r="CB685" s="229">
        <f t="shared" si="758"/>
        <v>33</v>
      </c>
      <c r="CC685" s="234">
        <f t="shared" si="759"/>
        <v>4.8487499999999999</v>
      </c>
      <c r="CD685" s="234" cm="1">
        <f t="array" ref="CD685">$BM685 * IF($AH685&lt;=2,
SUMPRODUCT(INDEX($AV$61:$AX$65,,$AI685), INDEX($AY$61:$BE$65,,$AH685), 1 / ($BF$61:$BF$65*CC685 + (1-$BF$61:$BF$65)*BY685), N($AU$61:$AU$65&gt;$AM685)),
SUMPRODUCT(INDEX($AV$46:$AX$55,,$AI685), INDEX($AY$46:$BE$55,,$AH685), 1 / ($BG$46:$BG$55*CC685 + (1-$BG$46:$BG$55)*BY685), N($AU$46:$AU$55&gt;$AM685))
) / 1000</f>
        <v>0</v>
      </c>
      <c r="CE685" s="234" cm="1">
        <f t="array" ref="CE685">$BM685 * IF($AH685&lt;=2,
SUMPRODUCT(INDEX($AV$22:$AX$60,,$AI685), INDEX($AY$22:$BE$60,,$AH685), 1 / ($BF$22:$BF$60*CC685), N($AU$22:$AU$60&gt;$AM685)),
SUMPRODUCT(INDEX($AV$22:$AX$45,,$AI685), INDEX($AY$22:$BE$45,,$AH685), 1 / ($BG$22:$BG$45*CC685), N($AU$22:$AU$45&gt;$AM685))
) / 1000</f>
        <v>0</v>
      </c>
      <c r="CF685" s="229">
        <f t="shared" si="760"/>
        <v>0</v>
      </c>
      <c r="CG685" s="246"/>
      <c r="CH685" s="229">
        <f t="shared" si="761"/>
        <v>0</v>
      </c>
      <c r="CI685" s="228">
        <v>35</v>
      </c>
      <c r="CJ685" s="229">
        <f t="shared" si="762"/>
        <v>48</v>
      </c>
      <c r="CK685" s="234">
        <f t="shared" si="763"/>
        <v>3.0748170731707316</v>
      </c>
      <c r="CL685" s="234" cm="1">
        <f t="array" ref="CL685">$BM685 * SUMPRODUCT(INDEX($AV$76:$AX$81,,$AI685),INDEX($AY$76:$BE$81,,$AH685), N($AU$76:$AU$81&gt;$AM685)) / CK685 / 1000</f>
        <v>0</v>
      </c>
      <c r="CM685" s="231">
        <f t="shared" si="781"/>
        <v>30</v>
      </c>
      <c r="CN685" s="229">
        <f t="shared" si="764"/>
        <v>43</v>
      </c>
      <c r="CO685" s="234">
        <f t="shared" si="765"/>
        <v>3.5018750000000001</v>
      </c>
      <c r="CP685" s="234" cm="1">
        <f t="array" ref="CP685">$BM685 * IF($AH685&lt;=2,
SUMPRODUCT(INDEX($AV$71:$AX$75,,$AI685), INDEX($AY$71:$BE$75,,$AH685), 1 / ($BF$71:$BF$75*CO685 + (1-$BF$71:$BF$75)*CK685), N($AU$71:$AU$75&gt;$AM685)),
SUMPRODUCT(INDEX($AV$66:$AX$75,,$AI685), INDEX($AY$66:$BE$75,,$AH685), 1 / ($BG$66:$BG$75*CO685 + (1-$BG$66:$BG$75)*CK685), N($AU$66:$AU$75&gt;$AM685))
) / 1000</f>
        <v>0</v>
      </c>
      <c r="CQ685" s="231">
        <f t="shared" si="782"/>
        <v>25</v>
      </c>
      <c r="CR685" s="229">
        <f t="shared" si="766"/>
        <v>38</v>
      </c>
      <c r="CS685" s="234">
        <f t="shared" si="767"/>
        <v>4.0666935483870965</v>
      </c>
      <c r="CT685" s="234" cm="1">
        <f t="array" ref="CT685">$BM685 * IF($AH685&lt;=2,
SUMPRODUCT(INDEX($AV$66:$AX$70,,$AI685), INDEX($AY$66:$BE$70,,$AH685), 1 / ($BF$66:$BF$70*CS685 + (1-$BF$66:$BF$70)*CO685), N($AU$66:$AU$70&gt;$AM685)),
SUMPRODUCT(INDEX($AV$56:$AX$65,,$AI685), INDEX($AY$56:$BE$65,,$AH685), 1 / ($BG$56:$BG$65*CS685 + (1-$BG$56:$BG$65)*CO685), N($AU$56:$AU$65&gt;$AM685))
) / 1000</f>
        <v>0</v>
      </c>
      <c r="CU685" s="231">
        <f t="shared" si="783"/>
        <v>20</v>
      </c>
      <c r="CV685" s="229">
        <f t="shared" si="768"/>
        <v>33</v>
      </c>
      <c r="CW685" s="234">
        <f t="shared" si="769"/>
        <v>4.8487499999999999</v>
      </c>
      <c r="CX685" s="234" cm="1">
        <f t="array" ref="CX685">$BM685 * IF($AH685&lt;=2,
SUMPRODUCT(INDEX($AV$61:$AX$65,,$AI685), INDEX($AY$61:$BE$65,,$AH685), 1 / ($BF$61:$BF$65*CW685 + (1-$BF$61:$BF$65)*CS685), N($AU$61:$AU$65&gt;$AM685)),
SUMPRODUCT(INDEX($AV$46:$AX$55,,$AI685), INDEX($AY$46:$BE$55,,$AH685), 1 / ($BG$46:$BG$55*CW685 + (1-$BG$46:$BG$55)*CS685), N($AU$46:$AU$55&gt;$AM685))
) / 1000</f>
        <v>0</v>
      </c>
      <c r="CY685" s="234" cm="1">
        <f t="array" ref="CY685">$BM685 * IF($AH685&lt;=2,
SUMPRODUCT(INDEX($AV$22:$AX$60,,$AI685), INDEX($AY$22:$BE$60,,$AH685), 1 / ($BF$22:$BF$60*CW685), N($AU$22:$AU$60&gt;$AM685)),
SUMPRODUCT(INDEX($AV$22:$AX$45,,$AI685), INDEX($AY$22:$BE$45,,$AH685), 1 / ($BG$22:$BG$45*CW685), N($AU$22:$AU$45&gt;$AM685))
) / 1000</f>
        <v>0</v>
      </c>
      <c r="CZ685" s="229">
        <f t="shared" si="770"/>
        <v>0</v>
      </c>
      <c r="DA685" s="246"/>
    </row>
    <row r="686" spans="1:105" s="75" customFormat="1" ht="14.25" customHeight="1" x14ac:dyDescent="0.2">
      <c r="A686" s="230" t="b">
        <f t="shared" si="775"/>
        <v>0</v>
      </c>
      <c r="B686" s="253">
        <v>665</v>
      </c>
      <c r="C686" s="266"/>
      <c r="D686" s="266"/>
      <c r="E686" s="254"/>
      <c r="F686" s="255" t="str">
        <f>IF(ISBLANK(E686), "", VLOOKUP(E686, Z!$A$2:$C$4127, 3, FALSE))</f>
        <v/>
      </c>
      <c r="G686" s="256"/>
      <c r="H686" s="256"/>
      <c r="I686" s="256"/>
      <c r="J686" s="257"/>
      <c r="K686" s="258"/>
      <c r="L686" s="267"/>
      <c r="M686" s="268"/>
      <c r="N686" s="259" t="str" cm="1">
        <f t="array" ref="N686">IF($L686&gt;0, INDEX(Clean,1+AK686,$D$1), "")</f>
        <v/>
      </c>
      <c r="O686" s="260"/>
      <c r="P686" s="260"/>
      <c r="Q686" s="261"/>
      <c r="R686" s="264">
        <f t="shared" si="746"/>
        <v>0</v>
      </c>
      <c r="S686" s="259" t="str" cm="1">
        <f t="array" ref="S686">IF($L686&gt;0, INDEX(Clean,1+AL686,$D$1), "")</f>
        <v/>
      </c>
      <c r="T686" s="260"/>
      <c r="U686" s="260"/>
      <c r="V686" s="261"/>
      <c r="W686" s="267"/>
      <c r="X686" s="267"/>
      <c r="Y686" s="257"/>
      <c r="Z686" s="264">
        <f t="shared" si="747"/>
        <v>0</v>
      </c>
      <c r="AA686" s="269"/>
      <c r="AB686" s="266"/>
      <c r="AC686" s="254"/>
      <c r="AD686" s="255" t="str">
        <f>IF(ISBLANK(AC686), "", VLOOKUP(AC686, Z!$A$2:$C$4127, 3, FALSE))</f>
        <v/>
      </c>
      <c r="AE686" s="270"/>
      <c r="AF686" s="265">
        <f t="shared" si="748"/>
        <v>0</v>
      </c>
      <c r="AG686" s="246"/>
      <c r="AH686" s="228">
        <f t="shared" si="771"/>
        <v>1</v>
      </c>
      <c r="AI686" s="228">
        <f t="shared" si="772"/>
        <v>1</v>
      </c>
      <c r="AJ686" s="228">
        <f t="shared" si="773"/>
        <v>0</v>
      </c>
      <c r="AK686" s="228">
        <v>0</v>
      </c>
      <c r="AL686" s="228">
        <v>0</v>
      </c>
      <c r="AM686" s="228">
        <f t="shared" si="749"/>
        <v>-100</v>
      </c>
      <c r="AN686" s="228" cm="1">
        <f t="array" ref="AN686">IF(ISBLANK(G686), 1, IFERROR(MATCH(G686, INDEX(Kat,,1), 0), IFERROR(MATCH(Kat, INDEX(Use,,2), 0), MATCH(Kat, INDEX(Use,,3), 0))))</f>
        <v>1</v>
      </c>
      <c r="AO686" s="246"/>
      <c r="AP686" s="228" cm="1">
        <f t="array" ref="AP686">IF(W686&gt;0, INDEX(Kat, AN686,4), 0)</f>
        <v>0</v>
      </c>
      <c r="AQ686" s="228">
        <f t="shared" si="774"/>
        <v>0</v>
      </c>
      <c r="AR686" s="228" cm="1">
        <f t="array" ref="AR686">IF(X686&gt;0, INDEX(Kat, $AN686, 4+AQ686), 0)</f>
        <v>0</v>
      </c>
      <c r="AS686" s="228" cm="1">
        <f t="array" ref="AS686">IF(X686&gt;0, INDEX(Kat, $AN686, 9+AQ686), 0)</f>
        <v>0</v>
      </c>
      <c r="AT686" s="246"/>
      <c r="AU686" s="262"/>
      <c r="AV686" s="262"/>
      <c r="AW686" s="263"/>
      <c r="AX686" s="263"/>
      <c r="AY686" s="263"/>
      <c r="AZ686" s="263"/>
      <c r="BA686" s="263"/>
      <c r="BB686" s="263"/>
      <c r="BC686" s="263"/>
      <c r="BD686" s="263"/>
      <c r="BE686" s="263"/>
      <c r="BF686" s="263"/>
      <c r="BG686" s="263"/>
      <c r="BH686" s="246"/>
      <c r="BI686" s="228" cm="1">
        <f t="array" ref="BI686">INDEX(Use, $AH686, 4)</f>
        <v>7</v>
      </c>
      <c r="BJ686" s="228">
        <f t="shared" si="750"/>
        <v>32</v>
      </c>
      <c r="BK686" s="228">
        <f t="shared" si="776"/>
        <v>13</v>
      </c>
      <c r="BL686" s="228">
        <f t="shared" si="777"/>
        <v>0</v>
      </c>
      <c r="BM686" s="233" cm="1">
        <f t="array" ref="BM686">L686/IF($M686&gt;0, INDEX($AY$22:$BE$76, $M686+20, $AH686), 1)</f>
        <v>0</v>
      </c>
      <c r="BN686" s="229">
        <f t="shared" si="751"/>
        <v>0</v>
      </c>
      <c r="BO686" s="228">
        <v>35</v>
      </c>
      <c r="BP686" s="229">
        <f t="shared" si="752"/>
        <v>48</v>
      </c>
      <c r="BQ686" s="234">
        <f t="shared" si="753"/>
        <v>3.0748170731707316</v>
      </c>
      <c r="BR686" s="234" cm="1">
        <f t="array" ref="BR686">$BM686 * SUMPRODUCT(INDEX($AV$76:$AX$81,,$AI686),INDEX($AY$76:$BE$81,,$AH686), N($AU$76:$AU$81&gt;$AM686)) / BQ686 / 1000</f>
        <v>0</v>
      </c>
      <c r="BS686" s="231">
        <f t="shared" si="778"/>
        <v>30</v>
      </c>
      <c r="BT686" s="229">
        <f t="shared" si="754"/>
        <v>43</v>
      </c>
      <c r="BU686" s="234">
        <f t="shared" si="755"/>
        <v>3.5018750000000001</v>
      </c>
      <c r="BV686" s="234" cm="1">
        <f t="array" ref="BV686">$BM686 * IF($AH686&lt;=2,
SUMPRODUCT(INDEX($AV$71:$AX$75,,$AI686), INDEX($AY$71:$BE$75,,$AH686), 1 / ($BF$71:$BF$75*BU686 + (1-$BF$71:$BF$75)*BQ686), N($AU$71:$AU$75&gt;$AM686)),
SUMPRODUCT(INDEX($AV$66:$AX$75,,$AI686), INDEX($AY$66:$BE$75,,$AH686), 1 / ($BG$66:$BG$75*BU686 + (1-$BG$66:$BG$75)*BQ686), N($AU$66:$AU$75&gt;$AM686))
) / 1000</f>
        <v>0</v>
      </c>
      <c r="BW686" s="231">
        <f t="shared" si="779"/>
        <v>25</v>
      </c>
      <c r="BX686" s="229">
        <f t="shared" si="756"/>
        <v>38</v>
      </c>
      <c r="BY686" s="234">
        <f t="shared" si="757"/>
        <v>4.0666935483870965</v>
      </c>
      <c r="BZ686" s="234" cm="1">
        <f t="array" ref="BZ686">$BM686 * IF($AH686&lt;=2,
SUMPRODUCT(INDEX($AV$66:$AX$70,,$AI686), INDEX($AY$66:$BE$70,,$AH686), 1 / ($BF$66:$BF$70*BY686 + (1-$BF$66:$BF$70)*BU686), N($AU$66:$AU$70&gt;$AM686)),
SUMPRODUCT(INDEX($AV$56:$AX$65,,$AI686), INDEX($AY$56:$BE$65,,$AH686), 1 / ($BG$56:$BG$65*BY686 + (1-$BG$56:$BG$65)*BU686), N($AU$56:$AU$65&gt;$AM686))
) / 1000</f>
        <v>0</v>
      </c>
      <c r="CA686" s="231">
        <f t="shared" si="780"/>
        <v>20</v>
      </c>
      <c r="CB686" s="229">
        <f t="shared" si="758"/>
        <v>33</v>
      </c>
      <c r="CC686" s="234">
        <f t="shared" si="759"/>
        <v>4.8487499999999999</v>
      </c>
      <c r="CD686" s="234" cm="1">
        <f t="array" ref="CD686">$BM686 * IF($AH686&lt;=2,
SUMPRODUCT(INDEX($AV$61:$AX$65,,$AI686), INDEX($AY$61:$BE$65,,$AH686), 1 / ($BF$61:$BF$65*CC686 + (1-$BF$61:$BF$65)*BY686), N($AU$61:$AU$65&gt;$AM686)),
SUMPRODUCT(INDEX($AV$46:$AX$55,,$AI686), INDEX($AY$46:$BE$55,,$AH686), 1 / ($BG$46:$BG$55*CC686 + (1-$BG$46:$BG$55)*BY686), N($AU$46:$AU$55&gt;$AM686))
) / 1000</f>
        <v>0</v>
      </c>
      <c r="CE686" s="234" cm="1">
        <f t="array" ref="CE686">$BM686 * IF($AH686&lt;=2,
SUMPRODUCT(INDEX($AV$22:$AX$60,,$AI686), INDEX($AY$22:$BE$60,,$AH686), 1 / ($BF$22:$BF$60*CC686), N($AU$22:$AU$60&gt;$AM686)),
SUMPRODUCT(INDEX($AV$22:$AX$45,,$AI686), INDEX($AY$22:$BE$45,,$AH686), 1 / ($BG$22:$BG$45*CC686), N($AU$22:$AU$45&gt;$AM686))
) / 1000</f>
        <v>0</v>
      </c>
      <c r="CF686" s="229">
        <f t="shared" si="760"/>
        <v>0</v>
      </c>
      <c r="CG686" s="246"/>
      <c r="CH686" s="229">
        <f t="shared" si="761"/>
        <v>0</v>
      </c>
      <c r="CI686" s="228">
        <v>35</v>
      </c>
      <c r="CJ686" s="229">
        <f t="shared" si="762"/>
        <v>48</v>
      </c>
      <c r="CK686" s="234">
        <f t="shared" si="763"/>
        <v>3.0748170731707316</v>
      </c>
      <c r="CL686" s="234" cm="1">
        <f t="array" ref="CL686">$BM686 * SUMPRODUCT(INDEX($AV$76:$AX$81,,$AI686),INDEX($AY$76:$BE$81,,$AH686), N($AU$76:$AU$81&gt;$AM686)) / CK686 / 1000</f>
        <v>0</v>
      </c>
      <c r="CM686" s="231">
        <f t="shared" si="781"/>
        <v>30</v>
      </c>
      <c r="CN686" s="229">
        <f t="shared" si="764"/>
        <v>43</v>
      </c>
      <c r="CO686" s="234">
        <f t="shared" si="765"/>
        <v>3.5018750000000001</v>
      </c>
      <c r="CP686" s="234" cm="1">
        <f t="array" ref="CP686">$BM686 * IF($AH686&lt;=2,
SUMPRODUCT(INDEX($AV$71:$AX$75,,$AI686), INDEX($AY$71:$BE$75,,$AH686), 1 / ($BF$71:$BF$75*CO686 + (1-$BF$71:$BF$75)*CK686), N($AU$71:$AU$75&gt;$AM686)),
SUMPRODUCT(INDEX($AV$66:$AX$75,,$AI686), INDEX($AY$66:$BE$75,,$AH686), 1 / ($BG$66:$BG$75*CO686 + (1-$BG$66:$BG$75)*CK686), N($AU$66:$AU$75&gt;$AM686))
) / 1000</f>
        <v>0</v>
      </c>
      <c r="CQ686" s="231">
        <f t="shared" si="782"/>
        <v>25</v>
      </c>
      <c r="CR686" s="229">
        <f t="shared" si="766"/>
        <v>38</v>
      </c>
      <c r="CS686" s="234">
        <f t="shared" si="767"/>
        <v>4.0666935483870965</v>
      </c>
      <c r="CT686" s="234" cm="1">
        <f t="array" ref="CT686">$BM686 * IF($AH686&lt;=2,
SUMPRODUCT(INDEX($AV$66:$AX$70,,$AI686), INDEX($AY$66:$BE$70,,$AH686), 1 / ($BF$66:$BF$70*CS686 + (1-$BF$66:$BF$70)*CO686), N($AU$66:$AU$70&gt;$AM686)),
SUMPRODUCT(INDEX($AV$56:$AX$65,,$AI686), INDEX($AY$56:$BE$65,,$AH686), 1 / ($BG$56:$BG$65*CS686 + (1-$BG$56:$BG$65)*CO686), N($AU$56:$AU$65&gt;$AM686))
) / 1000</f>
        <v>0</v>
      </c>
      <c r="CU686" s="231">
        <f t="shared" si="783"/>
        <v>20</v>
      </c>
      <c r="CV686" s="229">
        <f t="shared" si="768"/>
        <v>33</v>
      </c>
      <c r="CW686" s="234">
        <f t="shared" si="769"/>
        <v>4.8487499999999999</v>
      </c>
      <c r="CX686" s="234" cm="1">
        <f t="array" ref="CX686">$BM686 * IF($AH686&lt;=2,
SUMPRODUCT(INDEX($AV$61:$AX$65,,$AI686), INDEX($AY$61:$BE$65,,$AH686), 1 / ($BF$61:$BF$65*CW686 + (1-$BF$61:$BF$65)*CS686), N($AU$61:$AU$65&gt;$AM686)),
SUMPRODUCT(INDEX($AV$46:$AX$55,,$AI686), INDEX($AY$46:$BE$55,,$AH686), 1 / ($BG$46:$BG$55*CW686 + (1-$BG$46:$BG$55)*CS686), N($AU$46:$AU$55&gt;$AM686))
) / 1000</f>
        <v>0</v>
      </c>
      <c r="CY686" s="234" cm="1">
        <f t="array" ref="CY686">$BM686 * IF($AH686&lt;=2,
SUMPRODUCT(INDEX($AV$22:$AX$60,,$AI686), INDEX($AY$22:$BE$60,,$AH686), 1 / ($BF$22:$BF$60*CW686), N($AU$22:$AU$60&gt;$AM686)),
SUMPRODUCT(INDEX($AV$22:$AX$45,,$AI686), INDEX($AY$22:$BE$45,,$AH686), 1 / ($BG$22:$BG$45*CW686), N($AU$22:$AU$45&gt;$AM686))
) / 1000</f>
        <v>0</v>
      </c>
      <c r="CZ686" s="229">
        <f t="shared" si="770"/>
        <v>0</v>
      </c>
      <c r="DA686" s="246"/>
    </row>
    <row r="687" spans="1:105" s="75" customFormat="1" ht="14.25" customHeight="1" x14ac:dyDescent="0.2">
      <c r="A687" s="230" t="b">
        <f t="shared" si="775"/>
        <v>0</v>
      </c>
      <c r="B687" s="253">
        <v>666</v>
      </c>
      <c r="C687" s="266"/>
      <c r="D687" s="266"/>
      <c r="E687" s="254"/>
      <c r="F687" s="255" t="str">
        <f>IF(ISBLANK(E687), "", VLOOKUP(E687, Z!$A$2:$C$4127, 3, FALSE))</f>
        <v/>
      </c>
      <c r="G687" s="256"/>
      <c r="H687" s="256"/>
      <c r="I687" s="256"/>
      <c r="J687" s="257"/>
      <c r="K687" s="258"/>
      <c r="L687" s="267"/>
      <c r="M687" s="268"/>
      <c r="N687" s="259" t="str" cm="1">
        <f t="array" ref="N687">IF($L687&gt;0, INDEX(Clean,1+AK687,$D$1), "")</f>
        <v/>
      </c>
      <c r="O687" s="260"/>
      <c r="P687" s="260"/>
      <c r="Q687" s="261"/>
      <c r="R687" s="264">
        <f t="shared" si="746"/>
        <v>0</v>
      </c>
      <c r="S687" s="259" t="str" cm="1">
        <f t="array" ref="S687">IF($L687&gt;0, INDEX(Clean,1+AL687,$D$1), "")</f>
        <v/>
      </c>
      <c r="T687" s="260"/>
      <c r="U687" s="260"/>
      <c r="V687" s="261"/>
      <c r="W687" s="267"/>
      <c r="X687" s="267"/>
      <c r="Y687" s="257"/>
      <c r="Z687" s="264">
        <f t="shared" si="747"/>
        <v>0</v>
      </c>
      <c r="AA687" s="269"/>
      <c r="AB687" s="266"/>
      <c r="AC687" s="254"/>
      <c r="AD687" s="255" t="str">
        <f>IF(ISBLANK(AC687), "", VLOOKUP(AC687, Z!$A$2:$C$4127, 3, FALSE))</f>
        <v/>
      </c>
      <c r="AE687" s="270"/>
      <c r="AF687" s="265">
        <f t="shared" si="748"/>
        <v>0</v>
      </c>
      <c r="AG687" s="246"/>
      <c r="AH687" s="228">
        <f t="shared" si="771"/>
        <v>1</v>
      </c>
      <c r="AI687" s="228">
        <f t="shared" si="772"/>
        <v>1</v>
      </c>
      <c r="AJ687" s="228">
        <f t="shared" si="773"/>
        <v>0</v>
      </c>
      <c r="AK687" s="228">
        <v>0</v>
      </c>
      <c r="AL687" s="228">
        <v>0</v>
      </c>
      <c r="AM687" s="228">
        <f t="shared" si="749"/>
        <v>-100</v>
      </c>
      <c r="AN687" s="228" cm="1">
        <f t="array" ref="AN687">IF(ISBLANK(G687), 1, IFERROR(MATCH(G687, INDEX(Kat,,1), 0), IFERROR(MATCH(Kat, INDEX(Use,,2), 0), MATCH(Kat, INDEX(Use,,3), 0))))</f>
        <v>1</v>
      </c>
      <c r="AO687" s="246"/>
      <c r="AP687" s="228" cm="1">
        <f t="array" ref="AP687">IF(W687&gt;0, INDEX(Kat, AN687,4), 0)</f>
        <v>0</v>
      </c>
      <c r="AQ687" s="228">
        <f t="shared" si="774"/>
        <v>0</v>
      </c>
      <c r="AR687" s="228" cm="1">
        <f t="array" ref="AR687">IF(X687&gt;0, INDEX(Kat, $AN687, 4+AQ687), 0)</f>
        <v>0</v>
      </c>
      <c r="AS687" s="228" cm="1">
        <f t="array" ref="AS687">IF(X687&gt;0, INDEX(Kat, $AN687, 9+AQ687), 0)</f>
        <v>0</v>
      </c>
      <c r="AT687" s="246"/>
      <c r="AU687" s="262"/>
      <c r="AV687" s="262"/>
      <c r="AW687" s="263"/>
      <c r="AX687" s="263"/>
      <c r="AY687" s="263"/>
      <c r="AZ687" s="263"/>
      <c r="BA687" s="263"/>
      <c r="BB687" s="263"/>
      <c r="BC687" s="263"/>
      <c r="BD687" s="263"/>
      <c r="BE687" s="263"/>
      <c r="BF687" s="263"/>
      <c r="BG687" s="263"/>
      <c r="BH687" s="246"/>
      <c r="BI687" s="228" cm="1">
        <f t="array" ref="BI687">INDEX(Use, $AH687, 4)</f>
        <v>7</v>
      </c>
      <c r="BJ687" s="228">
        <f t="shared" si="750"/>
        <v>32</v>
      </c>
      <c r="BK687" s="228">
        <f t="shared" si="776"/>
        <v>13</v>
      </c>
      <c r="BL687" s="228">
        <f t="shared" si="777"/>
        <v>0</v>
      </c>
      <c r="BM687" s="233" cm="1">
        <f t="array" ref="BM687">L687/IF($M687&gt;0, INDEX($AY$22:$BE$76, $M687+20, $AH687), 1)</f>
        <v>0</v>
      </c>
      <c r="BN687" s="229">
        <f t="shared" si="751"/>
        <v>0</v>
      </c>
      <c r="BO687" s="228">
        <v>35</v>
      </c>
      <c r="BP687" s="229">
        <f t="shared" si="752"/>
        <v>48</v>
      </c>
      <c r="BQ687" s="234">
        <f t="shared" si="753"/>
        <v>3.0748170731707316</v>
      </c>
      <c r="BR687" s="234" cm="1">
        <f t="array" ref="BR687">$BM687 * SUMPRODUCT(INDEX($AV$76:$AX$81,,$AI687),INDEX($AY$76:$BE$81,,$AH687), N($AU$76:$AU$81&gt;$AM687)) / BQ687 / 1000</f>
        <v>0</v>
      </c>
      <c r="BS687" s="231">
        <f t="shared" si="778"/>
        <v>30</v>
      </c>
      <c r="BT687" s="229">
        <f t="shared" si="754"/>
        <v>43</v>
      </c>
      <c r="BU687" s="234">
        <f t="shared" si="755"/>
        <v>3.5018750000000001</v>
      </c>
      <c r="BV687" s="234" cm="1">
        <f t="array" ref="BV687">$BM687 * IF($AH687&lt;=2,
SUMPRODUCT(INDEX($AV$71:$AX$75,,$AI687), INDEX($AY$71:$BE$75,,$AH687), 1 / ($BF$71:$BF$75*BU687 + (1-$BF$71:$BF$75)*BQ687), N($AU$71:$AU$75&gt;$AM687)),
SUMPRODUCT(INDEX($AV$66:$AX$75,,$AI687), INDEX($AY$66:$BE$75,,$AH687), 1 / ($BG$66:$BG$75*BU687 + (1-$BG$66:$BG$75)*BQ687), N($AU$66:$AU$75&gt;$AM687))
) / 1000</f>
        <v>0</v>
      </c>
      <c r="BW687" s="231">
        <f t="shared" si="779"/>
        <v>25</v>
      </c>
      <c r="BX687" s="229">
        <f t="shared" si="756"/>
        <v>38</v>
      </c>
      <c r="BY687" s="234">
        <f t="shared" si="757"/>
        <v>4.0666935483870965</v>
      </c>
      <c r="BZ687" s="234" cm="1">
        <f t="array" ref="BZ687">$BM687 * IF($AH687&lt;=2,
SUMPRODUCT(INDEX($AV$66:$AX$70,,$AI687), INDEX($AY$66:$BE$70,,$AH687), 1 / ($BF$66:$BF$70*BY687 + (1-$BF$66:$BF$70)*BU687), N($AU$66:$AU$70&gt;$AM687)),
SUMPRODUCT(INDEX($AV$56:$AX$65,,$AI687), INDEX($AY$56:$BE$65,,$AH687), 1 / ($BG$56:$BG$65*BY687 + (1-$BG$56:$BG$65)*BU687), N($AU$56:$AU$65&gt;$AM687))
) / 1000</f>
        <v>0</v>
      </c>
      <c r="CA687" s="231">
        <f t="shared" si="780"/>
        <v>20</v>
      </c>
      <c r="CB687" s="229">
        <f t="shared" si="758"/>
        <v>33</v>
      </c>
      <c r="CC687" s="234">
        <f t="shared" si="759"/>
        <v>4.8487499999999999</v>
      </c>
      <c r="CD687" s="234" cm="1">
        <f t="array" ref="CD687">$BM687 * IF($AH687&lt;=2,
SUMPRODUCT(INDEX($AV$61:$AX$65,,$AI687), INDEX($AY$61:$BE$65,,$AH687), 1 / ($BF$61:$BF$65*CC687 + (1-$BF$61:$BF$65)*BY687), N($AU$61:$AU$65&gt;$AM687)),
SUMPRODUCT(INDEX($AV$46:$AX$55,,$AI687), INDEX($AY$46:$BE$55,,$AH687), 1 / ($BG$46:$BG$55*CC687 + (1-$BG$46:$BG$55)*BY687), N($AU$46:$AU$55&gt;$AM687))
) / 1000</f>
        <v>0</v>
      </c>
      <c r="CE687" s="234" cm="1">
        <f t="array" ref="CE687">$BM687 * IF($AH687&lt;=2,
SUMPRODUCT(INDEX($AV$22:$AX$60,,$AI687), INDEX($AY$22:$BE$60,,$AH687), 1 / ($BF$22:$BF$60*CC687), N($AU$22:$AU$60&gt;$AM687)),
SUMPRODUCT(INDEX($AV$22:$AX$45,,$AI687), INDEX($AY$22:$BE$45,,$AH687), 1 / ($BG$22:$BG$45*CC687), N($AU$22:$AU$45&gt;$AM687))
) / 1000</f>
        <v>0</v>
      </c>
      <c r="CF687" s="229">
        <f t="shared" si="760"/>
        <v>0</v>
      </c>
      <c r="CG687" s="246"/>
      <c r="CH687" s="229">
        <f t="shared" si="761"/>
        <v>0</v>
      </c>
      <c r="CI687" s="228">
        <v>35</v>
      </c>
      <c r="CJ687" s="229">
        <f t="shared" si="762"/>
        <v>48</v>
      </c>
      <c r="CK687" s="234">
        <f t="shared" si="763"/>
        <v>3.0748170731707316</v>
      </c>
      <c r="CL687" s="234" cm="1">
        <f t="array" ref="CL687">$BM687 * SUMPRODUCT(INDEX($AV$76:$AX$81,,$AI687),INDEX($AY$76:$BE$81,,$AH687), N($AU$76:$AU$81&gt;$AM687)) / CK687 / 1000</f>
        <v>0</v>
      </c>
      <c r="CM687" s="231">
        <f t="shared" si="781"/>
        <v>30</v>
      </c>
      <c r="CN687" s="229">
        <f t="shared" si="764"/>
        <v>43</v>
      </c>
      <c r="CO687" s="234">
        <f t="shared" si="765"/>
        <v>3.5018750000000001</v>
      </c>
      <c r="CP687" s="234" cm="1">
        <f t="array" ref="CP687">$BM687 * IF($AH687&lt;=2,
SUMPRODUCT(INDEX($AV$71:$AX$75,,$AI687), INDEX($AY$71:$BE$75,,$AH687), 1 / ($BF$71:$BF$75*CO687 + (1-$BF$71:$BF$75)*CK687), N($AU$71:$AU$75&gt;$AM687)),
SUMPRODUCT(INDEX($AV$66:$AX$75,,$AI687), INDEX($AY$66:$BE$75,,$AH687), 1 / ($BG$66:$BG$75*CO687 + (1-$BG$66:$BG$75)*CK687), N($AU$66:$AU$75&gt;$AM687))
) / 1000</f>
        <v>0</v>
      </c>
      <c r="CQ687" s="231">
        <f t="shared" si="782"/>
        <v>25</v>
      </c>
      <c r="CR687" s="229">
        <f t="shared" si="766"/>
        <v>38</v>
      </c>
      <c r="CS687" s="234">
        <f t="shared" si="767"/>
        <v>4.0666935483870965</v>
      </c>
      <c r="CT687" s="234" cm="1">
        <f t="array" ref="CT687">$BM687 * IF($AH687&lt;=2,
SUMPRODUCT(INDEX($AV$66:$AX$70,,$AI687), INDEX($AY$66:$BE$70,,$AH687), 1 / ($BF$66:$BF$70*CS687 + (1-$BF$66:$BF$70)*CO687), N($AU$66:$AU$70&gt;$AM687)),
SUMPRODUCT(INDEX($AV$56:$AX$65,,$AI687), INDEX($AY$56:$BE$65,,$AH687), 1 / ($BG$56:$BG$65*CS687 + (1-$BG$56:$BG$65)*CO687), N($AU$56:$AU$65&gt;$AM687))
) / 1000</f>
        <v>0</v>
      </c>
      <c r="CU687" s="231">
        <f t="shared" si="783"/>
        <v>20</v>
      </c>
      <c r="CV687" s="229">
        <f t="shared" si="768"/>
        <v>33</v>
      </c>
      <c r="CW687" s="234">
        <f t="shared" si="769"/>
        <v>4.8487499999999999</v>
      </c>
      <c r="CX687" s="234" cm="1">
        <f t="array" ref="CX687">$BM687 * IF($AH687&lt;=2,
SUMPRODUCT(INDEX($AV$61:$AX$65,,$AI687), INDEX($AY$61:$BE$65,,$AH687), 1 / ($BF$61:$BF$65*CW687 + (1-$BF$61:$BF$65)*CS687), N($AU$61:$AU$65&gt;$AM687)),
SUMPRODUCT(INDEX($AV$46:$AX$55,,$AI687), INDEX($AY$46:$BE$55,,$AH687), 1 / ($BG$46:$BG$55*CW687 + (1-$BG$46:$BG$55)*CS687), N($AU$46:$AU$55&gt;$AM687))
) / 1000</f>
        <v>0</v>
      </c>
      <c r="CY687" s="234" cm="1">
        <f t="array" ref="CY687">$BM687 * IF($AH687&lt;=2,
SUMPRODUCT(INDEX($AV$22:$AX$60,,$AI687), INDEX($AY$22:$BE$60,,$AH687), 1 / ($BF$22:$BF$60*CW687), N($AU$22:$AU$60&gt;$AM687)),
SUMPRODUCT(INDEX($AV$22:$AX$45,,$AI687), INDEX($AY$22:$BE$45,,$AH687), 1 / ($BG$22:$BG$45*CW687), N($AU$22:$AU$45&gt;$AM687))
) / 1000</f>
        <v>0</v>
      </c>
      <c r="CZ687" s="229">
        <f t="shared" si="770"/>
        <v>0</v>
      </c>
      <c r="DA687" s="246"/>
    </row>
    <row r="688" spans="1:105" s="75" customFormat="1" ht="14.25" customHeight="1" x14ac:dyDescent="0.2">
      <c r="A688" s="230" t="b">
        <f t="shared" si="775"/>
        <v>0</v>
      </c>
      <c r="B688" s="253">
        <v>667</v>
      </c>
      <c r="C688" s="266"/>
      <c r="D688" s="266"/>
      <c r="E688" s="254"/>
      <c r="F688" s="255" t="str">
        <f>IF(ISBLANK(E688), "", VLOOKUP(E688, Z!$A$2:$C$4127, 3, FALSE))</f>
        <v/>
      </c>
      <c r="G688" s="256"/>
      <c r="H688" s="256"/>
      <c r="I688" s="256"/>
      <c r="J688" s="257"/>
      <c r="K688" s="258"/>
      <c r="L688" s="267"/>
      <c r="M688" s="268"/>
      <c r="N688" s="259" t="str" cm="1">
        <f t="array" ref="N688">IF($L688&gt;0, INDEX(Clean,1+AK688,$D$1), "")</f>
        <v/>
      </c>
      <c r="O688" s="260"/>
      <c r="P688" s="260"/>
      <c r="Q688" s="261"/>
      <c r="R688" s="264">
        <f t="shared" si="746"/>
        <v>0</v>
      </c>
      <c r="S688" s="259" t="str" cm="1">
        <f t="array" ref="S688">IF($L688&gt;0, INDEX(Clean,1+AL688,$D$1), "")</f>
        <v/>
      </c>
      <c r="T688" s="260"/>
      <c r="U688" s="260"/>
      <c r="V688" s="261"/>
      <c r="W688" s="267"/>
      <c r="X688" s="267"/>
      <c r="Y688" s="257"/>
      <c r="Z688" s="264">
        <f t="shared" si="747"/>
        <v>0</v>
      </c>
      <c r="AA688" s="269"/>
      <c r="AB688" s="266"/>
      <c r="AC688" s="254"/>
      <c r="AD688" s="255" t="str">
        <f>IF(ISBLANK(AC688), "", VLOOKUP(AC688, Z!$A$2:$C$4127, 3, FALSE))</f>
        <v/>
      </c>
      <c r="AE688" s="270"/>
      <c r="AF688" s="265">
        <f t="shared" si="748"/>
        <v>0</v>
      </c>
      <c r="AG688" s="246"/>
      <c r="AH688" s="228">
        <f t="shared" si="771"/>
        <v>1</v>
      </c>
      <c r="AI688" s="228">
        <f t="shared" si="772"/>
        <v>1</v>
      </c>
      <c r="AJ688" s="228">
        <f t="shared" si="773"/>
        <v>0</v>
      </c>
      <c r="AK688" s="228">
        <v>0</v>
      </c>
      <c r="AL688" s="228">
        <v>0</v>
      </c>
      <c r="AM688" s="228">
        <f t="shared" si="749"/>
        <v>-100</v>
      </c>
      <c r="AN688" s="228" cm="1">
        <f t="array" ref="AN688">IF(ISBLANK(G688), 1, IFERROR(MATCH(G688, INDEX(Kat,,1), 0), IFERROR(MATCH(Kat, INDEX(Use,,2), 0), MATCH(Kat, INDEX(Use,,3), 0))))</f>
        <v>1</v>
      </c>
      <c r="AO688" s="246"/>
      <c r="AP688" s="228" cm="1">
        <f t="array" ref="AP688">IF(W688&gt;0, INDEX(Kat, AN688,4), 0)</f>
        <v>0</v>
      </c>
      <c r="AQ688" s="228">
        <f t="shared" si="774"/>
        <v>0</v>
      </c>
      <c r="AR688" s="228" cm="1">
        <f t="array" ref="AR688">IF(X688&gt;0, INDEX(Kat, $AN688, 4+AQ688), 0)</f>
        <v>0</v>
      </c>
      <c r="AS688" s="228" cm="1">
        <f t="array" ref="AS688">IF(X688&gt;0, INDEX(Kat, $AN688, 9+AQ688), 0)</f>
        <v>0</v>
      </c>
      <c r="AT688" s="246"/>
      <c r="AU688" s="262"/>
      <c r="AV688" s="262"/>
      <c r="AW688" s="263"/>
      <c r="AX688" s="263"/>
      <c r="AY688" s="263"/>
      <c r="AZ688" s="263"/>
      <c r="BA688" s="263"/>
      <c r="BB688" s="263"/>
      <c r="BC688" s="263"/>
      <c r="BD688" s="263"/>
      <c r="BE688" s="263"/>
      <c r="BF688" s="263"/>
      <c r="BG688" s="263"/>
      <c r="BH688" s="246"/>
      <c r="BI688" s="228" cm="1">
        <f t="array" ref="BI688">INDEX(Use, $AH688, 4)</f>
        <v>7</v>
      </c>
      <c r="BJ688" s="228">
        <f t="shared" si="750"/>
        <v>32</v>
      </c>
      <c r="BK688" s="228">
        <f t="shared" si="776"/>
        <v>13</v>
      </c>
      <c r="BL688" s="228">
        <f t="shared" si="777"/>
        <v>0</v>
      </c>
      <c r="BM688" s="233" cm="1">
        <f t="array" ref="BM688">L688/IF($M688&gt;0, INDEX($AY$22:$BE$76, $M688+20, $AH688), 1)</f>
        <v>0</v>
      </c>
      <c r="BN688" s="229">
        <f t="shared" si="751"/>
        <v>0</v>
      </c>
      <c r="BO688" s="228">
        <v>35</v>
      </c>
      <c r="BP688" s="229">
        <f t="shared" si="752"/>
        <v>48</v>
      </c>
      <c r="BQ688" s="234">
        <f t="shared" si="753"/>
        <v>3.0748170731707316</v>
      </c>
      <c r="BR688" s="234" cm="1">
        <f t="array" ref="BR688">$BM688 * SUMPRODUCT(INDEX($AV$76:$AX$81,,$AI688),INDEX($AY$76:$BE$81,,$AH688), N($AU$76:$AU$81&gt;$AM688)) / BQ688 / 1000</f>
        <v>0</v>
      </c>
      <c r="BS688" s="231">
        <f t="shared" si="778"/>
        <v>30</v>
      </c>
      <c r="BT688" s="229">
        <f t="shared" si="754"/>
        <v>43</v>
      </c>
      <c r="BU688" s="234">
        <f t="shared" si="755"/>
        <v>3.5018750000000001</v>
      </c>
      <c r="BV688" s="234" cm="1">
        <f t="array" ref="BV688">$BM688 * IF($AH688&lt;=2,
SUMPRODUCT(INDEX($AV$71:$AX$75,,$AI688), INDEX($AY$71:$BE$75,,$AH688), 1 / ($BF$71:$BF$75*BU688 + (1-$BF$71:$BF$75)*BQ688), N($AU$71:$AU$75&gt;$AM688)),
SUMPRODUCT(INDEX($AV$66:$AX$75,,$AI688), INDEX($AY$66:$BE$75,,$AH688), 1 / ($BG$66:$BG$75*BU688 + (1-$BG$66:$BG$75)*BQ688), N($AU$66:$AU$75&gt;$AM688))
) / 1000</f>
        <v>0</v>
      </c>
      <c r="BW688" s="231">
        <f t="shared" si="779"/>
        <v>25</v>
      </c>
      <c r="BX688" s="229">
        <f t="shared" si="756"/>
        <v>38</v>
      </c>
      <c r="BY688" s="234">
        <f t="shared" si="757"/>
        <v>4.0666935483870965</v>
      </c>
      <c r="BZ688" s="234" cm="1">
        <f t="array" ref="BZ688">$BM688 * IF($AH688&lt;=2,
SUMPRODUCT(INDEX($AV$66:$AX$70,,$AI688), INDEX($AY$66:$BE$70,,$AH688), 1 / ($BF$66:$BF$70*BY688 + (1-$BF$66:$BF$70)*BU688), N($AU$66:$AU$70&gt;$AM688)),
SUMPRODUCT(INDEX($AV$56:$AX$65,,$AI688), INDEX($AY$56:$BE$65,,$AH688), 1 / ($BG$56:$BG$65*BY688 + (1-$BG$56:$BG$65)*BU688), N($AU$56:$AU$65&gt;$AM688))
) / 1000</f>
        <v>0</v>
      </c>
      <c r="CA688" s="231">
        <f t="shared" si="780"/>
        <v>20</v>
      </c>
      <c r="CB688" s="229">
        <f t="shared" si="758"/>
        <v>33</v>
      </c>
      <c r="CC688" s="234">
        <f t="shared" si="759"/>
        <v>4.8487499999999999</v>
      </c>
      <c r="CD688" s="234" cm="1">
        <f t="array" ref="CD688">$BM688 * IF($AH688&lt;=2,
SUMPRODUCT(INDEX($AV$61:$AX$65,,$AI688), INDEX($AY$61:$BE$65,,$AH688), 1 / ($BF$61:$BF$65*CC688 + (1-$BF$61:$BF$65)*BY688), N($AU$61:$AU$65&gt;$AM688)),
SUMPRODUCT(INDEX($AV$46:$AX$55,,$AI688), INDEX($AY$46:$BE$55,,$AH688), 1 / ($BG$46:$BG$55*CC688 + (1-$BG$46:$BG$55)*BY688), N($AU$46:$AU$55&gt;$AM688))
) / 1000</f>
        <v>0</v>
      </c>
      <c r="CE688" s="234" cm="1">
        <f t="array" ref="CE688">$BM688 * IF($AH688&lt;=2,
SUMPRODUCT(INDEX($AV$22:$AX$60,,$AI688), INDEX($AY$22:$BE$60,,$AH688), 1 / ($BF$22:$BF$60*CC688), N($AU$22:$AU$60&gt;$AM688)),
SUMPRODUCT(INDEX($AV$22:$AX$45,,$AI688), INDEX($AY$22:$BE$45,,$AH688), 1 / ($BG$22:$BG$45*CC688), N($AU$22:$AU$45&gt;$AM688))
) / 1000</f>
        <v>0</v>
      </c>
      <c r="CF688" s="229">
        <f t="shared" si="760"/>
        <v>0</v>
      </c>
      <c r="CG688" s="246"/>
      <c r="CH688" s="229">
        <f t="shared" si="761"/>
        <v>0</v>
      </c>
      <c r="CI688" s="228">
        <v>35</v>
      </c>
      <c r="CJ688" s="229">
        <f t="shared" si="762"/>
        <v>48</v>
      </c>
      <c r="CK688" s="234">
        <f t="shared" si="763"/>
        <v>3.0748170731707316</v>
      </c>
      <c r="CL688" s="234" cm="1">
        <f t="array" ref="CL688">$BM688 * SUMPRODUCT(INDEX($AV$76:$AX$81,,$AI688),INDEX($AY$76:$BE$81,,$AH688), N($AU$76:$AU$81&gt;$AM688)) / CK688 / 1000</f>
        <v>0</v>
      </c>
      <c r="CM688" s="231">
        <f t="shared" si="781"/>
        <v>30</v>
      </c>
      <c r="CN688" s="229">
        <f t="shared" si="764"/>
        <v>43</v>
      </c>
      <c r="CO688" s="234">
        <f t="shared" si="765"/>
        <v>3.5018750000000001</v>
      </c>
      <c r="CP688" s="234" cm="1">
        <f t="array" ref="CP688">$BM688 * IF($AH688&lt;=2,
SUMPRODUCT(INDEX($AV$71:$AX$75,,$AI688), INDEX($AY$71:$BE$75,,$AH688), 1 / ($BF$71:$BF$75*CO688 + (1-$BF$71:$BF$75)*CK688), N($AU$71:$AU$75&gt;$AM688)),
SUMPRODUCT(INDEX($AV$66:$AX$75,,$AI688), INDEX($AY$66:$BE$75,,$AH688), 1 / ($BG$66:$BG$75*CO688 + (1-$BG$66:$BG$75)*CK688), N($AU$66:$AU$75&gt;$AM688))
) / 1000</f>
        <v>0</v>
      </c>
      <c r="CQ688" s="231">
        <f t="shared" si="782"/>
        <v>25</v>
      </c>
      <c r="CR688" s="229">
        <f t="shared" si="766"/>
        <v>38</v>
      </c>
      <c r="CS688" s="234">
        <f t="shared" si="767"/>
        <v>4.0666935483870965</v>
      </c>
      <c r="CT688" s="234" cm="1">
        <f t="array" ref="CT688">$BM688 * IF($AH688&lt;=2,
SUMPRODUCT(INDEX($AV$66:$AX$70,,$AI688), INDEX($AY$66:$BE$70,,$AH688), 1 / ($BF$66:$BF$70*CS688 + (1-$BF$66:$BF$70)*CO688), N($AU$66:$AU$70&gt;$AM688)),
SUMPRODUCT(INDEX($AV$56:$AX$65,,$AI688), INDEX($AY$56:$BE$65,,$AH688), 1 / ($BG$56:$BG$65*CS688 + (1-$BG$56:$BG$65)*CO688), N($AU$56:$AU$65&gt;$AM688))
) / 1000</f>
        <v>0</v>
      </c>
      <c r="CU688" s="231">
        <f t="shared" si="783"/>
        <v>20</v>
      </c>
      <c r="CV688" s="229">
        <f t="shared" si="768"/>
        <v>33</v>
      </c>
      <c r="CW688" s="234">
        <f t="shared" si="769"/>
        <v>4.8487499999999999</v>
      </c>
      <c r="CX688" s="234" cm="1">
        <f t="array" ref="CX688">$BM688 * IF($AH688&lt;=2,
SUMPRODUCT(INDEX($AV$61:$AX$65,,$AI688), INDEX($AY$61:$BE$65,,$AH688), 1 / ($BF$61:$BF$65*CW688 + (1-$BF$61:$BF$65)*CS688), N($AU$61:$AU$65&gt;$AM688)),
SUMPRODUCT(INDEX($AV$46:$AX$55,,$AI688), INDEX($AY$46:$BE$55,,$AH688), 1 / ($BG$46:$BG$55*CW688 + (1-$BG$46:$BG$55)*CS688), N($AU$46:$AU$55&gt;$AM688))
) / 1000</f>
        <v>0</v>
      </c>
      <c r="CY688" s="234" cm="1">
        <f t="array" ref="CY688">$BM688 * IF($AH688&lt;=2,
SUMPRODUCT(INDEX($AV$22:$AX$60,,$AI688), INDEX($AY$22:$BE$60,,$AH688), 1 / ($BF$22:$BF$60*CW688), N($AU$22:$AU$60&gt;$AM688)),
SUMPRODUCT(INDEX($AV$22:$AX$45,,$AI688), INDEX($AY$22:$BE$45,,$AH688), 1 / ($BG$22:$BG$45*CW688), N($AU$22:$AU$45&gt;$AM688))
) / 1000</f>
        <v>0</v>
      </c>
      <c r="CZ688" s="229">
        <f t="shared" si="770"/>
        <v>0</v>
      </c>
      <c r="DA688" s="246"/>
    </row>
    <row r="689" spans="1:105" s="75" customFormat="1" ht="14.25" customHeight="1" x14ac:dyDescent="0.2">
      <c r="A689" s="230" t="b">
        <f t="shared" si="775"/>
        <v>0</v>
      </c>
      <c r="B689" s="253">
        <v>668</v>
      </c>
      <c r="C689" s="266"/>
      <c r="D689" s="266"/>
      <c r="E689" s="254"/>
      <c r="F689" s="255" t="str">
        <f>IF(ISBLANK(E689), "", VLOOKUP(E689, Z!$A$2:$C$4127, 3, FALSE))</f>
        <v/>
      </c>
      <c r="G689" s="256"/>
      <c r="H689" s="256"/>
      <c r="I689" s="256"/>
      <c r="J689" s="257"/>
      <c r="K689" s="258"/>
      <c r="L689" s="267"/>
      <c r="M689" s="268"/>
      <c r="N689" s="259" t="str" cm="1">
        <f t="array" ref="N689">IF($L689&gt;0, INDEX(Clean,1+AK689,$D$1), "")</f>
        <v/>
      </c>
      <c r="O689" s="260"/>
      <c r="P689" s="260"/>
      <c r="Q689" s="261"/>
      <c r="R689" s="264">
        <f t="shared" si="746"/>
        <v>0</v>
      </c>
      <c r="S689" s="259" t="str" cm="1">
        <f t="array" ref="S689">IF($L689&gt;0, INDEX(Clean,1+AL689,$D$1), "")</f>
        <v/>
      </c>
      <c r="T689" s="260"/>
      <c r="U689" s="260"/>
      <c r="V689" s="261"/>
      <c r="W689" s="267"/>
      <c r="X689" s="267"/>
      <c r="Y689" s="257"/>
      <c r="Z689" s="264">
        <f t="shared" si="747"/>
        <v>0</v>
      </c>
      <c r="AA689" s="269"/>
      <c r="AB689" s="266"/>
      <c r="AC689" s="254"/>
      <c r="AD689" s="255" t="str">
        <f>IF(ISBLANK(AC689), "", VLOOKUP(AC689, Z!$A$2:$C$4127, 3, FALSE))</f>
        <v/>
      </c>
      <c r="AE689" s="270"/>
      <c r="AF689" s="265">
        <f t="shared" si="748"/>
        <v>0</v>
      </c>
      <c r="AG689" s="246"/>
      <c r="AH689" s="228">
        <f t="shared" si="771"/>
        <v>1</v>
      </c>
      <c r="AI689" s="228">
        <f t="shared" si="772"/>
        <v>1</v>
      </c>
      <c r="AJ689" s="228">
        <f t="shared" si="773"/>
        <v>0</v>
      </c>
      <c r="AK689" s="228">
        <v>0</v>
      </c>
      <c r="AL689" s="228">
        <v>0</v>
      </c>
      <c r="AM689" s="228">
        <f t="shared" si="749"/>
        <v>-100</v>
      </c>
      <c r="AN689" s="228" cm="1">
        <f t="array" ref="AN689">IF(ISBLANK(G689), 1, IFERROR(MATCH(G689, INDEX(Kat,,1), 0), IFERROR(MATCH(Kat, INDEX(Use,,2), 0), MATCH(Kat, INDEX(Use,,3), 0))))</f>
        <v>1</v>
      </c>
      <c r="AO689" s="246"/>
      <c r="AP689" s="228" cm="1">
        <f t="array" ref="AP689">IF(W689&gt;0, INDEX(Kat, AN689,4), 0)</f>
        <v>0</v>
      </c>
      <c r="AQ689" s="228">
        <f t="shared" si="774"/>
        <v>0</v>
      </c>
      <c r="AR689" s="228" cm="1">
        <f t="array" ref="AR689">IF(X689&gt;0, INDEX(Kat, $AN689, 4+AQ689), 0)</f>
        <v>0</v>
      </c>
      <c r="AS689" s="228" cm="1">
        <f t="array" ref="AS689">IF(X689&gt;0, INDEX(Kat, $AN689, 9+AQ689), 0)</f>
        <v>0</v>
      </c>
      <c r="AT689" s="246"/>
      <c r="AU689" s="262"/>
      <c r="AV689" s="262"/>
      <c r="AW689" s="263"/>
      <c r="AX689" s="263"/>
      <c r="AY689" s="263"/>
      <c r="AZ689" s="263"/>
      <c r="BA689" s="263"/>
      <c r="BB689" s="263"/>
      <c r="BC689" s="263"/>
      <c r="BD689" s="263"/>
      <c r="BE689" s="263"/>
      <c r="BF689" s="263"/>
      <c r="BG689" s="263"/>
      <c r="BH689" s="246"/>
      <c r="BI689" s="228" cm="1">
        <f t="array" ref="BI689">INDEX(Use, $AH689, 4)</f>
        <v>7</v>
      </c>
      <c r="BJ689" s="228">
        <f t="shared" si="750"/>
        <v>32</v>
      </c>
      <c r="BK689" s="228">
        <f t="shared" si="776"/>
        <v>13</v>
      </c>
      <c r="BL689" s="228">
        <f t="shared" si="777"/>
        <v>0</v>
      </c>
      <c r="BM689" s="233" cm="1">
        <f t="array" ref="BM689">L689/IF($M689&gt;0, INDEX($AY$22:$BE$76, $M689+20, $AH689), 1)</f>
        <v>0</v>
      </c>
      <c r="BN689" s="229">
        <f t="shared" si="751"/>
        <v>0</v>
      </c>
      <c r="BO689" s="228">
        <v>35</v>
      </c>
      <c r="BP689" s="229">
        <f t="shared" si="752"/>
        <v>48</v>
      </c>
      <c r="BQ689" s="234">
        <f t="shared" si="753"/>
        <v>3.0748170731707316</v>
      </c>
      <c r="BR689" s="234" cm="1">
        <f t="array" ref="BR689">$BM689 * SUMPRODUCT(INDEX($AV$76:$AX$81,,$AI689),INDEX($AY$76:$BE$81,,$AH689), N($AU$76:$AU$81&gt;$AM689)) / BQ689 / 1000</f>
        <v>0</v>
      </c>
      <c r="BS689" s="231">
        <f t="shared" si="778"/>
        <v>30</v>
      </c>
      <c r="BT689" s="229">
        <f t="shared" si="754"/>
        <v>43</v>
      </c>
      <c r="BU689" s="234">
        <f t="shared" si="755"/>
        <v>3.5018750000000001</v>
      </c>
      <c r="BV689" s="234" cm="1">
        <f t="array" ref="BV689">$BM689 * IF($AH689&lt;=2,
SUMPRODUCT(INDEX($AV$71:$AX$75,,$AI689), INDEX($AY$71:$BE$75,,$AH689), 1 / ($BF$71:$BF$75*BU689 + (1-$BF$71:$BF$75)*BQ689), N($AU$71:$AU$75&gt;$AM689)),
SUMPRODUCT(INDEX($AV$66:$AX$75,,$AI689), INDEX($AY$66:$BE$75,,$AH689), 1 / ($BG$66:$BG$75*BU689 + (1-$BG$66:$BG$75)*BQ689), N($AU$66:$AU$75&gt;$AM689))
) / 1000</f>
        <v>0</v>
      </c>
      <c r="BW689" s="231">
        <f t="shared" si="779"/>
        <v>25</v>
      </c>
      <c r="BX689" s="229">
        <f t="shared" si="756"/>
        <v>38</v>
      </c>
      <c r="BY689" s="234">
        <f t="shared" si="757"/>
        <v>4.0666935483870965</v>
      </c>
      <c r="BZ689" s="234" cm="1">
        <f t="array" ref="BZ689">$BM689 * IF($AH689&lt;=2,
SUMPRODUCT(INDEX($AV$66:$AX$70,,$AI689), INDEX($AY$66:$BE$70,,$AH689), 1 / ($BF$66:$BF$70*BY689 + (1-$BF$66:$BF$70)*BU689), N($AU$66:$AU$70&gt;$AM689)),
SUMPRODUCT(INDEX($AV$56:$AX$65,,$AI689), INDEX($AY$56:$BE$65,,$AH689), 1 / ($BG$56:$BG$65*BY689 + (1-$BG$56:$BG$65)*BU689), N($AU$56:$AU$65&gt;$AM689))
) / 1000</f>
        <v>0</v>
      </c>
      <c r="CA689" s="231">
        <f t="shared" si="780"/>
        <v>20</v>
      </c>
      <c r="CB689" s="229">
        <f t="shared" si="758"/>
        <v>33</v>
      </c>
      <c r="CC689" s="234">
        <f t="shared" si="759"/>
        <v>4.8487499999999999</v>
      </c>
      <c r="CD689" s="234" cm="1">
        <f t="array" ref="CD689">$BM689 * IF($AH689&lt;=2,
SUMPRODUCT(INDEX($AV$61:$AX$65,,$AI689), INDEX($AY$61:$BE$65,,$AH689), 1 / ($BF$61:$BF$65*CC689 + (1-$BF$61:$BF$65)*BY689), N($AU$61:$AU$65&gt;$AM689)),
SUMPRODUCT(INDEX($AV$46:$AX$55,,$AI689), INDEX($AY$46:$BE$55,,$AH689), 1 / ($BG$46:$BG$55*CC689 + (1-$BG$46:$BG$55)*BY689), N($AU$46:$AU$55&gt;$AM689))
) / 1000</f>
        <v>0</v>
      </c>
      <c r="CE689" s="234" cm="1">
        <f t="array" ref="CE689">$BM689 * IF($AH689&lt;=2,
SUMPRODUCT(INDEX($AV$22:$AX$60,,$AI689), INDEX($AY$22:$BE$60,,$AH689), 1 / ($BF$22:$BF$60*CC689), N($AU$22:$AU$60&gt;$AM689)),
SUMPRODUCT(INDEX($AV$22:$AX$45,,$AI689), INDEX($AY$22:$BE$45,,$AH689), 1 / ($BG$22:$BG$45*CC689), N($AU$22:$AU$45&gt;$AM689))
) / 1000</f>
        <v>0</v>
      </c>
      <c r="CF689" s="229">
        <f t="shared" si="760"/>
        <v>0</v>
      </c>
      <c r="CG689" s="246"/>
      <c r="CH689" s="229">
        <f t="shared" si="761"/>
        <v>0</v>
      </c>
      <c r="CI689" s="228">
        <v>35</v>
      </c>
      <c r="CJ689" s="229">
        <f t="shared" si="762"/>
        <v>48</v>
      </c>
      <c r="CK689" s="234">
        <f t="shared" si="763"/>
        <v>3.0748170731707316</v>
      </c>
      <c r="CL689" s="234" cm="1">
        <f t="array" ref="CL689">$BM689 * SUMPRODUCT(INDEX($AV$76:$AX$81,,$AI689),INDEX($AY$76:$BE$81,,$AH689), N($AU$76:$AU$81&gt;$AM689)) / CK689 / 1000</f>
        <v>0</v>
      </c>
      <c r="CM689" s="231">
        <f t="shared" si="781"/>
        <v>30</v>
      </c>
      <c r="CN689" s="229">
        <f t="shared" si="764"/>
        <v>43</v>
      </c>
      <c r="CO689" s="234">
        <f t="shared" si="765"/>
        <v>3.5018750000000001</v>
      </c>
      <c r="CP689" s="234" cm="1">
        <f t="array" ref="CP689">$BM689 * IF($AH689&lt;=2,
SUMPRODUCT(INDEX($AV$71:$AX$75,,$AI689), INDEX($AY$71:$BE$75,,$AH689), 1 / ($BF$71:$BF$75*CO689 + (1-$BF$71:$BF$75)*CK689), N($AU$71:$AU$75&gt;$AM689)),
SUMPRODUCT(INDEX($AV$66:$AX$75,,$AI689), INDEX($AY$66:$BE$75,,$AH689), 1 / ($BG$66:$BG$75*CO689 + (1-$BG$66:$BG$75)*CK689), N($AU$66:$AU$75&gt;$AM689))
) / 1000</f>
        <v>0</v>
      </c>
      <c r="CQ689" s="231">
        <f t="shared" si="782"/>
        <v>25</v>
      </c>
      <c r="CR689" s="229">
        <f t="shared" si="766"/>
        <v>38</v>
      </c>
      <c r="CS689" s="234">
        <f t="shared" si="767"/>
        <v>4.0666935483870965</v>
      </c>
      <c r="CT689" s="234" cm="1">
        <f t="array" ref="CT689">$BM689 * IF($AH689&lt;=2,
SUMPRODUCT(INDEX($AV$66:$AX$70,,$AI689), INDEX($AY$66:$BE$70,,$AH689), 1 / ($BF$66:$BF$70*CS689 + (1-$BF$66:$BF$70)*CO689), N($AU$66:$AU$70&gt;$AM689)),
SUMPRODUCT(INDEX($AV$56:$AX$65,,$AI689), INDEX($AY$56:$BE$65,,$AH689), 1 / ($BG$56:$BG$65*CS689 + (1-$BG$56:$BG$65)*CO689), N($AU$56:$AU$65&gt;$AM689))
) / 1000</f>
        <v>0</v>
      </c>
      <c r="CU689" s="231">
        <f t="shared" si="783"/>
        <v>20</v>
      </c>
      <c r="CV689" s="229">
        <f t="shared" si="768"/>
        <v>33</v>
      </c>
      <c r="CW689" s="234">
        <f t="shared" si="769"/>
        <v>4.8487499999999999</v>
      </c>
      <c r="CX689" s="234" cm="1">
        <f t="array" ref="CX689">$BM689 * IF($AH689&lt;=2,
SUMPRODUCT(INDEX($AV$61:$AX$65,,$AI689), INDEX($AY$61:$BE$65,,$AH689), 1 / ($BF$61:$BF$65*CW689 + (1-$BF$61:$BF$65)*CS689), N($AU$61:$AU$65&gt;$AM689)),
SUMPRODUCT(INDEX($AV$46:$AX$55,,$AI689), INDEX($AY$46:$BE$55,,$AH689), 1 / ($BG$46:$BG$55*CW689 + (1-$BG$46:$BG$55)*CS689), N($AU$46:$AU$55&gt;$AM689))
) / 1000</f>
        <v>0</v>
      </c>
      <c r="CY689" s="234" cm="1">
        <f t="array" ref="CY689">$BM689 * IF($AH689&lt;=2,
SUMPRODUCT(INDEX($AV$22:$AX$60,,$AI689), INDEX($AY$22:$BE$60,,$AH689), 1 / ($BF$22:$BF$60*CW689), N($AU$22:$AU$60&gt;$AM689)),
SUMPRODUCT(INDEX($AV$22:$AX$45,,$AI689), INDEX($AY$22:$BE$45,,$AH689), 1 / ($BG$22:$BG$45*CW689), N($AU$22:$AU$45&gt;$AM689))
) / 1000</f>
        <v>0</v>
      </c>
      <c r="CZ689" s="229">
        <f t="shared" si="770"/>
        <v>0</v>
      </c>
      <c r="DA689" s="246"/>
    </row>
    <row r="690" spans="1:105" s="75" customFormat="1" ht="14.25" customHeight="1" x14ac:dyDescent="0.2">
      <c r="A690" s="230" t="b">
        <f t="shared" si="775"/>
        <v>0</v>
      </c>
      <c r="B690" s="253">
        <v>669</v>
      </c>
      <c r="C690" s="266"/>
      <c r="D690" s="266"/>
      <c r="E690" s="254"/>
      <c r="F690" s="255" t="str">
        <f>IF(ISBLANK(E690), "", VLOOKUP(E690, Z!$A$2:$C$4127, 3, FALSE))</f>
        <v/>
      </c>
      <c r="G690" s="256"/>
      <c r="H690" s="256"/>
      <c r="I690" s="256"/>
      <c r="J690" s="257"/>
      <c r="K690" s="258"/>
      <c r="L690" s="267"/>
      <c r="M690" s="268"/>
      <c r="N690" s="259" t="str" cm="1">
        <f t="array" ref="N690">IF($L690&gt;0, INDEX(Clean,1+AK690,$D$1), "")</f>
        <v/>
      </c>
      <c r="O690" s="260"/>
      <c r="P690" s="260"/>
      <c r="Q690" s="261"/>
      <c r="R690" s="264">
        <f t="shared" si="746"/>
        <v>0</v>
      </c>
      <c r="S690" s="259" t="str" cm="1">
        <f t="array" ref="S690">IF($L690&gt;0, INDEX(Clean,1+AL690,$D$1), "")</f>
        <v/>
      </c>
      <c r="T690" s="260"/>
      <c r="U690" s="260"/>
      <c r="V690" s="261"/>
      <c r="W690" s="267"/>
      <c r="X690" s="267"/>
      <c r="Y690" s="257"/>
      <c r="Z690" s="264">
        <f t="shared" si="747"/>
        <v>0</v>
      </c>
      <c r="AA690" s="269"/>
      <c r="AB690" s="266"/>
      <c r="AC690" s="254"/>
      <c r="AD690" s="255" t="str">
        <f>IF(ISBLANK(AC690), "", VLOOKUP(AC690, Z!$A$2:$C$4127, 3, FALSE))</f>
        <v/>
      </c>
      <c r="AE690" s="270"/>
      <c r="AF690" s="265">
        <f t="shared" si="748"/>
        <v>0</v>
      </c>
      <c r="AG690" s="246"/>
      <c r="AH690" s="228">
        <f t="shared" si="771"/>
        <v>1</v>
      </c>
      <c r="AI690" s="228">
        <f t="shared" si="772"/>
        <v>1</v>
      </c>
      <c r="AJ690" s="228">
        <f t="shared" si="773"/>
        <v>0</v>
      </c>
      <c r="AK690" s="228">
        <v>0</v>
      </c>
      <c r="AL690" s="228">
        <v>0</v>
      </c>
      <c r="AM690" s="228">
        <f t="shared" si="749"/>
        <v>-100</v>
      </c>
      <c r="AN690" s="228" cm="1">
        <f t="array" ref="AN690">IF(ISBLANK(G690), 1, IFERROR(MATCH(G690, INDEX(Kat,,1), 0), IFERROR(MATCH(Kat, INDEX(Use,,2), 0), MATCH(Kat, INDEX(Use,,3), 0))))</f>
        <v>1</v>
      </c>
      <c r="AO690" s="246"/>
      <c r="AP690" s="228" cm="1">
        <f t="array" ref="AP690">IF(W690&gt;0, INDEX(Kat, AN690,4), 0)</f>
        <v>0</v>
      </c>
      <c r="AQ690" s="228">
        <f t="shared" si="774"/>
        <v>0</v>
      </c>
      <c r="AR690" s="228" cm="1">
        <f t="array" ref="AR690">IF(X690&gt;0, INDEX(Kat, $AN690, 4+AQ690), 0)</f>
        <v>0</v>
      </c>
      <c r="AS690" s="228" cm="1">
        <f t="array" ref="AS690">IF(X690&gt;0, INDEX(Kat, $AN690, 9+AQ690), 0)</f>
        <v>0</v>
      </c>
      <c r="AT690" s="246"/>
      <c r="AU690" s="262"/>
      <c r="AV690" s="262"/>
      <c r="AW690" s="263"/>
      <c r="AX690" s="263"/>
      <c r="AY690" s="263"/>
      <c r="AZ690" s="263"/>
      <c r="BA690" s="263"/>
      <c r="BB690" s="263"/>
      <c r="BC690" s="263"/>
      <c r="BD690" s="263"/>
      <c r="BE690" s="263"/>
      <c r="BF690" s="263"/>
      <c r="BG690" s="263"/>
      <c r="BH690" s="246"/>
      <c r="BI690" s="228" cm="1">
        <f t="array" ref="BI690">INDEX(Use, $AH690, 4)</f>
        <v>7</v>
      </c>
      <c r="BJ690" s="228">
        <f t="shared" si="750"/>
        <v>32</v>
      </c>
      <c r="BK690" s="228">
        <f t="shared" si="776"/>
        <v>13</v>
      </c>
      <c r="BL690" s="228">
        <f t="shared" si="777"/>
        <v>0</v>
      </c>
      <c r="BM690" s="233" cm="1">
        <f t="array" ref="BM690">L690/IF($M690&gt;0, INDEX($AY$22:$BE$76, $M690+20, $AH690), 1)</f>
        <v>0</v>
      </c>
      <c r="BN690" s="229">
        <f t="shared" si="751"/>
        <v>0</v>
      </c>
      <c r="BO690" s="228">
        <v>35</v>
      </c>
      <c r="BP690" s="229">
        <f t="shared" si="752"/>
        <v>48</v>
      </c>
      <c r="BQ690" s="234">
        <f t="shared" si="753"/>
        <v>3.0748170731707316</v>
      </c>
      <c r="BR690" s="234" cm="1">
        <f t="array" ref="BR690">$BM690 * SUMPRODUCT(INDEX($AV$76:$AX$81,,$AI690),INDEX($AY$76:$BE$81,,$AH690), N($AU$76:$AU$81&gt;$AM690)) / BQ690 / 1000</f>
        <v>0</v>
      </c>
      <c r="BS690" s="231">
        <f t="shared" si="778"/>
        <v>30</v>
      </c>
      <c r="BT690" s="229">
        <f t="shared" si="754"/>
        <v>43</v>
      </c>
      <c r="BU690" s="234">
        <f t="shared" si="755"/>
        <v>3.5018750000000001</v>
      </c>
      <c r="BV690" s="234" cm="1">
        <f t="array" ref="BV690">$BM690 * IF($AH690&lt;=2,
SUMPRODUCT(INDEX($AV$71:$AX$75,,$AI690), INDEX($AY$71:$BE$75,,$AH690), 1 / ($BF$71:$BF$75*BU690 + (1-$BF$71:$BF$75)*BQ690), N($AU$71:$AU$75&gt;$AM690)),
SUMPRODUCT(INDEX($AV$66:$AX$75,,$AI690), INDEX($AY$66:$BE$75,,$AH690), 1 / ($BG$66:$BG$75*BU690 + (1-$BG$66:$BG$75)*BQ690), N($AU$66:$AU$75&gt;$AM690))
) / 1000</f>
        <v>0</v>
      </c>
      <c r="BW690" s="231">
        <f t="shared" si="779"/>
        <v>25</v>
      </c>
      <c r="BX690" s="229">
        <f t="shared" si="756"/>
        <v>38</v>
      </c>
      <c r="BY690" s="234">
        <f t="shared" si="757"/>
        <v>4.0666935483870965</v>
      </c>
      <c r="BZ690" s="234" cm="1">
        <f t="array" ref="BZ690">$BM690 * IF($AH690&lt;=2,
SUMPRODUCT(INDEX($AV$66:$AX$70,,$AI690), INDEX($AY$66:$BE$70,,$AH690), 1 / ($BF$66:$BF$70*BY690 + (1-$BF$66:$BF$70)*BU690), N($AU$66:$AU$70&gt;$AM690)),
SUMPRODUCT(INDEX($AV$56:$AX$65,,$AI690), INDEX($AY$56:$BE$65,,$AH690), 1 / ($BG$56:$BG$65*BY690 + (1-$BG$56:$BG$65)*BU690), N($AU$56:$AU$65&gt;$AM690))
) / 1000</f>
        <v>0</v>
      </c>
      <c r="CA690" s="231">
        <f t="shared" si="780"/>
        <v>20</v>
      </c>
      <c r="CB690" s="229">
        <f t="shared" si="758"/>
        <v>33</v>
      </c>
      <c r="CC690" s="234">
        <f t="shared" si="759"/>
        <v>4.8487499999999999</v>
      </c>
      <c r="CD690" s="234" cm="1">
        <f t="array" ref="CD690">$BM690 * IF($AH690&lt;=2,
SUMPRODUCT(INDEX($AV$61:$AX$65,,$AI690), INDEX($AY$61:$BE$65,,$AH690), 1 / ($BF$61:$BF$65*CC690 + (1-$BF$61:$BF$65)*BY690), N($AU$61:$AU$65&gt;$AM690)),
SUMPRODUCT(INDEX($AV$46:$AX$55,,$AI690), INDEX($AY$46:$BE$55,,$AH690), 1 / ($BG$46:$BG$55*CC690 + (1-$BG$46:$BG$55)*BY690), N($AU$46:$AU$55&gt;$AM690))
) / 1000</f>
        <v>0</v>
      </c>
      <c r="CE690" s="234" cm="1">
        <f t="array" ref="CE690">$BM690 * IF($AH690&lt;=2,
SUMPRODUCT(INDEX($AV$22:$AX$60,,$AI690), INDEX($AY$22:$BE$60,,$AH690), 1 / ($BF$22:$BF$60*CC690), N($AU$22:$AU$60&gt;$AM690)),
SUMPRODUCT(INDEX($AV$22:$AX$45,,$AI690), INDEX($AY$22:$BE$45,,$AH690), 1 / ($BG$22:$BG$45*CC690), N($AU$22:$AU$45&gt;$AM690))
) / 1000</f>
        <v>0</v>
      </c>
      <c r="CF690" s="229">
        <f t="shared" si="760"/>
        <v>0</v>
      </c>
      <c r="CG690" s="246"/>
      <c r="CH690" s="229">
        <f t="shared" si="761"/>
        <v>0</v>
      </c>
      <c r="CI690" s="228">
        <v>35</v>
      </c>
      <c r="CJ690" s="229">
        <f t="shared" si="762"/>
        <v>48</v>
      </c>
      <c r="CK690" s="234">
        <f t="shared" si="763"/>
        <v>3.0748170731707316</v>
      </c>
      <c r="CL690" s="234" cm="1">
        <f t="array" ref="CL690">$BM690 * SUMPRODUCT(INDEX($AV$76:$AX$81,,$AI690),INDEX($AY$76:$BE$81,,$AH690), N($AU$76:$AU$81&gt;$AM690)) / CK690 / 1000</f>
        <v>0</v>
      </c>
      <c r="CM690" s="231">
        <f t="shared" si="781"/>
        <v>30</v>
      </c>
      <c r="CN690" s="229">
        <f t="shared" si="764"/>
        <v>43</v>
      </c>
      <c r="CO690" s="234">
        <f t="shared" si="765"/>
        <v>3.5018750000000001</v>
      </c>
      <c r="CP690" s="234" cm="1">
        <f t="array" ref="CP690">$BM690 * IF($AH690&lt;=2,
SUMPRODUCT(INDEX($AV$71:$AX$75,,$AI690), INDEX($AY$71:$BE$75,,$AH690), 1 / ($BF$71:$BF$75*CO690 + (1-$BF$71:$BF$75)*CK690), N($AU$71:$AU$75&gt;$AM690)),
SUMPRODUCT(INDEX($AV$66:$AX$75,,$AI690), INDEX($AY$66:$BE$75,,$AH690), 1 / ($BG$66:$BG$75*CO690 + (1-$BG$66:$BG$75)*CK690), N($AU$66:$AU$75&gt;$AM690))
) / 1000</f>
        <v>0</v>
      </c>
      <c r="CQ690" s="231">
        <f t="shared" si="782"/>
        <v>25</v>
      </c>
      <c r="CR690" s="229">
        <f t="shared" si="766"/>
        <v>38</v>
      </c>
      <c r="CS690" s="234">
        <f t="shared" si="767"/>
        <v>4.0666935483870965</v>
      </c>
      <c r="CT690" s="234" cm="1">
        <f t="array" ref="CT690">$BM690 * IF($AH690&lt;=2,
SUMPRODUCT(INDEX($AV$66:$AX$70,,$AI690), INDEX($AY$66:$BE$70,,$AH690), 1 / ($BF$66:$BF$70*CS690 + (1-$BF$66:$BF$70)*CO690), N($AU$66:$AU$70&gt;$AM690)),
SUMPRODUCT(INDEX($AV$56:$AX$65,,$AI690), INDEX($AY$56:$BE$65,,$AH690), 1 / ($BG$56:$BG$65*CS690 + (1-$BG$56:$BG$65)*CO690), N($AU$56:$AU$65&gt;$AM690))
) / 1000</f>
        <v>0</v>
      </c>
      <c r="CU690" s="231">
        <f t="shared" si="783"/>
        <v>20</v>
      </c>
      <c r="CV690" s="229">
        <f t="shared" si="768"/>
        <v>33</v>
      </c>
      <c r="CW690" s="234">
        <f t="shared" si="769"/>
        <v>4.8487499999999999</v>
      </c>
      <c r="CX690" s="234" cm="1">
        <f t="array" ref="CX690">$BM690 * IF($AH690&lt;=2,
SUMPRODUCT(INDEX($AV$61:$AX$65,,$AI690), INDEX($AY$61:$BE$65,,$AH690), 1 / ($BF$61:$BF$65*CW690 + (1-$BF$61:$BF$65)*CS690), N($AU$61:$AU$65&gt;$AM690)),
SUMPRODUCT(INDEX($AV$46:$AX$55,,$AI690), INDEX($AY$46:$BE$55,,$AH690), 1 / ($BG$46:$BG$55*CW690 + (1-$BG$46:$BG$55)*CS690), N($AU$46:$AU$55&gt;$AM690))
) / 1000</f>
        <v>0</v>
      </c>
      <c r="CY690" s="234" cm="1">
        <f t="array" ref="CY690">$BM690 * IF($AH690&lt;=2,
SUMPRODUCT(INDEX($AV$22:$AX$60,,$AI690), INDEX($AY$22:$BE$60,,$AH690), 1 / ($BF$22:$BF$60*CW690), N($AU$22:$AU$60&gt;$AM690)),
SUMPRODUCT(INDEX($AV$22:$AX$45,,$AI690), INDEX($AY$22:$BE$45,,$AH690), 1 / ($BG$22:$BG$45*CW690), N($AU$22:$AU$45&gt;$AM690))
) / 1000</f>
        <v>0</v>
      </c>
      <c r="CZ690" s="229">
        <f t="shared" si="770"/>
        <v>0</v>
      </c>
      <c r="DA690" s="246"/>
    </row>
    <row r="691" spans="1:105" s="75" customFormat="1" ht="14.25" customHeight="1" x14ac:dyDescent="0.2">
      <c r="A691" s="230" t="b">
        <f t="shared" si="775"/>
        <v>0</v>
      </c>
      <c r="B691" s="253">
        <v>670</v>
      </c>
      <c r="C691" s="266"/>
      <c r="D691" s="266"/>
      <c r="E691" s="254"/>
      <c r="F691" s="255" t="str">
        <f>IF(ISBLANK(E691), "", VLOOKUP(E691, Z!$A$2:$C$4127, 3, FALSE))</f>
        <v/>
      </c>
      <c r="G691" s="256"/>
      <c r="H691" s="256"/>
      <c r="I691" s="256"/>
      <c r="J691" s="257"/>
      <c r="K691" s="258"/>
      <c r="L691" s="267"/>
      <c r="M691" s="268"/>
      <c r="N691" s="259" t="str" cm="1">
        <f t="array" ref="N691">IF($L691&gt;0, INDEX(Clean,1+AK691,$D$1), "")</f>
        <v/>
      </c>
      <c r="O691" s="260"/>
      <c r="P691" s="260"/>
      <c r="Q691" s="261"/>
      <c r="R691" s="264">
        <f t="shared" si="746"/>
        <v>0</v>
      </c>
      <c r="S691" s="259" t="str" cm="1">
        <f t="array" ref="S691">IF($L691&gt;0, INDEX(Clean,1+AL691,$D$1), "")</f>
        <v/>
      </c>
      <c r="T691" s="260"/>
      <c r="U691" s="260"/>
      <c r="V691" s="261"/>
      <c r="W691" s="267"/>
      <c r="X691" s="267"/>
      <c r="Y691" s="257"/>
      <c r="Z691" s="264">
        <f t="shared" si="747"/>
        <v>0</v>
      </c>
      <c r="AA691" s="269"/>
      <c r="AB691" s="266"/>
      <c r="AC691" s="254"/>
      <c r="AD691" s="255" t="str">
        <f>IF(ISBLANK(AC691), "", VLOOKUP(AC691, Z!$A$2:$C$4127, 3, FALSE))</f>
        <v/>
      </c>
      <c r="AE691" s="270"/>
      <c r="AF691" s="265">
        <f t="shared" si="748"/>
        <v>0</v>
      </c>
      <c r="AG691" s="246"/>
      <c r="AH691" s="228">
        <f t="shared" si="771"/>
        <v>1</v>
      </c>
      <c r="AI691" s="228">
        <f t="shared" si="772"/>
        <v>1</v>
      </c>
      <c r="AJ691" s="228">
        <f t="shared" si="773"/>
        <v>0</v>
      </c>
      <c r="AK691" s="228">
        <v>0</v>
      </c>
      <c r="AL691" s="228">
        <v>0</v>
      </c>
      <c r="AM691" s="228">
        <f t="shared" si="749"/>
        <v>-100</v>
      </c>
      <c r="AN691" s="228" cm="1">
        <f t="array" ref="AN691">IF(ISBLANK(G691), 1, IFERROR(MATCH(G691, INDEX(Kat,,1), 0), IFERROR(MATCH(Kat, INDEX(Use,,2), 0), MATCH(Kat, INDEX(Use,,3), 0))))</f>
        <v>1</v>
      </c>
      <c r="AO691" s="246"/>
      <c r="AP691" s="228" cm="1">
        <f t="array" ref="AP691">IF(W691&gt;0, INDEX(Kat, AN691,4), 0)</f>
        <v>0</v>
      </c>
      <c r="AQ691" s="228">
        <f t="shared" si="774"/>
        <v>0</v>
      </c>
      <c r="AR691" s="228" cm="1">
        <f t="array" ref="AR691">IF(X691&gt;0, INDEX(Kat, $AN691, 4+AQ691), 0)</f>
        <v>0</v>
      </c>
      <c r="AS691" s="228" cm="1">
        <f t="array" ref="AS691">IF(X691&gt;0, INDEX(Kat, $AN691, 9+AQ691), 0)</f>
        <v>0</v>
      </c>
      <c r="AT691" s="246"/>
      <c r="AU691" s="262"/>
      <c r="AV691" s="262"/>
      <c r="AW691" s="263"/>
      <c r="AX691" s="263"/>
      <c r="AY691" s="263"/>
      <c r="AZ691" s="263"/>
      <c r="BA691" s="263"/>
      <c r="BB691" s="263"/>
      <c r="BC691" s="263"/>
      <c r="BD691" s="263"/>
      <c r="BE691" s="263"/>
      <c r="BF691" s="263"/>
      <c r="BG691" s="263"/>
      <c r="BH691" s="246"/>
      <c r="BI691" s="228" cm="1">
        <f t="array" ref="BI691">INDEX(Use, $AH691, 4)</f>
        <v>7</v>
      </c>
      <c r="BJ691" s="228">
        <f t="shared" si="750"/>
        <v>32</v>
      </c>
      <c r="BK691" s="228">
        <f t="shared" si="776"/>
        <v>13</v>
      </c>
      <c r="BL691" s="228">
        <f t="shared" si="777"/>
        <v>0</v>
      </c>
      <c r="BM691" s="233" cm="1">
        <f t="array" ref="BM691">L691/IF($M691&gt;0, INDEX($AY$22:$BE$76, $M691+20, $AH691), 1)</f>
        <v>0</v>
      </c>
      <c r="BN691" s="229">
        <f t="shared" si="751"/>
        <v>0</v>
      </c>
      <c r="BO691" s="228">
        <v>35</v>
      </c>
      <c r="BP691" s="229">
        <f t="shared" si="752"/>
        <v>48</v>
      </c>
      <c r="BQ691" s="234">
        <f t="shared" si="753"/>
        <v>3.0748170731707316</v>
      </c>
      <c r="BR691" s="234" cm="1">
        <f t="array" ref="BR691">$BM691 * SUMPRODUCT(INDEX($AV$76:$AX$81,,$AI691),INDEX($AY$76:$BE$81,,$AH691), N($AU$76:$AU$81&gt;$AM691)) / BQ691 / 1000</f>
        <v>0</v>
      </c>
      <c r="BS691" s="231">
        <f t="shared" si="778"/>
        <v>30</v>
      </c>
      <c r="BT691" s="229">
        <f t="shared" si="754"/>
        <v>43</v>
      </c>
      <c r="BU691" s="234">
        <f t="shared" si="755"/>
        <v>3.5018750000000001</v>
      </c>
      <c r="BV691" s="234" cm="1">
        <f t="array" ref="BV691">$BM691 * IF($AH691&lt;=2,
SUMPRODUCT(INDEX($AV$71:$AX$75,,$AI691), INDEX($AY$71:$BE$75,,$AH691), 1 / ($BF$71:$BF$75*BU691 + (1-$BF$71:$BF$75)*BQ691), N($AU$71:$AU$75&gt;$AM691)),
SUMPRODUCT(INDEX($AV$66:$AX$75,,$AI691), INDEX($AY$66:$BE$75,,$AH691), 1 / ($BG$66:$BG$75*BU691 + (1-$BG$66:$BG$75)*BQ691), N($AU$66:$AU$75&gt;$AM691))
) / 1000</f>
        <v>0</v>
      </c>
      <c r="BW691" s="231">
        <f t="shared" si="779"/>
        <v>25</v>
      </c>
      <c r="BX691" s="229">
        <f t="shared" si="756"/>
        <v>38</v>
      </c>
      <c r="BY691" s="234">
        <f t="shared" si="757"/>
        <v>4.0666935483870965</v>
      </c>
      <c r="BZ691" s="234" cm="1">
        <f t="array" ref="BZ691">$BM691 * IF($AH691&lt;=2,
SUMPRODUCT(INDEX($AV$66:$AX$70,,$AI691), INDEX($AY$66:$BE$70,,$AH691), 1 / ($BF$66:$BF$70*BY691 + (1-$BF$66:$BF$70)*BU691), N($AU$66:$AU$70&gt;$AM691)),
SUMPRODUCT(INDEX($AV$56:$AX$65,,$AI691), INDEX($AY$56:$BE$65,,$AH691), 1 / ($BG$56:$BG$65*BY691 + (1-$BG$56:$BG$65)*BU691), N($AU$56:$AU$65&gt;$AM691))
) / 1000</f>
        <v>0</v>
      </c>
      <c r="CA691" s="231">
        <f t="shared" si="780"/>
        <v>20</v>
      </c>
      <c r="CB691" s="229">
        <f t="shared" si="758"/>
        <v>33</v>
      </c>
      <c r="CC691" s="234">
        <f t="shared" si="759"/>
        <v>4.8487499999999999</v>
      </c>
      <c r="CD691" s="234" cm="1">
        <f t="array" ref="CD691">$BM691 * IF($AH691&lt;=2,
SUMPRODUCT(INDEX($AV$61:$AX$65,,$AI691), INDEX($AY$61:$BE$65,,$AH691), 1 / ($BF$61:$BF$65*CC691 + (1-$BF$61:$BF$65)*BY691), N($AU$61:$AU$65&gt;$AM691)),
SUMPRODUCT(INDEX($AV$46:$AX$55,,$AI691), INDEX($AY$46:$BE$55,,$AH691), 1 / ($BG$46:$BG$55*CC691 + (1-$BG$46:$BG$55)*BY691), N($AU$46:$AU$55&gt;$AM691))
) / 1000</f>
        <v>0</v>
      </c>
      <c r="CE691" s="234" cm="1">
        <f t="array" ref="CE691">$BM691 * IF($AH691&lt;=2,
SUMPRODUCT(INDEX($AV$22:$AX$60,,$AI691), INDEX($AY$22:$BE$60,,$AH691), 1 / ($BF$22:$BF$60*CC691), N($AU$22:$AU$60&gt;$AM691)),
SUMPRODUCT(INDEX($AV$22:$AX$45,,$AI691), INDEX($AY$22:$BE$45,,$AH691), 1 / ($BG$22:$BG$45*CC691), N($AU$22:$AU$45&gt;$AM691))
) / 1000</f>
        <v>0</v>
      </c>
      <c r="CF691" s="229">
        <f t="shared" si="760"/>
        <v>0</v>
      </c>
      <c r="CG691" s="246"/>
      <c r="CH691" s="229">
        <f t="shared" si="761"/>
        <v>0</v>
      </c>
      <c r="CI691" s="228">
        <v>35</v>
      </c>
      <c r="CJ691" s="229">
        <f t="shared" si="762"/>
        <v>48</v>
      </c>
      <c r="CK691" s="234">
        <f t="shared" si="763"/>
        <v>3.0748170731707316</v>
      </c>
      <c r="CL691" s="234" cm="1">
        <f t="array" ref="CL691">$BM691 * SUMPRODUCT(INDEX($AV$76:$AX$81,,$AI691),INDEX($AY$76:$BE$81,,$AH691), N($AU$76:$AU$81&gt;$AM691)) / CK691 / 1000</f>
        <v>0</v>
      </c>
      <c r="CM691" s="231">
        <f t="shared" si="781"/>
        <v>30</v>
      </c>
      <c r="CN691" s="229">
        <f t="shared" si="764"/>
        <v>43</v>
      </c>
      <c r="CO691" s="234">
        <f t="shared" si="765"/>
        <v>3.5018750000000001</v>
      </c>
      <c r="CP691" s="234" cm="1">
        <f t="array" ref="CP691">$BM691 * IF($AH691&lt;=2,
SUMPRODUCT(INDEX($AV$71:$AX$75,,$AI691), INDEX($AY$71:$BE$75,,$AH691), 1 / ($BF$71:$BF$75*CO691 + (1-$BF$71:$BF$75)*CK691), N($AU$71:$AU$75&gt;$AM691)),
SUMPRODUCT(INDEX($AV$66:$AX$75,,$AI691), INDEX($AY$66:$BE$75,,$AH691), 1 / ($BG$66:$BG$75*CO691 + (1-$BG$66:$BG$75)*CK691), N($AU$66:$AU$75&gt;$AM691))
) / 1000</f>
        <v>0</v>
      </c>
      <c r="CQ691" s="231">
        <f t="shared" si="782"/>
        <v>25</v>
      </c>
      <c r="CR691" s="229">
        <f t="shared" si="766"/>
        <v>38</v>
      </c>
      <c r="CS691" s="234">
        <f t="shared" si="767"/>
        <v>4.0666935483870965</v>
      </c>
      <c r="CT691" s="234" cm="1">
        <f t="array" ref="CT691">$BM691 * IF($AH691&lt;=2,
SUMPRODUCT(INDEX($AV$66:$AX$70,,$AI691), INDEX($AY$66:$BE$70,,$AH691), 1 / ($BF$66:$BF$70*CS691 + (1-$BF$66:$BF$70)*CO691), N($AU$66:$AU$70&gt;$AM691)),
SUMPRODUCT(INDEX($AV$56:$AX$65,,$AI691), INDEX($AY$56:$BE$65,,$AH691), 1 / ($BG$56:$BG$65*CS691 + (1-$BG$56:$BG$65)*CO691), N($AU$56:$AU$65&gt;$AM691))
) / 1000</f>
        <v>0</v>
      </c>
      <c r="CU691" s="231">
        <f t="shared" si="783"/>
        <v>20</v>
      </c>
      <c r="CV691" s="229">
        <f t="shared" si="768"/>
        <v>33</v>
      </c>
      <c r="CW691" s="234">
        <f t="shared" si="769"/>
        <v>4.8487499999999999</v>
      </c>
      <c r="CX691" s="234" cm="1">
        <f t="array" ref="CX691">$BM691 * IF($AH691&lt;=2,
SUMPRODUCT(INDEX($AV$61:$AX$65,,$AI691), INDEX($AY$61:$BE$65,,$AH691), 1 / ($BF$61:$BF$65*CW691 + (1-$BF$61:$BF$65)*CS691), N($AU$61:$AU$65&gt;$AM691)),
SUMPRODUCT(INDEX($AV$46:$AX$55,,$AI691), INDEX($AY$46:$BE$55,,$AH691), 1 / ($BG$46:$BG$55*CW691 + (1-$BG$46:$BG$55)*CS691), N($AU$46:$AU$55&gt;$AM691))
) / 1000</f>
        <v>0</v>
      </c>
      <c r="CY691" s="234" cm="1">
        <f t="array" ref="CY691">$BM691 * IF($AH691&lt;=2,
SUMPRODUCT(INDEX($AV$22:$AX$60,,$AI691), INDEX($AY$22:$BE$60,,$AH691), 1 / ($BF$22:$BF$60*CW691), N($AU$22:$AU$60&gt;$AM691)),
SUMPRODUCT(INDEX($AV$22:$AX$45,,$AI691), INDEX($AY$22:$BE$45,,$AH691), 1 / ($BG$22:$BG$45*CW691), N($AU$22:$AU$45&gt;$AM691))
) / 1000</f>
        <v>0</v>
      </c>
      <c r="CZ691" s="229">
        <f t="shared" si="770"/>
        <v>0</v>
      </c>
      <c r="DA691" s="246"/>
    </row>
    <row r="692" spans="1:105" s="75" customFormat="1" ht="14.25" customHeight="1" x14ac:dyDescent="0.2">
      <c r="A692" s="230" t="b">
        <f t="shared" si="775"/>
        <v>0</v>
      </c>
      <c r="B692" s="253">
        <v>671</v>
      </c>
      <c r="C692" s="266"/>
      <c r="D692" s="266"/>
      <c r="E692" s="254"/>
      <c r="F692" s="255" t="str">
        <f>IF(ISBLANK(E692), "", VLOOKUP(E692, Z!$A$2:$C$4127, 3, FALSE))</f>
        <v/>
      </c>
      <c r="G692" s="256"/>
      <c r="H692" s="256"/>
      <c r="I692" s="256"/>
      <c r="J692" s="257"/>
      <c r="K692" s="258"/>
      <c r="L692" s="267"/>
      <c r="M692" s="268"/>
      <c r="N692" s="259" t="str" cm="1">
        <f t="array" ref="N692">IF($L692&gt;0, INDEX(Clean,1+AK692,$D$1), "")</f>
        <v/>
      </c>
      <c r="O692" s="260"/>
      <c r="P692" s="260"/>
      <c r="Q692" s="261"/>
      <c r="R692" s="264">
        <f t="shared" si="746"/>
        <v>0</v>
      </c>
      <c r="S692" s="259" t="str" cm="1">
        <f t="array" ref="S692">IF($L692&gt;0, INDEX(Clean,1+AL692,$D$1), "")</f>
        <v/>
      </c>
      <c r="T692" s="260"/>
      <c r="U692" s="260"/>
      <c r="V692" s="261"/>
      <c r="W692" s="267"/>
      <c r="X692" s="267"/>
      <c r="Y692" s="257"/>
      <c r="Z692" s="264">
        <f t="shared" si="747"/>
        <v>0</v>
      </c>
      <c r="AA692" s="269"/>
      <c r="AB692" s="266"/>
      <c r="AC692" s="254"/>
      <c r="AD692" s="255" t="str">
        <f>IF(ISBLANK(AC692), "", VLOOKUP(AC692, Z!$A$2:$C$4127, 3, FALSE))</f>
        <v/>
      </c>
      <c r="AE692" s="270"/>
      <c r="AF692" s="265">
        <f t="shared" si="748"/>
        <v>0</v>
      </c>
      <c r="AG692" s="246"/>
      <c r="AH692" s="228">
        <f t="shared" si="771"/>
        <v>1</v>
      </c>
      <c r="AI692" s="228">
        <f t="shared" si="772"/>
        <v>1</v>
      </c>
      <c r="AJ692" s="228">
        <f t="shared" si="773"/>
        <v>0</v>
      </c>
      <c r="AK692" s="228">
        <v>0</v>
      </c>
      <c r="AL692" s="228">
        <v>0</v>
      </c>
      <c r="AM692" s="228">
        <f t="shared" si="749"/>
        <v>-100</v>
      </c>
      <c r="AN692" s="228" cm="1">
        <f t="array" ref="AN692">IF(ISBLANK(G692), 1, IFERROR(MATCH(G692, INDEX(Kat,,1), 0), IFERROR(MATCH(Kat, INDEX(Use,,2), 0), MATCH(Kat, INDEX(Use,,3), 0))))</f>
        <v>1</v>
      </c>
      <c r="AO692" s="246"/>
      <c r="AP692" s="228" cm="1">
        <f t="array" ref="AP692">IF(W692&gt;0, INDEX(Kat, AN692,4), 0)</f>
        <v>0</v>
      </c>
      <c r="AQ692" s="228">
        <f t="shared" si="774"/>
        <v>0</v>
      </c>
      <c r="AR692" s="228" cm="1">
        <f t="array" ref="AR692">IF(X692&gt;0, INDEX(Kat, $AN692, 4+AQ692), 0)</f>
        <v>0</v>
      </c>
      <c r="AS692" s="228" cm="1">
        <f t="array" ref="AS692">IF(X692&gt;0, INDEX(Kat, $AN692, 9+AQ692), 0)</f>
        <v>0</v>
      </c>
      <c r="AT692" s="246"/>
      <c r="AU692" s="262"/>
      <c r="AV692" s="262"/>
      <c r="AW692" s="263"/>
      <c r="AX692" s="263"/>
      <c r="AY692" s="263"/>
      <c r="AZ692" s="263"/>
      <c r="BA692" s="263"/>
      <c r="BB692" s="263"/>
      <c r="BC692" s="263"/>
      <c r="BD692" s="263"/>
      <c r="BE692" s="263"/>
      <c r="BF692" s="263"/>
      <c r="BG692" s="263"/>
      <c r="BH692" s="246"/>
      <c r="BI692" s="228" cm="1">
        <f t="array" ref="BI692">INDEX(Use, $AH692, 4)</f>
        <v>7</v>
      </c>
      <c r="BJ692" s="228">
        <f t="shared" si="750"/>
        <v>32</v>
      </c>
      <c r="BK692" s="228">
        <f t="shared" si="776"/>
        <v>13</v>
      </c>
      <c r="BL692" s="228">
        <f t="shared" si="777"/>
        <v>0</v>
      </c>
      <c r="BM692" s="233" cm="1">
        <f t="array" ref="BM692">L692/IF($M692&gt;0, INDEX($AY$22:$BE$76, $M692+20, $AH692), 1)</f>
        <v>0</v>
      </c>
      <c r="BN692" s="229">
        <f t="shared" si="751"/>
        <v>0</v>
      </c>
      <c r="BO692" s="228">
        <v>35</v>
      </c>
      <c r="BP692" s="229">
        <f t="shared" si="752"/>
        <v>48</v>
      </c>
      <c r="BQ692" s="234">
        <f t="shared" si="753"/>
        <v>3.0748170731707316</v>
      </c>
      <c r="BR692" s="234" cm="1">
        <f t="array" ref="BR692">$BM692 * SUMPRODUCT(INDEX($AV$76:$AX$81,,$AI692),INDEX($AY$76:$BE$81,,$AH692), N($AU$76:$AU$81&gt;$AM692)) / BQ692 / 1000</f>
        <v>0</v>
      </c>
      <c r="BS692" s="231">
        <f t="shared" si="778"/>
        <v>30</v>
      </c>
      <c r="BT692" s="229">
        <f t="shared" si="754"/>
        <v>43</v>
      </c>
      <c r="BU692" s="234">
        <f t="shared" si="755"/>
        <v>3.5018750000000001</v>
      </c>
      <c r="BV692" s="234" cm="1">
        <f t="array" ref="BV692">$BM692 * IF($AH692&lt;=2,
SUMPRODUCT(INDEX($AV$71:$AX$75,,$AI692), INDEX($AY$71:$BE$75,,$AH692), 1 / ($BF$71:$BF$75*BU692 + (1-$BF$71:$BF$75)*BQ692), N($AU$71:$AU$75&gt;$AM692)),
SUMPRODUCT(INDEX($AV$66:$AX$75,,$AI692), INDEX($AY$66:$BE$75,,$AH692), 1 / ($BG$66:$BG$75*BU692 + (1-$BG$66:$BG$75)*BQ692), N($AU$66:$AU$75&gt;$AM692))
) / 1000</f>
        <v>0</v>
      </c>
      <c r="BW692" s="231">
        <f t="shared" si="779"/>
        <v>25</v>
      </c>
      <c r="BX692" s="229">
        <f t="shared" si="756"/>
        <v>38</v>
      </c>
      <c r="BY692" s="234">
        <f t="shared" si="757"/>
        <v>4.0666935483870965</v>
      </c>
      <c r="BZ692" s="234" cm="1">
        <f t="array" ref="BZ692">$BM692 * IF($AH692&lt;=2,
SUMPRODUCT(INDEX($AV$66:$AX$70,,$AI692), INDEX($AY$66:$BE$70,,$AH692), 1 / ($BF$66:$BF$70*BY692 + (1-$BF$66:$BF$70)*BU692), N($AU$66:$AU$70&gt;$AM692)),
SUMPRODUCT(INDEX($AV$56:$AX$65,,$AI692), INDEX($AY$56:$BE$65,,$AH692), 1 / ($BG$56:$BG$65*BY692 + (1-$BG$56:$BG$65)*BU692), N($AU$56:$AU$65&gt;$AM692))
) / 1000</f>
        <v>0</v>
      </c>
      <c r="CA692" s="231">
        <f t="shared" si="780"/>
        <v>20</v>
      </c>
      <c r="CB692" s="229">
        <f t="shared" si="758"/>
        <v>33</v>
      </c>
      <c r="CC692" s="234">
        <f t="shared" si="759"/>
        <v>4.8487499999999999</v>
      </c>
      <c r="CD692" s="234" cm="1">
        <f t="array" ref="CD692">$BM692 * IF($AH692&lt;=2,
SUMPRODUCT(INDEX($AV$61:$AX$65,,$AI692), INDEX($AY$61:$BE$65,,$AH692), 1 / ($BF$61:$BF$65*CC692 + (1-$BF$61:$BF$65)*BY692), N($AU$61:$AU$65&gt;$AM692)),
SUMPRODUCT(INDEX($AV$46:$AX$55,,$AI692), INDEX($AY$46:$BE$55,,$AH692), 1 / ($BG$46:$BG$55*CC692 + (1-$BG$46:$BG$55)*BY692), N($AU$46:$AU$55&gt;$AM692))
) / 1000</f>
        <v>0</v>
      </c>
      <c r="CE692" s="234" cm="1">
        <f t="array" ref="CE692">$BM692 * IF($AH692&lt;=2,
SUMPRODUCT(INDEX($AV$22:$AX$60,,$AI692), INDEX($AY$22:$BE$60,,$AH692), 1 / ($BF$22:$BF$60*CC692), N($AU$22:$AU$60&gt;$AM692)),
SUMPRODUCT(INDEX($AV$22:$AX$45,,$AI692), INDEX($AY$22:$BE$45,,$AH692), 1 / ($BG$22:$BG$45*CC692), N($AU$22:$AU$45&gt;$AM692))
) / 1000</f>
        <v>0</v>
      </c>
      <c r="CF692" s="229">
        <f t="shared" si="760"/>
        <v>0</v>
      </c>
      <c r="CG692" s="246"/>
      <c r="CH692" s="229">
        <f t="shared" si="761"/>
        <v>0</v>
      </c>
      <c r="CI692" s="228">
        <v>35</v>
      </c>
      <c r="CJ692" s="229">
        <f t="shared" si="762"/>
        <v>48</v>
      </c>
      <c r="CK692" s="234">
        <f t="shared" si="763"/>
        <v>3.0748170731707316</v>
      </c>
      <c r="CL692" s="234" cm="1">
        <f t="array" ref="CL692">$BM692 * SUMPRODUCT(INDEX($AV$76:$AX$81,,$AI692),INDEX($AY$76:$BE$81,,$AH692), N($AU$76:$AU$81&gt;$AM692)) / CK692 / 1000</f>
        <v>0</v>
      </c>
      <c r="CM692" s="231">
        <f t="shared" si="781"/>
        <v>30</v>
      </c>
      <c r="CN692" s="229">
        <f t="shared" si="764"/>
        <v>43</v>
      </c>
      <c r="CO692" s="234">
        <f t="shared" si="765"/>
        <v>3.5018750000000001</v>
      </c>
      <c r="CP692" s="234" cm="1">
        <f t="array" ref="CP692">$BM692 * IF($AH692&lt;=2,
SUMPRODUCT(INDEX($AV$71:$AX$75,,$AI692), INDEX($AY$71:$BE$75,,$AH692), 1 / ($BF$71:$BF$75*CO692 + (1-$BF$71:$BF$75)*CK692), N($AU$71:$AU$75&gt;$AM692)),
SUMPRODUCT(INDEX($AV$66:$AX$75,,$AI692), INDEX($AY$66:$BE$75,,$AH692), 1 / ($BG$66:$BG$75*CO692 + (1-$BG$66:$BG$75)*CK692), N($AU$66:$AU$75&gt;$AM692))
) / 1000</f>
        <v>0</v>
      </c>
      <c r="CQ692" s="231">
        <f t="shared" si="782"/>
        <v>25</v>
      </c>
      <c r="CR692" s="229">
        <f t="shared" si="766"/>
        <v>38</v>
      </c>
      <c r="CS692" s="234">
        <f t="shared" si="767"/>
        <v>4.0666935483870965</v>
      </c>
      <c r="CT692" s="234" cm="1">
        <f t="array" ref="CT692">$BM692 * IF($AH692&lt;=2,
SUMPRODUCT(INDEX($AV$66:$AX$70,,$AI692), INDEX($AY$66:$BE$70,,$AH692), 1 / ($BF$66:$BF$70*CS692 + (1-$BF$66:$BF$70)*CO692), N($AU$66:$AU$70&gt;$AM692)),
SUMPRODUCT(INDEX($AV$56:$AX$65,,$AI692), INDEX($AY$56:$BE$65,,$AH692), 1 / ($BG$56:$BG$65*CS692 + (1-$BG$56:$BG$65)*CO692), N($AU$56:$AU$65&gt;$AM692))
) / 1000</f>
        <v>0</v>
      </c>
      <c r="CU692" s="231">
        <f t="shared" si="783"/>
        <v>20</v>
      </c>
      <c r="CV692" s="229">
        <f t="shared" si="768"/>
        <v>33</v>
      </c>
      <c r="CW692" s="234">
        <f t="shared" si="769"/>
        <v>4.8487499999999999</v>
      </c>
      <c r="CX692" s="234" cm="1">
        <f t="array" ref="CX692">$BM692 * IF($AH692&lt;=2,
SUMPRODUCT(INDEX($AV$61:$AX$65,,$AI692), INDEX($AY$61:$BE$65,,$AH692), 1 / ($BF$61:$BF$65*CW692 + (1-$BF$61:$BF$65)*CS692), N($AU$61:$AU$65&gt;$AM692)),
SUMPRODUCT(INDEX($AV$46:$AX$55,,$AI692), INDEX($AY$46:$BE$55,,$AH692), 1 / ($BG$46:$BG$55*CW692 + (1-$BG$46:$BG$55)*CS692), N($AU$46:$AU$55&gt;$AM692))
) / 1000</f>
        <v>0</v>
      </c>
      <c r="CY692" s="234" cm="1">
        <f t="array" ref="CY692">$BM692 * IF($AH692&lt;=2,
SUMPRODUCT(INDEX($AV$22:$AX$60,,$AI692), INDEX($AY$22:$BE$60,,$AH692), 1 / ($BF$22:$BF$60*CW692), N($AU$22:$AU$60&gt;$AM692)),
SUMPRODUCT(INDEX($AV$22:$AX$45,,$AI692), INDEX($AY$22:$BE$45,,$AH692), 1 / ($BG$22:$BG$45*CW692), N($AU$22:$AU$45&gt;$AM692))
) / 1000</f>
        <v>0</v>
      </c>
      <c r="CZ692" s="229">
        <f t="shared" si="770"/>
        <v>0</v>
      </c>
      <c r="DA692" s="246"/>
    </row>
    <row r="693" spans="1:105" s="75" customFormat="1" ht="14.25" customHeight="1" x14ac:dyDescent="0.2">
      <c r="A693" s="230" t="b">
        <f t="shared" si="775"/>
        <v>0</v>
      </c>
      <c r="B693" s="253">
        <v>672</v>
      </c>
      <c r="C693" s="266"/>
      <c r="D693" s="266"/>
      <c r="E693" s="254"/>
      <c r="F693" s="255" t="str">
        <f>IF(ISBLANK(E693), "", VLOOKUP(E693, Z!$A$2:$C$4127, 3, FALSE))</f>
        <v/>
      </c>
      <c r="G693" s="256"/>
      <c r="H693" s="256"/>
      <c r="I693" s="256"/>
      <c r="J693" s="257"/>
      <c r="K693" s="258"/>
      <c r="L693" s="267"/>
      <c r="M693" s="268"/>
      <c r="N693" s="259" t="str" cm="1">
        <f t="array" ref="N693">IF($L693&gt;0, INDEX(Clean,1+AK693,$D$1), "")</f>
        <v/>
      </c>
      <c r="O693" s="260"/>
      <c r="P693" s="260"/>
      <c r="Q693" s="261"/>
      <c r="R693" s="264">
        <f t="shared" si="746"/>
        <v>0</v>
      </c>
      <c r="S693" s="259" t="str" cm="1">
        <f t="array" ref="S693">IF($L693&gt;0, INDEX(Clean,1+AL693,$D$1), "")</f>
        <v/>
      </c>
      <c r="T693" s="260"/>
      <c r="U693" s="260"/>
      <c r="V693" s="261"/>
      <c r="W693" s="267"/>
      <c r="X693" s="267"/>
      <c r="Y693" s="257"/>
      <c r="Z693" s="264">
        <f t="shared" si="747"/>
        <v>0</v>
      </c>
      <c r="AA693" s="269"/>
      <c r="AB693" s="266"/>
      <c r="AC693" s="254"/>
      <c r="AD693" s="255" t="str">
        <f>IF(ISBLANK(AC693), "", VLOOKUP(AC693, Z!$A$2:$C$4127, 3, FALSE))</f>
        <v/>
      </c>
      <c r="AE693" s="270"/>
      <c r="AF693" s="265">
        <f t="shared" si="748"/>
        <v>0</v>
      </c>
      <c r="AG693" s="246"/>
      <c r="AH693" s="228">
        <f t="shared" si="771"/>
        <v>1</v>
      </c>
      <c r="AI693" s="228">
        <f t="shared" si="772"/>
        <v>1</v>
      </c>
      <c r="AJ693" s="228">
        <f t="shared" si="773"/>
        <v>0</v>
      </c>
      <c r="AK693" s="228">
        <v>0</v>
      </c>
      <c r="AL693" s="228">
        <v>0</v>
      </c>
      <c r="AM693" s="228">
        <f t="shared" si="749"/>
        <v>-100</v>
      </c>
      <c r="AN693" s="228" cm="1">
        <f t="array" ref="AN693">IF(ISBLANK(G693), 1, IFERROR(MATCH(G693, INDEX(Kat,,1), 0), IFERROR(MATCH(Kat, INDEX(Use,,2), 0), MATCH(Kat, INDEX(Use,,3), 0))))</f>
        <v>1</v>
      </c>
      <c r="AO693" s="246"/>
      <c r="AP693" s="228" cm="1">
        <f t="array" ref="AP693">IF(W693&gt;0, INDEX(Kat, AN693,4), 0)</f>
        <v>0</v>
      </c>
      <c r="AQ693" s="228">
        <f t="shared" si="774"/>
        <v>0</v>
      </c>
      <c r="AR693" s="228" cm="1">
        <f t="array" ref="AR693">IF(X693&gt;0, INDEX(Kat, $AN693, 4+AQ693), 0)</f>
        <v>0</v>
      </c>
      <c r="AS693" s="228" cm="1">
        <f t="array" ref="AS693">IF(X693&gt;0, INDEX(Kat, $AN693, 9+AQ693), 0)</f>
        <v>0</v>
      </c>
      <c r="AT693" s="246"/>
      <c r="AU693" s="262"/>
      <c r="AV693" s="262"/>
      <c r="AW693" s="263"/>
      <c r="AX693" s="263"/>
      <c r="AY693" s="263"/>
      <c r="AZ693" s="263"/>
      <c r="BA693" s="263"/>
      <c r="BB693" s="263"/>
      <c r="BC693" s="263"/>
      <c r="BD693" s="263"/>
      <c r="BE693" s="263"/>
      <c r="BF693" s="263"/>
      <c r="BG693" s="263"/>
      <c r="BH693" s="246"/>
      <c r="BI693" s="228" cm="1">
        <f t="array" ref="BI693">INDEX(Use, $AH693, 4)</f>
        <v>7</v>
      </c>
      <c r="BJ693" s="228">
        <f t="shared" si="750"/>
        <v>32</v>
      </c>
      <c r="BK693" s="228">
        <f t="shared" si="776"/>
        <v>13</v>
      </c>
      <c r="BL693" s="228">
        <f t="shared" si="777"/>
        <v>0</v>
      </c>
      <c r="BM693" s="233" cm="1">
        <f t="array" ref="BM693">L693/IF($M693&gt;0, INDEX($AY$22:$BE$76, $M693+20, $AH693), 1)</f>
        <v>0</v>
      </c>
      <c r="BN693" s="229">
        <f t="shared" si="751"/>
        <v>0</v>
      </c>
      <c r="BO693" s="228">
        <v>35</v>
      </c>
      <c r="BP693" s="229">
        <f t="shared" si="752"/>
        <v>48</v>
      </c>
      <c r="BQ693" s="234">
        <f t="shared" si="753"/>
        <v>3.0748170731707316</v>
      </c>
      <c r="BR693" s="234" cm="1">
        <f t="array" ref="BR693">$BM693 * SUMPRODUCT(INDEX($AV$76:$AX$81,,$AI693),INDEX($AY$76:$BE$81,,$AH693), N($AU$76:$AU$81&gt;$AM693)) / BQ693 / 1000</f>
        <v>0</v>
      </c>
      <c r="BS693" s="231">
        <f t="shared" si="778"/>
        <v>30</v>
      </c>
      <c r="BT693" s="229">
        <f t="shared" si="754"/>
        <v>43</v>
      </c>
      <c r="BU693" s="234">
        <f t="shared" si="755"/>
        <v>3.5018750000000001</v>
      </c>
      <c r="BV693" s="234" cm="1">
        <f t="array" ref="BV693">$BM693 * IF($AH693&lt;=2,
SUMPRODUCT(INDEX($AV$71:$AX$75,,$AI693), INDEX($AY$71:$BE$75,,$AH693), 1 / ($BF$71:$BF$75*BU693 + (1-$BF$71:$BF$75)*BQ693), N($AU$71:$AU$75&gt;$AM693)),
SUMPRODUCT(INDEX($AV$66:$AX$75,,$AI693), INDEX($AY$66:$BE$75,,$AH693), 1 / ($BG$66:$BG$75*BU693 + (1-$BG$66:$BG$75)*BQ693), N($AU$66:$AU$75&gt;$AM693))
) / 1000</f>
        <v>0</v>
      </c>
      <c r="BW693" s="231">
        <f t="shared" si="779"/>
        <v>25</v>
      </c>
      <c r="BX693" s="229">
        <f t="shared" si="756"/>
        <v>38</v>
      </c>
      <c r="BY693" s="234">
        <f t="shared" si="757"/>
        <v>4.0666935483870965</v>
      </c>
      <c r="BZ693" s="234" cm="1">
        <f t="array" ref="BZ693">$BM693 * IF($AH693&lt;=2,
SUMPRODUCT(INDEX($AV$66:$AX$70,,$AI693), INDEX($AY$66:$BE$70,,$AH693), 1 / ($BF$66:$BF$70*BY693 + (1-$BF$66:$BF$70)*BU693), N($AU$66:$AU$70&gt;$AM693)),
SUMPRODUCT(INDEX($AV$56:$AX$65,,$AI693), INDEX($AY$56:$BE$65,,$AH693), 1 / ($BG$56:$BG$65*BY693 + (1-$BG$56:$BG$65)*BU693), N($AU$56:$AU$65&gt;$AM693))
) / 1000</f>
        <v>0</v>
      </c>
      <c r="CA693" s="231">
        <f t="shared" si="780"/>
        <v>20</v>
      </c>
      <c r="CB693" s="229">
        <f t="shared" si="758"/>
        <v>33</v>
      </c>
      <c r="CC693" s="234">
        <f t="shared" si="759"/>
        <v>4.8487499999999999</v>
      </c>
      <c r="CD693" s="234" cm="1">
        <f t="array" ref="CD693">$BM693 * IF($AH693&lt;=2,
SUMPRODUCT(INDEX($AV$61:$AX$65,,$AI693), INDEX($AY$61:$BE$65,,$AH693), 1 / ($BF$61:$BF$65*CC693 + (1-$BF$61:$BF$65)*BY693), N($AU$61:$AU$65&gt;$AM693)),
SUMPRODUCT(INDEX($AV$46:$AX$55,,$AI693), INDEX($AY$46:$BE$55,,$AH693), 1 / ($BG$46:$BG$55*CC693 + (1-$BG$46:$BG$55)*BY693), N($AU$46:$AU$55&gt;$AM693))
) / 1000</f>
        <v>0</v>
      </c>
      <c r="CE693" s="234" cm="1">
        <f t="array" ref="CE693">$BM693 * IF($AH693&lt;=2,
SUMPRODUCT(INDEX($AV$22:$AX$60,,$AI693), INDEX($AY$22:$BE$60,,$AH693), 1 / ($BF$22:$BF$60*CC693), N($AU$22:$AU$60&gt;$AM693)),
SUMPRODUCT(INDEX($AV$22:$AX$45,,$AI693), INDEX($AY$22:$BE$45,,$AH693), 1 / ($BG$22:$BG$45*CC693), N($AU$22:$AU$45&gt;$AM693))
) / 1000</f>
        <v>0</v>
      </c>
      <c r="CF693" s="229">
        <f t="shared" si="760"/>
        <v>0</v>
      </c>
      <c r="CG693" s="246"/>
      <c r="CH693" s="229">
        <f t="shared" si="761"/>
        <v>0</v>
      </c>
      <c r="CI693" s="228">
        <v>35</v>
      </c>
      <c r="CJ693" s="229">
        <f t="shared" si="762"/>
        <v>48</v>
      </c>
      <c r="CK693" s="234">
        <f t="shared" si="763"/>
        <v>3.0748170731707316</v>
      </c>
      <c r="CL693" s="234" cm="1">
        <f t="array" ref="CL693">$BM693 * SUMPRODUCT(INDEX($AV$76:$AX$81,,$AI693),INDEX($AY$76:$BE$81,,$AH693), N($AU$76:$AU$81&gt;$AM693)) / CK693 / 1000</f>
        <v>0</v>
      </c>
      <c r="CM693" s="231">
        <f t="shared" si="781"/>
        <v>30</v>
      </c>
      <c r="CN693" s="229">
        <f t="shared" si="764"/>
        <v>43</v>
      </c>
      <c r="CO693" s="234">
        <f t="shared" si="765"/>
        <v>3.5018750000000001</v>
      </c>
      <c r="CP693" s="234" cm="1">
        <f t="array" ref="CP693">$BM693 * IF($AH693&lt;=2,
SUMPRODUCT(INDEX($AV$71:$AX$75,,$AI693), INDEX($AY$71:$BE$75,,$AH693), 1 / ($BF$71:$BF$75*CO693 + (1-$BF$71:$BF$75)*CK693), N($AU$71:$AU$75&gt;$AM693)),
SUMPRODUCT(INDEX($AV$66:$AX$75,,$AI693), INDEX($AY$66:$BE$75,,$AH693), 1 / ($BG$66:$BG$75*CO693 + (1-$BG$66:$BG$75)*CK693), N($AU$66:$AU$75&gt;$AM693))
) / 1000</f>
        <v>0</v>
      </c>
      <c r="CQ693" s="231">
        <f t="shared" si="782"/>
        <v>25</v>
      </c>
      <c r="CR693" s="229">
        <f t="shared" si="766"/>
        <v>38</v>
      </c>
      <c r="CS693" s="234">
        <f t="shared" si="767"/>
        <v>4.0666935483870965</v>
      </c>
      <c r="CT693" s="234" cm="1">
        <f t="array" ref="CT693">$BM693 * IF($AH693&lt;=2,
SUMPRODUCT(INDEX($AV$66:$AX$70,,$AI693), INDEX($AY$66:$BE$70,,$AH693), 1 / ($BF$66:$BF$70*CS693 + (1-$BF$66:$BF$70)*CO693), N($AU$66:$AU$70&gt;$AM693)),
SUMPRODUCT(INDEX($AV$56:$AX$65,,$AI693), INDEX($AY$56:$BE$65,,$AH693), 1 / ($BG$56:$BG$65*CS693 + (1-$BG$56:$BG$65)*CO693), N($AU$56:$AU$65&gt;$AM693))
) / 1000</f>
        <v>0</v>
      </c>
      <c r="CU693" s="231">
        <f t="shared" si="783"/>
        <v>20</v>
      </c>
      <c r="CV693" s="229">
        <f t="shared" si="768"/>
        <v>33</v>
      </c>
      <c r="CW693" s="234">
        <f t="shared" si="769"/>
        <v>4.8487499999999999</v>
      </c>
      <c r="CX693" s="234" cm="1">
        <f t="array" ref="CX693">$BM693 * IF($AH693&lt;=2,
SUMPRODUCT(INDEX($AV$61:$AX$65,,$AI693), INDEX($AY$61:$BE$65,,$AH693), 1 / ($BF$61:$BF$65*CW693 + (1-$BF$61:$BF$65)*CS693), N($AU$61:$AU$65&gt;$AM693)),
SUMPRODUCT(INDEX($AV$46:$AX$55,,$AI693), INDEX($AY$46:$BE$55,,$AH693), 1 / ($BG$46:$BG$55*CW693 + (1-$BG$46:$BG$55)*CS693), N($AU$46:$AU$55&gt;$AM693))
) / 1000</f>
        <v>0</v>
      </c>
      <c r="CY693" s="234" cm="1">
        <f t="array" ref="CY693">$BM693 * IF($AH693&lt;=2,
SUMPRODUCT(INDEX($AV$22:$AX$60,,$AI693), INDEX($AY$22:$BE$60,,$AH693), 1 / ($BF$22:$BF$60*CW693), N($AU$22:$AU$60&gt;$AM693)),
SUMPRODUCT(INDEX($AV$22:$AX$45,,$AI693), INDEX($AY$22:$BE$45,,$AH693), 1 / ($BG$22:$BG$45*CW693), N($AU$22:$AU$45&gt;$AM693))
) / 1000</f>
        <v>0</v>
      </c>
      <c r="CZ693" s="229">
        <f t="shared" si="770"/>
        <v>0</v>
      </c>
      <c r="DA693" s="246"/>
    </row>
    <row r="694" spans="1:105" s="75" customFormat="1" ht="14.25" customHeight="1" x14ac:dyDescent="0.2">
      <c r="A694" s="230" t="b">
        <f t="shared" si="775"/>
        <v>0</v>
      </c>
      <c r="B694" s="253">
        <v>673</v>
      </c>
      <c r="C694" s="266"/>
      <c r="D694" s="266"/>
      <c r="E694" s="254"/>
      <c r="F694" s="255" t="str">
        <f>IF(ISBLANK(E694), "", VLOOKUP(E694, Z!$A$2:$C$4127, 3, FALSE))</f>
        <v/>
      </c>
      <c r="G694" s="256"/>
      <c r="H694" s="256"/>
      <c r="I694" s="256"/>
      <c r="J694" s="257"/>
      <c r="K694" s="258"/>
      <c r="L694" s="267"/>
      <c r="M694" s="268"/>
      <c r="N694" s="259" t="str" cm="1">
        <f t="array" ref="N694">IF($L694&gt;0, INDEX(Clean,1+AK694,$D$1), "")</f>
        <v/>
      </c>
      <c r="O694" s="260"/>
      <c r="P694" s="260"/>
      <c r="Q694" s="261"/>
      <c r="R694" s="264">
        <f t="shared" si="746"/>
        <v>0</v>
      </c>
      <c r="S694" s="259" t="str" cm="1">
        <f t="array" ref="S694">IF($L694&gt;0, INDEX(Clean,1+AL694,$D$1), "")</f>
        <v/>
      </c>
      <c r="T694" s="260"/>
      <c r="U694" s="260"/>
      <c r="V694" s="261"/>
      <c r="W694" s="267"/>
      <c r="X694" s="267"/>
      <c r="Y694" s="257"/>
      <c r="Z694" s="264">
        <f t="shared" si="747"/>
        <v>0</v>
      </c>
      <c r="AA694" s="269"/>
      <c r="AB694" s="266"/>
      <c r="AC694" s="254"/>
      <c r="AD694" s="255" t="str">
        <f>IF(ISBLANK(AC694), "", VLOOKUP(AC694, Z!$A$2:$C$4127, 3, FALSE))</f>
        <v/>
      </c>
      <c r="AE694" s="270"/>
      <c r="AF694" s="265">
        <f t="shared" si="748"/>
        <v>0</v>
      </c>
      <c r="AG694" s="246"/>
      <c r="AH694" s="228">
        <f t="shared" si="771"/>
        <v>1</v>
      </c>
      <c r="AI694" s="228">
        <f t="shared" si="772"/>
        <v>1</v>
      </c>
      <c r="AJ694" s="228">
        <f t="shared" si="773"/>
        <v>0</v>
      </c>
      <c r="AK694" s="228">
        <v>0</v>
      </c>
      <c r="AL694" s="228">
        <v>0</v>
      </c>
      <c r="AM694" s="228">
        <f t="shared" si="749"/>
        <v>-100</v>
      </c>
      <c r="AN694" s="228" cm="1">
        <f t="array" ref="AN694">IF(ISBLANK(G694), 1, IFERROR(MATCH(G694, INDEX(Kat,,1), 0), IFERROR(MATCH(Kat, INDEX(Use,,2), 0), MATCH(Kat, INDEX(Use,,3), 0))))</f>
        <v>1</v>
      </c>
      <c r="AO694" s="246"/>
      <c r="AP694" s="228" cm="1">
        <f t="array" ref="AP694">IF(W694&gt;0, INDEX(Kat, AN694,4), 0)</f>
        <v>0</v>
      </c>
      <c r="AQ694" s="228">
        <f t="shared" si="774"/>
        <v>0</v>
      </c>
      <c r="AR694" s="228" cm="1">
        <f t="array" ref="AR694">IF(X694&gt;0, INDEX(Kat, $AN694, 4+AQ694), 0)</f>
        <v>0</v>
      </c>
      <c r="AS694" s="228" cm="1">
        <f t="array" ref="AS694">IF(X694&gt;0, INDEX(Kat, $AN694, 9+AQ694), 0)</f>
        <v>0</v>
      </c>
      <c r="AT694" s="246"/>
      <c r="AU694" s="262"/>
      <c r="AV694" s="262"/>
      <c r="AW694" s="263"/>
      <c r="AX694" s="263"/>
      <c r="AY694" s="263"/>
      <c r="AZ694" s="263"/>
      <c r="BA694" s="263"/>
      <c r="BB694" s="263"/>
      <c r="BC694" s="263"/>
      <c r="BD694" s="263"/>
      <c r="BE694" s="263"/>
      <c r="BF694" s="263"/>
      <c r="BG694" s="263"/>
      <c r="BH694" s="246"/>
      <c r="BI694" s="228" cm="1">
        <f t="array" ref="BI694">INDEX(Use, $AH694, 4)</f>
        <v>7</v>
      </c>
      <c r="BJ694" s="228">
        <f t="shared" si="750"/>
        <v>32</v>
      </c>
      <c r="BK694" s="228">
        <f t="shared" si="776"/>
        <v>13</v>
      </c>
      <c r="BL694" s="228">
        <f t="shared" si="777"/>
        <v>0</v>
      </c>
      <c r="BM694" s="233" cm="1">
        <f t="array" ref="BM694">L694/IF($M694&gt;0, INDEX($AY$22:$BE$76, $M694+20, $AH694), 1)</f>
        <v>0</v>
      </c>
      <c r="BN694" s="229">
        <f t="shared" si="751"/>
        <v>0</v>
      </c>
      <c r="BO694" s="228">
        <v>35</v>
      </c>
      <c r="BP694" s="229">
        <f t="shared" si="752"/>
        <v>48</v>
      </c>
      <c r="BQ694" s="234">
        <f t="shared" si="753"/>
        <v>3.0748170731707316</v>
      </c>
      <c r="BR694" s="234" cm="1">
        <f t="array" ref="BR694">$BM694 * SUMPRODUCT(INDEX($AV$76:$AX$81,,$AI694),INDEX($AY$76:$BE$81,,$AH694), N($AU$76:$AU$81&gt;$AM694)) / BQ694 / 1000</f>
        <v>0</v>
      </c>
      <c r="BS694" s="231">
        <f t="shared" si="778"/>
        <v>30</v>
      </c>
      <c r="BT694" s="229">
        <f t="shared" si="754"/>
        <v>43</v>
      </c>
      <c r="BU694" s="234">
        <f t="shared" si="755"/>
        <v>3.5018750000000001</v>
      </c>
      <c r="BV694" s="234" cm="1">
        <f t="array" ref="BV694">$BM694 * IF($AH694&lt;=2,
SUMPRODUCT(INDEX($AV$71:$AX$75,,$AI694), INDEX($AY$71:$BE$75,,$AH694), 1 / ($BF$71:$BF$75*BU694 + (1-$BF$71:$BF$75)*BQ694), N($AU$71:$AU$75&gt;$AM694)),
SUMPRODUCT(INDEX($AV$66:$AX$75,,$AI694), INDEX($AY$66:$BE$75,,$AH694), 1 / ($BG$66:$BG$75*BU694 + (1-$BG$66:$BG$75)*BQ694), N($AU$66:$AU$75&gt;$AM694))
) / 1000</f>
        <v>0</v>
      </c>
      <c r="BW694" s="231">
        <f t="shared" si="779"/>
        <v>25</v>
      </c>
      <c r="BX694" s="229">
        <f t="shared" si="756"/>
        <v>38</v>
      </c>
      <c r="BY694" s="234">
        <f t="shared" si="757"/>
        <v>4.0666935483870965</v>
      </c>
      <c r="BZ694" s="234" cm="1">
        <f t="array" ref="BZ694">$BM694 * IF($AH694&lt;=2,
SUMPRODUCT(INDEX($AV$66:$AX$70,,$AI694), INDEX($AY$66:$BE$70,,$AH694), 1 / ($BF$66:$BF$70*BY694 + (1-$BF$66:$BF$70)*BU694), N($AU$66:$AU$70&gt;$AM694)),
SUMPRODUCT(INDEX($AV$56:$AX$65,,$AI694), INDEX($AY$56:$BE$65,,$AH694), 1 / ($BG$56:$BG$65*BY694 + (1-$BG$56:$BG$65)*BU694), N($AU$56:$AU$65&gt;$AM694))
) / 1000</f>
        <v>0</v>
      </c>
      <c r="CA694" s="231">
        <f t="shared" si="780"/>
        <v>20</v>
      </c>
      <c r="CB694" s="229">
        <f t="shared" si="758"/>
        <v>33</v>
      </c>
      <c r="CC694" s="234">
        <f t="shared" si="759"/>
        <v>4.8487499999999999</v>
      </c>
      <c r="CD694" s="234" cm="1">
        <f t="array" ref="CD694">$BM694 * IF($AH694&lt;=2,
SUMPRODUCT(INDEX($AV$61:$AX$65,,$AI694), INDEX($AY$61:$BE$65,,$AH694), 1 / ($BF$61:$BF$65*CC694 + (1-$BF$61:$BF$65)*BY694), N($AU$61:$AU$65&gt;$AM694)),
SUMPRODUCT(INDEX($AV$46:$AX$55,,$AI694), INDEX($AY$46:$BE$55,,$AH694), 1 / ($BG$46:$BG$55*CC694 + (1-$BG$46:$BG$55)*BY694), N($AU$46:$AU$55&gt;$AM694))
) / 1000</f>
        <v>0</v>
      </c>
      <c r="CE694" s="234" cm="1">
        <f t="array" ref="CE694">$BM694 * IF($AH694&lt;=2,
SUMPRODUCT(INDEX($AV$22:$AX$60,,$AI694), INDEX($AY$22:$BE$60,,$AH694), 1 / ($BF$22:$BF$60*CC694), N($AU$22:$AU$60&gt;$AM694)),
SUMPRODUCT(INDEX($AV$22:$AX$45,,$AI694), INDEX($AY$22:$BE$45,,$AH694), 1 / ($BG$22:$BG$45*CC694), N($AU$22:$AU$45&gt;$AM694))
) / 1000</f>
        <v>0</v>
      </c>
      <c r="CF694" s="229">
        <f t="shared" si="760"/>
        <v>0</v>
      </c>
      <c r="CG694" s="246"/>
      <c r="CH694" s="229">
        <f t="shared" si="761"/>
        <v>0</v>
      </c>
      <c r="CI694" s="228">
        <v>35</v>
      </c>
      <c r="CJ694" s="229">
        <f t="shared" si="762"/>
        <v>48</v>
      </c>
      <c r="CK694" s="234">
        <f t="shared" si="763"/>
        <v>3.0748170731707316</v>
      </c>
      <c r="CL694" s="234" cm="1">
        <f t="array" ref="CL694">$BM694 * SUMPRODUCT(INDEX($AV$76:$AX$81,,$AI694),INDEX($AY$76:$BE$81,,$AH694), N($AU$76:$AU$81&gt;$AM694)) / CK694 / 1000</f>
        <v>0</v>
      </c>
      <c r="CM694" s="231">
        <f t="shared" si="781"/>
        <v>30</v>
      </c>
      <c r="CN694" s="229">
        <f t="shared" si="764"/>
        <v>43</v>
      </c>
      <c r="CO694" s="234">
        <f t="shared" si="765"/>
        <v>3.5018750000000001</v>
      </c>
      <c r="CP694" s="234" cm="1">
        <f t="array" ref="CP694">$BM694 * IF($AH694&lt;=2,
SUMPRODUCT(INDEX($AV$71:$AX$75,,$AI694), INDEX($AY$71:$BE$75,,$AH694), 1 / ($BF$71:$BF$75*CO694 + (1-$BF$71:$BF$75)*CK694), N($AU$71:$AU$75&gt;$AM694)),
SUMPRODUCT(INDEX($AV$66:$AX$75,,$AI694), INDEX($AY$66:$BE$75,,$AH694), 1 / ($BG$66:$BG$75*CO694 + (1-$BG$66:$BG$75)*CK694), N($AU$66:$AU$75&gt;$AM694))
) / 1000</f>
        <v>0</v>
      </c>
      <c r="CQ694" s="231">
        <f t="shared" si="782"/>
        <v>25</v>
      </c>
      <c r="CR694" s="229">
        <f t="shared" si="766"/>
        <v>38</v>
      </c>
      <c r="CS694" s="234">
        <f t="shared" si="767"/>
        <v>4.0666935483870965</v>
      </c>
      <c r="CT694" s="234" cm="1">
        <f t="array" ref="CT694">$BM694 * IF($AH694&lt;=2,
SUMPRODUCT(INDEX($AV$66:$AX$70,,$AI694), INDEX($AY$66:$BE$70,,$AH694), 1 / ($BF$66:$BF$70*CS694 + (1-$BF$66:$BF$70)*CO694), N($AU$66:$AU$70&gt;$AM694)),
SUMPRODUCT(INDEX($AV$56:$AX$65,,$AI694), INDEX($AY$56:$BE$65,,$AH694), 1 / ($BG$56:$BG$65*CS694 + (1-$BG$56:$BG$65)*CO694), N($AU$56:$AU$65&gt;$AM694))
) / 1000</f>
        <v>0</v>
      </c>
      <c r="CU694" s="231">
        <f t="shared" si="783"/>
        <v>20</v>
      </c>
      <c r="CV694" s="229">
        <f t="shared" si="768"/>
        <v>33</v>
      </c>
      <c r="CW694" s="234">
        <f t="shared" si="769"/>
        <v>4.8487499999999999</v>
      </c>
      <c r="CX694" s="234" cm="1">
        <f t="array" ref="CX694">$BM694 * IF($AH694&lt;=2,
SUMPRODUCT(INDEX($AV$61:$AX$65,,$AI694), INDEX($AY$61:$BE$65,,$AH694), 1 / ($BF$61:$BF$65*CW694 + (1-$BF$61:$BF$65)*CS694), N($AU$61:$AU$65&gt;$AM694)),
SUMPRODUCT(INDEX($AV$46:$AX$55,,$AI694), INDEX($AY$46:$BE$55,,$AH694), 1 / ($BG$46:$BG$55*CW694 + (1-$BG$46:$BG$55)*CS694), N($AU$46:$AU$55&gt;$AM694))
) / 1000</f>
        <v>0</v>
      </c>
      <c r="CY694" s="234" cm="1">
        <f t="array" ref="CY694">$BM694 * IF($AH694&lt;=2,
SUMPRODUCT(INDEX($AV$22:$AX$60,,$AI694), INDEX($AY$22:$BE$60,,$AH694), 1 / ($BF$22:$BF$60*CW694), N($AU$22:$AU$60&gt;$AM694)),
SUMPRODUCT(INDEX($AV$22:$AX$45,,$AI694), INDEX($AY$22:$BE$45,,$AH694), 1 / ($BG$22:$BG$45*CW694), N($AU$22:$AU$45&gt;$AM694))
) / 1000</f>
        <v>0</v>
      </c>
      <c r="CZ694" s="229">
        <f t="shared" si="770"/>
        <v>0</v>
      </c>
      <c r="DA694" s="246"/>
    </row>
    <row r="695" spans="1:105" s="75" customFormat="1" ht="14.25" customHeight="1" x14ac:dyDescent="0.2">
      <c r="A695" s="230" t="b">
        <f t="shared" si="775"/>
        <v>0</v>
      </c>
      <c r="B695" s="253">
        <v>674</v>
      </c>
      <c r="C695" s="266"/>
      <c r="D695" s="266"/>
      <c r="E695" s="254"/>
      <c r="F695" s="255" t="str">
        <f>IF(ISBLANK(E695), "", VLOOKUP(E695, Z!$A$2:$C$4127, 3, FALSE))</f>
        <v/>
      </c>
      <c r="G695" s="256"/>
      <c r="H695" s="256"/>
      <c r="I695" s="256"/>
      <c r="J695" s="257"/>
      <c r="K695" s="258"/>
      <c r="L695" s="267"/>
      <c r="M695" s="268"/>
      <c r="N695" s="259" t="str" cm="1">
        <f t="array" ref="N695">IF($L695&gt;0, INDEX(Clean,1+AK695,$D$1), "")</f>
        <v/>
      </c>
      <c r="O695" s="260"/>
      <c r="P695" s="260"/>
      <c r="Q695" s="261"/>
      <c r="R695" s="264">
        <f t="shared" si="746"/>
        <v>0</v>
      </c>
      <c r="S695" s="259" t="str" cm="1">
        <f t="array" ref="S695">IF($L695&gt;0, INDEX(Clean,1+AL695,$D$1), "")</f>
        <v/>
      </c>
      <c r="T695" s="260"/>
      <c r="U695" s="260"/>
      <c r="V695" s="261"/>
      <c r="W695" s="267"/>
      <c r="X695" s="267"/>
      <c r="Y695" s="257"/>
      <c r="Z695" s="264">
        <f t="shared" si="747"/>
        <v>0</v>
      </c>
      <c r="AA695" s="269"/>
      <c r="AB695" s="266"/>
      <c r="AC695" s="254"/>
      <c r="AD695" s="255" t="str">
        <f>IF(ISBLANK(AC695), "", VLOOKUP(AC695, Z!$A$2:$C$4127, 3, FALSE))</f>
        <v/>
      </c>
      <c r="AE695" s="270"/>
      <c r="AF695" s="265">
        <f t="shared" si="748"/>
        <v>0</v>
      </c>
      <c r="AG695" s="246"/>
      <c r="AH695" s="228">
        <f t="shared" si="771"/>
        <v>1</v>
      </c>
      <c r="AI695" s="228">
        <f t="shared" si="772"/>
        <v>1</v>
      </c>
      <c r="AJ695" s="228">
        <f t="shared" si="773"/>
        <v>0</v>
      </c>
      <c r="AK695" s="228">
        <v>0</v>
      </c>
      <c r="AL695" s="228">
        <v>0</v>
      </c>
      <c r="AM695" s="228">
        <f t="shared" si="749"/>
        <v>-100</v>
      </c>
      <c r="AN695" s="228" cm="1">
        <f t="array" ref="AN695">IF(ISBLANK(G695), 1, IFERROR(MATCH(G695, INDEX(Kat,,1), 0), IFERROR(MATCH(Kat, INDEX(Use,,2), 0), MATCH(Kat, INDEX(Use,,3), 0))))</f>
        <v>1</v>
      </c>
      <c r="AO695" s="246"/>
      <c r="AP695" s="228" cm="1">
        <f t="array" ref="AP695">IF(W695&gt;0, INDEX(Kat, AN695,4), 0)</f>
        <v>0</v>
      </c>
      <c r="AQ695" s="228">
        <f t="shared" si="774"/>
        <v>0</v>
      </c>
      <c r="AR695" s="228" cm="1">
        <f t="array" ref="AR695">IF(X695&gt;0, INDEX(Kat, $AN695, 4+AQ695), 0)</f>
        <v>0</v>
      </c>
      <c r="AS695" s="228" cm="1">
        <f t="array" ref="AS695">IF(X695&gt;0, INDEX(Kat, $AN695, 9+AQ695), 0)</f>
        <v>0</v>
      </c>
      <c r="AT695" s="246"/>
      <c r="AU695" s="262"/>
      <c r="AV695" s="262"/>
      <c r="AW695" s="263"/>
      <c r="AX695" s="263"/>
      <c r="AY695" s="263"/>
      <c r="AZ695" s="263"/>
      <c r="BA695" s="263"/>
      <c r="BB695" s="263"/>
      <c r="BC695" s="263"/>
      <c r="BD695" s="263"/>
      <c r="BE695" s="263"/>
      <c r="BF695" s="263"/>
      <c r="BG695" s="263"/>
      <c r="BH695" s="246"/>
      <c r="BI695" s="228" cm="1">
        <f t="array" ref="BI695">INDEX(Use, $AH695, 4)</f>
        <v>7</v>
      </c>
      <c r="BJ695" s="228">
        <f t="shared" si="750"/>
        <v>32</v>
      </c>
      <c r="BK695" s="228">
        <f t="shared" si="776"/>
        <v>13</v>
      </c>
      <c r="BL695" s="228">
        <f t="shared" si="777"/>
        <v>0</v>
      </c>
      <c r="BM695" s="233" cm="1">
        <f t="array" ref="BM695">L695/IF($M695&gt;0, INDEX($AY$22:$BE$76, $M695+20, $AH695), 1)</f>
        <v>0</v>
      </c>
      <c r="BN695" s="229">
        <f t="shared" si="751"/>
        <v>0</v>
      </c>
      <c r="BO695" s="228">
        <v>35</v>
      </c>
      <c r="BP695" s="229">
        <f t="shared" si="752"/>
        <v>48</v>
      </c>
      <c r="BQ695" s="234">
        <f t="shared" si="753"/>
        <v>3.0748170731707316</v>
      </c>
      <c r="BR695" s="234" cm="1">
        <f t="array" ref="BR695">$BM695 * SUMPRODUCT(INDEX($AV$76:$AX$81,,$AI695),INDEX($AY$76:$BE$81,,$AH695), N($AU$76:$AU$81&gt;$AM695)) / BQ695 / 1000</f>
        <v>0</v>
      </c>
      <c r="BS695" s="231">
        <f t="shared" si="778"/>
        <v>30</v>
      </c>
      <c r="BT695" s="229">
        <f t="shared" si="754"/>
        <v>43</v>
      </c>
      <c r="BU695" s="234">
        <f t="shared" si="755"/>
        <v>3.5018750000000001</v>
      </c>
      <c r="BV695" s="234" cm="1">
        <f t="array" ref="BV695">$BM695 * IF($AH695&lt;=2,
SUMPRODUCT(INDEX($AV$71:$AX$75,,$AI695), INDEX($AY$71:$BE$75,,$AH695), 1 / ($BF$71:$BF$75*BU695 + (1-$BF$71:$BF$75)*BQ695), N($AU$71:$AU$75&gt;$AM695)),
SUMPRODUCT(INDEX($AV$66:$AX$75,,$AI695), INDEX($AY$66:$BE$75,,$AH695), 1 / ($BG$66:$BG$75*BU695 + (1-$BG$66:$BG$75)*BQ695), N($AU$66:$AU$75&gt;$AM695))
) / 1000</f>
        <v>0</v>
      </c>
      <c r="BW695" s="231">
        <f t="shared" si="779"/>
        <v>25</v>
      </c>
      <c r="BX695" s="229">
        <f t="shared" si="756"/>
        <v>38</v>
      </c>
      <c r="BY695" s="234">
        <f t="shared" si="757"/>
        <v>4.0666935483870965</v>
      </c>
      <c r="BZ695" s="234" cm="1">
        <f t="array" ref="BZ695">$BM695 * IF($AH695&lt;=2,
SUMPRODUCT(INDEX($AV$66:$AX$70,,$AI695), INDEX($AY$66:$BE$70,,$AH695), 1 / ($BF$66:$BF$70*BY695 + (1-$BF$66:$BF$70)*BU695), N($AU$66:$AU$70&gt;$AM695)),
SUMPRODUCT(INDEX($AV$56:$AX$65,,$AI695), INDEX($AY$56:$BE$65,,$AH695), 1 / ($BG$56:$BG$65*BY695 + (1-$BG$56:$BG$65)*BU695), N($AU$56:$AU$65&gt;$AM695))
) / 1000</f>
        <v>0</v>
      </c>
      <c r="CA695" s="231">
        <f t="shared" si="780"/>
        <v>20</v>
      </c>
      <c r="CB695" s="229">
        <f t="shared" si="758"/>
        <v>33</v>
      </c>
      <c r="CC695" s="234">
        <f t="shared" si="759"/>
        <v>4.8487499999999999</v>
      </c>
      <c r="CD695" s="234" cm="1">
        <f t="array" ref="CD695">$BM695 * IF($AH695&lt;=2,
SUMPRODUCT(INDEX($AV$61:$AX$65,,$AI695), INDEX($AY$61:$BE$65,,$AH695), 1 / ($BF$61:$BF$65*CC695 + (1-$BF$61:$BF$65)*BY695), N($AU$61:$AU$65&gt;$AM695)),
SUMPRODUCT(INDEX($AV$46:$AX$55,,$AI695), INDEX($AY$46:$BE$55,,$AH695), 1 / ($BG$46:$BG$55*CC695 + (1-$BG$46:$BG$55)*BY695), N($AU$46:$AU$55&gt;$AM695))
) / 1000</f>
        <v>0</v>
      </c>
      <c r="CE695" s="234" cm="1">
        <f t="array" ref="CE695">$BM695 * IF($AH695&lt;=2,
SUMPRODUCT(INDEX($AV$22:$AX$60,,$AI695), INDEX($AY$22:$BE$60,,$AH695), 1 / ($BF$22:$BF$60*CC695), N($AU$22:$AU$60&gt;$AM695)),
SUMPRODUCT(INDEX($AV$22:$AX$45,,$AI695), INDEX($AY$22:$BE$45,,$AH695), 1 / ($BG$22:$BG$45*CC695), N($AU$22:$AU$45&gt;$AM695))
) / 1000</f>
        <v>0</v>
      </c>
      <c r="CF695" s="229">
        <f t="shared" si="760"/>
        <v>0</v>
      </c>
      <c r="CG695" s="246"/>
      <c r="CH695" s="229">
        <f t="shared" si="761"/>
        <v>0</v>
      </c>
      <c r="CI695" s="228">
        <v>35</v>
      </c>
      <c r="CJ695" s="229">
        <f t="shared" si="762"/>
        <v>48</v>
      </c>
      <c r="CK695" s="234">
        <f t="shared" si="763"/>
        <v>3.0748170731707316</v>
      </c>
      <c r="CL695" s="234" cm="1">
        <f t="array" ref="CL695">$BM695 * SUMPRODUCT(INDEX($AV$76:$AX$81,,$AI695),INDEX($AY$76:$BE$81,,$AH695), N($AU$76:$AU$81&gt;$AM695)) / CK695 / 1000</f>
        <v>0</v>
      </c>
      <c r="CM695" s="231">
        <f t="shared" si="781"/>
        <v>30</v>
      </c>
      <c r="CN695" s="229">
        <f t="shared" si="764"/>
        <v>43</v>
      </c>
      <c r="CO695" s="234">
        <f t="shared" si="765"/>
        <v>3.5018750000000001</v>
      </c>
      <c r="CP695" s="234" cm="1">
        <f t="array" ref="CP695">$BM695 * IF($AH695&lt;=2,
SUMPRODUCT(INDEX($AV$71:$AX$75,,$AI695), INDEX($AY$71:$BE$75,,$AH695), 1 / ($BF$71:$BF$75*CO695 + (1-$BF$71:$BF$75)*CK695), N($AU$71:$AU$75&gt;$AM695)),
SUMPRODUCT(INDEX($AV$66:$AX$75,,$AI695), INDEX($AY$66:$BE$75,,$AH695), 1 / ($BG$66:$BG$75*CO695 + (1-$BG$66:$BG$75)*CK695), N($AU$66:$AU$75&gt;$AM695))
) / 1000</f>
        <v>0</v>
      </c>
      <c r="CQ695" s="231">
        <f t="shared" si="782"/>
        <v>25</v>
      </c>
      <c r="CR695" s="229">
        <f t="shared" si="766"/>
        <v>38</v>
      </c>
      <c r="CS695" s="234">
        <f t="shared" si="767"/>
        <v>4.0666935483870965</v>
      </c>
      <c r="CT695" s="234" cm="1">
        <f t="array" ref="CT695">$BM695 * IF($AH695&lt;=2,
SUMPRODUCT(INDEX($AV$66:$AX$70,,$AI695), INDEX($AY$66:$BE$70,,$AH695), 1 / ($BF$66:$BF$70*CS695 + (1-$BF$66:$BF$70)*CO695), N($AU$66:$AU$70&gt;$AM695)),
SUMPRODUCT(INDEX($AV$56:$AX$65,,$AI695), INDEX($AY$56:$BE$65,,$AH695), 1 / ($BG$56:$BG$65*CS695 + (1-$BG$56:$BG$65)*CO695), N($AU$56:$AU$65&gt;$AM695))
) / 1000</f>
        <v>0</v>
      </c>
      <c r="CU695" s="231">
        <f t="shared" si="783"/>
        <v>20</v>
      </c>
      <c r="CV695" s="229">
        <f t="shared" si="768"/>
        <v>33</v>
      </c>
      <c r="CW695" s="234">
        <f t="shared" si="769"/>
        <v>4.8487499999999999</v>
      </c>
      <c r="CX695" s="234" cm="1">
        <f t="array" ref="CX695">$BM695 * IF($AH695&lt;=2,
SUMPRODUCT(INDEX($AV$61:$AX$65,,$AI695), INDEX($AY$61:$BE$65,,$AH695), 1 / ($BF$61:$BF$65*CW695 + (1-$BF$61:$BF$65)*CS695), N($AU$61:$AU$65&gt;$AM695)),
SUMPRODUCT(INDEX($AV$46:$AX$55,,$AI695), INDEX($AY$46:$BE$55,,$AH695), 1 / ($BG$46:$BG$55*CW695 + (1-$BG$46:$BG$55)*CS695), N($AU$46:$AU$55&gt;$AM695))
) / 1000</f>
        <v>0</v>
      </c>
      <c r="CY695" s="234" cm="1">
        <f t="array" ref="CY695">$BM695 * IF($AH695&lt;=2,
SUMPRODUCT(INDEX($AV$22:$AX$60,,$AI695), INDEX($AY$22:$BE$60,,$AH695), 1 / ($BF$22:$BF$60*CW695), N($AU$22:$AU$60&gt;$AM695)),
SUMPRODUCT(INDEX($AV$22:$AX$45,,$AI695), INDEX($AY$22:$BE$45,,$AH695), 1 / ($BG$22:$BG$45*CW695), N($AU$22:$AU$45&gt;$AM695))
) / 1000</f>
        <v>0</v>
      </c>
      <c r="CZ695" s="229">
        <f t="shared" si="770"/>
        <v>0</v>
      </c>
      <c r="DA695" s="246"/>
    </row>
    <row r="696" spans="1:105" s="75" customFormat="1" ht="14.25" customHeight="1" x14ac:dyDescent="0.2">
      <c r="A696" s="230" t="b">
        <f t="shared" si="775"/>
        <v>0</v>
      </c>
      <c r="B696" s="253">
        <v>675</v>
      </c>
      <c r="C696" s="266"/>
      <c r="D696" s="266"/>
      <c r="E696" s="254"/>
      <c r="F696" s="255" t="str">
        <f>IF(ISBLANK(E696), "", VLOOKUP(E696, Z!$A$2:$C$4127, 3, FALSE))</f>
        <v/>
      </c>
      <c r="G696" s="256"/>
      <c r="H696" s="256"/>
      <c r="I696" s="256"/>
      <c r="J696" s="257"/>
      <c r="K696" s="258"/>
      <c r="L696" s="267"/>
      <c r="M696" s="268"/>
      <c r="N696" s="259" t="str" cm="1">
        <f t="array" ref="N696">IF($L696&gt;0, INDEX(Clean,1+AK696,$D$1), "")</f>
        <v/>
      </c>
      <c r="O696" s="260"/>
      <c r="P696" s="260"/>
      <c r="Q696" s="261"/>
      <c r="R696" s="264">
        <f t="shared" si="746"/>
        <v>0</v>
      </c>
      <c r="S696" s="259" t="str" cm="1">
        <f t="array" ref="S696">IF($L696&gt;0, INDEX(Clean,1+AL696,$D$1), "")</f>
        <v/>
      </c>
      <c r="T696" s="260"/>
      <c r="U696" s="260"/>
      <c r="V696" s="261"/>
      <c r="W696" s="267"/>
      <c r="X696" s="267"/>
      <c r="Y696" s="257"/>
      <c r="Z696" s="264">
        <f t="shared" si="747"/>
        <v>0</v>
      </c>
      <c r="AA696" s="269"/>
      <c r="AB696" s="266"/>
      <c r="AC696" s="254"/>
      <c r="AD696" s="255" t="str">
        <f>IF(ISBLANK(AC696), "", VLOOKUP(AC696, Z!$A$2:$C$4127, 3, FALSE))</f>
        <v/>
      </c>
      <c r="AE696" s="270"/>
      <c r="AF696" s="265">
        <f t="shared" si="748"/>
        <v>0</v>
      </c>
      <c r="AG696" s="246"/>
      <c r="AH696" s="228">
        <f t="shared" si="771"/>
        <v>1</v>
      </c>
      <c r="AI696" s="228">
        <f t="shared" si="772"/>
        <v>1</v>
      </c>
      <c r="AJ696" s="228">
        <f t="shared" si="773"/>
        <v>0</v>
      </c>
      <c r="AK696" s="228">
        <v>0</v>
      </c>
      <c r="AL696" s="228">
        <v>0</v>
      </c>
      <c r="AM696" s="228">
        <f t="shared" si="749"/>
        <v>-100</v>
      </c>
      <c r="AN696" s="228" cm="1">
        <f t="array" ref="AN696">IF(ISBLANK(G696), 1, IFERROR(MATCH(G696, INDEX(Kat,,1), 0), IFERROR(MATCH(Kat, INDEX(Use,,2), 0), MATCH(Kat, INDEX(Use,,3), 0))))</f>
        <v>1</v>
      </c>
      <c r="AO696" s="246"/>
      <c r="AP696" s="228" cm="1">
        <f t="array" ref="AP696">IF(W696&gt;0, INDEX(Kat, AN696,4), 0)</f>
        <v>0</v>
      </c>
      <c r="AQ696" s="228">
        <f t="shared" si="774"/>
        <v>0</v>
      </c>
      <c r="AR696" s="228" cm="1">
        <f t="array" ref="AR696">IF(X696&gt;0, INDEX(Kat, $AN696, 4+AQ696), 0)</f>
        <v>0</v>
      </c>
      <c r="AS696" s="228" cm="1">
        <f t="array" ref="AS696">IF(X696&gt;0, INDEX(Kat, $AN696, 9+AQ696), 0)</f>
        <v>0</v>
      </c>
      <c r="AT696" s="246"/>
      <c r="AU696" s="262"/>
      <c r="AV696" s="262"/>
      <c r="AW696" s="263"/>
      <c r="AX696" s="263"/>
      <c r="AY696" s="263"/>
      <c r="AZ696" s="263"/>
      <c r="BA696" s="263"/>
      <c r="BB696" s="263"/>
      <c r="BC696" s="263"/>
      <c r="BD696" s="263"/>
      <c r="BE696" s="263"/>
      <c r="BF696" s="263"/>
      <c r="BG696" s="263"/>
      <c r="BH696" s="246"/>
      <c r="BI696" s="228" cm="1">
        <f t="array" ref="BI696">INDEX(Use, $AH696, 4)</f>
        <v>7</v>
      </c>
      <c r="BJ696" s="228">
        <f t="shared" si="750"/>
        <v>32</v>
      </c>
      <c r="BK696" s="228">
        <f t="shared" si="776"/>
        <v>13</v>
      </c>
      <c r="BL696" s="228">
        <f t="shared" si="777"/>
        <v>0</v>
      </c>
      <c r="BM696" s="233" cm="1">
        <f t="array" ref="BM696">L696/IF($M696&gt;0, INDEX($AY$22:$BE$76, $M696+20, $AH696), 1)</f>
        <v>0</v>
      </c>
      <c r="BN696" s="229">
        <f t="shared" si="751"/>
        <v>0</v>
      </c>
      <c r="BO696" s="228">
        <v>35</v>
      </c>
      <c r="BP696" s="229">
        <f t="shared" si="752"/>
        <v>48</v>
      </c>
      <c r="BQ696" s="234">
        <f t="shared" si="753"/>
        <v>3.0748170731707316</v>
      </c>
      <c r="BR696" s="234" cm="1">
        <f t="array" ref="BR696">$BM696 * SUMPRODUCT(INDEX($AV$76:$AX$81,,$AI696),INDEX($AY$76:$BE$81,,$AH696), N($AU$76:$AU$81&gt;$AM696)) / BQ696 / 1000</f>
        <v>0</v>
      </c>
      <c r="BS696" s="231">
        <f t="shared" si="778"/>
        <v>30</v>
      </c>
      <c r="BT696" s="229">
        <f t="shared" si="754"/>
        <v>43</v>
      </c>
      <c r="BU696" s="234">
        <f t="shared" si="755"/>
        <v>3.5018750000000001</v>
      </c>
      <c r="BV696" s="234" cm="1">
        <f t="array" ref="BV696">$BM696 * IF($AH696&lt;=2,
SUMPRODUCT(INDEX($AV$71:$AX$75,,$AI696), INDEX($AY$71:$BE$75,,$AH696), 1 / ($BF$71:$BF$75*BU696 + (1-$BF$71:$BF$75)*BQ696), N($AU$71:$AU$75&gt;$AM696)),
SUMPRODUCT(INDEX($AV$66:$AX$75,,$AI696), INDEX($AY$66:$BE$75,,$AH696), 1 / ($BG$66:$BG$75*BU696 + (1-$BG$66:$BG$75)*BQ696), N($AU$66:$AU$75&gt;$AM696))
) / 1000</f>
        <v>0</v>
      </c>
      <c r="BW696" s="231">
        <f t="shared" si="779"/>
        <v>25</v>
      </c>
      <c r="BX696" s="229">
        <f t="shared" si="756"/>
        <v>38</v>
      </c>
      <c r="BY696" s="234">
        <f t="shared" si="757"/>
        <v>4.0666935483870965</v>
      </c>
      <c r="BZ696" s="234" cm="1">
        <f t="array" ref="BZ696">$BM696 * IF($AH696&lt;=2,
SUMPRODUCT(INDEX($AV$66:$AX$70,,$AI696), INDEX($AY$66:$BE$70,,$AH696), 1 / ($BF$66:$BF$70*BY696 + (1-$BF$66:$BF$70)*BU696), N($AU$66:$AU$70&gt;$AM696)),
SUMPRODUCT(INDEX($AV$56:$AX$65,,$AI696), INDEX($AY$56:$BE$65,,$AH696), 1 / ($BG$56:$BG$65*BY696 + (1-$BG$56:$BG$65)*BU696), N($AU$56:$AU$65&gt;$AM696))
) / 1000</f>
        <v>0</v>
      </c>
      <c r="CA696" s="231">
        <f t="shared" si="780"/>
        <v>20</v>
      </c>
      <c r="CB696" s="229">
        <f t="shared" si="758"/>
        <v>33</v>
      </c>
      <c r="CC696" s="234">
        <f t="shared" si="759"/>
        <v>4.8487499999999999</v>
      </c>
      <c r="CD696" s="234" cm="1">
        <f t="array" ref="CD696">$BM696 * IF($AH696&lt;=2,
SUMPRODUCT(INDEX($AV$61:$AX$65,,$AI696), INDEX($AY$61:$BE$65,,$AH696), 1 / ($BF$61:$BF$65*CC696 + (1-$BF$61:$BF$65)*BY696), N($AU$61:$AU$65&gt;$AM696)),
SUMPRODUCT(INDEX($AV$46:$AX$55,,$AI696), INDEX($AY$46:$BE$55,,$AH696), 1 / ($BG$46:$BG$55*CC696 + (1-$BG$46:$BG$55)*BY696), N($AU$46:$AU$55&gt;$AM696))
) / 1000</f>
        <v>0</v>
      </c>
      <c r="CE696" s="234" cm="1">
        <f t="array" ref="CE696">$BM696 * IF($AH696&lt;=2,
SUMPRODUCT(INDEX($AV$22:$AX$60,,$AI696), INDEX($AY$22:$BE$60,,$AH696), 1 / ($BF$22:$BF$60*CC696), N($AU$22:$AU$60&gt;$AM696)),
SUMPRODUCT(INDEX($AV$22:$AX$45,,$AI696), INDEX($AY$22:$BE$45,,$AH696), 1 / ($BG$22:$BG$45*CC696), N($AU$22:$AU$45&gt;$AM696))
) / 1000</f>
        <v>0</v>
      </c>
      <c r="CF696" s="229">
        <f t="shared" si="760"/>
        <v>0</v>
      </c>
      <c r="CG696" s="246"/>
      <c r="CH696" s="229">
        <f t="shared" si="761"/>
        <v>0</v>
      </c>
      <c r="CI696" s="228">
        <v>35</v>
      </c>
      <c r="CJ696" s="229">
        <f t="shared" si="762"/>
        <v>48</v>
      </c>
      <c r="CK696" s="234">
        <f t="shared" si="763"/>
        <v>3.0748170731707316</v>
      </c>
      <c r="CL696" s="234" cm="1">
        <f t="array" ref="CL696">$BM696 * SUMPRODUCT(INDEX($AV$76:$AX$81,,$AI696),INDEX($AY$76:$BE$81,,$AH696), N($AU$76:$AU$81&gt;$AM696)) / CK696 / 1000</f>
        <v>0</v>
      </c>
      <c r="CM696" s="231">
        <f t="shared" si="781"/>
        <v>30</v>
      </c>
      <c r="CN696" s="229">
        <f t="shared" si="764"/>
        <v>43</v>
      </c>
      <c r="CO696" s="234">
        <f t="shared" si="765"/>
        <v>3.5018750000000001</v>
      </c>
      <c r="CP696" s="234" cm="1">
        <f t="array" ref="CP696">$BM696 * IF($AH696&lt;=2,
SUMPRODUCT(INDEX($AV$71:$AX$75,,$AI696), INDEX($AY$71:$BE$75,,$AH696), 1 / ($BF$71:$BF$75*CO696 + (1-$BF$71:$BF$75)*CK696), N($AU$71:$AU$75&gt;$AM696)),
SUMPRODUCT(INDEX($AV$66:$AX$75,,$AI696), INDEX($AY$66:$BE$75,,$AH696), 1 / ($BG$66:$BG$75*CO696 + (1-$BG$66:$BG$75)*CK696), N($AU$66:$AU$75&gt;$AM696))
) / 1000</f>
        <v>0</v>
      </c>
      <c r="CQ696" s="231">
        <f t="shared" si="782"/>
        <v>25</v>
      </c>
      <c r="CR696" s="229">
        <f t="shared" si="766"/>
        <v>38</v>
      </c>
      <c r="CS696" s="234">
        <f t="shared" si="767"/>
        <v>4.0666935483870965</v>
      </c>
      <c r="CT696" s="234" cm="1">
        <f t="array" ref="CT696">$BM696 * IF($AH696&lt;=2,
SUMPRODUCT(INDEX($AV$66:$AX$70,,$AI696), INDEX($AY$66:$BE$70,,$AH696), 1 / ($BF$66:$BF$70*CS696 + (1-$BF$66:$BF$70)*CO696), N($AU$66:$AU$70&gt;$AM696)),
SUMPRODUCT(INDEX($AV$56:$AX$65,,$AI696), INDEX($AY$56:$BE$65,,$AH696), 1 / ($BG$56:$BG$65*CS696 + (1-$BG$56:$BG$65)*CO696), N($AU$56:$AU$65&gt;$AM696))
) / 1000</f>
        <v>0</v>
      </c>
      <c r="CU696" s="231">
        <f t="shared" si="783"/>
        <v>20</v>
      </c>
      <c r="CV696" s="229">
        <f t="shared" si="768"/>
        <v>33</v>
      </c>
      <c r="CW696" s="234">
        <f t="shared" si="769"/>
        <v>4.8487499999999999</v>
      </c>
      <c r="CX696" s="234" cm="1">
        <f t="array" ref="CX696">$BM696 * IF($AH696&lt;=2,
SUMPRODUCT(INDEX($AV$61:$AX$65,,$AI696), INDEX($AY$61:$BE$65,,$AH696), 1 / ($BF$61:$BF$65*CW696 + (1-$BF$61:$BF$65)*CS696), N($AU$61:$AU$65&gt;$AM696)),
SUMPRODUCT(INDEX($AV$46:$AX$55,,$AI696), INDEX($AY$46:$BE$55,,$AH696), 1 / ($BG$46:$BG$55*CW696 + (1-$BG$46:$BG$55)*CS696), N($AU$46:$AU$55&gt;$AM696))
) / 1000</f>
        <v>0</v>
      </c>
      <c r="CY696" s="234" cm="1">
        <f t="array" ref="CY696">$BM696 * IF($AH696&lt;=2,
SUMPRODUCT(INDEX($AV$22:$AX$60,,$AI696), INDEX($AY$22:$BE$60,,$AH696), 1 / ($BF$22:$BF$60*CW696), N($AU$22:$AU$60&gt;$AM696)),
SUMPRODUCT(INDEX($AV$22:$AX$45,,$AI696), INDEX($AY$22:$BE$45,,$AH696), 1 / ($BG$22:$BG$45*CW696), N($AU$22:$AU$45&gt;$AM696))
) / 1000</f>
        <v>0</v>
      </c>
      <c r="CZ696" s="229">
        <f t="shared" si="770"/>
        <v>0</v>
      </c>
      <c r="DA696" s="246"/>
    </row>
    <row r="697" spans="1:105" s="75" customFormat="1" ht="14.25" customHeight="1" x14ac:dyDescent="0.2">
      <c r="A697" s="230" t="b">
        <f t="shared" si="775"/>
        <v>0</v>
      </c>
      <c r="B697" s="253">
        <v>676</v>
      </c>
      <c r="C697" s="266"/>
      <c r="D697" s="266"/>
      <c r="E697" s="254"/>
      <c r="F697" s="255" t="str">
        <f>IF(ISBLANK(E697), "", VLOOKUP(E697, Z!$A$2:$C$4127, 3, FALSE))</f>
        <v/>
      </c>
      <c r="G697" s="256"/>
      <c r="H697" s="256"/>
      <c r="I697" s="256"/>
      <c r="J697" s="257"/>
      <c r="K697" s="258"/>
      <c r="L697" s="267"/>
      <c r="M697" s="268"/>
      <c r="N697" s="259" t="str" cm="1">
        <f t="array" ref="N697">IF($L697&gt;0, INDEX(Clean,1+AK697,$D$1), "")</f>
        <v/>
      </c>
      <c r="O697" s="260"/>
      <c r="P697" s="260"/>
      <c r="Q697" s="261"/>
      <c r="R697" s="264">
        <f t="shared" si="746"/>
        <v>0</v>
      </c>
      <c r="S697" s="259" t="str" cm="1">
        <f t="array" ref="S697">IF($L697&gt;0, INDEX(Clean,1+AL697,$D$1), "")</f>
        <v/>
      </c>
      <c r="T697" s="260"/>
      <c r="U697" s="260"/>
      <c r="V697" s="261"/>
      <c r="W697" s="267"/>
      <c r="X697" s="267"/>
      <c r="Y697" s="257"/>
      <c r="Z697" s="264">
        <f t="shared" si="747"/>
        <v>0</v>
      </c>
      <c r="AA697" s="269"/>
      <c r="AB697" s="266"/>
      <c r="AC697" s="254"/>
      <c r="AD697" s="255" t="str">
        <f>IF(ISBLANK(AC697), "", VLOOKUP(AC697, Z!$A$2:$C$4127, 3, FALSE))</f>
        <v/>
      </c>
      <c r="AE697" s="270"/>
      <c r="AF697" s="265">
        <f t="shared" si="748"/>
        <v>0</v>
      </c>
      <c r="AG697" s="246"/>
      <c r="AH697" s="228">
        <f t="shared" si="771"/>
        <v>1</v>
      </c>
      <c r="AI697" s="228">
        <f t="shared" si="772"/>
        <v>1</v>
      </c>
      <c r="AJ697" s="228">
        <f t="shared" si="773"/>
        <v>0</v>
      </c>
      <c r="AK697" s="228">
        <v>0</v>
      </c>
      <c r="AL697" s="228">
        <v>0</v>
      </c>
      <c r="AM697" s="228">
        <f t="shared" si="749"/>
        <v>-100</v>
      </c>
      <c r="AN697" s="228" cm="1">
        <f t="array" ref="AN697">IF(ISBLANK(G697), 1, IFERROR(MATCH(G697, INDEX(Kat,,1), 0), IFERROR(MATCH(Kat, INDEX(Use,,2), 0), MATCH(Kat, INDEX(Use,,3), 0))))</f>
        <v>1</v>
      </c>
      <c r="AO697" s="246"/>
      <c r="AP697" s="228" cm="1">
        <f t="array" ref="AP697">IF(W697&gt;0, INDEX(Kat, AN697,4), 0)</f>
        <v>0</v>
      </c>
      <c r="AQ697" s="228">
        <f t="shared" si="774"/>
        <v>0</v>
      </c>
      <c r="AR697" s="228" cm="1">
        <f t="array" ref="AR697">IF(X697&gt;0, INDEX(Kat, $AN697, 4+AQ697), 0)</f>
        <v>0</v>
      </c>
      <c r="AS697" s="228" cm="1">
        <f t="array" ref="AS697">IF(X697&gt;0, INDEX(Kat, $AN697, 9+AQ697), 0)</f>
        <v>0</v>
      </c>
      <c r="AT697" s="246"/>
      <c r="AU697" s="262"/>
      <c r="AV697" s="262"/>
      <c r="AW697" s="263"/>
      <c r="AX697" s="263"/>
      <c r="AY697" s="263"/>
      <c r="AZ697" s="263"/>
      <c r="BA697" s="263"/>
      <c r="BB697" s="263"/>
      <c r="BC697" s="263"/>
      <c r="BD697" s="263"/>
      <c r="BE697" s="263"/>
      <c r="BF697" s="263"/>
      <c r="BG697" s="263"/>
      <c r="BH697" s="246"/>
      <c r="BI697" s="228" cm="1">
        <f t="array" ref="BI697">INDEX(Use, $AH697, 4)</f>
        <v>7</v>
      </c>
      <c r="BJ697" s="228">
        <f t="shared" si="750"/>
        <v>32</v>
      </c>
      <c r="BK697" s="228">
        <f t="shared" si="776"/>
        <v>13</v>
      </c>
      <c r="BL697" s="228">
        <f t="shared" si="777"/>
        <v>0</v>
      </c>
      <c r="BM697" s="233" cm="1">
        <f t="array" ref="BM697">L697/IF($M697&gt;0, INDEX($AY$22:$BE$76, $M697+20, $AH697), 1)</f>
        <v>0</v>
      </c>
      <c r="BN697" s="229">
        <f t="shared" si="751"/>
        <v>0</v>
      </c>
      <c r="BO697" s="228">
        <v>35</v>
      </c>
      <c r="BP697" s="229">
        <f t="shared" si="752"/>
        <v>48</v>
      </c>
      <c r="BQ697" s="234">
        <f t="shared" si="753"/>
        <v>3.0748170731707316</v>
      </c>
      <c r="BR697" s="234" cm="1">
        <f t="array" ref="BR697">$BM697 * SUMPRODUCT(INDEX($AV$76:$AX$81,,$AI697),INDEX($AY$76:$BE$81,,$AH697), N($AU$76:$AU$81&gt;$AM697)) / BQ697 / 1000</f>
        <v>0</v>
      </c>
      <c r="BS697" s="231">
        <f t="shared" si="778"/>
        <v>30</v>
      </c>
      <c r="BT697" s="229">
        <f t="shared" si="754"/>
        <v>43</v>
      </c>
      <c r="BU697" s="234">
        <f t="shared" si="755"/>
        <v>3.5018750000000001</v>
      </c>
      <c r="BV697" s="234" cm="1">
        <f t="array" ref="BV697">$BM697 * IF($AH697&lt;=2,
SUMPRODUCT(INDEX($AV$71:$AX$75,,$AI697), INDEX($AY$71:$BE$75,,$AH697), 1 / ($BF$71:$BF$75*BU697 + (1-$BF$71:$BF$75)*BQ697), N($AU$71:$AU$75&gt;$AM697)),
SUMPRODUCT(INDEX($AV$66:$AX$75,,$AI697), INDEX($AY$66:$BE$75,,$AH697), 1 / ($BG$66:$BG$75*BU697 + (1-$BG$66:$BG$75)*BQ697), N($AU$66:$AU$75&gt;$AM697))
) / 1000</f>
        <v>0</v>
      </c>
      <c r="BW697" s="231">
        <f t="shared" si="779"/>
        <v>25</v>
      </c>
      <c r="BX697" s="229">
        <f t="shared" si="756"/>
        <v>38</v>
      </c>
      <c r="BY697" s="234">
        <f t="shared" si="757"/>
        <v>4.0666935483870965</v>
      </c>
      <c r="BZ697" s="234" cm="1">
        <f t="array" ref="BZ697">$BM697 * IF($AH697&lt;=2,
SUMPRODUCT(INDEX($AV$66:$AX$70,,$AI697), INDEX($AY$66:$BE$70,,$AH697), 1 / ($BF$66:$BF$70*BY697 + (1-$BF$66:$BF$70)*BU697), N($AU$66:$AU$70&gt;$AM697)),
SUMPRODUCT(INDEX($AV$56:$AX$65,,$AI697), INDEX($AY$56:$BE$65,,$AH697), 1 / ($BG$56:$BG$65*BY697 + (1-$BG$56:$BG$65)*BU697), N($AU$56:$AU$65&gt;$AM697))
) / 1000</f>
        <v>0</v>
      </c>
      <c r="CA697" s="231">
        <f t="shared" si="780"/>
        <v>20</v>
      </c>
      <c r="CB697" s="229">
        <f t="shared" si="758"/>
        <v>33</v>
      </c>
      <c r="CC697" s="234">
        <f t="shared" si="759"/>
        <v>4.8487499999999999</v>
      </c>
      <c r="CD697" s="234" cm="1">
        <f t="array" ref="CD697">$BM697 * IF($AH697&lt;=2,
SUMPRODUCT(INDEX($AV$61:$AX$65,,$AI697), INDEX($AY$61:$BE$65,,$AH697), 1 / ($BF$61:$BF$65*CC697 + (1-$BF$61:$BF$65)*BY697), N($AU$61:$AU$65&gt;$AM697)),
SUMPRODUCT(INDEX($AV$46:$AX$55,,$AI697), INDEX($AY$46:$BE$55,,$AH697), 1 / ($BG$46:$BG$55*CC697 + (1-$BG$46:$BG$55)*BY697), N($AU$46:$AU$55&gt;$AM697))
) / 1000</f>
        <v>0</v>
      </c>
      <c r="CE697" s="234" cm="1">
        <f t="array" ref="CE697">$BM697 * IF($AH697&lt;=2,
SUMPRODUCT(INDEX($AV$22:$AX$60,,$AI697), INDEX($AY$22:$BE$60,,$AH697), 1 / ($BF$22:$BF$60*CC697), N($AU$22:$AU$60&gt;$AM697)),
SUMPRODUCT(INDEX($AV$22:$AX$45,,$AI697), INDEX($AY$22:$BE$45,,$AH697), 1 / ($BG$22:$BG$45*CC697), N($AU$22:$AU$45&gt;$AM697))
) / 1000</f>
        <v>0</v>
      </c>
      <c r="CF697" s="229">
        <f t="shared" si="760"/>
        <v>0</v>
      </c>
      <c r="CG697" s="246"/>
      <c r="CH697" s="229">
        <f t="shared" si="761"/>
        <v>0</v>
      </c>
      <c r="CI697" s="228">
        <v>35</v>
      </c>
      <c r="CJ697" s="229">
        <f t="shared" si="762"/>
        <v>48</v>
      </c>
      <c r="CK697" s="234">
        <f t="shared" si="763"/>
        <v>3.0748170731707316</v>
      </c>
      <c r="CL697" s="234" cm="1">
        <f t="array" ref="CL697">$BM697 * SUMPRODUCT(INDEX($AV$76:$AX$81,,$AI697),INDEX($AY$76:$BE$81,,$AH697), N($AU$76:$AU$81&gt;$AM697)) / CK697 / 1000</f>
        <v>0</v>
      </c>
      <c r="CM697" s="231">
        <f t="shared" si="781"/>
        <v>30</v>
      </c>
      <c r="CN697" s="229">
        <f t="shared" si="764"/>
        <v>43</v>
      </c>
      <c r="CO697" s="234">
        <f t="shared" si="765"/>
        <v>3.5018750000000001</v>
      </c>
      <c r="CP697" s="234" cm="1">
        <f t="array" ref="CP697">$BM697 * IF($AH697&lt;=2,
SUMPRODUCT(INDEX($AV$71:$AX$75,,$AI697), INDEX($AY$71:$BE$75,,$AH697), 1 / ($BF$71:$BF$75*CO697 + (1-$BF$71:$BF$75)*CK697), N($AU$71:$AU$75&gt;$AM697)),
SUMPRODUCT(INDEX($AV$66:$AX$75,,$AI697), INDEX($AY$66:$BE$75,,$AH697), 1 / ($BG$66:$BG$75*CO697 + (1-$BG$66:$BG$75)*CK697), N($AU$66:$AU$75&gt;$AM697))
) / 1000</f>
        <v>0</v>
      </c>
      <c r="CQ697" s="231">
        <f t="shared" si="782"/>
        <v>25</v>
      </c>
      <c r="CR697" s="229">
        <f t="shared" si="766"/>
        <v>38</v>
      </c>
      <c r="CS697" s="234">
        <f t="shared" si="767"/>
        <v>4.0666935483870965</v>
      </c>
      <c r="CT697" s="234" cm="1">
        <f t="array" ref="CT697">$BM697 * IF($AH697&lt;=2,
SUMPRODUCT(INDEX($AV$66:$AX$70,,$AI697), INDEX($AY$66:$BE$70,,$AH697), 1 / ($BF$66:$BF$70*CS697 + (1-$BF$66:$BF$70)*CO697), N($AU$66:$AU$70&gt;$AM697)),
SUMPRODUCT(INDEX($AV$56:$AX$65,,$AI697), INDEX($AY$56:$BE$65,,$AH697), 1 / ($BG$56:$BG$65*CS697 + (1-$BG$56:$BG$65)*CO697), N($AU$56:$AU$65&gt;$AM697))
) / 1000</f>
        <v>0</v>
      </c>
      <c r="CU697" s="231">
        <f t="shared" si="783"/>
        <v>20</v>
      </c>
      <c r="CV697" s="229">
        <f t="shared" si="768"/>
        <v>33</v>
      </c>
      <c r="CW697" s="234">
        <f t="shared" si="769"/>
        <v>4.8487499999999999</v>
      </c>
      <c r="CX697" s="234" cm="1">
        <f t="array" ref="CX697">$BM697 * IF($AH697&lt;=2,
SUMPRODUCT(INDEX($AV$61:$AX$65,,$AI697), INDEX($AY$61:$BE$65,,$AH697), 1 / ($BF$61:$BF$65*CW697 + (1-$BF$61:$BF$65)*CS697), N($AU$61:$AU$65&gt;$AM697)),
SUMPRODUCT(INDEX($AV$46:$AX$55,,$AI697), INDEX($AY$46:$BE$55,,$AH697), 1 / ($BG$46:$BG$55*CW697 + (1-$BG$46:$BG$55)*CS697), N($AU$46:$AU$55&gt;$AM697))
) / 1000</f>
        <v>0</v>
      </c>
      <c r="CY697" s="234" cm="1">
        <f t="array" ref="CY697">$BM697 * IF($AH697&lt;=2,
SUMPRODUCT(INDEX($AV$22:$AX$60,,$AI697), INDEX($AY$22:$BE$60,,$AH697), 1 / ($BF$22:$BF$60*CW697), N($AU$22:$AU$60&gt;$AM697)),
SUMPRODUCT(INDEX($AV$22:$AX$45,,$AI697), INDEX($AY$22:$BE$45,,$AH697), 1 / ($BG$22:$BG$45*CW697), N($AU$22:$AU$45&gt;$AM697))
) / 1000</f>
        <v>0</v>
      </c>
      <c r="CZ697" s="229">
        <f t="shared" si="770"/>
        <v>0</v>
      </c>
      <c r="DA697" s="246"/>
    </row>
    <row r="698" spans="1:105" s="75" customFormat="1" ht="14.25" customHeight="1" x14ac:dyDescent="0.2">
      <c r="A698" s="230" t="b">
        <f t="shared" si="775"/>
        <v>0</v>
      </c>
      <c r="B698" s="253">
        <v>677</v>
      </c>
      <c r="C698" s="266"/>
      <c r="D698" s="266"/>
      <c r="E698" s="254"/>
      <c r="F698" s="255" t="str">
        <f>IF(ISBLANK(E698), "", VLOOKUP(E698, Z!$A$2:$C$4127, 3, FALSE))</f>
        <v/>
      </c>
      <c r="G698" s="256"/>
      <c r="H698" s="256"/>
      <c r="I698" s="256"/>
      <c r="J698" s="257"/>
      <c r="K698" s="258"/>
      <c r="L698" s="267"/>
      <c r="M698" s="268"/>
      <c r="N698" s="259" t="str" cm="1">
        <f t="array" ref="N698">IF($L698&gt;0, INDEX(Clean,1+AK698,$D$1), "")</f>
        <v/>
      </c>
      <c r="O698" s="260"/>
      <c r="P698" s="260"/>
      <c r="Q698" s="261"/>
      <c r="R698" s="264">
        <f t="shared" ref="R698:R761" si="784">CF698*1000</f>
        <v>0</v>
      </c>
      <c r="S698" s="259" t="str" cm="1">
        <f t="array" ref="S698">IF($L698&gt;0, INDEX(Clean,1+AL698,$D$1), "")</f>
        <v/>
      </c>
      <c r="T698" s="260"/>
      <c r="U698" s="260"/>
      <c r="V698" s="261"/>
      <c r="W698" s="267"/>
      <c r="X698" s="267"/>
      <c r="Y698" s="257"/>
      <c r="Z698" s="264">
        <f t="shared" ref="Z698:Z761" si="785">(CZ698 - IF(W698&gt;0, CZ698*(W698/7)*AP698, 0) - IF(X698&gt;0, CZ698*(X698*AR698*AS698), 0))*1000</f>
        <v>0</v>
      </c>
      <c r="AA698" s="269"/>
      <c r="AB698" s="266"/>
      <c r="AC698" s="254"/>
      <c r="AD698" s="255" t="str">
        <f>IF(ISBLANK(AC698), "", VLOOKUP(AC698, Z!$A$2:$C$4127, 3, FALSE))</f>
        <v/>
      </c>
      <c r="AE698" s="270"/>
      <c r="AF698" s="265">
        <f t="shared" ref="AF698:AF761" si="786">0.75*AO$22*(R698-Z698)</f>
        <v>0</v>
      </c>
      <c r="AG698" s="246"/>
      <c r="AH698" s="228">
        <f t="shared" si="771"/>
        <v>1</v>
      </c>
      <c r="AI698" s="228">
        <f t="shared" si="772"/>
        <v>1</v>
      </c>
      <c r="AJ698" s="228">
        <f t="shared" si="773"/>
        <v>0</v>
      </c>
      <c r="AK698" s="228">
        <v>0</v>
      </c>
      <c r="AL698" s="228">
        <v>0</v>
      </c>
      <c r="AM698" s="228">
        <f t="shared" ref="AM698:AM761" si="787">IF(AND(K698="x", AH698=5), 11, IF(AND(K698="x", AH698=6), 19, -100))</f>
        <v>-100</v>
      </c>
      <c r="AN698" s="228" cm="1">
        <f t="array" ref="AN698">IF(ISBLANK(G698), 1, IFERROR(MATCH(G698, INDEX(Kat,,1), 0), IFERROR(MATCH(Kat, INDEX(Use,,2), 0), MATCH(Kat, INDEX(Use,,3), 0))))</f>
        <v>1</v>
      </c>
      <c r="AO698" s="246"/>
      <c r="AP698" s="228" cm="1">
        <f t="array" ref="AP698">IF(W698&gt;0, INDEX(Kat, AN698,4), 0)</f>
        <v>0</v>
      </c>
      <c r="AQ698" s="228">
        <f t="shared" si="774"/>
        <v>0</v>
      </c>
      <c r="AR698" s="228" cm="1">
        <f t="array" ref="AR698">IF(X698&gt;0, INDEX(Kat, $AN698, 4+AQ698), 0)</f>
        <v>0</v>
      </c>
      <c r="AS698" s="228" cm="1">
        <f t="array" ref="AS698">IF(X698&gt;0, INDEX(Kat, $AN698, 9+AQ698), 0)</f>
        <v>0</v>
      </c>
      <c r="AT698" s="246"/>
      <c r="AU698" s="262"/>
      <c r="AV698" s="262"/>
      <c r="AW698" s="263"/>
      <c r="AX698" s="263"/>
      <c r="AY698" s="263"/>
      <c r="AZ698" s="263"/>
      <c r="BA698" s="263"/>
      <c r="BB698" s="263"/>
      <c r="BC698" s="263"/>
      <c r="BD698" s="263"/>
      <c r="BE698" s="263"/>
      <c r="BF698" s="263"/>
      <c r="BG698" s="263"/>
      <c r="BH698" s="246"/>
      <c r="BI698" s="228" cm="1">
        <f t="array" ref="BI698">INDEX(Use, $AH698, 4)</f>
        <v>7</v>
      </c>
      <c r="BJ698" s="228">
        <f t="shared" ref="BJ698:BJ761" si="788">MAX(25, BI698+25)</f>
        <v>32</v>
      </c>
      <c r="BK698" s="228">
        <f t="shared" si="776"/>
        <v>13</v>
      </c>
      <c r="BL698" s="228">
        <f t="shared" si="777"/>
        <v>0</v>
      </c>
      <c r="BM698" s="233" cm="1">
        <f t="array" ref="BM698">L698/IF($M698&gt;0, INDEX($AY$22:$BE$76, $M698+20, $AH698), 1)</f>
        <v>0</v>
      </c>
      <c r="BN698" s="229">
        <f t="shared" ref="BN698:BN761" si="789">Q698 /  IF(AH698&lt;=2, 0.7 + 0.3 * (P698-20)/(35-20), 0.4 + 0.6 * (P698-5)/(35-5))</f>
        <v>0</v>
      </c>
      <c r="BO698" s="228">
        <v>35</v>
      </c>
      <c r="BP698" s="229">
        <f t="shared" ref="BP698:BP761" si="790">MAX($O698, MAX($BJ698, $BO698 + $BK698 + $BL698 + 0.35*$AK698*$BK698 + BN698))</f>
        <v>48</v>
      </c>
      <c r="BQ698" s="234">
        <f t="shared" ref="BQ698:BQ761" si="791">0.45*($BI698+273.15)/(BP698-$BI698)</f>
        <v>3.0748170731707316</v>
      </c>
      <c r="BR698" s="234" cm="1">
        <f t="array" ref="BR698">$BM698 * SUMPRODUCT(INDEX($AV$76:$AX$81,,$AI698),INDEX($AY$76:$BE$81,,$AH698), N($AU$76:$AU$81&gt;$AM698)) / BQ698 / 1000</f>
        <v>0</v>
      </c>
      <c r="BS698" s="231">
        <f t="shared" si="778"/>
        <v>30</v>
      </c>
      <c r="BT698" s="229">
        <f t="shared" ref="BT698:BT761" si="792">MAX($O698, MAX($BJ698, BS698 + $BK698 + $BL698 + IF($AH698&lt;=2, (BS698-20)/(35-20), 0.6+0.4*(BS698-5)/(35-5))*0.35*$AK698*$BK698) + IF($AH698&lt;=2,0.9,0.8)*$BN698)</f>
        <v>43</v>
      </c>
      <c r="BU698" s="234">
        <f t="shared" ref="BU698:BU761" si="793">0.45*($BI698+273.15)/(BT698-$BI698)</f>
        <v>3.5018750000000001</v>
      </c>
      <c r="BV698" s="234" cm="1">
        <f t="array" ref="BV698">$BM698 * IF($AH698&lt;=2,
SUMPRODUCT(INDEX($AV$71:$AX$75,,$AI698), INDEX($AY$71:$BE$75,,$AH698), 1 / ($BF$71:$BF$75*BU698 + (1-$BF$71:$BF$75)*BQ698), N($AU$71:$AU$75&gt;$AM698)),
SUMPRODUCT(INDEX($AV$66:$AX$75,,$AI698), INDEX($AY$66:$BE$75,,$AH698), 1 / ($BG$66:$BG$75*BU698 + (1-$BG$66:$BG$75)*BQ698), N($AU$66:$AU$75&gt;$AM698))
) / 1000</f>
        <v>0</v>
      </c>
      <c r="BW698" s="231">
        <f t="shared" si="779"/>
        <v>25</v>
      </c>
      <c r="BX698" s="229">
        <f t="shared" ref="BX698:BX761" si="794">MAX($O698, MAX($BJ698, BW698 + $BK698 + $BL698 + IF($AH698&lt;=2, (BW698-20)/(35-20), 0.6+0.4*(BW698-5)/(35-5))*0.35*$AK698*$BK698) + IF($AH698&lt;=2,0.8,0.6)*$BN698)</f>
        <v>38</v>
      </c>
      <c r="BY698" s="234">
        <f t="shared" ref="BY698:BY761" si="795">0.45*($BI698+273.15)/(BX698-$BI698)</f>
        <v>4.0666935483870965</v>
      </c>
      <c r="BZ698" s="234" cm="1">
        <f t="array" ref="BZ698">$BM698 * IF($AH698&lt;=2,
SUMPRODUCT(INDEX($AV$66:$AX$70,,$AI698), INDEX($AY$66:$BE$70,,$AH698), 1 / ($BF$66:$BF$70*BY698 + (1-$BF$66:$BF$70)*BU698), N($AU$66:$AU$70&gt;$AM698)),
SUMPRODUCT(INDEX($AV$56:$AX$65,,$AI698), INDEX($AY$56:$BE$65,,$AH698), 1 / ($BG$56:$BG$65*BY698 + (1-$BG$56:$BG$65)*BU698), N($AU$56:$AU$65&gt;$AM698))
) / 1000</f>
        <v>0</v>
      </c>
      <c r="CA698" s="231">
        <f t="shared" si="780"/>
        <v>20</v>
      </c>
      <c r="CB698" s="229">
        <f t="shared" ref="CB698:CB761" si="796">MAX($O698, MAX($BJ698, CA698 + $BK698 + $BL698 + IF($AH698&lt;=2, (CA698-20)/(35-20), 0.6+0.4*(CA698-5)/(35-5))*0.35*$AK698*$BK698) + IF($AH698&lt;=2,0.7,0.4)*$BN698)</f>
        <v>33</v>
      </c>
      <c r="CC698" s="234">
        <f t="shared" ref="CC698:CC761" si="797">0.45*($BI698+273.15)/(CB698-$BI698)</f>
        <v>4.8487499999999999</v>
      </c>
      <c r="CD698" s="234" cm="1">
        <f t="array" ref="CD698">$BM698 * IF($AH698&lt;=2,
SUMPRODUCT(INDEX($AV$61:$AX$65,,$AI698), INDEX($AY$61:$BE$65,,$AH698), 1 / ($BF$61:$BF$65*CC698 + (1-$BF$61:$BF$65)*BY698), N($AU$61:$AU$65&gt;$AM698)),
SUMPRODUCT(INDEX($AV$46:$AX$55,,$AI698), INDEX($AY$46:$BE$55,,$AH698), 1 / ($BG$46:$BG$55*CC698 + (1-$BG$46:$BG$55)*BY698), N($AU$46:$AU$55&gt;$AM698))
) / 1000</f>
        <v>0</v>
      </c>
      <c r="CE698" s="234" cm="1">
        <f t="array" ref="CE698">$BM698 * IF($AH698&lt;=2,
SUMPRODUCT(INDEX($AV$22:$AX$60,,$AI698), INDEX($AY$22:$BE$60,,$AH698), 1 / ($BF$22:$BF$60*CC698), N($AU$22:$AU$60&gt;$AM698)),
SUMPRODUCT(INDEX($AV$22:$AX$45,,$AI698), INDEX($AY$22:$BE$45,,$AH698), 1 / ($BG$22:$BG$45*CC698), N($AU$22:$AU$45&gt;$AM698))
) / 1000</f>
        <v>0</v>
      </c>
      <c r="CF698" s="229">
        <f t="shared" ref="CF698:CF761" si="798">BR698+BV698+BZ698+CD698+CE698</f>
        <v>0</v>
      </c>
      <c r="CG698" s="246"/>
      <c r="CH698" s="229">
        <f t="shared" ref="CH698:CH761" si="799">V698 /  IF(AH698&lt;=2, 0.7 + 0.3 * (U698-20)/(35-20), 0.4 + 0.6 * (U698-5)/(35-5))</f>
        <v>0</v>
      </c>
      <c r="CI698" s="228">
        <v>35</v>
      </c>
      <c r="CJ698" s="229">
        <f t="shared" ref="CJ698:CJ761" si="800">MAX($T698, MAX($BJ698, $BO698 + $BK698 + $BL698 + 0.35*$AL698*$BK698 + CH698))</f>
        <v>48</v>
      </c>
      <c r="CK698" s="234">
        <f t="shared" ref="CK698:CK761" si="801">0.45*($BI698+273.15)/(CJ698-$BI698)</f>
        <v>3.0748170731707316</v>
      </c>
      <c r="CL698" s="234" cm="1">
        <f t="array" ref="CL698">$BM698 * SUMPRODUCT(INDEX($AV$76:$AX$81,,$AI698),INDEX($AY$76:$BE$81,,$AH698), N($AU$76:$AU$81&gt;$AM698)) / CK698 / 1000</f>
        <v>0</v>
      </c>
      <c r="CM698" s="231">
        <f t="shared" si="781"/>
        <v>30</v>
      </c>
      <c r="CN698" s="229">
        <f t="shared" ref="CN698:CN761" si="802">MAX($T698, MAX($BJ698, CM698 + $BK698 + $BL698 + IF($AH698&lt;=2, (CM698-20)/(35-20), 0.6+0.4*(CM698-5)/(35-5))*0.35*$AL698*$BK698) + IF($AH698&lt;=2,0.9,0.8)*$CH698)</f>
        <v>43</v>
      </c>
      <c r="CO698" s="234">
        <f t="shared" ref="CO698:CO761" si="803">0.45*($BI698+273.15)/(CN698-$BI698)</f>
        <v>3.5018750000000001</v>
      </c>
      <c r="CP698" s="234" cm="1">
        <f t="array" ref="CP698">$BM698 * IF($AH698&lt;=2,
SUMPRODUCT(INDEX($AV$71:$AX$75,,$AI698), INDEX($AY$71:$BE$75,,$AH698), 1 / ($BF$71:$BF$75*CO698 + (1-$BF$71:$BF$75)*CK698), N($AU$71:$AU$75&gt;$AM698)),
SUMPRODUCT(INDEX($AV$66:$AX$75,,$AI698), INDEX($AY$66:$BE$75,,$AH698), 1 / ($BG$66:$BG$75*CO698 + (1-$BG$66:$BG$75)*CK698), N($AU$66:$AU$75&gt;$AM698))
) / 1000</f>
        <v>0</v>
      </c>
      <c r="CQ698" s="231">
        <f t="shared" si="782"/>
        <v>25</v>
      </c>
      <c r="CR698" s="229">
        <f t="shared" ref="CR698:CR761" si="804">MAX($T698, MAX($BJ698, CQ698 + $BK698 + $BL698 + IF($AH698&lt;=2, (CQ698-20)/(35-20), 0.6+0.4*(CQ698-5)/(35-5))*0.35*$AL698*$BK698) + IF($AH698&lt;=2,0.8,0.6)*$CH698)</f>
        <v>38</v>
      </c>
      <c r="CS698" s="234">
        <f t="shared" ref="CS698:CS761" si="805">0.45*($BI698+273.15)/(CR698-$BI698)</f>
        <v>4.0666935483870965</v>
      </c>
      <c r="CT698" s="234" cm="1">
        <f t="array" ref="CT698">$BM698 * IF($AH698&lt;=2,
SUMPRODUCT(INDEX($AV$66:$AX$70,,$AI698), INDEX($AY$66:$BE$70,,$AH698), 1 / ($BF$66:$BF$70*CS698 + (1-$BF$66:$BF$70)*CO698), N($AU$66:$AU$70&gt;$AM698)),
SUMPRODUCT(INDEX($AV$56:$AX$65,,$AI698), INDEX($AY$56:$BE$65,,$AH698), 1 / ($BG$56:$BG$65*CS698 + (1-$BG$56:$BG$65)*CO698), N($AU$56:$AU$65&gt;$AM698))
) / 1000</f>
        <v>0</v>
      </c>
      <c r="CU698" s="231">
        <f t="shared" si="783"/>
        <v>20</v>
      </c>
      <c r="CV698" s="229">
        <f t="shared" ref="CV698:CV761" si="806">MAX($T698, MAX($BJ698, CU698 + $BK698 + $BL698 + IF($AH698&lt;=2, (CU698-20)/(35-20), 0.6+0.4*(CU698-5)/(35-5))*0.35*$AL698*$BK698) + IF($AH698&lt;=2,0.7,0.4)*$CH698)</f>
        <v>33</v>
      </c>
      <c r="CW698" s="234">
        <f t="shared" ref="CW698:CW761" si="807">0.45*($BI698+273.15)/(CV698-$BI698)</f>
        <v>4.8487499999999999</v>
      </c>
      <c r="CX698" s="234" cm="1">
        <f t="array" ref="CX698">$BM698 * IF($AH698&lt;=2,
SUMPRODUCT(INDEX($AV$61:$AX$65,,$AI698), INDEX($AY$61:$BE$65,,$AH698), 1 / ($BF$61:$BF$65*CW698 + (1-$BF$61:$BF$65)*CS698), N($AU$61:$AU$65&gt;$AM698)),
SUMPRODUCT(INDEX($AV$46:$AX$55,,$AI698), INDEX($AY$46:$BE$55,,$AH698), 1 / ($BG$46:$BG$55*CW698 + (1-$BG$46:$BG$55)*CS698), N($AU$46:$AU$55&gt;$AM698))
) / 1000</f>
        <v>0</v>
      </c>
      <c r="CY698" s="234" cm="1">
        <f t="array" ref="CY698">$BM698 * IF($AH698&lt;=2,
SUMPRODUCT(INDEX($AV$22:$AX$60,,$AI698), INDEX($AY$22:$BE$60,,$AH698), 1 / ($BF$22:$BF$60*CW698), N($AU$22:$AU$60&gt;$AM698)),
SUMPRODUCT(INDEX($AV$22:$AX$45,,$AI698), INDEX($AY$22:$BE$45,,$AH698), 1 / ($BG$22:$BG$45*CW698), N($AU$22:$AU$45&gt;$AM698))
) / 1000</f>
        <v>0</v>
      </c>
      <c r="CZ698" s="229">
        <f t="shared" ref="CZ698:CZ761" si="808">CL698+CP698+CT698+CX698+CY698</f>
        <v>0</v>
      </c>
      <c r="DA698" s="246"/>
    </row>
    <row r="699" spans="1:105" s="75" customFormat="1" ht="14.25" customHeight="1" x14ac:dyDescent="0.2">
      <c r="A699" s="230" t="b">
        <f t="shared" si="775"/>
        <v>0</v>
      </c>
      <c r="B699" s="253">
        <v>678</v>
      </c>
      <c r="C699" s="266"/>
      <c r="D699" s="266"/>
      <c r="E699" s="254"/>
      <c r="F699" s="255" t="str">
        <f>IF(ISBLANK(E699), "", VLOOKUP(E699, Z!$A$2:$C$4127, 3, FALSE))</f>
        <v/>
      </c>
      <c r="G699" s="256"/>
      <c r="H699" s="256"/>
      <c r="I699" s="256"/>
      <c r="J699" s="257"/>
      <c r="K699" s="258"/>
      <c r="L699" s="267"/>
      <c r="M699" s="268"/>
      <c r="N699" s="259" t="str" cm="1">
        <f t="array" ref="N699">IF($L699&gt;0, INDEX(Clean,1+AK699,$D$1), "")</f>
        <v/>
      </c>
      <c r="O699" s="260"/>
      <c r="P699" s="260"/>
      <c r="Q699" s="261"/>
      <c r="R699" s="264">
        <f t="shared" si="784"/>
        <v>0</v>
      </c>
      <c r="S699" s="259" t="str" cm="1">
        <f t="array" ref="S699">IF($L699&gt;0, INDEX(Clean,1+AL699,$D$1), "")</f>
        <v/>
      </c>
      <c r="T699" s="260"/>
      <c r="U699" s="260"/>
      <c r="V699" s="261"/>
      <c r="W699" s="267"/>
      <c r="X699" s="267"/>
      <c r="Y699" s="257"/>
      <c r="Z699" s="264">
        <f t="shared" si="785"/>
        <v>0</v>
      </c>
      <c r="AA699" s="269"/>
      <c r="AB699" s="266"/>
      <c r="AC699" s="254"/>
      <c r="AD699" s="255" t="str">
        <f>IF(ISBLANK(AC699), "", VLOOKUP(AC699, Z!$A$2:$C$4127, 3, FALSE))</f>
        <v/>
      </c>
      <c r="AE699" s="270"/>
      <c r="AF699" s="265">
        <f t="shared" si="786"/>
        <v>0</v>
      </c>
      <c r="AG699" s="246"/>
      <c r="AH699" s="228">
        <f t="shared" ref="AH699:AH762" si="809">IF(ISBLANK(I699), 1, IFERROR(MATCH(I699, INDEX(Use,,1), 0), IFERROR(MATCH(I699, INDEX(Use,,2), 0), MATCH(I699, INDEX(Use,,3), 0))))</f>
        <v>1</v>
      </c>
      <c r="AI699" s="228">
        <f t="shared" ref="AI699:AI762" si="810">IF(ISBLANK(H699), 1, IFERROR(MATCH(H699, INDEX(Loc,,1), 0), IFERROR(MATCH(H699, INDEX(Loc,,2), 0), MATCH(H699, INDEX(Loc,,3), 0))))</f>
        <v>1</v>
      </c>
      <c r="AJ699" s="228">
        <f t="shared" ref="AJ699:AJ762" si="811">_xlfn.IFNA(IF(IFERROR(MATCH(J699, INDEX(Medium,,1), 0), IFERROR(MATCH(J699, INDEX(Medium,,2), 0), MATCH(J699, INDEX(Medium,,3), 0))) = 2, 1, 0), 0)</f>
        <v>0</v>
      </c>
      <c r="AK699" s="228">
        <v>0</v>
      </c>
      <c r="AL699" s="228">
        <v>0</v>
      </c>
      <c r="AM699" s="228">
        <f t="shared" si="787"/>
        <v>-100</v>
      </c>
      <c r="AN699" s="228" cm="1">
        <f t="array" ref="AN699">IF(ISBLANK(G699), 1, IFERROR(MATCH(G699, INDEX(Kat,,1), 0), IFERROR(MATCH(Kat, INDEX(Use,,2), 0), MATCH(Kat, INDEX(Use,,3), 0))))</f>
        <v>1</v>
      </c>
      <c r="AO699" s="246"/>
      <c r="AP699" s="228" cm="1">
        <f t="array" ref="AP699">IF(W699&gt;0, INDEX(Kat, AN699,4), 0)</f>
        <v>0</v>
      </c>
      <c r="AQ699" s="228">
        <f t="shared" ref="AQ699:AQ762" si="812">IF(ISBLANK(Y699), 0, IFERROR(MATCH(Y699, INDEX(Month,,1), 0), IFERROR(MATCH(Y699, INDEX(Month,,2), 0), MATCH(Y699, INDEX(Month,,3), 0))))</f>
        <v>0</v>
      </c>
      <c r="AR699" s="228" cm="1">
        <f t="array" ref="AR699">IF(X699&gt;0, INDEX(Kat, $AN699, 4+AQ699), 0)</f>
        <v>0</v>
      </c>
      <c r="AS699" s="228" cm="1">
        <f t="array" ref="AS699">IF(X699&gt;0, INDEX(Kat, $AN699, 9+AQ699), 0)</f>
        <v>0</v>
      </c>
      <c r="AT699" s="246"/>
      <c r="AU699" s="262"/>
      <c r="AV699" s="262"/>
      <c r="AW699" s="263"/>
      <c r="AX699" s="263"/>
      <c r="AY699" s="263"/>
      <c r="AZ699" s="263"/>
      <c r="BA699" s="263"/>
      <c r="BB699" s="263"/>
      <c r="BC699" s="263"/>
      <c r="BD699" s="263"/>
      <c r="BE699" s="263"/>
      <c r="BF699" s="263"/>
      <c r="BG699" s="263"/>
      <c r="BH699" s="246"/>
      <c r="BI699" s="228" cm="1">
        <f t="array" ref="BI699">INDEX(Use, $AH699, 4)</f>
        <v>7</v>
      </c>
      <c r="BJ699" s="228">
        <f t="shared" si="788"/>
        <v>32</v>
      </c>
      <c r="BK699" s="228">
        <f t="shared" si="776"/>
        <v>13</v>
      </c>
      <c r="BL699" s="228">
        <f t="shared" si="777"/>
        <v>0</v>
      </c>
      <c r="BM699" s="233" cm="1">
        <f t="array" ref="BM699">L699/IF($M699&gt;0, INDEX($AY$22:$BE$76, $M699+20, $AH699), 1)</f>
        <v>0</v>
      </c>
      <c r="BN699" s="229">
        <f t="shared" si="789"/>
        <v>0</v>
      </c>
      <c r="BO699" s="228">
        <v>35</v>
      </c>
      <c r="BP699" s="229">
        <f t="shared" si="790"/>
        <v>48</v>
      </c>
      <c r="BQ699" s="234">
        <f t="shared" si="791"/>
        <v>3.0748170731707316</v>
      </c>
      <c r="BR699" s="234" cm="1">
        <f t="array" ref="BR699">$BM699 * SUMPRODUCT(INDEX($AV$76:$AX$81,,$AI699),INDEX($AY$76:$BE$81,,$AH699), N($AU$76:$AU$81&gt;$AM699)) / BQ699 / 1000</f>
        <v>0</v>
      </c>
      <c r="BS699" s="231">
        <f t="shared" si="778"/>
        <v>30</v>
      </c>
      <c r="BT699" s="229">
        <f t="shared" si="792"/>
        <v>43</v>
      </c>
      <c r="BU699" s="234">
        <f t="shared" si="793"/>
        <v>3.5018750000000001</v>
      </c>
      <c r="BV699" s="234" cm="1">
        <f t="array" ref="BV699">$BM699 * IF($AH699&lt;=2,
SUMPRODUCT(INDEX($AV$71:$AX$75,,$AI699), INDEX($AY$71:$BE$75,,$AH699), 1 / ($BF$71:$BF$75*BU699 + (1-$BF$71:$BF$75)*BQ699), N($AU$71:$AU$75&gt;$AM699)),
SUMPRODUCT(INDEX($AV$66:$AX$75,,$AI699), INDEX($AY$66:$BE$75,,$AH699), 1 / ($BG$66:$BG$75*BU699 + (1-$BG$66:$BG$75)*BQ699), N($AU$66:$AU$75&gt;$AM699))
) / 1000</f>
        <v>0</v>
      </c>
      <c r="BW699" s="231">
        <f t="shared" si="779"/>
        <v>25</v>
      </c>
      <c r="BX699" s="229">
        <f t="shared" si="794"/>
        <v>38</v>
      </c>
      <c r="BY699" s="234">
        <f t="shared" si="795"/>
        <v>4.0666935483870965</v>
      </c>
      <c r="BZ699" s="234" cm="1">
        <f t="array" ref="BZ699">$BM699 * IF($AH699&lt;=2,
SUMPRODUCT(INDEX($AV$66:$AX$70,,$AI699), INDEX($AY$66:$BE$70,,$AH699), 1 / ($BF$66:$BF$70*BY699 + (1-$BF$66:$BF$70)*BU699), N($AU$66:$AU$70&gt;$AM699)),
SUMPRODUCT(INDEX($AV$56:$AX$65,,$AI699), INDEX($AY$56:$BE$65,,$AH699), 1 / ($BG$56:$BG$65*BY699 + (1-$BG$56:$BG$65)*BU699), N($AU$56:$AU$65&gt;$AM699))
) / 1000</f>
        <v>0</v>
      </c>
      <c r="CA699" s="231">
        <f t="shared" si="780"/>
        <v>20</v>
      </c>
      <c r="CB699" s="229">
        <f t="shared" si="796"/>
        <v>33</v>
      </c>
      <c r="CC699" s="234">
        <f t="shared" si="797"/>
        <v>4.8487499999999999</v>
      </c>
      <c r="CD699" s="234" cm="1">
        <f t="array" ref="CD699">$BM699 * IF($AH699&lt;=2,
SUMPRODUCT(INDEX($AV$61:$AX$65,,$AI699), INDEX($AY$61:$BE$65,,$AH699), 1 / ($BF$61:$BF$65*CC699 + (1-$BF$61:$BF$65)*BY699), N($AU$61:$AU$65&gt;$AM699)),
SUMPRODUCT(INDEX($AV$46:$AX$55,,$AI699), INDEX($AY$46:$BE$55,,$AH699), 1 / ($BG$46:$BG$55*CC699 + (1-$BG$46:$BG$55)*BY699), N($AU$46:$AU$55&gt;$AM699))
) / 1000</f>
        <v>0</v>
      </c>
      <c r="CE699" s="234" cm="1">
        <f t="array" ref="CE699">$BM699 * IF($AH699&lt;=2,
SUMPRODUCT(INDEX($AV$22:$AX$60,,$AI699), INDEX($AY$22:$BE$60,,$AH699), 1 / ($BF$22:$BF$60*CC699), N($AU$22:$AU$60&gt;$AM699)),
SUMPRODUCT(INDEX($AV$22:$AX$45,,$AI699), INDEX($AY$22:$BE$45,,$AH699), 1 / ($BG$22:$BG$45*CC699), N($AU$22:$AU$45&gt;$AM699))
) / 1000</f>
        <v>0</v>
      </c>
      <c r="CF699" s="229">
        <f t="shared" si="798"/>
        <v>0</v>
      </c>
      <c r="CG699" s="246"/>
      <c r="CH699" s="229">
        <f t="shared" si="799"/>
        <v>0</v>
      </c>
      <c r="CI699" s="228">
        <v>35</v>
      </c>
      <c r="CJ699" s="229">
        <f t="shared" si="800"/>
        <v>48</v>
      </c>
      <c r="CK699" s="234">
        <f t="shared" si="801"/>
        <v>3.0748170731707316</v>
      </c>
      <c r="CL699" s="234" cm="1">
        <f t="array" ref="CL699">$BM699 * SUMPRODUCT(INDEX($AV$76:$AX$81,,$AI699),INDEX($AY$76:$BE$81,,$AH699), N($AU$76:$AU$81&gt;$AM699)) / CK699 / 1000</f>
        <v>0</v>
      </c>
      <c r="CM699" s="231">
        <f t="shared" si="781"/>
        <v>30</v>
      </c>
      <c r="CN699" s="229">
        <f t="shared" si="802"/>
        <v>43</v>
      </c>
      <c r="CO699" s="234">
        <f t="shared" si="803"/>
        <v>3.5018750000000001</v>
      </c>
      <c r="CP699" s="234" cm="1">
        <f t="array" ref="CP699">$BM699 * IF($AH699&lt;=2,
SUMPRODUCT(INDEX($AV$71:$AX$75,,$AI699), INDEX($AY$71:$BE$75,,$AH699), 1 / ($BF$71:$BF$75*CO699 + (1-$BF$71:$BF$75)*CK699), N($AU$71:$AU$75&gt;$AM699)),
SUMPRODUCT(INDEX($AV$66:$AX$75,,$AI699), INDEX($AY$66:$BE$75,,$AH699), 1 / ($BG$66:$BG$75*CO699 + (1-$BG$66:$BG$75)*CK699), N($AU$66:$AU$75&gt;$AM699))
) / 1000</f>
        <v>0</v>
      </c>
      <c r="CQ699" s="231">
        <f t="shared" si="782"/>
        <v>25</v>
      </c>
      <c r="CR699" s="229">
        <f t="shared" si="804"/>
        <v>38</v>
      </c>
      <c r="CS699" s="234">
        <f t="shared" si="805"/>
        <v>4.0666935483870965</v>
      </c>
      <c r="CT699" s="234" cm="1">
        <f t="array" ref="CT699">$BM699 * IF($AH699&lt;=2,
SUMPRODUCT(INDEX($AV$66:$AX$70,,$AI699), INDEX($AY$66:$BE$70,,$AH699), 1 / ($BF$66:$BF$70*CS699 + (1-$BF$66:$BF$70)*CO699), N($AU$66:$AU$70&gt;$AM699)),
SUMPRODUCT(INDEX($AV$56:$AX$65,,$AI699), INDEX($AY$56:$BE$65,,$AH699), 1 / ($BG$56:$BG$65*CS699 + (1-$BG$56:$BG$65)*CO699), N($AU$56:$AU$65&gt;$AM699))
) / 1000</f>
        <v>0</v>
      </c>
      <c r="CU699" s="231">
        <f t="shared" si="783"/>
        <v>20</v>
      </c>
      <c r="CV699" s="229">
        <f t="shared" si="806"/>
        <v>33</v>
      </c>
      <c r="CW699" s="234">
        <f t="shared" si="807"/>
        <v>4.8487499999999999</v>
      </c>
      <c r="CX699" s="234" cm="1">
        <f t="array" ref="CX699">$BM699 * IF($AH699&lt;=2,
SUMPRODUCT(INDEX($AV$61:$AX$65,,$AI699), INDEX($AY$61:$BE$65,,$AH699), 1 / ($BF$61:$BF$65*CW699 + (1-$BF$61:$BF$65)*CS699), N($AU$61:$AU$65&gt;$AM699)),
SUMPRODUCT(INDEX($AV$46:$AX$55,,$AI699), INDEX($AY$46:$BE$55,,$AH699), 1 / ($BG$46:$BG$55*CW699 + (1-$BG$46:$BG$55)*CS699), N($AU$46:$AU$55&gt;$AM699))
) / 1000</f>
        <v>0</v>
      </c>
      <c r="CY699" s="234" cm="1">
        <f t="array" ref="CY699">$BM699 * IF($AH699&lt;=2,
SUMPRODUCT(INDEX($AV$22:$AX$60,,$AI699), INDEX($AY$22:$BE$60,,$AH699), 1 / ($BF$22:$BF$60*CW699), N($AU$22:$AU$60&gt;$AM699)),
SUMPRODUCT(INDEX($AV$22:$AX$45,,$AI699), INDEX($AY$22:$BE$45,,$AH699), 1 / ($BG$22:$BG$45*CW699), N($AU$22:$AU$45&gt;$AM699))
) / 1000</f>
        <v>0</v>
      </c>
      <c r="CZ699" s="229">
        <f t="shared" si="808"/>
        <v>0</v>
      </c>
      <c r="DA699" s="246"/>
    </row>
    <row r="700" spans="1:105" s="75" customFormat="1" ht="14.25" customHeight="1" x14ac:dyDescent="0.2">
      <c r="A700" s="230" t="b">
        <f t="shared" si="775"/>
        <v>0</v>
      </c>
      <c r="B700" s="253">
        <v>679</v>
      </c>
      <c r="C700" s="266"/>
      <c r="D700" s="266"/>
      <c r="E700" s="254"/>
      <c r="F700" s="255" t="str">
        <f>IF(ISBLANK(E700), "", VLOOKUP(E700, Z!$A$2:$C$4127, 3, FALSE))</f>
        <v/>
      </c>
      <c r="G700" s="256"/>
      <c r="H700" s="256"/>
      <c r="I700" s="256"/>
      <c r="J700" s="257"/>
      <c r="K700" s="258"/>
      <c r="L700" s="267"/>
      <c r="M700" s="268"/>
      <c r="N700" s="259" t="str" cm="1">
        <f t="array" ref="N700">IF($L700&gt;0, INDEX(Clean,1+AK700,$D$1), "")</f>
        <v/>
      </c>
      <c r="O700" s="260"/>
      <c r="P700" s="260"/>
      <c r="Q700" s="261"/>
      <c r="R700" s="264">
        <f t="shared" si="784"/>
        <v>0</v>
      </c>
      <c r="S700" s="259" t="str" cm="1">
        <f t="array" ref="S700">IF($L700&gt;0, INDEX(Clean,1+AL700,$D$1), "")</f>
        <v/>
      </c>
      <c r="T700" s="260"/>
      <c r="U700" s="260"/>
      <c r="V700" s="261"/>
      <c r="W700" s="267"/>
      <c r="X700" s="267"/>
      <c r="Y700" s="257"/>
      <c r="Z700" s="264">
        <f t="shared" si="785"/>
        <v>0</v>
      </c>
      <c r="AA700" s="269"/>
      <c r="AB700" s="266"/>
      <c r="AC700" s="254"/>
      <c r="AD700" s="255" t="str">
        <f>IF(ISBLANK(AC700), "", VLOOKUP(AC700, Z!$A$2:$C$4127, 3, FALSE))</f>
        <v/>
      </c>
      <c r="AE700" s="270"/>
      <c r="AF700" s="265">
        <f t="shared" si="786"/>
        <v>0</v>
      </c>
      <c r="AG700" s="246"/>
      <c r="AH700" s="228">
        <f t="shared" si="809"/>
        <v>1</v>
      </c>
      <c r="AI700" s="228">
        <f t="shared" si="810"/>
        <v>1</v>
      </c>
      <c r="AJ700" s="228">
        <f t="shared" si="811"/>
        <v>0</v>
      </c>
      <c r="AK700" s="228">
        <v>0</v>
      </c>
      <c r="AL700" s="228">
        <v>0</v>
      </c>
      <c r="AM700" s="228">
        <f t="shared" si="787"/>
        <v>-100</v>
      </c>
      <c r="AN700" s="228" cm="1">
        <f t="array" ref="AN700">IF(ISBLANK(G700), 1, IFERROR(MATCH(G700, INDEX(Kat,,1), 0), IFERROR(MATCH(Kat, INDEX(Use,,2), 0), MATCH(Kat, INDEX(Use,,3), 0))))</f>
        <v>1</v>
      </c>
      <c r="AO700" s="246"/>
      <c r="AP700" s="228" cm="1">
        <f t="array" ref="AP700">IF(W700&gt;0, INDEX(Kat, AN700,4), 0)</f>
        <v>0</v>
      </c>
      <c r="AQ700" s="228">
        <f t="shared" si="812"/>
        <v>0</v>
      </c>
      <c r="AR700" s="228" cm="1">
        <f t="array" ref="AR700">IF(X700&gt;0, INDEX(Kat, $AN700, 4+AQ700), 0)</f>
        <v>0</v>
      </c>
      <c r="AS700" s="228" cm="1">
        <f t="array" ref="AS700">IF(X700&gt;0, INDEX(Kat, $AN700, 9+AQ700), 0)</f>
        <v>0</v>
      </c>
      <c r="AT700" s="246"/>
      <c r="AU700" s="262"/>
      <c r="AV700" s="262"/>
      <c r="AW700" s="263"/>
      <c r="AX700" s="263"/>
      <c r="AY700" s="263"/>
      <c r="AZ700" s="263"/>
      <c r="BA700" s="263"/>
      <c r="BB700" s="263"/>
      <c r="BC700" s="263"/>
      <c r="BD700" s="263"/>
      <c r="BE700" s="263"/>
      <c r="BF700" s="263"/>
      <c r="BG700" s="263"/>
      <c r="BH700" s="246"/>
      <c r="BI700" s="228" cm="1">
        <f t="array" ref="BI700">INDEX(Use, $AH700, 4)</f>
        <v>7</v>
      </c>
      <c r="BJ700" s="228">
        <f t="shared" si="788"/>
        <v>32</v>
      </c>
      <c r="BK700" s="228">
        <f t="shared" si="776"/>
        <v>13</v>
      </c>
      <c r="BL700" s="228">
        <f t="shared" si="777"/>
        <v>0</v>
      </c>
      <c r="BM700" s="233" cm="1">
        <f t="array" ref="BM700">L700/IF($M700&gt;0, INDEX($AY$22:$BE$76, $M700+20, $AH700), 1)</f>
        <v>0</v>
      </c>
      <c r="BN700" s="229">
        <f t="shared" si="789"/>
        <v>0</v>
      </c>
      <c r="BO700" s="228">
        <v>35</v>
      </c>
      <c r="BP700" s="229">
        <f t="shared" si="790"/>
        <v>48</v>
      </c>
      <c r="BQ700" s="234">
        <f t="shared" si="791"/>
        <v>3.0748170731707316</v>
      </c>
      <c r="BR700" s="234" cm="1">
        <f t="array" ref="BR700">$BM700 * SUMPRODUCT(INDEX($AV$76:$AX$81,,$AI700),INDEX($AY$76:$BE$81,,$AH700), N($AU$76:$AU$81&gt;$AM700)) / BQ700 / 1000</f>
        <v>0</v>
      </c>
      <c r="BS700" s="231">
        <f t="shared" si="778"/>
        <v>30</v>
      </c>
      <c r="BT700" s="229">
        <f t="shared" si="792"/>
        <v>43</v>
      </c>
      <c r="BU700" s="234">
        <f t="shared" si="793"/>
        <v>3.5018750000000001</v>
      </c>
      <c r="BV700" s="234" cm="1">
        <f t="array" ref="BV700">$BM700 * IF($AH700&lt;=2,
SUMPRODUCT(INDEX($AV$71:$AX$75,,$AI700), INDEX($AY$71:$BE$75,,$AH700), 1 / ($BF$71:$BF$75*BU700 + (1-$BF$71:$BF$75)*BQ700), N($AU$71:$AU$75&gt;$AM700)),
SUMPRODUCT(INDEX($AV$66:$AX$75,,$AI700), INDEX($AY$66:$BE$75,,$AH700), 1 / ($BG$66:$BG$75*BU700 + (1-$BG$66:$BG$75)*BQ700), N($AU$66:$AU$75&gt;$AM700))
) / 1000</f>
        <v>0</v>
      </c>
      <c r="BW700" s="231">
        <f t="shared" si="779"/>
        <v>25</v>
      </c>
      <c r="BX700" s="229">
        <f t="shared" si="794"/>
        <v>38</v>
      </c>
      <c r="BY700" s="234">
        <f t="shared" si="795"/>
        <v>4.0666935483870965</v>
      </c>
      <c r="BZ700" s="234" cm="1">
        <f t="array" ref="BZ700">$BM700 * IF($AH700&lt;=2,
SUMPRODUCT(INDEX($AV$66:$AX$70,,$AI700), INDEX($AY$66:$BE$70,,$AH700), 1 / ($BF$66:$BF$70*BY700 + (1-$BF$66:$BF$70)*BU700), N($AU$66:$AU$70&gt;$AM700)),
SUMPRODUCT(INDEX($AV$56:$AX$65,,$AI700), INDEX($AY$56:$BE$65,,$AH700), 1 / ($BG$56:$BG$65*BY700 + (1-$BG$56:$BG$65)*BU700), N($AU$56:$AU$65&gt;$AM700))
) / 1000</f>
        <v>0</v>
      </c>
      <c r="CA700" s="231">
        <f t="shared" si="780"/>
        <v>20</v>
      </c>
      <c r="CB700" s="229">
        <f t="shared" si="796"/>
        <v>33</v>
      </c>
      <c r="CC700" s="234">
        <f t="shared" si="797"/>
        <v>4.8487499999999999</v>
      </c>
      <c r="CD700" s="234" cm="1">
        <f t="array" ref="CD700">$BM700 * IF($AH700&lt;=2,
SUMPRODUCT(INDEX($AV$61:$AX$65,,$AI700), INDEX($AY$61:$BE$65,,$AH700), 1 / ($BF$61:$BF$65*CC700 + (1-$BF$61:$BF$65)*BY700), N($AU$61:$AU$65&gt;$AM700)),
SUMPRODUCT(INDEX($AV$46:$AX$55,,$AI700), INDEX($AY$46:$BE$55,,$AH700), 1 / ($BG$46:$BG$55*CC700 + (1-$BG$46:$BG$55)*BY700), N($AU$46:$AU$55&gt;$AM700))
) / 1000</f>
        <v>0</v>
      </c>
      <c r="CE700" s="234" cm="1">
        <f t="array" ref="CE700">$BM700 * IF($AH700&lt;=2,
SUMPRODUCT(INDEX($AV$22:$AX$60,,$AI700), INDEX($AY$22:$BE$60,,$AH700), 1 / ($BF$22:$BF$60*CC700), N($AU$22:$AU$60&gt;$AM700)),
SUMPRODUCT(INDEX($AV$22:$AX$45,,$AI700), INDEX($AY$22:$BE$45,,$AH700), 1 / ($BG$22:$BG$45*CC700), N($AU$22:$AU$45&gt;$AM700))
) / 1000</f>
        <v>0</v>
      </c>
      <c r="CF700" s="229">
        <f t="shared" si="798"/>
        <v>0</v>
      </c>
      <c r="CG700" s="246"/>
      <c r="CH700" s="229">
        <f t="shared" si="799"/>
        <v>0</v>
      </c>
      <c r="CI700" s="228">
        <v>35</v>
      </c>
      <c r="CJ700" s="229">
        <f t="shared" si="800"/>
        <v>48</v>
      </c>
      <c r="CK700" s="234">
        <f t="shared" si="801"/>
        <v>3.0748170731707316</v>
      </c>
      <c r="CL700" s="234" cm="1">
        <f t="array" ref="CL700">$BM700 * SUMPRODUCT(INDEX($AV$76:$AX$81,,$AI700),INDEX($AY$76:$BE$81,,$AH700), N($AU$76:$AU$81&gt;$AM700)) / CK700 / 1000</f>
        <v>0</v>
      </c>
      <c r="CM700" s="231">
        <f t="shared" si="781"/>
        <v>30</v>
      </c>
      <c r="CN700" s="229">
        <f t="shared" si="802"/>
        <v>43</v>
      </c>
      <c r="CO700" s="234">
        <f t="shared" si="803"/>
        <v>3.5018750000000001</v>
      </c>
      <c r="CP700" s="234" cm="1">
        <f t="array" ref="CP700">$BM700 * IF($AH700&lt;=2,
SUMPRODUCT(INDEX($AV$71:$AX$75,,$AI700), INDEX($AY$71:$BE$75,,$AH700), 1 / ($BF$71:$BF$75*CO700 + (1-$BF$71:$BF$75)*CK700), N($AU$71:$AU$75&gt;$AM700)),
SUMPRODUCT(INDEX($AV$66:$AX$75,,$AI700), INDEX($AY$66:$BE$75,,$AH700), 1 / ($BG$66:$BG$75*CO700 + (1-$BG$66:$BG$75)*CK700), N($AU$66:$AU$75&gt;$AM700))
) / 1000</f>
        <v>0</v>
      </c>
      <c r="CQ700" s="231">
        <f t="shared" si="782"/>
        <v>25</v>
      </c>
      <c r="CR700" s="229">
        <f t="shared" si="804"/>
        <v>38</v>
      </c>
      <c r="CS700" s="234">
        <f t="shared" si="805"/>
        <v>4.0666935483870965</v>
      </c>
      <c r="CT700" s="234" cm="1">
        <f t="array" ref="CT700">$BM700 * IF($AH700&lt;=2,
SUMPRODUCT(INDEX($AV$66:$AX$70,,$AI700), INDEX($AY$66:$BE$70,,$AH700), 1 / ($BF$66:$BF$70*CS700 + (1-$BF$66:$BF$70)*CO700), N($AU$66:$AU$70&gt;$AM700)),
SUMPRODUCT(INDEX($AV$56:$AX$65,,$AI700), INDEX($AY$56:$BE$65,,$AH700), 1 / ($BG$56:$BG$65*CS700 + (1-$BG$56:$BG$65)*CO700), N($AU$56:$AU$65&gt;$AM700))
) / 1000</f>
        <v>0</v>
      </c>
      <c r="CU700" s="231">
        <f t="shared" si="783"/>
        <v>20</v>
      </c>
      <c r="CV700" s="229">
        <f t="shared" si="806"/>
        <v>33</v>
      </c>
      <c r="CW700" s="234">
        <f t="shared" si="807"/>
        <v>4.8487499999999999</v>
      </c>
      <c r="CX700" s="234" cm="1">
        <f t="array" ref="CX700">$BM700 * IF($AH700&lt;=2,
SUMPRODUCT(INDEX($AV$61:$AX$65,,$AI700), INDEX($AY$61:$BE$65,,$AH700), 1 / ($BF$61:$BF$65*CW700 + (1-$BF$61:$BF$65)*CS700), N($AU$61:$AU$65&gt;$AM700)),
SUMPRODUCT(INDEX($AV$46:$AX$55,,$AI700), INDEX($AY$46:$BE$55,,$AH700), 1 / ($BG$46:$BG$55*CW700 + (1-$BG$46:$BG$55)*CS700), N($AU$46:$AU$55&gt;$AM700))
) / 1000</f>
        <v>0</v>
      </c>
      <c r="CY700" s="234" cm="1">
        <f t="array" ref="CY700">$BM700 * IF($AH700&lt;=2,
SUMPRODUCT(INDEX($AV$22:$AX$60,,$AI700), INDEX($AY$22:$BE$60,,$AH700), 1 / ($BF$22:$BF$60*CW700), N($AU$22:$AU$60&gt;$AM700)),
SUMPRODUCT(INDEX($AV$22:$AX$45,,$AI700), INDEX($AY$22:$BE$45,,$AH700), 1 / ($BG$22:$BG$45*CW700), N($AU$22:$AU$45&gt;$AM700))
) / 1000</f>
        <v>0</v>
      </c>
      <c r="CZ700" s="229">
        <f t="shared" si="808"/>
        <v>0</v>
      </c>
      <c r="DA700" s="246"/>
    </row>
    <row r="701" spans="1:105" s="75" customFormat="1" ht="14.25" customHeight="1" x14ac:dyDescent="0.2">
      <c r="A701" s="230" t="b">
        <f t="shared" si="775"/>
        <v>0</v>
      </c>
      <c r="B701" s="253">
        <v>680</v>
      </c>
      <c r="C701" s="266"/>
      <c r="D701" s="266"/>
      <c r="E701" s="254"/>
      <c r="F701" s="255" t="str">
        <f>IF(ISBLANK(E701), "", VLOOKUP(E701, Z!$A$2:$C$4127, 3, FALSE))</f>
        <v/>
      </c>
      <c r="G701" s="256"/>
      <c r="H701" s="256"/>
      <c r="I701" s="256"/>
      <c r="J701" s="257"/>
      <c r="K701" s="258"/>
      <c r="L701" s="267"/>
      <c r="M701" s="268"/>
      <c r="N701" s="259" t="str" cm="1">
        <f t="array" ref="N701">IF($L701&gt;0, INDEX(Clean,1+AK701,$D$1), "")</f>
        <v/>
      </c>
      <c r="O701" s="260"/>
      <c r="P701" s="260"/>
      <c r="Q701" s="261"/>
      <c r="R701" s="264">
        <f t="shared" si="784"/>
        <v>0</v>
      </c>
      <c r="S701" s="259" t="str" cm="1">
        <f t="array" ref="S701">IF($L701&gt;0, INDEX(Clean,1+AL701,$D$1), "")</f>
        <v/>
      </c>
      <c r="T701" s="260"/>
      <c r="U701" s="260"/>
      <c r="V701" s="261"/>
      <c r="W701" s="267"/>
      <c r="X701" s="267"/>
      <c r="Y701" s="257"/>
      <c r="Z701" s="264">
        <f t="shared" si="785"/>
        <v>0</v>
      </c>
      <c r="AA701" s="269"/>
      <c r="AB701" s="266"/>
      <c r="AC701" s="254"/>
      <c r="AD701" s="255" t="str">
        <f>IF(ISBLANK(AC701), "", VLOOKUP(AC701, Z!$A$2:$C$4127, 3, FALSE))</f>
        <v/>
      </c>
      <c r="AE701" s="270"/>
      <c r="AF701" s="265">
        <f t="shared" si="786"/>
        <v>0</v>
      </c>
      <c r="AG701" s="246"/>
      <c r="AH701" s="228">
        <f t="shared" si="809"/>
        <v>1</v>
      </c>
      <c r="AI701" s="228">
        <f t="shared" si="810"/>
        <v>1</v>
      </c>
      <c r="AJ701" s="228">
        <f t="shared" si="811"/>
        <v>0</v>
      </c>
      <c r="AK701" s="228">
        <v>0</v>
      </c>
      <c r="AL701" s="228">
        <v>0</v>
      </c>
      <c r="AM701" s="228">
        <f t="shared" si="787"/>
        <v>-100</v>
      </c>
      <c r="AN701" s="228" cm="1">
        <f t="array" ref="AN701">IF(ISBLANK(G701), 1, IFERROR(MATCH(G701, INDEX(Kat,,1), 0), IFERROR(MATCH(Kat, INDEX(Use,,2), 0), MATCH(Kat, INDEX(Use,,3), 0))))</f>
        <v>1</v>
      </c>
      <c r="AO701" s="246"/>
      <c r="AP701" s="228" cm="1">
        <f t="array" ref="AP701">IF(W701&gt;0, INDEX(Kat, AN701,4), 0)</f>
        <v>0</v>
      </c>
      <c r="AQ701" s="228">
        <f t="shared" si="812"/>
        <v>0</v>
      </c>
      <c r="AR701" s="228" cm="1">
        <f t="array" ref="AR701">IF(X701&gt;0, INDEX(Kat, $AN701, 4+AQ701), 0)</f>
        <v>0</v>
      </c>
      <c r="AS701" s="228" cm="1">
        <f t="array" ref="AS701">IF(X701&gt;0, INDEX(Kat, $AN701, 9+AQ701), 0)</f>
        <v>0</v>
      </c>
      <c r="AT701" s="246"/>
      <c r="AU701" s="262"/>
      <c r="AV701" s="262"/>
      <c r="AW701" s="263"/>
      <c r="AX701" s="263"/>
      <c r="AY701" s="263"/>
      <c r="AZ701" s="263"/>
      <c r="BA701" s="263"/>
      <c r="BB701" s="263"/>
      <c r="BC701" s="263"/>
      <c r="BD701" s="263"/>
      <c r="BE701" s="263"/>
      <c r="BF701" s="263"/>
      <c r="BG701" s="263"/>
      <c r="BH701" s="246"/>
      <c r="BI701" s="228" cm="1">
        <f t="array" ref="BI701">INDEX(Use, $AH701, 4)</f>
        <v>7</v>
      </c>
      <c r="BJ701" s="228">
        <f t="shared" si="788"/>
        <v>32</v>
      </c>
      <c r="BK701" s="228">
        <f t="shared" si="776"/>
        <v>13</v>
      </c>
      <c r="BL701" s="228">
        <f t="shared" si="777"/>
        <v>0</v>
      </c>
      <c r="BM701" s="233" cm="1">
        <f t="array" ref="BM701">L701/IF($M701&gt;0, INDEX($AY$22:$BE$76, $M701+20, $AH701), 1)</f>
        <v>0</v>
      </c>
      <c r="BN701" s="229">
        <f t="shared" si="789"/>
        <v>0</v>
      </c>
      <c r="BO701" s="228">
        <v>35</v>
      </c>
      <c r="BP701" s="229">
        <f t="shared" si="790"/>
        <v>48</v>
      </c>
      <c r="BQ701" s="234">
        <f t="shared" si="791"/>
        <v>3.0748170731707316</v>
      </c>
      <c r="BR701" s="234" cm="1">
        <f t="array" ref="BR701">$BM701 * SUMPRODUCT(INDEX($AV$76:$AX$81,,$AI701),INDEX($AY$76:$BE$81,,$AH701), N($AU$76:$AU$81&gt;$AM701)) / BQ701 / 1000</f>
        <v>0</v>
      </c>
      <c r="BS701" s="231">
        <f t="shared" si="778"/>
        <v>30</v>
      </c>
      <c r="BT701" s="229">
        <f t="shared" si="792"/>
        <v>43</v>
      </c>
      <c r="BU701" s="234">
        <f t="shared" si="793"/>
        <v>3.5018750000000001</v>
      </c>
      <c r="BV701" s="234" cm="1">
        <f t="array" ref="BV701">$BM701 * IF($AH701&lt;=2,
SUMPRODUCT(INDEX($AV$71:$AX$75,,$AI701), INDEX($AY$71:$BE$75,,$AH701), 1 / ($BF$71:$BF$75*BU701 + (1-$BF$71:$BF$75)*BQ701), N($AU$71:$AU$75&gt;$AM701)),
SUMPRODUCT(INDEX($AV$66:$AX$75,,$AI701), INDEX($AY$66:$BE$75,,$AH701), 1 / ($BG$66:$BG$75*BU701 + (1-$BG$66:$BG$75)*BQ701), N($AU$66:$AU$75&gt;$AM701))
) / 1000</f>
        <v>0</v>
      </c>
      <c r="BW701" s="231">
        <f t="shared" si="779"/>
        <v>25</v>
      </c>
      <c r="BX701" s="229">
        <f t="shared" si="794"/>
        <v>38</v>
      </c>
      <c r="BY701" s="234">
        <f t="shared" si="795"/>
        <v>4.0666935483870965</v>
      </c>
      <c r="BZ701" s="234" cm="1">
        <f t="array" ref="BZ701">$BM701 * IF($AH701&lt;=2,
SUMPRODUCT(INDEX($AV$66:$AX$70,,$AI701), INDEX($AY$66:$BE$70,,$AH701), 1 / ($BF$66:$BF$70*BY701 + (1-$BF$66:$BF$70)*BU701), N($AU$66:$AU$70&gt;$AM701)),
SUMPRODUCT(INDEX($AV$56:$AX$65,,$AI701), INDEX($AY$56:$BE$65,,$AH701), 1 / ($BG$56:$BG$65*BY701 + (1-$BG$56:$BG$65)*BU701), N($AU$56:$AU$65&gt;$AM701))
) / 1000</f>
        <v>0</v>
      </c>
      <c r="CA701" s="231">
        <f t="shared" si="780"/>
        <v>20</v>
      </c>
      <c r="CB701" s="229">
        <f t="shared" si="796"/>
        <v>33</v>
      </c>
      <c r="CC701" s="234">
        <f t="shared" si="797"/>
        <v>4.8487499999999999</v>
      </c>
      <c r="CD701" s="234" cm="1">
        <f t="array" ref="CD701">$BM701 * IF($AH701&lt;=2,
SUMPRODUCT(INDEX($AV$61:$AX$65,,$AI701), INDEX($AY$61:$BE$65,,$AH701), 1 / ($BF$61:$BF$65*CC701 + (1-$BF$61:$BF$65)*BY701), N($AU$61:$AU$65&gt;$AM701)),
SUMPRODUCT(INDEX($AV$46:$AX$55,,$AI701), INDEX($AY$46:$BE$55,,$AH701), 1 / ($BG$46:$BG$55*CC701 + (1-$BG$46:$BG$55)*BY701), N($AU$46:$AU$55&gt;$AM701))
) / 1000</f>
        <v>0</v>
      </c>
      <c r="CE701" s="234" cm="1">
        <f t="array" ref="CE701">$BM701 * IF($AH701&lt;=2,
SUMPRODUCT(INDEX($AV$22:$AX$60,,$AI701), INDEX($AY$22:$BE$60,,$AH701), 1 / ($BF$22:$BF$60*CC701), N($AU$22:$AU$60&gt;$AM701)),
SUMPRODUCT(INDEX($AV$22:$AX$45,,$AI701), INDEX($AY$22:$BE$45,,$AH701), 1 / ($BG$22:$BG$45*CC701), N($AU$22:$AU$45&gt;$AM701))
) / 1000</f>
        <v>0</v>
      </c>
      <c r="CF701" s="229">
        <f t="shared" si="798"/>
        <v>0</v>
      </c>
      <c r="CG701" s="246"/>
      <c r="CH701" s="229">
        <f t="shared" si="799"/>
        <v>0</v>
      </c>
      <c r="CI701" s="228">
        <v>35</v>
      </c>
      <c r="CJ701" s="229">
        <f t="shared" si="800"/>
        <v>48</v>
      </c>
      <c r="CK701" s="234">
        <f t="shared" si="801"/>
        <v>3.0748170731707316</v>
      </c>
      <c r="CL701" s="234" cm="1">
        <f t="array" ref="CL701">$BM701 * SUMPRODUCT(INDEX($AV$76:$AX$81,,$AI701),INDEX($AY$76:$BE$81,,$AH701), N($AU$76:$AU$81&gt;$AM701)) / CK701 / 1000</f>
        <v>0</v>
      </c>
      <c r="CM701" s="231">
        <f t="shared" si="781"/>
        <v>30</v>
      </c>
      <c r="CN701" s="229">
        <f t="shared" si="802"/>
        <v>43</v>
      </c>
      <c r="CO701" s="234">
        <f t="shared" si="803"/>
        <v>3.5018750000000001</v>
      </c>
      <c r="CP701" s="234" cm="1">
        <f t="array" ref="CP701">$BM701 * IF($AH701&lt;=2,
SUMPRODUCT(INDEX($AV$71:$AX$75,,$AI701), INDEX($AY$71:$BE$75,,$AH701), 1 / ($BF$71:$BF$75*CO701 + (1-$BF$71:$BF$75)*CK701), N($AU$71:$AU$75&gt;$AM701)),
SUMPRODUCT(INDEX($AV$66:$AX$75,,$AI701), INDEX($AY$66:$BE$75,,$AH701), 1 / ($BG$66:$BG$75*CO701 + (1-$BG$66:$BG$75)*CK701), N($AU$66:$AU$75&gt;$AM701))
) / 1000</f>
        <v>0</v>
      </c>
      <c r="CQ701" s="231">
        <f t="shared" si="782"/>
        <v>25</v>
      </c>
      <c r="CR701" s="229">
        <f t="shared" si="804"/>
        <v>38</v>
      </c>
      <c r="CS701" s="234">
        <f t="shared" si="805"/>
        <v>4.0666935483870965</v>
      </c>
      <c r="CT701" s="234" cm="1">
        <f t="array" ref="CT701">$BM701 * IF($AH701&lt;=2,
SUMPRODUCT(INDEX($AV$66:$AX$70,,$AI701), INDEX($AY$66:$BE$70,,$AH701), 1 / ($BF$66:$BF$70*CS701 + (1-$BF$66:$BF$70)*CO701), N($AU$66:$AU$70&gt;$AM701)),
SUMPRODUCT(INDEX($AV$56:$AX$65,,$AI701), INDEX($AY$56:$BE$65,,$AH701), 1 / ($BG$56:$BG$65*CS701 + (1-$BG$56:$BG$65)*CO701), N($AU$56:$AU$65&gt;$AM701))
) / 1000</f>
        <v>0</v>
      </c>
      <c r="CU701" s="231">
        <f t="shared" si="783"/>
        <v>20</v>
      </c>
      <c r="CV701" s="229">
        <f t="shared" si="806"/>
        <v>33</v>
      </c>
      <c r="CW701" s="234">
        <f t="shared" si="807"/>
        <v>4.8487499999999999</v>
      </c>
      <c r="CX701" s="234" cm="1">
        <f t="array" ref="CX701">$BM701 * IF($AH701&lt;=2,
SUMPRODUCT(INDEX($AV$61:$AX$65,,$AI701), INDEX($AY$61:$BE$65,,$AH701), 1 / ($BF$61:$BF$65*CW701 + (1-$BF$61:$BF$65)*CS701), N($AU$61:$AU$65&gt;$AM701)),
SUMPRODUCT(INDEX($AV$46:$AX$55,,$AI701), INDEX($AY$46:$BE$55,,$AH701), 1 / ($BG$46:$BG$55*CW701 + (1-$BG$46:$BG$55)*CS701), N($AU$46:$AU$55&gt;$AM701))
) / 1000</f>
        <v>0</v>
      </c>
      <c r="CY701" s="234" cm="1">
        <f t="array" ref="CY701">$BM701 * IF($AH701&lt;=2,
SUMPRODUCT(INDEX($AV$22:$AX$60,,$AI701), INDEX($AY$22:$BE$60,,$AH701), 1 / ($BF$22:$BF$60*CW701), N($AU$22:$AU$60&gt;$AM701)),
SUMPRODUCT(INDEX($AV$22:$AX$45,,$AI701), INDEX($AY$22:$BE$45,,$AH701), 1 / ($BG$22:$BG$45*CW701), N($AU$22:$AU$45&gt;$AM701))
) / 1000</f>
        <v>0</v>
      </c>
      <c r="CZ701" s="229">
        <f t="shared" si="808"/>
        <v>0</v>
      </c>
      <c r="DA701" s="246"/>
    </row>
    <row r="702" spans="1:105" s="75" customFormat="1" ht="14.25" customHeight="1" x14ac:dyDescent="0.2">
      <c r="A702" s="230" t="b">
        <f t="shared" si="775"/>
        <v>0</v>
      </c>
      <c r="B702" s="253">
        <v>681</v>
      </c>
      <c r="C702" s="266"/>
      <c r="D702" s="266"/>
      <c r="E702" s="254"/>
      <c r="F702" s="255" t="str">
        <f>IF(ISBLANK(E702), "", VLOOKUP(E702, Z!$A$2:$C$4127, 3, FALSE))</f>
        <v/>
      </c>
      <c r="G702" s="256"/>
      <c r="H702" s="256"/>
      <c r="I702" s="256"/>
      <c r="J702" s="257"/>
      <c r="K702" s="258"/>
      <c r="L702" s="267"/>
      <c r="M702" s="268"/>
      <c r="N702" s="259" t="str" cm="1">
        <f t="array" ref="N702">IF($L702&gt;0, INDEX(Clean,1+AK702,$D$1), "")</f>
        <v/>
      </c>
      <c r="O702" s="260"/>
      <c r="P702" s="260"/>
      <c r="Q702" s="261"/>
      <c r="R702" s="264">
        <f t="shared" si="784"/>
        <v>0</v>
      </c>
      <c r="S702" s="259" t="str" cm="1">
        <f t="array" ref="S702">IF($L702&gt;0, INDEX(Clean,1+AL702,$D$1), "")</f>
        <v/>
      </c>
      <c r="T702" s="260"/>
      <c r="U702" s="260"/>
      <c r="V702" s="261"/>
      <c r="W702" s="267"/>
      <c r="X702" s="267"/>
      <c r="Y702" s="257"/>
      <c r="Z702" s="264">
        <f t="shared" si="785"/>
        <v>0</v>
      </c>
      <c r="AA702" s="269"/>
      <c r="AB702" s="266"/>
      <c r="AC702" s="254"/>
      <c r="AD702" s="255" t="str">
        <f>IF(ISBLANK(AC702), "", VLOOKUP(AC702, Z!$A$2:$C$4127, 3, FALSE))</f>
        <v/>
      </c>
      <c r="AE702" s="270"/>
      <c r="AF702" s="265">
        <f t="shared" si="786"/>
        <v>0</v>
      </c>
      <c r="AG702" s="246"/>
      <c r="AH702" s="228">
        <f t="shared" si="809"/>
        <v>1</v>
      </c>
      <c r="AI702" s="228">
        <f t="shared" si="810"/>
        <v>1</v>
      </c>
      <c r="AJ702" s="228">
        <f t="shared" si="811"/>
        <v>0</v>
      </c>
      <c r="AK702" s="228">
        <v>0</v>
      </c>
      <c r="AL702" s="228">
        <v>0</v>
      </c>
      <c r="AM702" s="228">
        <f t="shared" si="787"/>
        <v>-100</v>
      </c>
      <c r="AN702" s="228" cm="1">
        <f t="array" ref="AN702">IF(ISBLANK(G702), 1, IFERROR(MATCH(G702, INDEX(Kat,,1), 0), IFERROR(MATCH(Kat, INDEX(Use,,2), 0), MATCH(Kat, INDEX(Use,,3), 0))))</f>
        <v>1</v>
      </c>
      <c r="AO702" s="246"/>
      <c r="AP702" s="228" cm="1">
        <f t="array" ref="AP702">IF(W702&gt;0, INDEX(Kat, AN702,4), 0)</f>
        <v>0</v>
      </c>
      <c r="AQ702" s="228">
        <f t="shared" si="812"/>
        <v>0</v>
      </c>
      <c r="AR702" s="228" cm="1">
        <f t="array" ref="AR702">IF(X702&gt;0, INDEX(Kat, $AN702, 4+AQ702), 0)</f>
        <v>0</v>
      </c>
      <c r="AS702" s="228" cm="1">
        <f t="array" ref="AS702">IF(X702&gt;0, INDEX(Kat, $AN702, 9+AQ702), 0)</f>
        <v>0</v>
      </c>
      <c r="AT702" s="246"/>
      <c r="AU702" s="262"/>
      <c r="AV702" s="262"/>
      <c r="AW702" s="263"/>
      <c r="AX702" s="263"/>
      <c r="AY702" s="263"/>
      <c r="AZ702" s="263"/>
      <c r="BA702" s="263"/>
      <c r="BB702" s="263"/>
      <c r="BC702" s="263"/>
      <c r="BD702" s="263"/>
      <c r="BE702" s="263"/>
      <c r="BF702" s="263"/>
      <c r="BG702" s="263"/>
      <c r="BH702" s="246"/>
      <c r="BI702" s="228" cm="1">
        <f t="array" ref="BI702">INDEX(Use, $AH702, 4)</f>
        <v>7</v>
      </c>
      <c r="BJ702" s="228">
        <f t="shared" si="788"/>
        <v>32</v>
      </c>
      <c r="BK702" s="228">
        <f t="shared" si="776"/>
        <v>13</v>
      </c>
      <c r="BL702" s="228">
        <f t="shared" si="777"/>
        <v>0</v>
      </c>
      <c r="BM702" s="233" cm="1">
        <f t="array" ref="BM702">L702/IF($M702&gt;0, INDEX($AY$22:$BE$76, $M702+20, $AH702), 1)</f>
        <v>0</v>
      </c>
      <c r="BN702" s="229">
        <f t="shared" si="789"/>
        <v>0</v>
      </c>
      <c r="BO702" s="228">
        <v>35</v>
      </c>
      <c r="BP702" s="229">
        <f t="shared" si="790"/>
        <v>48</v>
      </c>
      <c r="BQ702" s="234">
        <f t="shared" si="791"/>
        <v>3.0748170731707316</v>
      </c>
      <c r="BR702" s="234" cm="1">
        <f t="array" ref="BR702">$BM702 * SUMPRODUCT(INDEX($AV$76:$AX$81,,$AI702),INDEX($AY$76:$BE$81,,$AH702), N($AU$76:$AU$81&gt;$AM702)) / BQ702 / 1000</f>
        <v>0</v>
      </c>
      <c r="BS702" s="231">
        <f t="shared" si="778"/>
        <v>30</v>
      </c>
      <c r="BT702" s="229">
        <f t="shared" si="792"/>
        <v>43</v>
      </c>
      <c r="BU702" s="234">
        <f t="shared" si="793"/>
        <v>3.5018750000000001</v>
      </c>
      <c r="BV702" s="234" cm="1">
        <f t="array" ref="BV702">$BM702 * IF($AH702&lt;=2,
SUMPRODUCT(INDEX($AV$71:$AX$75,,$AI702), INDEX($AY$71:$BE$75,,$AH702), 1 / ($BF$71:$BF$75*BU702 + (1-$BF$71:$BF$75)*BQ702), N($AU$71:$AU$75&gt;$AM702)),
SUMPRODUCT(INDEX($AV$66:$AX$75,,$AI702), INDEX($AY$66:$BE$75,,$AH702), 1 / ($BG$66:$BG$75*BU702 + (1-$BG$66:$BG$75)*BQ702), N($AU$66:$AU$75&gt;$AM702))
) / 1000</f>
        <v>0</v>
      </c>
      <c r="BW702" s="231">
        <f t="shared" si="779"/>
        <v>25</v>
      </c>
      <c r="BX702" s="229">
        <f t="shared" si="794"/>
        <v>38</v>
      </c>
      <c r="BY702" s="234">
        <f t="shared" si="795"/>
        <v>4.0666935483870965</v>
      </c>
      <c r="BZ702" s="234" cm="1">
        <f t="array" ref="BZ702">$BM702 * IF($AH702&lt;=2,
SUMPRODUCT(INDEX($AV$66:$AX$70,,$AI702), INDEX($AY$66:$BE$70,,$AH702), 1 / ($BF$66:$BF$70*BY702 + (1-$BF$66:$BF$70)*BU702), N($AU$66:$AU$70&gt;$AM702)),
SUMPRODUCT(INDEX($AV$56:$AX$65,,$AI702), INDEX($AY$56:$BE$65,,$AH702), 1 / ($BG$56:$BG$65*BY702 + (1-$BG$56:$BG$65)*BU702), N($AU$56:$AU$65&gt;$AM702))
) / 1000</f>
        <v>0</v>
      </c>
      <c r="CA702" s="231">
        <f t="shared" si="780"/>
        <v>20</v>
      </c>
      <c r="CB702" s="229">
        <f t="shared" si="796"/>
        <v>33</v>
      </c>
      <c r="CC702" s="234">
        <f t="shared" si="797"/>
        <v>4.8487499999999999</v>
      </c>
      <c r="CD702" s="234" cm="1">
        <f t="array" ref="CD702">$BM702 * IF($AH702&lt;=2,
SUMPRODUCT(INDEX($AV$61:$AX$65,,$AI702), INDEX($AY$61:$BE$65,,$AH702), 1 / ($BF$61:$BF$65*CC702 + (1-$BF$61:$BF$65)*BY702), N($AU$61:$AU$65&gt;$AM702)),
SUMPRODUCT(INDEX($AV$46:$AX$55,,$AI702), INDEX($AY$46:$BE$55,,$AH702), 1 / ($BG$46:$BG$55*CC702 + (1-$BG$46:$BG$55)*BY702), N($AU$46:$AU$55&gt;$AM702))
) / 1000</f>
        <v>0</v>
      </c>
      <c r="CE702" s="234" cm="1">
        <f t="array" ref="CE702">$BM702 * IF($AH702&lt;=2,
SUMPRODUCT(INDEX($AV$22:$AX$60,,$AI702), INDEX($AY$22:$BE$60,,$AH702), 1 / ($BF$22:$BF$60*CC702), N($AU$22:$AU$60&gt;$AM702)),
SUMPRODUCT(INDEX($AV$22:$AX$45,,$AI702), INDEX($AY$22:$BE$45,,$AH702), 1 / ($BG$22:$BG$45*CC702), N($AU$22:$AU$45&gt;$AM702))
) / 1000</f>
        <v>0</v>
      </c>
      <c r="CF702" s="229">
        <f t="shared" si="798"/>
        <v>0</v>
      </c>
      <c r="CG702" s="246"/>
      <c r="CH702" s="229">
        <f t="shared" si="799"/>
        <v>0</v>
      </c>
      <c r="CI702" s="228">
        <v>35</v>
      </c>
      <c r="CJ702" s="229">
        <f t="shared" si="800"/>
        <v>48</v>
      </c>
      <c r="CK702" s="234">
        <f t="shared" si="801"/>
        <v>3.0748170731707316</v>
      </c>
      <c r="CL702" s="234" cm="1">
        <f t="array" ref="CL702">$BM702 * SUMPRODUCT(INDEX($AV$76:$AX$81,,$AI702),INDEX($AY$76:$BE$81,,$AH702), N($AU$76:$AU$81&gt;$AM702)) / CK702 / 1000</f>
        <v>0</v>
      </c>
      <c r="CM702" s="231">
        <f t="shared" si="781"/>
        <v>30</v>
      </c>
      <c r="CN702" s="229">
        <f t="shared" si="802"/>
        <v>43</v>
      </c>
      <c r="CO702" s="234">
        <f t="shared" si="803"/>
        <v>3.5018750000000001</v>
      </c>
      <c r="CP702" s="234" cm="1">
        <f t="array" ref="CP702">$BM702 * IF($AH702&lt;=2,
SUMPRODUCT(INDEX($AV$71:$AX$75,,$AI702), INDEX($AY$71:$BE$75,,$AH702), 1 / ($BF$71:$BF$75*CO702 + (1-$BF$71:$BF$75)*CK702), N($AU$71:$AU$75&gt;$AM702)),
SUMPRODUCT(INDEX($AV$66:$AX$75,,$AI702), INDEX($AY$66:$BE$75,,$AH702), 1 / ($BG$66:$BG$75*CO702 + (1-$BG$66:$BG$75)*CK702), N($AU$66:$AU$75&gt;$AM702))
) / 1000</f>
        <v>0</v>
      </c>
      <c r="CQ702" s="231">
        <f t="shared" si="782"/>
        <v>25</v>
      </c>
      <c r="CR702" s="229">
        <f t="shared" si="804"/>
        <v>38</v>
      </c>
      <c r="CS702" s="234">
        <f t="shared" si="805"/>
        <v>4.0666935483870965</v>
      </c>
      <c r="CT702" s="234" cm="1">
        <f t="array" ref="CT702">$BM702 * IF($AH702&lt;=2,
SUMPRODUCT(INDEX($AV$66:$AX$70,,$AI702), INDEX($AY$66:$BE$70,,$AH702), 1 / ($BF$66:$BF$70*CS702 + (1-$BF$66:$BF$70)*CO702), N($AU$66:$AU$70&gt;$AM702)),
SUMPRODUCT(INDEX($AV$56:$AX$65,,$AI702), INDEX($AY$56:$BE$65,,$AH702), 1 / ($BG$56:$BG$65*CS702 + (1-$BG$56:$BG$65)*CO702), N($AU$56:$AU$65&gt;$AM702))
) / 1000</f>
        <v>0</v>
      </c>
      <c r="CU702" s="231">
        <f t="shared" si="783"/>
        <v>20</v>
      </c>
      <c r="CV702" s="229">
        <f t="shared" si="806"/>
        <v>33</v>
      </c>
      <c r="CW702" s="234">
        <f t="shared" si="807"/>
        <v>4.8487499999999999</v>
      </c>
      <c r="CX702" s="234" cm="1">
        <f t="array" ref="CX702">$BM702 * IF($AH702&lt;=2,
SUMPRODUCT(INDEX($AV$61:$AX$65,,$AI702), INDEX($AY$61:$BE$65,,$AH702), 1 / ($BF$61:$BF$65*CW702 + (1-$BF$61:$BF$65)*CS702), N($AU$61:$AU$65&gt;$AM702)),
SUMPRODUCT(INDEX($AV$46:$AX$55,,$AI702), INDEX($AY$46:$BE$55,,$AH702), 1 / ($BG$46:$BG$55*CW702 + (1-$BG$46:$BG$55)*CS702), N($AU$46:$AU$55&gt;$AM702))
) / 1000</f>
        <v>0</v>
      </c>
      <c r="CY702" s="234" cm="1">
        <f t="array" ref="CY702">$BM702 * IF($AH702&lt;=2,
SUMPRODUCT(INDEX($AV$22:$AX$60,,$AI702), INDEX($AY$22:$BE$60,,$AH702), 1 / ($BF$22:$BF$60*CW702), N($AU$22:$AU$60&gt;$AM702)),
SUMPRODUCT(INDEX($AV$22:$AX$45,,$AI702), INDEX($AY$22:$BE$45,,$AH702), 1 / ($BG$22:$BG$45*CW702), N($AU$22:$AU$45&gt;$AM702))
) / 1000</f>
        <v>0</v>
      </c>
      <c r="CZ702" s="229">
        <f t="shared" si="808"/>
        <v>0</v>
      </c>
      <c r="DA702" s="246"/>
    </row>
    <row r="703" spans="1:105" s="75" customFormat="1" ht="14.25" customHeight="1" x14ac:dyDescent="0.2">
      <c r="A703" s="230" t="b">
        <f t="shared" si="775"/>
        <v>0</v>
      </c>
      <c r="B703" s="253">
        <v>682</v>
      </c>
      <c r="C703" s="266"/>
      <c r="D703" s="266"/>
      <c r="E703" s="254"/>
      <c r="F703" s="255" t="str">
        <f>IF(ISBLANK(E703), "", VLOOKUP(E703, Z!$A$2:$C$4127, 3, FALSE))</f>
        <v/>
      </c>
      <c r="G703" s="256"/>
      <c r="H703" s="256"/>
      <c r="I703" s="256"/>
      <c r="J703" s="257"/>
      <c r="K703" s="258"/>
      <c r="L703" s="267"/>
      <c r="M703" s="268"/>
      <c r="N703" s="259" t="str" cm="1">
        <f t="array" ref="N703">IF($L703&gt;0, INDEX(Clean,1+AK703,$D$1), "")</f>
        <v/>
      </c>
      <c r="O703" s="260"/>
      <c r="P703" s="260"/>
      <c r="Q703" s="261"/>
      <c r="R703" s="264">
        <f t="shared" si="784"/>
        <v>0</v>
      </c>
      <c r="S703" s="259" t="str" cm="1">
        <f t="array" ref="S703">IF($L703&gt;0, INDEX(Clean,1+AL703,$D$1), "")</f>
        <v/>
      </c>
      <c r="T703" s="260"/>
      <c r="U703" s="260"/>
      <c r="V703" s="261"/>
      <c r="W703" s="267"/>
      <c r="X703" s="267"/>
      <c r="Y703" s="257"/>
      <c r="Z703" s="264">
        <f t="shared" si="785"/>
        <v>0</v>
      </c>
      <c r="AA703" s="269"/>
      <c r="AB703" s="266"/>
      <c r="AC703" s="254"/>
      <c r="AD703" s="255" t="str">
        <f>IF(ISBLANK(AC703), "", VLOOKUP(AC703, Z!$A$2:$C$4127, 3, FALSE))</f>
        <v/>
      </c>
      <c r="AE703" s="270"/>
      <c r="AF703" s="265">
        <f t="shared" si="786"/>
        <v>0</v>
      </c>
      <c r="AG703" s="246"/>
      <c r="AH703" s="228">
        <f t="shared" si="809"/>
        <v>1</v>
      </c>
      <c r="AI703" s="228">
        <f t="shared" si="810"/>
        <v>1</v>
      </c>
      <c r="AJ703" s="228">
        <f t="shared" si="811"/>
        <v>0</v>
      </c>
      <c r="AK703" s="228">
        <v>0</v>
      </c>
      <c r="AL703" s="228">
        <v>0</v>
      </c>
      <c r="AM703" s="228">
        <f t="shared" si="787"/>
        <v>-100</v>
      </c>
      <c r="AN703" s="228" cm="1">
        <f t="array" ref="AN703">IF(ISBLANK(G703), 1, IFERROR(MATCH(G703, INDEX(Kat,,1), 0), IFERROR(MATCH(Kat, INDEX(Use,,2), 0), MATCH(Kat, INDEX(Use,,3), 0))))</f>
        <v>1</v>
      </c>
      <c r="AO703" s="246"/>
      <c r="AP703" s="228" cm="1">
        <f t="array" ref="AP703">IF(W703&gt;0, INDEX(Kat, AN703,4), 0)</f>
        <v>0</v>
      </c>
      <c r="AQ703" s="228">
        <f t="shared" si="812"/>
        <v>0</v>
      </c>
      <c r="AR703" s="228" cm="1">
        <f t="array" ref="AR703">IF(X703&gt;0, INDEX(Kat, $AN703, 4+AQ703), 0)</f>
        <v>0</v>
      </c>
      <c r="AS703" s="228" cm="1">
        <f t="array" ref="AS703">IF(X703&gt;0, INDEX(Kat, $AN703, 9+AQ703), 0)</f>
        <v>0</v>
      </c>
      <c r="AT703" s="246"/>
      <c r="AU703" s="262"/>
      <c r="AV703" s="262"/>
      <c r="AW703" s="263"/>
      <c r="AX703" s="263"/>
      <c r="AY703" s="263"/>
      <c r="AZ703" s="263"/>
      <c r="BA703" s="263"/>
      <c r="BB703" s="263"/>
      <c r="BC703" s="263"/>
      <c r="BD703" s="263"/>
      <c r="BE703" s="263"/>
      <c r="BF703" s="263"/>
      <c r="BG703" s="263"/>
      <c r="BH703" s="246"/>
      <c r="BI703" s="228" cm="1">
        <f t="array" ref="BI703">INDEX(Use, $AH703, 4)</f>
        <v>7</v>
      </c>
      <c r="BJ703" s="228">
        <f t="shared" si="788"/>
        <v>32</v>
      </c>
      <c r="BK703" s="228">
        <f t="shared" si="776"/>
        <v>13</v>
      </c>
      <c r="BL703" s="228">
        <f t="shared" si="777"/>
        <v>0</v>
      </c>
      <c r="BM703" s="233" cm="1">
        <f t="array" ref="BM703">L703/IF($M703&gt;0, INDEX($AY$22:$BE$76, $M703+20, $AH703), 1)</f>
        <v>0</v>
      </c>
      <c r="BN703" s="229">
        <f t="shared" si="789"/>
        <v>0</v>
      </c>
      <c r="BO703" s="228">
        <v>35</v>
      </c>
      <c r="BP703" s="229">
        <f t="shared" si="790"/>
        <v>48</v>
      </c>
      <c r="BQ703" s="234">
        <f t="shared" si="791"/>
        <v>3.0748170731707316</v>
      </c>
      <c r="BR703" s="234" cm="1">
        <f t="array" ref="BR703">$BM703 * SUMPRODUCT(INDEX($AV$76:$AX$81,,$AI703),INDEX($AY$76:$BE$81,,$AH703), N($AU$76:$AU$81&gt;$AM703)) / BQ703 / 1000</f>
        <v>0</v>
      </c>
      <c r="BS703" s="231">
        <f t="shared" si="778"/>
        <v>30</v>
      </c>
      <c r="BT703" s="229">
        <f t="shared" si="792"/>
        <v>43</v>
      </c>
      <c r="BU703" s="234">
        <f t="shared" si="793"/>
        <v>3.5018750000000001</v>
      </c>
      <c r="BV703" s="234" cm="1">
        <f t="array" ref="BV703">$BM703 * IF($AH703&lt;=2,
SUMPRODUCT(INDEX($AV$71:$AX$75,,$AI703), INDEX($AY$71:$BE$75,,$AH703), 1 / ($BF$71:$BF$75*BU703 + (1-$BF$71:$BF$75)*BQ703), N($AU$71:$AU$75&gt;$AM703)),
SUMPRODUCT(INDEX($AV$66:$AX$75,,$AI703), INDEX($AY$66:$BE$75,,$AH703), 1 / ($BG$66:$BG$75*BU703 + (1-$BG$66:$BG$75)*BQ703), N($AU$66:$AU$75&gt;$AM703))
) / 1000</f>
        <v>0</v>
      </c>
      <c r="BW703" s="231">
        <f t="shared" si="779"/>
        <v>25</v>
      </c>
      <c r="BX703" s="229">
        <f t="shared" si="794"/>
        <v>38</v>
      </c>
      <c r="BY703" s="234">
        <f t="shared" si="795"/>
        <v>4.0666935483870965</v>
      </c>
      <c r="BZ703" s="234" cm="1">
        <f t="array" ref="BZ703">$BM703 * IF($AH703&lt;=2,
SUMPRODUCT(INDEX($AV$66:$AX$70,,$AI703), INDEX($AY$66:$BE$70,,$AH703), 1 / ($BF$66:$BF$70*BY703 + (1-$BF$66:$BF$70)*BU703), N($AU$66:$AU$70&gt;$AM703)),
SUMPRODUCT(INDEX($AV$56:$AX$65,,$AI703), INDEX($AY$56:$BE$65,,$AH703), 1 / ($BG$56:$BG$65*BY703 + (1-$BG$56:$BG$65)*BU703), N($AU$56:$AU$65&gt;$AM703))
) / 1000</f>
        <v>0</v>
      </c>
      <c r="CA703" s="231">
        <f t="shared" si="780"/>
        <v>20</v>
      </c>
      <c r="CB703" s="229">
        <f t="shared" si="796"/>
        <v>33</v>
      </c>
      <c r="CC703" s="234">
        <f t="shared" si="797"/>
        <v>4.8487499999999999</v>
      </c>
      <c r="CD703" s="234" cm="1">
        <f t="array" ref="CD703">$BM703 * IF($AH703&lt;=2,
SUMPRODUCT(INDEX($AV$61:$AX$65,,$AI703), INDEX($AY$61:$BE$65,,$AH703), 1 / ($BF$61:$BF$65*CC703 + (1-$BF$61:$BF$65)*BY703), N($AU$61:$AU$65&gt;$AM703)),
SUMPRODUCT(INDEX($AV$46:$AX$55,,$AI703), INDEX($AY$46:$BE$55,,$AH703), 1 / ($BG$46:$BG$55*CC703 + (1-$BG$46:$BG$55)*BY703), N($AU$46:$AU$55&gt;$AM703))
) / 1000</f>
        <v>0</v>
      </c>
      <c r="CE703" s="234" cm="1">
        <f t="array" ref="CE703">$BM703 * IF($AH703&lt;=2,
SUMPRODUCT(INDEX($AV$22:$AX$60,,$AI703), INDEX($AY$22:$BE$60,,$AH703), 1 / ($BF$22:$BF$60*CC703), N($AU$22:$AU$60&gt;$AM703)),
SUMPRODUCT(INDEX($AV$22:$AX$45,,$AI703), INDEX($AY$22:$BE$45,,$AH703), 1 / ($BG$22:$BG$45*CC703), N($AU$22:$AU$45&gt;$AM703))
) / 1000</f>
        <v>0</v>
      </c>
      <c r="CF703" s="229">
        <f t="shared" si="798"/>
        <v>0</v>
      </c>
      <c r="CG703" s="246"/>
      <c r="CH703" s="229">
        <f t="shared" si="799"/>
        <v>0</v>
      </c>
      <c r="CI703" s="228">
        <v>35</v>
      </c>
      <c r="CJ703" s="229">
        <f t="shared" si="800"/>
        <v>48</v>
      </c>
      <c r="CK703" s="234">
        <f t="shared" si="801"/>
        <v>3.0748170731707316</v>
      </c>
      <c r="CL703" s="234" cm="1">
        <f t="array" ref="CL703">$BM703 * SUMPRODUCT(INDEX($AV$76:$AX$81,,$AI703),INDEX($AY$76:$BE$81,,$AH703), N($AU$76:$AU$81&gt;$AM703)) / CK703 / 1000</f>
        <v>0</v>
      </c>
      <c r="CM703" s="231">
        <f t="shared" si="781"/>
        <v>30</v>
      </c>
      <c r="CN703" s="229">
        <f t="shared" si="802"/>
        <v>43</v>
      </c>
      <c r="CO703" s="234">
        <f t="shared" si="803"/>
        <v>3.5018750000000001</v>
      </c>
      <c r="CP703" s="234" cm="1">
        <f t="array" ref="CP703">$BM703 * IF($AH703&lt;=2,
SUMPRODUCT(INDEX($AV$71:$AX$75,,$AI703), INDEX($AY$71:$BE$75,,$AH703), 1 / ($BF$71:$BF$75*CO703 + (1-$BF$71:$BF$75)*CK703), N($AU$71:$AU$75&gt;$AM703)),
SUMPRODUCT(INDEX($AV$66:$AX$75,,$AI703), INDEX($AY$66:$BE$75,,$AH703), 1 / ($BG$66:$BG$75*CO703 + (1-$BG$66:$BG$75)*CK703), N($AU$66:$AU$75&gt;$AM703))
) / 1000</f>
        <v>0</v>
      </c>
      <c r="CQ703" s="231">
        <f t="shared" si="782"/>
        <v>25</v>
      </c>
      <c r="CR703" s="229">
        <f t="shared" si="804"/>
        <v>38</v>
      </c>
      <c r="CS703" s="234">
        <f t="shared" si="805"/>
        <v>4.0666935483870965</v>
      </c>
      <c r="CT703" s="234" cm="1">
        <f t="array" ref="CT703">$BM703 * IF($AH703&lt;=2,
SUMPRODUCT(INDEX($AV$66:$AX$70,,$AI703), INDEX($AY$66:$BE$70,,$AH703), 1 / ($BF$66:$BF$70*CS703 + (1-$BF$66:$BF$70)*CO703), N($AU$66:$AU$70&gt;$AM703)),
SUMPRODUCT(INDEX($AV$56:$AX$65,,$AI703), INDEX($AY$56:$BE$65,,$AH703), 1 / ($BG$56:$BG$65*CS703 + (1-$BG$56:$BG$65)*CO703), N($AU$56:$AU$65&gt;$AM703))
) / 1000</f>
        <v>0</v>
      </c>
      <c r="CU703" s="231">
        <f t="shared" si="783"/>
        <v>20</v>
      </c>
      <c r="CV703" s="229">
        <f t="shared" si="806"/>
        <v>33</v>
      </c>
      <c r="CW703" s="234">
        <f t="shared" si="807"/>
        <v>4.8487499999999999</v>
      </c>
      <c r="CX703" s="234" cm="1">
        <f t="array" ref="CX703">$BM703 * IF($AH703&lt;=2,
SUMPRODUCT(INDEX($AV$61:$AX$65,,$AI703), INDEX($AY$61:$BE$65,,$AH703), 1 / ($BF$61:$BF$65*CW703 + (1-$BF$61:$BF$65)*CS703), N($AU$61:$AU$65&gt;$AM703)),
SUMPRODUCT(INDEX($AV$46:$AX$55,,$AI703), INDEX($AY$46:$BE$55,,$AH703), 1 / ($BG$46:$BG$55*CW703 + (1-$BG$46:$BG$55)*CS703), N($AU$46:$AU$55&gt;$AM703))
) / 1000</f>
        <v>0</v>
      </c>
      <c r="CY703" s="234" cm="1">
        <f t="array" ref="CY703">$BM703 * IF($AH703&lt;=2,
SUMPRODUCT(INDEX($AV$22:$AX$60,,$AI703), INDEX($AY$22:$BE$60,,$AH703), 1 / ($BF$22:$BF$60*CW703), N($AU$22:$AU$60&gt;$AM703)),
SUMPRODUCT(INDEX($AV$22:$AX$45,,$AI703), INDEX($AY$22:$BE$45,,$AH703), 1 / ($BG$22:$BG$45*CW703), N($AU$22:$AU$45&gt;$AM703))
) / 1000</f>
        <v>0</v>
      </c>
      <c r="CZ703" s="229">
        <f t="shared" si="808"/>
        <v>0</v>
      </c>
      <c r="DA703" s="246"/>
    </row>
    <row r="704" spans="1:105" s="75" customFormat="1" ht="14.25" customHeight="1" x14ac:dyDescent="0.2">
      <c r="A704" s="230" t="b">
        <f t="shared" si="775"/>
        <v>0</v>
      </c>
      <c r="B704" s="253">
        <v>683</v>
      </c>
      <c r="C704" s="266"/>
      <c r="D704" s="266"/>
      <c r="E704" s="254"/>
      <c r="F704" s="255" t="str">
        <f>IF(ISBLANK(E704), "", VLOOKUP(E704, Z!$A$2:$C$4127, 3, FALSE))</f>
        <v/>
      </c>
      <c r="G704" s="256"/>
      <c r="H704" s="256"/>
      <c r="I704" s="256"/>
      <c r="J704" s="257"/>
      <c r="K704" s="258"/>
      <c r="L704" s="267"/>
      <c r="M704" s="268"/>
      <c r="N704" s="259" t="str" cm="1">
        <f t="array" ref="N704">IF($L704&gt;0, INDEX(Clean,1+AK704,$D$1), "")</f>
        <v/>
      </c>
      <c r="O704" s="260"/>
      <c r="P704" s="260"/>
      <c r="Q704" s="261"/>
      <c r="R704" s="264">
        <f t="shared" si="784"/>
        <v>0</v>
      </c>
      <c r="S704" s="259" t="str" cm="1">
        <f t="array" ref="S704">IF($L704&gt;0, INDEX(Clean,1+AL704,$D$1), "")</f>
        <v/>
      </c>
      <c r="T704" s="260"/>
      <c r="U704" s="260"/>
      <c r="V704" s="261"/>
      <c r="W704" s="267"/>
      <c r="X704" s="267"/>
      <c r="Y704" s="257"/>
      <c r="Z704" s="264">
        <f t="shared" si="785"/>
        <v>0</v>
      </c>
      <c r="AA704" s="269"/>
      <c r="AB704" s="266"/>
      <c r="AC704" s="254"/>
      <c r="AD704" s="255" t="str">
        <f>IF(ISBLANK(AC704), "", VLOOKUP(AC704, Z!$A$2:$C$4127, 3, FALSE))</f>
        <v/>
      </c>
      <c r="AE704" s="270"/>
      <c r="AF704" s="265">
        <f t="shared" si="786"/>
        <v>0</v>
      </c>
      <c r="AG704" s="246"/>
      <c r="AH704" s="228">
        <f t="shared" si="809"/>
        <v>1</v>
      </c>
      <c r="AI704" s="228">
        <f t="shared" si="810"/>
        <v>1</v>
      </c>
      <c r="AJ704" s="228">
        <f t="shared" si="811"/>
        <v>0</v>
      </c>
      <c r="AK704" s="228">
        <v>0</v>
      </c>
      <c r="AL704" s="228">
        <v>0</v>
      </c>
      <c r="AM704" s="228">
        <f t="shared" si="787"/>
        <v>-100</v>
      </c>
      <c r="AN704" s="228" cm="1">
        <f t="array" ref="AN704">IF(ISBLANK(G704), 1, IFERROR(MATCH(G704, INDEX(Kat,,1), 0), IFERROR(MATCH(Kat, INDEX(Use,,2), 0), MATCH(Kat, INDEX(Use,,3), 0))))</f>
        <v>1</v>
      </c>
      <c r="AO704" s="246"/>
      <c r="AP704" s="228" cm="1">
        <f t="array" ref="AP704">IF(W704&gt;0, INDEX(Kat, AN704,4), 0)</f>
        <v>0</v>
      </c>
      <c r="AQ704" s="228">
        <f t="shared" si="812"/>
        <v>0</v>
      </c>
      <c r="AR704" s="228" cm="1">
        <f t="array" ref="AR704">IF(X704&gt;0, INDEX(Kat, $AN704, 4+AQ704), 0)</f>
        <v>0</v>
      </c>
      <c r="AS704" s="228" cm="1">
        <f t="array" ref="AS704">IF(X704&gt;0, INDEX(Kat, $AN704, 9+AQ704), 0)</f>
        <v>0</v>
      </c>
      <c r="AT704" s="246"/>
      <c r="AU704" s="262"/>
      <c r="AV704" s="262"/>
      <c r="AW704" s="263"/>
      <c r="AX704" s="263"/>
      <c r="AY704" s="263"/>
      <c r="AZ704" s="263"/>
      <c r="BA704" s="263"/>
      <c r="BB704" s="263"/>
      <c r="BC704" s="263"/>
      <c r="BD704" s="263"/>
      <c r="BE704" s="263"/>
      <c r="BF704" s="263"/>
      <c r="BG704" s="263"/>
      <c r="BH704" s="246"/>
      <c r="BI704" s="228" cm="1">
        <f t="array" ref="BI704">INDEX(Use, $AH704, 4)</f>
        <v>7</v>
      </c>
      <c r="BJ704" s="228">
        <f t="shared" si="788"/>
        <v>32</v>
      </c>
      <c r="BK704" s="228">
        <f t="shared" si="776"/>
        <v>13</v>
      </c>
      <c r="BL704" s="228">
        <f t="shared" si="777"/>
        <v>0</v>
      </c>
      <c r="BM704" s="233" cm="1">
        <f t="array" ref="BM704">L704/IF($M704&gt;0, INDEX($AY$22:$BE$76, $M704+20, $AH704), 1)</f>
        <v>0</v>
      </c>
      <c r="BN704" s="229">
        <f t="shared" si="789"/>
        <v>0</v>
      </c>
      <c r="BO704" s="228">
        <v>35</v>
      </c>
      <c r="BP704" s="229">
        <f t="shared" si="790"/>
        <v>48</v>
      </c>
      <c r="BQ704" s="234">
        <f t="shared" si="791"/>
        <v>3.0748170731707316</v>
      </c>
      <c r="BR704" s="234" cm="1">
        <f t="array" ref="BR704">$BM704 * SUMPRODUCT(INDEX($AV$76:$AX$81,,$AI704),INDEX($AY$76:$BE$81,,$AH704), N($AU$76:$AU$81&gt;$AM704)) / BQ704 / 1000</f>
        <v>0</v>
      </c>
      <c r="BS704" s="231">
        <f t="shared" si="778"/>
        <v>30</v>
      </c>
      <c r="BT704" s="229">
        <f t="shared" si="792"/>
        <v>43</v>
      </c>
      <c r="BU704" s="234">
        <f t="shared" si="793"/>
        <v>3.5018750000000001</v>
      </c>
      <c r="BV704" s="234" cm="1">
        <f t="array" ref="BV704">$BM704 * IF($AH704&lt;=2,
SUMPRODUCT(INDEX($AV$71:$AX$75,,$AI704), INDEX($AY$71:$BE$75,,$AH704), 1 / ($BF$71:$BF$75*BU704 + (1-$BF$71:$BF$75)*BQ704), N($AU$71:$AU$75&gt;$AM704)),
SUMPRODUCT(INDEX($AV$66:$AX$75,,$AI704), INDEX($AY$66:$BE$75,,$AH704), 1 / ($BG$66:$BG$75*BU704 + (1-$BG$66:$BG$75)*BQ704), N($AU$66:$AU$75&gt;$AM704))
) / 1000</f>
        <v>0</v>
      </c>
      <c r="BW704" s="231">
        <f t="shared" si="779"/>
        <v>25</v>
      </c>
      <c r="BX704" s="229">
        <f t="shared" si="794"/>
        <v>38</v>
      </c>
      <c r="BY704" s="234">
        <f t="shared" si="795"/>
        <v>4.0666935483870965</v>
      </c>
      <c r="BZ704" s="234" cm="1">
        <f t="array" ref="BZ704">$BM704 * IF($AH704&lt;=2,
SUMPRODUCT(INDEX($AV$66:$AX$70,,$AI704), INDEX($AY$66:$BE$70,,$AH704), 1 / ($BF$66:$BF$70*BY704 + (1-$BF$66:$BF$70)*BU704), N($AU$66:$AU$70&gt;$AM704)),
SUMPRODUCT(INDEX($AV$56:$AX$65,,$AI704), INDEX($AY$56:$BE$65,,$AH704), 1 / ($BG$56:$BG$65*BY704 + (1-$BG$56:$BG$65)*BU704), N($AU$56:$AU$65&gt;$AM704))
) / 1000</f>
        <v>0</v>
      </c>
      <c r="CA704" s="231">
        <f t="shared" si="780"/>
        <v>20</v>
      </c>
      <c r="CB704" s="229">
        <f t="shared" si="796"/>
        <v>33</v>
      </c>
      <c r="CC704" s="234">
        <f t="shared" si="797"/>
        <v>4.8487499999999999</v>
      </c>
      <c r="CD704" s="234" cm="1">
        <f t="array" ref="CD704">$BM704 * IF($AH704&lt;=2,
SUMPRODUCT(INDEX($AV$61:$AX$65,,$AI704), INDEX($AY$61:$BE$65,,$AH704), 1 / ($BF$61:$BF$65*CC704 + (1-$BF$61:$BF$65)*BY704), N($AU$61:$AU$65&gt;$AM704)),
SUMPRODUCT(INDEX($AV$46:$AX$55,,$AI704), INDEX($AY$46:$BE$55,,$AH704), 1 / ($BG$46:$BG$55*CC704 + (1-$BG$46:$BG$55)*BY704), N($AU$46:$AU$55&gt;$AM704))
) / 1000</f>
        <v>0</v>
      </c>
      <c r="CE704" s="234" cm="1">
        <f t="array" ref="CE704">$BM704 * IF($AH704&lt;=2,
SUMPRODUCT(INDEX($AV$22:$AX$60,,$AI704), INDEX($AY$22:$BE$60,,$AH704), 1 / ($BF$22:$BF$60*CC704), N($AU$22:$AU$60&gt;$AM704)),
SUMPRODUCT(INDEX($AV$22:$AX$45,,$AI704), INDEX($AY$22:$BE$45,,$AH704), 1 / ($BG$22:$BG$45*CC704), N($AU$22:$AU$45&gt;$AM704))
) / 1000</f>
        <v>0</v>
      </c>
      <c r="CF704" s="229">
        <f t="shared" si="798"/>
        <v>0</v>
      </c>
      <c r="CG704" s="246"/>
      <c r="CH704" s="229">
        <f t="shared" si="799"/>
        <v>0</v>
      </c>
      <c r="CI704" s="228">
        <v>35</v>
      </c>
      <c r="CJ704" s="229">
        <f t="shared" si="800"/>
        <v>48</v>
      </c>
      <c r="CK704" s="234">
        <f t="shared" si="801"/>
        <v>3.0748170731707316</v>
      </c>
      <c r="CL704" s="234" cm="1">
        <f t="array" ref="CL704">$BM704 * SUMPRODUCT(INDEX($AV$76:$AX$81,,$AI704),INDEX($AY$76:$BE$81,,$AH704), N($AU$76:$AU$81&gt;$AM704)) / CK704 / 1000</f>
        <v>0</v>
      </c>
      <c r="CM704" s="231">
        <f t="shared" si="781"/>
        <v>30</v>
      </c>
      <c r="CN704" s="229">
        <f t="shared" si="802"/>
        <v>43</v>
      </c>
      <c r="CO704" s="234">
        <f t="shared" si="803"/>
        <v>3.5018750000000001</v>
      </c>
      <c r="CP704" s="234" cm="1">
        <f t="array" ref="CP704">$BM704 * IF($AH704&lt;=2,
SUMPRODUCT(INDEX($AV$71:$AX$75,,$AI704), INDEX($AY$71:$BE$75,,$AH704), 1 / ($BF$71:$BF$75*CO704 + (1-$BF$71:$BF$75)*CK704), N($AU$71:$AU$75&gt;$AM704)),
SUMPRODUCT(INDEX($AV$66:$AX$75,,$AI704), INDEX($AY$66:$BE$75,,$AH704), 1 / ($BG$66:$BG$75*CO704 + (1-$BG$66:$BG$75)*CK704), N($AU$66:$AU$75&gt;$AM704))
) / 1000</f>
        <v>0</v>
      </c>
      <c r="CQ704" s="231">
        <f t="shared" si="782"/>
        <v>25</v>
      </c>
      <c r="CR704" s="229">
        <f t="shared" si="804"/>
        <v>38</v>
      </c>
      <c r="CS704" s="234">
        <f t="shared" si="805"/>
        <v>4.0666935483870965</v>
      </c>
      <c r="CT704" s="234" cm="1">
        <f t="array" ref="CT704">$BM704 * IF($AH704&lt;=2,
SUMPRODUCT(INDEX($AV$66:$AX$70,,$AI704), INDEX($AY$66:$BE$70,,$AH704), 1 / ($BF$66:$BF$70*CS704 + (1-$BF$66:$BF$70)*CO704), N($AU$66:$AU$70&gt;$AM704)),
SUMPRODUCT(INDEX($AV$56:$AX$65,,$AI704), INDEX($AY$56:$BE$65,,$AH704), 1 / ($BG$56:$BG$65*CS704 + (1-$BG$56:$BG$65)*CO704), N($AU$56:$AU$65&gt;$AM704))
) / 1000</f>
        <v>0</v>
      </c>
      <c r="CU704" s="231">
        <f t="shared" si="783"/>
        <v>20</v>
      </c>
      <c r="CV704" s="229">
        <f t="shared" si="806"/>
        <v>33</v>
      </c>
      <c r="CW704" s="234">
        <f t="shared" si="807"/>
        <v>4.8487499999999999</v>
      </c>
      <c r="CX704" s="234" cm="1">
        <f t="array" ref="CX704">$BM704 * IF($AH704&lt;=2,
SUMPRODUCT(INDEX($AV$61:$AX$65,,$AI704), INDEX($AY$61:$BE$65,,$AH704), 1 / ($BF$61:$BF$65*CW704 + (1-$BF$61:$BF$65)*CS704), N($AU$61:$AU$65&gt;$AM704)),
SUMPRODUCT(INDEX($AV$46:$AX$55,,$AI704), INDEX($AY$46:$BE$55,,$AH704), 1 / ($BG$46:$BG$55*CW704 + (1-$BG$46:$BG$55)*CS704), N($AU$46:$AU$55&gt;$AM704))
) / 1000</f>
        <v>0</v>
      </c>
      <c r="CY704" s="234" cm="1">
        <f t="array" ref="CY704">$BM704 * IF($AH704&lt;=2,
SUMPRODUCT(INDEX($AV$22:$AX$60,,$AI704), INDEX($AY$22:$BE$60,,$AH704), 1 / ($BF$22:$BF$60*CW704), N($AU$22:$AU$60&gt;$AM704)),
SUMPRODUCT(INDEX($AV$22:$AX$45,,$AI704), INDEX($AY$22:$BE$45,,$AH704), 1 / ($BG$22:$BG$45*CW704), N($AU$22:$AU$45&gt;$AM704))
) / 1000</f>
        <v>0</v>
      </c>
      <c r="CZ704" s="229">
        <f t="shared" si="808"/>
        <v>0</v>
      </c>
      <c r="DA704" s="246"/>
    </row>
    <row r="705" spans="1:105" s="75" customFormat="1" ht="14.25" customHeight="1" x14ac:dyDescent="0.2">
      <c r="A705" s="230" t="b">
        <f t="shared" si="775"/>
        <v>0</v>
      </c>
      <c r="B705" s="253">
        <v>684</v>
      </c>
      <c r="C705" s="266"/>
      <c r="D705" s="266"/>
      <c r="E705" s="254"/>
      <c r="F705" s="255" t="str">
        <f>IF(ISBLANK(E705), "", VLOOKUP(E705, Z!$A$2:$C$4127, 3, FALSE))</f>
        <v/>
      </c>
      <c r="G705" s="256"/>
      <c r="H705" s="256"/>
      <c r="I705" s="256"/>
      <c r="J705" s="257"/>
      <c r="K705" s="258"/>
      <c r="L705" s="267"/>
      <c r="M705" s="268"/>
      <c r="N705" s="259" t="str" cm="1">
        <f t="array" ref="N705">IF($L705&gt;0, INDEX(Clean,1+AK705,$D$1), "")</f>
        <v/>
      </c>
      <c r="O705" s="260"/>
      <c r="P705" s="260"/>
      <c r="Q705" s="261"/>
      <c r="R705" s="264">
        <f t="shared" si="784"/>
        <v>0</v>
      </c>
      <c r="S705" s="259" t="str" cm="1">
        <f t="array" ref="S705">IF($L705&gt;0, INDEX(Clean,1+AL705,$D$1), "")</f>
        <v/>
      </c>
      <c r="T705" s="260"/>
      <c r="U705" s="260"/>
      <c r="V705" s="261"/>
      <c r="W705" s="267"/>
      <c r="X705" s="267"/>
      <c r="Y705" s="257"/>
      <c r="Z705" s="264">
        <f t="shared" si="785"/>
        <v>0</v>
      </c>
      <c r="AA705" s="269"/>
      <c r="AB705" s="266"/>
      <c r="AC705" s="254"/>
      <c r="AD705" s="255" t="str">
        <f>IF(ISBLANK(AC705), "", VLOOKUP(AC705, Z!$A$2:$C$4127, 3, FALSE))</f>
        <v/>
      </c>
      <c r="AE705" s="270"/>
      <c r="AF705" s="265">
        <f t="shared" si="786"/>
        <v>0</v>
      </c>
      <c r="AG705" s="246"/>
      <c r="AH705" s="228">
        <f t="shared" si="809"/>
        <v>1</v>
      </c>
      <c r="AI705" s="228">
        <f t="shared" si="810"/>
        <v>1</v>
      </c>
      <c r="AJ705" s="228">
        <f t="shared" si="811"/>
        <v>0</v>
      </c>
      <c r="AK705" s="228">
        <v>0</v>
      </c>
      <c r="AL705" s="228">
        <v>0</v>
      </c>
      <c r="AM705" s="228">
        <f t="shared" si="787"/>
        <v>-100</v>
      </c>
      <c r="AN705" s="228" cm="1">
        <f t="array" ref="AN705">IF(ISBLANK(G705), 1, IFERROR(MATCH(G705, INDEX(Kat,,1), 0), IFERROR(MATCH(Kat, INDEX(Use,,2), 0), MATCH(Kat, INDEX(Use,,3), 0))))</f>
        <v>1</v>
      </c>
      <c r="AO705" s="246"/>
      <c r="AP705" s="228" cm="1">
        <f t="array" ref="AP705">IF(W705&gt;0, INDEX(Kat, AN705,4), 0)</f>
        <v>0</v>
      </c>
      <c r="AQ705" s="228">
        <f t="shared" si="812"/>
        <v>0</v>
      </c>
      <c r="AR705" s="228" cm="1">
        <f t="array" ref="AR705">IF(X705&gt;0, INDEX(Kat, $AN705, 4+AQ705), 0)</f>
        <v>0</v>
      </c>
      <c r="AS705" s="228" cm="1">
        <f t="array" ref="AS705">IF(X705&gt;0, INDEX(Kat, $AN705, 9+AQ705), 0)</f>
        <v>0</v>
      </c>
      <c r="AT705" s="246"/>
      <c r="AU705" s="262"/>
      <c r="AV705" s="262"/>
      <c r="AW705" s="263"/>
      <c r="AX705" s="263"/>
      <c r="AY705" s="263"/>
      <c r="AZ705" s="263"/>
      <c r="BA705" s="263"/>
      <c r="BB705" s="263"/>
      <c r="BC705" s="263"/>
      <c r="BD705" s="263"/>
      <c r="BE705" s="263"/>
      <c r="BF705" s="263"/>
      <c r="BG705" s="263"/>
      <c r="BH705" s="246"/>
      <c r="BI705" s="228" cm="1">
        <f t="array" ref="BI705">INDEX(Use, $AH705, 4)</f>
        <v>7</v>
      </c>
      <c r="BJ705" s="228">
        <f t="shared" si="788"/>
        <v>32</v>
      </c>
      <c r="BK705" s="228">
        <f t="shared" si="776"/>
        <v>13</v>
      </c>
      <c r="BL705" s="228">
        <f t="shared" si="777"/>
        <v>0</v>
      </c>
      <c r="BM705" s="233" cm="1">
        <f t="array" ref="BM705">L705/IF($M705&gt;0, INDEX($AY$22:$BE$76, $M705+20, $AH705), 1)</f>
        <v>0</v>
      </c>
      <c r="BN705" s="229">
        <f t="shared" si="789"/>
        <v>0</v>
      </c>
      <c r="BO705" s="228">
        <v>35</v>
      </c>
      <c r="BP705" s="229">
        <f t="shared" si="790"/>
        <v>48</v>
      </c>
      <c r="BQ705" s="234">
        <f t="shared" si="791"/>
        <v>3.0748170731707316</v>
      </c>
      <c r="BR705" s="234" cm="1">
        <f t="array" ref="BR705">$BM705 * SUMPRODUCT(INDEX($AV$76:$AX$81,,$AI705),INDEX($AY$76:$BE$81,,$AH705), N($AU$76:$AU$81&gt;$AM705)) / BQ705 / 1000</f>
        <v>0</v>
      </c>
      <c r="BS705" s="231">
        <f t="shared" si="778"/>
        <v>30</v>
      </c>
      <c r="BT705" s="229">
        <f t="shared" si="792"/>
        <v>43</v>
      </c>
      <c r="BU705" s="234">
        <f t="shared" si="793"/>
        <v>3.5018750000000001</v>
      </c>
      <c r="BV705" s="234" cm="1">
        <f t="array" ref="BV705">$BM705 * IF($AH705&lt;=2,
SUMPRODUCT(INDEX($AV$71:$AX$75,,$AI705), INDEX($AY$71:$BE$75,,$AH705), 1 / ($BF$71:$BF$75*BU705 + (1-$BF$71:$BF$75)*BQ705), N($AU$71:$AU$75&gt;$AM705)),
SUMPRODUCT(INDEX($AV$66:$AX$75,,$AI705), INDEX($AY$66:$BE$75,,$AH705), 1 / ($BG$66:$BG$75*BU705 + (1-$BG$66:$BG$75)*BQ705), N($AU$66:$AU$75&gt;$AM705))
) / 1000</f>
        <v>0</v>
      </c>
      <c r="BW705" s="231">
        <f t="shared" si="779"/>
        <v>25</v>
      </c>
      <c r="BX705" s="229">
        <f t="shared" si="794"/>
        <v>38</v>
      </c>
      <c r="BY705" s="234">
        <f t="shared" si="795"/>
        <v>4.0666935483870965</v>
      </c>
      <c r="BZ705" s="234" cm="1">
        <f t="array" ref="BZ705">$BM705 * IF($AH705&lt;=2,
SUMPRODUCT(INDEX($AV$66:$AX$70,,$AI705), INDEX($AY$66:$BE$70,,$AH705), 1 / ($BF$66:$BF$70*BY705 + (1-$BF$66:$BF$70)*BU705), N($AU$66:$AU$70&gt;$AM705)),
SUMPRODUCT(INDEX($AV$56:$AX$65,,$AI705), INDEX($AY$56:$BE$65,,$AH705), 1 / ($BG$56:$BG$65*BY705 + (1-$BG$56:$BG$65)*BU705), N($AU$56:$AU$65&gt;$AM705))
) / 1000</f>
        <v>0</v>
      </c>
      <c r="CA705" s="231">
        <f t="shared" si="780"/>
        <v>20</v>
      </c>
      <c r="CB705" s="229">
        <f t="shared" si="796"/>
        <v>33</v>
      </c>
      <c r="CC705" s="234">
        <f t="shared" si="797"/>
        <v>4.8487499999999999</v>
      </c>
      <c r="CD705" s="234" cm="1">
        <f t="array" ref="CD705">$BM705 * IF($AH705&lt;=2,
SUMPRODUCT(INDEX($AV$61:$AX$65,,$AI705), INDEX($AY$61:$BE$65,,$AH705), 1 / ($BF$61:$BF$65*CC705 + (1-$BF$61:$BF$65)*BY705), N($AU$61:$AU$65&gt;$AM705)),
SUMPRODUCT(INDEX($AV$46:$AX$55,,$AI705), INDEX($AY$46:$BE$55,,$AH705), 1 / ($BG$46:$BG$55*CC705 + (1-$BG$46:$BG$55)*BY705), N($AU$46:$AU$55&gt;$AM705))
) / 1000</f>
        <v>0</v>
      </c>
      <c r="CE705" s="234" cm="1">
        <f t="array" ref="CE705">$BM705 * IF($AH705&lt;=2,
SUMPRODUCT(INDEX($AV$22:$AX$60,,$AI705), INDEX($AY$22:$BE$60,,$AH705), 1 / ($BF$22:$BF$60*CC705), N($AU$22:$AU$60&gt;$AM705)),
SUMPRODUCT(INDEX($AV$22:$AX$45,,$AI705), INDEX($AY$22:$BE$45,,$AH705), 1 / ($BG$22:$BG$45*CC705), N($AU$22:$AU$45&gt;$AM705))
) / 1000</f>
        <v>0</v>
      </c>
      <c r="CF705" s="229">
        <f t="shared" si="798"/>
        <v>0</v>
      </c>
      <c r="CG705" s="246"/>
      <c r="CH705" s="229">
        <f t="shared" si="799"/>
        <v>0</v>
      </c>
      <c r="CI705" s="228">
        <v>35</v>
      </c>
      <c r="CJ705" s="229">
        <f t="shared" si="800"/>
        <v>48</v>
      </c>
      <c r="CK705" s="234">
        <f t="shared" si="801"/>
        <v>3.0748170731707316</v>
      </c>
      <c r="CL705" s="234" cm="1">
        <f t="array" ref="CL705">$BM705 * SUMPRODUCT(INDEX($AV$76:$AX$81,,$AI705),INDEX($AY$76:$BE$81,,$AH705), N($AU$76:$AU$81&gt;$AM705)) / CK705 / 1000</f>
        <v>0</v>
      </c>
      <c r="CM705" s="231">
        <f t="shared" si="781"/>
        <v>30</v>
      </c>
      <c r="CN705" s="229">
        <f t="shared" si="802"/>
        <v>43</v>
      </c>
      <c r="CO705" s="234">
        <f t="shared" si="803"/>
        <v>3.5018750000000001</v>
      </c>
      <c r="CP705" s="234" cm="1">
        <f t="array" ref="CP705">$BM705 * IF($AH705&lt;=2,
SUMPRODUCT(INDEX($AV$71:$AX$75,,$AI705), INDEX($AY$71:$BE$75,,$AH705), 1 / ($BF$71:$BF$75*CO705 + (1-$BF$71:$BF$75)*CK705), N($AU$71:$AU$75&gt;$AM705)),
SUMPRODUCT(INDEX($AV$66:$AX$75,,$AI705), INDEX($AY$66:$BE$75,,$AH705), 1 / ($BG$66:$BG$75*CO705 + (1-$BG$66:$BG$75)*CK705), N($AU$66:$AU$75&gt;$AM705))
) / 1000</f>
        <v>0</v>
      </c>
      <c r="CQ705" s="231">
        <f t="shared" si="782"/>
        <v>25</v>
      </c>
      <c r="CR705" s="229">
        <f t="shared" si="804"/>
        <v>38</v>
      </c>
      <c r="CS705" s="234">
        <f t="shared" si="805"/>
        <v>4.0666935483870965</v>
      </c>
      <c r="CT705" s="234" cm="1">
        <f t="array" ref="CT705">$BM705 * IF($AH705&lt;=2,
SUMPRODUCT(INDEX($AV$66:$AX$70,,$AI705), INDEX($AY$66:$BE$70,,$AH705), 1 / ($BF$66:$BF$70*CS705 + (1-$BF$66:$BF$70)*CO705), N($AU$66:$AU$70&gt;$AM705)),
SUMPRODUCT(INDEX($AV$56:$AX$65,,$AI705), INDEX($AY$56:$BE$65,,$AH705), 1 / ($BG$56:$BG$65*CS705 + (1-$BG$56:$BG$65)*CO705), N($AU$56:$AU$65&gt;$AM705))
) / 1000</f>
        <v>0</v>
      </c>
      <c r="CU705" s="231">
        <f t="shared" si="783"/>
        <v>20</v>
      </c>
      <c r="CV705" s="229">
        <f t="shared" si="806"/>
        <v>33</v>
      </c>
      <c r="CW705" s="234">
        <f t="shared" si="807"/>
        <v>4.8487499999999999</v>
      </c>
      <c r="CX705" s="234" cm="1">
        <f t="array" ref="CX705">$BM705 * IF($AH705&lt;=2,
SUMPRODUCT(INDEX($AV$61:$AX$65,,$AI705), INDEX($AY$61:$BE$65,,$AH705), 1 / ($BF$61:$BF$65*CW705 + (1-$BF$61:$BF$65)*CS705), N($AU$61:$AU$65&gt;$AM705)),
SUMPRODUCT(INDEX($AV$46:$AX$55,,$AI705), INDEX($AY$46:$BE$55,,$AH705), 1 / ($BG$46:$BG$55*CW705 + (1-$BG$46:$BG$55)*CS705), N($AU$46:$AU$55&gt;$AM705))
) / 1000</f>
        <v>0</v>
      </c>
      <c r="CY705" s="234" cm="1">
        <f t="array" ref="CY705">$BM705 * IF($AH705&lt;=2,
SUMPRODUCT(INDEX($AV$22:$AX$60,,$AI705), INDEX($AY$22:$BE$60,,$AH705), 1 / ($BF$22:$BF$60*CW705), N($AU$22:$AU$60&gt;$AM705)),
SUMPRODUCT(INDEX($AV$22:$AX$45,,$AI705), INDEX($AY$22:$BE$45,,$AH705), 1 / ($BG$22:$BG$45*CW705), N($AU$22:$AU$45&gt;$AM705))
) / 1000</f>
        <v>0</v>
      </c>
      <c r="CZ705" s="229">
        <f t="shared" si="808"/>
        <v>0</v>
      </c>
      <c r="DA705" s="246"/>
    </row>
    <row r="706" spans="1:105" s="75" customFormat="1" ht="14.25" customHeight="1" x14ac:dyDescent="0.2">
      <c r="A706" s="230" t="b">
        <f t="shared" si="775"/>
        <v>0</v>
      </c>
      <c r="B706" s="253">
        <v>685</v>
      </c>
      <c r="C706" s="266"/>
      <c r="D706" s="266"/>
      <c r="E706" s="254"/>
      <c r="F706" s="255" t="str">
        <f>IF(ISBLANK(E706), "", VLOOKUP(E706, Z!$A$2:$C$4127, 3, FALSE))</f>
        <v/>
      </c>
      <c r="G706" s="256"/>
      <c r="H706" s="256"/>
      <c r="I706" s="256"/>
      <c r="J706" s="257"/>
      <c r="K706" s="258"/>
      <c r="L706" s="267"/>
      <c r="M706" s="268"/>
      <c r="N706" s="259" t="str" cm="1">
        <f t="array" ref="N706">IF($L706&gt;0, INDEX(Clean,1+AK706,$D$1), "")</f>
        <v/>
      </c>
      <c r="O706" s="260"/>
      <c r="P706" s="260"/>
      <c r="Q706" s="261"/>
      <c r="R706" s="264">
        <f t="shared" si="784"/>
        <v>0</v>
      </c>
      <c r="S706" s="259" t="str" cm="1">
        <f t="array" ref="S706">IF($L706&gt;0, INDEX(Clean,1+AL706,$D$1), "")</f>
        <v/>
      </c>
      <c r="T706" s="260"/>
      <c r="U706" s="260"/>
      <c r="V706" s="261"/>
      <c r="W706" s="267"/>
      <c r="X706" s="267"/>
      <c r="Y706" s="257"/>
      <c r="Z706" s="264">
        <f t="shared" si="785"/>
        <v>0</v>
      </c>
      <c r="AA706" s="269"/>
      <c r="AB706" s="266"/>
      <c r="AC706" s="254"/>
      <c r="AD706" s="255" t="str">
        <f>IF(ISBLANK(AC706), "", VLOOKUP(AC706, Z!$A$2:$C$4127, 3, FALSE))</f>
        <v/>
      </c>
      <c r="AE706" s="270"/>
      <c r="AF706" s="265">
        <f t="shared" si="786"/>
        <v>0</v>
      </c>
      <c r="AG706" s="246"/>
      <c r="AH706" s="228">
        <f t="shared" si="809"/>
        <v>1</v>
      </c>
      <c r="AI706" s="228">
        <f t="shared" si="810"/>
        <v>1</v>
      </c>
      <c r="AJ706" s="228">
        <f t="shared" si="811"/>
        <v>0</v>
      </c>
      <c r="AK706" s="228">
        <v>0</v>
      </c>
      <c r="AL706" s="228">
        <v>0</v>
      </c>
      <c r="AM706" s="228">
        <f t="shared" si="787"/>
        <v>-100</v>
      </c>
      <c r="AN706" s="228" cm="1">
        <f t="array" ref="AN706">IF(ISBLANK(G706), 1, IFERROR(MATCH(G706, INDEX(Kat,,1), 0), IFERROR(MATCH(Kat, INDEX(Use,,2), 0), MATCH(Kat, INDEX(Use,,3), 0))))</f>
        <v>1</v>
      </c>
      <c r="AO706" s="246"/>
      <c r="AP706" s="228" cm="1">
        <f t="array" ref="AP706">IF(W706&gt;0, INDEX(Kat, AN706,4), 0)</f>
        <v>0</v>
      </c>
      <c r="AQ706" s="228">
        <f t="shared" si="812"/>
        <v>0</v>
      </c>
      <c r="AR706" s="228" cm="1">
        <f t="array" ref="AR706">IF(X706&gt;0, INDEX(Kat, $AN706, 4+AQ706), 0)</f>
        <v>0</v>
      </c>
      <c r="AS706" s="228" cm="1">
        <f t="array" ref="AS706">IF(X706&gt;0, INDEX(Kat, $AN706, 9+AQ706), 0)</f>
        <v>0</v>
      </c>
      <c r="AT706" s="246"/>
      <c r="AU706" s="262"/>
      <c r="AV706" s="262"/>
      <c r="AW706" s="263"/>
      <c r="AX706" s="263"/>
      <c r="AY706" s="263"/>
      <c r="AZ706" s="263"/>
      <c r="BA706" s="263"/>
      <c r="BB706" s="263"/>
      <c r="BC706" s="263"/>
      <c r="BD706" s="263"/>
      <c r="BE706" s="263"/>
      <c r="BF706" s="263"/>
      <c r="BG706" s="263"/>
      <c r="BH706" s="246"/>
      <c r="BI706" s="228" cm="1">
        <f t="array" ref="BI706">INDEX(Use, $AH706, 4)</f>
        <v>7</v>
      </c>
      <c r="BJ706" s="228">
        <f t="shared" si="788"/>
        <v>32</v>
      </c>
      <c r="BK706" s="228">
        <f t="shared" si="776"/>
        <v>13</v>
      </c>
      <c r="BL706" s="228">
        <f t="shared" si="777"/>
        <v>0</v>
      </c>
      <c r="BM706" s="233" cm="1">
        <f t="array" ref="BM706">L706/IF($M706&gt;0, INDEX($AY$22:$BE$76, $M706+20, $AH706), 1)</f>
        <v>0</v>
      </c>
      <c r="BN706" s="229">
        <f t="shared" si="789"/>
        <v>0</v>
      </c>
      <c r="BO706" s="228">
        <v>35</v>
      </c>
      <c r="BP706" s="229">
        <f t="shared" si="790"/>
        <v>48</v>
      </c>
      <c r="BQ706" s="234">
        <f t="shared" si="791"/>
        <v>3.0748170731707316</v>
      </c>
      <c r="BR706" s="234" cm="1">
        <f t="array" ref="BR706">$BM706 * SUMPRODUCT(INDEX($AV$76:$AX$81,,$AI706),INDEX($AY$76:$BE$81,,$AH706), N($AU$76:$AU$81&gt;$AM706)) / BQ706 / 1000</f>
        <v>0</v>
      </c>
      <c r="BS706" s="231">
        <f t="shared" si="778"/>
        <v>30</v>
      </c>
      <c r="BT706" s="229">
        <f t="shared" si="792"/>
        <v>43</v>
      </c>
      <c r="BU706" s="234">
        <f t="shared" si="793"/>
        <v>3.5018750000000001</v>
      </c>
      <c r="BV706" s="234" cm="1">
        <f t="array" ref="BV706">$BM706 * IF($AH706&lt;=2,
SUMPRODUCT(INDEX($AV$71:$AX$75,,$AI706), INDEX($AY$71:$BE$75,,$AH706), 1 / ($BF$71:$BF$75*BU706 + (1-$BF$71:$BF$75)*BQ706), N($AU$71:$AU$75&gt;$AM706)),
SUMPRODUCT(INDEX($AV$66:$AX$75,,$AI706), INDEX($AY$66:$BE$75,,$AH706), 1 / ($BG$66:$BG$75*BU706 + (1-$BG$66:$BG$75)*BQ706), N($AU$66:$AU$75&gt;$AM706))
) / 1000</f>
        <v>0</v>
      </c>
      <c r="BW706" s="231">
        <f t="shared" si="779"/>
        <v>25</v>
      </c>
      <c r="BX706" s="229">
        <f t="shared" si="794"/>
        <v>38</v>
      </c>
      <c r="BY706" s="234">
        <f t="shared" si="795"/>
        <v>4.0666935483870965</v>
      </c>
      <c r="BZ706" s="234" cm="1">
        <f t="array" ref="BZ706">$BM706 * IF($AH706&lt;=2,
SUMPRODUCT(INDEX($AV$66:$AX$70,,$AI706), INDEX($AY$66:$BE$70,,$AH706), 1 / ($BF$66:$BF$70*BY706 + (1-$BF$66:$BF$70)*BU706), N($AU$66:$AU$70&gt;$AM706)),
SUMPRODUCT(INDEX($AV$56:$AX$65,,$AI706), INDEX($AY$56:$BE$65,,$AH706), 1 / ($BG$56:$BG$65*BY706 + (1-$BG$56:$BG$65)*BU706), N($AU$56:$AU$65&gt;$AM706))
) / 1000</f>
        <v>0</v>
      </c>
      <c r="CA706" s="231">
        <f t="shared" si="780"/>
        <v>20</v>
      </c>
      <c r="CB706" s="229">
        <f t="shared" si="796"/>
        <v>33</v>
      </c>
      <c r="CC706" s="234">
        <f t="shared" si="797"/>
        <v>4.8487499999999999</v>
      </c>
      <c r="CD706" s="234" cm="1">
        <f t="array" ref="CD706">$BM706 * IF($AH706&lt;=2,
SUMPRODUCT(INDEX($AV$61:$AX$65,,$AI706), INDEX($AY$61:$BE$65,,$AH706), 1 / ($BF$61:$BF$65*CC706 + (1-$BF$61:$BF$65)*BY706), N($AU$61:$AU$65&gt;$AM706)),
SUMPRODUCT(INDEX($AV$46:$AX$55,,$AI706), INDEX($AY$46:$BE$55,,$AH706), 1 / ($BG$46:$BG$55*CC706 + (1-$BG$46:$BG$55)*BY706), N($AU$46:$AU$55&gt;$AM706))
) / 1000</f>
        <v>0</v>
      </c>
      <c r="CE706" s="234" cm="1">
        <f t="array" ref="CE706">$BM706 * IF($AH706&lt;=2,
SUMPRODUCT(INDEX($AV$22:$AX$60,,$AI706), INDEX($AY$22:$BE$60,,$AH706), 1 / ($BF$22:$BF$60*CC706), N($AU$22:$AU$60&gt;$AM706)),
SUMPRODUCT(INDEX($AV$22:$AX$45,,$AI706), INDEX($AY$22:$BE$45,,$AH706), 1 / ($BG$22:$BG$45*CC706), N($AU$22:$AU$45&gt;$AM706))
) / 1000</f>
        <v>0</v>
      </c>
      <c r="CF706" s="229">
        <f t="shared" si="798"/>
        <v>0</v>
      </c>
      <c r="CG706" s="246"/>
      <c r="CH706" s="229">
        <f t="shared" si="799"/>
        <v>0</v>
      </c>
      <c r="CI706" s="228">
        <v>35</v>
      </c>
      <c r="CJ706" s="229">
        <f t="shared" si="800"/>
        <v>48</v>
      </c>
      <c r="CK706" s="234">
        <f t="shared" si="801"/>
        <v>3.0748170731707316</v>
      </c>
      <c r="CL706" s="234" cm="1">
        <f t="array" ref="CL706">$BM706 * SUMPRODUCT(INDEX($AV$76:$AX$81,,$AI706),INDEX($AY$76:$BE$81,,$AH706), N($AU$76:$AU$81&gt;$AM706)) / CK706 / 1000</f>
        <v>0</v>
      </c>
      <c r="CM706" s="231">
        <f t="shared" si="781"/>
        <v>30</v>
      </c>
      <c r="CN706" s="229">
        <f t="shared" si="802"/>
        <v>43</v>
      </c>
      <c r="CO706" s="234">
        <f t="shared" si="803"/>
        <v>3.5018750000000001</v>
      </c>
      <c r="CP706" s="234" cm="1">
        <f t="array" ref="CP706">$BM706 * IF($AH706&lt;=2,
SUMPRODUCT(INDEX($AV$71:$AX$75,,$AI706), INDEX($AY$71:$BE$75,,$AH706), 1 / ($BF$71:$BF$75*CO706 + (1-$BF$71:$BF$75)*CK706), N($AU$71:$AU$75&gt;$AM706)),
SUMPRODUCT(INDEX($AV$66:$AX$75,,$AI706), INDEX($AY$66:$BE$75,,$AH706), 1 / ($BG$66:$BG$75*CO706 + (1-$BG$66:$BG$75)*CK706), N($AU$66:$AU$75&gt;$AM706))
) / 1000</f>
        <v>0</v>
      </c>
      <c r="CQ706" s="231">
        <f t="shared" si="782"/>
        <v>25</v>
      </c>
      <c r="CR706" s="229">
        <f t="shared" si="804"/>
        <v>38</v>
      </c>
      <c r="CS706" s="234">
        <f t="shared" si="805"/>
        <v>4.0666935483870965</v>
      </c>
      <c r="CT706" s="234" cm="1">
        <f t="array" ref="CT706">$BM706 * IF($AH706&lt;=2,
SUMPRODUCT(INDEX($AV$66:$AX$70,,$AI706), INDEX($AY$66:$BE$70,,$AH706), 1 / ($BF$66:$BF$70*CS706 + (1-$BF$66:$BF$70)*CO706), N($AU$66:$AU$70&gt;$AM706)),
SUMPRODUCT(INDEX($AV$56:$AX$65,,$AI706), INDEX($AY$56:$BE$65,,$AH706), 1 / ($BG$56:$BG$65*CS706 + (1-$BG$56:$BG$65)*CO706), N($AU$56:$AU$65&gt;$AM706))
) / 1000</f>
        <v>0</v>
      </c>
      <c r="CU706" s="231">
        <f t="shared" si="783"/>
        <v>20</v>
      </c>
      <c r="CV706" s="229">
        <f t="shared" si="806"/>
        <v>33</v>
      </c>
      <c r="CW706" s="234">
        <f t="shared" si="807"/>
        <v>4.8487499999999999</v>
      </c>
      <c r="CX706" s="234" cm="1">
        <f t="array" ref="CX706">$BM706 * IF($AH706&lt;=2,
SUMPRODUCT(INDEX($AV$61:$AX$65,,$AI706), INDEX($AY$61:$BE$65,,$AH706), 1 / ($BF$61:$BF$65*CW706 + (1-$BF$61:$BF$65)*CS706), N($AU$61:$AU$65&gt;$AM706)),
SUMPRODUCT(INDEX($AV$46:$AX$55,,$AI706), INDEX($AY$46:$BE$55,,$AH706), 1 / ($BG$46:$BG$55*CW706 + (1-$BG$46:$BG$55)*CS706), N($AU$46:$AU$55&gt;$AM706))
) / 1000</f>
        <v>0</v>
      </c>
      <c r="CY706" s="234" cm="1">
        <f t="array" ref="CY706">$BM706 * IF($AH706&lt;=2,
SUMPRODUCT(INDEX($AV$22:$AX$60,,$AI706), INDEX($AY$22:$BE$60,,$AH706), 1 / ($BF$22:$BF$60*CW706), N($AU$22:$AU$60&gt;$AM706)),
SUMPRODUCT(INDEX($AV$22:$AX$45,,$AI706), INDEX($AY$22:$BE$45,,$AH706), 1 / ($BG$22:$BG$45*CW706), N($AU$22:$AU$45&gt;$AM706))
) / 1000</f>
        <v>0</v>
      </c>
      <c r="CZ706" s="229">
        <f t="shared" si="808"/>
        <v>0</v>
      </c>
      <c r="DA706" s="246"/>
    </row>
    <row r="707" spans="1:105" s="75" customFormat="1" ht="14.25" customHeight="1" x14ac:dyDescent="0.2">
      <c r="A707" s="230" t="b">
        <f t="shared" si="775"/>
        <v>0</v>
      </c>
      <c r="B707" s="253">
        <v>686</v>
      </c>
      <c r="C707" s="266"/>
      <c r="D707" s="266"/>
      <c r="E707" s="254"/>
      <c r="F707" s="255" t="str">
        <f>IF(ISBLANK(E707), "", VLOOKUP(E707, Z!$A$2:$C$4127, 3, FALSE))</f>
        <v/>
      </c>
      <c r="G707" s="256"/>
      <c r="H707" s="256"/>
      <c r="I707" s="256"/>
      <c r="J707" s="257"/>
      <c r="K707" s="258"/>
      <c r="L707" s="267"/>
      <c r="M707" s="268"/>
      <c r="N707" s="259" t="str" cm="1">
        <f t="array" ref="N707">IF($L707&gt;0, INDEX(Clean,1+AK707,$D$1), "")</f>
        <v/>
      </c>
      <c r="O707" s="260"/>
      <c r="P707" s="260"/>
      <c r="Q707" s="261"/>
      <c r="R707" s="264">
        <f t="shared" si="784"/>
        <v>0</v>
      </c>
      <c r="S707" s="259" t="str" cm="1">
        <f t="array" ref="S707">IF($L707&gt;0, INDEX(Clean,1+AL707,$D$1), "")</f>
        <v/>
      </c>
      <c r="T707" s="260"/>
      <c r="U707" s="260"/>
      <c r="V707" s="261"/>
      <c r="W707" s="267"/>
      <c r="X707" s="267"/>
      <c r="Y707" s="257"/>
      <c r="Z707" s="264">
        <f t="shared" si="785"/>
        <v>0</v>
      </c>
      <c r="AA707" s="269"/>
      <c r="AB707" s="266"/>
      <c r="AC707" s="254"/>
      <c r="AD707" s="255" t="str">
        <f>IF(ISBLANK(AC707), "", VLOOKUP(AC707, Z!$A$2:$C$4127, 3, FALSE))</f>
        <v/>
      </c>
      <c r="AE707" s="270"/>
      <c r="AF707" s="265">
        <f t="shared" si="786"/>
        <v>0</v>
      </c>
      <c r="AG707" s="246"/>
      <c r="AH707" s="228">
        <f t="shared" si="809"/>
        <v>1</v>
      </c>
      <c r="AI707" s="228">
        <f t="shared" si="810"/>
        <v>1</v>
      </c>
      <c r="AJ707" s="228">
        <f t="shared" si="811"/>
        <v>0</v>
      </c>
      <c r="AK707" s="228">
        <v>0</v>
      </c>
      <c r="AL707" s="228">
        <v>0</v>
      </c>
      <c r="AM707" s="228">
        <f t="shared" si="787"/>
        <v>-100</v>
      </c>
      <c r="AN707" s="228" cm="1">
        <f t="array" ref="AN707">IF(ISBLANK(G707), 1, IFERROR(MATCH(G707, INDEX(Kat,,1), 0), IFERROR(MATCH(Kat, INDEX(Use,,2), 0), MATCH(Kat, INDEX(Use,,3), 0))))</f>
        <v>1</v>
      </c>
      <c r="AO707" s="246"/>
      <c r="AP707" s="228" cm="1">
        <f t="array" ref="AP707">IF(W707&gt;0, INDEX(Kat, AN707,4), 0)</f>
        <v>0</v>
      </c>
      <c r="AQ707" s="228">
        <f t="shared" si="812"/>
        <v>0</v>
      </c>
      <c r="AR707" s="228" cm="1">
        <f t="array" ref="AR707">IF(X707&gt;0, INDEX(Kat, $AN707, 4+AQ707), 0)</f>
        <v>0</v>
      </c>
      <c r="AS707" s="228" cm="1">
        <f t="array" ref="AS707">IF(X707&gt;0, INDEX(Kat, $AN707, 9+AQ707), 0)</f>
        <v>0</v>
      </c>
      <c r="AT707" s="246"/>
      <c r="AU707" s="262"/>
      <c r="AV707" s="262"/>
      <c r="AW707" s="263"/>
      <c r="AX707" s="263"/>
      <c r="AY707" s="263"/>
      <c r="AZ707" s="263"/>
      <c r="BA707" s="263"/>
      <c r="BB707" s="263"/>
      <c r="BC707" s="263"/>
      <c r="BD707" s="263"/>
      <c r="BE707" s="263"/>
      <c r="BF707" s="263"/>
      <c r="BG707" s="263"/>
      <c r="BH707" s="246"/>
      <c r="BI707" s="228" cm="1">
        <f t="array" ref="BI707">INDEX(Use, $AH707, 4)</f>
        <v>7</v>
      </c>
      <c r="BJ707" s="228">
        <f t="shared" si="788"/>
        <v>32</v>
      </c>
      <c r="BK707" s="228">
        <f t="shared" si="776"/>
        <v>13</v>
      </c>
      <c r="BL707" s="228">
        <f t="shared" si="777"/>
        <v>0</v>
      </c>
      <c r="BM707" s="233" cm="1">
        <f t="array" ref="BM707">L707/IF($M707&gt;0, INDEX($AY$22:$BE$76, $M707+20, $AH707), 1)</f>
        <v>0</v>
      </c>
      <c r="BN707" s="229">
        <f t="shared" si="789"/>
        <v>0</v>
      </c>
      <c r="BO707" s="228">
        <v>35</v>
      </c>
      <c r="BP707" s="229">
        <f t="shared" si="790"/>
        <v>48</v>
      </c>
      <c r="BQ707" s="234">
        <f t="shared" si="791"/>
        <v>3.0748170731707316</v>
      </c>
      <c r="BR707" s="234" cm="1">
        <f t="array" ref="BR707">$BM707 * SUMPRODUCT(INDEX($AV$76:$AX$81,,$AI707),INDEX($AY$76:$BE$81,,$AH707), N($AU$76:$AU$81&gt;$AM707)) / BQ707 / 1000</f>
        <v>0</v>
      </c>
      <c r="BS707" s="231">
        <f t="shared" si="778"/>
        <v>30</v>
      </c>
      <c r="BT707" s="229">
        <f t="shared" si="792"/>
        <v>43</v>
      </c>
      <c r="BU707" s="234">
        <f t="shared" si="793"/>
        <v>3.5018750000000001</v>
      </c>
      <c r="BV707" s="234" cm="1">
        <f t="array" ref="BV707">$BM707 * IF($AH707&lt;=2,
SUMPRODUCT(INDEX($AV$71:$AX$75,,$AI707), INDEX($AY$71:$BE$75,,$AH707), 1 / ($BF$71:$BF$75*BU707 + (1-$BF$71:$BF$75)*BQ707), N($AU$71:$AU$75&gt;$AM707)),
SUMPRODUCT(INDEX($AV$66:$AX$75,,$AI707), INDEX($AY$66:$BE$75,,$AH707), 1 / ($BG$66:$BG$75*BU707 + (1-$BG$66:$BG$75)*BQ707), N($AU$66:$AU$75&gt;$AM707))
) / 1000</f>
        <v>0</v>
      </c>
      <c r="BW707" s="231">
        <f t="shared" si="779"/>
        <v>25</v>
      </c>
      <c r="BX707" s="229">
        <f t="shared" si="794"/>
        <v>38</v>
      </c>
      <c r="BY707" s="234">
        <f t="shared" si="795"/>
        <v>4.0666935483870965</v>
      </c>
      <c r="BZ707" s="234" cm="1">
        <f t="array" ref="BZ707">$BM707 * IF($AH707&lt;=2,
SUMPRODUCT(INDEX($AV$66:$AX$70,,$AI707), INDEX($AY$66:$BE$70,,$AH707), 1 / ($BF$66:$BF$70*BY707 + (1-$BF$66:$BF$70)*BU707), N($AU$66:$AU$70&gt;$AM707)),
SUMPRODUCT(INDEX($AV$56:$AX$65,,$AI707), INDEX($AY$56:$BE$65,,$AH707), 1 / ($BG$56:$BG$65*BY707 + (1-$BG$56:$BG$65)*BU707), N($AU$56:$AU$65&gt;$AM707))
) / 1000</f>
        <v>0</v>
      </c>
      <c r="CA707" s="231">
        <f t="shared" si="780"/>
        <v>20</v>
      </c>
      <c r="CB707" s="229">
        <f t="shared" si="796"/>
        <v>33</v>
      </c>
      <c r="CC707" s="234">
        <f t="shared" si="797"/>
        <v>4.8487499999999999</v>
      </c>
      <c r="CD707" s="234" cm="1">
        <f t="array" ref="CD707">$BM707 * IF($AH707&lt;=2,
SUMPRODUCT(INDEX($AV$61:$AX$65,,$AI707), INDEX($AY$61:$BE$65,,$AH707), 1 / ($BF$61:$BF$65*CC707 + (1-$BF$61:$BF$65)*BY707), N($AU$61:$AU$65&gt;$AM707)),
SUMPRODUCT(INDEX($AV$46:$AX$55,,$AI707), INDEX($AY$46:$BE$55,,$AH707), 1 / ($BG$46:$BG$55*CC707 + (1-$BG$46:$BG$55)*BY707), N($AU$46:$AU$55&gt;$AM707))
) / 1000</f>
        <v>0</v>
      </c>
      <c r="CE707" s="234" cm="1">
        <f t="array" ref="CE707">$BM707 * IF($AH707&lt;=2,
SUMPRODUCT(INDEX($AV$22:$AX$60,,$AI707), INDEX($AY$22:$BE$60,,$AH707), 1 / ($BF$22:$BF$60*CC707), N($AU$22:$AU$60&gt;$AM707)),
SUMPRODUCT(INDEX($AV$22:$AX$45,,$AI707), INDEX($AY$22:$BE$45,,$AH707), 1 / ($BG$22:$BG$45*CC707), N($AU$22:$AU$45&gt;$AM707))
) / 1000</f>
        <v>0</v>
      </c>
      <c r="CF707" s="229">
        <f t="shared" si="798"/>
        <v>0</v>
      </c>
      <c r="CG707" s="246"/>
      <c r="CH707" s="229">
        <f t="shared" si="799"/>
        <v>0</v>
      </c>
      <c r="CI707" s="228">
        <v>35</v>
      </c>
      <c r="CJ707" s="229">
        <f t="shared" si="800"/>
        <v>48</v>
      </c>
      <c r="CK707" s="234">
        <f t="shared" si="801"/>
        <v>3.0748170731707316</v>
      </c>
      <c r="CL707" s="234" cm="1">
        <f t="array" ref="CL707">$BM707 * SUMPRODUCT(INDEX($AV$76:$AX$81,,$AI707),INDEX($AY$76:$BE$81,,$AH707), N($AU$76:$AU$81&gt;$AM707)) / CK707 / 1000</f>
        <v>0</v>
      </c>
      <c r="CM707" s="231">
        <f t="shared" si="781"/>
        <v>30</v>
      </c>
      <c r="CN707" s="229">
        <f t="shared" si="802"/>
        <v>43</v>
      </c>
      <c r="CO707" s="234">
        <f t="shared" si="803"/>
        <v>3.5018750000000001</v>
      </c>
      <c r="CP707" s="234" cm="1">
        <f t="array" ref="CP707">$BM707 * IF($AH707&lt;=2,
SUMPRODUCT(INDEX($AV$71:$AX$75,,$AI707), INDEX($AY$71:$BE$75,,$AH707), 1 / ($BF$71:$BF$75*CO707 + (1-$BF$71:$BF$75)*CK707), N($AU$71:$AU$75&gt;$AM707)),
SUMPRODUCT(INDEX($AV$66:$AX$75,,$AI707), INDEX($AY$66:$BE$75,,$AH707), 1 / ($BG$66:$BG$75*CO707 + (1-$BG$66:$BG$75)*CK707), N($AU$66:$AU$75&gt;$AM707))
) / 1000</f>
        <v>0</v>
      </c>
      <c r="CQ707" s="231">
        <f t="shared" si="782"/>
        <v>25</v>
      </c>
      <c r="CR707" s="229">
        <f t="shared" si="804"/>
        <v>38</v>
      </c>
      <c r="CS707" s="234">
        <f t="shared" si="805"/>
        <v>4.0666935483870965</v>
      </c>
      <c r="CT707" s="234" cm="1">
        <f t="array" ref="CT707">$BM707 * IF($AH707&lt;=2,
SUMPRODUCT(INDEX($AV$66:$AX$70,,$AI707), INDEX($AY$66:$BE$70,,$AH707), 1 / ($BF$66:$BF$70*CS707 + (1-$BF$66:$BF$70)*CO707), N($AU$66:$AU$70&gt;$AM707)),
SUMPRODUCT(INDEX($AV$56:$AX$65,,$AI707), INDEX($AY$56:$BE$65,,$AH707), 1 / ($BG$56:$BG$65*CS707 + (1-$BG$56:$BG$65)*CO707), N($AU$56:$AU$65&gt;$AM707))
) / 1000</f>
        <v>0</v>
      </c>
      <c r="CU707" s="231">
        <f t="shared" si="783"/>
        <v>20</v>
      </c>
      <c r="CV707" s="229">
        <f t="shared" si="806"/>
        <v>33</v>
      </c>
      <c r="CW707" s="234">
        <f t="shared" si="807"/>
        <v>4.8487499999999999</v>
      </c>
      <c r="CX707" s="234" cm="1">
        <f t="array" ref="CX707">$BM707 * IF($AH707&lt;=2,
SUMPRODUCT(INDEX($AV$61:$AX$65,,$AI707), INDEX($AY$61:$BE$65,,$AH707), 1 / ($BF$61:$BF$65*CW707 + (1-$BF$61:$BF$65)*CS707), N($AU$61:$AU$65&gt;$AM707)),
SUMPRODUCT(INDEX($AV$46:$AX$55,,$AI707), INDEX($AY$46:$BE$55,,$AH707), 1 / ($BG$46:$BG$55*CW707 + (1-$BG$46:$BG$55)*CS707), N($AU$46:$AU$55&gt;$AM707))
) / 1000</f>
        <v>0</v>
      </c>
      <c r="CY707" s="234" cm="1">
        <f t="array" ref="CY707">$BM707 * IF($AH707&lt;=2,
SUMPRODUCT(INDEX($AV$22:$AX$60,,$AI707), INDEX($AY$22:$BE$60,,$AH707), 1 / ($BF$22:$BF$60*CW707), N($AU$22:$AU$60&gt;$AM707)),
SUMPRODUCT(INDEX($AV$22:$AX$45,,$AI707), INDEX($AY$22:$BE$45,,$AH707), 1 / ($BG$22:$BG$45*CW707), N($AU$22:$AU$45&gt;$AM707))
) / 1000</f>
        <v>0</v>
      </c>
      <c r="CZ707" s="229">
        <f t="shared" si="808"/>
        <v>0</v>
      </c>
      <c r="DA707" s="246"/>
    </row>
    <row r="708" spans="1:105" s="75" customFormat="1" ht="14.25" customHeight="1" x14ac:dyDescent="0.2">
      <c r="A708" s="230" t="b">
        <f t="shared" si="775"/>
        <v>0</v>
      </c>
      <c r="B708" s="253">
        <v>687</v>
      </c>
      <c r="C708" s="266"/>
      <c r="D708" s="266"/>
      <c r="E708" s="254"/>
      <c r="F708" s="255" t="str">
        <f>IF(ISBLANK(E708), "", VLOOKUP(E708, Z!$A$2:$C$4127, 3, FALSE))</f>
        <v/>
      </c>
      <c r="G708" s="256"/>
      <c r="H708" s="256"/>
      <c r="I708" s="256"/>
      <c r="J708" s="257"/>
      <c r="K708" s="258"/>
      <c r="L708" s="267"/>
      <c r="M708" s="268"/>
      <c r="N708" s="259" t="str" cm="1">
        <f t="array" ref="N708">IF($L708&gt;0, INDEX(Clean,1+AK708,$D$1), "")</f>
        <v/>
      </c>
      <c r="O708" s="260"/>
      <c r="P708" s="260"/>
      <c r="Q708" s="261"/>
      <c r="R708" s="264">
        <f t="shared" si="784"/>
        <v>0</v>
      </c>
      <c r="S708" s="259" t="str" cm="1">
        <f t="array" ref="S708">IF($L708&gt;0, INDEX(Clean,1+AL708,$D$1), "")</f>
        <v/>
      </c>
      <c r="T708" s="260"/>
      <c r="U708" s="260"/>
      <c r="V708" s="261"/>
      <c r="W708" s="267"/>
      <c r="X708" s="267"/>
      <c r="Y708" s="257"/>
      <c r="Z708" s="264">
        <f t="shared" si="785"/>
        <v>0</v>
      </c>
      <c r="AA708" s="269"/>
      <c r="AB708" s="266"/>
      <c r="AC708" s="254"/>
      <c r="AD708" s="255" t="str">
        <f>IF(ISBLANK(AC708), "", VLOOKUP(AC708, Z!$A$2:$C$4127, 3, FALSE))</f>
        <v/>
      </c>
      <c r="AE708" s="270"/>
      <c r="AF708" s="265">
        <f t="shared" si="786"/>
        <v>0</v>
      </c>
      <c r="AG708" s="246"/>
      <c r="AH708" s="228">
        <f t="shared" si="809"/>
        <v>1</v>
      </c>
      <c r="AI708" s="228">
        <f t="shared" si="810"/>
        <v>1</v>
      </c>
      <c r="AJ708" s="228">
        <f t="shared" si="811"/>
        <v>0</v>
      </c>
      <c r="AK708" s="228">
        <v>0</v>
      </c>
      <c r="AL708" s="228">
        <v>0</v>
      </c>
      <c r="AM708" s="228">
        <f t="shared" si="787"/>
        <v>-100</v>
      </c>
      <c r="AN708" s="228" cm="1">
        <f t="array" ref="AN708">IF(ISBLANK(G708), 1, IFERROR(MATCH(G708, INDEX(Kat,,1), 0), IFERROR(MATCH(Kat, INDEX(Use,,2), 0), MATCH(Kat, INDEX(Use,,3), 0))))</f>
        <v>1</v>
      </c>
      <c r="AO708" s="246"/>
      <c r="AP708" s="228" cm="1">
        <f t="array" ref="AP708">IF(W708&gt;0, INDEX(Kat, AN708,4), 0)</f>
        <v>0</v>
      </c>
      <c r="AQ708" s="228">
        <f t="shared" si="812"/>
        <v>0</v>
      </c>
      <c r="AR708" s="228" cm="1">
        <f t="array" ref="AR708">IF(X708&gt;0, INDEX(Kat, $AN708, 4+AQ708), 0)</f>
        <v>0</v>
      </c>
      <c r="AS708" s="228" cm="1">
        <f t="array" ref="AS708">IF(X708&gt;0, INDEX(Kat, $AN708, 9+AQ708), 0)</f>
        <v>0</v>
      </c>
      <c r="AT708" s="246"/>
      <c r="AU708" s="262"/>
      <c r="AV708" s="262"/>
      <c r="AW708" s="263"/>
      <c r="AX708" s="263"/>
      <c r="AY708" s="263"/>
      <c r="AZ708" s="263"/>
      <c r="BA708" s="263"/>
      <c r="BB708" s="263"/>
      <c r="BC708" s="263"/>
      <c r="BD708" s="263"/>
      <c r="BE708" s="263"/>
      <c r="BF708" s="263"/>
      <c r="BG708" s="263"/>
      <c r="BH708" s="246"/>
      <c r="BI708" s="228" cm="1">
        <f t="array" ref="BI708">INDEX(Use, $AH708, 4)</f>
        <v>7</v>
      </c>
      <c r="BJ708" s="228">
        <f t="shared" si="788"/>
        <v>32</v>
      </c>
      <c r="BK708" s="228">
        <f t="shared" si="776"/>
        <v>13</v>
      </c>
      <c r="BL708" s="228">
        <f t="shared" si="777"/>
        <v>0</v>
      </c>
      <c r="BM708" s="233" cm="1">
        <f t="array" ref="BM708">L708/IF($M708&gt;0, INDEX($AY$22:$BE$76, $M708+20, $AH708), 1)</f>
        <v>0</v>
      </c>
      <c r="BN708" s="229">
        <f t="shared" si="789"/>
        <v>0</v>
      </c>
      <c r="BO708" s="228">
        <v>35</v>
      </c>
      <c r="BP708" s="229">
        <f t="shared" si="790"/>
        <v>48</v>
      </c>
      <c r="BQ708" s="234">
        <f t="shared" si="791"/>
        <v>3.0748170731707316</v>
      </c>
      <c r="BR708" s="234" cm="1">
        <f t="array" ref="BR708">$BM708 * SUMPRODUCT(INDEX($AV$76:$AX$81,,$AI708),INDEX($AY$76:$BE$81,,$AH708), N($AU$76:$AU$81&gt;$AM708)) / BQ708 / 1000</f>
        <v>0</v>
      </c>
      <c r="BS708" s="231">
        <f t="shared" si="778"/>
        <v>30</v>
      </c>
      <c r="BT708" s="229">
        <f t="shared" si="792"/>
        <v>43</v>
      </c>
      <c r="BU708" s="234">
        <f t="shared" si="793"/>
        <v>3.5018750000000001</v>
      </c>
      <c r="BV708" s="234" cm="1">
        <f t="array" ref="BV708">$BM708 * IF($AH708&lt;=2,
SUMPRODUCT(INDEX($AV$71:$AX$75,,$AI708), INDEX($AY$71:$BE$75,,$AH708), 1 / ($BF$71:$BF$75*BU708 + (1-$BF$71:$BF$75)*BQ708), N($AU$71:$AU$75&gt;$AM708)),
SUMPRODUCT(INDEX($AV$66:$AX$75,,$AI708), INDEX($AY$66:$BE$75,,$AH708), 1 / ($BG$66:$BG$75*BU708 + (1-$BG$66:$BG$75)*BQ708), N($AU$66:$AU$75&gt;$AM708))
) / 1000</f>
        <v>0</v>
      </c>
      <c r="BW708" s="231">
        <f t="shared" si="779"/>
        <v>25</v>
      </c>
      <c r="BX708" s="229">
        <f t="shared" si="794"/>
        <v>38</v>
      </c>
      <c r="BY708" s="234">
        <f t="shared" si="795"/>
        <v>4.0666935483870965</v>
      </c>
      <c r="BZ708" s="234" cm="1">
        <f t="array" ref="BZ708">$BM708 * IF($AH708&lt;=2,
SUMPRODUCT(INDEX($AV$66:$AX$70,,$AI708), INDEX($AY$66:$BE$70,,$AH708), 1 / ($BF$66:$BF$70*BY708 + (1-$BF$66:$BF$70)*BU708), N($AU$66:$AU$70&gt;$AM708)),
SUMPRODUCT(INDEX($AV$56:$AX$65,,$AI708), INDEX($AY$56:$BE$65,,$AH708), 1 / ($BG$56:$BG$65*BY708 + (1-$BG$56:$BG$65)*BU708), N($AU$56:$AU$65&gt;$AM708))
) / 1000</f>
        <v>0</v>
      </c>
      <c r="CA708" s="231">
        <f t="shared" si="780"/>
        <v>20</v>
      </c>
      <c r="CB708" s="229">
        <f t="shared" si="796"/>
        <v>33</v>
      </c>
      <c r="CC708" s="234">
        <f t="shared" si="797"/>
        <v>4.8487499999999999</v>
      </c>
      <c r="CD708" s="234" cm="1">
        <f t="array" ref="CD708">$BM708 * IF($AH708&lt;=2,
SUMPRODUCT(INDEX($AV$61:$AX$65,,$AI708), INDEX($AY$61:$BE$65,,$AH708), 1 / ($BF$61:$BF$65*CC708 + (1-$BF$61:$BF$65)*BY708), N($AU$61:$AU$65&gt;$AM708)),
SUMPRODUCT(INDEX($AV$46:$AX$55,,$AI708), INDEX($AY$46:$BE$55,,$AH708), 1 / ($BG$46:$BG$55*CC708 + (1-$BG$46:$BG$55)*BY708), N($AU$46:$AU$55&gt;$AM708))
) / 1000</f>
        <v>0</v>
      </c>
      <c r="CE708" s="234" cm="1">
        <f t="array" ref="CE708">$BM708 * IF($AH708&lt;=2,
SUMPRODUCT(INDEX($AV$22:$AX$60,,$AI708), INDEX($AY$22:$BE$60,,$AH708), 1 / ($BF$22:$BF$60*CC708), N($AU$22:$AU$60&gt;$AM708)),
SUMPRODUCT(INDEX($AV$22:$AX$45,,$AI708), INDEX($AY$22:$BE$45,,$AH708), 1 / ($BG$22:$BG$45*CC708), N($AU$22:$AU$45&gt;$AM708))
) / 1000</f>
        <v>0</v>
      </c>
      <c r="CF708" s="229">
        <f t="shared" si="798"/>
        <v>0</v>
      </c>
      <c r="CG708" s="246"/>
      <c r="CH708" s="229">
        <f t="shared" si="799"/>
        <v>0</v>
      </c>
      <c r="CI708" s="228">
        <v>35</v>
      </c>
      <c r="CJ708" s="229">
        <f t="shared" si="800"/>
        <v>48</v>
      </c>
      <c r="CK708" s="234">
        <f t="shared" si="801"/>
        <v>3.0748170731707316</v>
      </c>
      <c r="CL708" s="234" cm="1">
        <f t="array" ref="CL708">$BM708 * SUMPRODUCT(INDEX($AV$76:$AX$81,,$AI708),INDEX($AY$76:$BE$81,,$AH708), N($AU$76:$AU$81&gt;$AM708)) / CK708 / 1000</f>
        <v>0</v>
      </c>
      <c r="CM708" s="231">
        <f t="shared" si="781"/>
        <v>30</v>
      </c>
      <c r="CN708" s="229">
        <f t="shared" si="802"/>
        <v>43</v>
      </c>
      <c r="CO708" s="234">
        <f t="shared" si="803"/>
        <v>3.5018750000000001</v>
      </c>
      <c r="CP708" s="234" cm="1">
        <f t="array" ref="CP708">$BM708 * IF($AH708&lt;=2,
SUMPRODUCT(INDEX($AV$71:$AX$75,,$AI708), INDEX($AY$71:$BE$75,,$AH708), 1 / ($BF$71:$BF$75*CO708 + (1-$BF$71:$BF$75)*CK708), N($AU$71:$AU$75&gt;$AM708)),
SUMPRODUCT(INDEX($AV$66:$AX$75,,$AI708), INDEX($AY$66:$BE$75,,$AH708), 1 / ($BG$66:$BG$75*CO708 + (1-$BG$66:$BG$75)*CK708), N($AU$66:$AU$75&gt;$AM708))
) / 1000</f>
        <v>0</v>
      </c>
      <c r="CQ708" s="231">
        <f t="shared" si="782"/>
        <v>25</v>
      </c>
      <c r="CR708" s="229">
        <f t="shared" si="804"/>
        <v>38</v>
      </c>
      <c r="CS708" s="234">
        <f t="shared" si="805"/>
        <v>4.0666935483870965</v>
      </c>
      <c r="CT708" s="234" cm="1">
        <f t="array" ref="CT708">$BM708 * IF($AH708&lt;=2,
SUMPRODUCT(INDEX($AV$66:$AX$70,,$AI708), INDEX($AY$66:$BE$70,,$AH708), 1 / ($BF$66:$BF$70*CS708 + (1-$BF$66:$BF$70)*CO708), N($AU$66:$AU$70&gt;$AM708)),
SUMPRODUCT(INDEX($AV$56:$AX$65,,$AI708), INDEX($AY$56:$BE$65,,$AH708), 1 / ($BG$56:$BG$65*CS708 + (1-$BG$56:$BG$65)*CO708), N($AU$56:$AU$65&gt;$AM708))
) / 1000</f>
        <v>0</v>
      </c>
      <c r="CU708" s="231">
        <f t="shared" si="783"/>
        <v>20</v>
      </c>
      <c r="CV708" s="229">
        <f t="shared" si="806"/>
        <v>33</v>
      </c>
      <c r="CW708" s="234">
        <f t="shared" si="807"/>
        <v>4.8487499999999999</v>
      </c>
      <c r="CX708" s="234" cm="1">
        <f t="array" ref="CX708">$BM708 * IF($AH708&lt;=2,
SUMPRODUCT(INDEX($AV$61:$AX$65,,$AI708), INDEX($AY$61:$BE$65,,$AH708), 1 / ($BF$61:$BF$65*CW708 + (1-$BF$61:$BF$65)*CS708), N($AU$61:$AU$65&gt;$AM708)),
SUMPRODUCT(INDEX($AV$46:$AX$55,,$AI708), INDEX($AY$46:$BE$55,,$AH708), 1 / ($BG$46:$BG$55*CW708 + (1-$BG$46:$BG$55)*CS708), N($AU$46:$AU$55&gt;$AM708))
) / 1000</f>
        <v>0</v>
      </c>
      <c r="CY708" s="234" cm="1">
        <f t="array" ref="CY708">$BM708 * IF($AH708&lt;=2,
SUMPRODUCT(INDEX($AV$22:$AX$60,,$AI708), INDEX($AY$22:$BE$60,,$AH708), 1 / ($BF$22:$BF$60*CW708), N($AU$22:$AU$60&gt;$AM708)),
SUMPRODUCT(INDEX($AV$22:$AX$45,,$AI708), INDEX($AY$22:$BE$45,,$AH708), 1 / ($BG$22:$BG$45*CW708), N($AU$22:$AU$45&gt;$AM708))
) / 1000</f>
        <v>0</v>
      </c>
      <c r="CZ708" s="229">
        <f t="shared" si="808"/>
        <v>0</v>
      </c>
      <c r="DA708" s="246"/>
    </row>
    <row r="709" spans="1:105" s="75" customFormat="1" ht="14.25" customHeight="1" x14ac:dyDescent="0.2">
      <c r="A709" s="230" t="b">
        <f t="shared" si="775"/>
        <v>0</v>
      </c>
      <c r="B709" s="253">
        <v>688</v>
      </c>
      <c r="C709" s="266"/>
      <c r="D709" s="266"/>
      <c r="E709" s="254"/>
      <c r="F709" s="255" t="str">
        <f>IF(ISBLANK(E709), "", VLOOKUP(E709, Z!$A$2:$C$4127, 3, FALSE))</f>
        <v/>
      </c>
      <c r="G709" s="256"/>
      <c r="H709" s="256"/>
      <c r="I709" s="256"/>
      <c r="J709" s="257"/>
      <c r="K709" s="258"/>
      <c r="L709" s="267"/>
      <c r="M709" s="268"/>
      <c r="N709" s="259" t="str" cm="1">
        <f t="array" ref="N709">IF($L709&gt;0, INDEX(Clean,1+AK709,$D$1), "")</f>
        <v/>
      </c>
      <c r="O709" s="260"/>
      <c r="P709" s="260"/>
      <c r="Q709" s="261"/>
      <c r="R709" s="264">
        <f t="shared" si="784"/>
        <v>0</v>
      </c>
      <c r="S709" s="259" t="str" cm="1">
        <f t="array" ref="S709">IF($L709&gt;0, INDEX(Clean,1+AL709,$D$1), "")</f>
        <v/>
      </c>
      <c r="T709" s="260"/>
      <c r="U709" s="260"/>
      <c r="V709" s="261"/>
      <c r="W709" s="267"/>
      <c r="X709" s="267"/>
      <c r="Y709" s="257"/>
      <c r="Z709" s="264">
        <f t="shared" si="785"/>
        <v>0</v>
      </c>
      <c r="AA709" s="269"/>
      <c r="AB709" s="266"/>
      <c r="AC709" s="254"/>
      <c r="AD709" s="255" t="str">
        <f>IF(ISBLANK(AC709), "", VLOOKUP(AC709, Z!$A$2:$C$4127, 3, FALSE))</f>
        <v/>
      </c>
      <c r="AE709" s="270"/>
      <c r="AF709" s="265">
        <f t="shared" si="786"/>
        <v>0</v>
      </c>
      <c r="AG709" s="246"/>
      <c r="AH709" s="228">
        <f t="shared" si="809"/>
        <v>1</v>
      </c>
      <c r="AI709" s="228">
        <f t="shared" si="810"/>
        <v>1</v>
      </c>
      <c r="AJ709" s="228">
        <f t="shared" si="811"/>
        <v>0</v>
      </c>
      <c r="AK709" s="228">
        <v>0</v>
      </c>
      <c r="AL709" s="228">
        <v>0</v>
      </c>
      <c r="AM709" s="228">
        <f t="shared" si="787"/>
        <v>-100</v>
      </c>
      <c r="AN709" s="228" cm="1">
        <f t="array" ref="AN709">IF(ISBLANK(G709), 1, IFERROR(MATCH(G709, INDEX(Kat,,1), 0), IFERROR(MATCH(Kat, INDEX(Use,,2), 0), MATCH(Kat, INDEX(Use,,3), 0))))</f>
        <v>1</v>
      </c>
      <c r="AO709" s="246"/>
      <c r="AP709" s="228" cm="1">
        <f t="array" ref="AP709">IF(W709&gt;0, INDEX(Kat, AN709,4), 0)</f>
        <v>0</v>
      </c>
      <c r="AQ709" s="228">
        <f t="shared" si="812"/>
        <v>0</v>
      </c>
      <c r="AR709" s="228" cm="1">
        <f t="array" ref="AR709">IF(X709&gt;0, INDEX(Kat, $AN709, 4+AQ709), 0)</f>
        <v>0</v>
      </c>
      <c r="AS709" s="228" cm="1">
        <f t="array" ref="AS709">IF(X709&gt;0, INDEX(Kat, $AN709, 9+AQ709), 0)</f>
        <v>0</v>
      </c>
      <c r="AT709" s="246"/>
      <c r="AU709" s="262"/>
      <c r="AV709" s="262"/>
      <c r="AW709" s="263"/>
      <c r="AX709" s="263"/>
      <c r="AY709" s="263"/>
      <c r="AZ709" s="263"/>
      <c r="BA709" s="263"/>
      <c r="BB709" s="263"/>
      <c r="BC709" s="263"/>
      <c r="BD709" s="263"/>
      <c r="BE709" s="263"/>
      <c r="BF709" s="263"/>
      <c r="BG709" s="263"/>
      <c r="BH709" s="246"/>
      <c r="BI709" s="228" cm="1">
        <f t="array" ref="BI709">INDEX(Use, $AH709, 4)</f>
        <v>7</v>
      </c>
      <c r="BJ709" s="228">
        <f t="shared" si="788"/>
        <v>32</v>
      </c>
      <c r="BK709" s="228">
        <f t="shared" si="776"/>
        <v>13</v>
      </c>
      <c r="BL709" s="228">
        <f t="shared" si="777"/>
        <v>0</v>
      </c>
      <c r="BM709" s="233" cm="1">
        <f t="array" ref="BM709">L709/IF($M709&gt;0, INDEX($AY$22:$BE$76, $M709+20, $AH709), 1)</f>
        <v>0</v>
      </c>
      <c r="BN709" s="229">
        <f t="shared" si="789"/>
        <v>0</v>
      </c>
      <c r="BO709" s="228">
        <v>35</v>
      </c>
      <c r="BP709" s="229">
        <f t="shared" si="790"/>
        <v>48</v>
      </c>
      <c r="BQ709" s="234">
        <f t="shared" si="791"/>
        <v>3.0748170731707316</v>
      </c>
      <c r="BR709" s="234" cm="1">
        <f t="array" ref="BR709">$BM709 * SUMPRODUCT(INDEX($AV$76:$AX$81,,$AI709),INDEX($AY$76:$BE$81,,$AH709), N($AU$76:$AU$81&gt;$AM709)) / BQ709 / 1000</f>
        <v>0</v>
      </c>
      <c r="BS709" s="231">
        <f t="shared" si="778"/>
        <v>30</v>
      </c>
      <c r="BT709" s="229">
        <f t="shared" si="792"/>
        <v>43</v>
      </c>
      <c r="BU709" s="234">
        <f t="shared" si="793"/>
        <v>3.5018750000000001</v>
      </c>
      <c r="BV709" s="234" cm="1">
        <f t="array" ref="BV709">$BM709 * IF($AH709&lt;=2,
SUMPRODUCT(INDEX($AV$71:$AX$75,,$AI709), INDEX($AY$71:$BE$75,,$AH709), 1 / ($BF$71:$BF$75*BU709 + (1-$BF$71:$BF$75)*BQ709), N($AU$71:$AU$75&gt;$AM709)),
SUMPRODUCT(INDEX($AV$66:$AX$75,,$AI709), INDEX($AY$66:$BE$75,,$AH709), 1 / ($BG$66:$BG$75*BU709 + (1-$BG$66:$BG$75)*BQ709), N($AU$66:$AU$75&gt;$AM709))
) / 1000</f>
        <v>0</v>
      </c>
      <c r="BW709" s="231">
        <f t="shared" si="779"/>
        <v>25</v>
      </c>
      <c r="BX709" s="229">
        <f t="shared" si="794"/>
        <v>38</v>
      </c>
      <c r="BY709" s="234">
        <f t="shared" si="795"/>
        <v>4.0666935483870965</v>
      </c>
      <c r="BZ709" s="234" cm="1">
        <f t="array" ref="BZ709">$BM709 * IF($AH709&lt;=2,
SUMPRODUCT(INDEX($AV$66:$AX$70,,$AI709), INDEX($AY$66:$BE$70,,$AH709), 1 / ($BF$66:$BF$70*BY709 + (1-$BF$66:$BF$70)*BU709), N($AU$66:$AU$70&gt;$AM709)),
SUMPRODUCT(INDEX($AV$56:$AX$65,,$AI709), INDEX($AY$56:$BE$65,,$AH709), 1 / ($BG$56:$BG$65*BY709 + (1-$BG$56:$BG$65)*BU709), N($AU$56:$AU$65&gt;$AM709))
) / 1000</f>
        <v>0</v>
      </c>
      <c r="CA709" s="231">
        <f t="shared" si="780"/>
        <v>20</v>
      </c>
      <c r="CB709" s="229">
        <f t="shared" si="796"/>
        <v>33</v>
      </c>
      <c r="CC709" s="234">
        <f t="shared" si="797"/>
        <v>4.8487499999999999</v>
      </c>
      <c r="CD709" s="234" cm="1">
        <f t="array" ref="CD709">$BM709 * IF($AH709&lt;=2,
SUMPRODUCT(INDEX($AV$61:$AX$65,,$AI709), INDEX($AY$61:$BE$65,,$AH709), 1 / ($BF$61:$BF$65*CC709 + (1-$BF$61:$BF$65)*BY709), N($AU$61:$AU$65&gt;$AM709)),
SUMPRODUCT(INDEX($AV$46:$AX$55,,$AI709), INDEX($AY$46:$BE$55,,$AH709), 1 / ($BG$46:$BG$55*CC709 + (1-$BG$46:$BG$55)*BY709), N($AU$46:$AU$55&gt;$AM709))
) / 1000</f>
        <v>0</v>
      </c>
      <c r="CE709" s="234" cm="1">
        <f t="array" ref="CE709">$BM709 * IF($AH709&lt;=2,
SUMPRODUCT(INDEX($AV$22:$AX$60,,$AI709), INDEX($AY$22:$BE$60,,$AH709), 1 / ($BF$22:$BF$60*CC709), N($AU$22:$AU$60&gt;$AM709)),
SUMPRODUCT(INDEX($AV$22:$AX$45,,$AI709), INDEX($AY$22:$BE$45,,$AH709), 1 / ($BG$22:$BG$45*CC709), N($AU$22:$AU$45&gt;$AM709))
) / 1000</f>
        <v>0</v>
      </c>
      <c r="CF709" s="229">
        <f t="shared" si="798"/>
        <v>0</v>
      </c>
      <c r="CG709" s="246"/>
      <c r="CH709" s="229">
        <f t="shared" si="799"/>
        <v>0</v>
      </c>
      <c r="CI709" s="228">
        <v>35</v>
      </c>
      <c r="CJ709" s="229">
        <f t="shared" si="800"/>
        <v>48</v>
      </c>
      <c r="CK709" s="234">
        <f t="shared" si="801"/>
        <v>3.0748170731707316</v>
      </c>
      <c r="CL709" s="234" cm="1">
        <f t="array" ref="CL709">$BM709 * SUMPRODUCT(INDEX($AV$76:$AX$81,,$AI709),INDEX($AY$76:$BE$81,,$AH709), N($AU$76:$AU$81&gt;$AM709)) / CK709 / 1000</f>
        <v>0</v>
      </c>
      <c r="CM709" s="231">
        <f t="shared" si="781"/>
        <v>30</v>
      </c>
      <c r="CN709" s="229">
        <f t="shared" si="802"/>
        <v>43</v>
      </c>
      <c r="CO709" s="234">
        <f t="shared" si="803"/>
        <v>3.5018750000000001</v>
      </c>
      <c r="CP709" s="234" cm="1">
        <f t="array" ref="CP709">$BM709 * IF($AH709&lt;=2,
SUMPRODUCT(INDEX($AV$71:$AX$75,,$AI709), INDEX($AY$71:$BE$75,,$AH709), 1 / ($BF$71:$BF$75*CO709 + (1-$BF$71:$BF$75)*CK709), N($AU$71:$AU$75&gt;$AM709)),
SUMPRODUCT(INDEX($AV$66:$AX$75,,$AI709), INDEX($AY$66:$BE$75,,$AH709), 1 / ($BG$66:$BG$75*CO709 + (1-$BG$66:$BG$75)*CK709), N($AU$66:$AU$75&gt;$AM709))
) / 1000</f>
        <v>0</v>
      </c>
      <c r="CQ709" s="231">
        <f t="shared" si="782"/>
        <v>25</v>
      </c>
      <c r="CR709" s="229">
        <f t="shared" si="804"/>
        <v>38</v>
      </c>
      <c r="CS709" s="234">
        <f t="shared" si="805"/>
        <v>4.0666935483870965</v>
      </c>
      <c r="CT709" s="234" cm="1">
        <f t="array" ref="CT709">$BM709 * IF($AH709&lt;=2,
SUMPRODUCT(INDEX($AV$66:$AX$70,,$AI709), INDEX($AY$66:$BE$70,,$AH709), 1 / ($BF$66:$BF$70*CS709 + (1-$BF$66:$BF$70)*CO709), N($AU$66:$AU$70&gt;$AM709)),
SUMPRODUCT(INDEX($AV$56:$AX$65,,$AI709), INDEX($AY$56:$BE$65,,$AH709), 1 / ($BG$56:$BG$65*CS709 + (1-$BG$56:$BG$65)*CO709), N($AU$56:$AU$65&gt;$AM709))
) / 1000</f>
        <v>0</v>
      </c>
      <c r="CU709" s="231">
        <f t="shared" si="783"/>
        <v>20</v>
      </c>
      <c r="CV709" s="229">
        <f t="shared" si="806"/>
        <v>33</v>
      </c>
      <c r="CW709" s="234">
        <f t="shared" si="807"/>
        <v>4.8487499999999999</v>
      </c>
      <c r="CX709" s="234" cm="1">
        <f t="array" ref="CX709">$BM709 * IF($AH709&lt;=2,
SUMPRODUCT(INDEX($AV$61:$AX$65,,$AI709), INDEX($AY$61:$BE$65,,$AH709), 1 / ($BF$61:$BF$65*CW709 + (1-$BF$61:$BF$65)*CS709), N($AU$61:$AU$65&gt;$AM709)),
SUMPRODUCT(INDEX($AV$46:$AX$55,,$AI709), INDEX($AY$46:$BE$55,,$AH709), 1 / ($BG$46:$BG$55*CW709 + (1-$BG$46:$BG$55)*CS709), N($AU$46:$AU$55&gt;$AM709))
) / 1000</f>
        <v>0</v>
      </c>
      <c r="CY709" s="234" cm="1">
        <f t="array" ref="CY709">$BM709 * IF($AH709&lt;=2,
SUMPRODUCT(INDEX($AV$22:$AX$60,,$AI709), INDEX($AY$22:$BE$60,,$AH709), 1 / ($BF$22:$BF$60*CW709), N($AU$22:$AU$60&gt;$AM709)),
SUMPRODUCT(INDEX($AV$22:$AX$45,,$AI709), INDEX($AY$22:$BE$45,,$AH709), 1 / ($BG$22:$BG$45*CW709), N($AU$22:$AU$45&gt;$AM709))
) / 1000</f>
        <v>0</v>
      </c>
      <c r="CZ709" s="229">
        <f t="shared" si="808"/>
        <v>0</v>
      </c>
      <c r="DA709" s="246"/>
    </row>
    <row r="710" spans="1:105" s="75" customFormat="1" ht="14.25" customHeight="1" x14ac:dyDescent="0.2">
      <c r="A710" s="230" t="b">
        <f t="shared" si="775"/>
        <v>0</v>
      </c>
      <c r="B710" s="253">
        <v>689</v>
      </c>
      <c r="C710" s="266"/>
      <c r="D710" s="266"/>
      <c r="E710" s="254"/>
      <c r="F710" s="255" t="str">
        <f>IF(ISBLANK(E710), "", VLOOKUP(E710, Z!$A$2:$C$4127, 3, FALSE))</f>
        <v/>
      </c>
      <c r="G710" s="256"/>
      <c r="H710" s="256"/>
      <c r="I710" s="256"/>
      <c r="J710" s="257"/>
      <c r="K710" s="258"/>
      <c r="L710" s="267"/>
      <c r="M710" s="268"/>
      <c r="N710" s="259" t="str" cm="1">
        <f t="array" ref="N710">IF($L710&gt;0, INDEX(Clean,1+AK710,$D$1), "")</f>
        <v/>
      </c>
      <c r="O710" s="260"/>
      <c r="P710" s="260"/>
      <c r="Q710" s="261"/>
      <c r="R710" s="264">
        <f t="shared" si="784"/>
        <v>0</v>
      </c>
      <c r="S710" s="259" t="str" cm="1">
        <f t="array" ref="S710">IF($L710&gt;0, INDEX(Clean,1+AL710,$D$1), "")</f>
        <v/>
      </c>
      <c r="T710" s="260"/>
      <c r="U710" s="260"/>
      <c r="V710" s="261"/>
      <c r="W710" s="267"/>
      <c r="X710" s="267"/>
      <c r="Y710" s="257"/>
      <c r="Z710" s="264">
        <f t="shared" si="785"/>
        <v>0</v>
      </c>
      <c r="AA710" s="269"/>
      <c r="AB710" s="266"/>
      <c r="AC710" s="254"/>
      <c r="AD710" s="255" t="str">
        <f>IF(ISBLANK(AC710), "", VLOOKUP(AC710, Z!$A$2:$C$4127, 3, FALSE))</f>
        <v/>
      </c>
      <c r="AE710" s="270"/>
      <c r="AF710" s="265">
        <f t="shared" si="786"/>
        <v>0</v>
      </c>
      <c r="AG710" s="246"/>
      <c r="AH710" s="228">
        <f t="shared" si="809"/>
        <v>1</v>
      </c>
      <c r="AI710" s="228">
        <f t="shared" si="810"/>
        <v>1</v>
      </c>
      <c r="AJ710" s="228">
        <f t="shared" si="811"/>
        <v>0</v>
      </c>
      <c r="AK710" s="228">
        <v>0</v>
      </c>
      <c r="AL710" s="228">
        <v>0</v>
      </c>
      <c r="AM710" s="228">
        <f t="shared" si="787"/>
        <v>-100</v>
      </c>
      <c r="AN710" s="228" cm="1">
        <f t="array" ref="AN710">IF(ISBLANK(G710), 1, IFERROR(MATCH(G710, INDEX(Kat,,1), 0), IFERROR(MATCH(Kat, INDEX(Use,,2), 0), MATCH(Kat, INDEX(Use,,3), 0))))</f>
        <v>1</v>
      </c>
      <c r="AO710" s="246"/>
      <c r="AP710" s="228" cm="1">
        <f t="array" ref="AP710">IF(W710&gt;0, INDEX(Kat, AN710,4), 0)</f>
        <v>0</v>
      </c>
      <c r="AQ710" s="228">
        <f t="shared" si="812"/>
        <v>0</v>
      </c>
      <c r="AR710" s="228" cm="1">
        <f t="array" ref="AR710">IF(X710&gt;0, INDEX(Kat, $AN710, 4+AQ710), 0)</f>
        <v>0</v>
      </c>
      <c r="AS710" s="228" cm="1">
        <f t="array" ref="AS710">IF(X710&gt;0, INDEX(Kat, $AN710, 9+AQ710), 0)</f>
        <v>0</v>
      </c>
      <c r="AT710" s="246"/>
      <c r="AU710" s="262"/>
      <c r="AV710" s="262"/>
      <c r="AW710" s="263"/>
      <c r="AX710" s="263"/>
      <c r="AY710" s="263"/>
      <c r="AZ710" s="263"/>
      <c r="BA710" s="263"/>
      <c r="BB710" s="263"/>
      <c r="BC710" s="263"/>
      <c r="BD710" s="263"/>
      <c r="BE710" s="263"/>
      <c r="BF710" s="263"/>
      <c r="BG710" s="263"/>
      <c r="BH710" s="246"/>
      <c r="BI710" s="228" cm="1">
        <f t="array" ref="BI710">INDEX(Use, $AH710, 4)</f>
        <v>7</v>
      </c>
      <c r="BJ710" s="228">
        <f t="shared" si="788"/>
        <v>32</v>
      </c>
      <c r="BK710" s="228">
        <f t="shared" si="776"/>
        <v>13</v>
      </c>
      <c r="BL710" s="228">
        <f t="shared" si="777"/>
        <v>0</v>
      </c>
      <c r="BM710" s="233" cm="1">
        <f t="array" ref="BM710">L710/IF($M710&gt;0, INDEX($AY$22:$BE$76, $M710+20, $AH710), 1)</f>
        <v>0</v>
      </c>
      <c r="BN710" s="229">
        <f t="shared" si="789"/>
        <v>0</v>
      </c>
      <c r="BO710" s="228">
        <v>35</v>
      </c>
      <c r="BP710" s="229">
        <f t="shared" si="790"/>
        <v>48</v>
      </c>
      <c r="BQ710" s="234">
        <f t="shared" si="791"/>
        <v>3.0748170731707316</v>
      </c>
      <c r="BR710" s="234" cm="1">
        <f t="array" ref="BR710">$BM710 * SUMPRODUCT(INDEX($AV$76:$AX$81,,$AI710),INDEX($AY$76:$BE$81,,$AH710), N($AU$76:$AU$81&gt;$AM710)) / BQ710 / 1000</f>
        <v>0</v>
      </c>
      <c r="BS710" s="231">
        <f t="shared" si="778"/>
        <v>30</v>
      </c>
      <c r="BT710" s="229">
        <f t="shared" si="792"/>
        <v>43</v>
      </c>
      <c r="BU710" s="234">
        <f t="shared" si="793"/>
        <v>3.5018750000000001</v>
      </c>
      <c r="BV710" s="234" cm="1">
        <f t="array" ref="BV710">$BM710 * IF($AH710&lt;=2,
SUMPRODUCT(INDEX($AV$71:$AX$75,,$AI710), INDEX($AY$71:$BE$75,,$AH710), 1 / ($BF$71:$BF$75*BU710 + (1-$BF$71:$BF$75)*BQ710), N($AU$71:$AU$75&gt;$AM710)),
SUMPRODUCT(INDEX($AV$66:$AX$75,,$AI710), INDEX($AY$66:$BE$75,,$AH710), 1 / ($BG$66:$BG$75*BU710 + (1-$BG$66:$BG$75)*BQ710), N($AU$66:$AU$75&gt;$AM710))
) / 1000</f>
        <v>0</v>
      </c>
      <c r="BW710" s="231">
        <f t="shared" si="779"/>
        <v>25</v>
      </c>
      <c r="BX710" s="229">
        <f t="shared" si="794"/>
        <v>38</v>
      </c>
      <c r="BY710" s="234">
        <f t="shared" si="795"/>
        <v>4.0666935483870965</v>
      </c>
      <c r="BZ710" s="234" cm="1">
        <f t="array" ref="BZ710">$BM710 * IF($AH710&lt;=2,
SUMPRODUCT(INDEX($AV$66:$AX$70,,$AI710), INDEX($AY$66:$BE$70,,$AH710), 1 / ($BF$66:$BF$70*BY710 + (1-$BF$66:$BF$70)*BU710), N($AU$66:$AU$70&gt;$AM710)),
SUMPRODUCT(INDEX($AV$56:$AX$65,,$AI710), INDEX($AY$56:$BE$65,,$AH710), 1 / ($BG$56:$BG$65*BY710 + (1-$BG$56:$BG$65)*BU710), N($AU$56:$AU$65&gt;$AM710))
) / 1000</f>
        <v>0</v>
      </c>
      <c r="CA710" s="231">
        <f t="shared" si="780"/>
        <v>20</v>
      </c>
      <c r="CB710" s="229">
        <f t="shared" si="796"/>
        <v>33</v>
      </c>
      <c r="CC710" s="234">
        <f t="shared" si="797"/>
        <v>4.8487499999999999</v>
      </c>
      <c r="CD710" s="234" cm="1">
        <f t="array" ref="CD710">$BM710 * IF($AH710&lt;=2,
SUMPRODUCT(INDEX($AV$61:$AX$65,,$AI710), INDEX($AY$61:$BE$65,,$AH710), 1 / ($BF$61:$BF$65*CC710 + (1-$BF$61:$BF$65)*BY710), N($AU$61:$AU$65&gt;$AM710)),
SUMPRODUCT(INDEX($AV$46:$AX$55,,$AI710), INDEX($AY$46:$BE$55,,$AH710), 1 / ($BG$46:$BG$55*CC710 + (1-$BG$46:$BG$55)*BY710), N($AU$46:$AU$55&gt;$AM710))
) / 1000</f>
        <v>0</v>
      </c>
      <c r="CE710" s="234" cm="1">
        <f t="array" ref="CE710">$BM710 * IF($AH710&lt;=2,
SUMPRODUCT(INDEX($AV$22:$AX$60,,$AI710), INDEX($AY$22:$BE$60,,$AH710), 1 / ($BF$22:$BF$60*CC710), N($AU$22:$AU$60&gt;$AM710)),
SUMPRODUCT(INDEX($AV$22:$AX$45,,$AI710), INDEX($AY$22:$BE$45,,$AH710), 1 / ($BG$22:$BG$45*CC710), N($AU$22:$AU$45&gt;$AM710))
) / 1000</f>
        <v>0</v>
      </c>
      <c r="CF710" s="229">
        <f t="shared" si="798"/>
        <v>0</v>
      </c>
      <c r="CG710" s="246"/>
      <c r="CH710" s="229">
        <f t="shared" si="799"/>
        <v>0</v>
      </c>
      <c r="CI710" s="228">
        <v>35</v>
      </c>
      <c r="CJ710" s="229">
        <f t="shared" si="800"/>
        <v>48</v>
      </c>
      <c r="CK710" s="234">
        <f t="shared" si="801"/>
        <v>3.0748170731707316</v>
      </c>
      <c r="CL710" s="234" cm="1">
        <f t="array" ref="CL710">$BM710 * SUMPRODUCT(INDEX($AV$76:$AX$81,,$AI710),INDEX($AY$76:$BE$81,,$AH710), N($AU$76:$AU$81&gt;$AM710)) / CK710 / 1000</f>
        <v>0</v>
      </c>
      <c r="CM710" s="231">
        <f t="shared" si="781"/>
        <v>30</v>
      </c>
      <c r="CN710" s="229">
        <f t="shared" si="802"/>
        <v>43</v>
      </c>
      <c r="CO710" s="234">
        <f t="shared" si="803"/>
        <v>3.5018750000000001</v>
      </c>
      <c r="CP710" s="234" cm="1">
        <f t="array" ref="CP710">$BM710 * IF($AH710&lt;=2,
SUMPRODUCT(INDEX($AV$71:$AX$75,,$AI710), INDEX($AY$71:$BE$75,,$AH710), 1 / ($BF$71:$BF$75*CO710 + (1-$BF$71:$BF$75)*CK710), N($AU$71:$AU$75&gt;$AM710)),
SUMPRODUCT(INDEX($AV$66:$AX$75,,$AI710), INDEX($AY$66:$BE$75,,$AH710), 1 / ($BG$66:$BG$75*CO710 + (1-$BG$66:$BG$75)*CK710), N($AU$66:$AU$75&gt;$AM710))
) / 1000</f>
        <v>0</v>
      </c>
      <c r="CQ710" s="231">
        <f t="shared" si="782"/>
        <v>25</v>
      </c>
      <c r="CR710" s="229">
        <f t="shared" si="804"/>
        <v>38</v>
      </c>
      <c r="CS710" s="234">
        <f t="shared" si="805"/>
        <v>4.0666935483870965</v>
      </c>
      <c r="CT710" s="234" cm="1">
        <f t="array" ref="CT710">$BM710 * IF($AH710&lt;=2,
SUMPRODUCT(INDEX($AV$66:$AX$70,,$AI710), INDEX($AY$66:$BE$70,,$AH710), 1 / ($BF$66:$BF$70*CS710 + (1-$BF$66:$BF$70)*CO710), N($AU$66:$AU$70&gt;$AM710)),
SUMPRODUCT(INDEX($AV$56:$AX$65,,$AI710), INDEX($AY$56:$BE$65,,$AH710), 1 / ($BG$56:$BG$65*CS710 + (1-$BG$56:$BG$65)*CO710), N($AU$56:$AU$65&gt;$AM710))
) / 1000</f>
        <v>0</v>
      </c>
      <c r="CU710" s="231">
        <f t="shared" si="783"/>
        <v>20</v>
      </c>
      <c r="CV710" s="229">
        <f t="shared" si="806"/>
        <v>33</v>
      </c>
      <c r="CW710" s="234">
        <f t="shared" si="807"/>
        <v>4.8487499999999999</v>
      </c>
      <c r="CX710" s="234" cm="1">
        <f t="array" ref="CX710">$BM710 * IF($AH710&lt;=2,
SUMPRODUCT(INDEX($AV$61:$AX$65,,$AI710), INDEX($AY$61:$BE$65,,$AH710), 1 / ($BF$61:$BF$65*CW710 + (1-$BF$61:$BF$65)*CS710), N($AU$61:$AU$65&gt;$AM710)),
SUMPRODUCT(INDEX($AV$46:$AX$55,,$AI710), INDEX($AY$46:$BE$55,,$AH710), 1 / ($BG$46:$BG$55*CW710 + (1-$BG$46:$BG$55)*CS710), N($AU$46:$AU$55&gt;$AM710))
) / 1000</f>
        <v>0</v>
      </c>
      <c r="CY710" s="234" cm="1">
        <f t="array" ref="CY710">$BM710 * IF($AH710&lt;=2,
SUMPRODUCT(INDEX($AV$22:$AX$60,,$AI710), INDEX($AY$22:$BE$60,,$AH710), 1 / ($BF$22:$BF$60*CW710), N($AU$22:$AU$60&gt;$AM710)),
SUMPRODUCT(INDEX($AV$22:$AX$45,,$AI710), INDEX($AY$22:$BE$45,,$AH710), 1 / ($BG$22:$BG$45*CW710), N($AU$22:$AU$45&gt;$AM710))
) / 1000</f>
        <v>0</v>
      </c>
      <c r="CZ710" s="229">
        <f t="shared" si="808"/>
        <v>0</v>
      </c>
      <c r="DA710" s="246"/>
    </row>
    <row r="711" spans="1:105" s="75" customFormat="1" ht="14.25" customHeight="1" x14ac:dyDescent="0.2">
      <c r="A711" s="230" t="b">
        <f t="shared" si="775"/>
        <v>0</v>
      </c>
      <c r="B711" s="253">
        <v>690</v>
      </c>
      <c r="C711" s="266"/>
      <c r="D711" s="266"/>
      <c r="E711" s="254"/>
      <c r="F711" s="255" t="str">
        <f>IF(ISBLANK(E711), "", VLOOKUP(E711, Z!$A$2:$C$4127, 3, FALSE))</f>
        <v/>
      </c>
      <c r="G711" s="256"/>
      <c r="H711" s="256"/>
      <c r="I711" s="256"/>
      <c r="J711" s="257"/>
      <c r="K711" s="258"/>
      <c r="L711" s="267"/>
      <c r="M711" s="268"/>
      <c r="N711" s="259" t="str" cm="1">
        <f t="array" ref="N711">IF($L711&gt;0, INDEX(Clean,1+AK711,$D$1), "")</f>
        <v/>
      </c>
      <c r="O711" s="260"/>
      <c r="P711" s="260"/>
      <c r="Q711" s="261"/>
      <c r="R711" s="264">
        <f t="shared" si="784"/>
        <v>0</v>
      </c>
      <c r="S711" s="259" t="str" cm="1">
        <f t="array" ref="S711">IF($L711&gt;0, INDEX(Clean,1+AL711,$D$1), "")</f>
        <v/>
      </c>
      <c r="T711" s="260"/>
      <c r="U711" s="260"/>
      <c r="V711" s="261"/>
      <c r="W711" s="267"/>
      <c r="X711" s="267"/>
      <c r="Y711" s="257"/>
      <c r="Z711" s="264">
        <f t="shared" si="785"/>
        <v>0</v>
      </c>
      <c r="AA711" s="269"/>
      <c r="AB711" s="266"/>
      <c r="AC711" s="254"/>
      <c r="AD711" s="255" t="str">
        <f>IF(ISBLANK(AC711), "", VLOOKUP(AC711, Z!$A$2:$C$4127, 3, FALSE))</f>
        <v/>
      </c>
      <c r="AE711" s="270"/>
      <c r="AF711" s="265">
        <f t="shared" si="786"/>
        <v>0</v>
      </c>
      <c r="AG711" s="246"/>
      <c r="AH711" s="228">
        <f t="shared" si="809"/>
        <v>1</v>
      </c>
      <c r="AI711" s="228">
        <f t="shared" si="810"/>
        <v>1</v>
      </c>
      <c r="AJ711" s="228">
        <f t="shared" si="811"/>
        <v>0</v>
      </c>
      <c r="AK711" s="228">
        <v>0</v>
      </c>
      <c r="AL711" s="228">
        <v>0</v>
      </c>
      <c r="AM711" s="228">
        <f t="shared" si="787"/>
        <v>-100</v>
      </c>
      <c r="AN711" s="228" cm="1">
        <f t="array" ref="AN711">IF(ISBLANK(G711), 1, IFERROR(MATCH(G711, INDEX(Kat,,1), 0), IFERROR(MATCH(Kat, INDEX(Use,,2), 0), MATCH(Kat, INDEX(Use,,3), 0))))</f>
        <v>1</v>
      </c>
      <c r="AO711" s="246"/>
      <c r="AP711" s="228" cm="1">
        <f t="array" ref="AP711">IF(W711&gt;0, INDEX(Kat, AN711,4), 0)</f>
        <v>0</v>
      </c>
      <c r="AQ711" s="228">
        <f t="shared" si="812"/>
        <v>0</v>
      </c>
      <c r="AR711" s="228" cm="1">
        <f t="array" ref="AR711">IF(X711&gt;0, INDEX(Kat, $AN711, 4+AQ711), 0)</f>
        <v>0</v>
      </c>
      <c r="AS711" s="228" cm="1">
        <f t="array" ref="AS711">IF(X711&gt;0, INDEX(Kat, $AN711, 9+AQ711), 0)</f>
        <v>0</v>
      </c>
      <c r="AT711" s="246"/>
      <c r="AU711" s="262"/>
      <c r="AV711" s="262"/>
      <c r="AW711" s="263"/>
      <c r="AX711" s="263"/>
      <c r="AY711" s="263"/>
      <c r="AZ711" s="263"/>
      <c r="BA711" s="263"/>
      <c r="BB711" s="263"/>
      <c r="BC711" s="263"/>
      <c r="BD711" s="263"/>
      <c r="BE711" s="263"/>
      <c r="BF711" s="263"/>
      <c r="BG711" s="263"/>
      <c r="BH711" s="246"/>
      <c r="BI711" s="228" cm="1">
        <f t="array" ref="BI711">INDEX(Use, $AH711, 4)</f>
        <v>7</v>
      </c>
      <c r="BJ711" s="228">
        <f t="shared" si="788"/>
        <v>32</v>
      </c>
      <c r="BK711" s="228">
        <f t="shared" si="776"/>
        <v>13</v>
      </c>
      <c r="BL711" s="228">
        <f t="shared" si="777"/>
        <v>0</v>
      </c>
      <c r="BM711" s="233" cm="1">
        <f t="array" ref="BM711">L711/IF($M711&gt;0, INDEX($AY$22:$BE$76, $M711+20, $AH711), 1)</f>
        <v>0</v>
      </c>
      <c r="BN711" s="229">
        <f t="shared" si="789"/>
        <v>0</v>
      </c>
      <c r="BO711" s="228">
        <v>35</v>
      </c>
      <c r="BP711" s="229">
        <f t="shared" si="790"/>
        <v>48</v>
      </c>
      <c r="BQ711" s="234">
        <f t="shared" si="791"/>
        <v>3.0748170731707316</v>
      </c>
      <c r="BR711" s="234" cm="1">
        <f t="array" ref="BR711">$BM711 * SUMPRODUCT(INDEX($AV$76:$AX$81,,$AI711),INDEX($AY$76:$BE$81,,$AH711), N($AU$76:$AU$81&gt;$AM711)) / BQ711 / 1000</f>
        <v>0</v>
      </c>
      <c r="BS711" s="231">
        <f t="shared" si="778"/>
        <v>30</v>
      </c>
      <c r="BT711" s="229">
        <f t="shared" si="792"/>
        <v>43</v>
      </c>
      <c r="BU711" s="234">
        <f t="shared" si="793"/>
        <v>3.5018750000000001</v>
      </c>
      <c r="BV711" s="234" cm="1">
        <f t="array" ref="BV711">$BM711 * IF($AH711&lt;=2,
SUMPRODUCT(INDEX($AV$71:$AX$75,,$AI711), INDEX($AY$71:$BE$75,,$AH711), 1 / ($BF$71:$BF$75*BU711 + (1-$BF$71:$BF$75)*BQ711), N($AU$71:$AU$75&gt;$AM711)),
SUMPRODUCT(INDEX($AV$66:$AX$75,,$AI711), INDEX($AY$66:$BE$75,,$AH711), 1 / ($BG$66:$BG$75*BU711 + (1-$BG$66:$BG$75)*BQ711), N($AU$66:$AU$75&gt;$AM711))
) / 1000</f>
        <v>0</v>
      </c>
      <c r="BW711" s="231">
        <f t="shared" si="779"/>
        <v>25</v>
      </c>
      <c r="BX711" s="229">
        <f t="shared" si="794"/>
        <v>38</v>
      </c>
      <c r="BY711" s="234">
        <f t="shared" si="795"/>
        <v>4.0666935483870965</v>
      </c>
      <c r="BZ711" s="234" cm="1">
        <f t="array" ref="BZ711">$BM711 * IF($AH711&lt;=2,
SUMPRODUCT(INDEX($AV$66:$AX$70,,$AI711), INDEX($AY$66:$BE$70,,$AH711), 1 / ($BF$66:$BF$70*BY711 + (1-$BF$66:$BF$70)*BU711), N($AU$66:$AU$70&gt;$AM711)),
SUMPRODUCT(INDEX($AV$56:$AX$65,,$AI711), INDEX($AY$56:$BE$65,,$AH711), 1 / ($BG$56:$BG$65*BY711 + (1-$BG$56:$BG$65)*BU711), N($AU$56:$AU$65&gt;$AM711))
) / 1000</f>
        <v>0</v>
      </c>
      <c r="CA711" s="231">
        <f t="shared" si="780"/>
        <v>20</v>
      </c>
      <c r="CB711" s="229">
        <f t="shared" si="796"/>
        <v>33</v>
      </c>
      <c r="CC711" s="234">
        <f t="shared" si="797"/>
        <v>4.8487499999999999</v>
      </c>
      <c r="CD711" s="234" cm="1">
        <f t="array" ref="CD711">$BM711 * IF($AH711&lt;=2,
SUMPRODUCT(INDEX($AV$61:$AX$65,,$AI711), INDEX($AY$61:$BE$65,,$AH711), 1 / ($BF$61:$BF$65*CC711 + (1-$BF$61:$BF$65)*BY711), N($AU$61:$AU$65&gt;$AM711)),
SUMPRODUCT(INDEX($AV$46:$AX$55,,$AI711), INDEX($AY$46:$BE$55,,$AH711), 1 / ($BG$46:$BG$55*CC711 + (1-$BG$46:$BG$55)*BY711), N($AU$46:$AU$55&gt;$AM711))
) / 1000</f>
        <v>0</v>
      </c>
      <c r="CE711" s="234" cm="1">
        <f t="array" ref="CE711">$BM711 * IF($AH711&lt;=2,
SUMPRODUCT(INDEX($AV$22:$AX$60,,$AI711), INDEX($AY$22:$BE$60,,$AH711), 1 / ($BF$22:$BF$60*CC711), N($AU$22:$AU$60&gt;$AM711)),
SUMPRODUCT(INDEX($AV$22:$AX$45,,$AI711), INDEX($AY$22:$BE$45,,$AH711), 1 / ($BG$22:$BG$45*CC711), N($AU$22:$AU$45&gt;$AM711))
) / 1000</f>
        <v>0</v>
      </c>
      <c r="CF711" s="229">
        <f t="shared" si="798"/>
        <v>0</v>
      </c>
      <c r="CG711" s="246"/>
      <c r="CH711" s="229">
        <f t="shared" si="799"/>
        <v>0</v>
      </c>
      <c r="CI711" s="228">
        <v>35</v>
      </c>
      <c r="CJ711" s="229">
        <f t="shared" si="800"/>
        <v>48</v>
      </c>
      <c r="CK711" s="234">
        <f t="shared" si="801"/>
        <v>3.0748170731707316</v>
      </c>
      <c r="CL711" s="234" cm="1">
        <f t="array" ref="CL711">$BM711 * SUMPRODUCT(INDEX($AV$76:$AX$81,,$AI711),INDEX($AY$76:$BE$81,,$AH711), N($AU$76:$AU$81&gt;$AM711)) / CK711 / 1000</f>
        <v>0</v>
      </c>
      <c r="CM711" s="231">
        <f t="shared" si="781"/>
        <v>30</v>
      </c>
      <c r="CN711" s="229">
        <f t="shared" si="802"/>
        <v>43</v>
      </c>
      <c r="CO711" s="234">
        <f t="shared" si="803"/>
        <v>3.5018750000000001</v>
      </c>
      <c r="CP711" s="234" cm="1">
        <f t="array" ref="CP711">$BM711 * IF($AH711&lt;=2,
SUMPRODUCT(INDEX($AV$71:$AX$75,,$AI711), INDEX($AY$71:$BE$75,,$AH711), 1 / ($BF$71:$BF$75*CO711 + (1-$BF$71:$BF$75)*CK711), N($AU$71:$AU$75&gt;$AM711)),
SUMPRODUCT(INDEX($AV$66:$AX$75,,$AI711), INDEX($AY$66:$BE$75,,$AH711), 1 / ($BG$66:$BG$75*CO711 + (1-$BG$66:$BG$75)*CK711), N($AU$66:$AU$75&gt;$AM711))
) / 1000</f>
        <v>0</v>
      </c>
      <c r="CQ711" s="231">
        <f t="shared" si="782"/>
        <v>25</v>
      </c>
      <c r="CR711" s="229">
        <f t="shared" si="804"/>
        <v>38</v>
      </c>
      <c r="CS711" s="234">
        <f t="shared" si="805"/>
        <v>4.0666935483870965</v>
      </c>
      <c r="CT711" s="234" cm="1">
        <f t="array" ref="CT711">$BM711 * IF($AH711&lt;=2,
SUMPRODUCT(INDEX($AV$66:$AX$70,,$AI711), INDEX($AY$66:$BE$70,,$AH711), 1 / ($BF$66:$BF$70*CS711 + (1-$BF$66:$BF$70)*CO711), N($AU$66:$AU$70&gt;$AM711)),
SUMPRODUCT(INDEX($AV$56:$AX$65,,$AI711), INDEX($AY$56:$BE$65,,$AH711), 1 / ($BG$56:$BG$65*CS711 + (1-$BG$56:$BG$65)*CO711), N($AU$56:$AU$65&gt;$AM711))
) / 1000</f>
        <v>0</v>
      </c>
      <c r="CU711" s="231">
        <f t="shared" si="783"/>
        <v>20</v>
      </c>
      <c r="CV711" s="229">
        <f t="shared" si="806"/>
        <v>33</v>
      </c>
      <c r="CW711" s="234">
        <f t="shared" si="807"/>
        <v>4.8487499999999999</v>
      </c>
      <c r="CX711" s="234" cm="1">
        <f t="array" ref="CX711">$BM711 * IF($AH711&lt;=2,
SUMPRODUCT(INDEX($AV$61:$AX$65,,$AI711), INDEX($AY$61:$BE$65,,$AH711), 1 / ($BF$61:$BF$65*CW711 + (1-$BF$61:$BF$65)*CS711), N($AU$61:$AU$65&gt;$AM711)),
SUMPRODUCT(INDEX($AV$46:$AX$55,,$AI711), INDEX($AY$46:$BE$55,,$AH711), 1 / ($BG$46:$BG$55*CW711 + (1-$BG$46:$BG$55)*CS711), N($AU$46:$AU$55&gt;$AM711))
) / 1000</f>
        <v>0</v>
      </c>
      <c r="CY711" s="234" cm="1">
        <f t="array" ref="CY711">$BM711 * IF($AH711&lt;=2,
SUMPRODUCT(INDEX($AV$22:$AX$60,,$AI711), INDEX($AY$22:$BE$60,,$AH711), 1 / ($BF$22:$BF$60*CW711), N($AU$22:$AU$60&gt;$AM711)),
SUMPRODUCT(INDEX($AV$22:$AX$45,,$AI711), INDEX($AY$22:$BE$45,,$AH711), 1 / ($BG$22:$BG$45*CW711), N($AU$22:$AU$45&gt;$AM711))
) / 1000</f>
        <v>0</v>
      </c>
      <c r="CZ711" s="229">
        <f t="shared" si="808"/>
        <v>0</v>
      </c>
      <c r="DA711" s="246"/>
    </row>
    <row r="712" spans="1:105" s="75" customFormat="1" ht="14.25" customHeight="1" x14ac:dyDescent="0.2">
      <c r="A712" s="230" t="b">
        <f t="shared" si="775"/>
        <v>0</v>
      </c>
      <c r="B712" s="253">
        <v>691</v>
      </c>
      <c r="C712" s="266"/>
      <c r="D712" s="266"/>
      <c r="E712" s="254"/>
      <c r="F712" s="255" t="str">
        <f>IF(ISBLANK(E712), "", VLOOKUP(E712, Z!$A$2:$C$4127, 3, FALSE))</f>
        <v/>
      </c>
      <c r="G712" s="256"/>
      <c r="H712" s="256"/>
      <c r="I712" s="256"/>
      <c r="J712" s="257"/>
      <c r="K712" s="258"/>
      <c r="L712" s="267"/>
      <c r="M712" s="268"/>
      <c r="N712" s="259" t="str" cm="1">
        <f t="array" ref="N712">IF($L712&gt;0, INDEX(Clean,1+AK712,$D$1), "")</f>
        <v/>
      </c>
      <c r="O712" s="260"/>
      <c r="P712" s="260"/>
      <c r="Q712" s="261"/>
      <c r="R712" s="264">
        <f t="shared" si="784"/>
        <v>0</v>
      </c>
      <c r="S712" s="259" t="str" cm="1">
        <f t="array" ref="S712">IF($L712&gt;0, INDEX(Clean,1+AL712,$D$1), "")</f>
        <v/>
      </c>
      <c r="T712" s="260"/>
      <c r="U712" s="260"/>
      <c r="V712" s="261"/>
      <c r="W712" s="267"/>
      <c r="X712" s="267"/>
      <c r="Y712" s="257"/>
      <c r="Z712" s="264">
        <f t="shared" si="785"/>
        <v>0</v>
      </c>
      <c r="AA712" s="269"/>
      <c r="AB712" s="266"/>
      <c r="AC712" s="254"/>
      <c r="AD712" s="255" t="str">
        <f>IF(ISBLANK(AC712), "", VLOOKUP(AC712, Z!$A$2:$C$4127, 3, FALSE))</f>
        <v/>
      </c>
      <c r="AE712" s="270"/>
      <c r="AF712" s="265">
        <f t="shared" si="786"/>
        <v>0</v>
      </c>
      <c r="AG712" s="246"/>
      <c r="AH712" s="228">
        <f t="shared" si="809"/>
        <v>1</v>
      </c>
      <c r="AI712" s="228">
        <f t="shared" si="810"/>
        <v>1</v>
      </c>
      <c r="AJ712" s="228">
        <f t="shared" si="811"/>
        <v>0</v>
      </c>
      <c r="AK712" s="228">
        <v>0</v>
      </c>
      <c r="AL712" s="228">
        <v>0</v>
      </c>
      <c r="AM712" s="228">
        <f t="shared" si="787"/>
        <v>-100</v>
      </c>
      <c r="AN712" s="228" cm="1">
        <f t="array" ref="AN712">IF(ISBLANK(G712), 1, IFERROR(MATCH(G712, INDEX(Kat,,1), 0), IFERROR(MATCH(Kat, INDEX(Use,,2), 0), MATCH(Kat, INDEX(Use,,3), 0))))</f>
        <v>1</v>
      </c>
      <c r="AO712" s="246"/>
      <c r="AP712" s="228" cm="1">
        <f t="array" ref="AP712">IF(W712&gt;0, INDEX(Kat, AN712,4), 0)</f>
        <v>0</v>
      </c>
      <c r="AQ712" s="228">
        <f t="shared" si="812"/>
        <v>0</v>
      </c>
      <c r="AR712" s="228" cm="1">
        <f t="array" ref="AR712">IF(X712&gt;0, INDEX(Kat, $AN712, 4+AQ712), 0)</f>
        <v>0</v>
      </c>
      <c r="AS712" s="228" cm="1">
        <f t="array" ref="AS712">IF(X712&gt;0, INDEX(Kat, $AN712, 9+AQ712), 0)</f>
        <v>0</v>
      </c>
      <c r="AT712" s="246"/>
      <c r="AU712" s="262"/>
      <c r="AV712" s="262"/>
      <c r="AW712" s="263"/>
      <c r="AX712" s="263"/>
      <c r="AY712" s="263"/>
      <c r="AZ712" s="263"/>
      <c r="BA712" s="263"/>
      <c r="BB712" s="263"/>
      <c r="BC712" s="263"/>
      <c r="BD712" s="263"/>
      <c r="BE712" s="263"/>
      <c r="BF712" s="263"/>
      <c r="BG712" s="263"/>
      <c r="BH712" s="246"/>
      <c r="BI712" s="228" cm="1">
        <f t="array" ref="BI712">INDEX(Use, $AH712, 4)</f>
        <v>7</v>
      </c>
      <c r="BJ712" s="228">
        <f t="shared" si="788"/>
        <v>32</v>
      </c>
      <c r="BK712" s="228">
        <f t="shared" si="776"/>
        <v>13</v>
      </c>
      <c r="BL712" s="228">
        <f t="shared" si="777"/>
        <v>0</v>
      </c>
      <c r="BM712" s="233" cm="1">
        <f t="array" ref="BM712">L712/IF($M712&gt;0, INDEX($AY$22:$BE$76, $M712+20, $AH712), 1)</f>
        <v>0</v>
      </c>
      <c r="BN712" s="229">
        <f t="shared" si="789"/>
        <v>0</v>
      </c>
      <c r="BO712" s="228">
        <v>35</v>
      </c>
      <c r="BP712" s="229">
        <f t="shared" si="790"/>
        <v>48</v>
      </c>
      <c r="BQ712" s="234">
        <f t="shared" si="791"/>
        <v>3.0748170731707316</v>
      </c>
      <c r="BR712" s="234" cm="1">
        <f t="array" ref="BR712">$BM712 * SUMPRODUCT(INDEX($AV$76:$AX$81,,$AI712),INDEX($AY$76:$BE$81,,$AH712), N($AU$76:$AU$81&gt;$AM712)) / BQ712 / 1000</f>
        <v>0</v>
      </c>
      <c r="BS712" s="231">
        <f t="shared" si="778"/>
        <v>30</v>
      </c>
      <c r="BT712" s="229">
        <f t="shared" si="792"/>
        <v>43</v>
      </c>
      <c r="BU712" s="234">
        <f t="shared" si="793"/>
        <v>3.5018750000000001</v>
      </c>
      <c r="BV712" s="234" cm="1">
        <f t="array" ref="BV712">$BM712 * IF($AH712&lt;=2,
SUMPRODUCT(INDEX($AV$71:$AX$75,,$AI712), INDEX($AY$71:$BE$75,,$AH712), 1 / ($BF$71:$BF$75*BU712 + (1-$BF$71:$BF$75)*BQ712), N($AU$71:$AU$75&gt;$AM712)),
SUMPRODUCT(INDEX($AV$66:$AX$75,,$AI712), INDEX($AY$66:$BE$75,,$AH712), 1 / ($BG$66:$BG$75*BU712 + (1-$BG$66:$BG$75)*BQ712), N($AU$66:$AU$75&gt;$AM712))
) / 1000</f>
        <v>0</v>
      </c>
      <c r="BW712" s="231">
        <f t="shared" si="779"/>
        <v>25</v>
      </c>
      <c r="BX712" s="229">
        <f t="shared" si="794"/>
        <v>38</v>
      </c>
      <c r="BY712" s="234">
        <f t="shared" si="795"/>
        <v>4.0666935483870965</v>
      </c>
      <c r="BZ712" s="234" cm="1">
        <f t="array" ref="BZ712">$BM712 * IF($AH712&lt;=2,
SUMPRODUCT(INDEX($AV$66:$AX$70,,$AI712), INDEX($AY$66:$BE$70,,$AH712), 1 / ($BF$66:$BF$70*BY712 + (1-$BF$66:$BF$70)*BU712), N($AU$66:$AU$70&gt;$AM712)),
SUMPRODUCT(INDEX($AV$56:$AX$65,,$AI712), INDEX($AY$56:$BE$65,,$AH712), 1 / ($BG$56:$BG$65*BY712 + (1-$BG$56:$BG$65)*BU712), N($AU$56:$AU$65&gt;$AM712))
) / 1000</f>
        <v>0</v>
      </c>
      <c r="CA712" s="231">
        <f t="shared" si="780"/>
        <v>20</v>
      </c>
      <c r="CB712" s="229">
        <f t="shared" si="796"/>
        <v>33</v>
      </c>
      <c r="CC712" s="234">
        <f t="shared" si="797"/>
        <v>4.8487499999999999</v>
      </c>
      <c r="CD712" s="234" cm="1">
        <f t="array" ref="CD712">$BM712 * IF($AH712&lt;=2,
SUMPRODUCT(INDEX($AV$61:$AX$65,,$AI712), INDEX($AY$61:$BE$65,,$AH712), 1 / ($BF$61:$BF$65*CC712 + (1-$BF$61:$BF$65)*BY712), N($AU$61:$AU$65&gt;$AM712)),
SUMPRODUCT(INDEX($AV$46:$AX$55,,$AI712), INDEX($AY$46:$BE$55,,$AH712), 1 / ($BG$46:$BG$55*CC712 + (1-$BG$46:$BG$55)*BY712), N($AU$46:$AU$55&gt;$AM712))
) / 1000</f>
        <v>0</v>
      </c>
      <c r="CE712" s="234" cm="1">
        <f t="array" ref="CE712">$BM712 * IF($AH712&lt;=2,
SUMPRODUCT(INDEX($AV$22:$AX$60,,$AI712), INDEX($AY$22:$BE$60,,$AH712), 1 / ($BF$22:$BF$60*CC712), N($AU$22:$AU$60&gt;$AM712)),
SUMPRODUCT(INDEX($AV$22:$AX$45,,$AI712), INDEX($AY$22:$BE$45,,$AH712), 1 / ($BG$22:$BG$45*CC712), N($AU$22:$AU$45&gt;$AM712))
) / 1000</f>
        <v>0</v>
      </c>
      <c r="CF712" s="229">
        <f t="shared" si="798"/>
        <v>0</v>
      </c>
      <c r="CG712" s="246"/>
      <c r="CH712" s="229">
        <f t="shared" si="799"/>
        <v>0</v>
      </c>
      <c r="CI712" s="228">
        <v>35</v>
      </c>
      <c r="CJ712" s="229">
        <f t="shared" si="800"/>
        <v>48</v>
      </c>
      <c r="CK712" s="234">
        <f t="shared" si="801"/>
        <v>3.0748170731707316</v>
      </c>
      <c r="CL712" s="234" cm="1">
        <f t="array" ref="CL712">$BM712 * SUMPRODUCT(INDEX($AV$76:$AX$81,,$AI712),INDEX($AY$76:$BE$81,,$AH712), N($AU$76:$AU$81&gt;$AM712)) / CK712 / 1000</f>
        <v>0</v>
      </c>
      <c r="CM712" s="231">
        <f t="shared" si="781"/>
        <v>30</v>
      </c>
      <c r="CN712" s="229">
        <f t="shared" si="802"/>
        <v>43</v>
      </c>
      <c r="CO712" s="234">
        <f t="shared" si="803"/>
        <v>3.5018750000000001</v>
      </c>
      <c r="CP712" s="234" cm="1">
        <f t="array" ref="CP712">$BM712 * IF($AH712&lt;=2,
SUMPRODUCT(INDEX($AV$71:$AX$75,,$AI712), INDEX($AY$71:$BE$75,,$AH712), 1 / ($BF$71:$BF$75*CO712 + (1-$BF$71:$BF$75)*CK712), N($AU$71:$AU$75&gt;$AM712)),
SUMPRODUCT(INDEX($AV$66:$AX$75,,$AI712), INDEX($AY$66:$BE$75,,$AH712), 1 / ($BG$66:$BG$75*CO712 + (1-$BG$66:$BG$75)*CK712), N($AU$66:$AU$75&gt;$AM712))
) / 1000</f>
        <v>0</v>
      </c>
      <c r="CQ712" s="231">
        <f t="shared" si="782"/>
        <v>25</v>
      </c>
      <c r="CR712" s="229">
        <f t="shared" si="804"/>
        <v>38</v>
      </c>
      <c r="CS712" s="234">
        <f t="shared" si="805"/>
        <v>4.0666935483870965</v>
      </c>
      <c r="CT712" s="234" cm="1">
        <f t="array" ref="CT712">$BM712 * IF($AH712&lt;=2,
SUMPRODUCT(INDEX($AV$66:$AX$70,,$AI712), INDEX($AY$66:$BE$70,,$AH712), 1 / ($BF$66:$BF$70*CS712 + (1-$BF$66:$BF$70)*CO712), N($AU$66:$AU$70&gt;$AM712)),
SUMPRODUCT(INDEX($AV$56:$AX$65,,$AI712), INDEX($AY$56:$BE$65,,$AH712), 1 / ($BG$56:$BG$65*CS712 + (1-$BG$56:$BG$65)*CO712), N($AU$56:$AU$65&gt;$AM712))
) / 1000</f>
        <v>0</v>
      </c>
      <c r="CU712" s="231">
        <f t="shared" si="783"/>
        <v>20</v>
      </c>
      <c r="CV712" s="229">
        <f t="shared" si="806"/>
        <v>33</v>
      </c>
      <c r="CW712" s="234">
        <f t="shared" si="807"/>
        <v>4.8487499999999999</v>
      </c>
      <c r="CX712" s="234" cm="1">
        <f t="array" ref="CX712">$BM712 * IF($AH712&lt;=2,
SUMPRODUCT(INDEX($AV$61:$AX$65,,$AI712), INDEX($AY$61:$BE$65,,$AH712), 1 / ($BF$61:$BF$65*CW712 + (1-$BF$61:$BF$65)*CS712), N($AU$61:$AU$65&gt;$AM712)),
SUMPRODUCT(INDEX($AV$46:$AX$55,,$AI712), INDEX($AY$46:$BE$55,,$AH712), 1 / ($BG$46:$BG$55*CW712 + (1-$BG$46:$BG$55)*CS712), N($AU$46:$AU$55&gt;$AM712))
) / 1000</f>
        <v>0</v>
      </c>
      <c r="CY712" s="234" cm="1">
        <f t="array" ref="CY712">$BM712 * IF($AH712&lt;=2,
SUMPRODUCT(INDEX($AV$22:$AX$60,,$AI712), INDEX($AY$22:$BE$60,,$AH712), 1 / ($BF$22:$BF$60*CW712), N($AU$22:$AU$60&gt;$AM712)),
SUMPRODUCT(INDEX($AV$22:$AX$45,,$AI712), INDEX($AY$22:$BE$45,,$AH712), 1 / ($BG$22:$BG$45*CW712), N($AU$22:$AU$45&gt;$AM712))
) / 1000</f>
        <v>0</v>
      </c>
      <c r="CZ712" s="229">
        <f t="shared" si="808"/>
        <v>0</v>
      </c>
      <c r="DA712" s="246"/>
    </row>
    <row r="713" spans="1:105" s="75" customFormat="1" ht="14.25" customHeight="1" x14ac:dyDescent="0.2">
      <c r="A713" s="230" t="b">
        <f t="shared" si="775"/>
        <v>0</v>
      </c>
      <c r="B713" s="253">
        <v>692</v>
      </c>
      <c r="C713" s="266"/>
      <c r="D713" s="266"/>
      <c r="E713" s="254"/>
      <c r="F713" s="255" t="str">
        <f>IF(ISBLANK(E713), "", VLOOKUP(E713, Z!$A$2:$C$4127, 3, FALSE))</f>
        <v/>
      </c>
      <c r="G713" s="256"/>
      <c r="H713" s="256"/>
      <c r="I713" s="256"/>
      <c r="J713" s="257"/>
      <c r="K713" s="258"/>
      <c r="L713" s="267"/>
      <c r="M713" s="268"/>
      <c r="N713" s="259" t="str" cm="1">
        <f t="array" ref="N713">IF($L713&gt;0, INDEX(Clean,1+AK713,$D$1), "")</f>
        <v/>
      </c>
      <c r="O713" s="260"/>
      <c r="P713" s="260"/>
      <c r="Q713" s="261"/>
      <c r="R713" s="264">
        <f t="shared" si="784"/>
        <v>0</v>
      </c>
      <c r="S713" s="259" t="str" cm="1">
        <f t="array" ref="S713">IF($L713&gt;0, INDEX(Clean,1+AL713,$D$1), "")</f>
        <v/>
      </c>
      <c r="T713" s="260"/>
      <c r="U713" s="260"/>
      <c r="V713" s="261"/>
      <c r="W713" s="267"/>
      <c r="X713" s="267"/>
      <c r="Y713" s="257"/>
      <c r="Z713" s="264">
        <f t="shared" si="785"/>
        <v>0</v>
      </c>
      <c r="AA713" s="269"/>
      <c r="AB713" s="266"/>
      <c r="AC713" s="254"/>
      <c r="AD713" s="255" t="str">
        <f>IF(ISBLANK(AC713), "", VLOOKUP(AC713, Z!$A$2:$C$4127, 3, FALSE))</f>
        <v/>
      </c>
      <c r="AE713" s="270"/>
      <c r="AF713" s="265">
        <f t="shared" si="786"/>
        <v>0</v>
      </c>
      <c r="AG713" s="246"/>
      <c r="AH713" s="228">
        <f t="shared" si="809"/>
        <v>1</v>
      </c>
      <c r="AI713" s="228">
        <f t="shared" si="810"/>
        <v>1</v>
      </c>
      <c r="AJ713" s="228">
        <f t="shared" si="811"/>
        <v>0</v>
      </c>
      <c r="AK713" s="228">
        <v>0</v>
      </c>
      <c r="AL713" s="228">
        <v>0</v>
      </c>
      <c r="AM713" s="228">
        <f t="shared" si="787"/>
        <v>-100</v>
      </c>
      <c r="AN713" s="228" cm="1">
        <f t="array" ref="AN713">IF(ISBLANK(G713), 1, IFERROR(MATCH(G713, INDEX(Kat,,1), 0), IFERROR(MATCH(Kat, INDEX(Use,,2), 0), MATCH(Kat, INDEX(Use,,3), 0))))</f>
        <v>1</v>
      </c>
      <c r="AO713" s="246"/>
      <c r="AP713" s="228" cm="1">
        <f t="array" ref="AP713">IF(W713&gt;0, INDEX(Kat, AN713,4), 0)</f>
        <v>0</v>
      </c>
      <c r="AQ713" s="228">
        <f t="shared" si="812"/>
        <v>0</v>
      </c>
      <c r="AR713" s="228" cm="1">
        <f t="array" ref="AR713">IF(X713&gt;0, INDEX(Kat, $AN713, 4+AQ713), 0)</f>
        <v>0</v>
      </c>
      <c r="AS713" s="228" cm="1">
        <f t="array" ref="AS713">IF(X713&gt;0, INDEX(Kat, $AN713, 9+AQ713), 0)</f>
        <v>0</v>
      </c>
      <c r="AT713" s="246"/>
      <c r="AU713" s="262"/>
      <c r="AV713" s="262"/>
      <c r="AW713" s="263"/>
      <c r="AX713" s="263"/>
      <c r="AY713" s="263"/>
      <c r="AZ713" s="263"/>
      <c r="BA713" s="263"/>
      <c r="BB713" s="263"/>
      <c r="BC713" s="263"/>
      <c r="BD713" s="263"/>
      <c r="BE713" s="263"/>
      <c r="BF713" s="263"/>
      <c r="BG713" s="263"/>
      <c r="BH713" s="246"/>
      <c r="BI713" s="228" cm="1">
        <f t="array" ref="BI713">INDEX(Use, $AH713, 4)</f>
        <v>7</v>
      </c>
      <c r="BJ713" s="228">
        <f t="shared" si="788"/>
        <v>32</v>
      </c>
      <c r="BK713" s="228">
        <f t="shared" si="776"/>
        <v>13</v>
      </c>
      <c r="BL713" s="228">
        <f t="shared" si="777"/>
        <v>0</v>
      </c>
      <c r="BM713" s="233" cm="1">
        <f t="array" ref="BM713">L713/IF($M713&gt;0, INDEX($AY$22:$BE$76, $M713+20, $AH713), 1)</f>
        <v>0</v>
      </c>
      <c r="BN713" s="229">
        <f t="shared" si="789"/>
        <v>0</v>
      </c>
      <c r="BO713" s="228">
        <v>35</v>
      </c>
      <c r="BP713" s="229">
        <f t="shared" si="790"/>
        <v>48</v>
      </c>
      <c r="BQ713" s="234">
        <f t="shared" si="791"/>
        <v>3.0748170731707316</v>
      </c>
      <c r="BR713" s="234" cm="1">
        <f t="array" ref="BR713">$BM713 * SUMPRODUCT(INDEX($AV$76:$AX$81,,$AI713),INDEX($AY$76:$BE$81,,$AH713), N($AU$76:$AU$81&gt;$AM713)) / BQ713 / 1000</f>
        <v>0</v>
      </c>
      <c r="BS713" s="231">
        <f t="shared" si="778"/>
        <v>30</v>
      </c>
      <c r="BT713" s="229">
        <f t="shared" si="792"/>
        <v>43</v>
      </c>
      <c r="BU713" s="234">
        <f t="shared" si="793"/>
        <v>3.5018750000000001</v>
      </c>
      <c r="BV713" s="234" cm="1">
        <f t="array" ref="BV713">$BM713 * IF($AH713&lt;=2,
SUMPRODUCT(INDEX($AV$71:$AX$75,,$AI713), INDEX($AY$71:$BE$75,,$AH713), 1 / ($BF$71:$BF$75*BU713 + (1-$BF$71:$BF$75)*BQ713), N($AU$71:$AU$75&gt;$AM713)),
SUMPRODUCT(INDEX($AV$66:$AX$75,,$AI713), INDEX($AY$66:$BE$75,,$AH713), 1 / ($BG$66:$BG$75*BU713 + (1-$BG$66:$BG$75)*BQ713), N($AU$66:$AU$75&gt;$AM713))
) / 1000</f>
        <v>0</v>
      </c>
      <c r="BW713" s="231">
        <f t="shared" si="779"/>
        <v>25</v>
      </c>
      <c r="BX713" s="229">
        <f t="shared" si="794"/>
        <v>38</v>
      </c>
      <c r="BY713" s="234">
        <f t="shared" si="795"/>
        <v>4.0666935483870965</v>
      </c>
      <c r="BZ713" s="234" cm="1">
        <f t="array" ref="BZ713">$BM713 * IF($AH713&lt;=2,
SUMPRODUCT(INDEX($AV$66:$AX$70,,$AI713), INDEX($AY$66:$BE$70,,$AH713), 1 / ($BF$66:$BF$70*BY713 + (1-$BF$66:$BF$70)*BU713), N($AU$66:$AU$70&gt;$AM713)),
SUMPRODUCT(INDEX($AV$56:$AX$65,,$AI713), INDEX($AY$56:$BE$65,,$AH713), 1 / ($BG$56:$BG$65*BY713 + (1-$BG$56:$BG$65)*BU713), N($AU$56:$AU$65&gt;$AM713))
) / 1000</f>
        <v>0</v>
      </c>
      <c r="CA713" s="231">
        <f t="shared" si="780"/>
        <v>20</v>
      </c>
      <c r="CB713" s="229">
        <f t="shared" si="796"/>
        <v>33</v>
      </c>
      <c r="CC713" s="234">
        <f t="shared" si="797"/>
        <v>4.8487499999999999</v>
      </c>
      <c r="CD713" s="234" cm="1">
        <f t="array" ref="CD713">$BM713 * IF($AH713&lt;=2,
SUMPRODUCT(INDEX($AV$61:$AX$65,,$AI713), INDEX($AY$61:$BE$65,,$AH713), 1 / ($BF$61:$BF$65*CC713 + (1-$BF$61:$BF$65)*BY713), N($AU$61:$AU$65&gt;$AM713)),
SUMPRODUCT(INDEX($AV$46:$AX$55,,$AI713), INDEX($AY$46:$BE$55,,$AH713), 1 / ($BG$46:$BG$55*CC713 + (1-$BG$46:$BG$55)*BY713), N($AU$46:$AU$55&gt;$AM713))
) / 1000</f>
        <v>0</v>
      </c>
      <c r="CE713" s="234" cm="1">
        <f t="array" ref="CE713">$BM713 * IF($AH713&lt;=2,
SUMPRODUCT(INDEX($AV$22:$AX$60,,$AI713), INDEX($AY$22:$BE$60,,$AH713), 1 / ($BF$22:$BF$60*CC713), N($AU$22:$AU$60&gt;$AM713)),
SUMPRODUCT(INDEX($AV$22:$AX$45,,$AI713), INDEX($AY$22:$BE$45,,$AH713), 1 / ($BG$22:$BG$45*CC713), N($AU$22:$AU$45&gt;$AM713))
) / 1000</f>
        <v>0</v>
      </c>
      <c r="CF713" s="229">
        <f t="shared" si="798"/>
        <v>0</v>
      </c>
      <c r="CG713" s="246"/>
      <c r="CH713" s="229">
        <f t="shared" si="799"/>
        <v>0</v>
      </c>
      <c r="CI713" s="228">
        <v>35</v>
      </c>
      <c r="CJ713" s="229">
        <f t="shared" si="800"/>
        <v>48</v>
      </c>
      <c r="CK713" s="234">
        <f t="shared" si="801"/>
        <v>3.0748170731707316</v>
      </c>
      <c r="CL713" s="234" cm="1">
        <f t="array" ref="CL713">$BM713 * SUMPRODUCT(INDEX($AV$76:$AX$81,,$AI713),INDEX($AY$76:$BE$81,,$AH713), N($AU$76:$AU$81&gt;$AM713)) / CK713 / 1000</f>
        <v>0</v>
      </c>
      <c r="CM713" s="231">
        <f t="shared" si="781"/>
        <v>30</v>
      </c>
      <c r="CN713" s="229">
        <f t="shared" si="802"/>
        <v>43</v>
      </c>
      <c r="CO713" s="234">
        <f t="shared" si="803"/>
        <v>3.5018750000000001</v>
      </c>
      <c r="CP713" s="234" cm="1">
        <f t="array" ref="CP713">$BM713 * IF($AH713&lt;=2,
SUMPRODUCT(INDEX($AV$71:$AX$75,,$AI713), INDEX($AY$71:$BE$75,,$AH713), 1 / ($BF$71:$BF$75*CO713 + (1-$BF$71:$BF$75)*CK713), N($AU$71:$AU$75&gt;$AM713)),
SUMPRODUCT(INDEX($AV$66:$AX$75,,$AI713), INDEX($AY$66:$BE$75,,$AH713), 1 / ($BG$66:$BG$75*CO713 + (1-$BG$66:$BG$75)*CK713), N($AU$66:$AU$75&gt;$AM713))
) / 1000</f>
        <v>0</v>
      </c>
      <c r="CQ713" s="231">
        <f t="shared" si="782"/>
        <v>25</v>
      </c>
      <c r="CR713" s="229">
        <f t="shared" si="804"/>
        <v>38</v>
      </c>
      <c r="CS713" s="234">
        <f t="shared" si="805"/>
        <v>4.0666935483870965</v>
      </c>
      <c r="CT713" s="234" cm="1">
        <f t="array" ref="CT713">$BM713 * IF($AH713&lt;=2,
SUMPRODUCT(INDEX($AV$66:$AX$70,,$AI713), INDEX($AY$66:$BE$70,,$AH713), 1 / ($BF$66:$BF$70*CS713 + (1-$BF$66:$BF$70)*CO713), N($AU$66:$AU$70&gt;$AM713)),
SUMPRODUCT(INDEX($AV$56:$AX$65,,$AI713), INDEX($AY$56:$BE$65,,$AH713), 1 / ($BG$56:$BG$65*CS713 + (1-$BG$56:$BG$65)*CO713), N($AU$56:$AU$65&gt;$AM713))
) / 1000</f>
        <v>0</v>
      </c>
      <c r="CU713" s="231">
        <f t="shared" si="783"/>
        <v>20</v>
      </c>
      <c r="CV713" s="229">
        <f t="shared" si="806"/>
        <v>33</v>
      </c>
      <c r="CW713" s="234">
        <f t="shared" si="807"/>
        <v>4.8487499999999999</v>
      </c>
      <c r="CX713" s="234" cm="1">
        <f t="array" ref="CX713">$BM713 * IF($AH713&lt;=2,
SUMPRODUCT(INDEX($AV$61:$AX$65,,$AI713), INDEX($AY$61:$BE$65,,$AH713), 1 / ($BF$61:$BF$65*CW713 + (1-$BF$61:$BF$65)*CS713), N($AU$61:$AU$65&gt;$AM713)),
SUMPRODUCT(INDEX($AV$46:$AX$55,,$AI713), INDEX($AY$46:$BE$55,,$AH713), 1 / ($BG$46:$BG$55*CW713 + (1-$BG$46:$BG$55)*CS713), N($AU$46:$AU$55&gt;$AM713))
) / 1000</f>
        <v>0</v>
      </c>
      <c r="CY713" s="234" cm="1">
        <f t="array" ref="CY713">$BM713 * IF($AH713&lt;=2,
SUMPRODUCT(INDEX($AV$22:$AX$60,,$AI713), INDEX($AY$22:$BE$60,,$AH713), 1 / ($BF$22:$BF$60*CW713), N($AU$22:$AU$60&gt;$AM713)),
SUMPRODUCT(INDEX($AV$22:$AX$45,,$AI713), INDEX($AY$22:$BE$45,,$AH713), 1 / ($BG$22:$BG$45*CW713), N($AU$22:$AU$45&gt;$AM713))
) / 1000</f>
        <v>0</v>
      </c>
      <c r="CZ713" s="229">
        <f t="shared" si="808"/>
        <v>0</v>
      </c>
      <c r="DA713" s="246"/>
    </row>
    <row r="714" spans="1:105" s="75" customFormat="1" ht="14.25" customHeight="1" x14ac:dyDescent="0.2">
      <c r="A714" s="230" t="b">
        <f t="shared" si="775"/>
        <v>0</v>
      </c>
      <c r="B714" s="253">
        <v>693</v>
      </c>
      <c r="C714" s="266"/>
      <c r="D714" s="266"/>
      <c r="E714" s="254"/>
      <c r="F714" s="255" t="str">
        <f>IF(ISBLANK(E714), "", VLOOKUP(E714, Z!$A$2:$C$4127, 3, FALSE))</f>
        <v/>
      </c>
      <c r="G714" s="256"/>
      <c r="H714" s="256"/>
      <c r="I714" s="256"/>
      <c r="J714" s="257"/>
      <c r="K714" s="258"/>
      <c r="L714" s="267"/>
      <c r="M714" s="268"/>
      <c r="N714" s="259" t="str" cm="1">
        <f t="array" ref="N714">IF($L714&gt;0, INDEX(Clean,1+AK714,$D$1), "")</f>
        <v/>
      </c>
      <c r="O714" s="260"/>
      <c r="P714" s="260"/>
      <c r="Q714" s="261"/>
      <c r="R714" s="264">
        <f t="shared" si="784"/>
        <v>0</v>
      </c>
      <c r="S714" s="259" t="str" cm="1">
        <f t="array" ref="S714">IF($L714&gt;0, INDEX(Clean,1+AL714,$D$1), "")</f>
        <v/>
      </c>
      <c r="T714" s="260"/>
      <c r="U714" s="260"/>
      <c r="V714" s="261"/>
      <c r="W714" s="267"/>
      <c r="X714" s="267"/>
      <c r="Y714" s="257"/>
      <c r="Z714" s="264">
        <f t="shared" si="785"/>
        <v>0</v>
      </c>
      <c r="AA714" s="269"/>
      <c r="AB714" s="266"/>
      <c r="AC714" s="254"/>
      <c r="AD714" s="255" t="str">
        <f>IF(ISBLANK(AC714), "", VLOOKUP(AC714, Z!$A$2:$C$4127, 3, FALSE))</f>
        <v/>
      </c>
      <c r="AE714" s="270"/>
      <c r="AF714" s="265">
        <f t="shared" si="786"/>
        <v>0</v>
      </c>
      <c r="AG714" s="246"/>
      <c r="AH714" s="228">
        <f t="shared" si="809"/>
        <v>1</v>
      </c>
      <c r="AI714" s="228">
        <f t="shared" si="810"/>
        <v>1</v>
      </c>
      <c r="AJ714" s="228">
        <f t="shared" si="811"/>
        <v>0</v>
      </c>
      <c r="AK714" s="228">
        <v>0</v>
      </c>
      <c r="AL714" s="228">
        <v>0</v>
      </c>
      <c r="AM714" s="228">
        <f t="shared" si="787"/>
        <v>-100</v>
      </c>
      <c r="AN714" s="228" cm="1">
        <f t="array" ref="AN714">IF(ISBLANK(G714), 1, IFERROR(MATCH(G714, INDEX(Kat,,1), 0), IFERROR(MATCH(Kat, INDEX(Use,,2), 0), MATCH(Kat, INDEX(Use,,3), 0))))</f>
        <v>1</v>
      </c>
      <c r="AO714" s="246"/>
      <c r="AP714" s="228" cm="1">
        <f t="array" ref="AP714">IF(W714&gt;0, INDEX(Kat, AN714,4), 0)</f>
        <v>0</v>
      </c>
      <c r="AQ714" s="228">
        <f t="shared" si="812"/>
        <v>0</v>
      </c>
      <c r="AR714" s="228" cm="1">
        <f t="array" ref="AR714">IF(X714&gt;0, INDEX(Kat, $AN714, 4+AQ714), 0)</f>
        <v>0</v>
      </c>
      <c r="AS714" s="228" cm="1">
        <f t="array" ref="AS714">IF(X714&gt;0, INDEX(Kat, $AN714, 9+AQ714), 0)</f>
        <v>0</v>
      </c>
      <c r="AT714" s="246"/>
      <c r="AU714" s="262"/>
      <c r="AV714" s="262"/>
      <c r="AW714" s="263"/>
      <c r="AX714" s="263"/>
      <c r="AY714" s="263"/>
      <c r="AZ714" s="263"/>
      <c r="BA714" s="263"/>
      <c r="BB714" s="263"/>
      <c r="BC714" s="263"/>
      <c r="BD714" s="263"/>
      <c r="BE714" s="263"/>
      <c r="BF714" s="263"/>
      <c r="BG714" s="263"/>
      <c r="BH714" s="246"/>
      <c r="BI714" s="228" cm="1">
        <f t="array" ref="BI714">INDEX(Use, $AH714, 4)</f>
        <v>7</v>
      </c>
      <c r="BJ714" s="228">
        <f t="shared" si="788"/>
        <v>32</v>
      </c>
      <c r="BK714" s="228">
        <f t="shared" si="776"/>
        <v>13</v>
      </c>
      <c r="BL714" s="228">
        <f t="shared" si="777"/>
        <v>0</v>
      </c>
      <c r="BM714" s="233" cm="1">
        <f t="array" ref="BM714">L714/IF($M714&gt;0, INDEX($AY$22:$BE$76, $M714+20, $AH714), 1)</f>
        <v>0</v>
      </c>
      <c r="BN714" s="229">
        <f t="shared" si="789"/>
        <v>0</v>
      </c>
      <c r="BO714" s="228">
        <v>35</v>
      </c>
      <c r="BP714" s="229">
        <f t="shared" si="790"/>
        <v>48</v>
      </c>
      <c r="BQ714" s="234">
        <f t="shared" si="791"/>
        <v>3.0748170731707316</v>
      </c>
      <c r="BR714" s="234" cm="1">
        <f t="array" ref="BR714">$BM714 * SUMPRODUCT(INDEX($AV$76:$AX$81,,$AI714),INDEX($AY$76:$BE$81,,$AH714), N($AU$76:$AU$81&gt;$AM714)) / BQ714 / 1000</f>
        <v>0</v>
      </c>
      <c r="BS714" s="231">
        <f t="shared" si="778"/>
        <v>30</v>
      </c>
      <c r="BT714" s="229">
        <f t="shared" si="792"/>
        <v>43</v>
      </c>
      <c r="BU714" s="234">
        <f t="shared" si="793"/>
        <v>3.5018750000000001</v>
      </c>
      <c r="BV714" s="234" cm="1">
        <f t="array" ref="BV714">$BM714 * IF($AH714&lt;=2,
SUMPRODUCT(INDEX($AV$71:$AX$75,,$AI714), INDEX($AY$71:$BE$75,,$AH714), 1 / ($BF$71:$BF$75*BU714 + (1-$BF$71:$BF$75)*BQ714), N($AU$71:$AU$75&gt;$AM714)),
SUMPRODUCT(INDEX($AV$66:$AX$75,,$AI714), INDEX($AY$66:$BE$75,,$AH714), 1 / ($BG$66:$BG$75*BU714 + (1-$BG$66:$BG$75)*BQ714), N($AU$66:$AU$75&gt;$AM714))
) / 1000</f>
        <v>0</v>
      </c>
      <c r="BW714" s="231">
        <f t="shared" si="779"/>
        <v>25</v>
      </c>
      <c r="BX714" s="229">
        <f t="shared" si="794"/>
        <v>38</v>
      </c>
      <c r="BY714" s="234">
        <f t="shared" si="795"/>
        <v>4.0666935483870965</v>
      </c>
      <c r="BZ714" s="234" cm="1">
        <f t="array" ref="BZ714">$BM714 * IF($AH714&lt;=2,
SUMPRODUCT(INDEX($AV$66:$AX$70,,$AI714), INDEX($AY$66:$BE$70,,$AH714), 1 / ($BF$66:$BF$70*BY714 + (1-$BF$66:$BF$70)*BU714), N($AU$66:$AU$70&gt;$AM714)),
SUMPRODUCT(INDEX($AV$56:$AX$65,,$AI714), INDEX($AY$56:$BE$65,,$AH714), 1 / ($BG$56:$BG$65*BY714 + (1-$BG$56:$BG$65)*BU714), N($AU$56:$AU$65&gt;$AM714))
) / 1000</f>
        <v>0</v>
      </c>
      <c r="CA714" s="231">
        <f t="shared" si="780"/>
        <v>20</v>
      </c>
      <c r="CB714" s="229">
        <f t="shared" si="796"/>
        <v>33</v>
      </c>
      <c r="CC714" s="234">
        <f t="shared" si="797"/>
        <v>4.8487499999999999</v>
      </c>
      <c r="CD714" s="234" cm="1">
        <f t="array" ref="CD714">$BM714 * IF($AH714&lt;=2,
SUMPRODUCT(INDEX($AV$61:$AX$65,,$AI714), INDEX($AY$61:$BE$65,,$AH714), 1 / ($BF$61:$BF$65*CC714 + (1-$BF$61:$BF$65)*BY714), N($AU$61:$AU$65&gt;$AM714)),
SUMPRODUCT(INDEX($AV$46:$AX$55,,$AI714), INDEX($AY$46:$BE$55,,$AH714), 1 / ($BG$46:$BG$55*CC714 + (1-$BG$46:$BG$55)*BY714), N($AU$46:$AU$55&gt;$AM714))
) / 1000</f>
        <v>0</v>
      </c>
      <c r="CE714" s="234" cm="1">
        <f t="array" ref="CE714">$BM714 * IF($AH714&lt;=2,
SUMPRODUCT(INDEX($AV$22:$AX$60,,$AI714), INDEX($AY$22:$BE$60,,$AH714), 1 / ($BF$22:$BF$60*CC714), N($AU$22:$AU$60&gt;$AM714)),
SUMPRODUCT(INDEX($AV$22:$AX$45,,$AI714), INDEX($AY$22:$BE$45,,$AH714), 1 / ($BG$22:$BG$45*CC714), N($AU$22:$AU$45&gt;$AM714))
) / 1000</f>
        <v>0</v>
      </c>
      <c r="CF714" s="229">
        <f t="shared" si="798"/>
        <v>0</v>
      </c>
      <c r="CG714" s="246"/>
      <c r="CH714" s="229">
        <f t="shared" si="799"/>
        <v>0</v>
      </c>
      <c r="CI714" s="228">
        <v>35</v>
      </c>
      <c r="CJ714" s="229">
        <f t="shared" si="800"/>
        <v>48</v>
      </c>
      <c r="CK714" s="234">
        <f t="shared" si="801"/>
        <v>3.0748170731707316</v>
      </c>
      <c r="CL714" s="234" cm="1">
        <f t="array" ref="CL714">$BM714 * SUMPRODUCT(INDEX($AV$76:$AX$81,,$AI714),INDEX($AY$76:$BE$81,,$AH714), N($AU$76:$AU$81&gt;$AM714)) / CK714 / 1000</f>
        <v>0</v>
      </c>
      <c r="CM714" s="231">
        <f t="shared" si="781"/>
        <v>30</v>
      </c>
      <c r="CN714" s="229">
        <f t="shared" si="802"/>
        <v>43</v>
      </c>
      <c r="CO714" s="234">
        <f t="shared" si="803"/>
        <v>3.5018750000000001</v>
      </c>
      <c r="CP714" s="234" cm="1">
        <f t="array" ref="CP714">$BM714 * IF($AH714&lt;=2,
SUMPRODUCT(INDEX($AV$71:$AX$75,,$AI714), INDEX($AY$71:$BE$75,,$AH714), 1 / ($BF$71:$BF$75*CO714 + (1-$BF$71:$BF$75)*CK714), N($AU$71:$AU$75&gt;$AM714)),
SUMPRODUCT(INDEX($AV$66:$AX$75,,$AI714), INDEX($AY$66:$BE$75,,$AH714), 1 / ($BG$66:$BG$75*CO714 + (1-$BG$66:$BG$75)*CK714), N($AU$66:$AU$75&gt;$AM714))
) / 1000</f>
        <v>0</v>
      </c>
      <c r="CQ714" s="231">
        <f t="shared" si="782"/>
        <v>25</v>
      </c>
      <c r="CR714" s="229">
        <f t="shared" si="804"/>
        <v>38</v>
      </c>
      <c r="CS714" s="234">
        <f t="shared" si="805"/>
        <v>4.0666935483870965</v>
      </c>
      <c r="CT714" s="234" cm="1">
        <f t="array" ref="CT714">$BM714 * IF($AH714&lt;=2,
SUMPRODUCT(INDEX($AV$66:$AX$70,,$AI714), INDEX($AY$66:$BE$70,,$AH714), 1 / ($BF$66:$BF$70*CS714 + (1-$BF$66:$BF$70)*CO714), N($AU$66:$AU$70&gt;$AM714)),
SUMPRODUCT(INDEX($AV$56:$AX$65,,$AI714), INDEX($AY$56:$BE$65,,$AH714), 1 / ($BG$56:$BG$65*CS714 + (1-$BG$56:$BG$65)*CO714), N($AU$56:$AU$65&gt;$AM714))
) / 1000</f>
        <v>0</v>
      </c>
      <c r="CU714" s="231">
        <f t="shared" si="783"/>
        <v>20</v>
      </c>
      <c r="CV714" s="229">
        <f t="shared" si="806"/>
        <v>33</v>
      </c>
      <c r="CW714" s="234">
        <f t="shared" si="807"/>
        <v>4.8487499999999999</v>
      </c>
      <c r="CX714" s="234" cm="1">
        <f t="array" ref="CX714">$BM714 * IF($AH714&lt;=2,
SUMPRODUCT(INDEX($AV$61:$AX$65,,$AI714), INDEX($AY$61:$BE$65,,$AH714), 1 / ($BF$61:$BF$65*CW714 + (1-$BF$61:$BF$65)*CS714), N($AU$61:$AU$65&gt;$AM714)),
SUMPRODUCT(INDEX($AV$46:$AX$55,,$AI714), INDEX($AY$46:$BE$55,,$AH714), 1 / ($BG$46:$BG$55*CW714 + (1-$BG$46:$BG$55)*CS714), N($AU$46:$AU$55&gt;$AM714))
) / 1000</f>
        <v>0</v>
      </c>
      <c r="CY714" s="234" cm="1">
        <f t="array" ref="CY714">$BM714 * IF($AH714&lt;=2,
SUMPRODUCT(INDEX($AV$22:$AX$60,,$AI714), INDEX($AY$22:$BE$60,,$AH714), 1 / ($BF$22:$BF$60*CW714), N($AU$22:$AU$60&gt;$AM714)),
SUMPRODUCT(INDEX($AV$22:$AX$45,,$AI714), INDEX($AY$22:$BE$45,,$AH714), 1 / ($BG$22:$BG$45*CW714), N($AU$22:$AU$45&gt;$AM714))
) / 1000</f>
        <v>0</v>
      </c>
      <c r="CZ714" s="229">
        <f t="shared" si="808"/>
        <v>0</v>
      </c>
      <c r="DA714" s="246"/>
    </row>
    <row r="715" spans="1:105" s="75" customFormat="1" ht="14.25" customHeight="1" x14ac:dyDescent="0.2">
      <c r="A715" s="230" t="b">
        <f t="shared" si="775"/>
        <v>0</v>
      </c>
      <c r="B715" s="253">
        <v>694</v>
      </c>
      <c r="C715" s="266"/>
      <c r="D715" s="266"/>
      <c r="E715" s="254"/>
      <c r="F715" s="255" t="str">
        <f>IF(ISBLANK(E715), "", VLOOKUP(E715, Z!$A$2:$C$4127, 3, FALSE))</f>
        <v/>
      </c>
      <c r="G715" s="256"/>
      <c r="H715" s="256"/>
      <c r="I715" s="256"/>
      <c r="J715" s="257"/>
      <c r="K715" s="258"/>
      <c r="L715" s="267"/>
      <c r="M715" s="268"/>
      <c r="N715" s="259" t="str" cm="1">
        <f t="array" ref="N715">IF($L715&gt;0, INDEX(Clean,1+AK715,$D$1), "")</f>
        <v/>
      </c>
      <c r="O715" s="260"/>
      <c r="P715" s="260"/>
      <c r="Q715" s="261"/>
      <c r="R715" s="264">
        <f t="shared" si="784"/>
        <v>0</v>
      </c>
      <c r="S715" s="259" t="str" cm="1">
        <f t="array" ref="S715">IF($L715&gt;0, INDEX(Clean,1+AL715,$D$1), "")</f>
        <v/>
      </c>
      <c r="T715" s="260"/>
      <c r="U715" s="260"/>
      <c r="V715" s="261"/>
      <c r="W715" s="267"/>
      <c r="X715" s="267"/>
      <c r="Y715" s="257"/>
      <c r="Z715" s="264">
        <f t="shared" si="785"/>
        <v>0</v>
      </c>
      <c r="AA715" s="269"/>
      <c r="AB715" s="266"/>
      <c r="AC715" s="254"/>
      <c r="AD715" s="255" t="str">
        <f>IF(ISBLANK(AC715), "", VLOOKUP(AC715, Z!$A$2:$C$4127, 3, FALSE))</f>
        <v/>
      </c>
      <c r="AE715" s="270"/>
      <c r="AF715" s="265">
        <f t="shared" si="786"/>
        <v>0</v>
      </c>
      <c r="AG715" s="246"/>
      <c r="AH715" s="228">
        <f t="shared" si="809"/>
        <v>1</v>
      </c>
      <c r="AI715" s="228">
        <f t="shared" si="810"/>
        <v>1</v>
      </c>
      <c r="AJ715" s="228">
        <f t="shared" si="811"/>
        <v>0</v>
      </c>
      <c r="AK715" s="228">
        <v>0</v>
      </c>
      <c r="AL715" s="228">
        <v>0</v>
      </c>
      <c r="AM715" s="228">
        <f t="shared" si="787"/>
        <v>-100</v>
      </c>
      <c r="AN715" s="228" cm="1">
        <f t="array" ref="AN715">IF(ISBLANK(G715), 1, IFERROR(MATCH(G715, INDEX(Kat,,1), 0), IFERROR(MATCH(Kat, INDEX(Use,,2), 0), MATCH(Kat, INDEX(Use,,3), 0))))</f>
        <v>1</v>
      </c>
      <c r="AO715" s="246"/>
      <c r="AP715" s="228" cm="1">
        <f t="array" ref="AP715">IF(W715&gt;0, INDEX(Kat, AN715,4), 0)</f>
        <v>0</v>
      </c>
      <c r="AQ715" s="228">
        <f t="shared" si="812"/>
        <v>0</v>
      </c>
      <c r="AR715" s="228" cm="1">
        <f t="array" ref="AR715">IF(X715&gt;0, INDEX(Kat, $AN715, 4+AQ715), 0)</f>
        <v>0</v>
      </c>
      <c r="AS715" s="228" cm="1">
        <f t="array" ref="AS715">IF(X715&gt;0, INDEX(Kat, $AN715, 9+AQ715), 0)</f>
        <v>0</v>
      </c>
      <c r="AT715" s="246"/>
      <c r="AU715" s="262"/>
      <c r="AV715" s="262"/>
      <c r="AW715" s="263"/>
      <c r="AX715" s="263"/>
      <c r="AY715" s="263"/>
      <c r="AZ715" s="263"/>
      <c r="BA715" s="263"/>
      <c r="BB715" s="263"/>
      <c r="BC715" s="263"/>
      <c r="BD715" s="263"/>
      <c r="BE715" s="263"/>
      <c r="BF715" s="263"/>
      <c r="BG715" s="263"/>
      <c r="BH715" s="246"/>
      <c r="BI715" s="228" cm="1">
        <f t="array" ref="BI715">INDEX(Use, $AH715, 4)</f>
        <v>7</v>
      </c>
      <c r="BJ715" s="228">
        <f t="shared" si="788"/>
        <v>32</v>
      </c>
      <c r="BK715" s="228">
        <f t="shared" si="776"/>
        <v>13</v>
      </c>
      <c r="BL715" s="228">
        <f t="shared" si="777"/>
        <v>0</v>
      </c>
      <c r="BM715" s="233" cm="1">
        <f t="array" ref="BM715">L715/IF($M715&gt;0, INDEX($AY$22:$BE$76, $M715+20, $AH715), 1)</f>
        <v>0</v>
      </c>
      <c r="BN715" s="229">
        <f t="shared" si="789"/>
        <v>0</v>
      </c>
      <c r="BO715" s="228">
        <v>35</v>
      </c>
      <c r="BP715" s="229">
        <f t="shared" si="790"/>
        <v>48</v>
      </c>
      <c r="BQ715" s="234">
        <f t="shared" si="791"/>
        <v>3.0748170731707316</v>
      </c>
      <c r="BR715" s="234" cm="1">
        <f t="array" ref="BR715">$BM715 * SUMPRODUCT(INDEX($AV$76:$AX$81,,$AI715),INDEX($AY$76:$BE$81,,$AH715), N($AU$76:$AU$81&gt;$AM715)) / BQ715 / 1000</f>
        <v>0</v>
      </c>
      <c r="BS715" s="231">
        <f t="shared" si="778"/>
        <v>30</v>
      </c>
      <c r="BT715" s="229">
        <f t="shared" si="792"/>
        <v>43</v>
      </c>
      <c r="BU715" s="234">
        <f t="shared" si="793"/>
        <v>3.5018750000000001</v>
      </c>
      <c r="BV715" s="234" cm="1">
        <f t="array" ref="BV715">$BM715 * IF($AH715&lt;=2,
SUMPRODUCT(INDEX($AV$71:$AX$75,,$AI715), INDEX($AY$71:$BE$75,,$AH715), 1 / ($BF$71:$BF$75*BU715 + (1-$BF$71:$BF$75)*BQ715), N($AU$71:$AU$75&gt;$AM715)),
SUMPRODUCT(INDEX($AV$66:$AX$75,,$AI715), INDEX($AY$66:$BE$75,,$AH715), 1 / ($BG$66:$BG$75*BU715 + (1-$BG$66:$BG$75)*BQ715), N($AU$66:$AU$75&gt;$AM715))
) / 1000</f>
        <v>0</v>
      </c>
      <c r="BW715" s="231">
        <f t="shared" si="779"/>
        <v>25</v>
      </c>
      <c r="BX715" s="229">
        <f t="shared" si="794"/>
        <v>38</v>
      </c>
      <c r="BY715" s="234">
        <f t="shared" si="795"/>
        <v>4.0666935483870965</v>
      </c>
      <c r="BZ715" s="234" cm="1">
        <f t="array" ref="BZ715">$BM715 * IF($AH715&lt;=2,
SUMPRODUCT(INDEX($AV$66:$AX$70,,$AI715), INDEX($AY$66:$BE$70,,$AH715), 1 / ($BF$66:$BF$70*BY715 + (1-$BF$66:$BF$70)*BU715), N($AU$66:$AU$70&gt;$AM715)),
SUMPRODUCT(INDEX($AV$56:$AX$65,,$AI715), INDEX($AY$56:$BE$65,,$AH715), 1 / ($BG$56:$BG$65*BY715 + (1-$BG$56:$BG$65)*BU715), N($AU$56:$AU$65&gt;$AM715))
) / 1000</f>
        <v>0</v>
      </c>
      <c r="CA715" s="231">
        <f t="shared" si="780"/>
        <v>20</v>
      </c>
      <c r="CB715" s="229">
        <f t="shared" si="796"/>
        <v>33</v>
      </c>
      <c r="CC715" s="234">
        <f t="shared" si="797"/>
        <v>4.8487499999999999</v>
      </c>
      <c r="CD715" s="234" cm="1">
        <f t="array" ref="CD715">$BM715 * IF($AH715&lt;=2,
SUMPRODUCT(INDEX($AV$61:$AX$65,,$AI715), INDEX($AY$61:$BE$65,,$AH715), 1 / ($BF$61:$BF$65*CC715 + (1-$BF$61:$BF$65)*BY715), N($AU$61:$AU$65&gt;$AM715)),
SUMPRODUCT(INDEX($AV$46:$AX$55,,$AI715), INDEX($AY$46:$BE$55,,$AH715), 1 / ($BG$46:$BG$55*CC715 + (1-$BG$46:$BG$55)*BY715), N($AU$46:$AU$55&gt;$AM715))
) / 1000</f>
        <v>0</v>
      </c>
      <c r="CE715" s="234" cm="1">
        <f t="array" ref="CE715">$BM715 * IF($AH715&lt;=2,
SUMPRODUCT(INDEX($AV$22:$AX$60,,$AI715), INDEX($AY$22:$BE$60,,$AH715), 1 / ($BF$22:$BF$60*CC715), N($AU$22:$AU$60&gt;$AM715)),
SUMPRODUCT(INDEX($AV$22:$AX$45,,$AI715), INDEX($AY$22:$BE$45,,$AH715), 1 / ($BG$22:$BG$45*CC715), N($AU$22:$AU$45&gt;$AM715))
) / 1000</f>
        <v>0</v>
      </c>
      <c r="CF715" s="229">
        <f t="shared" si="798"/>
        <v>0</v>
      </c>
      <c r="CG715" s="246"/>
      <c r="CH715" s="229">
        <f t="shared" si="799"/>
        <v>0</v>
      </c>
      <c r="CI715" s="228">
        <v>35</v>
      </c>
      <c r="CJ715" s="229">
        <f t="shared" si="800"/>
        <v>48</v>
      </c>
      <c r="CK715" s="234">
        <f t="shared" si="801"/>
        <v>3.0748170731707316</v>
      </c>
      <c r="CL715" s="234" cm="1">
        <f t="array" ref="CL715">$BM715 * SUMPRODUCT(INDEX($AV$76:$AX$81,,$AI715),INDEX($AY$76:$BE$81,,$AH715), N($AU$76:$AU$81&gt;$AM715)) / CK715 / 1000</f>
        <v>0</v>
      </c>
      <c r="CM715" s="231">
        <f t="shared" si="781"/>
        <v>30</v>
      </c>
      <c r="CN715" s="229">
        <f t="shared" si="802"/>
        <v>43</v>
      </c>
      <c r="CO715" s="234">
        <f t="shared" si="803"/>
        <v>3.5018750000000001</v>
      </c>
      <c r="CP715" s="234" cm="1">
        <f t="array" ref="CP715">$BM715 * IF($AH715&lt;=2,
SUMPRODUCT(INDEX($AV$71:$AX$75,,$AI715), INDEX($AY$71:$BE$75,,$AH715), 1 / ($BF$71:$BF$75*CO715 + (1-$BF$71:$BF$75)*CK715), N($AU$71:$AU$75&gt;$AM715)),
SUMPRODUCT(INDEX($AV$66:$AX$75,,$AI715), INDEX($AY$66:$BE$75,,$AH715), 1 / ($BG$66:$BG$75*CO715 + (1-$BG$66:$BG$75)*CK715), N($AU$66:$AU$75&gt;$AM715))
) / 1000</f>
        <v>0</v>
      </c>
      <c r="CQ715" s="231">
        <f t="shared" si="782"/>
        <v>25</v>
      </c>
      <c r="CR715" s="229">
        <f t="shared" si="804"/>
        <v>38</v>
      </c>
      <c r="CS715" s="234">
        <f t="shared" si="805"/>
        <v>4.0666935483870965</v>
      </c>
      <c r="CT715" s="234" cm="1">
        <f t="array" ref="CT715">$BM715 * IF($AH715&lt;=2,
SUMPRODUCT(INDEX($AV$66:$AX$70,,$AI715), INDEX($AY$66:$BE$70,,$AH715), 1 / ($BF$66:$BF$70*CS715 + (1-$BF$66:$BF$70)*CO715), N($AU$66:$AU$70&gt;$AM715)),
SUMPRODUCT(INDEX($AV$56:$AX$65,,$AI715), INDEX($AY$56:$BE$65,,$AH715), 1 / ($BG$56:$BG$65*CS715 + (1-$BG$56:$BG$65)*CO715), N($AU$56:$AU$65&gt;$AM715))
) / 1000</f>
        <v>0</v>
      </c>
      <c r="CU715" s="231">
        <f t="shared" si="783"/>
        <v>20</v>
      </c>
      <c r="CV715" s="229">
        <f t="shared" si="806"/>
        <v>33</v>
      </c>
      <c r="CW715" s="234">
        <f t="shared" si="807"/>
        <v>4.8487499999999999</v>
      </c>
      <c r="CX715" s="234" cm="1">
        <f t="array" ref="CX715">$BM715 * IF($AH715&lt;=2,
SUMPRODUCT(INDEX($AV$61:$AX$65,,$AI715), INDEX($AY$61:$BE$65,,$AH715), 1 / ($BF$61:$BF$65*CW715 + (1-$BF$61:$BF$65)*CS715), N($AU$61:$AU$65&gt;$AM715)),
SUMPRODUCT(INDEX($AV$46:$AX$55,,$AI715), INDEX($AY$46:$BE$55,,$AH715), 1 / ($BG$46:$BG$55*CW715 + (1-$BG$46:$BG$55)*CS715), N($AU$46:$AU$55&gt;$AM715))
) / 1000</f>
        <v>0</v>
      </c>
      <c r="CY715" s="234" cm="1">
        <f t="array" ref="CY715">$BM715 * IF($AH715&lt;=2,
SUMPRODUCT(INDEX($AV$22:$AX$60,,$AI715), INDEX($AY$22:$BE$60,,$AH715), 1 / ($BF$22:$BF$60*CW715), N($AU$22:$AU$60&gt;$AM715)),
SUMPRODUCT(INDEX($AV$22:$AX$45,,$AI715), INDEX($AY$22:$BE$45,,$AH715), 1 / ($BG$22:$BG$45*CW715), N($AU$22:$AU$45&gt;$AM715))
) / 1000</f>
        <v>0</v>
      </c>
      <c r="CZ715" s="229">
        <f t="shared" si="808"/>
        <v>0</v>
      </c>
      <c r="DA715" s="246"/>
    </row>
    <row r="716" spans="1:105" s="75" customFormat="1" ht="14.25" customHeight="1" x14ac:dyDescent="0.2">
      <c r="A716" s="230" t="b">
        <f t="shared" si="775"/>
        <v>0</v>
      </c>
      <c r="B716" s="253">
        <v>695</v>
      </c>
      <c r="C716" s="266"/>
      <c r="D716" s="266"/>
      <c r="E716" s="254"/>
      <c r="F716" s="255" t="str">
        <f>IF(ISBLANK(E716), "", VLOOKUP(E716, Z!$A$2:$C$4127, 3, FALSE))</f>
        <v/>
      </c>
      <c r="G716" s="256"/>
      <c r="H716" s="256"/>
      <c r="I716" s="256"/>
      <c r="J716" s="257"/>
      <c r="K716" s="258"/>
      <c r="L716" s="267"/>
      <c r="M716" s="268"/>
      <c r="N716" s="259" t="str" cm="1">
        <f t="array" ref="N716">IF($L716&gt;0, INDEX(Clean,1+AK716,$D$1), "")</f>
        <v/>
      </c>
      <c r="O716" s="260"/>
      <c r="P716" s="260"/>
      <c r="Q716" s="261"/>
      <c r="R716" s="264">
        <f t="shared" si="784"/>
        <v>0</v>
      </c>
      <c r="S716" s="259" t="str" cm="1">
        <f t="array" ref="S716">IF($L716&gt;0, INDEX(Clean,1+AL716,$D$1), "")</f>
        <v/>
      </c>
      <c r="T716" s="260"/>
      <c r="U716" s="260"/>
      <c r="V716" s="261"/>
      <c r="W716" s="267"/>
      <c r="X716" s="267"/>
      <c r="Y716" s="257"/>
      <c r="Z716" s="264">
        <f t="shared" si="785"/>
        <v>0</v>
      </c>
      <c r="AA716" s="269"/>
      <c r="AB716" s="266"/>
      <c r="AC716" s="254"/>
      <c r="AD716" s="255" t="str">
        <f>IF(ISBLANK(AC716), "", VLOOKUP(AC716, Z!$A$2:$C$4127, 3, FALSE))</f>
        <v/>
      </c>
      <c r="AE716" s="270"/>
      <c r="AF716" s="265">
        <f t="shared" si="786"/>
        <v>0</v>
      </c>
      <c r="AG716" s="246"/>
      <c r="AH716" s="228">
        <f t="shared" si="809"/>
        <v>1</v>
      </c>
      <c r="AI716" s="228">
        <f t="shared" si="810"/>
        <v>1</v>
      </c>
      <c r="AJ716" s="228">
        <f t="shared" si="811"/>
        <v>0</v>
      </c>
      <c r="AK716" s="228">
        <v>0</v>
      </c>
      <c r="AL716" s="228">
        <v>0</v>
      </c>
      <c r="AM716" s="228">
        <f t="shared" si="787"/>
        <v>-100</v>
      </c>
      <c r="AN716" s="228" cm="1">
        <f t="array" ref="AN716">IF(ISBLANK(G716), 1, IFERROR(MATCH(G716, INDEX(Kat,,1), 0), IFERROR(MATCH(Kat, INDEX(Use,,2), 0), MATCH(Kat, INDEX(Use,,3), 0))))</f>
        <v>1</v>
      </c>
      <c r="AO716" s="246"/>
      <c r="AP716" s="228" cm="1">
        <f t="array" ref="AP716">IF(W716&gt;0, INDEX(Kat, AN716,4), 0)</f>
        <v>0</v>
      </c>
      <c r="AQ716" s="228">
        <f t="shared" si="812"/>
        <v>0</v>
      </c>
      <c r="AR716" s="228" cm="1">
        <f t="array" ref="AR716">IF(X716&gt;0, INDEX(Kat, $AN716, 4+AQ716), 0)</f>
        <v>0</v>
      </c>
      <c r="AS716" s="228" cm="1">
        <f t="array" ref="AS716">IF(X716&gt;0, INDEX(Kat, $AN716, 9+AQ716), 0)</f>
        <v>0</v>
      </c>
      <c r="AT716" s="246"/>
      <c r="AU716" s="262"/>
      <c r="AV716" s="262"/>
      <c r="AW716" s="263"/>
      <c r="AX716" s="263"/>
      <c r="AY716" s="263"/>
      <c r="AZ716" s="263"/>
      <c r="BA716" s="263"/>
      <c r="BB716" s="263"/>
      <c r="BC716" s="263"/>
      <c r="BD716" s="263"/>
      <c r="BE716" s="263"/>
      <c r="BF716" s="263"/>
      <c r="BG716" s="263"/>
      <c r="BH716" s="246"/>
      <c r="BI716" s="228" cm="1">
        <f t="array" ref="BI716">INDEX(Use, $AH716, 4)</f>
        <v>7</v>
      </c>
      <c r="BJ716" s="228">
        <f t="shared" si="788"/>
        <v>32</v>
      </c>
      <c r="BK716" s="228">
        <f t="shared" si="776"/>
        <v>13</v>
      </c>
      <c r="BL716" s="228">
        <f t="shared" si="777"/>
        <v>0</v>
      </c>
      <c r="BM716" s="233" cm="1">
        <f t="array" ref="BM716">L716/IF($M716&gt;0, INDEX($AY$22:$BE$76, $M716+20, $AH716), 1)</f>
        <v>0</v>
      </c>
      <c r="BN716" s="229">
        <f t="shared" si="789"/>
        <v>0</v>
      </c>
      <c r="BO716" s="228">
        <v>35</v>
      </c>
      <c r="BP716" s="229">
        <f t="shared" si="790"/>
        <v>48</v>
      </c>
      <c r="BQ716" s="234">
        <f t="shared" si="791"/>
        <v>3.0748170731707316</v>
      </c>
      <c r="BR716" s="234" cm="1">
        <f t="array" ref="BR716">$BM716 * SUMPRODUCT(INDEX($AV$76:$AX$81,,$AI716),INDEX($AY$76:$BE$81,,$AH716), N($AU$76:$AU$81&gt;$AM716)) / BQ716 / 1000</f>
        <v>0</v>
      </c>
      <c r="BS716" s="231">
        <f t="shared" si="778"/>
        <v>30</v>
      </c>
      <c r="BT716" s="229">
        <f t="shared" si="792"/>
        <v>43</v>
      </c>
      <c r="BU716" s="234">
        <f t="shared" si="793"/>
        <v>3.5018750000000001</v>
      </c>
      <c r="BV716" s="234" cm="1">
        <f t="array" ref="BV716">$BM716 * IF($AH716&lt;=2,
SUMPRODUCT(INDEX($AV$71:$AX$75,,$AI716), INDEX($AY$71:$BE$75,,$AH716), 1 / ($BF$71:$BF$75*BU716 + (1-$BF$71:$BF$75)*BQ716), N($AU$71:$AU$75&gt;$AM716)),
SUMPRODUCT(INDEX($AV$66:$AX$75,,$AI716), INDEX($AY$66:$BE$75,,$AH716), 1 / ($BG$66:$BG$75*BU716 + (1-$BG$66:$BG$75)*BQ716), N($AU$66:$AU$75&gt;$AM716))
) / 1000</f>
        <v>0</v>
      </c>
      <c r="BW716" s="231">
        <f t="shared" si="779"/>
        <v>25</v>
      </c>
      <c r="BX716" s="229">
        <f t="shared" si="794"/>
        <v>38</v>
      </c>
      <c r="BY716" s="234">
        <f t="shared" si="795"/>
        <v>4.0666935483870965</v>
      </c>
      <c r="BZ716" s="234" cm="1">
        <f t="array" ref="BZ716">$BM716 * IF($AH716&lt;=2,
SUMPRODUCT(INDEX($AV$66:$AX$70,,$AI716), INDEX($AY$66:$BE$70,,$AH716), 1 / ($BF$66:$BF$70*BY716 + (1-$BF$66:$BF$70)*BU716), N($AU$66:$AU$70&gt;$AM716)),
SUMPRODUCT(INDEX($AV$56:$AX$65,,$AI716), INDEX($AY$56:$BE$65,,$AH716), 1 / ($BG$56:$BG$65*BY716 + (1-$BG$56:$BG$65)*BU716), N($AU$56:$AU$65&gt;$AM716))
) / 1000</f>
        <v>0</v>
      </c>
      <c r="CA716" s="231">
        <f t="shared" si="780"/>
        <v>20</v>
      </c>
      <c r="CB716" s="229">
        <f t="shared" si="796"/>
        <v>33</v>
      </c>
      <c r="CC716" s="234">
        <f t="shared" si="797"/>
        <v>4.8487499999999999</v>
      </c>
      <c r="CD716" s="234" cm="1">
        <f t="array" ref="CD716">$BM716 * IF($AH716&lt;=2,
SUMPRODUCT(INDEX($AV$61:$AX$65,,$AI716), INDEX($AY$61:$BE$65,,$AH716), 1 / ($BF$61:$BF$65*CC716 + (1-$BF$61:$BF$65)*BY716), N($AU$61:$AU$65&gt;$AM716)),
SUMPRODUCT(INDEX($AV$46:$AX$55,,$AI716), INDEX($AY$46:$BE$55,,$AH716), 1 / ($BG$46:$BG$55*CC716 + (1-$BG$46:$BG$55)*BY716), N($AU$46:$AU$55&gt;$AM716))
) / 1000</f>
        <v>0</v>
      </c>
      <c r="CE716" s="234" cm="1">
        <f t="array" ref="CE716">$BM716 * IF($AH716&lt;=2,
SUMPRODUCT(INDEX($AV$22:$AX$60,,$AI716), INDEX($AY$22:$BE$60,,$AH716), 1 / ($BF$22:$BF$60*CC716), N($AU$22:$AU$60&gt;$AM716)),
SUMPRODUCT(INDEX($AV$22:$AX$45,,$AI716), INDEX($AY$22:$BE$45,,$AH716), 1 / ($BG$22:$BG$45*CC716), N($AU$22:$AU$45&gt;$AM716))
) / 1000</f>
        <v>0</v>
      </c>
      <c r="CF716" s="229">
        <f t="shared" si="798"/>
        <v>0</v>
      </c>
      <c r="CG716" s="246"/>
      <c r="CH716" s="229">
        <f t="shared" si="799"/>
        <v>0</v>
      </c>
      <c r="CI716" s="228">
        <v>35</v>
      </c>
      <c r="CJ716" s="229">
        <f t="shared" si="800"/>
        <v>48</v>
      </c>
      <c r="CK716" s="234">
        <f t="shared" si="801"/>
        <v>3.0748170731707316</v>
      </c>
      <c r="CL716" s="234" cm="1">
        <f t="array" ref="CL716">$BM716 * SUMPRODUCT(INDEX($AV$76:$AX$81,,$AI716),INDEX($AY$76:$BE$81,,$AH716), N($AU$76:$AU$81&gt;$AM716)) / CK716 / 1000</f>
        <v>0</v>
      </c>
      <c r="CM716" s="231">
        <f t="shared" si="781"/>
        <v>30</v>
      </c>
      <c r="CN716" s="229">
        <f t="shared" si="802"/>
        <v>43</v>
      </c>
      <c r="CO716" s="234">
        <f t="shared" si="803"/>
        <v>3.5018750000000001</v>
      </c>
      <c r="CP716" s="234" cm="1">
        <f t="array" ref="CP716">$BM716 * IF($AH716&lt;=2,
SUMPRODUCT(INDEX($AV$71:$AX$75,,$AI716), INDEX($AY$71:$BE$75,,$AH716), 1 / ($BF$71:$BF$75*CO716 + (1-$BF$71:$BF$75)*CK716), N($AU$71:$AU$75&gt;$AM716)),
SUMPRODUCT(INDEX($AV$66:$AX$75,,$AI716), INDEX($AY$66:$BE$75,,$AH716), 1 / ($BG$66:$BG$75*CO716 + (1-$BG$66:$BG$75)*CK716), N($AU$66:$AU$75&gt;$AM716))
) / 1000</f>
        <v>0</v>
      </c>
      <c r="CQ716" s="231">
        <f t="shared" si="782"/>
        <v>25</v>
      </c>
      <c r="CR716" s="229">
        <f t="shared" si="804"/>
        <v>38</v>
      </c>
      <c r="CS716" s="234">
        <f t="shared" si="805"/>
        <v>4.0666935483870965</v>
      </c>
      <c r="CT716" s="234" cm="1">
        <f t="array" ref="CT716">$BM716 * IF($AH716&lt;=2,
SUMPRODUCT(INDEX($AV$66:$AX$70,,$AI716), INDEX($AY$66:$BE$70,,$AH716), 1 / ($BF$66:$BF$70*CS716 + (1-$BF$66:$BF$70)*CO716), N($AU$66:$AU$70&gt;$AM716)),
SUMPRODUCT(INDEX($AV$56:$AX$65,,$AI716), INDEX($AY$56:$BE$65,,$AH716), 1 / ($BG$56:$BG$65*CS716 + (1-$BG$56:$BG$65)*CO716), N($AU$56:$AU$65&gt;$AM716))
) / 1000</f>
        <v>0</v>
      </c>
      <c r="CU716" s="231">
        <f t="shared" si="783"/>
        <v>20</v>
      </c>
      <c r="CV716" s="229">
        <f t="shared" si="806"/>
        <v>33</v>
      </c>
      <c r="CW716" s="234">
        <f t="shared" si="807"/>
        <v>4.8487499999999999</v>
      </c>
      <c r="CX716" s="234" cm="1">
        <f t="array" ref="CX716">$BM716 * IF($AH716&lt;=2,
SUMPRODUCT(INDEX($AV$61:$AX$65,,$AI716), INDEX($AY$61:$BE$65,,$AH716), 1 / ($BF$61:$BF$65*CW716 + (1-$BF$61:$BF$65)*CS716), N($AU$61:$AU$65&gt;$AM716)),
SUMPRODUCT(INDEX($AV$46:$AX$55,,$AI716), INDEX($AY$46:$BE$55,,$AH716), 1 / ($BG$46:$BG$55*CW716 + (1-$BG$46:$BG$55)*CS716), N($AU$46:$AU$55&gt;$AM716))
) / 1000</f>
        <v>0</v>
      </c>
      <c r="CY716" s="234" cm="1">
        <f t="array" ref="CY716">$BM716 * IF($AH716&lt;=2,
SUMPRODUCT(INDEX($AV$22:$AX$60,,$AI716), INDEX($AY$22:$BE$60,,$AH716), 1 / ($BF$22:$BF$60*CW716), N($AU$22:$AU$60&gt;$AM716)),
SUMPRODUCT(INDEX($AV$22:$AX$45,,$AI716), INDEX($AY$22:$BE$45,,$AH716), 1 / ($BG$22:$BG$45*CW716), N($AU$22:$AU$45&gt;$AM716))
) / 1000</f>
        <v>0</v>
      </c>
      <c r="CZ716" s="229">
        <f t="shared" si="808"/>
        <v>0</v>
      </c>
      <c r="DA716" s="246"/>
    </row>
    <row r="717" spans="1:105" s="75" customFormat="1" ht="14.25" customHeight="1" x14ac:dyDescent="0.2">
      <c r="A717" s="230" t="b">
        <f t="shared" si="775"/>
        <v>0</v>
      </c>
      <c r="B717" s="253">
        <v>696</v>
      </c>
      <c r="C717" s="266"/>
      <c r="D717" s="266"/>
      <c r="E717" s="254"/>
      <c r="F717" s="255" t="str">
        <f>IF(ISBLANK(E717), "", VLOOKUP(E717, Z!$A$2:$C$4127, 3, FALSE))</f>
        <v/>
      </c>
      <c r="G717" s="256"/>
      <c r="H717" s="256"/>
      <c r="I717" s="256"/>
      <c r="J717" s="257"/>
      <c r="K717" s="258"/>
      <c r="L717" s="267"/>
      <c r="M717" s="268"/>
      <c r="N717" s="259" t="str" cm="1">
        <f t="array" ref="N717">IF($L717&gt;0, INDEX(Clean,1+AK717,$D$1), "")</f>
        <v/>
      </c>
      <c r="O717" s="260"/>
      <c r="P717" s="260"/>
      <c r="Q717" s="261"/>
      <c r="R717" s="264">
        <f t="shared" si="784"/>
        <v>0</v>
      </c>
      <c r="S717" s="259" t="str" cm="1">
        <f t="array" ref="S717">IF($L717&gt;0, INDEX(Clean,1+AL717,$D$1), "")</f>
        <v/>
      </c>
      <c r="T717" s="260"/>
      <c r="U717" s="260"/>
      <c r="V717" s="261"/>
      <c r="W717" s="267"/>
      <c r="X717" s="267"/>
      <c r="Y717" s="257"/>
      <c r="Z717" s="264">
        <f t="shared" si="785"/>
        <v>0</v>
      </c>
      <c r="AA717" s="269"/>
      <c r="AB717" s="266"/>
      <c r="AC717" s="254"/>
      <c r="AD717" s="255" t="str">
        <f>IF(ISBLANK(AC717), "", VLOOKUP(AC717, Z!$A$2:$C$4127, 3, FALSE))</f>
        <v/>
      </c>
      <c r="AE717" s="270"/>
      <c r="AF717" s="265">
        <f t="shared" si="786"/>
        <v>0</v>
      </c>
      <c r="AG717" s="246"/>
      <c r="AH717" s="228">
        <f t="shared" si="809"/>
        <v>1</v>
      </c>
      <c r="AI717" s="228">
        <f t="shared" si="810"/>
        <v>1</v>
      </c>
      <c r="AJ717" s="228">
        <f t="shared" si="811"/>
        <v>0</v>
      </c>
      <c r="AK717" s="228">
        <v>0</v>
      </c>
      <c r="AL717" s="228">
        <v>0</v>
      </c>
      <c r="AM717" s="228">
        <f t="shared" si="787"/>
        <v>-100</v>
      </c>
      <c r="AN717" s="228" cm="1">
        <f t="array" ref="AN717">IF(ISBLANK(G717), 1, IFERROR(MATCH(G717, INDEX(Kat,,1), 0), IFERROR(MATCH(Kat, INDEX(Use,,2), 0), MATCH(Kat, INDEX(Use,,3), 0))))</f>
        <v>1</v>
      </c>
      <c r="AO717" s="246"/>
      <c r="AP717" s="228" cm="1">
        <f t="array" ref="AP717">IF(W717&gt;0, INDEX(Kat, AN717,4), 0)</f>
        <v>0</v>
      </c>
      <c r="AQ717" s="228">
        <f t="shared" si="812"/>
        <v>0</v>
      </c>
      <c r="AR717" s="228" cm="1">
        <f t="array" ref="AR717">IF(X717&gt;0, INDEX(Kat, $AN717, 4+AQ717), 0)</f>
        <v>0</v>
      </c>
      <c r="AS717" s="228" cm="1">
        <f t="array" ref="AS717">IF(X717&gt;0, INDEX(Kat, $AN717, 9+AQ717), 0)</f>
        <v>0</v>
      </c>
      <c r="AT717" s="246"/>
      <c r="AU717" s="262"/>
      <c r="AV717" s="262"/>
      <c r="AW717" s="263"/>
      <c r="AX717" s="263"/>
      <c r="AY717" s="263"/>
      <c r="AZ717" s="263"/>
      <c r="BA717" s="263"/>
      <c r="BB717" s="263"/>
      <c r="BC717" s="263"/>
      <c r="BD717" s="263"/>
      <c r="BE717" s="263"/>
      <c r="BF717" s="263"/>
      <c r="BG717" s="263"/>
      <c r="BH717" s="246"/>
      <c r="BI717" s="228" cm="1">
        <f t="array" ref="BI717">INDEX(Use, $AH717, 4)</f>
        <v>7</v>
      </c>
      <c r="BJ717" s="228">
        <f t="shared" si="788"/>
        <v>32</v>
      </c>
      <c r="BK717" s="228">
        <f t="shared" si="776"/>
        <v>13</v>
      </c>
      <c r="BL717" s="228">
        <f t="shared" si="777"/>
        <v>0</v>
      </c>
      <c r="BM717" s="233" cm="1">
        <f t="array" ref="BM717">L717/IF($M717&gt;0, INDEX($AY$22:$BE$76, $M717+20, $AH717), 1)</f>
        <v>0</v>
      </c>
      <c r="BN717" s="229">
        <f t="shared" si="789"/>
        <v>0</v>
      </c>
      <c r="BO717" s="228">
        <v>35</v>
      </c>
      <c r="BP717" s="229">
        <f t="shared" si="790"/>
        <v>48</v>
      </c>
      <c r="BQ717" s="234">
        <f t="shared" si="791"/>
        <v>3.0748170731707316</v>
      </c>
      <c r="BR717" s="234" cm="1">
        <f t="array" ref="BR717">$BM717 * SUMPRODUCT(INDEX($AV$76:$AX$81,,$AI717),INDEX($AY$76:$BE$81,,$AH717), N($AU$76:$AU$81&gt;$AM717)) / BQ717 / 1000</f>
        <v>0</v>
      </c>
      <c r="BS717" s="231">
        <f t="shared" si="778"/>
        <v>30</v>
      </c>
      <c r="BT717" s="229">
        <f t="shared" si="792"/>
        <v>43</v>
      </c>
      <c r="BU717" s="234">
        <f t="shared" si="793"/>
        <v>3.5018750000000001</v>
      </c>
      <c r="BV717" s="234" cm="1">
        <f t="array" ref="BV717">$BM717 * IF($AH717&lt;=2,
SUMPRODUCT(INDEX($AV$71:$AX$75,,$AI717), INDEX($AY$71:$BE$75,,$AH717), 1 / ($BF$71:$BF$75*BU717 + (1-$BF$71:$BF$75)*BQ717), N($AU$71:$AU$75&gt;$AM717)),
SUMPRODUCT(INDEX($AV$66:$AX$75,,$AI717), INDEX($AY$66:$BE$75,,$AH717), 1 / ($BG$66:$BG$75*BU717 + (1-$BG$66:$BG$75)*BQ717), N($AU$66:$AU$75&gt;$AM717))
) / 1000</f>
        <v>0</v>
      </c>
      <c r="BW717" s="231">
        <f t="shared" si="779"/>
        <v>25</v>
      </c>
      <c r="BX717" s="229">
        <f t="shared" si="794"/>
        <v>38</v>
      </c>
      <c r="BY717" s="234">
        <f t="shared" si="795"/>
        <v>4.0666935483870965</v>
      </c>
      <c r="BZ717" s="234" cm="1">
        <f t="array" ref="BZ717">$BM717 * IF($AH717&lt;=2,
SUMPRODUCT(INDEX($AV$66:$AX$70,,$AI717), INDEX($AY$66:$BE$70,,$AH717), 1 / ($BF$66:$BF$70*BY717 + (1-$BF$66:$BF$70)*BU717), N($AU$66:$AU$70&gt;$AM717)),
SUMPRODUCT(INDEX($AV$56:$AX$65,,$AI717), INDEX($AY$56:$BE$65,,$AH717), 1 / ($BG$56:$BG$65*BY717 + (1-$BG$56:$BG$65)*BU717), N($AU$56:$AU$65&gt;$AM717))
) / 1000</f>
        <v>0</v>
      </c>
      <c r="CA717" s="231">
        <f t="shared" si="780"/>
        <v>20</v>
      </c>
      <c r="CB717" s="229">
        <f t="shared" si="796"/>
        <v>33</v>
      </c>
      <c r="CC717" s="234">
        <f t="shared" si="797"/>
        <v>4.8487499999999999</v>
      </c>
      <c r="CD717" s="234" cm="1">
        <f t="array" ref="CD717">$BM717 * IF($AH717&lt;=2,
SUMPRODUCT(INDEX($AV$61:$AX$65,,$AI717), INDEX($AY$61:$BE$65,,$AH717), 1 / ($BF$61:$BF$65*CC717 + (1-$BF$61:$BF$65)*BY717), N($AU$61:$AU$65&gt;$AM717)),
SUMPRODUCT(INDEX($AV$46:$AX$55,,$AI717), INDEX($AY$46:$BE$55,,$AH717), 1 / ($BG$46:$BG$55*CC717 + (1-$BG$46:$BG$55)*BY717), N($AU$46:$AU$55&gt;$AM717))
) / 1000</f>
        <v>0</v>
      </c>
      <c r="CE717" s="234" cm="1">
        <f t="array" ref="CE717">$BM717 * IF($AH717&lt;=2,
SUMPRODUCT(INDEX($AV$22:$AX$60,,$AI717), INDEX($AY$22:$BE$60,,$AH717), 1 / ($BF$22:$BF$60*CC717), N($AU$22:$AU$60&gt;$AM717)),
SUMPRODUCT(INDEX($AV$22:$AX$45,,$AI717), INDEX($AY$22:$BE$45,,$AH717), 1 / ($BG$22:$BG$45*CC717), N($AU$22:$AU$45&gt;$AM717))
) / 1000</f>
        <v>0</v>
      </c>
      <c r="CF717" s="229">
        <f t="shared" si="798"/>
        <v>0</v>
      </c>
      <c r="CG717" s="246"/>
      <c r="CH717" s="229">
        <f t="shared" si="799"/>
        <v>0</v>
      </c>
      <c r="CI717" s="228">
        <v>35</v>
      </c>
      <c r="CJ717" s="229">
        <f t="shared" si="800"/>
        <v>48</v>
      </c>
      <c r="CK717" s="234">
        <f t="shared" si="801"/>
        <v>3.0748170731707316</v>
      </c>
      <c r="CL717" s="234" cm="1">
        <f t="array" ref="CL717">$BM717 * SUMPRODUCT(INDEX($AV$76:$AX$81,,$AI717),INDEX($AY$76:$BE$81,,$AH717), N($AU$76:$AU$81&gt;$AM717)) / CK717 / 1000</f>
        <v>0</v>
      </c>
      <c r="CM717" s="231">
        <f t="shared" si="781"/>
        <v>30</v>
      </c>
      <c r="CN717" s="229">
        <f t="shared" si="802"/>
        <v>43</v>
      </c>
      <c r="CO717" s="234">
        <f t="shared" si="803"/>
        <v>3.5018750000000001</v>
      </c>
      <c r="CP717" s="234" cm="1">
        <f t="array" ref="CP717">$BM717 * IF($AH717&lt;=2,
SUMPRODUCT(INDEX($AV$71:$AX$75,,$AI717), INDEX($AY$71:$BE$75,,$AH717), 1 / ($BF$71:$BF$75*CO717 + (1-$BF$71:$BF$75)*CK717), N($AU$71:$AU$75&gt;$AM717)),
SUMPRODUCT(INDEX($AV$66:$AX$75,,$AI717), INDEX($AY$66:$BE$75,,$AH717), 1 / ($BG$66:$BG$75*CO717 + (1-$BG$66:$BG$75)*CK717), N($AU$66:$AU$75&gt;$AM717))
) / 1000</f>
        <v>0</v>
      </c>
      <c r="CQ717" s="231">
        <f t="shared" si="782"/>
        <v>25</v>
      </c>
      <c r="CR717" s="229">
        <f t="shared" si="804"/>
        <v>38</v>
      </c>
      <c r="CS717" s="234">
        <f t="shared" si="805"/>
        <v>4.0666935483870965</v>
      </c>
      <c r="CT717" s="234" cm="1">
        <f t="array" ref="CT717">$BM717 * IF($AH717&lt;=2,
SUMPRODUCT(INDEX($AV$66:$AX$70,,$AI717), INDEX($AY$66:$BE$70,,$AH717), 1 / ($BF$66:$BF$70*CS717 + (1-$BF$66:$BF$70)*CO717), N($AU$66:$AU$70&gt;$AM717)),
SUMPRODUCT(INDEX($AV$56:$AX$65,,$AI717), INDEX($AY$56:$BE$65,,$AH717), 1 / ($BG$56:$BG$65*CS717 + (1-$BG$56:$BG$65)*CO717), N($AU$56:$AU$65&gt;$AM717))
) / 1000</f>
        <v>0</v>
      </c>
      <c r="CU717" s="231">
        <f t="shared" si="783"/>
        <v>20</v>
      </c>
      <c r="CV717" s="229">
        <f t="shared" si="806"/>
        <v>33</v>
      </c>
      <c r="CW717" s="234">
        <f t="shared" si="807"/>
        <v>4.8487499999999999</v>
      </c>
      <c r="CX717" s="234" cm="1">
        <f t="array" ref="CX717">$BM717 * IF($AH717&lt;=2,
SUMPRODUCT(INDEX($AV$61:$AX$65,,$AI717), INDEX($AY$61:$BE$65,,$AH717), 1 / ($BF$61:$BF$65*CW717 + (1-$BF$61:$BF$65)*CS717), N($AU$61:$AU$65&gt;$AM717)),
SUMPRODUCT(INDEX($AV$46:$AX$55,,$AI717), INDEX($AY$46:$BE$55,,$AH717), 1 / ($BG$46:$BG$55*CW717 + (1-$BG$46:$BG$55)*CS717), N($AU$46:$AU$55&gt;$AM717))
) / 1000</f>
        <v>0</v>
      </c>
      <c r="CY717" s="234" cm="1">
        <f t="array" ref="CY717">$BM717 * IF($AH717&lt;=2,
SUMPRODUCT(INDEX($AV$22:$AX$60,,$AI717), INDEX($AY$22:$BE$60,,$AH717), 1 / ($BF$22:$BF$60*CW717), N($AU$22:$AU$60&gt;$AM717)),
SUMPRODUCT(INDEX($AV$22:$AX$45,,$AI717), INDEX($AY$22:$BE$45,,$AH717), 1 / ($BG$22:$BG$45*CW717), N($AU$22:$AU$45&gt;$AM717))
) / 1000</f>
        <v>0</v>
      </c>
      <c r="CZ717" s="229">
        <f t="shared" si="808"/>
        <v>0</v>
      </c>
      <c r="DA717" s="246"/>
    </row>
    <row r="718" spans="1:105" s="75" customFormat="1" ht="14.25" customHeight="1" x14ac:dyDescent="0.2">
      <c r="A718" s="230" t="b">
        <f t="shared" si="775"/>
        <v>0</v>
      </c>
      <c r="B718" s="253">
        <v>697</v>
      </c>
      <c r="C718" s="266"/>
      <c r="D718" s="266"/>
      <c r="E718" s="254"/>
      <c r="F718" s="255" t="str">
        <f>IF(ISBLANK(E718), "", VLOOKUP(E718, Z!$A$2:$C$4127, 3, FALSE))</f>
        <v/>
      </c>
      <c r="G718" s="256"/>
      <c r="H718" s="256"/>
      <c r="I718" s="256"/>
      <c r="J718" s="257"/>
      <c r="K718" s="258"/>
      <c r="L718" s="267"/>
      <c r="M718" s="268"/>
      <c r="N718" s="259" t="str" cm="1">
        <f t="array" ref="N718">IF($L718&gt;0, INDEX(Clean,1+AK718,$D$1), "")</f>
        <v/>
      </c>
      <c r="O718" s="260"/>
      <c r="P718" s="260"/>
      <c r="Q718" s="261"/>
      <c r="R718" s="264">
        <f t="shared" si="784"/>
        <v>0</v>
      </c>
      <c r="S718" s="259" t="str" cm="1">
        <f t="array" ref="S718">IF($L718&gt;0, INDEX(Clean,1+AL718,$D$1), "")</f>
        <v/>
      </c>
      <c r="T718" s="260"/>
      <c r="U718" s="260"/>
      <c r="V718" s="261"/>
      <c r="W718" s="267"/>
      <c r="X718" s="267"/>
      <c r="Y718" s="257"/>
      <c r="Z718" s="264">
        <f t="shared" si="785"/>
        <v>0</v>
      </c>
      <c r="AA718" s="269"/>
      <c r="AB718" s="266"/>
      <c r="AC718" s="254"/>
      <c r="AD718" s="255" t="str">
        <f>IF(ISBLANK(AC718), "", VLOOKUP(AC718, Z!$A$2:$C$4127, 3, FALSE))</f>
        <v/>
      </c>
      <c r="AE718" s="270"/>
      <c r="AF718" s="265">
        <f t="shared" si="786"/>
        <v>0</v>
      </c>
      <c r="AG718" s="246"/>
      <c r="AH718" s="228">
        <f t="shared" si="809"/>
        <v>1</v>
      </c>
      <c r="AI718" s="228">
        <f t="shared" si="810"/>
        <v>1</v>
      </c>
      <c r="AJ718" s="228">
        <f t="shared" si="811"/>
        <v>0</v>
      </c>
      <c r="AK718" s="228">
        <v>0</v>
      </c>
      <c r="AL718" s="228">
        <v>0</v>
      </c>
      <c r="AM718" s="228">
        <f t="shared" si="787"/>
        <v>-100</v>
      </c>
      <c r="AN718" s="228" cm="1">
        <f t="array" ref="AN718">IF(ISBLANK(G718), 1, IFERROR(MATCH(G718, INDEX(Kat,,1), 0), IFERROR(MATCH(Kat, INDEX(Use,,2), 0), MATCH(Kat, INDEX(Use,,3), 0))))</f>
        <v>1</v>
      </c>
      <c r="AO718" s="246"/>
      <c r="AP718" s="228" cm="1">
        <f t="array" ref="AP718">IF(W718&gt;0, INDEX(Kat, AN718,4), 0)</f>
        <v>0</v>
      </c>
      <c r="AQ718" s="228">
        <f t="shared" si="812"/>
        <v>0</v>
      </c>
      <c r="AR718" s="228" cm="1">
        <f t="array" ref="AR718">IF(X718&gt;0, INDEX(Kat, $AN718, 4+AQ718), 0)</f>
        <v>0</v>
      </c>
      <c r="AS718" s="228" cm="1">
        <f t="array" ref="AS718">IF(X718&gt;0, INDEX(Kat, $AN718, 9+AQ718), 0)</f>
        <v>0</v>
      </c>
      <c r="AT718" s="246"/>
      <c r="AU718" s="262"/>
      <c r="AV718" s="262"/>
      <c r="AW718" s="263"/>
      <c r="AX718" s="263"/>
      <c r="AY718" s="263"/>
      <c r="AZ718" s="263"/>
      <c r="BA718" s="263"/>
      <c r="BB718" s="263"/>
      <c r="BC718" s="263"/>
      <c r="BD718" s="263"/>
      <c r="BE718" s="263"/>
      <c r="BF718" s="263"/>
      <c r="BG718" s="263"/>
      <c r="BH718" s="246"/>
      <c r="BI718" s="228" cm="1">
        <f t="array" ref="BI718">INDEX(Use, $AH718, 4)</f>
        <v>7</v>
      </c>
      <c r="BJ718" s="228">
        <f t="shared" si="788"/>
        <v>32</v>
      </c>
      <c r="BK718" s="228">
        <f t="shared" si="776"/>
        <v>13</v>
      </c>
      <c r="BL718" s="228">
        <f t="shared" si="777"/>
        <v>0</v>
      </c>
      <c r="BM718" s="233" cm="1">
        <f t="array" ref="BM718">L718/IF($M718&gt;0, INDEX($AY$22:$BE$76, $M718+20, $AH718), 1)</f>
        <v>0</v>
      </c>
      <c r="BN718" s="229">
        <f t="shared" si="789"/>
        <v>0</v>
      </c>
      <c r="BO718" s="228">
        <v>35</v>
      </c>
      <c r="BP718" s="229">
        <f t="shared" si="790"/>
        <v>48</v>
      </c>
      <c r="BQ718" s="234">
        <f t="shared" si="791"/>
        <v>3.0748170731707316</v>
      </c>
      <c r="BR718" s="234" cm="1">
        <f t="array" ref="BR718">$BM718 * SUMPRODUCT(INDEX($AV$76:$AX$81,,$AI718),INDEX($AY$76:$BE$81,,$AH718), N($AU$76:$AU$81&gt;$AM718)) / BQ718 / 1000</f>
        <v>0</v>
      </c>
      <c r="BS718" s="231">
        <f t="shared" si="778"/>
        <v>30</v>
      </c>
      <c r="BT718" s="229">
        <f t="shared" si="792"/>
        <v>43</v>
      </c>
      <c r="BU718" s="234">
        <f t="shared" si="793"/>
        <v>3.5018750000000001</v>
      </c>
      <c r="BV718" s="234" cm="1">
        <f t="array" ref="BV718">$BM718 * IF($AH718&lt;=2,
SUMPRODUCT(INDEX($AV$71:$AX$75,,$AI718), INDEX($AY$71:$BE$75,,$AH718), 1 / ($BF$71:$BF$75*BU718 + (1-$BF$71:$BF$75)*BQ718), N($AU$71:$AU$75&gt;$AM718)),
SUMPRODUCT(INDEX($AV$66:$AX$75,,$AI718), INDEX($AY$66:$BE$75,,$AH718), 1 / ($BG$66:$BG$75*BU718 + (1-$BG$66:$BG$75)*BQ718), N($AU$66:$AU$75&gt;$AM718))
) / 1000</f>
        <v>0</v>
      </c>
      <c r="BW718" s="231">
        <f t="shared" si="779"/>
        <v>25</v>
      </c>
      <c r="BX718" s="229">
        <f t="shared" si="794"/>
        <v>38</v>
      </c>
      <c r="BY718" s="234">
        <f t="shared" si="795"/>
        <v>4.0666935483870965</v>
      </c>
      <c r="BZ718" s="234" cm="1">
        <f t="array" ref="BZ718">$BM718 * IF($AH718&lt;=2,
SUMPRODUCT(INDEX($AV$66:$AX$70,,$AI718), INDEX($AY$66:$BE$70,,$AH718), 1 / ($BF$66:$BF$70*BY718 + (1-$BF$66:$BF$70)*BU718), N($AU$66:$AU$70&gt;$AM718)),
SUMPRODUCT(INDEX($AV$56:$AX$65,,$AI718), INDEX($AY$56:$BE$65,,$AH718), 1 / ($BG$56:$BG$65*BY718 + (1-$BG$56:$BG$65)*BU718), N($AU$56:$AU$65&gt;$AM718))
) / 1000</f>
        <v>0</v>
      </c>
      <c r="CA718" s="231">
        <f t="shared" si="780"/>
        <v>20</v>
      </c>
      <c r="CB718" s="229">
        <f t="shared" si="796"/>
        <v>33</v>
      </c>
      <c r="CC718" s="234">
        <f t="shared" si="797"/>
        <v>4.8487499999999999</v>
      </c>
      <c r="CD718" s="234" cm="1">
        <f t="array" ref="CD718">$BM718 * IF($AH718&lt;=2,
SUMPRODUCT(INDEX($AV$61:$AX$65,,$AI718), INDEX($AY$61:$BE$65,,$AH718), 1 / ($BF$61:$BF$65*CC718 + (1-$BF$61:$BF$65)*BY718), N($AU$61:$AU$65&gt;$AM718)),
SUMPRODUCT(INDEX($AV$46:$AX$55,,$AI718), INDEX($AY$46:$BE$55,,$AH718), 1 / ($BG$46:$BG$55*CC718 + (1-$BG$46:$BG$55)*BY718), N($AU$46:$AU$55&gt;$AM718))
) / 1000</f>
        <v>0</v>
      </c>
      <c r="CE718" s="234" cm="1">
        <f t="array" ref="CE718">$BM718 * IF($AH718&lt;=2,
SUMPRODUCT(INDEX($AV$22:$AX$60,,$AI718), INDEX($AY$22:$BE$60,,$AH718), 1 / ($BF$22:$BF$60*CC718), N($AU$22:$AU$60&gt;$AM718)),
SUMPRODUCT(INDEX($AV$22:$AX$45,,$AI718), INDEX($AY$22:$BE$45,,$AH718), 1 / ($BG$22:$BG$45*CC718), N($AU$22:$AU$45&gt;$AM718))
) / 1000</f>
        <v>0</v>
      </c>
      <c r="CF718" s="229">
        <f t="shared" si="798"/>
        <v>0</v>
      </c>
      <c r="CG718" s="246"/>
      <c r="CH718" s="229">
        <f t="shared" si="799"/>
        <v>0</v>
      </c>
      <c r="CI718" s="228">
        <v>35</v>
      </c>
      <c r="CJ718" s="229">
        <f t="shared" si="800"/>
        <v>48</v>
      </c>
      <c r="CK718" s="234">
        <f t="shared" si="801"/>
        <v>3.0748170731707316</v>
      </c>
      <c r="CL718" s="234" cm="1">
        <f t="array" ref="CL718">$BM718 * SUMPRODUCT(INDEX($AV$76:$AX$81,,$AI718),INDEX($AY$76:$BE$81,,$AH718), N($AU$76:$AU$81&gt;$AM718)) / CK718 / 1000</f>
        <v>0</v>
      </c>
      <c r="CM718" s="231">
        <f t="shared" si="781"/>
        <v>30</v>
      </c>
      <c r="CN718" s="229">
        <f t="shared" si="802"/>
        <v>43</v>
      </c>
      <c r="CO718" s="234">
        <f t="shared" si="803"/>
        <v>3.5018750000000001</v>
      </c>
      <c r="CP718" s="234" cm="1">
        <f t="array" ref="CP718">$BM718 * IF($AH718&lt;=2,
SUMPRODUCT(INDEX($AV$71:$AX$75,,$AI718), INDEX($AY$71:$BE$75,,$AH718), 1 / ($BF$71:$BF$75*CO718 + (1-$BF$71:$BF$75)*CK718), N($AU$71:$AU$75&gt;$AM718)),
SUMPRODUCT(INDEX($AV$66:$AX$75,,$AI718), INDEX($AY$66:$BE$75,,$AH718), 1 / ($BG$66:$BG$75*CO718 + (1-$BG$66:$BG$75)*CK718), N($AU$66:$AU$75&gt;$AM718))
) / 1000</f>
        <v>0</v>
      </c>
      <c r="CQ718" s="231">
        <f t="shared" si="782"/>
        <v>25</v>
      </c>
      <c r="CR718" s="229">
        <f t="shared" si="804"/>
        <v>38</v>
      </c>
      <c r="CS718" s="234">
        <f t="shared" si="805"/>
        <v>4.0666935483870965</v>
      </c>
      <c r="CT718" s="234" cm="1">
        <f t="array" ref="CT718">$BM718 * IF($AH718&lt;=2,
SUMPRODUCT(INDEX($AV$66:$AX$70,,$AI718), INDEX($AY$66:$BE$70,,$AH718), 1 / ($BF$66:$BF$70*CS718 + (1-$BF$66:$BF$70)*CO718), N($AU$66:$AU$70&gt;$AM718)),
SUMPRODUCT(INDEX($AV$56:$AX$65,,$AI718), INDEX($AY$56:$BE$65,,$AH718), 1 / ($BG$56:$BG$65*CS718 + (1-$BG$56:$BG$65)*CO718), N($AU$56:$AU$65&gt;$AM718))
) / 1000</f>
        <v>0</v>
      </c>
      <c r="CU718" s="231">
        <f t="shared" si="783"/>
        <v>20</v>
      </c>
      <c r="CV718" s="229">
        <f t="shared" si="806"/>
        <v>33</v>
      </c>
      <c r="CW718" s="234">
        <f t="shared" si="807"/>
        <v>4.8487499999999999</v>
      </c>
      <c r="CX718" s="234" cm="1">
        <f t="array" ref="CX718">$BM718 * IF($AH718&lt;=2,
SUMPRODUCT(INDEX($AV$61:$AX$65,,$AI718), INDEX($AY$61:$BE$65,,$AH718), 1 / ($BF$61:$BF$65*CW718 + (1-$BF$61:$BF$65)*CS718), N($AU$61:$AU$65&gt;$AM718)),
SUMPRODUCT(INDEX($AV$46:$AX$55,,$AI718), INDEX($AY$46:$BE$55,,$AH718), 1 / ($BG$46:$BG$55*CW718 + (1-$BG$46:$BG$55)*CS718), N($AU$46:$AU$55&gt;$AM718))
) / 1000</f>
        <v>0</v>
      </c>
      <c r="CY718" s="234" cm="1">
        <f t="array" ref="CY718">$BM718 * IF($AH718&lt;=2,
SUMPRODUCT(INDEX($AV$22:$AX$60,,$AI718), INDEX($AY$22:$BE$60,,$AH718), 1 / ($BF$22:$BF$60*CW718), N($AU$22:$AU$60&gt;$AM718)),
SUMPRODUCT(INDEX($AV$22:$AX$45,,$AI718), INDEX($AY$22:$BE$45,,$AH718), 1 / ($BG$22:$BG$45*CW718), N($AU$22:$AU$45&gt;$AM718))
) / 1000</f>
        <v>0</v>
      </c>
      <c r="CZ718" s="229">
        <f t="shared" si="808"/>
        <v>0</v>
      </c>
      <c r="DA718" s="246"/>
    </row>
    <row r="719" spans="1:105" s="75" customFormat="1" ht="14.25" customHeight="1" x14ac:dyDescent="0.2">
      <c r="A719" s="230" t="b">
        <f t="shared" si="775"/>
        <v>0</v>
      </c>
      <c r="B719" s="253">
        <v>698</v>
      </c>
      <c r="C719" s="266"/>
      <c r="D719" s="266"/>
      <c r="E719" s="254"/>
      <c r="F719" s="255" t="str">
        <f>IF(ISBLANK(E719), "", VLOOKUP(E719, Z!$A$2:$C$4127, 3, FALSE))</f>
        <v/>
      </c>
      <c r="G719" s="256"/>
      <c r="H719" s="256"/>
      <c r="I719" s="256"/>
      <c r="J719" s="257"/>
      <c r="K719" s="258"/>
      <c r="L719" s="267"/>
      <c r="M719" s="268"/>
      <c r="N719" s="259" t="str" cm="1">
        <f t="array" ref="N719">IF($L719&gt;0, INDEX(Clean,1+AK719,$D$1), "")</f>
        <v/>
      </c>
      <c r="O719" s="260"/>
      <c r="P719" s="260"/>
      <c r="Q719" s="261"/>
      <c r="R719" s="264">
        <f t="shared" si="784"/>
        <v>0</v>
      </c>
      <c r="S719" s="259" t="str" cm="1">
        <f t="array" ref="S719">IF($L719&gt;0, INDEX(Clean,1+AL719,$D$1), "")</f>
        <v/>
      </c>
      <c r="T719" s="260"/>
      <c r="U719" s="260"/>
      <c r="V719" s="261"/>
      <c r="W719" s="267"/>
      <c r="X719" s="267"/>
      <c r="Y719" s="257"/>
      <c r="Z719" s="264">
        <f t="shared" si="785"/>
        <v>0</v>
      </c>
      <c r="AA719" s="269"/>
      <c r="AB719" s="266"/>
      <c r="AC719" s="254"/>
      <c r="AD719" s="255" t="str">
        <f>IF(ISBLANK(AC719), "", VLOOKUP(AC719, Z!$A$2:$C$4127, 3, FALSE))</f>
        <v/>
      </c>
      <c r="AE719" s="270"/>
      <c r="AF719" s="265">
        <f t="shared" si="786"/>
        <v>0</v>
      </c>
      <c r="AG719" s="246"/>
      <c r="AH719" s="228">
        <f t="shared" si="809"/>
        <v>1</v>
      </c>
      <c r="AI719" s="228">
        <f t="shared" si="810"/>
        <v>1</v>
      </c>
      <c r="AJ719" s="228">
        <f t="shared" si="811"/>
        <v>0</v>
      </c>
      <c r="AK719" s="228">
        <v>0</v>
      </c>
      <c r="AL719" s="228">
        <v>0</v>
      </c>
      <c r="AM719" s="228">
        <f t="shared" si="787"/>
        <v>-100</v>
      </c>
      <c r="AN719" s="228" cm="1">
        <f t="array" ref="AN719">IF(ISBLANK(G719), 1, IFERROR(MATCH(G719, INDEX(Kat,,1), 0), IFERROR(MATCH(Kat, INDEX(Use,,2), 0), MATCH(Kat, INDEX(Use,,3), 0))))</f>
        <v>1</v>
      </c>
      <c r="AO719" s="246"/>
      <c r="AP719" s="228" cm="1">
        <f t="array" ref="AP719">IF(W719&gt;0, INDEX(Kat, AN719,4), 0)</f>
        <v>0</v>
      </c>
      <c r="AQ719" s="228">
        <f t="shared" si="812"/>
        <v>0</v>
      </c>
      <c r="AR719" s="228" cm="1">
        <f t="array" ref="AR719">IF(X719&gt;0, INDEX(Kat, $AN719, 4+AQ719), 0)</f>
        <v>0</v>
      </c>
      <c r="AS719" s="228" cm="1">
        <f t="array" ref="AS719">IF(X719&gt;0, INDEX(Kat, $AN719, 9+AQ719), 0)</f>
        <v>0</v>
      </c>
      <c r="AT719" s="246"/>
      <c r="AU719" s="262"/>
      <c r="AV719" s="262"/>
      <c r="AW719" s="263"/>
      <c r="AX719" s="263"/>
      <c r="AY719" s="263"/>
      <c r="AZ719" s="263"/>
      <c r="BA719" s="263"/>
      <c r="BB719" s="263"/>
      <c r="BC719" s="263"/>
      <c r="BD719" s="263"/>
      <c r="BE719" s="263"/>
      <c r="BF719" s="263"/>
      <c r="BG719" s="263"/>
      <c r="BH719" s="246"/>
      <c r="BI719" s="228" cm="1">
        <f t="array" ref="BI719">INDEX(Use, $AH719, 4)</f>
        <v>7</v>
      </c>
      <c r="BJ719" s="228">
        <f t="shared" si="788"/>
        <v>32</v>
      </c>
      <c r="BK719" s="228">
        <f t="shared" si="776"/>
        <v>13</v>
      </c>
      <c r="BL719" s="228">
        <f t="shared" si="777"/>
        <v>0</v>
      </c>
      <c r="BM719" s="233" cm="1">
        <f t="array" ref="BM719">L719/IF($M719&gt;0, INDEX($AY$22:$BE$76, $M719+20, $AH719), 1)</f>
        <v>0</v>
      </c>
      <c r="BN719" s="229">
        <f t="shared" si="789"/>
        <v>0</v>
      </c>
      <c r="BO719" s="228">
        <v>35</v>
      </c>
      <c r="BP719" s="229">
        <f t="shared" si="790"/>
        <v>48</v>
      </c>
      <c r="BQ719" s="234">
        <f t="shared" si="791"/>
        <v>3.0748170731707316</v>
      </c>
      <c r="BR719" s="234" cm="1">
        <f t="array" ref="BR719">$BM719 * SUMPRODUCT(INDEX($AV$76:$AX$81,,$AI719),INDEX($AY$76:$BE$81,,$AH719), N($AU$76:$AU$81&gt;$AM719)) / BQ719 / 1000</f>
        <v>0</v>
      </c>
      <c r="BS719" s="231">
        <f t="shared" si="778"/>
        <v>30</v>
      </c>
      <c r="BT719" s="229">
        <f t="shared" si="792"/>
        <v>43</v>
      </c>
      <c r="BU719" s="234">
        <f t="shared" si="793"/>
        <v>3.5018750000000001</v>
      </c>
      <c r="BV719" s="234" cm="1">
        <f t="array" ref="BV719">$BM719 * IF($AH719&lt;=2,
SUMPRODUCT(INDEX($AV$71:$AX$75,,$AI719), INDEX($AY$71:$BE$75,,$AH719), 1 / ($BF$71:$BF$75*BU719 + (1-$BF$71:$BF$75)*BQ719), N($AU$71:$AU$75&gt;$AM719)),
SUMPRODUCT(INDEX($AV$66:$AX$75,,$AI719), INDEX($AY$66:$BE$75,,$AH719), 1 / ($BG$66:$BG$75*BU719 + (1-$BG$66:$BG$75)*BQ719), N($AU$66:$AU$75&gt;$AM719))
) / 1000</f>
        <v>0</v>
      </c>
      <c r="BW719" s="231">
        <f t="shared" si="779"/>
        <v>25</v>
      </c>
      <c r="BX719" s="229">
        <f t="shared" si="794"/>
        <v>38</v>
      </c>
      <c r="BY719" s="234">
        <f t="shared" si="795"/>
        <v>4.0666935483870965</v>
      </c>
      <c r="BZ719" s="234" cm="1">
        <f t="array" ref="BZ719">$BM719 * IF($AH719&lt;=2,
SUMPRODUCT(INDEX($AV$66:$AX$70,,$AI719), INDEX($AY$66:$BE$70,,$AH719), 1 / ($BF$66:$BF$70*BY719 + (1-$BF$66:$BF$70)*BU719), N($AU$66:$AU$70&gt;$AM719)),
SUMPRODUCT(INDEX($AV$56:$AX$65,,$AI719), INDEX($AY$56:$BE$65,,$AH719), 1 / ($BG$56:$BG$65*BY719 + (1-$BG$56:$BG$65)*BU719), N($AU$56:$AU$65&gt;$AM719))
) / 1000</f>
        <v>0</v>
      </c>
      <c r="CA719" s="231">
        <f t="shared" si="780"/>
        <v>20</v>
      </c>
      <c r="CB719" s="229">
        <f t="shared" si="796"/>
        <v>33</v>
      </c>
      <c r="CC719" s="234">
        <f t="shared" si="797"/>
        <v>4.8487499999999999</v>
      </c>
      <c r="CD719" s="234" cm="1">
        <f t="array" ref="CD719">$BM719 * IF($AH719&lt;=2,
SUMPRODUCT(INDEX($AV$61:$AX$65,,$AI719), INDEX($AY$61:$BE$65,,$AH719), 1 / ($BF$61:$BF$65*CC719 + (1-$BF$61:$BF$65)*BY719), N($AU$61:$AU$65&gt;$AM719)),
SUMPRODUCT(INDEX($AV$46:$AX$55,,$AI719), INDEX($AY$46:$BE$55,,$AH719), 1 / ($BG$46:$BG$55*CC719 + (1-$BG$46:$BG$55)*BY719), N($AU$46:$AU$55&gt;$AM719))
) / 1000</f>
        <v>0</v>
      </c>
      <c r="CE719" s="234" cm="1">
        <f t="array" ref="CE719">$BM719 * IF($AH719&lt;=2,
SUMPRODUCT(INDEX($AV$22:$AX$60,,$AI719), INDEX($AY$22:$BE$60,,$AH719), 1 / ($BF$22:$BF$60*CC719), N($AU$22:$AU$60&gt;$AM719)),
SUMPRODUCT(INDEX($AV$22:$AX$45,,$AI719), INDEX($AY$22:$BE$45,,$AH719), 1 / ($BG$22:$BG$45*CC719), N($AU$22:$AU$45&gt;$AM719))
) / 1000</f>
        <v>0</v>
      </c>
      <c r="CF719" s="229">
        <f t="shared" si="798"/>
        <v>0</v>
      </c>
      <c r="CG719" s="246"/>
      <c r="CH719" s="229">
        <f t="shared" si="799"/>
        <v>0</v>
      </c>
      <c r="CI719" s="228">
        <v>35</v>
      </c>
      <c r="CJ719" s="229">
        <f t="shared" si="800"/>
        <v>48</v>
      </c>
      <c r="CK719" s="234">
        <f t="shared" si="801"/>
        <v>3.0748170731707316</v>
      </c>
      <c r="CL719" s="234" cm="1">
        <f t="array" ref="CL719">$BM719 * SUMPRODUCT(INDEX($AV$76:$AX$81,,$AI719),INDEX($AY$76:$BE$81,,$AH719), N($AU$76:$AU$81&gt;$AM719)) / CK719 / 1000</f>
        <v>0</v>
      </c>
      <c r="CM719" s="231">
        <f t="shared" si="781"/>
        <v>30</v>
      </c>
      <c r="CN719" s="229">
        <f t="shared" si="802"/>
        <v>43</v>
      </c>
      <c r="CO719" s="234">
        <f t="shared" si="803"/>
        <v>3.5018750000000001</v>
      </c>
      <c r="CP719" s="234" cm="1">
        <f t="array" ref="CP719">$BM719 * IF($AH719&lt;=2,
SUMPRODUCT(INDEX($AV$71:$AX$75,,$AI719), INDEX($AY$71:$BE$75,,$AH719), 1 / ($BF$71:$BF$75*CO719 + (1-$BF$71:$BF$75)*CK719), N($AU$71:$AU$75&gt;$AM719)),
SUMPRODUCT(INDEX($AV$66:$AX$75,,$AI719), INDEX($AY$66:$BE$75,,$AH719), 1 / ($BG$66:$BG$75*CO719 + (1-$BG$66:$BG$75)*CK719), N($AU$66:$AU$75&gt;$AM719))
) / 1000</f>
        <v>0</v>
      </c>
      <c r="CQ719" s="231">
        <f t="shared" si="782"/>
        <v>25</v>
      </c>
      <c r="CR719" s="229">
        <f t="shared" si="804"/>
        <v>38</v>
      </c>
      <c r="CS719" s="234">
        <f t="shared" si="805"/>
        <v>4.0666935483870965</v>
      </c>
      <c r="CT719" s="234" cm="1">
        <f t="array" ref="CT719">$BM719 * IF($AH719&lt;=2,
SUMPRODUCT(INDEX($AV$66:$AX$70,,$AI719), INDEX($AY$66:$BE$70,,$AH719), 1 / ($BF$66:$BF$70*CS719 + (1-$BF$66:$BF$70)*CO719), N($AU$66:$AU$70&gt;$AM719)),
SUMPRODUCT(INDEX($AV$56:$AX$65,,$AI719), INDEX($AY$56:$BE$65,,$AH719), 1 / ($BG$56:$BG$65*CS719 + (1-$BG$56:$BG$65)*CO719), N($AU$56:$AU$65&gt;$AM719))
) / 1000</f>
        <v>0</v>
      </c>
      <c r="CU719" s="231">
        <f t="shared" si="783"/>
        <v>20</v>
      </c>
      <c r="CV719" s="229">
        <f t="shared" si="806"/>
        <v>33</v>
      </c>
      <c r="CW719" s="234">
        <f t="shared" si="807"/>
        <v>4.8487499999999999</v>
      </c>
      <c r="CX719" s="234" cm="1">
        <f t="array" ref="CX719">$BM719 * IF($AH719&lt;=2,
SUMPRODUCT(INDEX($AV$61:$AX$65,,$AI719), INDEX($AY$61:$BE$65,,$AH719), 1 / ($BF$61:$BF$65*CW719 + (1-$BF$61:$BF$65)*CS719), N($AU$61:$AU$65&gt;$AM719)),
SUMPRODUCT(INDEX($AV$46:$AX$55,,$AI719), INDEX($AY$46:$BE$55,,$AH719), 1 / ($BG$46:$BG$55*CW719 + (1-$BG$46:$BG$55)*CS719), N($AU$46:$AU$55&gt;$AM719))
) / 1000</f>
        <v>0</v>
      </c>
      <c r="CY719" s="234" cm="1">
        <f t="array" ref="CY719">$BM719 * IF($AH719&lt;=2,
SUMPRODUCT(INDEX($AV$22:$AX$60,,$AI719), INDEX($AY$22:$BE$60,,$AH719), 1 / ($BF$22:$BF$60*CW719), N($AU$22:$AU$60&gt;$AM719)),
SUMPRODUCT(INDEX($AV$22:$AX$45,,$AI719), INDEX($AY$22:$BE$45,,$AH719), 1 / ($BG$22:$BG$45*CW719), N($AU$22:$AU$45&gt;$AM719))
) / 1000</f>
        <v>0</v>
      </c>
      <c r="CZ719" s="229">
        <f t="shared" si="808"/>
        <v>0</v>
      </c>
      <c r="DA719" s="246"/>
    </row>
    <row r="720" spans="1:105" s="75" customFormat="1" ht="14.25" customHeight="1" x14ac:dyDescent="0.2">
      <c r="A720" s="230" t="b">
        <f t="shared" si="775"/>
        <v>0</v>
      </c>
      <c r="B720" s="253">
        <v>699</v>
      </c>
      <c r="C720" s="266"/>
      <c r="D720" s="266"/>
      <c r="E720" s="254"/>
      <c r="F720" s="255" t="str">
        <f>IF(ISBLANK(E720), "", VLOOKUP(E720, Z!$A$2:$C$4127, 3, FALSE))</f>
        <v/>
      </c>
      <c r="G720" s="256"/>
      <c r="H720" s="256"/>
      <c r="I720" s="256"/>
      <c r="J720" s="257"/>
      <c r="K720" s="258"/>
      <c r="L720" s="267"/>
      <c r="M720" s="268"/>
      <c r="N720" s="259" t="str" cm="1">
        <f t="array" ref="N720">IF($L720&gt;0, INDEX(Clean,1+AK720,$D$1), "")</f>
        <v/>
      </c>
      <c r="O720" s="260"/>
      <c r="P720" s="260"/>
      <c r="Q720" s="261"/>
      <c r="R720" s="264">
        <f t="shared" si="784"/>
        <v>0</v>
      </c>
      <c r="S720" s="259" t="str" cm="1">
        <f t="array" ref="S720">IF($L720&gt;0, INDEX(Clean,1+AL720,$D$1), "")</f>
        <v/>
      </c>
      <c r="T720" s="260"/>
      <c r="U720" s="260"/>
      <c r="V720" s="261"/>
      <c r="W720" s="267"/>
      <c r="X720" s="267"/>
      <c r="Y720" s="257"/>
      <c r="Z720" s="264">
        <f t="shared" si="785"/>
        <v>0</v>
      </c>
      <c r="AA720" s="269"/>
      <c r="AB720" s="266"/>
      <c r="AC720" s="254"/>
      <c r="AD720" s="255" t="str">
        <f>IF(ISBLANK(AC720), "", VLOOKUP(AC720, Z!$A$2:$C$4127, 3, FALSE))</f>
        <v/>
      </c>
      <c r="AE720" s="270"/>
      <c r="AF720" s="265">
        <f t="shared" si="786"/>
        <v>0</v>
      </c>
      <c r="AG720" s="246"/>
      <c r="AH720" s="228">
        <f t="shared" si="809"/>
        <v>1</v>
      </c>
      <c r="AI720" s="228">
        <f t="shared" si="810"/>
        <v>1</v>
      </c>
      <c r="AJ720" s="228">
        <f t="shared" si="811"/>
        <v>0</v>
      </c>
      <c r="AK720" s="228">
        <v>0</v>
      </c>
      <c r="AL720" s="228">
        <v>0</v>
      </c>
      <c r="AM720" s="228">
        <f t="shared" si="787"/>
        <v>-100</v>
      </c>
      <c r="AN720" s="228" cm="1">
        <f t="array" ref="AN720">IF(ISBLANK(G720), 1, IFERROR(MATCH(G720, INDEX(Kat,,1), 0), IFERROR(MATCH(Kat, INDEX(Use,,2), 0), MATCH(Kat, INDEX(Use,,3), 0))))</f>
        <v>1</v>
      </c>
      <c r="AO720" s="246"/>
      <c r="AP720" s="228" cm="1">
        <f t="array" ref="AP720">IF(W720&gt;0, INDEX(Kat, AN720,4), 0)</f>
        <v>0</v>
      </c>
      <c r="AQ720" s="228">
        <f t="shared" si="812"/>
        <v>0</v>
      </c>
      <c r="AR720" s="228" cm="1">
        <f t="array" ref="AR720">IF(X720&gt;0, INDEX(Kat, $AN720, 4+AQ720), 0)</f>
        <v>0</v>
      </c>
      <c r="AS720" s="228" cm="1">
        <f t="array" ref="AS720">IF(X720&gt;0, INDEX(Kat, $AN720, 9+AQ720), 0)</f>
        <v>0</v>
      </c>
      <c r="AT720" s="246"/>
      <c r="AU720" s="262"/>
      <c r="AV720" s="262"/>
      <c r="AW720" s="263"/>
      <c r="AX720" s="263"/>
      <c r="AY720" s="263"/>
      <c r="AZ720" s="263"/>
      <c r="BA720" s="263"/>
      <c r="BB720" s="263"/>
      <c r="BC720" s="263"/>
      <c r="BD720" s="263"/>
      <c r="BE720" s="263"/>
      <c r="BF720" s="263"/>
      <c r="BG720" s="263"/>
      <c r="BH720" s="246"/>
      <c r="BI720" s="228" cm="1">
        <f t="array" ref="BI720">INDEX(Use, $AH720, 4)</f>
        <v>7</v>
      </c>
      <c r="BJ720" s="228">
        <f t="shared" si="788"/>
        <v>32</v>
      </c>
      <c r="BK720" s="228">
        <f t="shared" si="776"/>
        <v>13</v>
      </c>
      <c r="BL720" s="228">
        <f t="shared" si="777"/>
        <v>0</v>
      </c>
      <c r="BM720" s="233" cm="1">
        <f t="array" ref="BM720">L720/IF($M720&gt;0, INDEX($AY$22:$BE$76, $M720+20, $AH720), 1)</f>
        <v>0</v>
      </c>
      <c r="BN720" s="229">
        <f t="shared" si="789"/>
        <v>0</v>
      </c>
      <c r="BO720" s="228">
        <v>35</v>
      </c>
      <c r="BP720" s="229">
        <f t="shared" si="790"/>
        <v>48</v>
      </c>
      <c r="BQ720" s="234">
        <f t="shared" si="791"/>
        <v>3.0748170731707316</v>
      </c>
      <c r="BR720" s="234" cm="1">
        <f t="array" ref="BR720">$BM720 * SUMPRODUCT(INDEX($AV$76:$AX$81,,$AI720),INDEX($AY$76:$BE$81,,$AH720), N($AU$76:$AU$81&gt;$AM720)) / BQ720 / 1000</f>
        <v>0</v>
      </c>
      <c r="BS720" s="231">
        <f t="shared" si="778"/>
        <v>30</v>
      </c>
      <c r="BT720" s="229">
        <f t="shared" si="792"/>
        <v>43</v>
      </c>
      <c r="BU720" s="234">
        <f t="shared" si="793"/>
        <v>3.5018750000000001</v>
      </c>
      <c r="BV720" s="234" cm="1">
        <f t="array" ref="BV720">$BM720 * IF($AH720&lt;=2,
SUMPRODUCT(INDEX($AV$71:$AX$75,,$AI720), INDEX($AY$71:$BE$75,,$AH720), 1 / ($BF$71:$BF$75*BU720 + (1-$BF$71:$BF$75)*BQ720), N($AU$71:$AU$75&gt;$AM720)),
SUMPRODUCT(INDEX($AV$66:$AX$75,,$AI720), INDEX($AY$66:$BE$75,,$AH720), 1 / ($BG$66:$BG$75*BU720 + (1-$BG$66:$BG$75)*BQ720), N($AU$66:$AU$75&gt;$AM720))
) / 1000</f>
        <v>0</v>
      </c>
      <c r="BW720" s="231">
        <f t="shared" si="779"/>
        <v>25</v>
      </c>
      <c r="BX720" s="229">
        <f t="shared" si="794"/>
        <v>38</v>
      </c>
      <c r="BY720" s="234">
        <f t="shared" si="795"/>
        <v>4.0666935483870965</v>
      </c>
      <c r="BZ720" s="234" cm="1">
        <f t="array" ref="BZ720">$BM720 * IF($AH720&lt;=2,
SUMPRODUCT(INDEX($AV$66:$AX$70,,$AI720), INDEX($AY$66:$BE$70,,$AH720), 1 / ($BF$66:$BF$70*BY720 + (1-$BF$66:$BF$70)*BU720), N($AU$66:$AU$70&gt;$AM720)),
SUMPRODUCT(INDEX($AV$56:$AX$65,,$AI720), INDEX($AY$56:$BE$65,,$AH720), 1 / ($BG$56:$BG$65*BY720 + (1-$BG$56:$BG$65)*BU720), N($AU$56:$AU$65&gt;$AM720))
) / 1000</f>
        <v>0</v>
      </c>
      <c r="CA720" s="231">
        <f t="shared" si="780"/>
        <v>20</v>
      </c>
      <c r="CB720" s="229">
        <f t="shared" si="796"/>
        <v>33</v>
      </c>
      <c r="CC720" s="234">
        <f t="shared" si="797"/>
        <v>4.8487499999999999</v>
      </c>
      <c r="CD720" s="234" cm="1">
        <f t="array" ref="CD720">$BM720 * IF($AH720&lt;=2,
SUMPRODUCT(INDEX($AV$61:$AX$65,,$AI720), INDEX($AY$61:$BE$65,,$AH720), 1 / ($BF$61:$BF$65*CC720 + (1-$BF$61:$BF$65)*BY720), N($AU$61:$AU$65&gt;$AM720)),
SUMPRODUCT(INDEX($AV$46:$AX$55,,$AI720), INDEX($AY$46:$BE$55,,$AH720), 1 / ($BG$46:$BG$55*CC720 + (1-$BG$46:$BG$55)*BY720), N($AU$46:$AU$55&gt;$AM720))
) / 1000</f>
        <v>0</v>
      </c>
      <c r="CE720" s="234" cm="1">
        <f t="array" ref="CE720">$BM720 * IF($AH720&lt;=2,
SUMPRODUCT(INDEX($AV$22:$AX$60,,$AI720), INDEX($AY$22:$BE$60,,$AH720), 1 / ($BF$22:$BF$60*CC720), N($AU$22:$AU$60&gt;$AM720)),
SUMPRODUCT(INDEX($AV$22:$AX$45,,$AI720), INDEX($AY$22:$BE$45,,$AH720), 1 / ($BG$22:$BG$45*CC720), N($AU$22:$AU$45&gt;$AM720))
) / 1000</f>
        <v>0</v>
      </c>
      <c r="CF720" s="229">
        <f t="shared" si="798"/>
        <v>0</v>
      </c>
      <c r="CG720" s="246"/>
      <c r="CH720" s="229">
        <f t="shared" si="799"/>
        <v>0</v>
      </c>
      <c r="CI720" s="228">
        <v>35</v>
      </c>
      <c r="CJ720" s="229">
        <f t="shared" si="800"/>
        <v>48</v>
      </c>
      <c r="CK720" s="234">
        <f t="shared" si="801"/>
        <v>3.0748170731707316</v>
      </c>
      <c r="CL720" s="234" cm="1">
        <f t="array" ref="CL720">$BM720 * SUMPRODUCT(INDEX($AV$76:$AX$81,,$AI720),INDEX($AY$76:$BE$81,,$AH720), N($AU$76:$AU$81&gt;$AM720)) / CK720 / 1000</f>
        <v>0</v>
      </c>
      <c r="CM720" s="231">
        <f t="shared" si="781"/>
        <v>30</v>
      </c>
      <c r="CN720" s="229">
        <f t="shared" si="802"/>
        <v>43</v>
      </c>
      <c r="CO720" s="234">
        <f t="shared" si="803"/>
        <v>3.5018750000000001</v>
      </c>
      <c r="CP720" s="234" cm="1">
        <f t="array" ref="CP720">$BM720 * IF($AH720&lt;=2,
SUMPRODUCT(INDEX($AV$71:$AX$75,,$AI720), INDEX($AY$71:$BE$75,,$AH720), 1 / ($BF$71:$BF$75*CO720 + (1-$BF$71:$BF$75)*CK720), N($AU$71:$AU$75&gt;$AM720)),
SUMPRODUCT(INDEX($AV$66:$AX$75,,$AI720), INDEX($AY$66:$BE$75,,$AH720), 1 / ($BG$66:$BG$75*CO720 + (1-$BG$66:$BG$75)*CK720), N($AU$66:$AU$75&gt;$AM720))
) / 1000</f>
        <v>0</v>
      </c>
      <c r="CQ720" s="231">
        <f t="shared" si="782"/>
        <v>25</v>
      </c>
      <c r="CR720" s="229">
        <f t="shared" si="804"/>
        <v>38</v>
      </c>
      <c r="CS720" s="234">
        <f t="shared" si="805"/>
        <v>4.0666935483870965</v>
      </c>
      <c r="CT720" s="234" cm="1">
        <f t="array" ref="CT720">$BM720 * IF($AH720&lt;=2,
SUMPRODUCT(INDEX($AV$66:$AX$70,,$AI720), INDEX($AY$66:$BE$70,,$AH720), 1 / ($BF$66:$BF$70*CS720 + (1-$BF$66:$BF$70)*CO720), N($AU$66:$AU$70&gt;$AM720)),
SUMPRODUCT(INDEX($AV$56:$AX$65,,$AI720), INDEX($AY$56:$BE$65,,$AH720), 1 / ($BG$56:$BG$65*CS720 + (1-$BG$56:$BG$65)*CO720), N($AU$56:$AU$65&gt;$AM720))
) / 1000</f>
        <v>0</v>
      </c>
      <c r="CU720" s="231">
        <f t="shared" si="783"/>
        <v>20</v>
      </c>
      <c r="CV720" s="229">
        <f t="shared" si="806"/>
        <v>33</v>
      </c>
      <c r="CW720" s="234">
        <f t="shared" si="807"/>
        <v>4.8487499999999999</v>
      </c>
      <c r="CX720" s="234" cm="1">
        <f t="array" ref="CX720">$BM720 * IF($AH720&lt;=2,
SUMPRODUCT(INDEX($AV$61:$AX$65,,$AI720), INDEX($AY$61:$BE$65,,$AH720), 1 / ($BF$61:$BF$65*CW720 + (1-$BF$61:$BF$65)*CS720), N($AU$61:$AU$65&gt;$AM720)),
SUMPRODUCT(INDEX($AV$46:$AX$55,,$AI720), INDEX($AY$46:$BE$55,,$AH720), 1 / ($BG$46:$BG$55*CW720 + (1-$BG$46:$BG$55)*CS720), N($AU$46:$AU$55&gt;$AM720))
) / 1000</f>
        <v>0</v>
      </c>
      <c r="CY720" s="234" cm="1">
        <f t="array" ref="CY720">$BM720 * IF($AH720&lt;=2,
SUMPRODUCT(INDEX($AV$22:$AX$60,,$AI720), INDEX($AY$22:$BE$60,,$AH720), 1 / ($BF$22:$BF$60*CW720), N($AU$22:$AU$60&gt;$AM720)),
SUMPRODUCT(INDEX($AV$22:$AX$45,,$AI720), INDEX($AY$22:$BE$45,,$AH720), 1 / ($BG$22:$BG$45*CW720), N($AU$22:$AU$45&gt;$AM720))
) / 1000</f>
        <v>0</v>
      </c>
      <c r="CZ720" s="229">
        <f t="shared" si="808"/>
        <v>0</v>
      </c>
      <c r="DA720" s="246"/>
    </row>
    <row r="721" spans="1:105" s="75" customFormat="1" ht="14.25" customHeight="1" x14ac:dyDescent="0.2">
      <c r="A721" s="230" t="b">
        <f t="shared" si="775"/>
        <v>0</v>
      </c>
      <c r="B721" s="253">
        <v>700</v>
      </c>
      <c r="C721" s="266"/>
      <c r="D721" s="266"/>
      <c r="E721" s="254"/>
      <c r="F721" s="255" t="str">
        <f>IF(ISBLANK(E721), "", VLOOKUP(E721, Z!$A$2:$C$4127, 3, FALSE))</f>
        <v/>
      </c>
      <c r="G721" s="256"/>
      <c r="H721" s="256"/>
      <c r="I721" s="256"/>
      <c r="J721" s="257"/>
      <c r="K721" s="258"/>
      <c r="L721" s="267"/>
      <c r="M721" s="268"/>
      <c r="N721" s="259" t="str" cm="1">
        <f t="array" ref="N721">IF($L721&gt;0, INDEX(Clean,1+AK721,$D$1), "")</f>
        <v/>
      </c>
      <c r="O721" s="260"/>
      <c r="P721" s="260"/>
      <c r="Q721" s="261"/>
      <c r="R721" s="264">
        <f t="shared" si="784"/>
        <v>0</v>
      </c>
      <c r="S721" s="259" t="str" cm="1">
        <f t="array" ref="S721">IF($L721&gt;0, INDEX(Clean,1+AL721,$D$1), "")</f>
        <v/>
      </c>
      <c r="T721" s="260"/>
      <c r="U721" s="260"/>
      <c r="V721" s="261"/>
      <c r="W721" s="267"/>
      <c r="X721" s="267"/>
      <c r="Y721" s="257"/>
      <c r="Z721" s="264">
        <f t="shared" si="785"/>
        <v>0</v>
      </c>
      <c r="AA721" s="269"/>
      <c r="AB721" s="266"/>
      <c r="AC721" s="254"/>
      <c r="AD721" s="255" t="str">
        <f>IF(ISBLANK(AC721), "", VLOOKUP(AC721, Z!$A$2:$C$4127, 3, FALSE))</f>
        <v/>
      </c>
      <c r="AE721" s="270"/>
      <c r="AF721" s="265">
        <f t="shared" si="786"/>
        <v>0</v>
      </c>
      <c r="AG721" s="246"/>
      <c r="AH721" s="228">
        <f t="shared" si="809"/>
        <v>1</v>
      </c>
      <c r="AI721" s="228">
        <f t="shared" si="810"/>
        <v>1</v>
      </c>
      <c r="AJ721" s="228">
        <f t="shared" si="811"/>
        <v>0</v>
      </c>
      <c r="AK721" s="228">
        <v>0</v>
      </c>
      <c r="AL721" s="228">
        <v>0</v>
      </c>
      <c r="AM721" s="228">
        <f t="shared" si="787"/>
        <v>-100</v>
      </c>
      <c r="AN721" s="228" cm="1">
        <f t="array" ref="AN721">IF(ISBLANK(G721), 1, IFERROR(MATCH(G721, INDEX(Kat,,1), 0), IFERROR(MATCH(Kat, INDEX(Use,,2), 0), MATCH(Kat, INDEX(Use,,3), 0))))</f>
        <v>1</v>
      </c>
      <c r="AO721" s="246"/>
      <c r="AP721" s="228" cm="1">
        <f t="array" ref="AP721">IF(W721&gt;0, INDEX(Kat, AN721,4), 0)</f>
        <v>0</v>
      </c>
      <c r="AQ721" s="228">
        <f t="shared" si="812"/>
        <v>0</v>
      </c>
      <c r="AR721" s="228" cm="1">
        <f t="array" ref="AR721">IF(X721&gt;0, INDEX(Kat, $AN721, 4+AQ721), 0)</f>
        <v>0</v>
      </c>
      <c r="AS721" s="228" cm="1">
        <f t="array" ref="AS721">IF(X721&gt;0, INDEX(Kat, $AN721, 9+AQ721), 0)</f>
        <v>0</v>
      </c>
      <c r="AT721" s="246"/>
      <c r="AU721" s="262"/>
      <c r="AV721" s="262"/>
      <c r="AW721" s="263"/>
      <c r="AX721" s="263"/>
      <c r="AY721" s="263"/>
      <c r="AZ721" s="263"/>
      <c r="BA721" s="263"/>
      <c r="BB721" s="263"/>
      <c r="BC721" s="263"/>
      <c r="BD721" s="263"/>
      <c r="BE721" s="263"/>
      <c r="BF721" s="263"/>
      <c r="BG721" s="263"/>
      <c r="BH721" s="246"/>
      <c r="BI721" s="228" cm="1">
        <f t="array" ref="BI721">INDEX(Use, $AH721, 4)</f>
        <v>7</v>
      </c>
      <c r="BJ721" s="228">
        <f t="shared" si="788"/>
        <v>32</v>
      </c>
      <c r="BK721" s="228">
        <f t="shared" si="776"/>
        <v>13</v>
      </c>
      <c r="BL721" s="228">
        <f t="shared" si="777"/>
        <v>0</v>
      </c>
      <c r="BM721" s="233" cm="1">
        <f t="array" ref="BM721">L721/IF($M721&gt;0, INDEX($AY$22:$BE$76, $M721+20, $AH721), 1)</f>
        <v>0</v>
      </c>
      <c r="BN721" s="229">
        <f t="shared" si="789"/>
        <v>0</v>
      </c>
      <c r="BO721" s="228">
        <v>35</v>
      </c>
      <c r="BP721" s="229">
        <f t="shared" si="790"/>
        <v>48</v>
      </c>
      <c r="BQ721" s="234">
        <f t="shared" si="791"/>
        <v>3.0748170731707316</v>
      </c>
      <c r="BR721" s="234" cm="1">
        <f t="array" ref="BR721">$BM721 * SUMPRODUCT(INDEX($AV$76:$AX$81,,$AI721),INDEX($AY$76:$BE$81,,$AH721), N($AU$76:$AU$81&gt;$AM721)) / BQ721 / 1000</f>
        <v>0</v>
      </c>
      <c r="BS721" s="231">
        <f t="shared" si="778"/>
        <v>30</v>
      </c>
      <c r="BT721" s="229">
        <f t="shared" si="792"/>
        <v>43</v>
      </c>
      <c r="BU721" s="234">
        <f t="shared" si="793"/>
        <v>3.5018750000000001</v>
      </c>
      <c r="BV721" s="234" cm="1">
        <f t="array" ref="BV721">$BM721 * IF($AH721&lt;=2,
SUMPRODUCT(INDEX($AV$71:$AX$75,,$AI721), INDEX($AY$71:$BE$75,,$AH721), 1 / ($BF$71:$BF$75*BU721 + (1-$BF$71:$BF$75)*BQ721), N($AU$71:$AU$75&gt;$AM721)),
SUMPRODUCT(INDEX($AV$66:$AX$75,,$AI721), INDEX($AY$66:$BE$75,,$AH721), 1 / ($BG$66:$BG$75*BU721 + (1-$BG$66:$BG$75)*BQ721), N($AU$66:$AU$75&gt;$AM721))
) / 1000</f>
        <v>0</v>
      </c>
      <c r="BW721" s="231">
        <f t="shared" si="779"/>
        <v>25</v>
      </c>
      <c r="BX721" s="229">
        <f t="shared" si="794"/>
        <v>38</v>
      </c>
      <c r="BY721" s="234">
        <f t="shared" si="795"/>
        <v>4.0666935483870965</v>
      </c>
      <c r="BZ721" s="234" cm="1">
        <f t="array" ref="BZ721">$BM721 * IF($AH721&lt;=2,
SUMPRODUCT(INDEX($AV$66:$AX$70,,$AI721), INDEX($AY$66:$BE$70,,$AH721), 1 / ($BF$66:$BF$70*BY721 + (1-$BF$66:$BF$70)*BU721), N($AU$66:$AU$70&gt;$AM721)),
SUMPRODUCT(INDEX($AV$56:$AX$65,,$AI721), INDEX($AY$56:$BE$65,,$AH721), 1 / ($BG$56:$BG$65*BY721 + (1-$BG$56:$BG$65)*BU721), N($AU$56:$AU$65&gt;$AM721))
) / 1000</f>
        <v>0</v>
      </c>
      <c r="CA721" s="231">
        <f t="shared" si="780"/>
        <v>20</v>
      </c>
      <c r="CB721" s="229">
        <f t="shared" si="796"/>
        <v>33</v>
      </c>
      <c r="CC721" s="234">
        <f t="shared" si="797"/>
        <v>4.8487499999999999</v>
      </c>
      <c r="CD721" s="234" cm="1">
        <f t="array" ref="CD721">$BM721 * IF($AH721&lt;=2,
SUMPRODUCT(INDEX($AV$61:$AX$65,,$AI721), INDEX($AY$61:$BE$65,,$AH721), 1 / ($BF$61:$BF$65*CC721 + (1-$BF$61:$BF$65)*BY721), N($AU$61:$AU$65&gt;$AM721)),
SUMPRODUCT(INDEX($AV$46:$AX$55,,$AI721), INDEX($AY$46:$BE$55,,$AH721), 1 / ($BG$46:$BG$55*CC721 + (1-$BG$46:$BG$55)*BY721), N($AU$46:$AU$55&gt;$AM721))
) / 1000</f>
        <v>0</v>
      </c>
      <c r="CE721" s="234" cm="1">
        <f t="array" ref="CE721">$BM721 * IF($AH721&lt;=2,
SUMPRODUCT(INDEX($AV$22:$AX$60,,$AI721), INDEX($AY$22:$BE$60,,$AH721), 1 / ($BF$22:$BF$60*CC721), N($AU$22:$AU$60&gt;$AM721)),
SUMPRODUCT(INDEX($AV$22:$AX$45,,$AI721), INDEX($AY$22:$BE$45,,$AH721), 1 / ($BG$22:$BG$45*CC721), N($AU$22:$AU$45&gt;$AM721))
) / 1000</f>
        <v>0</v>
      </c>
      <c r="CF721" s="229">
        <f t="shared" si="798"/>
        <v>0</v>
      </c>
      <c r="CG721" s="246"/>
      <c r="CH721" s="229">
        <f t="shared" si="799"/>
        <v>0</v>
      </c>
      <c r="CI721" s="228">
        <v>35</v>
      </c>
      <c r="CJ721" s="229">
        <f t="shared" si="800"/>
        <v>48</v>
      </c>
      <c r="CK721" s="234">
        <f t="shared" si="801"/>
        <v>3.0748170731707316</v>
      </c>
      <c r="CL721" s="234" cm="1">
        <f t="array" ref="CL721">$BM721 * SUMPRODUCT(INDEX($AV$76:$AX$81,,$AI721),INDEX($AY$76:$BE$81,,$AH721), N($AU$76:$AU$81&gt;$AM721)) / CK721 / 1000</f>
        <v>0</v>
      </c>
      <c r="CM721" s="231">
        <f t="shared" si="781"/>
        <v>30</v>
      </c>
      <c r="CN721" s="229">
        <f t="shared" si="802"/>
        <v>43</v>
      </c>
      <c r="CO721" s="234">
        <f t="shared" si="803"/>
        <v>3.5018750000000001</v>
      </c>
      <c r="CP721" s="234" cm="1">
        <f t="array" ref="CP721">$BM721 * IF($AH721&lt;=2,
SUMPRODUCT(INDEX($AV$71:$AX$75,,$AI721), INDEX($AY$71:$BE$75,,$AH721), 1 / ($BF$71:$BF$75*CO721 + (1-$BF$71:$BF$75)*CK721), N($AU$71:$AU$75&gt;$AM721)),
SUMPRODUCT(INDEX($AV$66:$AX$75,,$AI721), INDEX($AY$66:$BE$75,,$AH721), 1 / ($BG$66:$BG$75*CO721 + (1-$BG$66:$BG$75)*CK721), N($AU$66:$AU$75&gt;$AM721))
) / 1000</f>
        <v>0</v>
      </c>
      <c r="CQ721" s="231">
        <f t="shared" si="782"/>
        <v>25</v>
      </c>
      <c r="CR721" s="229">
        <f t="shared" si="804"/>
        <v>38</v>
      </c>
      <c r="CS721" s="234">
        <f t="shared" si="805"/>
        <v>4.0666935483870965</v>
      </c>
      <c r="CT721" s="234" cm="1">
        <f t="array" ref="CT721">$BM721 * IF($AH721&lt;=2,
SUMPRODUCT(INDEX($AV$66:$AX$70,,$AI721), INDEX($AY$66:$BE$70,,$AH721), 1 / ($BF$66:$BF$70*CS721 + (1-$BF$66:$BF$70)*CO721), N($AU$66:$AU$70&gt;$AM721)),
SUMPRODUCT(INDEX($AV$56:$AX$65,,$AI721), INDEX($AY$56:$BE$65,,$AH721), 1 / ($BG$56:$BG$65*CS721 + (1-$BG$56:$BG$65)*CO721), N($AU$56:$AU$65&gt;$AM721))
) / 1000</f>
        <v>0</v>
      </c>
      <c r="CU721" s="231">
        <f t="shared" si="783"/>
        <v>20</v>
      </c>
      <c r="CV721" s="229">
        <f t="shared" si="806"/>
        <v>33</v>
      </c>
      <c r="CW721" s="234">
        <f t="shared" si="807"/>
        <v>4.8487499999999999</v>
      </c>
      <c r="CX721" s="234" cm="1">
        <f t="array" ref="CX721">$BM721 * IF($AH721&lt;=2,
SUMPRODUCT(INDEX($AV$61:$AX$65,,$AI721), INDEX($AY$61:$BE$65,,$AH721), 1 / ($BF$61:$BF$65*CW721 + (1-$BF$61:$BF$65)*CS721), N($AU$61:$AU$65&gt;$AM721)),
SUMPRODUCT(INDEX($AV$46:$AX$55,,$AI721), INDEX($AY$46:$BE$55,,$AH721), 1 / ($BG$46:$BG$55*CW721 + (1-$BG$46:$BG$55)*CS721), N($AU$46:$AU$55&gt;$AM721))
) / 1000</f>
        <v>0</v>
      </c>
      <c r="CY721" s="234" cm="1">
        <f t="array" ref="CY721">$BM721 * IF($AH721&lt;=2,
SUMPRODUCT(INDEX($AV$22:$AX$60,,$AI721), INDEX($AY$22:$BE$60,,$AH721), 1 / ($BF$22:$BF$60*CW721), N($AU$22:$AU$60&gt;$AM721)),
SUMPRODUCT(INDEX($AV$22:$AX$45,,$AI721), INDEX($AY$22:$BE$45,,$AH721), 1 / ($BG$22:$BG$45*CW721), N($AU$22:$AU$45&gt;$AM721))
) / 1000</f>
        <v>0</v>
      </c>
      <c r="CZ721" s="229">
        <f t="shared" si="808"/>
        <v>0</v>
      </c>
      <c r="DA721" s="246"/>
    </row>
    <row r="722" spans="1:105" s="75" customFormat="1" ht="14.25" customHeight="1" x14ac:dyDescent="0.2">
      <c r="A722" s="230" t="b">
        <f t="shared" si="775"/>
        <v>0</v>
      </c>
      <c r="B722" s="253">
        <v>701</v>
      </c>
      <c r="C722" s="266"/>
      <c r="D722" s="266"/>
      <c r="E722" s="254"/>
      <c r="F722" s="255" t="str">
        <f>IF(ISBLANK(E722), "", VLOOKUP(E722, Z!$A$2:$C$4127, 3, FALSE))</f>
        <v/>
      </c>
      <c r="G722" s="256"/>
      <c r="H722" s="256"/>
      <c r="I722" s="256"/>
      <c r="J722" s="257"/>
      <c r="K722" s="258"/>
      <c r="L722" s="267"/>
      <c r="M722" s="268"/>
      <c r="N722" s="259" t="str" cm="1">
        <f t="array" ref="N722">IF($L722&gt;0, INDEX(Clean,1+AK722,$D$1), "")</f>
        <v/>
      </c>
      <c r="O722" s="260"/>
      <c r="P722" s="260"/>
      <c r="Q722" s="261"/>
      <c r="R722" s="264">
        <f t="shared" si="784"/>
        <v>0</v>
      </c>
      <c r="S722" s="259" t="str" cm="1">
        <f t="array" ref="S722">IF($L722&gt;0, INDEX(Clean,1+AL722,$D$1), "")</f>
        <v/>
      </c>
      <c r="T722" s="260"/>
      <c r="U722" s="260"/>
      <c r="V722" s="261"/>
      <c r="W722" s="267"/>
      <c r="X722" s="267"/>
      <c r="Y722" s="257"/>
      <c r="Z722" s="264">
        <f t="shared" si="785"/>
        <v>0</v>
      </c>
      <c r="AA722" s="269"/>
      <c r="AB722" s="266"/>
      <c r="AC722" s="254"/>
      <c r="AD722" s="255" t="str">
        <f>IF(ISBLANK(AC722), "", VLOOKUP(AC722, Z!$A$2:$C$4127, 3, FALSE))</f>
        <v/>
      </c>
      <c r="AE722" s="270"/>
      <c r="AF722" s="265">
        <f t="shared" si="786"/>
        <v>0</v>
      </c>
      <c r="AG722" s="246"/>
      <c r="AH722" s="228">
        <f t="shared" si="809"/>
        <v>1</v>
      </c>
      <c r="AI722" s="228">
        <f t="shared" si="810"/>
        <v>1</v>
      </c>
      <c r="AJ722" s="228">
        <f t="shared" si="811"/>
        <v>0</v>
      </c>
      <c r="AK722" s="228">
        <v>0</v>
      </c>
      <c r="AL722" s="228">
        <v>0</v>
      </c>
      <c r="AM722" s="228">
        <f t="shared" si="787"/>
        <v>-100</v>
      </c>
      <c r="AN722" s="228" cm="1">
        <f t="array" ref="AN722">IF(ISBLANK(G722), 1, IFERROR(MATCH(G722, INDEX(Kat,,1), 0), IFERROR(MATCH(Kat, INDEX(Use,,2), 0), MATCH(Kat, INDEX(Use,,3), 0))))</f>
        <v>1</v>
      </c>
      <c r="AO722" s="246"/>
      <c r="AP722" s="228" cm="1">
        <f t="array" ref="AP722">IF(W722&gt;0, INDEX(Kat, AN722,4), 0)</f>
        <v>0</v>
      </c>
      <c r="AQ722" s="228">
        <f t="shared" si="812"/>
        <v>0</v>
      </c>
      <c r="AR722" s="228" cm="1">
        <f t="array" ref="AR722">IF(X722&gt;0, INDEX(Kat, $AN722, 4+AQ722), 0)</f>
        <v>0</v>
      </c>
      <c r="AS722" s="228" cm="1">
        <f t="array" ref="AS722">IF(X722&gt;0, INDEX(Kat, $AN722, 9+AQ722), 0)</f>
        <v>0</v>
      </c>
      <c r="AT722" s="246"/>
      <c r="AU722" s="262"/>
      <c r="AV722" s="262"/>
      <c r="AW722" s="263"/>
      <c r="AX722" s="263"/>
      <c r="AY722" s="263"/>
      <c r="AZ722" s="263"/>
      <c r="BA722" s="263"/>
      <c r="BB722" s="263"/>
      <c r="BC722" s="263"/>
      <c r="BD722" s="263"/>
      <c r="BE722" s="263"/>
      <c r="BF722" s="263"/>
      <c r="BG722" s="263"/>
      <c r="BH722" s="246"/>
      <c r="BI722" s="228" cm="1">
        <f t="array" ref="BI722">INDEX(Use, $AH722, 4)</f>
        <v>7</v>
      </c>
      <c r="BJ722" s="228">
        <f t="shared" si="788"/>
        <v>32</v>
      </c>
      <c r="BK722" s="228">
        <f t="shared" si="776"/>
        <v>13</v>
      </c>
      <c r="BL722" s="228">
        <f t="shared" si="777"/>
        <v>0</v>
      </c>
      <c r="BM722" s="233" cm="1">
        <f t="array" ref="BM722">L722/IF($M722&gt;0, INDEX($AY$22:$BE$76, $M722+20, $AH722), 1)</f>
        <v>0</v>
      </c>
      <c r="BN722" s="229">
        <f t="shared" si="789"/>
        <v>0</v>
      </c>
      <c r="BO722" s="228">
        <v>35</v>
      </c>
      <c r="BP722" s="229">
        <f t="shared" si="790"/>
        <v>48</v>
      </c>
      <c r="BQ722" s="234">
        <f t="shared" si="791"/>
        <v>3.0748170731707316</v>
      </c>
      <c r="BR722" s="234" cm="1">
        <f t="array" ref="BR722">$BM722 * SUMPRODUCT(INDEX($AV$76:$AX$81,,$AI722),INDEX($AY$76:$BE$81,,$AH722), N($AU$76:$AU$81&gt;$AM722)) / BQ722 / 1000</f>
        <v>0</v>
      </c>
      <c r="BS722" s="231">
        <f t="shared" si="778"/>
        <v>30</v>
      </c>
      <c r="BT722" s="229">
        <f t="shared" si="792"/>
        <v>43</v>
      </c>
      <c r="BU722" s="234">
        <f t="shared" si="793"/>
        <v>3.5018750000000001</v>
      </c>
      <c r="BV722" s="234" cm="1">
        <f t="array" ref="BV722">$BM722 * IF($AH722&lt;=2,
SUMPRODUCT(INDEX($AV$71:$AX$75,,$AI722), INDEX($AY$71:$BE$75,,$AH722), 1 / ($BF$71:$BF$75*BU722 + (1-$BF$71:$BF$75)*BQ722), N($AU$71:$AU$75&gt;$AM722)),
SUMPRODUCT(INDEX($AV$66:$AX$75,,$AI722), INDEX($AY$66:$BE$75,,$AH722), 1 / ($BG$66:$BG$75*BU722 + (1-$BG$66:$BG$75)*BQ722), N($AU$66:$AU$75&gt;$AM722))
) / 1000</f>
        <v>0</v>
      </c>
      <c r="BW722" s="231">
        <f t="shared" si="779"/>
        <v>25</v>
      </c>
      <c r="BX722" s="229">
        <f t="shared" si="794"/>
        <v>38</v>
      </c>
      <c r="BY722" s="234">
        <f t="shared" si="795"/>
        <v>4.0666935483870965</v>
      </c>
      <c r="BZ722" s="234" cm="1">
        <f t="array" ref="BZ722">$BM722 * IF($AH722&lt;=2,
SUMPRODUCT(INDEX($AV$66:$AX$70,,$AI722), INDEX($AY$66:$BE$70,,$AH722), 1 / ($BF$66:$BF$70*BY722 + (1-$BF$66:$BF$70)*BU722), N($AU$66:$AU$70&gt;$AM722)),
SUMPRODUCT(INDEX($AV$56:$AX$65,,$AI722), INDEX($AY$56:$BE$65,,$AH722), 1 / ($BG$56:$BG$65*BY722 + (1-$BG$56:$BG$65)*BU722), N($AU$56:$AU$65&gt;$AM722))
) / 1000</f>
        <v>0</v>
      </c>
      <c r="CA722" s="231">
        <f t="shared" si="780"/>
        <v>20</v>
      </c>
      <c r="CB722" s="229">
        <f t="shared" si="796"/>
        <v>33</v>
      </c>
      <c r="CC722" s="234">
        <f t="shared" si="797"/>
        <v>4.8487499999999999</v>
      </c>
      <c r="CD722" s="234" cm="1">
        <f t="array" ref="CD722">$BM722 * IF($AH722&lt;=2,
SUMPRODUCT(INDEX($AV$61:$AX$65,,$AI722), INDEX($AY$61:$BE$65,,$AH722), 1 / ($BF$61:$BF$65*CC722 + (1-$BF$61:$BF$65)*BY722), N($AU$61:$AU$65&gt;$AM722)),
SUMPRODUCT(INDEX($AV$46:$AX$55,,$AI722), INDEX($AY$46:$BE$55,,$AH722), 1 / ($BG$46:$BG$55*CC722 + (1-$BG$46:$BG$55)*BY722), N($AU$46:$AU$55&gt;$AM722))
) / 1000</f>
        <v>0</v>
      </c>
      <c r="CE722" s="234" cm="1">
        <f t="array" ref="CE722">$BM722 * IF($AH722&lt;=2,
SUMPRODUCT(INDEX($AV$22:$AX$60,,$AI722), INDEX($AY$22:$BE$60,,$AH722), 1 / ($BF$22:$BF$60*CC722), N($AU$22:$AU$60&gt;$AM722)),
SUMPRODUCT(INDEX($AV$22:$AX$45,,$AI722), INDEX($AY$22:$BE$45,,$AH722), 1 / ($BG$22:$BG$45*CC722), N($AU$22:$AU$45&gt;$AM722))
) / 1000</f>
        <v>0</v>
      </c>
      <c r="CF722" s="229">
        <f t="shared" si="798"/>
        <v>0</v>
      </c>
      <c r="CG722" s="246"/>
      <c r="CH722" s="229">
        <f t="shared" si="799"/>
        <v>0</v>
      </c>
      <c r="CI722" s="228">
        <v>35</v>
      </c>
      <c r="CJ722" s="229">
        <f t="shared" si="800"/>
        <v>48</v>
      </c>
      <c r="CK722" s="234">
        <f t="shared" si="801"/>
        <v>3.0748170731707316</v>
      </c>
      <c r="CL722" s="234" cm="1">
        <f t="array" ref="CL722">$BM722 * SUMPRODUCT(INDEX($AV$76:$AX$81,,$AI722),INDEX($AY$76:$BE$81,,$AH722), N($AU$76:$AU$81&gt;$AM722)) / CK722 / 1000</f>
        <v>0</v>
      </c>
      <c r="CM722" s="231">
        <f t="shared" si="781"/>
        <v>30</v>
      </c>
      <c r="CN722" s="229">
        <f t="shared" si="802"/>
        <v>43</v>
      </c>
      <c r="CO722" s="234">
        <f t="shared" si="803"/>
        <v>3.5018750000000001</v>
      </c>
      <c r="CP722" s="234" cm="1">
        <f t="array" ref="CP722">$BM722 * IF($AH722&lt;=2,
SUMPRODUCT(INDEX($AV$71:$AX$75,,$AI722), INDEX($AY$71:$BE$75,,$AH722), 1 / ($BF$71:$BF$75*CO722 + (1-$BF$71:$BF$75)*CK722), N($AU$71:$AU$75&gt;$AM722)),
SUMPRODUCT(INDEX($AV$66:$AX$75,,$AI722), INDEX($AY$66:$BE$75,,$AH722), 1 / ($BG$66:$BG$75*CO722 + (1-$BG$66:$BG$75)*CK722), N($AU$66:$AU$75&gt;$AM722))
) / 1000</f>
        <v>0</v>
      </c>
      <c r="CQ722" s="231">
        <f t="shared" si="782"/>
        <v>25</v>
      </c>
      <c r="CR722" s="229">
        <f t="shared" si="804"/>
        <v>38</v>
      </c>
      <c r="CS722" s="234">
        <f t="shared" si="805"/>
        <v>4.0666935483870965</v>
      </c>
      <c r="CT722" s="234" cm="1">
        <f t="array" ref="CT722">$BM722 * IF($AH722&lt;=2,
SUMPRODUCT(INDEX($AV$66:$AX$70,,$AI722), INDEX($AY$66:$BE$70,,$AH722), 1 / ($BF$66:$BF$70*CS722 + (1-$BF$66:$BF$70)*CO722), N($AU$66:$AU$70&gt;$AM722)),
SUMPRODUCT(INDEX($AV$56:$AX$65,,$AI722), INDEX($AY$56:$BE$65,,$AH722), 1 / ($BG$56:$BG$65*CS722 + (1-$BG$56:$BG$65)*CO722), N($AU$56:$AU$65&gt;$AM722))
) / 1000</f>
        <v>0</v>
      </c>
      <c r="CU722" s="231">
        <f t="shared" si="783"/>
        <v>20</v>
      </c>
      <c r="CV722" s="229">
        <f t="shared" si="806"/>
        <v>33</v>
      </c>
      <c r="CW722" s="234">
        <f t="shared" si="807"/>
        <v>4.8487499999999999</v>
      </c>
      <c r="CX722" s="234" cm="1">
        <f t="array" ref="CX722">$BM722 * IF($AH722&lt;=2,
SUMPRODUCT(INDEX($AV$61:$AX$65,,$AI722), INDEX($AY$61:$BE$65,,$AH722), 1 / ($BF$61:$BF$65*CW722 + (1-$BF$61:$BF$65)*CS722), N($AU$61:$AU$65&gt;$AM722)),
SUMPRODUCT(INDEX($AV$46:$AX$55,,$AI722), INDEX($AY$46:$BE$55,,$AH722), 1 / ($BG$46:$BG$55*CW722 + (1-$BG$46:$BG$55)*CS722), N($AU$46:$AU$55&gt;$AM722))
) / 1000</f>
        <v>0</v>
      </c>
      <c r="CY722" s="234" cm="1">
        <f t="array" ref="CY722">$BM722 * IF($AH722&lt;=2,
SUMPRODUCT(INDEX($AV$22:$AX$60,,$AI722), INDEX($AY$22:$BE$60,,$AH722), 1 / ($BF$22:$BF$60*CW722), N($AU$22:$AU$60&gt;$AM722)),
SUMPRODUCT(INDEX($AV$22:$AX$45,,$AI722), INDEX($AY$22:$BE$45,,$AH722), 1 / ($BG$22:$BG$45*CW722), N($AU$22:$AU$45&gt;$AM722))
) / 1000</f>
        <v>0</v>
      </c>
      <c r="CZ722" s="229">
        <f t="shared" si="808"/>
        <v>0</v>
      </c>
      <c r="DA722" s="246"/>
    </row>
    <row r="723" spans="1:105" s="75" customFormat="1" ht="14.25" customHeight="1" x14ac:dyDescent="0.2">
      <c r="A723" s="230" t="b">
        <f t="shared" si="775"/>
        <v>0</v>
      </c>
      <c r="B723" s="253">
        <v>702</v>
      </c>
      <c r="C723" s="266"/>
      <c r="D723" s="266"/>
      <c r="E723" s="254"/>
      <c r="F723" s="255" t="str">
        <f>IF(ISBLANK(E723), "", VLOOKUP(E723, Z!$A$2:$C$4127, 3, FALSE))</f>
        <v/>
      </c>
      <c r="G723" s="256"/>
      <c r="H723" s="256"/>
      <c r="I723" s="256"/>
      <c r="J723" s="257"/>
      <c r="K723" s="258"/>
      <c r="L723" s="267"/>
      <c r="M723" s="268"/>
      <c r="N723" s="259" t="str" cm="1">
        <f t="array" ref="N723">IF($L723&gt;0, INDEX(Clean,1+AK723,$D$1), "")</f>
        <v/>
      </c>
      <c r="O723" s="260"/>
      <c r="P723" s="260"/>
      <c r="Q723" s="261"/>
      <c r="R723" s="264">
        <f t="shared" si="784"/>
        <v>0</v>
      </c>
      <c r="S723" s="259" t="str" cm="1">
        <f t="array" ref="S723">IF($L723&gt;0, INDEX(Clean,1+AL723,$D$1), "")</f>
        <v/>
      </c>
      <c r="T723" s="260"/>
      <c r="U723" s="260"/>
      <c r="V723" s="261"/>
      <c r="W723" s="267"/>
      <c r="X723" s="267"/>
      <c r="Y723" s="257"/>
      <c r="Z723" s="264">
        <f t="shared" si="785"/>
        <v>0</v>
      </c>
      <c r="AA723" s="269"/>
      <c r="AB723" s="266"/>
      <c r="AC723" s="254"/>
      <c r="AD723" s="255" t="str">
        <f>IF(ISBLANK(AC723), "", VLOOKUP(AC723, Z!$A$2:$C$4127, 3, FALSE))</f>
        <v/>
      </c>
      <c r="AE723" s="270"/>
      <c r="AF723" s="265">
        <f t="shared" si="786"/>
        <v>0</v>
      </c>
      <c r="AG723" s="246"/>
      <c r="AH723" s="228">
        <f t="shared" si="809"/>
        <v>1</v>
      </c>
      <c r="AI723" s="228">
        <f t="shared" si="810"/>
        <v>1</v>
      </c>
      <c r="AJ723" s="228">
        <f t="shared" si="811"/>
        <v>0</v>
      </c>
      <c r="AK723" s="228">
        <v>0</v>
      </c>
      <c r="AL723" s="228">
        <v>0</v>
      </c>
      <c r="AM723" s="228">
        <f t="shared" si="787"/>
        <v>-100</v>
      </c>
      <c r="AN723" s="228" cm="1">
        <f t="array" ref="AN723">IF(ISBLANK(G723), 1, IFERROR(MATCH(G723, INDEX(Kat,,1), 0), IFERROR(MATCH(Kat, INDEX(Use,,2), 0), MATCH(Kat, INDEX(Use,,3), 0))))</f>
        <v>1</v>
      </c>
      <c r="AO723" s="246"/>
      <c r="AP723" s="228" cm="1">
        <f t="array" ref="AP723">IF(W723&gt;0, INDEX(Kat, AN723,4), 0)</f>
        <v>0</v>
      </c>
      <c r="AQ723" s="228">
        <f t="shared" si="812"/>
        <v>0</v>
      </c>
      <c r="AR723" s="228" cm="1">
        <f t="array" ref="AR723">IF(X723&gt;0, INDEX(Kat, $AN723, 4+AQ723), 0)</f>
        <v>0</v>
      </c>
      <c r="AS723" s="228" cm="1">
        <f t="array" ref="AS723">IF(X723&gt;0, INDEX(Kat, $AN723, 9+AQ723), 0)</f>
        <v>0</v>
      </c>
      <c r="AT723" s="246"/>
      <c r="AU723" s="262"/>
      <c r="AV723" s="262"/>
      <c r="AW723" s="263"/>
      <c r="AX723" s="263"/>
      <c r="AY723" s="263"/>
      <c r="AZ723" s="263"/>
      <c r="BA723" s="263"/>
      <c r="BB723" s="263"/>
      <c r="BC723" s="263"/>
      <c r="BD723" s="263"/>
      <c r="BE723" s="263"/>
      <c r="BF723" s="263"/>
      <c r="BG723" s="263"/>
      <c r="BH723" s="246"/>
      <c r="BI723" s="228" cm="1">
        <f t="array" ref="BI723">INDEX(Use, $AH723, 4)</f>
        <v>7</v>
      </c>
      <c r="BJ723" s="228">
        <f t="shared" si="788"/>
        <v>32</v>
      </c>
      <c r="BK723" s="228">
        <f t="shared" si="776"/>
        <v>13</v>
      </c>
      <c r="BL723" s="228">
        <f t="shared" si="777"/>
        <v>0</v>
      </c>
      <c r="BM723" s="233" cm="1">
        <f t="array" ref="BM723">L723/IF($M723&gt;0, INDEX($AY$22:$BE$76, $M723+20, $AH723), 1)</f>
        <v>0</v>
      </c>
      <c r="BN723" s="229">
        <f t="shared" si="789"/>
        <v>0</v>
      </c>
      <c r="BO723" s="228">
        <v>35</v>
      </c>
      <c r="BP723" s="229">
        <f t="shared" si="790"/>
        <v>48</v>
      </c>
      <c r="BQ723" s="234">
        <f t="shared" si="791"/>
        <v>3.0748170731707316</v>
      </c>
      <c r="BR723" s="234" cm="1">
        <f t="array" ref="BR723">$BM723 * SUMPRODUCT(INDEX($AV$76:$AX$81,,$AI723),INDEX($AY$76:$BE$81,,$AH723), N($AU$76:$AU$81&gt;$AM723)) / BQ723 / 1000</f>
        <v>0</v>
      </c>
      <c r="BS723" s="231">
        <f t="shared" si="778"/>
        <v>30</v>
      </c>
      <c r="BT723" s="229">
        <f t="shared" si="792"/>
        <v>43</v>
      </c>
      <c r="BU723" s="234">
        <f t="shared" si="793"/>
        <v>3.5018750000000001</v>
      </c>
      <c r="BV723" s="234" cm="1">
        <f t="array" ref="BV723">$BM723 * IF($AH723&lt;=2,
SUMPRODUCT(INDEX($AV$71:$AX$75,,$AI723), INDEX($AY$71:$BE$75,,$AH723), 1 / ($BF$71:$BF$75*BU723 + (1-$BF$71:$BF$75)*BQ723), N($AU$71:$AU$75&gt;$AM723)),
SUMPRODUCT(INDEX($AV$66:$AX$75,,$AI723), INDEX($AY$66:$BE$75,,$AH723), 1 / ($BG$66:$BG$75*BU723 + (1-$BG$66:$BG$75)*BQ723), N($AU$66:$AU$75&gt;$AM723))
) / 1000</f>
        <v>0</v>
      </c>
      <c r="BW723" s="231">
        <f t="shared" si="779"/>
        <v>25</v>
      </c>
      <c r="BX723" s="229">
        <f t="shared" si="794"/>
        <v>38</v>
      </c>
      <c r="BY723" s="234">
        <f t="shared" si="795"/>
        <v>4.0666935483870965</v>
      </c>
      <c r="BZ723" s="234" cm="1">
        <f t="array" ref="BZ723">$BM723 * IF($AH723&lt;=2,
SUMPRODUCT(INDEX($AV$66:$AX$70,,$AI723), INDEX($AY$66:$BE$70,,$AH723), 1 / ($BF$66:$BF$70*BY723 + (1-$BF$66:$BF$70)*BU723), N($AU$66:$AU$70&gt;$AM723)),
SUMPRODUCT(INDEX($AV$56:$AX$65,,$AI723), INDEX($AY$56:$BE$65,,$AH723), 1 / ($BG$56:$BG$65*BY723 + (1-$BG$56:$BG$65)*BU723), N($AU$56:$AU$65&gt;$AM723))
) / 1000</f>
        <v>0</v>
      </c>
      <c r="CA723" s="231">
        <f t="shared" si="780"/>
        <v>20</v>
      </c>
      <c r="CB723" s="229">
        <f t="shared" si="796"/>
        <v>33</v>
      </c>
      <c r="CC723" s="234">
        <f t="shared" si="797"/>
        <v>4.8487499999999999</v>
      </c>
      <c r="CD723" s="234" cm="1">
        <f t="array" ref="CD723">$BM723 * IF($AH723&lt;=2,
SUMPRODUCT(INDEX($AV$61:$AX$65,,$AI723), INDEX($AY$61:$BE$65,,$AH723), 1 / ($BF$61:$BF$65*CC723 + (1-$BF$61:$BF$65)*BY723), N($AU$61:$AU$65&gt;$AM723)),
SUMPRODUCT(INDEX($AV$46:$AX$55,,$AI723), INDEX($AY$46:$BE$55,,$AH723), 1 / ($BG$46:$BG$55*CC723 + (1-$BG$46:$BG$55)*BY723), N($AU$46:$AU$55&gt;$AM723))
) / 1000</f>
        <v>0</v>
      </c>
      <c r="CE723" s="234" cm="1">
        <f t="array" ref="CE723">$BM723 * IF($AH723&lt;=2,
SUMPRODUCT(INDEX($AV$22:$AX$60,,$AI723), INDEX($AY$22:$BE$60,,$AH723), 1 / ($BF$22:$BF$60*CC723), N($AU$22:$AU$60&gt;$AM723)),
SUMPRODUCT(INDEX($AV$22:$AX$45,,$AI723), INDEX($AY$22:$BE$45,,$AH723), 1 / ($BG$22:$BG$45*CC723), N($AU$22:$AU$45&gt;$AM723))
) / 1000</f>
        <v>0</v>
      </c>
      <c r="CF723" s="229">
        <f t="shared" si="798"/>
        <v>0</v>
      </c>
      <c r="CG723" s="246"/>
      <c r="CH723" s="229">
        <f t="shared" si="799"/>
        <v>0</v>
      </c>
      <c r="CI723" s="228">
        <v>35</v>
      </c>
      <c r="CJ723" s="229">
        <f t="shared" si="800"/>
        <v>48</v>
      </c>
      <c r="CK723" s="234">
        <f t="shared" si="801"/>
        <v>3.0748170731707316</v>
      </c>
      <c r="CL723" s="234" cm="1">
        <f t="array" ref="CL723">$BM723 * SUMPRODUCT(INDEX($AV$76:$AX$81,,$AI723),INDEX($AY$76:$BE$81,,$AH723), N($AU$76:$AU$81&gt;$AM723)) / CK723 / 1000</f>
        <v>0</v>
      </c>
      <c r="CM723" s="231">
        <f t="shared" si="781"/>
        <v>30</v>
      </c>
      <c r="CN723" s="229">
        <f t="shared" si="802"/>
        <v>43</v>
      </c>
      <c r="CO723" s="234">
        <f t="shared" si="803"/>
        <v>3.5018750000000001</v>
      </c>
      <c r="CP723" s="234" cm="1">
        <f t="array" ref="CP723">$BM723 * IF($AH723&lt;=2,
SUMPRODUCT(INDEX($AV$71:$AX$75,,$AI723), INDEX($AY$71:$BE$75,,$AH723), 1 / ($BF$71:$BF$75*CO723 + (1-$BF$71:$BF$75)*CK723), N($AU$71:$AU$75&gt;$AM723)),
SUMPRODUCT(INDEX($AV$66:$AX$75,,$AI723), INDEX($AY$66:$BE$75,,$AH723), 1 / ($BG$66:$BG$75*CO723 + (1-$BG$66:$BG$75)*CK723), N($AU$66:$AU$75&gt;$AM723))
) / 1000</f>
        <v>0</v>
      </c>
      <c r="CQ723" s="231">
        <f t="shared" si="782"/>
        <v>25</v>
      </c>
      <c r="CR723" s="229">
        <f t="shared" si="804"/>
        <v>38</v>
      </c>
      <c r="CS723" s="234">
        <f t="shared" si="805"/>
        <v>4.0666935483870965</v>
      </c>
      <c r="CT723" s="234" cm="1">
        <f t="array" ref="CT723">$BM723 * IF($AH723&lt;=2,
SUMPRODUCT(INDEX($AV$66:$AX$70,,$AI723), INDEX($AY$66:$BE$70,,$AH723), 1 / ($BF$66:$BF$70*CS723 + (1-$BF$66:$BF$70)*CO723), N($AU$66:$AU$70&gt;$AM723)),
SUMPRODUCT(INDEX($AV$56:$AX$65,,$AI723), INDEX($AY$56:$BE$65,,$AH723), 1 / ($BG$56:$BG$65*CS723 + (1-$BG$56:$BG$65)*CO723), N($AU$56:$AU$65&gt;$AM723))
) / 1000</f>
        <v>0</v>
      </c>
      <c r="CU723" s="231">
        <f t="shared" si="783"/>
        <v>20</v>
      </c>
      <c r="CV723" s="229">
        <f t="shared" si="806"/>
        <v>33</v>
      </c>
      <c r="CW723" s="234">
        <f t="shared" si="807"/>
        <v>4.8487499999999999</v>
      </c>
      <c r="CX723" s="234" cm="1">
        <f t="array" ref="CX723">$BM723 * IF($AH723&lt;=2,
SUMPRODUCT(INDEX($AV$61:$AX$65,,$AI723), INDEX($AY$61:$BE$65,,$AH723), 1 / ($BF$61:$BF$65*CW723 + (1-$BF$61:$BF$65)*CS723), N($AU$61:$AU$65&gt;$AM723)),
SUMPRODUCT(INDEX($AV$46:$AX$55,,$AI723), INDEX($AY$46:$BE$55,,$AH723), 1 / ($BG$46:$BG$55*CW723 + (1-$BG$46:$BG$55)*CS723), N($AU$46:$AU$55&gt;$AM723))
) / 1000</f>
        <v>0</v>
      </c>
      <c r="CY723" s="234" cm="1">
        <f t="array" ref="CY723">$BM723 * IF($AH723&lt;=2,
SUMPRODUCT(INDEX($AV$22:$AX$60,,$AI723), INDEX($AY$22:$BE$60,,$AH723), 1 / ($BF$22:$BF$60*CW723), N($AU$22:$AU$60&gt;$AM723)),
SUMPRODUCT(INDEX($AV$22:$AX$45,,$AI723), INDEX($AY$22:$BE$45,,$AH723), 1 / ($BG$22:$BG$45*CW723), N($AU$22:$AU$45&gt;$AM723))
) / 1000</f>
        <v>0</v>
      </c>
      <c r="CZ723" s="229">
        <f t="shared" si="808"/>
        <v>0</v>
      </c>
      <c r="DA723" s="246"/>
    </row>
    <row r="724" spans="1:105" s="75" customFormat="1" ht="14.25" customHeight="1" x14ac:dyDescent="0.2">
      <c r="A724" s="230" t="b">
        <f t="shared" si="775"/>
        <v>0</v>
      </c>
      <c r="B724" s="253">
        <v>703</v>
      </c>
      <c r="C724" s="266"/>
      <c r="D724" s="266"/>
      <c r="E724" s="254"/>
      <c r="F724" s="255" t="str">
        <f>IF(ISBLANK(E724), "", VLOOKUP(E724, Z!$A$2:$C$4127, 3, FALSE))</f>
        <v/>
      </c>
      <c r="G724" s="256"/>
      <c r="H724" s="256"/>
      <c r="I724" s="256"/>
      <c r="J724" s="257"/>
      <c r="K724" s="258"/>
      <c r="L724" s="267"/>
      <c r="M724" s="268"/>
      <c r="N724" s="259" t="str" cm="1">
        <f t="array" ref="N724">IF($L724&gt;0, INDEX(Clean,1+AK724,$D$1), "")</f>
        <v/>
      </c>
      <c r="O724" s="260"/>
      <c r="P724" s="260"/>
      <c r="Q724" s="261"/>
      <c r="R724" s="264">
        <f t="shared" si="784"/>
        <v>0</v>
      </c>
      <c r="S724" s="259" t="str" cm="1">
        <f t="array" ref="S724">IF($L724&gt;0, INDEX(Clean,1+AL724,$D$1), "")</f>
        <v/>
      </c>
      <c r="T724" s="260"/>
      <c r="U724" s="260"/>
      <c r="V724" s="261"/>
      <c r="W724" s="267"/>
      <c r="X724" s="267"/>
      <c r="Y724" s="257"/>
      <c r="Z724" s="264">
        <f t="shared" si="785"/>
        <v>0</v>
      </c>
      <c r="AA724" s="269"/>
      <c r="AB724" s="266"/>
      <c r="AC724" s="254"/>
      <c r="AD724" s="255" t="str">
        <f>IF(ISBLANK(AC724), "", VLOOKUP(AC724, Z!$A$2:$C$4127, 3, FALSE))</f>
        <v/>
      </c>
      <c r="AE724" s="270"/>
      <c r="AF724" s="265">
        <f t="shared" si="786"/>
        <v>0</v>
      </c>
      <c r="AG724" s="246"/>
      <c r="AH724" s="228">
        <f t="shared" si="809"/>
        <v>1</v>
      </c>
      <c r="AI724" s="228">
        <f t="shared" si="810"/>
        <v>1</v>
      </c>
      <c r="AJ724" s="228">
        <f t="shared" si="811"/>
        <v>0</v>
      </c>
      <c r="AK724" s="228">
        <v>0</v>
      </c>
      <c r="AL724" s="228">
        <v>0</v>
      </c>
      <c r="AM724" s="228">
        <f t="shared" si="787"/>
        <v>-100</v>
      </c>
      <c r="AN724" s="228" cm="1">
        <f t="array" ref="AN724">IF(ISBLANK(G724), 1, IFERROR(MATCH(G724, INDEX(Kat,,1), 0), IFERROR(MATCH(Kat, INDEX(Use,,2), 0), MATCH(Kat, INDEX(Use,,3), 0))))</f>
        <v>1</v>
      </c>
      <c r="AO724" s="246"/>
      <c r="AP724" s="228" cm="1">
        <f t="array" ref="AP724">IF(W724&gt;0, INDEX(Kat, AN724,4), 0)</f>
        <v>0</v>
      </c>
      <c r="AQ724" s="228">
        <f t="shared" si="812"/>
        <v>0</v>
      </c>
      <c r="AR724" s="228" cm="1">
        <f t="array" ref="AR724">IF(X724&gt;0, INDEX(Kat, $AN724, 4+AQ724), 0)</f>
        <v>0</v>
      </c>
      <c r="AS724" s="228" cm="1">
        <f t="array" ref="AS724">IF(X724&gt;0, INDEX(Kat, $AN724, 9+AQ724), 0)</f>
        <v>0</v>
      </c>
      <c r="AT724" s="246"/>
      <c r="AU724" s="262"/>
      <c r="AV724" s="262"/>
      <c r="AW724" s="263"/>
      <c r="AX724" s="263"/>
      <c r="AY724" s="263"/>
      <c r="AZ724" s="263"/>
      <c r="BA724" s="263"/>
      <c r="BB724" s="263"/>
      <c r="BC724" s="263"/>
      <c r="BD724" s="263"/>
      <c r="BE724" s="263"/>
      <c r="BF724" s="263"/>
      <c r="BG724" s="263"/>
      <c r="BH724" s="246"/>
      <c r="BI724" s="228" cm="1">
        <f t="array" ref="BI724">INDEX(Use, $AH724, 4)</f>
        <v>7</v>
      </c>
      <c r="BJ724" s="228">
        <f t="shared" si="788"/>
        <v>32</v>
      </c>
      <c r="BK724" s="228">
        <f t="shared" si="776"/>
        <v>13</v>
      </c>
      <c r="BL724" s="228">
        <f t="shared" si="777"/>
        <v>0</v>
      </c>
      <c r="BM724" s="233" cm="1">
        <f t="array" ref="BM724">L724/IF($M724&gt;0, INDEX($AY$22:$BE$76, $M724+20, $AH724), 1)</f>
        <v>0</v>
      </c>
      <c r="BN724" s="229">
        <f t="shared" si="789"/>
        <v>0</v>
      </c>
      <c r="BO724" s="228">
        <v>35</v>
      </c>
      <c r="BP724" s="229">
        <f t="shared" si="790"/>
        <v>48</v>
      </c>
      <c r="BQ724" s="234">
        <f t="shared" si="791"/>
        <v>3.0748170731707316</v>
      </c>
      <c r="BR724" s="234" cm="1">
        <f t="array" ref="BR724">$BM724 * SUMPRODUCT(INDEX($AV$76:$AX$81,,$AI724),INDEX($AY$76:$BE$81,,$AH724), N($AU$76:$AU$81&gt;$AM724)) / BQ724 / 1000</f>
        <v>0</v>
      </c>
      <c r="BS724" s="231">
        <f t="shared" si="778"/>
        <v>30</v>
      </c>
      <c r="BT724" s="229">
        <f t="shared" si="792"/>
        <v>43</v>
      </c>
      <c r="BU724" s="234">
        <f t="shared" si="793"/>
        <v>3.5018750000000001</v>
      </c>
      <c r="BV724" s="234" cm="1">
        <f t="array" ref="BV724">$BM724 * IF($AH724&lt;=2,
SUMPRODUCT(INDEX($AV$71:$AX$75,,$AI724), INDEX($AY$71:$BE$75,,$AH724), 1 / ($BF$71:$BF$75*BU724 + (1-$BF$71:$BF$75)*BQ724), N($AU$71:$AU$75&gt;$AM724)),
SUMPRODUCT(INDEX($AV$66:$AX$75,,$AI724), INDEX($AY$66:$BE$75,,$AH724), 1 / ($BG$66:$BG$75*BU724 + (1-$BG$66:$BG$75)*BQ724), N($AU$66:$AU$75&gt;$AM724))
) / 1000</f>
        <v>0</v>
      </c>
      <c r="BW724" s="231">
        <f t="shared" si="779"/>
        <v>25</v>
      </c>
      <c r="BX724" s="229">
        <f t="shared" si="794"/>
        <v>38</v>
      </c>
      <c r="BY724" s="234">
        <f t="shared" si="795"/>
        <v>4.0666935483870965</v>
      </c>
      <c r="BZ724" s="234" cm="1">
        <f t="array" ref="BZ724">$BM724 * IF($AH724&lt;=2,
SUMPRODUCT(INDEX($AV$66:$AX$70,,$AI724), INDEX($AY$66:$BE$70,,$AH724), 1 / ($BF$66:$BF$70*BY724 + (1-$BF$66:$BF$70)*BU724), N($AU$66:$AU$70&gt;$AM724)),
SUMPRODUCT(INDEX($AV$56:$AX$65,,$AI724), INDEX($AY$56:$BE$65,,$AH724), 1 / ($BG$56:$BG$65*BY724 + (1-$BG$56:$BG$65)*BU724), N($AU$56:$AU$65&gt;$AM724))
) / 1000</f>
        <v>0</v>
      </c>
      <c r="CA724" s="231">
        <f t="shared" si="780"/>
        <v>20</v>
      </c>
      <c r="CB724" s="229">
        <f t="shared" si="796"/>
        <v>33</v>
      </c>
      <c r="CC724" s="234">
        <f t="shared" si="797"/>
        <v>4.8487499999999999</v>
      </c>
      <c r="CD724" s="234" cm="1">
        <f t="array" ref="CD724">$BM724 * IF($AH724&lt;=2,
SUMPRODUCT(INDEX($AV$61:$AX$65,,$AI724), INDEX($AY$61:$BE$65,,$AH724), 1 / ($BF$61:$BF$65*CC724 + (1-$BF$61:$BF$65)*BY724), N($AU$61:$AU$65&gt;$AM724)),
SUMPRODUCT(INDEX($AV$46:$AX$55,,$AI724), INDEX($AY$46:$BE$55,,$AH724), 1 / ($BG$46:$BG$55*CC724 + (1-$BG$46:$BG$55)*BY724), N($AU$46:$AU$55&gt;$AM724))
) / 1000</f>
        <v>0</v>
      </c>
      <c r="CE724" s="234" cm="1">
        <f t="array" ref="CE724">$BM724 * IF($AH724&lt;=2,
SUMPRODUCT(INDEX($AV$22:$AX$60,,$AI724), INDEX($AY$22:$BE$60,,$AH724), 1 / ($BF$22:$BF$60*CC724), N($AU$22:$AU$60&gt;$AM724)),
SUMPRODUCT(INDEX($AV$22:$AX$45,,$AI724), INDEX($AY$22:$BE$45,,$AH724), 1 / ($BG$22:$BG$45*CC724), N($AU$22:$AU$45&gt;$AM724))
) / 1000</f>
        <v>0</v>
      </c>
      <c r="CF724" s="229">
        <f t="shared" si="798"/>
        <v>0</v>
      </c>
      <c r="CG724" s="246"/>
      <c r="CH724" s="229">
        <f t="shared" si="799"/>
        <v>0</v>
      </c>
      <c r="CI724" s="228">
        <v>35</v>
      </c>
      <c r="CJ724" s="229">
        <f t="shared" si="800"/>
        <v>48</v>
      </c>
      <c r="CK724" s="234">
        <f t="shared" si="801"/>
        <v>3.0748170731707316</v>
      </c>
      <c r="CL724" s="234" cm="1">
        <f t="array" ref="CL724">$BM724 * SUMPRODUCT(INDEX($AV$76:$AX$81,,$AI724),INDEX($AY$76:$BE$81,,$AH724), N($AU$76:$AU$81&gt;$AM724)) / CK724 / 1000</f>
        <v>0</v>
      </c>
      <c r="CM724" s="231">
        <f t="shared" si="781"/>
        <v>30</v>
      </c>
      <c r="CN724" s="229">
        <f t="shared" si="802"/>
        <v>43</v>
      </c>
      <c r="CO724" s="234">
        <f t="shared" si="803"/>
        <v>3.5018750000000001</v>
      </c>
      <c r="CP724" s="234" cm="1">
        <f t="array" ref="CP724">$BM724 * IF($AH724&lt;=2,
SUMPRODUCT(INDEX($AV$71:$AX$75,,$AI724), INDEX($AY$71:$BE$75,,$AH724), 1 / ($BF$71:$BF$75*CO724 + (1-$BF$71:$BF$75)*CK724), N($AU$71:$AU$75&gt;$AM724)),
SUMPRODUCT(INDEX($AV$66:$AX$75,,$AI724), INDEX($AY$66:$BE$75,,$AH724), 1 / ($BG$66:$BG$75*CO724 + (1-$BG$66:$BG$75)*CK724), N($AU$66:$AU$75&gt;$AM724))
) / 1000</f>
        <v>0</v>
      </c>
      <c r="CQ724" s="231">
        <f t="shared" si="782"/>
        <v>25</v>
      </c>
      <c r="CR724" s="229">
        <f t="shared" si="804"/>
        <v>38</v>
      </c>
      <c r="CS724" s="234">
        <f t="shared" si="805"/>
        <v>4.0666935483870965</v>
      </c>
      <c r="CT724" s="234" cm="1">
        <f t="array" ref="CT724">$BM724 * IF($AH724&lt;=2,
SUMPRODUCT(INDEX($AV$66:$AX$70,,$AI724), INDEX($AY$66:$BE$70,,$AH724), 1 / ($BF$66:$BF$70*CS724 + (1-$BF$66:$BF$70)*CO724), N($AU$66:$AU$70&gt;$AM724)),
SUMPRODUCT(INDEX($AV$56:$AX$65,,$AI724), INDEX($AY$56:$BE$65,,$AH724), 1 / ($BG$56:$BG$65*CS724 + (1-$BG$56:$BG$65)*CO724), N($AU$56:$AU$65&gt;$AM724))
) / 1000</f>
        <v>0</v>
      </c>
      <c r="CU724" s="231">
        <f t="shared" si="783"/>
        <v>20</v>
      </c>
      <c r="CV724" s="229">
        <f t="shared" si="806"/>
        <v>33</v>
      </c>
      <c r="CW724" s="234">
        <f t="shared" si="807"/>
        <v>4.8487499999999999</v>
      </c>
      <c r="CX724" s="234" cm="1">
        <f t="array" ref="CX724">$BM724 * IF($AH724&lt;=2,
SUMPRODUCT(INDEX($AV$61:$AX$65,,$AI724), INDEX($AY$61:$BE$65,,$AH724), 1 / ($BF$61:$BF$65*CW724 + (1-$BF$61:$BF$65)*CS724), N($AU$61:$AU$65&gt;$AM724)),
SUMPRODUCT(INDEX($AV$46:$AX$55,,$AI724), INDEX($AY$46:$BE$55,,$AH724), 1 / ($BG$46:$BG$55*CW724 + (1-$BG$46:$BG$55)*CS724), N($AU$46:$AU$55&gt;$AM724))
) / 1000</f>
        <v>0</v>
      </c>
      <c r="CY724" s="234" cm="1">
        <f t="array" ref="CY724">$BM724 * IF($AH724&lt;=2,
SUMPRODUCT(INDEX($AV$22:$AX$60,,$AI724), INDEX($AY$22:$BE$60,,$AH724), 1 / ($BF$22:$BF$60*CW724), N($AU$22:$AU$60&gt;$AM724)),
SUMPRODUCT(INDEX($AV$22:$AX$45,,$AI724), INDEX($AY$22:$BE$45,,$AH724), 1 / ($BG$22:$BG$45*CW724), N($AU$22:$AU$45&gt;$AM724))
) / 1000</f>
        <v>0</v>
      </c>
      <c r="CZ724" s="229">
        <f t="shared" si="808"/>
        <v>0</v>
      </c>
      <c r="DA724" s="246"/>
    </row>
    <row r="725" spans="1:105" s="75" customFormat="1" ht="14.25" customHeight="1" x14ac:dyDescent="0.2">
      <c r="A725" s="230" t="b">
        <f t="shared" ref="A725:A788" si="813">IF(OR(AND($L725&gt;80, $AH725=1), AND($L725&gt;40, $AH725=3), AND($L725&gt;30, $AH725=4),), TRUE, FALSE)</f>
        <v>0</v>
      </c>
      <c r="B725" s="253">
        <v>704</v>
      </c>
      <c r="C725" s="266"/>
      <c r="D725" s="266"/>
      <c r="E725" s="254"/>
      <c r="F725" s="255" t="str">
        <f>IF(ISBLANK(E725), "", VLOOKUP(E725, Z!$A$2:$C$4127, 3, FALSE))</f>
        <v/>
      </c>
      <c r="G725" s="256"/>
      <c r="H725" s="256"/>
      <c r="I725" s="256"/>
      <c r="J725" s="257"/>
      <c r="K725" s="258"/>
      <c r="L725" s="267"/>
      <c r="M725" s="268"/>
      <c r="N725" s="259" t="str" cm="1">
        <f t="array" ref="N725">IF($L725&gt;0, INDEX(Clean,1+AK725,$D$1), "")</f>
        <v/>
      </c>
      <c r="O725" s="260"/>
      <c r="P725" s="260"/>
      <c r="Q725" s="261"/>
      <c r="R725" s="264">
        <f t="shared" si="784"/>
        <v>0</v>
      </c>
      <c r="S725" s="259" t="str" cm="1">
        <f t="array" ref="S725">IF($L725&gt;0, INDEX(Clean,1+AL725,$D$1), "")</f>
        <v/>
      </c>
      <c r="T725" s="260"/>
      <c r="U725" s="260"/>
      <c r="V725" s="261"/>
      <c r="W725" s="267"/>
      <c r="X725" s="267"/>
      <c r="Y725" s="257"/>
      <c r="Z725" s="264">
        <f t="shared" si="785"/>
        <v>0</v>
      </c>
      <c r="AA725" s="269"/>
      <c r="AB725" s="266"/>
      <c r="AC725" s="254"/>
      <c r="AD725" s="255" t="str">
        <f>IF(ISBLANK(AC725), "", VLOOKUP(AC725, Z!$A$2:$C$4127, 3, FALSE))</f>
        <v/>
      </c>
      <c r="AE725" s="270"/>
      <c r="AF725" s="265">
        <f t="shared" si="786"/>
        <v>0</v>
      </c>
      <c r="AG725" s="246"/>
      <c r="AH725" s="228">
        <f t="shared" si="809"/>
        <v>1</v>
      </c>
      <c r="AI725" s="228">
        <f t="shared" si="810"/>
        <v>1</v>
      </c>
      <c r="AJ725" s="228">
        <f t="shared" si="811"/>
        <v>0</v>
      </c>
      <c r="AK725" s="228">
        <v>0</v>
      </c>
      <c r="AL725" s="228">
        <v>0</v>
      </c>
      <c r="AM725" s="228">
        <f t="shared" si="787"/>
        <v>-100</v>
      </c>
      <c r="AN725" s="228" cm="1">
        <f t="array" ref="AN725">IF(ISBLANK(G725), 1, IFERROR(MATCH(G725, INDEX(Kat,,1), 0), IFERROR(MATCH(Kat, INDEX(Use,,2), 0), MATCH(Kat, INDEX(Use,,3), 0))))</f>
        <v>1</v>
      </c>
      <c r="AO725" s="246"/>
      <c r="AP725" s="228" cm="1">
        <f t="array" ref="AP725">IF(W725&gt;0, INDEX(Kat, AN725,4), 0)</f>
        <v>0</v>
      </c>
      <c r="AQ725" s="228">
        <f t="shared" si="812"/>
        <v>0</v>
      </c>
      <c r="AR725" s="228" cm="1">
        <f t="array" ref="AR725">IF(X725&gt;0, INDEX(Kat, $AN725, 4+AQ725), 0)</f>
        <v>0</v>
      </c>
      <c r="AS725" s="228" cm="1">
        <f t="array" ref="AS725">IF(X725&gt;0, INDEX(Kat, $AN725, 9+AQ725), 0)</f>
        <v>0</v>
      </c>
      <c r="AT725" s="246"/>
      <c r="AU725" s="262"/>
      <c r="AV725" s="262"/>
      <c r="AW725" s="263"/>
      <c r="AX725" s="263"/>
      <c r="AY725" s="263"/>
      <c r="AZ725" s="263"/>
      <c r="BA725" s="263"/>
      <c r="BB725" s="263"/>
      <c r="BC725" s="263"/>
      <c r="BD725" s="263"/>
      <c r="BE725" s="263"/>
      <c r="BF725" s="263"/>
      <c r="BG725" s="263"/>
      <c r="BH725" s="246"/>
      <c r="BI725" s="228" cm="1">
        <f t="array" ref="BI725">INDEX(Use, $AH725, 4)</f>
        <v>7</v>
      </c>
      <c r="BJ725" s="228">
        <f t="shared" si="788"/>
        <v>32</v>
      </c>
      <c r="BK725" s="228">
        <f t="shared" si="776"/>
        <v>13</v>
      </c>
      <c r="BL725" s="228">
        <f t="shared" si="777"/>
        <v>0</v>
      </c>
      <c r="BM725" s="233" cm="1">
        <f t="array" ref="BM725">L725/IF($M725&gt;0, INDEX($AY$22:$BE$76, $M725+20, $AH725), 1)</f>
        <v>0</v>
      </c>
      <c r="BN725" s="229">
        <f t="shared" si="789"/>
        <v>0</v>
      </c>
      <c r="BO725" s="228">
        <v>35</v>
      </c>
      <c r="BP725" s="229">
        <f t="shared" si="790"/>
        <v>48</v>
      </c>
      <c r="BQ725" s="234">
        <f t="shared" si="791"/>
        <v>3.0748170731707316</v>
      </c>
      <c r="BR725" s="234" cm="1">
        <f t="array" ref="BR725">$BM725 * SUMPRODUCT(INDEX($AV$76:$AX$81,,$AI725),INDEX($AY$76:$BE$81,,$AH725), N($AU$76:$AU$81&gt;$AM725)) / BQ725 / 1000</f>
        <v>0</v>
      </c>
      <c r="BS725" s="231">
        <f t="shared" si="778"/>
        <v>30</v>
      </c>
      <c r="BT725" s="229">
        <f t="shared" si="792"/>
        <v>43</v>
      </c>
      <c r="BU725" s="234">
        <f t="shared" si="793"/>
        <v>3.5018750000000001</v>
      </c>
      <c r="BV725" s="234" cm="1">
        <f t="array" ref="BV725">$BM725 * IF($AH725&lt;=2,
SUMPRODUCT(INDEX($AV$71:$AX$75,,$AI725), INDEX($AY$71:$BE$75,,$AH725), 1 / ($BF$71:$BF$75*BU725 + (1-$BF$71:$BF$75)*BQ725), N($AU$71:$AU$75&gt;$AM725)),
SUMPRODUCT(INDEX($AV$66:$AX$75,,$AI725), INDEX($AY$66:$BE$75,,$AH725), 1 / ($BG$66:$BG$75*BU725 + (1-$BG$66:$BG$75)*BQ725), N($AU$66:$AU$75&gt;$AM725))
) / 1000</f>
        <v>0</v>
      </c>
      <c r="BW725" s="231">
        <f t="shared" si="779"/>
        <v>25</v>
      </c>
      <c r="BX725" s="229">
        <f t="shared" si="794"/>
        <v>38</v>
      </c>
      <c r="BY725" s="234">
        <f t="shared" si="795"/>
        <v>4.0666935483870965</v>
      </c>
      <c r="BZ725" s="234" cm="1">
        <f t="array" ref="BZ725">$BM725 * IF($AH725&lt;=2,
SUMPRODUCT(INDEX($AV$66:$AX$70,,$AI725), INDEX($AY$66:$BE$70,,$AH725), 1 / ($BF$66:$BF$70*BY725 + (1-$BF$66:$BF$70)*BU725), N($AU$66:$AU$70&gt;$AM725)),
SUMPRODUCT(INDEX($AV$56:$AX$65,,$AI725), INDEX($AY$56:$BE$65,,$AH725), 1 / ($BG$56:$BG$65*BY725 + (1-$BG$56:$BG$65)*BU725), N($AU$56:$AU$65&gt;$AM725))
) / 1000</f>
        <v>0</v>
      </c>
      <c r="CA725" s="231">
        <f t="shared" si="780"/>
        <v>20</v>
      </c>
      <c r="CB725" s="229">
        <f t="shared" si="796"/>
        <v>33</v>
      </c>
      <c r="CC725" s="234">
        <f t="shared" si="797"/>
        <v>4.8487499999999999</v>
      </c>
      <c r="CD725" s="234" cm="1">
        <f t="array" ref="CD725">$BM725 * IF($AH725&lt;=2,
SUMPRODUCT(INDEX($AV$61:$AX$65,,$AI725), INDEX($AY$61:$BE$65,,$AH725), 1 / ($BF$61:$BF$65*CC725 + (1-$BF$61:$BF$65)*BY725), N($AU$61:$AU$65&gt;$AM725)),
SUMPRODUCT(INDEX($AV$46:$AX$55,,$AI725), INDEX($AY$46:$BE$55,,$AH725), 1 / ($BG$46:$BG$55*CC725 + (1-$BG$46:$BG$55)*BY725), N($AU$46:$AU$55&gt;$AM725))
) / 1000</f>
        <v>0</v>
      </c>
      <c r="CE725" s="234" cm="1">
        <f t="array" ref="CE725">$BM725 * IF($AH725&lt;=2,
SUMPRODUCT(INDEX($AV$22:$AX$60,,$AI725), INDEX($AY$22:$BE$60,,$AH725), 1 / ($BF$22:$BF$60*CC725), N($AU$22:$AU$60&gt;$AM725)),
SUMPRODUCT(INDEX($AV$22:$AX$45,,$AI725), INDEX($AY$22:$BE$45,,$AH725), 1 / ($BG$22:$BG$45*CC725), N($AU$22:$AU$45&gt;$AM725))
) / 1000</f>
        <v>0</v>
      </c>
      <c r="CF725" s="229">
        <f t="shared" si="798"/>
        <v>0</v>
      </c>
      <c r="CG725" s="246"/>
      <c r="CH725" s="229">
        <f t="shared" si="799"/>
        <v>0</v>
      </c>
      <c r="CI725" s="228">
        <v>35</v>
      </c>
      <c r="CJ725" s="229">
        <f t="shared" si="800"/>
        <v>48</v>
      </c>
      <c r="CK725" s="234">
        <f t="shared" si="801"/>
        <v>3.0748170731707316</v>
      </c>
      <c r="CL725" s="234" cm="1">
        <f t="array" ref="CL725">$BM725 * SUMPRODUCT(INDEX($AV$76:$AX$81,,$AI725),INDEX($AY$76:$BE$81,,$AH725), N($AU$76:$AU$81&gt;$AM725)) / CK725 / 1000</f>
        <v>0</v>
      </c>
      <c r="CM725" s="231">
        <f t="shared" si="781"/>
        <v>30</v>
      </c>
      <c r="CN725" s="229">
        <f t="shared" si="802"/>
        <v>43</v>
      </c>
      <c r="CO725" s="234">
        <f t="shared" si="803"/>
        <v>3.5018750000000001</v>
      </c>
      <c r="CP725" s="234" cm="1">
        <f t="array" ref="CP725">$BM725 * IF($AH725&lt;=2,
SUMPRODUCT(INDEX($AV$71:$AX$75,,$AI725), INDEX($AY$71:$BE$75,,$AH725), 1 / ($BF$71:$BF$75*CO725 + (1-$BF$71:$BF$75)*CK725), N($AU$71:$AU$75&gt;$AM725)),
SUMPRODUCT(INDEX($AV$66:$AX$75,,$AI725), INDEX($AY$66:$BE$75,,$AH725), 1 / ($BG$66:$BG$75*CO725 + (1-$BG$66:$BG$75)*CK725), N($AU$66:$AU$75&gt;$AM725))
) / 1000</f>
        <v>0</v>
      </c>
      <c r="CQ725" s="231">
        <f t="shared" si="782"/>
        <v>25</v>
      </c>
      <c r="CR725" s="229">
        <f t="shared" si="804"/>
        <v>38</v>
      </c>
      <c r="CS725" s="234">
        <f t="shared" si="805"/>
        <v>4.0666935483870965</v>
      </c>
      <c r="CT725" s="234" cm="1">
        <f t="array" ref="CT725">$BM725 * IF($AH725&lt;=2,
SUMPRODUCT(INDEX($AV$66:$AX$70,,$AI725), INDEX($AY$66:$BE$70,,$AH725), 1 / ($BF$66:$BF$70*CS725 + (1-$BF$66:$BF$70)*CO725), N($AU$66:$AU$70&gt;$AM725)),
SUMPRODUCT(INDEX($AV$56:$AX$65,,$AI725), INDEX($AY$56:$BE$65,,$AH725), 1 / ($BG$56:$BG$65*CS725 + (1-$BG$56:$BG$65)*CO725), N($AU$56:$AU$65&gt;$AM725))
) / 1000</f>
        <v>0</v>
      </c>
      <c r="CU725" s="231">
        <f t="shared" si="783"/>
        <v>20</v>
      </c>
      <c r="CV725" s="229">
        <f t="shared" si="806"/>
        <v>33</v>
      </c>
      <c r="CW725" s="234">
        <f t="shared" si="807"/>
        <v>4.8487499999999999</v>
      </c>
      <c r="CX725" s="234" cm="1">
        <f t="array" ref="CX725">$BM725 * IF($AH725&lt;=2,
SUMPRODUCT(INDEX($AV$61:$AX$65,,$AI725), INDEX($AY$61:$BE$65,,$AH725), 1 / ($BF$61:$BF$65*CW725 + (1-$BF$61:$BF$65)*CS725), N($AU$61:$AU$65&gt;$AM725)),
SUMPRODUCT(INDEX($AV$46:$AX$55,,$AI725), INDEX($AY$46:$BE$55,,$AH725), 1 / ($BG$46:$BG$55*CW725 + (1-$BG$46:$BG$55)*CS725), N($AU$46:$AU$55&gt;$AM725))
) / 1000</f>
        <v>0</v>
      </c>
      <c r="CY725" s="234" cm="1">
        <f t="array" ref="CY725">$BM725 * IF($AH725&lt;=2,
SUMPRODUCT(INDEX($AV$22:$AX$60,,$AI725), INDEX($AY$22:$BE$60,,$AH725), 1 / ($BF$22:$BF$60*CW725), N($AU$22:$AU$60&gt;$AM725)),
SUMPRODUCT(INDEX($AV$22:$AX$45,,$AI725), INDEX($AY$22:$BE$45,,$AH725), 1 / ($BG$22:$BG$45*CW725), N($AU$22:$AU$45&gt;$AM725))
) / 1000</f>
        <v>0</v>
      </c>
      <c r="CZ725" s="229">
        <f t="shared" si="808"/>
        <v>0</v>
      </c>
      <c r="DA725" s="246"/>
    </row>
    <row r="726" spans="1:105" s="75" customFormat="1" ht="14.25" customHeight="1" x14ac:dyDescent="0.2">
      <c r="A726" s="230" t="b">
        <f t="shared" si="813"/>
        <v>0</v>
      </c>
      <c r="B726" s="253">
        <v>705</v>
      </c>
      <c r="C726" s="266"/>
      <c r="D726" s="266"/>
      <c r="E726" s="254"/>
      <c r="F726" s="255" t="str">
        <f>IF(ISBLANK(E726), "", VLOOKUP(E726, Z!$A$2:$C$4127, 3, FALSE))</f>
        <v/>
      </c>
      <c r="G726" s="256"/>
      <c r="H726" s="256"/>
      <c r="I726" s="256"/>
      <c r="J726" s="257"/>
      <c r="K726" s="258"/>
      <c r="L726" s="267"/>
      <c r="M726" s="268"/>
      <c r="N726" s="259" t="str" cm="1">
        <f t="array" ref="N726">IF($L726&gt;0, INDEX(Clean,1+AK726,$D$1), "")</f>
        <v/>
      </c>
      <c r="O726" s="260"/>
      <c r="P726" s="260"/>
      <c r="Q726" s="261"/>
      <c r="R726" s="264">
        <f t="shared" si="784"/>
        <v>0</v>
      </c>
      <c r="S726" s="259" t="str" cm="1">
        <f t="array" ref="S726">IF($L726&gt;0, INDEX(Clean,1+AL726,$D$1), "")</f>
        <v/>
      </c>
      <c r="T726" s="260"/>
      <c r="U726" s="260"/>
      <c r="V726" s="261"/>
      <c r="W726" s="267"/>
      <c r="X726" s="267"/>
      <c r="Y726" s="257"/>
      <c r="Z726" s="264">
        <f t="shared" si="785"/>
        <v>0</v>
      </c>
      <c r="AA726" s="269"/>
      <c r="AB726" s="266"/>
      <c r="AC726" s="254"/>
      <c r="AD726" s="255" t="str">
        <f>IF(ISBLANK(AC726), "", VLOOKUP(AC726, Z!$A$2:$C$4127, 3, FALSE))</f>
        <v/>
      </c>
      <c r="AE726" s="270"/>
      <c r="AF726" s="265">
        <f t="shared" si="786"/>
        <v>0</v>
      </c>
      <c r="AG726" s="246"/>
      <c r="AH726" s="228">
        <f t="shared" si="809"/>
        <v>1</v>
      </c>
      <c r="AI726" s="228">
        <f t="shared" si="810"/>
        <v>1</v>
      </c>
      <c r="AJ726" s="228">
        <f t="shared" si="811"/>
        <v>0</v>
      </c>
      <c r="AK726" s="228">
        <v>0</v>
      </c>
      <c r="AL726" s="228">
        <v>0</v>
      </c>
      <c r="AM726" s="228">
        <f t="shared" si="787"/>
        <v>-100</v>
      </c>
      <c r="AN726" s="228" cm="1">
        <f t="array" ref="AN726">IF(ISBLANK(G726), 1, IFERROR(MATCH(G726, INDEX(Kat,,1), 0), IFERROR(MATCH(Kat, INDEX(Use,,2), 0), MATCH(Kat, INDEX(Use,,3), 0))))</f>
        <v>1</v>
      </c>
      <c r="AO726" s="246"/>
      <c r="AP726" s="228" cm="1">
        <f t="array" ref="AP726">IF(W726&gt;0, INDEX(Kat, AN726,4), 0)</f>
        <v>0</v>
      </c>
      <c r="AQ726" s="228">
        <f t="shared" si="812"/>
        <v>0</v>
      </c>
      <c r="AR726" s="228" cm="1">
        <f t="array" ref="AR726">IF(X726&gt;0, INDEX(Kat, $AN726, 4+AQ726), 0)</f>
        <v>0</v>
      </c>
      <c r="AS726" s="228" cm="1">
        <f t="array" ref="AS726">IF(X726&gt;0, INDEX(Kat, $AN726, 9+AQ726), 0)</f>
        <v>0</v>
      </c>
      <c r="AT726" s="246"/>
      <c r="AU726" s="262"/>
      <c r="AV726" s="262"/>
      <c r="AW726" s="263"/>
      <c r="AX726" s="263"/>
      <c r="AY726" s="263"/>
      <c r="AZ726" s="263"/>
      <c r="BA726" s="263"/>
      <c r="BB726" s="263"/>
      <c r="BC726" s="263"/>
      <c r="BD726" s="263"/>
      <c r="BE726" s="263"/>
      <c r="BF726" s="263"/>
      <c r="BG726" s="263"/>
      <c r="BH726" s="246"/>
      <c r="BI726" s="228" cm="1">
        <f t="array" ref="BI726">INDEX(Use, $AH726, 4)</f>
        <v>7</v>
      </c>
      <c r="BJ726" s="228">
        <f t="shared" si="788"/>
        <v>32</v>
      </c>
      <c r="BK726" s="228">
        <f t="shared" ref="BK726:BK789" si="814">IF($AJ726=1, 6, IF($AH726=4, 10, 13))</f>
        <v>13</v>
      </c>
      <c r="BL726" s="228">
        <f t="shared" ref="BL726:BL789" si="815">IF($AJ726=1, 9, 0)</f>
        <v>0</v>
      </c>
      <c r="BM726" s="233" cm="1">
        <f t="array" ref="BM726">L726/IF($M726&gt;0, INDEX($AY$22:$BE$76, $M726+20, $AH726), 1)</f>
        <v>0</v>
      </c>
      <c r="BN726" s="229">
        <f t="shared" si="789"/>
        <v>0</v>
      </c>
      <c r="BO726" s="228">
        <v>35</v>
      </c>
      <c r="BP726" s="229">
        <f t="shared" si="790"/>
        <v>48</v>
      </c>
      <c r="BQ726" s="234">
        <f t="shared" si="791"/>
        <v>3.0748170731707316</v>
      </c>
      <c r="BR726" s="234" cm="1">
        <f t="array" ref="BR726">$BM726 * SUMPRODUCT(INDEX($AV$76:$AX$81,,$AI726),INDEX($AY$76:$BE$81,,$AH726), N($AU$76:$AU$81&gt;$AM726)) / BQ726 / 1000</f>
        <v>0</v>
      </c>
      <c r="BS726" s="231">
        <f t="shared" ref="BS726:BS789" si="816">IF($AH726&lt;=2, 30, 25)</f>
        <v>30</v>
      </c>
      <c r="BT726" s="229">
        <f t="shared" si="792"/>
        <v>43</v>
      </c>
      <c r="BU726" s="234">
        <f t="shared" si="793"/>
        <v>3.5018750000000001</v>
      </c>
      <c r="BV726" s="234" cm="1">
        <f t="array" ref="BV726">$BM726 * IF($AH726&lt;=2,
SUMPRODUCT(INDEX($AV$71:$AX$75,,$AI726), INDEX($AY$71:$BE$75,,$AH726), 1 / ($BF$71:$BF$75*BU726 + (1-$BF$71:$BF$75)*BQ726), N($AU$71:$AU$75&gt;$AM726)),
SUMPRODUCT(INDEX($AV$66:$AX$75,,$AI726), INDEX($AY$66:$BE$75,,$AH726), 1 / ($BG$66:$BG$75*BU726 + (1-$BG$66:$BG$75)*BQ726), N($AU$66:$AU$75&gt;$AM726))
) / 1000</f>
        <v>0</v>
      </c>
      <c r="BW726" s="231">
        <f t="shared" ref="BW726:BW789" si="817">IF($AH726&lt;=2, 25, 15)</f>
        <v>25</v>
      </c>
      <c r="BX726" s="229">
        <f t="shared" si="794"/>
        <v>38</v>
      </c>
      <c r="BY726" s="234">
        <f t="shared" si="795"/>
        <v>4.0666935483870965</v>
      </c>
      <c r="BZ726" s="234" cm="1">
        <f t="array" ref="BZ726">$BM726 * IF($AH726&lt;=2,
SUMPRODUCT(INDEX($AV$66:$AX$70,,$AI726), INDEX($AY$66:$BE$70,,$AH726), 1 / ($BF$66:$BF$70*BY726 + (1-$BF$66:$BF$70)*BU726), N($AU$66:$AU$70&gt;$AM726)),
SUMPRODUCT(INDEX($AV$56:$AX$65,,$AI726), INDEX($AY$56:$BE$65,,$AH726), 1 / ($BG$56:$BG$65*BY726 + (1-$BG$56:$BG$65)*BU726), N($AU$56:$AU$65&gt;$AM726))
) / 1000</f>
        <v>0</v>
      </c>
      <c r="CA726" s="231">
        <f t="shared" ref="CA726:CA789" si="818">IF($AH726&lt;=2, 20, 5)</f>
        <v>20</v>
      </c>
      <c r="CB726" s="229">
        <f t="shared" si="796"/>
        <v>33</v>
      </c>
      <c r="CC726" s="234">
        <f t="shared" si="797"/>
        <v>4.8487499999999999</v>
      </c>
      <c r="CD726" s="234" cm="1">
        <f t="array" ref="CD726">$BM726 * IF($AH726&lt;=2,
SUMPRODUCT(INDEX($AV$61:$AX$65,,$AI726), INDEX($AY$61:$BE$65,,$AH726), 1 / ($BF$61:$BF$65*CC726 + (1-$BF$61:$BF$65)*BY726), N($AU$61:$AU$65&gt;$AM726)),
SUMPRODUCT(INDEX($AV$46:$AX$55,,$AI726), INDEX($AY$46:$BE$55,,$AH726), 1 / ($BG$46:$BG$55*CC726 + (1-$BG$46:$BG$55)*BY726), N($AU$46:$AU$55&gt;$AM726))
) / 1000</f>
        <v>0</v>
      </c>
      <c r="CE726" s="234" cm="1">
        <f t="array" ref="CE726">$BM726 * IF($AH726&lt;=2,
SUMPRODUCT(INDEX($AV$22:$AX$60,,$AI726), INDEX($AY$22:$BE$60,,$AH726), 1 / ($BF$22:$BF$60*CC726), N($AU$22:$AU$60&gt;$AM726)),
SUMPRODUCT(INDEX($AV$22:$AX$45,,$AI726), INDEX($AY$22:$BE$45,,$AH726), 1 / ($BG$22:$BG$45*CC726), N($AU$22:$AU$45&gt;$AM726))
) / 1000</f>
        <v>0</v>
      </c>
      <c r="CF726" s="229">
        <f t="shared" si="798"/>
        <v>0</v>
      </c>
      <c r="CG726" s="246"/>
      <c r="CH726" s="229">
        <f t="shared" si="799"/>
        <v>0</v>
      </c>
      <c r="CI726" s="228">
        <v>35</v>
      </c>
      <c r="CJ726" s="229">
        <f t="shared" si="800"/>
        <v>48</v>
      </c>
      <c r="CK726" s="234">
        <f t="shared" si="801"/>
        <v>3.0748170731707316</v>
      </c>
      <c r="CL726" s="234" cm="1">
        <f t="array" ref="CL726">$BM726 * SUMPRODUCT(INDEX($AV$76:$AX$81,,$AI726),INDEX($AY$76:$BE$81,,$AH726), N($AU$76:$AU$81&gt;$AM726)) / CK726 / 1000</f>
        <v>0</v>
      </c>
      <c r="CM726" s="231">
        <f t="shared" ref="CM726:CM789" si="819">IF($AH726&lt;=2, 30, 25)</f>
        <v>30</v>
      </c>
      <c r="CN726" s="229">
        <f t="shared" si="802"/>
        <v>43</v>
      </c>
      <c r="CO726" s="234">
        <f t="shared" si="803"/>
        <v>3.5018750000000001</v>
      </c>
      <c r="CP726" s="234" cm="1">
        <f t="array" ref="CP726">$BM726 * IF($AH726&lt;=2,
SUMPRODUCT(INDEX($AV$71:$AX$75,,$AI726), INDEX($AY$71:$BE$75,,$AH726), 1 / ($BF$71:$BF$75*CO726 + (1-$BF$71:$BF$75)*CK726), N($AU$71:$AU$75&gt;$AM726)),
SUMPRODUCT(INDEX($AV$66:$AX$75,,$AI726), INDEX($AY$66:$BE$75,,$AH726), 1 / ($BG$66:$BG$75*CO726 + (1-$BG$66:$BG$75)*CK726), N($AU$66:$AU$75&gt;$AM726))
) / 1000</f>
        <v>0</v>
      </c>
      <c r="CQ726" s="231">
        <f t="shared" ref="CQ726:CQ789" si="820">IF($AH726&lt;=2, 25, 15)</f>
        <v>25</v>
      </c>
      <c r="CR726" s="229">
        <f t="shared" si="804"/>
        <v>38</v>
      </c>
      <c r="CS726" s="234">
        <f t="shared" si="805"/>
        <v>4.0666935483870965</v>
      </c>
      <c r="CT726" s="234" cm="1">
        <f t="array" ref="CT726">$BM726 * IF($AH726&lt;=2,
SUMPRODUCT(INDEX($AV$66:$AX$70,,$AI726), INDEX($AY$66:$BE$70,,$AH726), 1 / ($BF$66:$BF$70*CS726 + (1-$BF$66:$BF$70)*CO726), N($AU$66:$AU$70&gt;$AM726)),
SUMPRODUCT(INDEX($AV$56:$AX$65,,$AI726), INDEX($AY$56:$BE$65,,$AH726), 1 / ($BG$56:$BG$65*CS726 + (1-$BG$56:$BG$65)*CO726), N($AU$56:$AU$65&gt;$AM726))
) / 1000</f>
        <v>0</v>
      </c>
      <c r="CU726" s="231">
        <f t="shared" ref="CU726:CU789" si="821">IF($AH726&lt;=2, 20, 5)</f>
        <v>20</v>
      </c>
      <c r="CV726" s="229">
        <f t="shared" si="806"/>
        <v>33</v>
      </c>
      <c r="CW726" s="234">
        <f t="shared" si="807"/>
        <v>4.8487499999999999</v>
      </c>
      <c r="CX726" s="234" cm="1">
        <f t="array" ref="CX726">$BM726 * IF($AH726&lt;=2,
SUMPRODUCT(INDEX($AV$61:$AX$65,,$AI726), INDEX($AY$61:$BE$65,,$AH726), 1 / ($BF$61:$BF$65*CW726 + (1-$BF$61:$BF$65)*CS726), N($AU$61:$AU$65&gt;$AM726)),
SUMPRODUCT(INDEX($AV$46:$AX$55,,$AI726), INDEX($AY$46:$BE$55,,$AH726), 1 / ($BG$46:$BG$55*CW726 + (1-$BG$46:$BG$55)*CS726), N($AU$46:$AU$55&gt;$AM726))
) / 1000</f>
        <v>0</v>
      </c>
      <c r="CY726" s="234" cm="1">
        <f t="array" ref="CY726">$BM726 * IF($AH726&lt;=2,
SUMPRODUCT(INDEX($AV$22:$AX$60,,$AI726), INDEX($AY$22:$BE$60,,$AH726), 1 / ($BF$22:$BF$60*CW726), N($AU$22:$AU$60&gt;$AM726)),
SUMPRODUCT(INDEX($AV$22:$AX$45,,$AI726), INDEX($AY$22:$BE$45,,$AH726), 1 / ($BG$22:$BG$45*CW726), N($AU$22:$AU$45&gt;$AM726))
) / 1000</f>
        <v>0</v>
      </c>
      <c r="CZ726" s="229">
        <f t="shared" si="808"/>
        <v>0</v>
      </c>
      <c r="DA726" s="246"/>
    </row>
    <row r="727" spans="1:105" s="75" customFormat="1" ht="14.25" customHeight="1" x14ac:dyDescent="0.2">
      <c r="A727" s="230" t="b">
        <f t="shared" si="813"/>
        <v>0</v>
      </c>
      <c r="B727" s="253">
        <v>706</v>
      </c>
      <c r="C727" s="266"/>
      <c r="D727" s="266"/>
      <c r="E727" s="254"/>
      <c r="F727" s="255" t="str">
        <f>IF(ISBLANK(E727), "", VLOOKUP(E727, Z!$A$2:$C$4127, 3, FALSE))</f>
        <v/>
      </c>
      <c r="G727" s="256"/>
      <c r="H727" s="256"/>
      <c r="I727" s="256"/>
      <c r="J727" s="257"/>
      <c r="K727" s="258"/>
      <c r="L727" s="267"/>
      <c r="M727" s="268"/>
      <c r="N727" s="259" t="str" cm="1">
        <f t="array" ref="N727">IF($L727&gt;0, INDEX(Clean,1+AK727,$D$1), "")</f>
        <v/>
      </c>
      <c r="O727" s="260"/>
      <c r="P727" s="260"/>
      <c r="Q727" s="261"/>
      <c r="R727" s="264">
        <f t="shared" si="784"/>
        <v>0</v>
      </c>
      <c r="S727" s="259" t="str" cm="1">
        <f t="array" ref="S727">IF($L727&gt;0, INDEX(Clean,1+AL727,$D$1), "")</f>
        <v/>
      </c>
      <c r="T727" s="260"/>
      <c r="U727" s="260"/>
      <c r="V727" s="261"/>
      <c r="W727" s="267"/>
      <c r="X727" s="267"/>
      <c r="Y727" s="257"/>
      <c r="Z727" s="264">
        <f t="shared" si="785"/>
        <v>0</v>
      </c>
      <c r="AA727" s="269"/>
      <c r="AB727" s="266"/>
      <c r="AC727" s="254"/>
      <c r="AD727" s="255" t="str">
        <f>IF(ISBLANK(AC727), "", VLOOKUP(AC727, Z!$A$2:$C$4127, 3, FALSE))</f>
        <v/>
      </c>
      <c r="AE727" s="270"/>
      <c r="AF727" s="265">
        <f t="shared" si="786"/>
        <v>0</v>
      </c>
      <c r="AG727" s="246"/>
      <c r="AH727" s="228">
        <f t="shared" si="809"/>
        <v>1</v>
      </c>
      <c r="AI727" s="228">
        <f t="shared" si="810"/>
        <v>1</v>
      </c>
      <c r="AJ727" s="228">
        <f t="shared" si="811"/>
        <v>0</v>
      </c>
      <c r="AK727" s="228">
        <v>0</v>
      </c>
      <c r="AL727" s="228">
        <v>0</v>
      </c>
      <c r="AM727" s="228">
        <f t="shared" si="787"/>
        <v>-100</v>
      </c>
      <c r="AN727" s="228" cm="1">
        <f t="array" ref="AN727">IF(ISBLANK(G727), 1, IFERROR(MATCH(G727, INDEX(Kat,,1), 0), IFERROR(MATCH(Kat, INDEX(Use,,2), 0), MATCH(Kat, INDEX(Use,,3), 0))))</f>
        <v>1</v>
      </c>
      <c r="AO727" s="246"/>
      <c r="AP727" s="228" cm="1">
        <f t="array" ref="AP727">IF(W727&gt;0, INDEX(Kat, AN727,4), 0)</f>
        <v>0</v>
      </c>
      <c r="AQ727" s="228">
        <f t="shared" si="812"/>
        <v>0</v>
      </c>
      <c r="AR727" s="228" cm="1">
        <f t="array" ref="AR727">IF(X727&gt;0, INDEX(Kat, $AN727, 4+AQ727), 0)</f>
        <v>0</v>
      </c>
      <c r="AS727" s="228" cm="1">
        <f t="array" ref="AS727">IF(X727&gt;0, INDEX(Kat, $AN727, 9+AQ727), 0)</f>
        <v>0</v>
      </c>
      <c r="AT727" s="246"/>
      <c r="AU727" s="262"/>
      <c r="AV727" s="262"/>
      <c r="AW727" s="263"/>
      <c r="AX727" s="263"/>
      <c r="AY727" s="263"/>
      <c r="AZ727" s="263"/>
      <c r="BA727" s="263"/>
      <c r="BB727" s="263"/>
      <c r="BC727" s="263"/>
      <c r="BD727" s="263"/>
      <c r="BE727" s="263"/>
      <c r="BF727" s="263"/>
      <c r="BG727" s="263"/>
      <c r="BH727" s="246"/>
      <c r="BI727" s="228" cm="1">
        <f t="array" ref="BI727">INDEX(Use, $AH727, 4)</f>
        <v>7</v>
      </c>
      <c r="BJ727" s="228">
        <f t="shared" si="788"/>
        <v>32</v>
      </c>
      <c r="BK727" s="228">
        <f t="shared" si="814"/>
        <v>13</v>
      </c>
      <c r="BL727" s="228">
        <f t="shared" si="815"/>
        <v>0</v>
      </c>
      <c r="BM727" s="233" cm="1">
        <f t="array" ref="BM727">L727/IF($M727&gt;0, INDEX($AY$22:$BE$76, $M727+20, $AH727), 1)</f>
        <v>0</v>
      </c>
      <c r="BN727" s="229">
        <f t="shared" si="789"/>
        <v>0</v>
      </c>
      <c r="BO727" s="228">
        <v>35</v>
      </c>
      <c r="BP727" s="229">
        <f t="shared" si="790"/>
        <v>48</v>
      </c>
      <c r="BQ727" s="234">
        <f t="shared" si="791"/>
        <v>3.0748170731707316</v>
      </c>
      <c r="BR727" s="234" cm="1">
        <f t="array" ref="BR727">$BM727 * SUMPRODUCT(INDEX($AV$76:$AX$81,,$AI727),INDEX($AY$76:$BE$81,,$AH727), N($AU$76:$AU$81&gt;$AM727)) / BQ727 / 1000</f>
        <v>0</v>
      </c>
      <c r="BS727" s="231">
        <f t="shared" si="816"/>
        <v>30</v>
      </c>
      <c r="BT727" s="229">
        <f t="shared" si="792"/>
        <v>43</v>
      </c>
      <c r="BU727" s="234">
        <f t="shared" si="793"/>
        <v>3.5018750000000001</v>
      </c>
      <c r="BV727" s="234" cm="1">
        <f t="array" ref="BV727">$BM727 * IF($AH727&lt;=2,
SUMPRODUCT(INDEX($AV$71:$AX$75,,$AI727), INDEX($AY$71:$BE$75,,$AH727), 1 / ($BF$71:$BF$75*BU727 + (1-$BF$71:$BF$75)*BQ727), N($AU$71:$AU$75&gt;$AM727)),
SUMPRODUCT(INDEX($AV$66:$AX$75,,$AI727), INDEX($AY$66:$BE$75,,$AH727), 1 / ($BG$66:$BG$75*BU727 + (1-$BG$66:$BG$75)*BQ727), N($AU$66:$AU$75&gt;$AM727))
) / 1000</f>
        <v>0</v>
      </c>
      <c r="BW727" s="231">
        <f t="shared" si="817"/>
        <v>25</v>
      </c>
      <c r="BX727" s="229">
        <f t="shared" si="794"/>
        <v>38</v>
      </c>
      <c r="BY727" s="234">
        <f t="shared" si="795"/>
        <v>4.0666935483870965</v>
      </c>
      <c r="BZ727" s="234" cm="1">
        <f t="array" ref="BZ727">$BM727 * IF($AH727&lt;=2,
SUMPRODUCT(INDEX($AV$66:$AX$70,,$AI727), INDEX($AY$66:$BE$70,,$AH727), 1 / ($BF$66:$BF$70*BY727 + (1-$BF$66:$BF$70)*BU727), N($AU$66:$AU$70&gt;$AM727)),
SUMPRODUCT(INDEX($AV$56:$AX$65,,$AI727), INDEX($AY$56:$BE$65,,$AH727), 1 / ($BG$56:$BG$65*BY727 + (1-$BG$56:$BG$65)*BU727), N($AU$56:$AU$65&gt;$AM727))
) / 1000</f>
        <v>0</v>
      </c>
      <c r="CA727" s="231">
        <f t="shared" si="818"/>
        <v>20</v>
      </c>
      <c r="CB727" s="229">
        <f t="shared" si="796"/>
        <v>33</v>
      </c>
      <c r="CC727" s="234">
        <f t="shared" si="797"/>
        <v>4.8487499999999999</v>
      </c>
      <c r="CD727" s="234" cm="1">
        <f t="array" ref="CD727">$BM727 * IF($AH727&lt;=2,
SUMPRODUCT(INDEX($AV$61:$AX$65,,$AI727), INDEX($AY$61:$BE$65,,$AH727), 1 / ($BF$61:$BF$65*CC727 + (1-$BF$61:$BF$65)*BY727), N($AU$61:$AU$65&gt;$AM727)),
SUMPRODUCT(INDEX($AV$46:$AX$55,,$AI727), INDEX($AY$46:$BE$55,,$AH727), 1 / ($BG$46:$BG$55*CC727 + (1-$BG$46:$BG$55)*BY727), N($AU$46:$AU$55&gt;$AM727))
) / 1000</f>
        <v>0</v>
      </c>
      <c r="CE727" s="234" cm="1">
        <f t="array" ref="CE727">$BM727 * IF($AH727&lt;=2,
SUMPRODUCT(INDEX($AV$22:$AX$60,,$AI727), INDEX($AY$22:$BE$60,,$AH727), 1 / ($BF$22:$BF$60*CC727), N($AU$22:$AU$60&gt;$AM727)),
SUMPRODUCT(INDEX($AV$22:$AX$45,,$AI727), INDEX($AY$22:$BE$45,,$AH727), 1 / ($BG$22:$BG$45*CC727), N($AU$22:$AU$45&gt;$AM727))
) / 1000</f>
        <v>0</v>
      </c>
      <c r="CF727" s="229">
        <f t="shared" si="798"/>
        <v>0</v>
      </c>
      <c r="CG727" s="246"/>
      <c r="CH727" s="229">
        <f t="shared" si="799"/>
        <v>0</v>
      </c>
      <c r="CI727" s="228">
        <v>35</v>
      </c>
      <c r="CJ727" s="229">
        <f t="shared" si="800"/>
        <v>48</v>
      </c>
      <c r="CK727" s="234">
        <f t="shared" si="801"/>
        <v>3.0748170731707316</v>
      </c>
      <c r="CL727" s="234" cm="1">
        <f t="array" ref="CL727">$BM727 * SUMPRODUCT(INDEX($AV$76:$AX$81,,$AI727),INDEX($AY$76:$BE$81,,$AH727), N($AU$76:$AU$81&gt;$AM727)) / CK727 / 1000</f>
        <v>0</v>
      </c>
      <c r="CM727" s="231">
        <f t="shared" si="819"/>
        <v>30</v>
      </c>
      <c r="CN727" s="229">
        <f t="shared" si="802"/>
        <v>43</v>
      </c>
      <c r="CO727" s="234">
        <f t="shared" si="803"/>
        <v>3.5018750000000001</v>
      </c>
      <c r="CP727" s="234" cm="1">
        <f t="array" ref="CP727">$BM727 * IF($AH727&lt;=2,
SUMPRODUCT(INDEX($AV$71:$AX$75,,$AI727), INDEX($AY$71:$BE$75,,$AH727), 1 / ($BF$71:$BF$75*CO727 + (1-$BF$71:$BF$75)*CK727), N($AU$71:$AU$75&gt;$AM727)),
SUMPRODUCT(INDEX($AV$66:$AX$75,,$AI727), INDEX($AY$66:$BE$75,,$AH727), 1 / ($BG$66:$BG$75*CO727 + (1-$BG$66:$BG$75)*CK727), N($AU$66:$AU$75&gt;$AM727))
) / 1000</f>
        <v>0</v>
      </c>
      <c r="CQ727" s="231">
        <f t="shared" si="820"/>
        <v>25</v>
      </c>
      <c r="CR727" s="229">
        <f t="shared" si="804"/>
        <v>38</v>
      </c>
      <c r="CS727" s="234">
        <f t="shared" si="805"/>
        <v>4.0666935483870965</v>
      </c>
      <c r="CT727" s="234" cm="1">
        <f t="array" ref="CT727">$BM727 * IF($AH727&lt;=2,
SUMPRODUCT(INDEX($AV$66:$AX$70,,$AI727), INDEX($AY$66:$BE$70,,$AH727), 1 / ($BF$66:$BF$70*CS727 + (1-$BF$66:$BF$70)*CO727), N($AU$66:$AU$70&gt;$AM727)),
SUMPRODUCT(INDEX($AV$56:$AX$65,,$AI727), INDEX($AY$56:$BE$65,,$AH727), 1 / ($BG$56:$BG$65*CS727 + (1-$BG$56:$BG$65)*CO727), N($AU$56:$AU$65&gt;$AM727))
) / 1000</f>
        <v>0</v>
      </c>
      <c r="CU727" s="231">
        <f t="shared" si="821"/>
        <v>20</v>
      </c>
      <c r="CV727" s="229">
        <f t="shared" si="806"/>
        <v>33</v>
      </c>
      <c r="CW727" s="234">
        <f t="shared" si="807"/>
        <v>4.8487499999999999</v>
      </c>
      <c r="CX727" s="234" cm="1">
        <f t="array" ref="CX727">$BM727 * IF($AH727&lt;=2,
SUMPRODUCT(INDEX($AV$61:$AX$65,,$AI727), INDEX($AY$61:$BE$65,,$AH727), 1 / ($BF$61:$BF$65*CW727 + (1-$BF$61:$BF$65)*CS727), N($AU$61:$AU$65&gt;$AM727)),
SUMPRODUCT(INDEX($AV$46:$AX$55,,$AI727), INDEX($AY$46:$BE$55,,$AH727), 1 / ($BG$46:$BG$55*CW727 + (1-$BG$46:$BG$55)*CS727), N($AU$46:$AU$55&gt;$AM727))
) / 1000</f>
        <v>0</v>
      </c>
      <c r="CY727" s="234" cm="1">
        <f t="array" ref="CY727">$BM727 * IF($AH727&lt;=2,
SUMPRODUCT(INDEX($AV$22:$AX$60,,$AI727), INDEX($AY$22:$BE$60,,$AH727), 1 / ($BF$22:$BF$60*CW727), N($AU$22:$AU$60&gt;$AM727)),
SUMPRODUCT(INDEX($AV$22:$AX$45,,$AI727), INDEX($AY$22:$BE$45,,$AH727), 1 / ($BG$22:$BG$45*CW727), N($AU$22:$AU$45&gt;$AM727))
) / 1000</f>
        <v>0</v>
      </c>
      <c r="CZ727" s="229">
        <f t="shared" si="808"/>
        <v>0</v>
      </c>
      <c r="DA727" s="246"/>
    </row>
    <row r="728" spans="1:105" s="75" customFormat="1" ht="14.25" customHeight="1" x14ac:dyDescent="0.2">
      <c r="A728" s="230" t="b">
        <f t="shared" si="813"/>
        <v>0</v>
      </c>
      <c r="B728" s="253">
        <v>707</v>
      </c>
      <c r="C728" s="266"/>
      <c r="D728" s="266"/>
      <c r="E728" s="254"/>
      <c r="F728" s="255" t="str">
        <f>IF(ISBLANK(E728), "", VLOOKUP(E728, Z!$A$2:$C$4127, 3, FALSE))</f>
        <v/>
      </c>
      <c r="G728" s="256"/>
      <c r="H728" s="256"/>
      <c r="I728" s="256"/>
      <c r="J728" s="257"/>
      <c r="K728" s="258"/>
      <c r="L728" s="267"/>
      <c r="M728" s="268"/>
      <c r="N728" s="259" t="str" cm="1">
        <f t="array" ref="N728">IF($L728&gt;0, INDEX(Clean,1+AK728,$D$1), "")</f>
        <v/>
      </c>
      <c r="O728" s="260"/>
      <c r="P728" s="260"/>
      <c r="Q728" s="261"/>
      <c r="R728" s="264">
        <f t="shared" si="784"/>
        <v>0</v>
      </c>
      <c r="S728" s="259" t="str" cm="1">
        <f t="array" ref="S728">IF($L728&gt;0, INDEX(Clean,1+AL728,$D$1), "")</f>
        <v/>
      </c>
      <c r="T728" s="260"/>
      <c r="U728" s="260"/>
      <c r="V728" s="261"/>
      <c r="W728" s="267"/>
      <c r="X728" s="267"/>
      <c r="Y728" s="257"/>
      <c r="Z728" s="264">
        <f t="shared" si="785"/>
        <v>0</v>
      </c>
      <c r="AA728" s="269"/>
      <c r="AB728" s="266"/>
      <c r="AC728" s="254"/>
      <c r="AD728" s="255" t="str">
        <f>IF(ISBLANK(AC728), "", VLOOKUP(AC728, Z!$A$2:$C$4127, 3, FALSE))</f>
        <v/>
      </c>
      <c r="AE728" s="270"/>
      <c r="AF728" s="265">
        <f t="shared" si="786"/>
        <v>0</v>
      </c>
      <c r="AG728" s="246"/>
      <c r="AH728" s="228">
        <f t="shared" si="809"/>
        <v>1</v>
      </c>
      <c r="AI728" s="228">
        <f t="shared" si="810"/>
        <v>1</v>
      </c>
      <c r="AJ728" s="228">
        <f t="shared" si="811"/>
        <v>0</v>
      </c>
      <c r="AK728" s="228">
        <v>0</v>
      </c>
      <c r="AL728" s="228">
        <v>0</v>
      </c>
      <c r="AM728" s="228">
        <f t="shared" si="787"/>
        <v>-100</v>
      </c>
      <c r="AN728" s="228" cm="1">
        <f t="array" ref="AN728">IF(ISBLANK(G728), 1, IFERROR(MATCH(G728, INDEX(Kat,,1), 0), IFERROR(MATCH(Kat, INDEX(Use,,2), 0), MATCH(Kat, INDEX(Use,,3), 0))))</f>
        <v>1</v>
      </c>
      <c r="AO728" s="246"/>
      <c r="AP728" s="228" cm="1">
        <f t="array" ref="AP728">IF(W728&gt;0, INDEX(Kat, AN728,4), 0)</f>
        <v>0</v>
      </c>
      <c r="AQ728" s="228">
        <f t="shared" si="812"/>
        <v>0</v>
      </c>
      <c r="AR728" s="228" cm="1">
        <f t="array" ref="AR728">IF(X728&gt;0, INDEX(Kat, $AN728, 4+AQ728), 0)</f>
        <v>0</v>
      </c>
      <c r="AS728" s="228" cm="1">
        <f t="array" ref="AS728">IF(X728&gt;0, INDEX(Kat, $AN728, 9+AQ728), 0)</f>
        <v>0</v>
      </c>
      <c r="AT728" s="246"/>
      <c r="AU728" s="262"/>
      <c r="AV728" s="262"/>
      <c r="AW728" s="263"/>
      <c r="AX728" s="263"/>
      <c r="AY728" s="263"/>
      <c r="AZ728" s="263"/>
      <c r="BA728" s="263"/>
      <c r="BB728" s="263"/>
      <c r="BC728" s="263"/>
      <c r="BD728" s="263"/>
      <c r="BE728" s="263"/>
      <c r="BF728" s="263"/>
      <c r="BG728" s="263"/>
      <c r="BH728" s="246"/>
      <c r="BI728" s="228" cm="1">
        <f t="array" ref="BI728">INDEX(Use, $AH728, 4)</f>
        <v>7</v>
      </c>
      <c r="BJ728" s="228">
        <f t="shared" si="788"/>
        <v>32</v>
      </c>
      <c r="BK728" s="228">
        <f t="shared" si="814"/>
        <v>13</v>
      </c>
      <c r="BL728" s="228">
        <f t="shared" si="815"/>
        <v>0</v>
      </c>
      <c r="BM728" s="233" cm="1">
        <f t="array" ref="BM728">L728/IF($M728&gt;0, INDEX($AY$22:$BE$76, $M728+20, $AH728), 1)</f>
        <v>0</v>
      </c>
      <c r="BN728" s="229">
        <f t="shared" si="789"/>
        <v>0</v>
      </c>
      <c r="BO728" s="228">
        <v>35</v>
      </c>
      <c r="BP728" s="229">
        <f t="shared" si="790"/>
        <v>48</v>
      </c>
      <c r="BQ728" s="234">
        <f t="shared" si="791"/>
        <v>3.0748170731707316</v>
      </c>
      <c r="BR728" s="234" cm="1">
        <f t="array" ref="BR728">$BM728 * SUMPRODUCT(INDEX($AV$76:$AX$81,,$AI728),INDEX($AY$76:$BE$81,,$AH728), N($AU$76:$AU$81&gt;$AM728)) / BQ728 / 1000</f>
        <v>0</v>
      </c>
      <c r="BS728" s="231">
        <f t="shared" si="816"/>
        <v>30</v>
      </c>
      <c r="BT728" s="229">
        <f t="shared" si="792"/>
        <v>43</v>
      </c>
      <c r="BU728" s="234">
        <f t="shared" si="793"/>
        <v>3.5018750000000001</v>
      </c>
      <c r="BV728" s="234" cm="1">
        <f t="array" ref="BV728">$BM728 * IF($AH728&lt;=2,
SUMPRODUCT(INDEX($AV$71:$AX$75,,$AI728), INDEX($AY$71:$BE$75,,$AH728), 1 / ($BF$71:$BF$75*BU728 + (1-$BF$71:$BF$75)*BQ728), N($AU$71:$AU$75&gt;$AM728)),
SUMPRODUCT(INDEX($AV$66:$AX$75,,$AI728), INDEX($AY$66:$BE$75,,$AH728), 1 / ($BG$66:$BG$75*BU728 + (1-$BG$66:$BG$75)*BQ728), N($AU$66:$AU$75&gt;$AM728))
) / 1000</f>
        <v>0</v>
      </c>
      <c r="BW728" s="231">
        <f t="shared" si="817"/>
        <v>25</v>
      </c>
      <c r="BX728" s="229">
        <f t="shared" si="794"/>
        <v>38</v>
      </c>
      <c r="BY728" s="234">
        <f t="shared" si="795"/>
        <v>4.0666935483870965</v>
      </c>
      <c r="BZ728" s="234" cm="1">
        <f t="array" ref="BZ728">$BM728 * IF($AH728&lt;=2,
SUMPRODUCT(INDEX($AV$66:$AX$70,,$AI728), INDEX($AY$66:$BE$70,,$AH728), 1 / ($BF$66:$BF$70*BY728 + (1-$BF$66:$BF$70)*BU728), N($AU$66:$AU$70&gt;$AM728)),
SUMPRODUCT(INDEX($AV$56:$AX$65,,$AI728), INDEX($AY$56:$BE$65,,$AH728), 1 / ($BG$56:$BG$65*BY728 + (1-$BG$56:$BG$65)*BU728), N($AU$56:$AU$65&gt;$AM728))
) / 1000</f>
        <v>0</v>
      </c>
      <c r="CA728" s="231">
        <f t="shared" si="818"/>
        <v>20</v>
      </c>
      <c r="CB728" s="229">
        <f t="shared" si="796"/>
        <v>33</v>
      </c>
      <c r="CC728" s="234">
        <f t="shared" si="797"/>
        <v>4.8487499999999999</v>
      </c>
      <c r="CD728" s="234" cm="1">
        <f t="array" ref="CD728">$BM728 * IF($AH728&lt;=2,
SUMPRODUCT(INDEX($AV$61:$AX$65,,$AI728), INDEX($AY$61:$BE$65,,$AH728), 1 / ($BF$61:$BF$65*CC728 + (1-$BF$61:$BF$65)*BY728), N($AU$61:$AU$65&gt;$AM728)),
SUMPRODUCT(INDEX($AV$46:$AX$55,,$AI728), INDEX($AY$46:$BE$55,,$AH728), 1 / ($BG$46:$BG$55*CC728 + (1-$BG$46:$BG$55)*BY728), N($AU$46:$AU$55&gt;$AM728))
) / 1000</f>
        <v>0</v>
      </c>
      <c r="CE728" s="234" cm="1">
        <f t="array" ref="CE728">$BM728 * IF($AH728&lt;=2,
SUMPRODUCT(INDEX($AV$22:$AX$60,,$AI728), INDEX($AY$22:$BE$60,,$AH728), 1 / ($BF$22:$BF$60*CC728), N($AU$22:$AU$60&gt;$AM728)),
SUMPRODUCT(INDEX($AV$22:$AX$45,,$AI728), INDEX($AY$22:$BE$45,,$AH728), 1 / ($BG$22:$BG$45*CC728), N($AU$22:$AU$45&gt;$AM728))
) / 1000</f>
        <v>0</v>
      </c>
      <c r="CF728" s="229">
        <f t="shared" si="798"/>
        <v>0</v>
      </c>
      <c r="CG728" s="246"/>
      <c r="CH728" s="229">
        <f t="shared" si="799"/>
        <v>0</v>
      </c>
      <c r="CI728" s="228">
        <v>35</v>
      </c>
      <c r="CJ728" s="229">
        <f t="shared" si="800"/>
        <v>48</v>
      </c>
      <c r="CK728" s="234">
        <f t="shared" si="801"/>
        <v>3.0748170731707316</v>
      </c>
      <c r="CL728" s="234" cm="1">
        <f t="array" ref="CL728">$BM728 * SUMPRODUCT(INDEX($AV$76:$AX$81,,$AI728),INDEX($AY$76:$BE$81,,$AH728), N($AU$76:$AU$81&gt;$AM728)) / CK728 / 1000</f>
        <v>0</v>
      </c>
      <c r="CM728" s="231">
        <f t="shared" si="819"/>
        <v>30</v>
      </c>
      <c r="CN728" s="229">
        <f t="shared" si="802"/>
        <v>43</v>
      </c>
      <c r="CO728" s="234">
        <f t="shared" si="803"/>
        <v>3.5018750000000001</v>
      </c>
      <c r="CP728" s="234" cm="1">
        <f t="array" ref="CP728">$BM728 * IF($AH728&lt;=2,
SUMPRODUCT(INDEX($AV$71:$AX$75,,$AI728), INDEX($AY$71:$BE$75,,$AH728), 1 / ($BF$71:$BF$75*CO728 + (1-$BF$71:$BF$75)*CK728), N($AU$71:$AU$75&gt;$AM728)),
SUMPRODUCT(INDEX($AV$66:$AX$75,,$AI728), INDEX($AY$66:$BE$75,,$AH728), 1 / ($BG$66:$BG$75*CO728 + (1-$BG$66:$BG$75)*CK728), N($AU$66:$AU$75&gt;$AM728))
) / 1000</f>
        <v>0</v>
      </c>
      <c r="CQ728" s="231">
        <f t="shared" si="820"/>
        <v>25</v>
      </c>
      <c r="CR728" s="229">
        <f t="shared" si="804"/>
        <v>38</v>
      </c>
      <c r="CS728" s="234">
        <f t="shared" si="805"/>
        <v>4.0666935483870965</v>
      </c>
      <c r="CT728" s="234" cm="1">
        <f t="array" ref="CT728">$BM728 * IF($AH728&lt;=2,
SUMPRODUCT(INDEX($AV$66:$AX$70,,$AI728), INDEX($AY$66:$BE$70,,$AH728), 1 / ($BF$66:$BF$70*CS728 + (1-$BF$66:$BF$70)*CO728), N($AU$66:$AU$70&gt;$AM728)),
SUMPRODUCT(INDEX($AV$56:$AX$65,,$AI728), INDEX($AY$56:$BE$65,,$AH728), 1 / ($BG$56:$BG$65*CS728 + (1-$BG$56:$BG$65)*CO728), N($AU$56:$AU$65&gt;$AM728))
) / 1000</f>
        <v>0</v>
      </c>
      <c r="CU728" s="231">
        <f t="shared" si="821"/>
        <v>20</v>
      </c>
      <c r="CV728" s="229">
        <f t="shared" si="806"/>
        <v>33</v>
      </c>
      <c r="CW728" s="234">
        <f t="shared" si="807"/>
        <v>4.8487499999999999</v>
      </c>
      <c r="CX728" s="234" cm="1">
        <f t="array" ref="CX728">$BM728 * IF($AH728&lt;=2,
SUMPRODUCT(INDEX($AV$61:$AX$65,,$AI728), INDEX($AY$61:$BE$65,,$AH728), 1 / ($BF$61:$BF$65*CW728 + (1-$BF$61:$BF$65)*CS728), N($AU$61:$AU$65&gt;$AM728)),
SUMPRODUCT(INDEX($AV$46:$AX$55,,$AI728), INDEX($AY$46:$BE$55,,$AH728), 1 / ($BG$46:$BG$55*CW728 + (1-$BG$46:$BG$55)*CS728), N($AU$46:$AU$55&gt;$AM728))
) / 1000</f>
        <v>0</v>
      </c>
      <c r="CY728" s="234" cm="1">
        <f t="array" ref="CY728">$BM728 * IF($AH728&lt;=2,
SUMPRODUCT(INDEX($AV$22:$AX$60,,$AI728), INDEX($AY$22:$BE$60,,$AH728), 1 / ($BF$22:$BF$60*CW728), N($AU$22:$AU$60&gt;$AM728)),
SUMPRODUCT(INDEX($AV$22:$AX$45,,$AI728), INDEX($AY$22:$BE$45,,$AH728), 1 / ($BG$22:$BG$45*CW728), N($AU$22:$AU$45&gt;$AM728))
) / 1000</f>
        <v>0</v>
      </c>
      <c r="CZ728" s="229">
        <f t="shared" si="808"/>
        <v>0</v>
      </c>
      <c r="DA728" s="246"/>
    </row>
    <row r="729" spans="1:105" s="75" customFormat="1" ht="14.25" customHeight="1" x14ac:dyDescent="0.2">
      <c r="A729" s="230" t="b">
        <f t="shared" si="813"/>
        <v>0</v>
      </c>
      <c r="B729" s="253">
        <v>708</v>
      </c>
      <c r="C729" s="266"/>
      <c r="D729" s="266"/>
      <c r="E729" s="254"/>
      <c r="F729" s="255" t="str">
        <f>IF(ISBLANK(E729), "", VLOOKUP(E729, Z!$A$2:$C$4127, 3, FALSE))</f>
        <v/>
      </c>
      <c r="G729" s="256"/>
      <c r="H729" s="256"/>
      <c r="I729" s="256"/>
      <c r="J729" s="257"/>
      <c r="K729" s="258"/>
      <c r="L729" s="267"/>
      <c r="M729" s="268"/>
      <c r="N729" s="259" t="str" cm="1">
        <f t="array" ref="N729">IF($L729&gt;0, INDEX(Clean,1+AK729,$D$1), "")</f>
        <v/>
      </c>
      <c r="O729" s="260"/>
      <c r="P729" s="260"/>
      <c r="Q729" s="261"/>
      <c r="R729" s="264">
        <f t="shared" si="784"/>
        <v>0</v>
      </c>
      <c r="S729" s="259" t="str" cm="1">
        <f t="array" ref="S729">IF($L729&gt;0, INDEX(Clean,1+AL729,$D$1), "")</f>
        <v/>
      </c>
      <c r="T729" s="260"/>
      <c r="U729" s="260"/>
      <c r="V729" s="261"/>
      <c r="W729" s="267"/>
      <c r="X729" s="267"/>
      <c r="Y729" s="257"/>
      <c r="Z729" s="264">
        <f t="shared" si="785"/>
        <v>0</v>
      </c>
      <c r="AA729" s="269"/>
      <c r="AB729" s="266"/>
      <c r="AC729" s="254"/>
      <c r="AD729" s="255" t="str">
        <f>IF(ISBLANK(AC729), "", VLOOKUP(AC729, Z!$A$2:$C$4127, 3, FALSE))</f>
        <v/>
      </c>
      <c r="AE729" s="270"/>
      <c r="AF729" s="265">
        <f t="shared" si="786"/>
        <v>0</v>
      </c>
      <c r="AG729" s="246"/>
      <c r="AH729" s="228">
        <f t="shared" si="809"/>
        <v>1</v>
      </c>
      <c r="AI729" s="228">
        <f t="shared" si="810"/>
        <v>1</v>
      </c>
      <c r="AJ729" s="228">
        <f t="shared" si="811"/>
        <v>0</v>
      </c>
      <c r="AK729" s="228">
        <v>0</v>
      </c>
      <c r="AL729" s="228">
        <v>0</v>
      </c>
      <c r="AM729" s="228">
        <f t="shared" si="787"/>
        <v>-100</v>
      </c>
      <c r="AN729" s="228" cm="1">
        <f t="array" ref="AN729">IF(ISBLANK(G729), 1, IFERROR(MATCH(G729, INDEX(Kat,,1), 0), IFERROR(MATCH(Kat, INDEX(Use,,2), 0), MATCH(Kat, INDEX(Use,,3), 0))))</f>
        <v>1</v>
      </c>
      <c r="AO729" s="246"/>
      <c r="AP729" s="228" cm="1">
        <f t="array" ref="AP729">IF(W729&gt;0, INDEX(Kat, AN729,4), 0)</f>
        <v>0</v>
      </c>
      <c r="AQ729" s="228">
        <f t="shared" si="812"/>
        <v>0</v>
      </c>
      <c r="AR729" s="228" cm="1">
        <f t="array" ref="AR729">IF(X729&gt;0, INDEX(Kat, $AN729, 4+AQ729), 0)</f>
        <v>0</v>
      </c>
      <c r="AS729" s="228" cm="1">
        <f t="array" ref="AS729">IF(X729&gt;0, INDEX(Kat, $AN729, 9+AQ729), 0)</f>
        <v>0</v>
      </c>
      <c r="AT729" s="246"/>
      <c r="AU729" s="262"/>
      <c r="AV729" s="262"/>
      <c r="AW729" s="263"/>
      <c r="AX729" s="263"/>
      <c r="AY729" s="263"/>
      <c r="AZ729" s="263"/>
      <c r="BA729" s="263"/>
      <c r="BB729" s="263"/>
      <c r="BC729" s="263"/>
      <c r="BD729" s="263"/>
      <c r="BE729" s="263"/>
      <c r="BF729" s="263"/>
      <c r="BG729" s="263"/>
      <c r="BH729" s="246"/>
      <c r="BI729" s="228" cm="1">
        <f t="array" ref="BI729">INDEX(Use, $AH729, 4)</f>
        <v>7</v>
      </c>
      <c r="BJ729" s="228">
        <f t="shared" si="788"/>
        <v>32</v>
      </c>
      <c r="BK729" s="228">
        <f t="shared" si="814"/>
        <v>13</v>
      </c>
      <c r="BL729" s="228">
        <f t="shared" si="815"/>
        <v>0</v>
      </c>
      <c r="BM729" s="233" cm="1">
        <f t="array" ref="BM729">L729/IF($M729&gt;0, INDEX($AY$22:$BE$76, $M729+20, $AH729), 1)</f>
        <v>0</v>
      </c>
      <c r="BN729" s="229">
        <f t="shared" si="789"/>
        <v>0</v>
      </c>
      <c r="BO729" s="228">
        <v>35</v>
      </c>
      <c r="BP729" s="229">
        <f t="shared" si="790"/>
        <v>48</v>
      </c>
      <c r="BQ729" s="234">
        <f t="shared" si="791"/>
        <v>3.0748170731707316</v>
      </c>
      <c r="BR729" s="234" cm="1">
        <f t="array" ref="BR729">$BM729 * SUMPRODUCT(INDEX($AV$76:$AX$81,,$AI729),INDEX($AY$76:$BE$81,,$AH729), N($AU$76:$AU$81&gt;$AM729)) / BQ729 / 1000</f>
        <v>0</v>
      </c>
      <c r="BS729" s="231">
        <f t="shared" si="816"/>
        <v>30</v>
      </c>
      <c r="BT729" s="229">
        <f t="shared" si="792"/>
        <v>43</v>
      </c>
      <c r="BU729" s="234">
        <f t="shared" si="793"/>
        <v>3.5018750000000001</v>
      </c>
      <c r="BV729" s="234" cm="1">
        <f t="array" ref="BV729">$BM729 * IF($AH729&lt;=2,
SUMPRODUCT(INDEX($AV$71:$AX$75,,$AI729), INDEX($AY$71:$BE$75,,$AH729), 1 / ($BF$71:$BF$75*BU729 + (1-$BF$71:$BF$75)*BQ729), N($AU$71:$AU$75&gt;$AM729)),
SUMPRODUCT(INDEX($AV$66:$AX$75,,$AI729), INDEX($AY$66:$BE$75,,$AH729), 1 / ($BG$66:$BG$75*BU729 + (1-$BG$66:$BG$75)*BQ729), N($AU$66:$AU$75&gt;$AM729))
) / 1000</f>
        <v>0</v>
      </c>
      <c r="BW729" s="231">
        <f t="shared" si="817"/>
        <v>25</v>
      </c>
      <c r="BX729" s="229">
        <f t="shared" si="794"/>
        <v>38</v>
      </c>
      <c r="BY729" s="234">
        <f t="shared" si="795"/>
        <v>4.0666935483870965</v>
      </c>
      <c r="BZ729" s="234" cm="1">
        <f t="array" ref="BZ729">$BM729 * IF($AH729&lt;=2,
SUMPRODUCT(INDEX($AV$66:$AX$70,,$AI729), INDEX($AY$66:$BE$70,,$AH729), 1 / ($BF$66:$BF$70*BY729 + (1-$BF$66:$BF$70)*BU729), N($AU$66:$AU$70&gt;$AM729)),
SUMPRODUCT(INDEX($AV$56:$AX$65,,$AI729), INDEX($AY$56:$BE$65,,$AH729), 1 / ($BG$56:$BG$65*BY729 + (1-$BG$56:$BG$65)*BU729), N($AU$56:$AU$65&gt;$AM729))
) / 1000</f>
        <v>0</v>
      </c>
      <c r="CA729" s="231">
        <f t="shared" si="818"/>
        <v>20</v>
      </c>
      <c r="CB729" s="229">
        <f t="shared" si="796"/>
        <v>33</v>
      </c>
      <c r="CC729" s="234">
        <f t="shared" si="797"/>
        <v>4.8487499999999999</v>
      </c>
      <c r="CD729" s="234" cm="1">
        <f t="array" ref="CD729">$BM729 * IF($AH729&lt;=2,
SUMPRODUCT(INDEX($AV$61:$AX$65,,$AI729), INDEX($AY$61:$BE$65,,$AH729), 1 / ($BF$61:$BF$65*CC729 + (1-$BF$61:$BF$65)*BY729), N($AU$61:$AU$65&gt;$AM729)),
SUMPRODUCT(INDEX($AV$46:$AX$55,,$AI729), INDEX($AY$46:$BE$55,,$AH729), 1 / ($BG$46:$BG$55*CC729 + (1-$BG$46:$BG$55)*BY729), N($AU$46:$AU$55&gt;$AM729))
) / 1000</f>
        <v>0</v>
      </c>
      <c r="CE729" s="234" cm="1">
        <f t="array" ref="CE729">$BM729 * IF($AH729&lt;=2,
SUMPRODUCT(INDEX($AV$22:$AX$60,,$AI729), INDEX($AY$22:$BE$60,,$AH729), 1 / ($BF$22:$BF$60*CC729), N($AU$22:$AU$60&gt;$AM729)),
SUMPRODUCT(INDEX($AV$22:$AX$45,,$AI729), INDEX($AY$22:$BE$45,,$AH729), 1 / ($BG$22:$BG$45*CC729), N($AU$22:$AU$45&gt;$AM729))
) / 1000</f>
        <v>0</v>
      </c>
      <c r="CF729" s="229">
        <f t="shared" si="798"/>
        <v>0</v>
      </c>
      <c r="CG729" s="246"/>
      <c r="CH729" s="229">
        <f t="shared" si="799"/>
        <v>0</v>
      </c>
      <c r="CI729" s="228">
        <v>35</v>
      </c>
      <c r="CJ729" s="229">
        <f t="shared" si="800"/>
        <v>48</v>
      </c>
      <c r="CK729" s="234">
        <f t="shared" si="801"/>
        <v>3.0748170731707316</v>
      </c>
      <c r="CL729" s="234" cm="1">
        <f t="array" ref="CL729">$BM729 * SUMPRODUCT(INDEX($AV$76:$AX$81,,$AI729),INDEX($AY$76:$BE$81,,$AH729), N($AU$76:$AU$81&gt;$AM729)) / CK729 / 1000</f>
        <v>0</v>
      </c>
      <c r="CM729" s="231">
        <f t="shared" si="819"/>
        <v>30</v>
      </c>
      <c r="CN729" s="229">
        <f t="shared" si="802"/>
        <v>43</v>
      </c>
      <c r="CO729" s="234">
        <f t="shared" si="803"/>
        <v>3.5018750000000001</v>
      </c>
      <c r="CP729" s="234" cm="1">
        <f t="array" ref="CP729">$BM729 * IF($AH729&lt;=2,
SUMPRODUCT(INDEX($AV$71:$AX$75,,$AI729), INDEX($AY$71:$BE$75,,$AH729), 1 / ($BF$71:$BF$75*CO729 + (1-$BF$71:$BF$75)*CK729), N($AU$71:$AU$75&gt;$AM729)),
SUMPRODUCT(INDEX($AV$66:$AX$75,,$AI729), INDEX($AY$66:$BE$75,,$AH729), 1 / ($BG$66:$BG$75*CO729 + (1-$BG$66:$BG$75)*CK729), N($AU$66:$AU$75&gt;$AM729))
) / 1000</f>
        <v>0</v>
      </c>
      <c r="CQ729" s="231">
        <f t="shared" si="820"/>
        <v>25</v>
      </c>
      <c r="CR729" s="229">
        <f t="shared" si="804"/>
        <v>38</v>
      </c>
      <c r="CS729" s="234">
        <f t="shared" si="805"/>
        <v>4.0666935483870965</v>
      </c>
      <c r="CT729" s="234" cm="1">
        <f t="array" ref="CT729">$BM729 * IF($AH729&lt;=2,
SUMPRODUCT(INDEX($AV$66:$AX$70,,$AI729), INDEX($AY$66:$BE$70,,$AH729), 1 / ($BF$66:$BF$70*CS729 + (1-$BF$66:$BF$70)*CO729), N($AU$66:$AU$70&gt;$AM729)),
SUMPRODUCT(INDEX($AV$56:$AX$65,,$AI729), INDEX($AY$56:$BE$65,,$AH729), 1 / ($BG$56:$BG$65*CS729 + (1-$BG$56:$BG$65)*CO729), N($AU$56:$AU$65&gt;$AM729))
) / 1000</f>
        <v>0</v>
      </c>
      <c r="CU729" s="231">
        <f t="shared" si="821"/>
        <v>20</v>
      </c>
      <c r="CV729" s="229">
        <f t="shared" si="806"/>
        <v>33</v>
      </c>
      <c r="CW729" s="234">
        <f t="shared" si="807"/>
        <v>4.8487499999999999</v>
      </c>
      <c r="CX729" s="234" cm="1">
        <f t="array" ref="CX729">$BM729 * IF($AH729&lt;=2,
SUMPRODUCT(INDEX($AV$61:$AX$65,,$AI729), INDEX($AY$61:$BE$65,,$AH729), 1 / ($BF$61:$BF$65*CW729 + (1-$BF$61:$BF$65)*CS729), N($AU$61:$AU$65&gt;$AM729)),
SUMPRODUCT(INDEX($AV$46:$AX$55,,$AI729), INDEX($AY$46:$BE$55,,$AH729), 1 / ($BG$46:$BG$55*CW729 + (1-$BG$46:$BG$55)*CS729), N($AU$46:$AU$55&gt;$AM729))
) / 1000</f>
        <v>0</v>
      </c>
      <c r="CY729" s="234" cm="1">
        <f t="array" ref="CY729">$BM729 * IF($AH729&lt;=2,
SUMPRODUCT(INDEX($AV$22:$AX$60,,$AI729), INDEX($AY$22:$BE$60,,$AH729), 1 / ($BF$22:$BF$60*CW729), N($AU$22:$AU$60&gt;$AM729)),
SUMPRODUCT(INDEX($AV$22:$AX$45,,$AI729), INDEX($AY$22:$BE$45,,$AH729), 1 / ($BG$22:$BG$45*CW729), N($AU$22:$AU$45&gt;$AM729))
) / 1000</f>
        <v>0</v>
      </c>
      <c r="CZ729" s="229">
        <f t="shared" si="808"/>
        <v>0</v>
      </c>
      <c r="DA729" s="246"/>
    </row>
    <row r="730" spans="1:105" s="75" customFormat="1" ht="14.25" customHeight="1" x14ac:dyDescent="0.2">
      <c r="A730" s="230" t="b">
        <f t="shared" si="813"/>
        <v>0</v>
      </c>
      <c r="B730" s="253">
        <v>709</v>
      </c>
      <c r="C730" s="266"/>
      <c r="D730" s="266"/>
      <c r="E730" s="254"/>
      <c r="F730" s="255" t="str">
        <f>IF(ISBLANK(E730), "", VLOOKUP(E730, Z!$A$2:$C$4127, 3, FALSE))</f>
        <v/>
      </c>
      <c r="G730" s="256"/>
      <c r="H730" s="256"/>
      <c r="I730" s="256"/>
      <c r="J730" s="257"/>
      <c r="K730" s="258"/>
      <c r="L730" s="267"/>
      <c r="M730" s="268"/>
      <c r="N730" s="259" t="str" cm="1">
        <f t="array" ref="N730">IF($L730&gt;0, INDEX(Clean,1+AK730,$D$1), "")</f>
        <v/>
      </c>
      <c r="O730" s="260"/>
      <c r="P730" s="260"/>
      <c r="Q730" s="261"/>
      <c r="R730" s="264">
        <f t="shared" si="784"/>
        <v>0</v>
      </c>
      <c r="S730" s="259" t="str" cm="1">
        <f t="array" ref="S730">IF($L730&gt;0, INDEX(Clean,1+AL730,$D$1), "")</f>
        <v/>
      </c>
      <c r="T730" s="260"/>
      <c r="U730" s="260"/>
      <c r="V730" s="261"/>
      <c r="W730" s="267"/>
      <c r="X730" s="267"/>
      <c r="Y730" s="257"/>
      <c r="Z730" s="264">
        <f t="shared" si="785"/>
        <v>0</v>
      </c>
      <c r="AA730" s="269"/>
      <c r="AB730" s="266"/>
      <c r="AC730" s="254"/>
      <c r="AD730" s="255" t="str">
        <f>IF(ISBLANK(AC730), "", VLOOKUP(AC730, Z!$A$2:$C$4127, 3, FALSE))</f>
        <v/>
      </c>
      <c r="AE730" s="270"/>
      <c r="AF730" s="265">
        <f t="shared" si="786"/>
        <v>0</v>
      </c>
      <c r="AG730" s="246"/>
      <c r="AH730" s="228">
        <f t="shared" si="809"/>
        <v>1</v>
      </c>
      <c r="AI730" s="228">
        <f t="shared" si="810"/>
        <v>1</v>
      </c>
      <c r="AJ730" s="228">
        <f t="shared" si="811"/>
        <v>0</v>
      </c>
      <c r="AK730" s="228">
        <v>0</v>
      </c>
      <c r="AL730" s="228">
        <v>0</v>
      </c>
      <c r="AM730" s="228">
        <f t="shared" si="787"/>
        <v>-100</v>
      </c>
      <c r="AN730" s="228" cm="1">
        <f t="array" ref="AN730">IF(ISBLANK(G730), 1, IFERROR(MATCH(G730, INDEX(Kat,,1), 0), IFERROR(MATCH(Kat, INDEX(Use,,2), 0), MATCH(Kat, INDEX(Use,,3), 0))))</f>
        <v>1</v>
      </c>
      <c r="AO730" s="246"/>
      <c r="AP730" s="228" cm="1">
        <f t="array" ref="AP730">IF(W730&gt;0, INDEX(Kat, AN730,4), 0)</f>
        <v>0</v>
      </c>
      <c r="AQ730" s="228">
        <f t="shared" si="812"/>
        <v>0</v>
      </c>
      <c r="AR730" s="228" cm="1">
        <f t="array" ref="AR730">IF(X730&gt;0, INDEX(Kat, $AN730, 4+AQ730), 0)</f>
        <v>0</v>
      </c>
      <c r="AS730" s="228" cm="1">
        <f t="array" ref="AS730">IF(X730&gt;0, INDEX(Kat, $AN730, 9+AQ730), 0)</f>
        <v>0</v>
      </c>
      <c r="AT730" s="246"/>
      <c r="AU730" s="262"/>
      <c r="AV730" s="262"/>
      <c r="AW730" s="263"/>
      <c r="AX730" s="263"/>
      <c r="AY730" s="263"/>
      <c r="AZ730" s="263"/>
      <c r="BA730" s="263"/>
      <c r="BB730" s="263"/>
      <c r="BC730" s="263"/>
      <c r="BD730" s="263"/>
      <c r="BE730" s="263"/>
      <c r="BF730" s="263"/>
      <c r="BG730" s="263"/>
      <c r="BH730" s="246"/>
      <c r="BI730" s="228" cm="1">
        <f t="array" ref="BI730">INDEX(Use, $AH730, 4)</f>
        <v>7</v>
      </c>
      <c r="BJ730" s="228">
        <f t="shared" si="788"/>
        <v>32</v>
      </c>
      <c r="BK730" s="228">
        <f t="shared" si="814"/>
        <v>13</v>
      </c>
      <c r="BL730" s="228">
        <f t="shared" si="815"/>
        <v>0</v>
      </c>
      <c r="BM730" s="233" cm="1">
        <f t="array" ref="BM730">L730/IF($M730&gt;0, INDEX($AY$22:$BE$76, $M730+20, $AH730), 1)</f>
        <v>0</v>
      </c>
      <c r="BN730" s="229">
        <f t="shared" si="789"/>
        <v>0</v>
      </c>
      <c r="BO730" s="228">
        <v>35</v>
      </c>
      <c r="BP730" s="229">
        <f t="shared" si="790"/>
        <v>48</v>
      </c>
      <c r="BQ730" s="234">
        <f t="shared" si="791"/>
        <v>3.0748170731707316</v>
      </c>
      <c r="BR730" s="234" cm="1">
        <f t="array" ref="BR730">$BM730 * SUMPRODUCT(INDEX($AV$76:$AX$81,,$AI730),INDEX($AY$76:$BE$81,,$AH730), N($AU$76:$AU$81&gt;$AM730)) / BQ730 / 1000</f>
        <v>0</v>
      </c>
      <c r="BS730" s="231">
        <f t="shared" si="816"/>
        <v>30</v>
      </c>
      <c r="BT730" s="229">
        <f t="shared" si="792"/>
        <v>43</v>
      </c>
      <c r="BU730" s="234">
        <f t="shared" si="793"/>
        <v>3.5018750000000001</v>
      </c>
      <c r="BV730" s="234" cm="1">
        <f t="array" ref="BV730">$BM730 * IF($AH730&lt;=2,
SUMPRODUCT(INDEX($AV$71:$AX$75,,$AI730), INDEX($AY$71:$BE$75,,$AH730), 1 / ($BF$71:$BF$75*BU730 + (1-$BF$71:$BF$75)*BQ730), N($AU$71:$AU$75&gt;$AM730)),
SUMPRODUCT(INDEX($AV$66:$AX$75,,$AI730), INDEX($AY$66:$BE$75,,$AH730), 1 / ($BG$66:$BG$75*BU730 + (1-$BG$66:$BG$75)*BQ730), N($AU$66:$AU$75&gt;$AM730))
) / 1000</f>
        <v>0</v>
      </c>
      <c r="BW730" s="231">
        <f t="shared" si="817"/>
        <v>25</v>
      </c>
      <c r="BX730" s="229">
        <f t="shared" si="794"/>
        <v>38</v>
      </c>
      <c r="BY730" s="234">
        <f t="shared" si="795"/>
        <v>4.0666935483870965</v>
      </c>
      <c r="BZ730" s="234" cm="1">
        <f t="array" ref="BZ730">$BM730 * IF($AH730&lt;=2,
SUMPRODUCT(INDEX($AV$66:$AX$70,,$AI730), INDEX($AY$66:$BE$70,,$AH730), 1 / ($BF$66:$BF$70*BY730 + (1-$BF$66:$BF$70)*BU730), N($AU$66:$AU$70&gt;$AM730)),
SUMPRODUCT(INDEX($AV$56:$AX$65,,$AI730), INDEX($AY$56:$BE$65,,$AH730), 1 / ($BG$56:$BG$65*BY730 + (1-$BG$56:$BG$65)*BU730), N($AU$56:$AU$65&gt;$AM730))
) / 1000</f>
        <v>0</v>
      </c>
      <c r="CA730" s="231">
        <f t="shared" si="818"/>
        <v>20</v>
      </c>
      <c r="CB730" s="229">
        <f t="shared" si="796"/>
        <v>33</v>
      </c>
      <c r="CC730" s="234">
        <f t="shared" si="797"/>
        <v>4.8487499999999999</v>
      </c>
      <c r="CD730" s="234" cm="1">
        <f t="array" ref="CD730">$BM730 * IF($AH730&lt;=2,
SUMPRODUCT(INDEX($AV$61:$AX$65,,$AI730), INDEX($AY$61:$BE$65,,$AH730), 1 / ($BF$61:$BF$65*CC730 + (1-$BF$61:$BF$65)*BY730), N($AU$61:$AU$65&gt;$AM730)),
SUMPRODUCT(INDEX($AV$46:$AX$55,,$AI730), INDEX($AY$46:$BE$55,,$AH730), 1 / ($BG$46:$BG$55*CC730 + (1-$BG$46:$BG$55)*BY730), N($AU$46:$AU$55&gt;$AM730))
) / 1000</f>
        <v>0</v>
      </c>
      <c r="CE730" s="234" cm="1">
        <f t="array" ref="CE730">$BM730 * IF($AH730&lt;=2,
SUMPRODUCT(INDEX($AV$22:$AX$60,,$AI730), INDEX($AY$22:$BE$60,,$AH730), 1 / ($BF$22:$BF$60*CC730), N($AU$22:$AU$60&gt;$AM730)),
SUMPRODUCT(INDEX($AV$22:$AX$45,,$AI730), INDEX($AY$22:$BE$45,,$AH730), 1 / ($BG$22:$BG$45*CC730), N($AU$22:$AU$45&gt;$AM730))
) / 1000</f>
        <v>0</v>
      </c>
      <c r="CF730" s="229">
        <f t="shared" si="798"/>
        <v>0</v>
      </c>
      <c r="CG730" s="246"/>
      <c r="CH730" s="229">
        <f t="shared" si="799"/>
        <v>0</v>
      </c>
      <c r="CI730" s="228">
        <v>35</v>
      </c>
      <c r="CJ730" s="229">
        <f t="shared" si="800"/>
        <v>48</v>
      </c>
      <c r="CK730" s="234">
        <f t="shared" si="801"/>
        <v>3.0748170731707316</v>
      </c>
      <c r="CL730" s="234" cm="1">
        <f t="array" ref="CL730">$BM730 * SUMPRODUCT(INDEX($AV$76:$AX$81,,$AI730),INDEX($AY$76:$BE$81,,$AH730), N($AU$76:$AU$81&gt;$AM730)) / CK730 / 1000</f>
        <v>0</v>
      </c>
      <c r="CM730" s="231">
        <f t="shared" si="819"/>
        <v>30</v>
      </c>
      <c r="CN730" s="229">
        <f t="shared" si="802"/>
        <v>43</v>
      </c>
      <c r="CO730" s="234">
        <f t="shared" si="803"/>
        <v>3.5018750000000001</v>
      </c>
      <c r="CP730" s="234" cm="1">
        <f t="array" ref="CP730">$BM730 * IF($AH730&lt;=2,
SUMPRODUCT(INDEX($AV$71:$AX$75,,$AI730), INDEX($AY$71:$BE$75,,$AH730), 1 / ($BF$71:$BF$75*CO730 + (1-$BF$71:$BF$75)*CK730), N($AU$71:$AU$75&gt;$AM730)),
SUMPRODUCT(INDEX($AV$66:$AX$75,,$AI730), INDEX($AY$66:$BE$75,,$AH730), 1 / ($BG$66:$BG$75*CO730 + (1-$BG$66:$BG$75)*CK730), N($AU$66:$AU$75&gt;$AM730))
) / 1000</f>
        <v>0</v>
      </c>
      <c r="CQ730" s="231">
        <f t="shared" si="820"/>
        <v>25</v>
      </c>
      <c r="CR730" s="229">
        <f t="shared" si="804"/>
        <v>38</v>
      </c>
      <c r="CS730" s="234">
        <f t="shared" si="805"/>
        <v>4.0666935483870965</v>
      </c>
      <c r="CT730" s="234" cm="1">
        <f t="array" ref="CT730">$BM730 * IF($AH730&lt;=2,
SUMPRODUCT(INDEX($AV$66:$AX$70,,$AI730), INDEX($AY$66:$BE$70,,$AH730), 1 / ($BF$66:$BF$70*CS730 + (1-$BF$66:$BF$70)*CO730), N($AU$66:$AU$70&gt;$AM730)),
SUMPRODUCT(INDEX($AV$56:$AX$65,,$AI730), INDEX($AY$56:$BE$65,,$AH730), 1 / ($BG$56:$BG$65*CS730 + (1-$BG$56:$BG$65)*CO730), N($AU$56:$AU$65&gt;$AM730))
) / 1000</f>
        <v>0</v>
      </c>
      <c r="CU730" s="231">
        <f t="shared" si="821"/>
        <v>20</v>
      </c>
      <c r="CV730" s="229">
        <f t="shared" si="806"/>
        <v>33</v>
      </c>
      <c r="CW730" s="234">
        <f t="shared" si="807"/>
        <v>4.8487499999999999</v>
      </c>
      <c r="CX730" s="234" cm="1">
        <f t="array" ref="CX730">$BM730 * IF($AH730&lt;=2,
SUMPRODUCT(INDEX($AV$61:$AX$65,,$AI730), INDEX($AY$61:$BE$65,,$AH730), 1 / ($BF$61:$BF$65*CW730 + (1-$BF$61:$BF$65)*CS730), N($AU$61:$AU$65&gt;$AM730)),
SUMPRODUCT(INDEX($AV$46:$AX$55,,$AI730), INDEX($AY$46:$BE$55,,$AH730), 1 / ($BG$46:$BG$55*CW730 + (1-$BG$46:$BG$55)*CS730), N($AU$46:$AU$55&gt;$AM730))
) / 1000</f>
        <v>0</v>
      </c>
      <c r="CY730" s="234" cm="1">
        <f t="array" ref="CY730">$BM730 * IF($AH730&lt;=2,
SUMPRODUCT(INDEX($AV$22:$AX$60,,$AI730), INDEX($AY$22:$BE$60,,$AH730), 1 / ($BF$22:$BF$60*CW730), N($AU$22:$AU$60&gt;$AM730)),
SUMPRODUCT(INDEX($AV$22:$AX$45,,$AI730), INDEX($AY$22:$BE$45,,$AH730), 1 / ($BG$22:$BG$45*CW730), N($AU$22:$AU$45&gt;$AM730))
) / 1000</f>
        <v>0</v>
      </c>
      <c r="CZ730" s="229">
        <f t="shared" si="808"/>
        <v>0</v>
      </c>
      <c r="DA730" s="246"/>
    </row>
    <row r="731" spans="1:105" s="75" customFormat="1" ht="14.25" customHeight="1" x14ac:dyDescent="0.2">
      <c r="A731" s="230" t="b">
        <f t="shared" si="813"/>
        <v>0</v>
      </c>
      <c r="B731" s="253">
        <v>710</v>
      </c>
      <c r="C731" s="266"/>
      <c r="D731" s="266"/>
      <c r="E731" s="254"/>
      <c r="F731" s="255" t="str">
        <f>IF(ISBLANK(E731), "", VLOOKUP(E731, Z!$A$2:$C$4127, 3, FALSE))</f>
        <v/>
      </c>
      <c r="G731" s="256"/>
      <c r="H731" s="256"/>
      <c r="I731" s="256"/>
      <c r="J731" s="257"/>
      <c r="K731" s="258"/>
      <c r="L731" s="267"/>
      <c r="M731" s="268"/>
      <c r="N731" s="259" t="str" cm="1">
        <f t="array" ref="N731">IF($L731&gt;0, INDEX(Clean,1+AK731,$D$1), "")</f>
        <v/>
      </c>
      <c r="O731" s="260"/>
      <c r="P731" s="260"/>
      <c r="Q731" s="261"/>
      <c r="R731" s="264">
        <f t="shared" si="784"/>
        <v>0</v>
      </c>
      <c r="S731" s="259" t="str" cm="1">
        <f t="array" ref="S731">IF($L731&gt;0, INDEX(Clean,1+AL731,$D$1), "")</f>
        <v/>
      </c>
      <c r="T731" s="260"/>
      <c r="U731" s="260"/>
      <c r="V731" s="261"/>
      <c r="W731" s="267"/>
      <c r="X731" s="267"/>
      <c r="Y731" s="257"/>
      <c r="Z731" s="264">
        <f t="shared" si="785"/>
        <v>0</v>
      </c>
      <c r="AA731" s="269"/>
      <c r="AB731" s="266"/>
      <c r="AC731" s="254"/>
      <c r="AD731" s="255" t="str">
        <f>IF(ISBLANK(AC731), "", VLOOKUP(AC731, Z!$A$2:$C$4127, 3, FALSE))</f>
        <v/>
      </c>
      <c r="AE731" s="270"/>
      <c r="AF731" s="265">
        <f t="shared" si="786"/>
        <v>0</v>
      </c>
      <c r="AG731" s="246"/>
      <c r="AH731" s="228">
        <f t="shared" si="809"/>
        <v>1</v>
      </c>
      <c r="AI731" s="228">
        <f t="shared" si="810"/>
        <v>1</v>
      </c>
      <c r="AJ731" s="228">
        <f t="shared" si="811"/>
        <v>0</v>
      </c>
      <c r="AK731" s="228">
        <v>0</v>
      </c>
      <c r="AL731" s="228">
        <v>0</v>
      </c>
      <c r="AM731" s="228">
        <f t="shared" si="787"/>
        <v>-100</v>
      </c>
      <c r="AN731" s="228" cm="1">
        <f t="array" ref="AN731">IF(ISBLANK(G731), 1, IFERROR(MATCH(G731, INDEX(Kat,,1), 0), IFERROR(MATCH(Kat, INDEX(Use,,2), 0), MATCH(Kat, INDEX(Use,,3), 0))))</f>
        <v>1</v>
      </c>
      <c r="AO731" s="246"/>
      <c r="AP731" s="228" cm="1">
        <f t="array" ref="AP731">IF(W731&gt;0, INDEX(Kat, AN731,4), 0)</f>
        <v>0</v>
      </c>
      <c r="AQ731" s="228">
        <f t="shared" si="812"/>
        <v>0</v>
      </c>
      <c r="AR731" s="228" cm="1">
        <f t="array" ref="AR731">IF(X731&gt;0, INDEX(Kat, $AN731, 4+AQ731), 0)</f>
        <v>0</v>
      </c>
      <c r="AS731" s="228" cm="1">
        <f t="array" ref="AS731">IF(X731&gt;0, INDEX(Kat, $AN731, 9+AQ731), 0)</f>
        <v>0</v>
      </c>
      <c r="AT731" s="246"/>
      <c r="AU731" s="262"/>
      <c r="AV731" s="262"/>
      <c r="AW731" s="263"/>
      <c r="AX731" s="263"/>
      <c r="AY731" s="263"/>
      <c r="AZ731" s="263"/>
      <c r="BA731" s="263"/>
      <c r="BB731" s="263"/>
      <c r="BC731" s="263"/>
      <c r="BD731" s="263"/>
      <c r="BE731" s="263"/>
      <c r="BF731" s="263"/>
      <c r="BG731" s="263"/>
      <c r="BH731" s="246"/>
      <c r="BI731" s="228" cm="1">
        <f t="array" ref="BI731">INDEX(Use, $AH731, 4)</f>
        <v>7</v>
      </c>
      <c r="BJ731" s="228">
        <f t="shared" si="788"/>
        <v>32</v>
      </c>
      <c r="BK731" s="228">
        <f t="shared" si="814"/>
        <v>13</v>
      </c>
      <c r="BL731" s="228">
        <f t="shared" si="815"/>
        <v>0</v>
      </c>
      <c r="BM731" s="233" cm="1">
        <f t="array" ref="BM731">L731/IF($M731&gt;0, INDEX($AY$22:$BE$76, $M731+20, $AH731), 1)</f>
        <v>0</v>
      </c>
      <c r="BN731" s="229">
        <f t="shared" si="789"/>
        <v>0</v>
      </c>
      <c r="BO731" s="228">
        <v>35</v>
      </c>
      <c r="BP731" s="229">
        <f t="shared" si="790"/>
        <v>48</v>
      </c>
      <c r="BQ731" s="234">
        <f t="shared" si="791"/>
        <v>3.0748170731707316</v>
      </c>
      <c r="BR731" s="234" cm="1">
        <f t="array" ref="BR731">$BM731 * SUMPRODUCT(INDEX($AV$76:$AX$81,,$AI731),INDEX($AY$76:$BE$81,,$AH731), N($AU$76:$AU$81&gt;$AM731)) / BQ731 / 1000</f>
        <v>0</v>
      </c>
      <c r="BS731" s="231">
        <f t="shared" si="816"/>
        <v>30</v>
      </c>
      <c r="BT731" s="229">
        <f t="shared" si="792"/>
        <v>43</v>
      </c>
      <c r="BU731" s="234">
        <f t="shared" si="793"/>
        <v>3.5018750000000001</v>
      </c>
      <c r="BV731" s="234" cm="1">
        <f t="array" ref="BV731">$BM731 * IF($AH731&lt;=2,
SUMPRODUCT(INDEX($AV$71:$AX$75,,$AI731), INDEX($AY$71:$BE$75,,$AH731), 1 / ($BF$71:$BF$75*BU731 + (1-$BF$71:$BF$75)*BQ731), N($AU$71:$AU$75&gt;$AM731)),
SUMPRODUCT(INDEX($AV$66:$AX$75,,$AI731), INDEX($AY$66:$BE$75,,$AH731), 1 / ($BG$66:$BG$75*BU731 + (1-$BG$66:$BG$75)*BQ731), N($AU$66:$AU$75&gt;$AM731))
) / 1000</f>
        <v>0</v>
      </c>
      <c r="BW731" s="231">
        <f t="shared" si="817"/>
        <v>25</v>
      </c>
      <c r="BX731" s="229">
        <f t="shared" si="794"/>
        <v>38</v>
      </c>
      <c r="BY731" s="234">
        <f t="shared" si="795"/>
        <v>4.0666935483870965</v>
      </c>
      <c r="BZ731" s="234" cm="1">
        <f t="array" ref="BZ731">$BM731 * IF($AH731&lt;=2,
SUMPRODUCT(INDEX($AV$66:$AX$70,,$AI731), INDEX($AY$66:$BE$70,,$AH731), 1 / ($BF$66:$BF$70*BY731 + (1-$BF$66:$BF$70)*BU731), N($AU$66:$AU$70&gt;$AM731)),
SUMPRODUCT(INDEX($AV$56:$AX$65,,$AI731), INDEX($AY$56:$BE$65,,$AH731), 1 / ($BG$56:$BG$65*BY731 + (1-$BG$56:$BG$65)*BU731), N($AU$56:$AU$65&gt;$AM731))
) / 1000</f>
        <v>0</v>
      </c>
      <c r="CA731" s="231">
        <f t="shared" si="818"/>
        <v>20</v>
      </c>
      <c r="CB731" s="229">
        <f t="shared" si="796"/>
        <v>33</v>
      </c>
      <c r="CC731" s="234">
        <f t="shared" si="797"/>
        <v>4.8487499999999999</v>
      </c>
      <c r="CD731" s="234" cm="1">
        <f t="array" ref="CD731">$BM731 * IF($AH731&lt;=2,
SUMPRODUCT(INDEX($AV$61:$AX$65,,$AI731), INDEX($AY$61:$BE$65,,$AH731), 1 / ($BF$61:$BF$65*CC731 + (1-$BF$61:$BF$65)*BY731), N($AU$61:$AU$65&gt;$AM731)),
SUMPRODUCT(INDEX($AV$46:$AX$55,,$AI731), INDEX($AY$46:$BE$55,,$AH731), 1 / ($BG$46:$BG$55*CC731 + (1-$BG$46:$BG$55)*BY731), N($AU$46:$AU$55&gt;$AM731))
) / 1000</f>
        <v>0</v>
      </c>
      <c r="CE731" s="234" cm="1">
        <f t="array" ref="CE731">$BM731 * IF($AH731&lt;=2,
SUMPRODUCT(INDEX($AV$22:$AX$60,,$AI731), INDEX($AY$22:$BE$60,,$AH731), 1 / ($BF$22:$BF$60*CC731), N($AU$22:$AU$60&gt;$AM731)),
SUMPRODUCT(INDEX($AV$22:$AX$45,,$AI731), INDEX($AY$22:$BE$45,,$AH731), 1 / ($BG$22:$BG$45*CC731), N($AU$22:$AU$45&gt;$AM731))
) / 1000</f>
        <v>0</v>
      </c>
      <c r="CF731" s="229">
        <f t="shared" si="798"/>
        <v>0</v>
      </c>
      <c r="CG731" s="246"/>
      <c r="CH731" s="229">
        <f t="shared" si="799"/>
        <v>0</v>
      </c>
      <c r="CI731" s="228">
        <v>35</v>
      </c>
      <c r="CJ731" s="229">
        <f t="shared" si="800"/>
        <v>48</v>
      </c>
      <c r="CK731" s="234">
        <f t="shared" si="801"/>
        <v>3.0748170731707316</v>
      </c>
      <c r="CL731" s="234" cm="1">
        <f t="array" ref="CL731">$BM731 * SUMPRODUCT(INDEX($AV$76:$AX$81,,$AI731),INDEX($AY$76:$BE$81,,$AH731), N($AU$76:$AU$81&gt;$AM731)) / CK731 / 1000</f>
        <v>0</v>
      </c>
      <c r="CM731" s="231">
        <f t="shared" si="819"/>
        <v>30</v>
      </c>
      <c r="CN731" s="229">
        <f t="shared" si="802"/>
        <v>43</v>
      </c>
      <c r="CO731" s="234">
        <f t="shared" si="803"/>
        <v>3.5018750000000001</v>
      </c>
      <c r="CP731" s="234" cm="1">
        <f t="array" ref="CP731">$BM731 * IF($AH731&lt;=2,
SUMPRODUCT(INDEX($AV$71:$AX$75,,$AI731), INDEX($AY$71:$BE$75,,$AH731), 1 / ($BF$71:$BF$75*CO731 + (1-$BF$71:$BF$75)*CK731), N($AU$71:$AU$75&gt;$AM731)),
SUMPRODUCT(INDEX($AV$66:$AX$75,,$AI731), INDEX($AY$66:$BE$75,,$AH731), 1 / ($BG$66:$BG$75*CO731 + (1-$BG$66:$BG$75)*CK731), N($AU$66:$AU$75&gt;$AM731))
) / 1000</f>
        <v>0</v>
      </c>
      <c r="CQ731" s="231">
        <f t="shared" si="820"/>
        <v>25</v>
      </c>
      <c r="CR731" s="229">
        <f t="shared" si="804"/>
        <v>38</v>
      </c>
      <c r="CS731" s="234">
        <f t="shared" si="805"/>
        <v>4.0666935483870965</v>
      </c>
      <c r="CT731" s="234" cm="1">
        <f t="array" ref="CT731">$BM731 * IF($AH731&lt;=2,
SUMPRODUCT(INDEX($AV$66:$AX$70,,$AI731), INDEX($AY$66:$BE$70,,$AH731), 1 / ($BF$66:$BF$70*CS731 + (1-$BF$66:$BF$70)*CO731), N($AU$66:$AU$70&gt;$AM731)),
SUMPRODUCT(INDEX($AV$56:$AX$65,,$AI731), INDEX($AY$56:$BE$65,,$AH731), 1 / ($BG$56:$BG$65*CS731 + (1-$BG$56:$BG$65)*CO731), N($AU$56:$AU$65&gt;$AM731))
) / 1000</f>
        <v>0</v>
      </c>
      <c r="CU731" s="231">
        <f t="shared" si="821"/>
        <v>20</v>
      </c>
      <c r="CV731" s="229">
        <f t="shared" si="806"/>
        <v>33</v>
      </c>
      <c r="CW731" s="234">
        <f t="shared" si="807"/>
        <v>4.8487499999999999</v>
      </c>
      <c r="CX731" s="234" cm="1">
        <f t="array" ref="CX731">$BM731 * IF($AH731&lt;=2,
SUMPRODUCT(INDEX($AV$61:$AX$65,,$AI731), INDEX($AY$61:$BE$65,,$AH731), 1 / ($BF$61:$BF$65*CW731 + (1-$BF$61:$BF$65)*CS731), N($AU$61:$AU$65&gt;$AM731)),
SUMPRODUCT(INDEX($AV$46:$AX$55,,$AI731), INDEX($AY$46:$BE$55,,$AH731), 1 / ($BG$46:$BG$55*CW731 + (1-$BG$46:$BG$55)*CS731), N($AU$46:$AU$55&gt;$AM731))
) / 1000</f>
        <v>0</v>
      </c>
      <c r="CY731" s="234" cm="1">
        <f t="array" ref="CY731">$BM731 * IF($AH731&lt;=2,
SUMPRODUCT(INDEX($AV$22:$AX$60,,$AI731), INDEX($AY$22:$BE$60,,$AH731), 1 / ($BF$22:$BF$60*CW731), N($AU$22:$AU$60&gt;$AM731)),
SUMPRODUCT(INDEX($AV$22:$AX$45,,$AI731), INDEX($AY$22:$BE$45,,$AH731), 1 / ($BG$22:$BG$45*CW731), N($AU$22:$AU$45&gt;$AM731))
) / 1000</f>
        <v>0</v>
      </c>
      <c r="CZ731" s="229">
        <f t="shared" si="808"/>
        <v>0</v>
      </c>
      <c r="DA731" s="246"/>
    </row>
    <row r="732" spans="1:105" s="75" customFormat="1" ht="14.25" customHeight="1" x14ac:dyDescent="0.2">
      <c r="A732" s="230" t="b">
        <f t="shared" si="813"/>
        <v>0</v>
      </c>
      <c r="B732" s="253">
        <v>711</v>
      </c>
      <c r="C732" s="266"/>
      <c r="D732" s="266"/>
      <c r="E732" s="254"/>
      <c r="F732" s="255" t="str">
        <f>IF(ISBLANK(E732), "", VLOOKUP(E732, Z!$A$2:$C$4127, 3, FALSE))</f>
        <v/>
      </c>
      <c r="G732" s="256"/>
      <c r="H732" s="256"/>
      <c r="I732" s="256"/>
      <c r="J732" s="257"/>
      <c r="K732" s="258"/>
      <c r="L732" s="267"/>
      <c r="M732" s="268"/>
      <c r="N732" s="259" t="str" cm="1">
        <f t="array" ref="N732">IF($L732&gt;0, INDEX(Clean,1+AK732,$D$1), "")</f>
        <v/>
      </c>
      <c r="O732" s="260"/>
      <c r="P732" s="260"/>
      <c r="Q732" s="261"/>
      <c r="R732" s="264">
        <f t="shared" si="784"/>
        <v>0</v>
      </c>
      <c r="S732" s="259" t="str" cm="1">
        <f t="array" ref="S732">IF($L732&gt;0, INDEX(Clean,1+AL732,$D$1), "")</f>
        <v/>
      </c>
      <c r="T732" s="260"/>
      <c r="U732" s="260"/>
      <c r="V732" s="261"/>
      <c r="W732" s="267"/>
      <c r="X732" s="267"/>
      <c r="Y732" s="257"/>
      <c r="Z732" s="264">
        <f t="shared" si="785"/>
        <v>0</v>
      </c>
      <c r="AA732" s="269"/>
      <c r="AB732" s="266"/>
      <c r="AC732" s="254"/>
      <c r="AD732" s="255" t="str">
        <f>IF(ISBLANK(AC732), "", VLOOKUP(AC732, Z!$A$2:$C$4127, 3, FALSE))</f>
        <v/>
      </c>
      <c r="AE732" s="270"/>
      <c r="AF732" s="265">
        <f t="shared" si="786"/>
        <v>0</v>
      </c>
      <c r="AG732" s="246"/>
      <c r="AH732" s="228">
        <f t="shared" si="809"/>
        <v>1</v>
      </c>
      <c r="AI732" s="228">
        <f t="shared" si="810"/>
        <v>1</v>
      </c>
      <c r="AJ732" s="228">
        <f t="shared" si="811"/>
        <v>0</v>
      </c>
      <c r="AK732" s="228">
        <v>0</v>
      </c>
      <c r="AL732" s="228">
        <v>0</v>
      </c>
      <c r="AM732" s="228">
        <f t="shared" si="787"/>
        <v>-100</v>
      </c>
      <c r="AN732" s="228" cm="1">
        <f t="array" ref="AN732">IF(ISBLANK(G732), 1, IFERROR(MATCH(G732, INDEX(Kat,,1), 0), IFERROR(MATCH(Kat, INDEX(Use,,2), 0), MATCH(Kat, INDEX(Use,,3), 0))))</f>
        <v>1</v>
      </c>
      <c r="AO732" s="246"/>
      <c r="AP732" s="228" cm="1">
        <f t="array" ref="AP732">IF(W732&gt;0, INDEX(Kat, AN732,4), 0)</f>
        <v>0</v>
      </c>
      <c r="AQ732" s="228">
        <f t="shared" si="812"/>
        <v>0</v>
      </c>
      <c r="AR732" s="228" cm="1">
        <f t="array" ref="AR732">IF(X732&gt;0, INDEX(Kat, $AN732, 4+AQ732), 0)</f>
        <v>0</v>
      </c>
      <c r="AS732" s="228" cm="1">
        <f t="array" ref="AS732">IF(X732&gt;0, INDEX(Kat, $AN732, 9+AQ732), 0)</f>
        <v>0</v>
      </c>
      <c r="AT732" s="246"/>
      <c r="AU732" s="262"/>
      <c r="AV732" s="262"/>
      <c r="AW732" s="263"/>
      <c r="AX732" s="263"/>
      <c r="AY732" s="263"/>
      <c r="AZ732" s="263"/>
      <c r="BA732" s="263"/>
      <c r="BB732" s="263"/>
      <c r="BC732" s="263"/>
      <c r="BD732" s="263"/>
      <c r="BE732" s="263"/>
      <c r="BF732" s="263"/>
      <c r="BG732" s="263"/>
      <c r="BH732" s="246"/>
      <c r="BI732" s="228" cm="1">
        <f t="array" ref="BI732">INDEX(Use, $AH732, 4)</f>
        <v>7</v>
      </c>
      <c r="BJ732" s="228">
        <f t="shared" si="788"/>
        <v>32</v>
      </c>
      <c r="BK732" s="228">
        <f t="shared" si="814"/>
        <v>13</v>
      </c>
      <c r="BL732" s="228">
        <f t="shared" si="815"/>
        <v>0</v>
      </c>
      <c r="BM732" s="233" cm="1">
        <f t="array" ref="BM732">L732/IF($M732&gt;0, INDEX($AY$22:$BE$76, $M732+20, $AH732), 1)</f>
        <v>0</v>
      </c>
      <c r="BN732" s="229">
        <f t="shared" si="789"/>
        <v>0</v>
      </c>
      <c r="BO732" s="228">
        <v>35</v>
      </c>
      <c r="BP732" s="229">
        <f t="shared" si="790"/>
        <v>48</v>
      </c>
      <c r="BQ732" s="234">
        <f t="shared" si="791"/>
        <v>3.0748170731707316</v>
      </c>
      <c r="BR732" s="234" cm="1">
        <f t="array" ref="BR732">$BM732 * SUMPRODUCT(INDEX($AV$76:$AX$81,,$AI732),INDEX($AY$76:$BE$81,,$AH732), N($AU$76:$AU$81&gt;$AM732)) / BQ732 / 1000</f>
        <v>0</v>
      </c>
      <c r="BS732" s="231">
        <f t="shared" si="816"/>
        <v>30</v>
      </c>
      <c r="BT732" s="229">
        <f t="shared" si="792"/>
        <v>43</v>
      </c>
      <c r="BU732" s="234">
        <f t="shared" si="793"/>
        <v>3.5018750000000001</v>
      </c>
      <c r="BV732" s="234" cm="1">
        <f t="array" ref="BV732">$BM732 * IF($AH732&lt;=2,
SUMPRODUCT(INDEX($AV$71:$AX$75,,$AI732), INDEX($AY$71:$BE$75,,$AH732), 1 / ($BF$71:$BF$75*BU732 + (1-$BF$71:$BF$75)*BQ732), N($AU$71:$AU$75&gt;$AM732)),
SUMPRODUCT(INDEX($AV$66:$AX$75,,$AI732), INDEX($AY$66:$BE$75,,$AH732), 1 / ($BG$66:$BG$75*BU732 + (1-$BG$66:$BG$75)*BQ732), N($AU$66:$AU$75&gt;$AM732))
) / 1000</f>
        <v>0</v>
      </c>
      <c r="BW732" s="231">
        <f t="shared" si="817"/>
        <v>25</v>
      </c>
      <c r="BX732" s="229">
        <f t="shared" si="794"/>
        <v>38</v>
      </c>
      <c r="BY732" s="234">
        <f t="shared" si="795"/>
        <v>4.0666935483870965</v>
      </c>
      <c r="BZ732" s="234" cm="1">
        <f t="array" ref="BZ732">$BM732 * IF($AH732&lt;=2,
SUMPRODUCT(INDEX($AV$66:$AX$70,,$AI732), INDEX($AY$66:$BE$70,,$AH732), 1 / ($BF$66:$BF$70*BY732 + (1-$BF$66:$BF$70)*BU732), N($AU$66:$AU$70&gt;$AM732)),
SUMPRODUCT(INDEX($AV$56:$AX$65,,$AI732), INDEX($AY$56:$BE$65,,$AH732), 1 / ($BG$56:$BG$65*BY732 + (1-$BG$56:$BG$65)*BU732), N($AU$56:$AU$65&gt;$AM732))
) / 1000</f>
        <v>0</v>
      </c>
      <c r="CA732" s="231">
        <f t="shared" si="818"/>
        <v>20</v>
      </c>
      <c r="CB732" s="229">
        <f t="shared" si="796"/>
        <v>33</v>
      </c>
      <c r="CC732" s="234">
        <f t="shared" si="797"/>
        <v>4.8487499999999999</v>
      </c>
      <c r="CD732" s="234" cm="1">
        <f t="array" ref="CD732">$BM732 * IF($AH732&lt;=2,
SUMPRODUCT(INDEX($AV$61:$AX$65,,$AI732), INDEX($AY$61:$BE$65,,$AH732), 1 / ($BF$61:$BF$65*CC732 + (1-$BF$61:$BF$65)*BY732), N($AU$61:$AU$65&gt;$AM732)),
SUMPRODUCT(INDEX($AV$46:$AX$55,,$AI732), INDEX($AY$46:$BE$55,,$AH732), 1 / ($BG$46:$BG$55*CC732 + (1-$BG$46:$BG$55)*BY732), N($AU$46:$AU$55&gt;$AM732))
) / 1000</f>
        <v>0</v>
      </c>
      <c r="CE732" s="234" cm="1">
        <f t="array" ref="CE732">$BM732 * IF($AH732&lt;=2,
SUMPRODUCT(INDEX($AV$22:$AX$60,,$AI732), INDEX($AY$22:$BE$60,,$AH732), 1 / ($BF$22:$BF$60*CC732), N($AU$22:$AU$60&gt;$AM732)),
SUMPRODUCT(INDEX($AV$22:$AX$45,,$AI732), INDEX($AY$22:$BE$45,,$AH732), 1 / ($BG$22:$BG$45*CC732), N($AU$22:$AU$45&gt;$AM732))
) / 1000</f>
        <v>0</v>
      </c>
      <c r="CF732" s="229">
        <f t="shared" si="798"/>
        <v>0</v>
      </c>
      <c r="CG732" s="246"/>
      <c r="CH732" s="229">
        <f t="shared" si="799"/>
        <v>0</v>
      </c>
      <c r="CI732" s="228">
        <v>35</v>
      </c>
      <c r="CJ732" s="229">
        <f t="shared" si="800"/>
        <v>48</v>
      </c>
      <c r="CK732" s="234">
        <f t="shared" si="801"/>
        <v>3.0748170731707316</v>
      </c>
      <c r="CL732" s="234" cm="1">
        <f t="array" ref="CL732">$BM732 * SUMPRODUCT(INDEX($AV$76:$AX$81,,$AI732),INDEX($AY$76:$BE$81,,$AH732), N($AU$76:$AU$81&gt;$AM732)) / CK732 / 1000</f>
        <v>0</v>
      </c>
      <c r="CM732" s="231">
        <f t="shared" si="819"/>
        <v>30</v>
      </c>
      <c r="CN732" s="229">
        <f t="shared" si="802"/>
        <v>43</v>
      </c>
      <c r="CO732" s="234">
        <f t="shared" si="803"/>
        <v>3.5018750000000001</v>
      </c>
      <c r="CP732" s="234" cm="1">
        <f t="array" ref="CP732">$BM732 * IF($AH732&lt;=2,
SUMPRODUCT(INDEX($AV$71:$AX$75,,$AI732), INDEX($AY$71:$BE$75,,$AH732), 1 / ($BF$71:$BF$75*CO732 + (1-$BF$71:$BF$75)*CK732), N($AU$71:$AU$75&gt;$AM732)),
SUMPRODUCT(INDEX($AV$66:$AX$75,,$AI732), INDEX($AY$66:$BE$75,,$AH732), 1 / ($BG$66:$BG$75*CO732 + (1-$BG$66:$BG$75)*CK732), N($AU$66:$AU$75&gt;$AM732))
) / 1000</f>
        <v>0</v>
      </c>
      <c r="CQ732" s="231">
        <f t="shared" si="820"/>
        <v>25</v>
      </c>
      <c r="CR732" s="229">
        <f t="shared" si="804"/>
        <v>38</v>
      </c>
      <c r="CS732" s="234">
        <f t="shared" si="805"/>
        <v>4.0666935483870965</v>
      </c>
      <c r="CT732" s="234" cm="1">
        <f t="array" ref="CT732">$BM732 * IF($AH732&lt;=2,
SUMPRODUCT(INDEX($AV$66:$AX$70,,$AI732), INDEX($AY$66:$BE$70,,$AH732), 1 / ($BF$66:$BF$70*CS732 + (1-$BF$66:$BF$70)*CO732), N($AU$66:$AU$70&gt;$AM732)),
SUMPRODUCT(INDEX($AV$56:$AX$65,,$AI732), INDEX($AY$56:$BE$65,,$AH732), 1 / ($BG$56:$BG$65*CS732 + (1-$BG$56:$BG$65)*CO732), N($AU$56:$AU$65&gt;$AM732))
) / 1000</f>
        <v>0</v>
      </c>
      <c r="CU732" s="231">
        <f t="shared" si="821"/>
        <v>20</v>
      </c>
      <c r="CV732" s="229">
        <f t="shared" si="806"/>
        <v>33</v>
      </c>
      <c r="CW732" s="234">
        <f t="shared" si="807"/>
        <v>4.8487499999999999</v>
      </c>
      <c r="CX732" s="234" cm="1">
        <f t="array" ref="CX732">$BM732 * IF($AH732&lt;=2,
SUMPRODUCT(INDEX($AV$61:$AX$65,,$AI732), INDEX($AY$61:$BE$65,,$AH732), 1 / ($BF$61:$BF$65*CW732 + (1-$BF$61:$BF$65)*CS732), N($AU$61:$AU$65&gt;$AM732)),
SUMPRODUCT(INDEX($AV$46:$AX$55,,$AI732), INDEX($AY$46:$BE$55,,$AH732), 1 / ($BG$46:$BG$55*CW732 + (1-$BG$46:$BG$55)*CS732), N($AU$46:$AU$55&gt;$AM732))
) / 1000</f>
        <v>0</v>
      </c>
      <c r="CY732" s="234" cm="1">
        <f t="array" ref="CY732">$BM732 * IF($AH732&lt;=2,
SUMPRODUCT(INDEX($AV$22:$AX$60,,$AI732), INDEX($AY$22:$BE$60,,$AH732), 1 / ($BF$22:$BF$60*CW732), N($AU$22:$AU$60&gt;$AM732)),
SUMPRODUCT(INDEX($AV$22:$AX$45,,$AI732), INDEX($AY$22:$BE$45,,$AH732), 1 / ($BG$22:$BG$45*CW732), N($AU$22:$AU$45&gt;$AM732))
) / 1000</f>
        <v>0</v>
      </c>
      <c r="CZ732" s="229">
        <f t="shared" si="808"/>
        <v>0</v>
      </c>
      <c r="DA732" s="246"/>
    </row>
    <row r="733" spans="1:105" s="75" customFormat="1" ht="14.25" customHeight="1" x14ac:dyDescent="0.2">
      <c r="A733" s="230" t="b">
        <f t="shared" si="813"/>
        <v>0</v>
      </c>
      <c r="B733" s="253">
        <v>712</v>
      </c>
      <c r="C733" s="266"/>
      <c r="D733" s="266"/>
      <c r="E733" s="254"/>
      <c r="F733" s="255" t="str">
        <f>IF(ISBLANK(E733), "", VLOOKUP(E733, Z!$A$2:$C$4127, 3, FALSE))</f>
        <v/>
      </c>
      <c r="G733" s="256"/>
      <c r="H733" s="256"/>
      <c r="I733" s="256"/>
      <c r="J733" s="257"/>
      <c r="K733" s="258"/>
      <c r="L733" s="267"/>
      <c r="M733" s="268"/>
      <c r="N733" s="259" t="str" cm="1">
        <f t="array" ref="N733">IF($L733&gt;0, INDEX(Clean,1+AK733,$D$1), "")</f>
        <v/>
      </c>
      <c r="O733" s="260"/>
      <c r="P733" s="260"/>
      <c r="Q733" s="261"/>
      <c r="R733" s="264">
        <f t="shared" si="784"/>
        <v>0</v>
      </c>
      <c r="S733" s="259" t="str" cm="1">
        <f t="array" ref="S733">IF($L733&gt;0, INDEX(Clean,1+AL733,$D$1), "")</f>
        <v/>
      </c>
      <c r="T733" s="260"/>
      <c r="U733" s="260"/>
      <c r="V733" s="261"/>
      <c r="W733" s="267"/>
      <c r="X733" s="267"/>
      <c r="Y733" s="257"/>
      <c r="Z733" s="264">
        <f t="shared" si="785"/>
        <v>0</v>
      </c>
      <c r="AA733" s="269"/>
      <c r="AB733" s="266"/>
      <c r="AC733" s="254"/>
      <c r="AD733" s="255" t="str">
        <f>IF(ISBLANK(AC733), "", VLOOKUP(AC733, Z!$A$2:$C$4127, 3, FALSE))</f>
        <v/>
      </c>
      <c r="AE733" s="270"/>
      <c r="AF733" s="265">
        <f t="shared" si="786"/>
        <v>0</v>
      </c>
      <c r="AG733" s="246"/>
      <c r="AH733" s="228">
        <f t="shared" si="809"/>
        <v>1</v>
      </c>
      <c r="AI733" s="228">
        <f t="shared" si="810"/>
        <v>1</v>
      </c>
      <c r="AJ733" s="228">
        <f t="shared" si="811"/>
        <v>0</v>
      </c>
      <c r="AK733" s="228">
        <v>0</v>
      </c>
      <c r="AL733" s="228">
        <v>0</v>
      </c>
      <c r="AM733" s="228">
        <f t="shared" si="787"/>
        <v>-100</v>
      </c>
      <c r="AN733" s="228" cm="1">
        <f t="array" ref="AN733">IF(ISBLANK(G733), 1, IFERROR(MATCH(G733, INDEX(Kat,,1), 0), IFERROR(MATCH(Kat, INDEX(Use,,2), 0), MATCH(Kat, INDEX(Use,,3), 0))))</f>
        <v>1</v>
      </c>
      <c r="AO733" s="246"/>
      <c r="AP733" s="228" cm="1">
        <f t="array" ref="AP733">IF(W733&gt;0, INDEX(Kat, AN733,4), 0)</f>
        <v>0</v>
      </c>
      <c r="AQ733" s="228">
        <f t="shared" si="812"/>
        <v>0</v>
      </c>
      <c r="AR733" s="228" cm="1">
        <f t="array" ref="AR733">IF(X733&gt;0, INDEX(Kat, $AN733, 4+AQ733), 0)</f>
        <v>0</v>
      </c>
      <c r="AS733" s="228" cm="1">
        <f t="array" ref="AS733">IF(X733&gt;0, INDEX(Kat, $AN733, 9+AQ733), 0)</f>
        <v>0</v>
      </c>
      <c r="AT733" s="246"/>
      <c r="AU733" s="262"/>
      <c r="AV733" s="262"/>
      <c r="AW733" s="263"/>
      <c r="AX733" s="263"/>
      <c r="AY733" s="263"/>
      <c r="AZ733" s="263"/>
      <c r="BA733" s="263"/>
      <c r="BB733" s="263"/>
      <c r="BC733" s="263"/>
      <c r="BD733" s="263"/>
      <c r="BE733" s="263"/>
      <c r="BF733" s="263"/>
      <c r="BG733" s="263"/>
      <c r="BH733" s="246"/>
      <c r="BI733" s="228" cm="1">
        <f t="array" ref="BI733">INDEX(Use, $AH733, 4)</f>
        <v>7</v>
      </c>
      <c r="BJ733" s="228">
        <f t="shared" si="788"/>
        <v>32</v>
      </c>
      <c r="BK733" s="228">
        <f t="shared" si="814"/>
        <v>13</v>
      </c>
      <c r="BL733" s="228">
        <f t="shared" si="815"/>
        <v>0</v>
      </c>
      <c r="BM733" s="233" cm="1">
        <f t="array" ref="BM733">L733/IF($M733&gt;0, INDEX($AY$22:$BE$76, $M733+20, $AH733), 1)</f>
        <v>0</v>
      </c>
      <c r="BN733" s="229">
        <f t="shared" si="789"/>
        <v>0</v>
      </c>
      <c r="BO733" s="228">
        <v>35</v>
      </c>
      <c r="BP733" s="229">
        <f t="shared" si="790"/>
        <v>48</v>
      </c>
      <c r="BQ733" s="234">
        <f t="shared" si="791"/>
        <v>3.0748170731707316</v>
      </c>
      <c r="BR733" s="234" cm="1">
        <f t="array" ref="BR733">$BM733 * SUMPRODUCT(INDEX($AV$76:$AX$81,,$AI733),INDEX($AY$76:$BE$81,,$AH733), N($AU$76:$AU$81&gt;$AM733)) / BQ733 / 1000</f>
        <v>0</v>
      </c>
      <c r="BS733" s="231">
        <f t="shared" si="816"/>
        <v>30</v>
      </c>
      <c r="BT733" s="229">
        <f t="shared" si="792"/>
        <v>43</v>
      </c>
      <c r="BU733" s="234">
        <f t="shared" si="793"/>
        <v>3.5018750000000001</v>
      </c>
      <c r="BV733" s="234" cm="1">
        <f t="array" ref="BV733">$BM733 * IF($AH733&lt;=2,
SUMPRODUCT(INDEX($AV$71:$AX$75,,$AI733), INDEX($AY$71:$BE$75,,$AH733), 1 / ($BF$71:$BF$75*BU733 + (1-$BF$71:$BF$75)*BQ733), N($AU$71:$AU$75&gt;$AM733)),
SUMPRODUCT(INDEX($AV$66:$AX$75,,$AI733), INDEX($AY$66:$BE$75,,$AH733), 1 / ($BG$66:$BG$75*BU733 + (1-$BG$66:$BG$75)*BQ733), N($AU$66:$AU$75&gt;$AM733))
) / 1000</f>
        <v>0</v>
      </c>
      <c r="BW733" s="231">
        <f t="shared" si="817"/>
        <v>25</v>
      </c>
      <c r="BX733" s="229">
        <f t="shared" si="794"/>
        <v>38</v>
      </c>
      <c r="BY733" s="234">
        <f t="shared" si="795"/>
        <v>4.0666935483870965</v>
      </c>
      <c r="BZ733" s="234" cm="1">
        <f t="array" ref="BZ733">$BM733 * IF($AH733&lt;=2,
SUMPRODUCT(INDEX($AV$66:$AX$70,,$AI733), INDEX($AY$66:$BE$70,,$AH733), 1 / ($BF$66:$BF$70*BY733 + (1-$BF$66:$BF$70)*BU733), N($AU$66:$AU$70&gt;$AM733)),
SUMPRODUCT(INDEX($AV$56:$AX$65,,$AI733), INDEX($AY$56:$BE$65,,$AH733), 1 / ($BG$56:$BG$65*BY733 + (1-$BG$56:$BG$65)*BU733), N($AU$56:$AU$65&gt;$AM733))
) / 1000</f>
        <v>0</v>
      </c>
      <c r="CA733" s="231">
        <f t="shared" si="818"/>
        <v>20</v>
      </c>
      <c r="CB733" s="229">
        <f t="shared" si="796"/>
        <v>33</v>
      </c>
      <c r="CC733" s="234">
        <f t="shared" si="797"/>
        <v>4.8487499999999999</v>
      </c>
      <c r="CD733" s="234" cm="1">
        <f t="array" ref="CD733">$BM733 * IF($AH733&lt;=2,
SUMPRODUCT(INDEX($AV$61:$AX$65,,$AI733), INDEX($AY$61:$BE$65,,$AH733), 1 / ($BF$61:$BF$65*CC733 + (1-$BF$61:$BF$65)*BY733), N($AU$61:$AU$65&gt;$AM733)),
SUMPRODUCT(INDEX($AV$46:$AX$55,,$AI733), INDEX($AY$46:$BE$55,,$AH733), 1 / ($BG$46:$BG$55*CC733 + (1-$BG$46:$BG$55)*BY733), N($AU$46:$AU$55&gt;$AM733))
) / 1000</f>
        <v>0</v>
      </c>
      <c r="CE733" s="234" cm="1">
        <f t="array" ref="CE733">$BM733 * IF($AH733&lt;=2,
SUMPRODUCT(INDEX($AV$22:$AX$60,,$AI733), INDEX($AY$22:$BE$60,,$AH733), 1 / ($BF$22:$BF$60*CC733), N($AU$22:$AU$60&gt;$AM733)),
SUMPRODUCT(INDEX($AV$22:$AX$45,,$AI733), INDEX($AY$22:$BE$45,,$AH733), 1 / ($BG$22:$BG$45*CC733), N($AU$22:$AU$45&gt;$AM733))
) / 1000</f>
        <v>0</v>
      </c>
      <c r="CF733" s="229">
        <f t="shared" si="798"/>
        <v>0</v>
      </c>
      <c r="CG733" s="246"/>
      <c r="CH733" s="229">
        <f t="shared" si="799"/>
        <v>0</v>
      </c>
      <c r="CI733" s="228">
        <v>35</v>
      </c>
      <c r="CJ733" s="229">
        <f t="shared" si="800"/>
        <v>48</v>
      </c>
      <c r="CK733" s="234">
        <f t="shared" si="801"/>
        <v>3.0748170731707316</v>
      </c>
      <c r="CL733" s="234" cm="1">
        <f t="array" ref="CL733">$BM733 * SUMPRODUCT(INDEX($AV$76:$AX$81,,$AI733),INDEX($AY$76:$BE$81,,$AH733), N($AU$76:$AU$81&gt;$AM733)) / CK733 / 1000</f>
        <v>0</v>
      </c>
      <c r="CM733" s="231">
        <f t="shared" si="819"/>
        <v>30</v>
      </c>
      <c r="CN733" s="229">
        <f t="shared" si="802"/>
        <v>43</v>
      </c>
      <c r="CO733" s="234">
        <f t="shared" si="803"/>
        <v>3.5018750000000001</v>
      </c>
      <c r="CP733" s="234" cm="1">
        <f t="array" ref="CP733">$BM733 * IF($AH733&lt;=2,
SUMPRODUCT(INDEX($AV$71:$AX$75,,$AI733), INDEX($AY$71:$BE$75,,$AH733), 1 / ($BF$71:$BF$75*CO733 + (1-$BF$71:$BF$75)*CK733), N($AU$71:$AU$75&gt;$AM733)),
SUMPRODUCT(INDEX($AV$66:$AX$75,,$AI733), INDEX($AY$66:$BE$75,,$AH733), 1 / ($BG$66:$BG$75*CO733 + (1-$BG$66:$BG$75)*CK733), N($AU$66:$AU$75&gt;$AM733))
) / 1000</f>
        <v>0</v>
      </c>
      <c r="CQ733" s="231">
        <f t="shared" si="820"/>
        <v>25</v>
      </c>
      <c r="CR733" s="229">
        <f t="shared" si="804"/>
        <v>38</v>
      </c>
      <c r="CS733" s="234">
        <f t="shared" si="805"/>
        <v>4.0666935483870965</v>
      </c>
      <c r="CT733" s="234" cm="1">
        <f t="array" ref="CT733">$BM733 * IF($AH733&lt;=2,
SUMPRODUCT(INDEX($AV$66:$AX$70,,$AI733), INDEX($AY$66:$BE$70,,$AH733), 1 / ($BF$66:$BF$70*CS733 + (1-$BF$66:$BF$70)*CO733), N($AU$66:$AU$70&gt;$AM733)),
SUMPRODUCT(INDEX($AV$56:$AX$65,,$AI733), INDEX($AY$56:$BE$65,,$AH733), 1 / ($BG$56:$BG$65*CS733 + (1-$BG$56:$BG$65)*CO733), N($AU$56:$AU$65&gt;$AM733))
) / 1000</f>
        <v>0</v>
      </c>
      <c r="CU733" s="231">
        <f t="shared" si="821"/>
        <v>20</v>
      </c>
      <c r="CV733" s="229">
        <f t="shared" si="806"/>
        <v>33</v>
      </c>
      <c r="CW733" s="234">
        <f t="shared" si="807"/>
        <v>4.8487499999999999</v>
      </c>
      <c r="CX733" s="234" cm="1">
        <f t="array" ref="CX733">$BM733 * IF($AH733&lt;=2,
SUMPRODUCT(INDEX($AV$61:$AX$65,,$AI733), INDEX($AY$61:$BE$65,,$AH733), 1 / ($BF$61:$BF$65*CW733 + (1-$BF$61:$BF$65)*CS733), N($AU$61:$AU$65&gt;$AM733)),
SUMPRODUCT(INDEX($AV$46:$AX$55,,$AI733), INDEX($AY$46:$BE$55,,$AH733), 1 / ($BG$46:$BG$55*CW733 + (1-$BG$46:$BG$55)*CS733), N($AU$46:$AU$55&gt;$AM733))
) / 1000</f>
        <v>0</v>
      </c>
      <c r="CY733" s="234" cm="1">
        <f t="array" ref="CY733">$BM733 * IF($AH733&lt;=2,
SUMPRODUCT(INDEX($AV$22:$AX$60,,$AI733), INDEX($AY$22:$BE$60,,$AH733), 1 / ($BF$22:$BF$60*CW733), N($AU$22:$AU$60&gt;$AM733)),
SUMPRODUCT(INDEX($AV$22:$AX$45,,$AI733), INDEX($AY$22:$BE$45,,$AH733), 1 / ($BG$22:$BG$45*CW733), N($AU$22:$AU$45&gt;$AM733))
) / 1000</f>
        <v>0</v>
      </c>
      <c r="CZ733" s="229">
        <f t="shared" si="808"/>
        <v>0</v>
      </c>
      <c r="DA733" s="246"/>
    </row>
    <row r="734" spans="1:105" s="75" customFormat="1" ht="14.25" customHeight="1" x14ac:dyDescent="0.2">
      <c r="A734" s="230" t="b">
        <f t="shared" si="813"/>
        <v>0</v>
      </c>
      <c r="B734" s="253">
        <v>713</v>
      </c>
      <c r="C734" s="266"/>
      <c r="D734" s="266"/>
      <c r="E734" s="254"/>
      <c r="F734" s="255" t="str">
        <f>IF(ISBLANK(E734), "", VLOOKUP(E734, Z!$A$2:$C$4127, 3, FALSE))</f>
        <v/>
      </c>
      <c r="G734" s="256"/>
      <c r="H734" s="256"/>
      <c r="I734" s="256"/>
      <c r="J734" s="257"/>
      <c r="K734" s="258"/>
      <c r="L734" s="267"/>
      <c r="M734" s="268"/>
      <c r="N734" s="259" t="str" cm="1">
        <f t="array" ref="N734">IF($L734&gt;0, INDEX(Clean,1+AK734,$D$1), "")</f>
        <v/>
      </c>
      <c r="O734" s="260"/>
      <c r="P734" s="260"/>
      <c r="Q734" s="261"/>
      <c r="R734" s="264">
        <f t="shared" si="784"/>
        <v>0</v>
      </c>
      <c r="S734" s="259" t="str" cm="1">
        <f t="array" ref="S734">IF($L734&gt;0, INDEX(Clean,1+AL734,$D$1), "")</f>
        <v/>
      </c>
      <c r="T734" s="260"/>
      <c r="U734" s="260"/>
      <c r="V734" s="261"/>
      <c r="W734" s="267"/>
      <c r="X734" s="267"/>
      <c r="Y734" s="257"/>
      <c r="Z734" s="264">
        <f t="shared" si="785"/>
        <v>0</v>
      </c>
      <c r="AA734" s="269"/>
      <c r="AB734" s="266"/>
      <c r="AC734" s="254"/>
      <c r="AD734" s="255" t="str">
        <f>IF(ISBLANK(AC734), "", VLOOKUP(AC734, Z!$A$2:$C$4127, 3, FALSE))</f>
        <v/>
      </c>
      <c r="AE734" s="270"/>
      <c r="AF734" s="265">
        <f t="shared" si="786"/>
        <v>0</v>
      </c>
      <c r="AG734" s="246"/>
      <c r="AH734" s="228">
        <f t="shared" si="809"/>
        <v>1</v>
      </c>
      <c r="AI734" s="228">
        <f t="shared" si="810"/>
        <v>1</v>
      </c>
      <c r="AJ734" s="228">
        <f t="shared" si="811"/>
        <v>0</v>
      </c>
      <c r="AK734" s="228">
        <v>0</v>
      </c>
      <c r="AL734" s="228">
        <v>0</v>
      </c>
      <c r="AM734" s="228">
        <f t="shared" si="787"/>
        <v>-100</v>
      </c>
      <c r="AN734" s="228" cm="1">
        <f t="array" ref="AN734">IF(ISBLANK(G734), 1, IFERROR(MATCH(G734, INDEX(Kat,,1), 0), IFERROR(MATCH(Kat, INDEX(Use,,2), 0), MATCH(Kat, INDEX(Use,,3), 0))))</f>
        <v>1</v>
      </c>
      <c r="AO734" s="246"/>
      <c r="AP734" s="228" cm="1">
        <f t="array" ref="AP734">IF(W734&gt;0, INDEX(Kat, AN734,4), 0)</f>
        <v>0</v>
      </c>
      <c r="AQ734" s="228">
        <f t="shared" si="812"/>
        <v>0</v>
      </c>
      <c r="AR734" s="228" cm="1">
        <f t="array" ref="AR734">IF(X734&gt;0, INDEX(Kat, $AN734, 4+AQ734), 0)</f>
        <v>0</v>
      </c>
      <c r="AS734" s="228" cm="1">
        <f t="array" ref="AS734">IF(X734&gt;0, INDEX(Kat, $AN734, 9+AQ734), 0)</f>
        <v>0</v>
      </c>
      <c r="AT734" s="246"/>
      <c r="AU734" s="262"/>
      <c r="AV734" s="262"/>
      <c r="AW734" s="263"/>
      <c r="AX734" s="263"/>
      <c r="AY734" s="263"/>
      <c r="AZ734" s="263"/>
      <c r="BA734" s="263"/>
      <c r="BB734" s="263"/>
      <c r="BC734" s="263"/>
      <c r="BD734" s="263"/>
      <c r="BE734" s="263"/>
      <c r="BF734" s="263"/>
      <c r="BG734" s="263"/>
      <c r="BH734" s="246"/>
      <c r="BI734" s="228" cm="1">
        <f t="array" ref="BI734">INDEX(Use, $AH734, 4)</f>
        <v>7</v>
      </c>
      <c r="BJ734" s="228">
        <f t="shared" si="788"/>
        <v>32</v>
      </c>
      <c r="BK734" s="228">
        <f t="shared" si="814"/>
        <v>13</v>
      </c>
      <c r="BL734" s="228">
        <f t="shared" si="815"/>
        <v>0</v>
      </c>
      <c r="BM734" s="233" cm="1">
        <f t="array" ref="BM734">L734/IF($M734&gt;0, INDEX($AY$22:$BE$76, $M734+20, $AH734), 1)</f>
        <v>0</v>
      </c>
      <c r="BN734" s="229">
        <f t="shared" si="789"/>
        <v>0</v>
      </c>
      <c r="BO734" s="228">
        <v>35</v>
      </c>
      <c r="BP734" s="229">
        <f t="shared" si="790"/>
        <v>48</v>
      </c>
      <c r="BQ734" s="234">
        <f t="shared" si="791"/>
        <v>3.0748170731707316</v>
      </c>
      <c r="BR734" s="234" cm="1">
        <f t="array" ref="BR734">$BM734 * SUMPRODUCT(INDEX($AV$76:$AX$81,,$AI734),INDEX($AY$76:$BE$81,,$AH734), N($AU$76:$AU$81&gt;$AM734)) / BQ734 / 1000</f>
        <v>0</v>
      </c>
      <c r="BS734" s="231">
        <f t="shared" si="816"/>
        <v>30</v>
      </c>
      <c r="BT734" s="229">
        <f t="shared" si="792"/>
        <v>43</v>
      </c>
      <c r="BU734" s="234">
        <f t="shared" si="793"/>
        <v>3.5018750000000001</v>
      </c>
      <c r="BV734" s="234" cm="1">
        <f t="array" ref="BV734">$BM734 * IF($AH734&lt;=2,
SUMPRODUCT(INDEX($AV$71:$AX$75,,$AI734), INDEX($AY$71:$BE$75,,$AH734), 1 / ($BF$71:$BF$75*BU734 + (1-$BF$71:$BF$75)*BQ734), N($AU$71:$AU$75&gt;$AM734)),
SUMPRODUCT(INDEX($AV$66:$AX$75,,$AI734), INDEX($AY$66:$BE$75,,$AH734), 1 / ($BG$66:$BG$75*BU734 + (1-$BG$66:$BG$75)*BQ734), N($AU$66:$AU$75&gt;$AM734))
) / 1000</f>
        <v>0</v>
      </c>
      <c r="BW734" s="231">
        <f t="shared" si="817"/>
        <v>25</v>
      </c>
      <c r="BX734" s="229">
        <f t="shared" si="794"/>
        <v>38</v>
      </c>
      <c r="BY734" s="234">
        <f t="shared" si="795"/>
        <v>4.0666935483870965</v>
      </c>
      <c r="BZ734" s="234" cm="1">
        <f t="array" ref="BZ734">$BM734 * IF($AH734&lt;=2,
SUMPRODUCT(INDEX($AV$66:$AX$70,,$AI734), INDEX($AY$66:$BE$70,,$AH734), 1 / ($BF$66:$BF$70*BY734 + (1-$BF$66:$BF$70)*BU734), N($AU$66:$AU$70&gt;$AM734)),
SUMPRODUCT(INDEX($AV$56:$AX$65,,$AI734), INDEX($AY$56:$BE$65,,$AH734), 1 / ($BG$56:$BG$65*BY734 + (1-$BG$56:$BG$65)*BU734), N($AU$56:$AU$65&gt;$AM734))
) / 1000</f>
        <v>0</v>
      </c>
      <c r="CA734" s="231">
        <f t="shared" si="818"/>
        <v>20</v>
      </c>
      <c r="CB734" s="229">
        <f t="shared" si="796"/>
        <v>33</v>
      </c>
      <c r="CC734" s="234">
        <f t="shared" si="797"/>
        <v>4.8487499999999999</v>
      </c>
      <c r="CD734" s="234" cm="1">
        <f t="array" ref="CD734">$BM734 * IF($AH734&lt;=2,
SUMPRODUCT(INDEX($AV$61:$AX$65,,$AI734), INDEX($AY$61:$BE$65,,$AH734), 1 / ($BF$61:$BF$65*CC734 + (1-$BF$61:$BF$65)*BY734), N($AU$61:$AU$65&gt;$AM734)),
SUMPRODUCT(INDEX($AV$46:$AX$55,,$AI734), INDEX($AY$46:$BE$55,,$AH734), 1 / ($BG$46:$BG$55*CC734 + (1-$BG$46:$BG$55)*BY734), N($AU$46:$AU$55&gt;$AM734))
) / 1000</f>
        <v>0</v>
      </c>
      <c r="CE734" s="234" cm="1">
        <f t="array" ref="CE734">$BM734 * IF($AH734&lt;=2,
SUMPRODUCT(INDEX($AV$22:$AX$60,,$AI734), INDEX($AY$22:$BE$60,,$AH734), 1 / ($BF$22:$BF$60*CC734), N($AU$22:$AU$60&gt;$AM734)),
SUMPRODUCT(INDEX($AV$22:$AX$45,,$AI734), INDEX($AY$22:$BE$45,,$AH734), 1 / ($BG$22:$BG$45*CC734), N($AU$22:$AU$45&gt;$AM734))
) / 1000</f>
        <v>0</v>
      </c>
      <c r="CF734" s="229">
        <f t="shared" si="798"/>
        <v>0</v>
      </c>
      <c r="CG734" s="246"/>
      <c r="CH734" s="229">
        <f t="shared" si="799"/>
        <v>0</v>
      </c>
      <c r="CI734" s="228">
        <v>35</v>
      </c>
      <c r="CJ734" s="229">
        <f t="shared" si="800"/>
        <v>48</v>
      </c>
      <c r="CK734" s="234">
        <f t="shared" si="801"/>
        <v>3.0748170731707316</v>
      </c>
      <c r="CL734" s="234" cm="1">
        <f t="array" ref="CL734">$BM734 * SUMPRODUCT(INDEX($AV$76:$AX$81,,$AI734),INDEX($AY$76:$BE$81,,$AH734), N($AU$76:$AU$81&gt;$AM734)) / CK734 / 1000</f>
        <v>0</v>
      </c>
      <c r="CM734" s="231">
        <f t="shared" si="819"/>
        <v>30</v>
      </c>
      <c r="CN734" s="229">
        <f t="shared" si="802"/>
        <v>43</v>
      </c>
      <c r="CO734" s="234">
        <f t="shared" si="803"/>
        <v>3.5018750000000001</v>
      </c>
      <c r="CP734" s="234" cm="1">
        <f t="array" ref="CP734">$BM734 * IF($AH734&lt;=2,
SUMPRODUCT(INDEX($AV$71:$AX$75,,$AI734), INDEX($AY$71:$BE$75,,$AH734), 1 / ($BF$71:$BF$75*CO734 + (1-$BF$71:$BF$75)*CK734), N($AU$71:$AU$75&gt;$AM734)),
SUMPRODUCT(INDEX($AV$66:$AX$75,,$AI734), INDEX($AY$66:$BE$75,,$AH734), 1 / ($BG$66:$BG$75*CO734 + (1-$BG$66:$BG$75)*CK734), N($AU$66:$AU$75&gt;$AM734))
) / 1000</f>
        <v>0</v>
      </c>
      <c r="CQ734" s="231">
        <f t="shared" si="820"/>
        <v>25</v>
      </c>
      <c r="CR734" s="229">
        <f t="shared" si="804"/>
        <v>38</v>
      </c>
      <c r="CS734" s="234">
        <f t="shared" si="805"/>
        <v>4.0666935483870965</v>
      </c>
      <c r="CT734" s="234" cm="1">
        <f t="array" ref="CT734">$BM734 * IF($AH734&lt;=2,
SUMPRODUCT(INDEX($AV$66:$AX$70,,$AI734), INDEX($AY$66:$BE$70,,$AH734), 1 / ($BF$66:$BF$70*CS734 + (1-$BF$66:$BF$70)*CO734), N($AU$66:$AU$70&gt;$AM734)),
SUMPRODUCT(INDEX($AV$56:$AX$65,,$AI734), INDEX($AY$56:$BE$65,,$AH734), 1 / ($BG$56:$BG$65*CS734 + (1-$BG$56:$BG$65)*CO734), N($AU$56:$AU$65&gt;$AM734))
) / 1000</f>
        <v>0</v>
      </c>
      <c r="CU734" s="231">
        <f t="shared" si="821"/>
        <v>20</v>
      </c>
      <c r="CV734" s="229">
        <f t="shared" si="806"/>
        <v>33</v>
      </c>
      <c r="CW734" s="234">
        <f t="shared" si="807"/>
        <v>4.8487499999999999</v>
      </c>
      <c r="CX734" s="234" cm="1">
        <f t="array" ref="CX734">$BM734 * IF($AH734&lt;=2,
SUMPRODUCT(INDEX($AV$61:$AX$65,,$AI734), INDEX($AY$61:$BE$65,,$AH734), 1 / ($BF$61:$BF$65*CW734 + (1-$BF$61:$BF$65)*CS734), N($AU$61:$AU$65&gt;$AM734)),
SUMPRODUCT(INDEX($AV$46:$AX$55,,$AI734), INDEX($AY$46:$BE$55,,$AH734), 1 / ($BG$46:$BG$55*CW734 + (1-$BG$46:$BG$55)*CS734), N($AU$46:$AU$55&gt;$AM734))
) / 1000</f>
        <v>0</v>
      </c>
      <c r="CY734" s="234" cm="1">
        <f t="array" ref="CY734">$BM734 * IF($AH734&lt;=2,
SUMPRODUCT(INDEX($AV$22:$AX$60,,$AI734), INDEX($AY$22:$BE$60,,$AH734), 1 / ($BF$22:$BF$60*CW734), N($AU$22:$AU$60&gt;$AM734)),
SUMPRODUCT(INDEX($AV$22:$AX$45,,$AI734), INDEX($AY$22:$BE$45,,$AH734), 1 / ($BG$22:$BG$45*CW734), N($AU$22:$AU$45&gt;$AM734))
) / 1000</f>
        <v>0</v>
      </c>
      <c r="CZ734" s="229">
        <f t="shared" si="808"/>
        <v>0</v>
      </c>
      <c r="DA734" s="246"/>
    </row>
    <row r="735" spans="1:105" s="75" customFormat="1" ht="14.25" customHeight="1" x14ac:dyDescent="0.2">
      <c r="A735" s="230" t="b">
        <f t="shared" si="813"/>
        <v>0</v>
      </c>
      <c r="B735" s="253">
        <v>714</v>
      </c>
      <c r="C735" s="266"/>
      <c r="D735" s="266"/>
      <c r="E735" s="254"/>
      <c r="F735" s="255" t="str">
        <f>IF(ISBLANK(E735), "", VLOOKUP(E735, Z!$A$2:$C$4127, 3, FALSE))</f>
        <v/>
      </c>
      <c r="G735" s="256"/>
      <c r="H735" s="256"/>
      <c r="I735" s="256"/>
      <c r="J735" s="257"/>
      <c r="K735" s="258"/>
      <c r="L735" s="267"/>
      <c r="M735" s="268"/>
      <c r="N735" s="259" t="str" cm="1">
        <f t="array" ref="N735">IF($L735&gt;0, INDEX(Clean,1+AK735,$D$1), "")</f>
        <v/>
      </c>
      <c r="O735" s="260"/>
      <c r="P735" s="260"/>
      <c r="Q735" s="261"/>
      <c r="R735" s="264">
        <f t="shared" si="784"/>
        <v>0</v>
      </c>
      <c r="S735" s="259" t="str" cm="1">
        <f t="array" ref="S735">IF($L735&gt;0, INDEX(Clean,1+AL735,$D$1), "")</f>
        <v/>
      </c>
      <c r="T735" s="260"/>
      <c r="U735" s="260"/>
      <c r="V735" s="261"/>
      <c r="W735" s="267"/>
      <c r="X735" s="267"/>
      <c r="Y735" s="257"/>
      <c r="Z735" s="264">
        <f t="shared" si="785"/>
        <v>0</v>
      </c>
      <c r="AA735" s="269"/>
      <c r="AB735" s="266"/>
      <c r="AC735" s="254"/>
      <c r="AD735" s="255" t="str">
        <f>IF(ISBLANK(AC735), "", VLOOKUP(AC735, Z!$A$2:$C$4127, 3, FALSE))</f>
        <v/>
      </c>
      <c r="AE735" s="270"/>
      <c r="AF735" s="265">
        <f t="shared" si="786"/>
        <v>0</v>
      </c>
      <c r="AG735" s="246"/>
      <c r="AH735" s="228">
        <f t="shared" si="809"/>
        <v>1</v>
      </c>
      <c r="AI735" s="228">
        <f t="shared" si="810"/>
        <v>1</v>
      </c>
      <c r="AJ735" s="228">
        <f t="shared" si="811"/>
        <v>0</v>
      </c>
      <c r="AK735" s="228">
        <v>0</v>
      </c>
      <c r="AL735" s="228">
        <v>0</v>
      </c>
      <c r="AM735" s="228">
        <f t="shared" si="787"/>
        <v>-100</v>
      </c>
      <c r="AN735" s="228" cm="1">
        <f t="array" ref="AN735">IF(ISBLANK(G735), 1, IFERROR(MATCH(G735, INDEX(Kat,,1), 0), IFERROR(MATCH(Kat, INDEX(Use,,2), 0), MATCH(Kat, INDEX(Use,,3), 0))))</f>
        <v>1</v>
      </c>
      <c r="AO735" s="246"/>
      <c r="AP735" s="228" cm="1">
        <f t="array" ref="AP735">IF(W735&gt;0, INDEX(Kat, AN735,4), 0)</f>
        <v>0</v>
      </c>
      <c r="AQ735" s="228">
        <f t="shared" si="812"/>
        <v>0</v>
      </c>
      <c r="AR735" s="228" cm="1">
        <f t="array" ref="AR735">IF(X735&gt;0, INDEX(Kat, $AN735, 4+AQ735), 0)</f>
        <v>0</v>
      </c>
      <c r="AS735" s="228" cm="1">
        <f t="array" ref="AS735">IF(X735&gt;0, INDEX(Kat, $AN735, 9+AQ735), 0)</f>
        <v>0</v>
      </c>
      <c r="AT735" s="246"/>
      <c r="AU735" s="262"/>
      <c r="AV735" s="262"/>
      <c r="AW735" s="263"/>
      <c r="AX735" s="263"/>
      <c r="AY735" s="263"/>
      <c r="AZ735" s="263"/>
      <c r="BA735" s="263"/>
      <c r="BB735" s="263"/>
      <c r="BC735" s="263"/>
      <c r="BD735" s="263"/>
      <c r="BE735" s="263"/>
      <c r="BF735" s="263"/>
      <c r="BG735" s="263"/>
      <c r="BH735" s="246"/>
      <c r="BI735" s="228" cm="1">
        <f t="array" ref="BI735">INDEX(Use, $AH735, 4)</f>
        <v>7</v>
      </c>
      <c r="BJ735" s="228">
        <f t="shared" si="788"/>
        <v>32</v>
      </c>
      <c r="BK735" s="228">
        <f t="shared" si="814"/>
        <v>13</v>
      </c>
      <c r="BL735" s="228">
        <f t="shared" si="815"/>
        <v>0</v>
      </c>
      <c r="BM735" s="233" cm="1">
        <f t="array" ref="BM735">L735/IF($M735&gt;0, INDEX($AY$22:$BE$76, $M735+20, $AH735), 1)</f>
        <v>0</v>
      </c>
      <c r="BN735" s="229">
        <f t="shared" si="789"/>
        <v>0</v>
      </c>
      <c r="BO735" s="228">
        <v>35</v>
      </c>
      <c r="BP735" s="229">
        <f t="shared" si="790"/>
        <v>48</v>
      </c>
      <c r="BQ735" s="234">
        <f t="shared" si="791"/>
        <v>3.0748170731707316</v>
      </c>
      <c r="BR735" s="234" cm="1">
        <f t="array" ref="BR735">$BM735 * SUMPRODUCT(INDEX($AV$76:$AX$81,,$AI735),INDEX($AY$76:$BE$81,,$AH735), N($AU$76:$AU$81&gt;$AM735)) / BQ735 / 1000</f>
        <v>0</v>
      </c>
      <c r="BS735" s="231">
        <f t="shared" si="816"/>
        <v>30</v>
      </c>
      <c r="BT735" s="229">
        <f t="shared" si="792"/>
        <v>43</v>
      </c>
      <c r="BU735" s="234">
        <f t="shared" si="793"/>
        <v>3.5018750000000001</v>
      </c>
      <c r="BV735" s="234" cm="1">
        <f t="array" ref="BV735">$BM735 * IF($AH735&lt;=2,
SUMPRODUCT(INDEX($AV$71:$AX$75,,$AI735), INDEX($AY$71:$BE$75,,$AH735), 1 / ($BF$71:$BF$75*BU735 + (1-$BF$71:$BF$75)*BQ735), N($AU$71:$AU$75&gt;$AM735)),
SUMPRODUCT(INDEX($AV$66:$AX$75,,$AI735), INDEX($AY$66:$BE$75,,$AH735), 1 / ($BG$66:$BG$75*BU735 + (1-$BG$66:$BG$75)*BQ735), N($AU$66:$AU$75&gt;$AM735))
) / 1000</f>
        <v>0</v>
      </c>
      <c r="BW735" s="231">
        <f t="shared" si="817"/>
        <v>25</v>
      </c>
      <c r="BX735" s="229">
        <f t="shared" si="794"/>
        <v>38</v>
      </c>
      <c r="BY735" s="234">
        <f t="shared" si="795"/>
        <v>4.0666935483870965</v>
      </c>
      <c r="BZ735" s="234" cm="1">
        <f t="array" ref="BZ735">$BM735 * IF($AH735&lt;=2,
SUMPRODUCT(INDEX($AV$66:$AX$70,,$AI735), INDEX($AY$66:$BE$70,,$AH735), 1 / ($BF$66:$BF$70*BY735 + (1-$BF$66:$BF$70)*BU735), N($AU$66:$AU$70&gt;$AM735)),
SUMPRODUCT(INDEX($AV$56:$AX$65,,$AI735), INDEX($AY$56:$BE$65,,$AH735), 1 / ($BG$56:$BG$65*BY735 + (1-$BG$56:$BG$65)*BU735), N($AU$56:$AU$65&gt;$AM735))
) / 1000</f>
        <v>0</v>
      </c>
      <c r="CA735" s="231">
        <f t="shared" si="818"/>
        <v>20</v>
      </c>
      <c r="CB735" s="229">
        <f t="shared" si="796"/>
        <v>33</v>
      </c>
      <c r="CC735" s="234">
        <f t="shared" si="797"/>
        <v>4.8487499999999999</v>
      </c>
      <c r="CD735" s="234" cm="1">
        <f t="array" ref="CD735">$BM735 * IF($AH735&lt;=2,
SUMPRODUCT(INDEX($AV$61:$AX$65,,$AI735), INDEX($AY$61:$BE$65,,$AH735), 1 / ($BF$61:$BF$65*CC735 + (1-$BF$61:$BF$65)*BY735), N($AU$61:$AU$65&gt;$AM735)),
SUMPRODUCT(INDEX($AV$46:$AX$55,,$AI735), INDEX($AY$46:$BE$55,,$AH735), 1 / ($BG$46:$BG$55*CC735 + (1-$BG$46:$BG$55)*BY735), N($AU$46:$AU$55&gt;$AM735))
) / 1000</f>
        <v>0</v>
      </c>
      <c r="CE735" s="234" cm="1">
        <f t="array" ref="CE735">$BM735 * IF($AH735&lt;=2,
SUMPRODUCT(INDEX($AV$22:$AX$60,,$AI735), INDEX($AY$22:$BE$60,,$AH735), 1 / ($BF$22:$BF$60*CC735), N($AU$22:$AU$60&gt;$AM735)),
SUMPRODUCT(INDEX($AV$22:$AX$45,,$AI735), INDEX($AY$22:$BE$45,,$AH735), 1 / ($BG$22:$BG$45*CC735), N($AU$22:$AU$45&gt;$AM735))
) / 1000</f>
        <v>0</v>
      </c>
      <c r="CF735" s="229">
        <f t="shared" si="798"/>
        <v>0</v>
      </c>
      <c r="CG735" s="246"/>
      <c r="CH735" s="229">
        <f t="shared" si="799"/>
        <v>0</v>
      </c>
      <c r="CI735" s="228">
        <v>35</v>
      </c>
      <c r="CJ735" s="229">
        <f t="shared" si="800"/>
        <v>48</v>
      </c>
      <c r="CK735" s="234">
        <f t="shared" si="801"/>
        <v>3.0748170731707316</v>
      </c>
      <c r="CL735" s="234" cm="1">
        <f t="array" ref="CL735">$BM735 * SUMPRODUCT(INDEX($AV$76:$AX$81,,$AI735),INDEX($AY$76:$BE$81,,$AH735), N($AU$76:$AU$81&gt;$AM735)) / CK735 / 1000</f>
        <v>0</v>
      </c>
      <c r="CM735" s="231">
        <f t="shared" si="819"/>
        <v>30</v>
      </c>
      <c r="CN735" s="229">
        <f t="shared" si="802"/>
        <v>43</v>
      </c>
      <c r="CO735" s="234">
        <f t="shared" si="803"/>
        <v>3.5018750000000001</v>
      </c>
      <c r="CP735" s="234" cm="1">
        <f t="array" ref="CP735">$BM735 * IF($AH735&lt;=2,
SUMPRODUCT(INDEX($AV$71:$AX$75,,$AI735), INDEX($AY$71:$BE$75,,$AH735), 1 / ($BF$71:$BF$75*CO735 + (1-$BF$71:$BF$75)*CK735), N($AU$71:$AU$75&gt;$AM735)),
SUMPRODUCT(INDEX($AV$66:$AX$75,,$AI735), INDEX($AY$66:$BE$75,,$AH735), 1 / ($BG$66:$BG$75*CO735 + (1-$BG$66:$BG$75)*CK735), N($AU$66:$AU$75&gt;$AM735))
) / 1000</f>
        <v>0</v>
      </c>
      <c r="CQ735" s="231">
        <f t="shared" si="820"/>
        <v>25</v>
      </c>
      <c r="CR735" s="229">
        <f t="shared" si="804"/>
        <v>38</v>
      </c>
      <c r="CS735" s="234">
        <f t="shared" si="805"/>
        <v>4.0666935483870965</v>
      </c>
      <c r="CT735" s="234" cm="1">
        <f t="array" ref="CT735">$BM735 * IF($AH735&lt;=2,
SUMPRODUCT(INDEX($AV$66:$AX$70,,$AI735), INDEX($AY$66:$BE$70,,$AH735), 1 / ($BF$66:$BF$70*CS735 + (1-$BF$66:$BF$70)*CO735), N($AU$66:$AU$70&gt;$AM735)),
SUMPRODUCT(INDEX($AV$56:$AX$65,,$AI735), INDEX($AY$56:$BE$65,,$AH735), 1 / ($BG$56:$BG$65*CS735 + (1-$BG$56:$BG$65)*CO735), N($AU$56:$AU$65&gt;$AM735))
) / 1000</f>
        <v>0</v>
      </c>
      <c r="CU735" s="231">
        <f t="shared" si="821"/>
        <v>20</v>
      </c>
      <c r="CV735" s="229">
        <f t="shared" si="806"/>
        <v>33</v>
      </c>
      <c r="CW735" s="234">
        <f t="shared" si="807"/>
        <v>4.8487499999999999</v>
      </c>
      <c r="CX735" s="234" cm="1">
        <f t="array" ref="CX735">$BM735 * IF($AH735&lt;=2,
SUMPRODUCT(INDEX($AV$61:$AX$65,,$AI735), INDEX($AY$61:$BE$65,,$AH735), 1 / ($BF$61:$BF$65*CW735 + (1-$BF$61:$BF$65)*CS735), N($AU$61:$AU$65&gt;$AM735)),
SUMPRODUCT(INDEX($AV$46:$AX$55,,$AI735), INDEX($AY$46:$BE$55,,$AH735), 1 / ($BG$46:$BG$55*CW735 + (1-$BG$46:$BG$55)*CS735), N($AU$46:$AU$55&gt;$AM735))
) / 1000</f>
        <v>0</v>
      </c>
      <c r="CY735" s="234" cm="1">
        <f t="array" ref="CY735">$BM735 * IF($AH735&lt;=2,
SUMPRODUCT(INDEX($AV$22:$AX$60,,$AI735), INDEX($AY$22:$BE$60,,$AH735), 1 / ($BF$22:$BF$60*CW735), N($AU$22:$AU$60&gt;$AM735)),
SUMPRODUCT(INDEX($AV$22:$AX$45,,$AI735), INDEX($AY$22:$BE$45,,$AH735), 1 / ($BG$22:$BG$45*CW735), N($AU$22:$AU$45&gt;$AM735))
) / 1000</f>
        <v>0</v>
      </c>
      <c r="CZ735" s="229">
        <f t="shared" si="808"/>
        <v>0</v>
      </c>
      <c r="DA735" s="246"/>
    </row>
    <row r="736" spans="1:105" s="75" customFormat="1" ht="14.25" customHeight="1" x14ac:dyDescent="0.2">
      <c r="A736" s="230" t="b">
        <f t="shared" si="813"/>
        <v>0</v>
      </c>
      <c r="B736" s="253">
        <v>715</v>
      </c>
      <c r="C736" s="266"/>
      <c r="D736" s="266"/>
      <c r="E736" s="254"/>
      <c r="F736" s="255" t="str">
        <f>IF(ISBLANK(E736), "", VLOOKUP(E736, Z!$A$2:$C$4127, 3, FALSE))</f>
        <v/>
      </c>
      <c r="G736" s="256"/>
      <c r="H736" s="256"/>
      <c r="I736" s="256"/>
      <c r="J736" s="257"/>
      <c r="K736" s="258"/>
      <c r="L736" s="267"/>
      <c r="M736" s="268"/>
      <c r="N736" s="259" t="str" cm="1">
        <f t="array" ref="N736">IF($L736&gt;0, INDEX(Clean,1+AK736,$D$1), "")</f>
        <v/>
      </c>
      <c r="O736" s="260"/>
      <c r="P736" s="260"/>
      <c r="Q736" s="261"/>
      <c r="R736" s="264">
        <f t="shared" si="784"/>
        <v>0</v>
      </c>
      <c r="S736" s="259" t="str" cm="1">
        <f t="array" ref="S736">IF($L736&gt;0, INDEX(Clean,1+AL736,$D$1), "")</f>
        <v/>
      </c>
      <c r="T736" s="260"/>
      <c r="U736" s="260"/>
      <c r="V736" s="261"/>
      <c r="W736" s="267"/>
      <c r="X736" s="267"/>
      <c r="Y736" s="257"/>
      <c r="Z736" s="264">
        <f t="shared" si="785"/>
        <v>0</v>
      </c>
      <c r="AA736" s="269"/>
      <c r="AB736" s="266"/>
      <c r="AC736" s="254"/>
      <c r="AD736" s="255" t="str">
        <f>IF(ISBLANK(AC736), "", VLOOKUP(AC736, Z!$A$2:$C$4127, 3, FALSE))</f>
        <v/>
      </c>
      <c r="AE736" s="270"/>
      <c r="AF736" s="265">
        <f t="shared" si="786"/>
        <v>0</v>
      </c>
      <c r="AG736" s="246"/>
      <c r="AH736" s="228">
        <f t="shared" si="809"/>
        <v>1</v>
      </c>
      <c r="AI736" s="228">
        <f t="shared" si="810"/>
        <v>1</v>
      </c>
      <c r="AJ736" s="228">
        <f t="shared" si="811"/>
        <v>0</v>
      </c>
      <c r="AK736" s="228">
        <v>0</v>
      </c>
      <c r="AL736" s="228">
        <v>0</v>
      </c>
      <c r="AM736" s="228">
        <f t="shared" si="787"/>
        <v>-100</v>
      </c>
      <c r="AN736" s="228" cm="1">
        <f t="array" ref="AN736">IF(ISBLANK(G736), 1, IFERROR(MATCH(G736, INDEX(Kat,,1), 0), IFERROR(MATCH(Kat, INDEX(Use,,2), 0), MATCH(Kat, INDEX(Use,,3), 0))))</f>
        <v>1</v>
      </c>
      <c r="AO736" s="246"/>
      <c r="AP736" s="228" cm="1">
        <f t="array" ref="AP736">IF(W736&gt;0, INDEX(Kat, AN736,4), 0)</f>
        <v>0</v>
      </c>
      <c r="AQ736" s="228">
        <f t="shared" si="812"/>
        <v>0</v>
      </c>
      <c r="AR736" s="228" cm="1">
        <f t="array" ref="AR736">IF(X736&gt;0, INDEX(Kat, $AN736, 4+AQ736), 0)</f>
        <v>0</v>
      </c>
      <c r="AS736" s="228" cm="1">
        <f t="array" ref="AS736">IF(X736&gt;0, INDEX(Kat, $AN736, 9+AQ736), 0)</f>
        <v>0</v>
      </c>
      <c r="AT736" s="246"/>
      <c r="AU736" s="262"/>
      <c r="AV736" s="262"/>
      <c r="AW736" s="263"/>
      <c r="AX736" s="263"/>
      <c r="AY736" s="263"/>
      <c r="AZ736" s="263"/>
      <c r="BA736" s="263"/>
      <c r="BB736" s="263"/>
      <c r="BC736" s="263"/>
      <c r="BD736" s="263"/>
      <c r="BE736" s="263"/>
      <c r="BF736" s="263"/>
      <c r="BG736" s="263"/>
      <c r="BH736" s="246"/>
      <c r="BI736" s="228" cm="1">
        <f t="array" ref="BI736">INDEX(Use, $AH736, 4)</f>
        <v>7</v>
      </c>
      <c r="BJ736" s="228">
        <f t="shared" si="788"/>
        <v>32</v>
      </c>
      <c r="BK736" s="228">
        <f t="shared" si="814"/>
        <v>13</v>
      </c>
      <c r="BL736" s="228">
        <f t="shared" si="815"/>
        <v>0</v>
      </c>
      <c r="BM736" s="233" cm="1">
        <f t="array" ref="BM736">L736/IF($M736&gt;0, INDEX($AY$22:$BE$76, $M736+20, $AH736), 1)</f>
        <v>0</v>
      </c>
      <c r="BN736" s="229">
        <f t="shared" si="789"/>
        <v>0</v>
      </c>
      <c r="BO736" s="228">
        <v>35</v>
      </c>
      <c r="BP736" s="229">
        <f t="shared" si="790"/>
        <v>48</v>
      </c>
      <c r="BQ736" s="234">
        <f t="shared" si="791"/>
        <v>3.0748170731707316</v>
      </c>
      <c r="BR736" s="234" cm="1">
        <f t="array" ref="BR736">$BM736 * SUMPRODUCT(INDEX($AV$76:$AX$81,,$AI736),INDEX($AY$76:$BE$81,,$AH736), N($AU$76:$AU$81&gt;$AM736)) / BQ736 / 1000</f>
        <v>0</v>
      </c>
      <c r="BS736" s="231">
        <f t="shared" si="816"/>
        <v>30</v>
      </c>
      <c r="BT736" s="229">
        <f t="shared" si="792"/>
        <v>43</v>
      </c>
      <c r="BU736" s="234">
        <f t="shared" si="793"/>
        <v>3.5018750000000001</v>
      </c>
      <c r="BV736" s="234" cm="1">
        <f t="array" ref="BV736">$BM736 * IF($AH736&lt;=2,
SUMPRODUCT(INDEX($AV$71:$AX$75,,$AI736), INDEX($AY$71:$BE$75,,$AH736), 1 / ($BF$71:$BF$75*BU736 + (1-$BF$71:$BF$75)*BQ736), N($AU$71:$AU$75&gt;$AM736)),
SUMPRODUCT(INDEX($AV$66:$AX$75,,$AI736), INDEX($AY$66:$BE$75,,$AH736), 1 / ($BG$66:$BG$75*BU736 + (1-$BG$66:$BG$75)*BQ736), N($AU$66:$AU$75&gt;$AM736))
) / 1000</f>
        <v>0</v>
      </c>
      <c r="BW736" s="231">
        <f t="shared" si="817"/>
        <v>25</v>
      </c>
      <c r="BX736" s="229">
        <f t="shared" si="794"/>
        <v>38</v>
      </c>
      <c r="BY736" s="234">
        <f t="shared" si="795"/>
        <v>4.0666935483870965</v>
      </c>
      <c r="BZ736" s="234" cm="1">
        <f t="array" ref="BZ736">$BM736 * IF($AH736&lt;=2,
SUMPRODUCT(INDEX($AV$66:$AX$70,,$AI736), INDEX($AY$66:$BE$70,,$AH736), 1 / ($BF$66:$BF$70*BY736 + (1-$BF$66:$BF$70)*BU736), N($AU$66:$AU$70&gt;$AM736)),
SUMPRODUCT(INDEX($AV$56:$AX$65,,$AI736), INDEX($AY$56:$BE$65,,$AH736), 1 / ($BG$56:$BG$65*BY736 + (1-$BG$56:$BG$65)*BU736), N($AU$56:$AU$65&gt;$AM736))
) / 1000</f>
        <v>0</v>
      </c>
      <c r="CA736" s="231">
        <f t="shared" si="818"/>
        <v>20</v>
      </c>
      <c r="CB736" s="229">
        <f t="shared" si="796"/>
        <v>33</v>
      </c>
      <c r="CC736" s="234">
        <f t="shared" si="797"/>
        <v>4.8487499999999999</v>
      </c>
      <c r="CD736" s="234" cm="1">
        <f t="array" ref="CD736">$BM736 * IF($AH736&lt;=2,
SUMPRODUCT(INDEX($AV$61:$AX$65,,$AI736), INDEX($AY$61:$BE$65,,$AH736), 1 / ($BF$61:$BF$65*CC736 + (1-$BF$61:$BF$65)*BY736), N($AU$61:$AU$65&gt;$AM736)),
SUMPRODUCT(INDEX($AV$46:$AX$55,,$AI736), INDEX($AY$46:$BE$55,,$AH736), 1 / ($BG$46:$BG$55*CC736 + (1-$BG$46:$BG$55)*BY736), N($AU$46:$AU$55&gt;$AM736))
) / 1000</f>
        <v>0</v>
      </c>
      <c r="CE736" s="234" cm="1">
        <f t="array" ref="CE736">$BM736 * IF($AH736&lt;=2,
SUMPRODUCT(INDEX($AV$22:$AX$60,,$AI736), INDEX($AY$22:$BE$60,,$AH736), 1 / ($BF$22:$BF$60*CC736), N($AU$22:$AU$60&gt;$AM736)),
SUMPRODUCT(INDEX($AV$22:$AX$45,,$AI736), INDEX($AY$22:$BE$45,,$AH736), 1 / ($BG$22:$BG$45*CC736), N($AU$22:$AU$45&gt;$AM736))
) / 1000</f>
        <v>0</v>
      </c>
      <c r="CF736" s="229">
        <f t="shared" si="798"/>
        <v>0</v>
      </c>
      <c r="CG736" s="246"/>
      <c r="CH736" s="229">
        <f t="shared" si="799"/>
        <v>0</v>
      </c>
      <c r="CI736" s="228">
        <v>35</v>
      </c>
      <c r="CJ736" s="229">
        <f t="shared" si="800"/>
        <v>48</v>
      </c>
      <c r="CK736" s="234">
        <f t="shared" si="801"/>
        <v>3.0748170731707316</v>
      </c>
      <c r="CL736" s="234" cm="1">
        <f t="array" ref="CL736">$BM736 * SUMPRODUCT(INDEX($AV$76:$AX$81,,$AI736),INDEX($AY$76:$BE$81,,$AH736), N($AU$76:$AU$81&gt;$AM736)) / CK736 / 1000</f>
        <v>0</v>
      </c>
      <c r="CM736" s="231">
        <f t="shared" si="819"/>
        <v>30</v>
      </c>
      <c r="CN736" s="229">
        <f t="shared" si="802"/>
        <v>43</v>
      </c>
      <c r="CO736" s="234">
        <f t="shared" si="803"/>
        <v>3.5018750000000001</v>
      </c>
      <c r="CP736" s="234" cm="1">
        <f t="array" ref="CP736">$BM736 * IF($AH736&lt;=2,
SUMPRODUCT(INDEX($AV$71:$AX$75,,$AI736), INDEX($AY$71:$BE$75,,$AH736), 1 / ($BF$71:$BF$75*CO736 + (1-$BF$71:$BF$75)*CK736), N($AU$71:$AU$75&gt;$AM736)),
SUMPRODUCT(INDEX($AV$66:$AX$75,,$AI736), INDEX($AY$66:$BE$75,,$AH736), 1 / ($BG$66:$BG$75*CO736 + (1-$BG$66:$BG$75)*CK736), N($AU$66:$AU$75&gt;$AM736))
) / 1000</f>
        <v>0</v>
      </c>
      <c r="CQ736" s="231">
        <f t="shared" si="820"/>
        <v>25</v>
      </c>
      <c r="CR736" s="229">
        <f t="shared" si="804"/>
        <v>38</v>
      </c>
      <c r="CS736" s="234">
        <f t="shared" si="805"/>
        <v>4.0666935483870965</v>
      </c>
      <c r="CT736" s="234" cm="1">
        <f t="array" ref="CT736">$BM736 * IF($AH736&lt;=2,
SUMPRODUCT(INDEX($AV$66:$AX$70,,$AI736), INDEX($AY$66:$BE$70,,$AH736), 1 / ($BF$66:$BF$70*CS736 + (1-$BF$66:$BF$70)*CO736), N($AU$66:$AU$70&gt;$AM736)),
SUMPRODUCT(INDEX($AV$56:$AX$65,,$AI736), INDEX($AY$56:$BE$65,,$AH736), 1 / ($BG$56:$BG$65*CS736 + (1-$BG$56:$BG$65)*CO736), N($AU$56:$AU$65&gt;$AM736))
) / 1000</f>
        <v>0</v>
      </c>
      <c r="CU736" s="231">
        <f t="shared" si="821"/>
        <v>20</v>
      </c>
      <c r="CV736" s="229">
        <f t="shared" si="806"/>
        <v>33</v>
      </c>
      <c r="CW736" s="234">
        <f t="shared" si="807"/>
        <v>4.8487499999999999</v>
      </c>
      <c r="CX736" s="234" cm="1">
        <f t="array" ref="CX736">$BM736 * IF($AH736&lt;=2,
SUMPRODUCT(INDEX($AV$61:$AX$65,,$AI736), INDEX($AY$61:$BE$65,,$AH736), 1 / ($BF$61:$BF$65*CW736 + (1-$BF$61:$BF$65)*CS736), N($AU$61:$AU$65&gt;$AM736)),
SUMPRODUCT(INDEX($AV$46:$AX$55,,$AI736), INDEX($AY$46:$BE$55,,$AH736), 1 / ($BG$46:$BG$55*CW736 + (1-$BG$46:$BG$55)*CS736), N($AU$46:$AU$55&gt;$AM736))
) / 1000</f>
        <v>0</v>
      </c>
      <c r="CY736" s="234" cm="1">
        <f t="array" ref="CY736">$BM736 * IF($AH736&lt;=2,
SUMPRODUCT(INDEX($AV$22:$AX$60,,$AI736), INDEX($AY$22:$BE$60,,$AH736), 1 / ($BF$22:$BF$60*CW736), N($AU$22:$AU$60&gt;$AM736)),
SUMPRODUCT(INDEX($AV$22:$AX$45,,$AI736), INDEX($AY$22:$BE$45,,$AH736), 1 / ($BG$22:$BG$45*CW736), N($AU$22:$AU$45&gt;$AM736))
) / 1000</f>
        <v>0</v>
      </c>
      <c r="CZ736" s="229">
        <f t="shared" si="808"/>
        <v>0</v>
      </c>
      <c r="DA736" s="246"/>
    </row>
    <row r="737" spans="1:105" s="75" customFormat="1" ht="14.25" customHeight="1" x14ac:dyDescent="0.2">
      <c r="A737" s="230" t="b">
        <f t="shared" si="813"/>
        <v>0</v>
      </c>
      <c r="B737" s="253">
        <v>716</v>
      </c>
      <c r="C737" s="266"/>
      <c r="D737" s="266"/>
      <c r="E737" s="254"/>
      <c r="F737" s="255" t="str">
        <f>IF(ISBLANK(E737), "", VLOOKUP(E737, Z!$A$2:$C$4127, 3, FALSE))</f>
        <v/>
      </c>
      <c r="G737" s="256"/>
      <c r="H737" s="256"/>
      <c r="I737" s="256"/>
      <c r="J737" s="257"/>
      <c r="K737" s="258"/>
      <c r="L737" s="267"/>
      <c r="M737" s="268"/>
      <c r="N737" s="259" t="str" cm="1">
        <f t="array" ref="N737">IF($L737&gt;0, INDEX(Clean,1+AK737,$D$1), "")</f>
        <v/>
      </c>
      <c r="O737" s="260"/>
      <c r="P737" s="260"/>
      <c r="Q737" s="261"/>
      <c r="R737" s="264">
        <f t="shared" si="784"/>
        <v>0</v>
      </c>
      <c r="S737" s="259" t="str" cm="1">
        <f t="array" ref="S737">IF($L737&gt;0, INDEX(Clean,1+AL737,$D$1), "")</f>
        <v/>
      </c>
      <c r="T737" s="260"/>
      <c r="U737" s="260"/>
      <c r="V737" s="261"/>
      <c r="W737" s="267"/>
      <c r="X737" s="267"/>
      <c r="Y737" s="257"/>
      <c r="Z737" s="264">
        <f t="shared" si="785"/>
        <v>0</v>
      </c>
      <c r="AA737" s="269"/>
      <c r="AB737" s="266"/>
      <c r="AC737" s="254"/>
      <c r="AD737" s="255" t="str">
        <f>IF(ISBLANK(AC737), "", VLOOKUP(AC737, Z!$A$2:$C$4127, 3, FALSE))</f>
        <v/>
      </c>
      <c r="AE737" s="270"/>
      <c r="AF737" s="265">
        <f t="shared" si="786"/>
        <v>0</v>
      </c>
      <c r="AG737" s="246"/>
      <c r="AH737" s="228">
        <f t="shared" si="809"/>
        <v>1</v>
      </c>
      <c r="AI737" s="228">
        <f t="shared" si="810"/>
        <v>1</v>
      </c>
      <c r="AJ737" s="228">
        <f t="shared" si="811"/>
        <v>0</v>
      </c>
      <c r="AK737" s="228">
        <v>0</v>
      </c>
      <c r="AL737" s="228">
        <v>0</v>
      </c>
      <c r="AM737" s="228">
        <f t="shared" si="787"/>
        <v>-100</v>
      </c>
      <c r="AN737" s="228" cm="1">
        <f t="array" ref="AN737">IF(ISBLANK(G737), 1, IFERROR(MATCH(G737, INDEX(Kat,,1), 0), IFERROR(MATCH(Kat, INDEX(Use,,2), 0), MATCH(Kat, INDEX(Use,,3), 0))))</f>
        <v>1</v>
      </c>
      <c r="AO737" s="246"/>
      <c r="AP737" s="228" cm="1">
        <f t="array" ref="AP737">IF(W737&gt;0, INDEX(Kat, AN737,4), 0)</f>
        <v>0</v>
      </c>
      <c r="AQ737" s="228">
        <f t="shared" si="812"/>
        <v>0</v>
      </c>
      <c r="AR737" s="228" cm="1">
        <f t="array" ref="AR737">IF(X737&gt;0, INDEX(Kat, $AN737, 4+AQ737), 0)</f>
        <v>0</v>
      </c>
      <c r="AS737" s="228" cm="1">
        <f t="array" ref="AS737">IF(X737&gt;0, INDEX(Kat, $AN737, 9+AQ737), 0)</f>
        <v>0</v>
      </c>
      <c r="AT737" s="246"/>
      <c r="AU737" s="262"/>
      <c r="AV737" s="262"/>
      <c r="AW737" s="263"/>
      <c r="AX737" s="263"/>
      <c r="AY737" s="263"/>
      <c r="AZ737" s="263"/>
      <c r="BA737" s="263"/>
      <c r="BB737" s="263"/>
      <c r="BC737" s="263"/>
      <c r="BD737" s="263"/>
      <c r="BE737" s="263"/>
      <c r="BF737" s="263"/>
      <c r="BG737" s="263"/>
      <c r="BH737" s="246"/>
      <c r="BI737" s="228" cm="1">
        <f t="array" ref="BI737">INDEX(Use, $AH737, 4)</f>
        <v>7</v>
      </c>
      <c r="BJ737" s="228">
        <f t="shared" si="788"/>
        <v>32</v>
      </c>
      <c r="BK737" s="228">
        <f t="shared" si="814"/>
        <v>13</v>
      </c>
      <c r="BL737" s="228">
        <f t="shared" si="815"/>
        <v>0</v>
      </c>
      <c r="BM737" s="233" cm="1">
        <f t="array" ref="BM737">L737/IF($M737&gt;0, INDEX($AY$22:$BE$76, $M737+20, $AH737), 1)</f>
        <v>0</v>
      </c>
      <c r="BN737" s="229">
        <f t="shared" si="789"/>
        <v>0</v>
      </c>
      <c r="BO737" s="228">
        <v>35</v>
      </c>
      <c r="BP737" s="229">
        <f t="shared" si="790"/>
        <v>48</v>
      </c>
      <c r="BQ737" s="234">
        <f t="shared" si="791"/>
        <v>3.0748170731707316</v>
      </c>
      <c r="BR737" s="234" cm="1">
        <f t="array" ref="BR737">$BM737 * SUMPRODUCT(INDEX($AV$76:$AX$81,,$AI737),INDEX($AY$76:$BE$81,,$AH737), N($AU$76:$AU$81&gt;$AM737)) / BQ737 / 1000</f>
        <v>0</v>
      </c>
      <c r="BS737" s="231">
        <f t="shared" si="816"/>
        <v>30</v>
      </c>
      <c r="BT737" s="229">
        <f t="shared" si="792"/>
        <v>43</v>
      </c>
      <c r="BU737" s="234">
        <f t="shared" si="793"/>
        <v>3.5018750000000001</v>
      </c>
      <c r="BV737" s="234" cm="1">
        <f t="array" ref="BV737">$BM737 * IF($AH737&lt;=2,
SUMPRODUCT(INDEX($AV$71:$AX$75,,$AI737), INDEX($AY$71:$BE$75,,$AH737), 1 / ($BF$71:$BF$75*BU737 + (1-$BF$71:$BF$75)*BQ737), N($AU$71:$AU$75&gt;$AM737)),
SUMPRODUCT(INDEX($AV$66:$AX$75,,$AI737), INDEX($AY$66:$BE$75,,$AH737), 1 / ($BG$66:$BG$75*BU737 + (1-$BG$66:$BG$75)*BQ737), N($AU$66:$AU$75&gt;$AM737))
) / 1000</f>
        <v>0</v>
      </c>
      <c r="BW737" s="231">
        <f t="shared" si="817"/>
        <v>25</v>
      </c>
      <c r="BX737" s="229">
        <f t="shared" si="794"/>
        <v>38</v>
      </c>
      <c r="BY737" s="234">
        <f t="shared" si="795"/>
        <v>4.0666935483870965</v>
      </c>
      <c r="BZ737" s="234" cm="1">
        <f t="array" ref="BZ737">$BM737 * IF($AH737&lt;=2,
SUMPRODUCT(INDEX($AV$66:$AX$70,,$AI737), INDEX($AY$66:$BE$70,,$AH737), 1 / ($BF$66:$BF$70*BY737 + (1-$BF$66:$BF$70)*BU737), N($AU$66:$AU$70&gt;$AM737)),
SUMPRODUCT(INDEX($AV$56:$AX$65,,$AI737), INDEX($AY$56:$BE$65,,$AH737), 1 / ($BG$56:$BG$65*BY737 + (1-$BG$56:$BG$65)*BU737), N($AU$56:$AU$65&gt;$AM737))
) / 1000</f>
        <v>0</v>
      </c>
      <c r="CA737" s="231">
        <f t="shared" si="818"/>
        <v>20</v>
      </c>
      <c r="CB737" s="229">
        <f t="shared" si="796"/>
        <v>33</v>
      </c>
      <c r="CC737" s="234">
        <f t="shared" si="797"/>
        <v>4.8487499999999999</v>
      </c>
      <c r="CD737" s="234" cm="1">
        <f t="array" ref="CD737">$BM737 * IF($AH737&lt;=2,
SUMPRODUCT(INDEX($AV$61:$AX$65,,$AI737), INDEX($AY$61:$BE$65,,$AH737), 1 / ($BF$61:$BF$65*CC737 + (1-$BF$61:$BF$65)*BY737), N($AU$61:$AU$65&gt;$AM737)),
SUMPRODUCT(INDEX($AV$46:$AX$55,,$AI737), INDEX($AY$46:$BE$55,,$AH737), 1 / ($BG$46:$BG$55*CC737 + (1-$BG$46:$BG$55)*BY737), N($AU$46:$AU$55&gt;$AM737))
) / 1000</f>
        <v>0</v>
      </c>
      <c r="CE737" s="234" cm="1">
        <f t="array" ref="CE737">$BM737 * IF($AH737&lt;=2,
SUMPRODUCT(INDEX($AV$22:$AX$60,,$AI737), INDEX($AY$22:$BE$60,,$AH737), 1 / ($BF$22:$BF$60*CC737), N($AU$22:$AU$60&gt;$AM737)),
SUMPRODUCT(INDEX($AV$22:$AX$45,,$AI737), INDEX($AY$22:$BE$45,,$AH737), 1 / ($BG$22:$BG$45*CC737), N($AU$22:$AU$45&gt;$AM737))
) / 1000</f>
        <v>0</v>
      </c>
      <c r="CF737" s="229">
        <f t="shared" si="798"/>
        <v>0</v>
      </c>
      <c r="CG737" s="246"/>
      <c r="CH737" s="229">
        <f t="shared" si="799"/>
        <v>0</v>
      </c>
      <c r="CI737" s="228">
        <v>35</v>
      </c>
      <c r="CJ737" s="229">
        <f t="shared" si="800"/>
        <v>48</v>
      </c>
      <c r="CK737" s="234">
        <f t="shared" si="801"/>
        <v>3.0748170731707316</v>
      </c>
      <c r="CL737" s="234" cm="1">
        <f t="array" ref="CL737">$BM737 * SUMPRODUCT(INDEX($AV$76:$AX$81,,$AI737),INDEX($AY$76:$BE$81,,$AH737), N($AU$76:$AU$81&gt;$AM737)) / CK737 / 1000</f>
        <v>0</v>
      </c>
      <c r="CM737" s="231">
        <f t="shared" si="819"/>
        <v>30</v>
      </c>
      <c r="CN737" s="229">
        <f t="shared" si="802"/>
        <v>43</v>
      </c>
      <c r="CO737" s="234">
        <f t="shared" si="803"/>
        <v>3.5018750000000001</v>
      </c>
      <c r="CP737" s="234" cm="1">
        <f t="array" ref="CP737">$BM737 * IF($AH737&lt;=2,
SUMPRODUCT(INDEX($AV$71:$AX$75,,$AI737), INDEX($AY$71:$BE$75,,$AH737), 1 / ($BF$71:$BF$75*CO737 + (1-$BF$71:$BF$75)*CK737), N($AU$71:$AU$75&gt;$AM737)),
SUMPRODUCT(INDEX($AV$66:$AX$75,,$AI737), INDEX($AY$66:$BE$75,,$AH737), 1 / ($BG$66:$BG$75*CO737 + (1-$BG$66:$BG$75)*CK737), N($AU$66:$AU$75&gt;$AM737))
) / 1000</f>
        <v>0</v>
      </c>
      <c r="CQ737" s="231">
        <f t="shared" si="820"/>
        <v>25</v>
      </c>
      <c r="CR737" s="229">
        <f t="shared" si="804"/>
        <v>38</v>
      </c>
      <c r="CS737" s="234">
        <f t="shared" si="805"/>
        <v>4.0666935483870965</v>
      </c>
      <c r="CT737" s="234" cm="1">
        <f t="array" ref="CT737">$BM737 * IF($AH737&lt;=2,
SUMPRODUCT(INDEX($AV$66:$AX$70,,$AI737), INDEX($AY$66:$BE$70,,$AH737), 1 / ($BF$66:$BF$70*CS737 + (1-$BF$66:$BF$70)*CO737), N($AU$66:$AU$70&gt;$AM737)),
SUMPRODUCT(INDEX($AV$56:$AX$65,,$AI737), INDEX($AY$56:$BE$65,,$AH737), 1 / ($BG$56:$BG$65*CS737 + (1-$BG$56:$BG$65)*CO737), N($AU$56:$AU$65&gt;$AM737))
) / 1000</f>
        <v>0</v>
      </c>
      <c r="CU737" s="231">
        <f t="shared" si="821"/>
        <v>20</v>
      </c>
      <c r="CV737" s="229">
        <f t="shared" si="806"/>
        <v>33</v>
      </c>
      <c r="CW737" s="234">
        <f t="shared" si="807"/>
        <v>4.8487499999999999</v>
      </c>
      <c r="CX737" s="234" cm="1">
        <f t="array" ref="CX737">$BM737 * IF($AH737&lt;=2,
SUMPRODUCT(INDEX($AV$61:$AX$65,,$AI737), INDEX($AY$61:$BE$65,,$AH737), 1 / ($BF$61:$BF$65*CW737 + (1-$BF$61:$BF$65)*CS737), N($AU$61:$AU$65&gt;$AM737)),
SUMPRODUCT(INDEX($AV$46:$AX$55,,$AI737), INDEX($AY$46:$BE$55,,$AH737), 1 / ($BG$46:$BG$55*CW737 + (1-$BG$46:$BG$55)*CS737), N($AU$46:$AU$55&gt;$AM737))
) / 1000</f>
        <v>0</v>
      </c>
      <c r="CY737" s="234" cm="1">
        <f t="array" ref="CY737">$BM737 * IF($AH737&lt;=2,
SUMPRODUCT(INDEX($AV$22:$AX$60,,$AI737), INDEX($AY$22:$BE$60,,$AH737), 1 / ($BF$22:$BF$60*CW737), N($AU$22:$AU$60&gt;$AM737)),
SUMPRODUCT(INDEX($AV$22:$AX$45,,$AI737), INDEX($AY$22:$BE$45,,$AH737), 1 / ($BG$22:$BG$45*CW737), N($AU$22:$AU$45&gt;$AM737))
) / 1000</f>
        <v>0</v>
      </c>
      <c r="CZ737" s="229">
        <f t="shared" si="808"/>
        <v>0</v>
      </c>
      <c r="DA737" s="246"/>
    </row>
    <row r="738" spans="1:105" s="75" customFormat="1" ht="14.25" customHeight="1" x14ac:dyDescent="0.2">
      <c r="A738" s="230" t="b">
        <f t="shared" si="813"/>
        <v>0</v>
      </c>
      <c r="B738" s="253">
        <v>717</v>
      </c>
      <c r="C738" s="266"/>
      <c r="D738" s="266"/>
      <c r="E738" s="254"/>
      <c r="F738" s="255" t="str">
        <f>IF(ISBLANK(E738), "", VLOOKUP(E738, Z!$A$2:$C$4127, 3, FALSE))</f>
        <v/>
      </c>
      <c r="G738" s="256"/>
      <c r="H738" s="256"/>
      <c r="I738" s="256"/>
      <c r="J738" s="257"/>
      <c r="K738" s="258"/>
      <c r="L738" s="267"/>
      <c r="M738" s="268"/>
      <c r="N738" s="259" t="str" cm="1">
        <f t="array" ref="N738">IF($L738&gt;0, INDEX(Clean,1+AK738,$D$1), "")</f>
        <v/>
      </c>
      <c r="O738" s="260"/>
      <c r="P738" s="260"/>
      <c r="Q738" s="261"/>
      <c r="R738" s="264">
        <f t="shared" si="784"/>
        <v>0</v>
      </c>
      <c r="S738" s="259" t="str" cm="1">
        <f t="array" ref="S738">IF($L738&gt;0, INDEX(Clean,1+AL738,$D$1), "")</f>
        <v/>
      </c>
      <c r="T738" s="260"/>
      <c r="U738" s="260"/>
      <c r="V738" s="261"/>
      <c r="W738" s="267"/>
      <c r="X738" s="267"/>
      <c r="Y738" s="257"/>
      <c r="Z738" s="264">
        <f t="shared" si="785"/>
        <v>0</v>
      </c>
      <c r="AA738" s="269"/>
      <c r="AB738" s="266"/>
      <c r="AC738" s="254"/>
      <c r="AD738" s="255" t="str">
        <f>IF(ISBLANK(AC738), "", VLOOKUP(AC738, Z!$A$2:$C$4127, 3, FALSE))</f>
        <v/>
      </c>
      <c r="AE738" s="270"/>
      <c r="AF738" s="265">
        <f t="shared" si="786"/>
        <v>0</v>
      </c>
      <c r="AG738" s="246"/>
      <c r="AH738" s="228">
        <f t="shared" si="809"/>
        <v>1</v>
      </c>
      <c r="AI738" s="228">
        <f t="shared" si="810"/>
        <v>1</v>
      </c>
      <c r="AJ738" s="228">
        <f t="shared" si="811"/>
        <v>0</v>
      </c>
      <c r="AK738" s="228">
        <v>0</v>
      </c>
      <c r="AL738" s="228">
        <v>0</v>
      </c>
      <c r="AM738" s="228">
        <f t="shared" si="787"/>
        <v>-100</v>
      </c>
      <c r="AN738" s="228" cm="1">
        <f t="array" ref="AN738">IF(ISBLANK(G738), 1, IFERROR(MATCH(G738, INDEX(Kat,,1), 0), IFERROR(MATCH(Kat, INDEX(Use,,2), 0), MATCH(Kat, INDEX(Use,,3), 0))))</f>
        <v>1</v>
      </c>
      <c r="AO738" s="246"/>
      <c r="AP738" s="228" cm="1">
        <f t="array" ref="AP738">IF(W738&gt;0, INDEX(Kat, AN738,4), 0)</f>
        <v>0</v>
      </c>
      <c r="AQ738" s="228">
        <f t="shared" si="812"/>
        <v>0</v>
      </c>
      <c r="AR738" s="228" cm="1">
        <f t="array" ref="AR738">IF(X738&gt;0, INDEX(Kat, $AN738, 4+AQ738), 0)</f>
        <v>0</v>
      </c>
      <c r="AS738" s="228" cm="1">
        <f t="array" ref="AS738">IF(X738&gt;0, INDEX(Kat, $AN738, 9+AQ738), 0)</f>
        <v>0</v>
      </c>
      <c r="AT738" s="246"/>
      <c r="AU738" s="262"/>
      <c r="AV738" s="262"/>
      <c r="AW738" s="263"/>
      <c r="AX738" s="263"/>
      <c r="AY738" s="263"/>
      <c r="AZ738" s="263"/>
      <c r="BA738" s="263"/>
      <c r="BB738" s="263"/>
      <c r="BC738" s="263"/>
      <c r="BD738" s="263"/>
      <c r="BE738" s="263"/>
      <c r="BF738" s="263"/>
      <c r="BG738" s="263"/>
      <c r="BH738" s="246"/>
      <c r="BI738" s="228" cm="1">
        <f t="array" ref="BI738">INDEX(Use, $AH738, 4)</f>
        <v>7</v>
      </c>
      <c r="BJ738" s="228">
        <f t="shared" si="788"/>
        <v>32</v>
      </c>
      <c r="BK738" s="228">
        <f t="shared" si="814"/>
        <v>13</v>
      </c>
      <c r="BL738" s="228">
        <f t="shared" si="815"/>
        <v>0</v>
      </c>
      <c r="BM738" s="233" cm="1">
        <f t="array" ref="BM738">L738/IF($M738&gt;0, INDEX($AY$22:$BE$76, $M738+20, $AH738), 1)</f>
        <v>0</v>
      </c>
      <c r="BN738" s="229">
        <f t="shared" si="789"/>
        <v>0</v>
      </c>
      <c r="BO738" s="228">
        <v>35</v>
      </c>
      <c r="BP738" s="229">
        <f t="shared" si="790"/>
        <v>48</v>
      </c>
      <c r="BQ738" s="234">
        <f t="shared" si="791"/>
        <v>3.0748170731707316</v>
      </c>
      <c r="BR738" s="234" cm="1">
        <f t="array" ref="BR738">$BM738 * SUMPRODUCT(INDEX($AV$76:$AX$81,,$AI738),INDEX($AY$76:$BE$81,,$AH738), N($AU$76:$AU$81&gt;$AM738)) / BQ738 / 1000</f>
        <v>0</v>
      </c>
      <c r="BS738" s="231">
        <f t="shared" si="816"/>
        <v>30</v>
      </c>
      <c r="BT738" s="229">
        <f t="shared" si="792"/>
        <v>43</v>
      </c>
      <c r="BU738" s="234">
        <f t="shared" si="793"/>
        <v>3.5018750000000001</v>
      </c>
      <c r="BV738" s="234" cm="1">
        <f t="array" ref="BV738">$BM738 * IF($AH738&lt;=2,
SUMPRODUCT(INDEX($AV$71:$AX$75,,$AI738), INDEX($AY$71:$BE$75,,$AH738), 1 / ($BF$71:$BF$75*BU738 + (1-$BF$71:$BF$75)*BQ738), N($AU$71:$AU$75&gt;$AM738)),
SUMPRODUCT(INDEX($AV$66:$AX$75,,$AI738), INDEX($AY$66:$BE$75,,$AH738), 1 / ($BG$66:$BG$75*BU738 + (1-$BG$66:$BG$75)*BQ738), N($AU$66:$AU$75&gt;$AM738))
) / 1000</f>
        <v>0</v>
      </c>
      <c r="BW738" s="231">
        <f t="shared" si="817"/>
        <v>25</v>
      </c>
      <c r="BX738" s="229">
        <f t="shared" si="794"/>
        <v>38</v>
      </c>
      <c r="BY738" s="234">
        <f t="shared" si="795"/>
        <v>4.0666935483870965</v>
      </c>
      <c r="BZ738" s="234" cm="1">
        <f t="array" ref="BZ738">$BM738 * IF($AH738&lt;=2,
SUMPRODUCT(INDEX($AV$66:$AX$70,,$AI738), INDEX($AY$66:$BE$70,,$AH738), 1 / ($BF$66:$BF$70*BY738 + (1-$BF$66:$BF$70)*BU738), N($AU$66:$AU$70&gt;$AM738)),
SUMPRODUCT(INDEX($AV$56:$AX$65,,$AI738), INDEX($AY$56:$BE$65,,$AH738), 1 / ($BG$56:$BG$65*BY738 + (1-$BG$56:$BG$65)*BU738), N($AU$56:$AU$65&gt;$AM738))
) / 1000</f>
        <v>0</v>
      </c>
      <c r="CA738" s="231">
        <f t="shared" si="818"/>
        <v>20</v>
      </c>
      <c r="CB738" s="229">
        <f t="shared" si="796"/>
        <v>33</v>
      </c>
      <c r="CC738" s="234">
        <f t="shared" si="797"/>
        <v>4.8487499999999999</v>
      </c>
      <c r="CD738" s="234" cm="1">
        <f t="array" ref="CD738">$BM738 * IF($AH738&lt;=2,
SUMPRODUCT(INDEX($AV$61:$AX$65,,$AI738), INDEX($AY$61:$BE$65,,$AH738), 1 / ($BF$61:$BF$65*CC738 + (1-$BF$61:$BF$65)*BY738), N($AU$61:$AU$65&gt;$AM738)),
SUMPRODUCT(INDEX($AV$46:$AX$55,,$AI738), INDEX($AY$46:$BE$55,,$AH738), 1 / ($BG$46:$BG$55*CC738 + (1-$BG$46:$BG$55)*BY738), N($AU$46:$AU$55&gt;$AM738))
) / 1000</f>
        <v>0</v>
      </c>
      <c r="CE738" s="234" cm="1">
        <f t="array" ref="CE738">$BM738 * IF($AH738&lt;=2,
SUMPRODUCT(INDEX($AV$22:$AX$60,,$AI738), INDEX($AY$22:$BE$60,,$AH738), 1 / ($BF$22:$BF$60*CC738), N($AU$22:$AU$60&gt;$AM738)),
SUMPRODUCT(INDEX($AV$22:$AX$45,,$AI738), INDEX($AY$22:$BE$45,,$AH738), 1 / ($BG$22:$BG$45*CC738), N($AU$22:$AU$45&gt;$AM738))
) / 1000</f>
        <v>0</v>
      </c>
      <c r="CF738" s="229">
        <f t="shared" si="798"/>
        <v>0</v>
      </c>
      <c r="CG738" s="246"/>
      <c r="CH738" s="229">
        <f t="shared" si="799"/>
        <v>0</v>
      </c>
      <c r="CI738" s="228">
        <v>35</v>
      </c>
      <c r="CJ738" s="229">
        <f t="shared" si="800"/>
        <v>48</v>
      </c>
      <c r="CK738" s="234">
        <f t="shared" si="801"/>
        <v>3.0748170731707316</v>
      </c>
      <c r="CL738" s="234" cm="1">
        <f t="array" ref="CL738">$BM738 * SUMPRODUCT(INDEX($AV$76:$AX$81,,$AI738),INDEX($AY$76:$BE$81,,$AH738), N($AU$76:$AU$81&gt;$AM738)) / CK738 / 1000</f>
        <v>0</v>
      </c>
      <c r="CM738" s="231">
        <f t="shared" si="819"/>
        <v>30</v>
      </c>
      <c r="CN738" s="229">
        <f t="shared" si="802"/>
        <v>43</v>
      </c>
      <c r="CO738" s="234">
        <f t="shared" si="803"/>
        <v>3.5018750000000001</v>
      </c>
      <c r="CP738" s="234" cm="1">
        <f t="array" ref="CP738">$BM738 * IF($AH738&lt;=2,
SUMPRODUCT(INDEX($AV$71:$AX$75,,$AI738), INDEX($AY$71:$BE$75,,$AH738), 1 / ($BF$71:$BF$75*CO738 + (1-$BF$71:$BF$75)*CK738), N($AU$71:$AU$75&gt;$AM738)),
SUMPRODUCT(INDEX($AV$66:$AX$75,,$AI738), INDEX($AY$66:$BE$75,,$AH738), 1 / ($BG$66:$BG$75*CO738 + (1-$BG$66:$BG$75)*CK738), N($AU$66:$AU$75&gt;$AM738))
) / 1000</f>
        <v>0</v>
      </c>
      <c r="CQ738" s="231">
        <f t="shared" si="820"/>
        <v>25</v>
      </c>
      <c r="CR738" s="229">
        <f t="shared" si="804"/>
        <v>38</v>
      </c>
      <c r="CS738" s="234">
        <f t="shared" si="805"/>
        <v>4.0666935483870965</v>
      </c>
      <c r="CT738" s="234" cm="1">
        <f t="array" ref="CT738">$BM738 * IF($AH738&lt;=2,
SUMPRODUCT(INDEX($AV$66:$AX$70,,$AI738), INDEX($AY$66:$BE$70,,$AH738), 1 / ($BF$66:$BF$70*CS738 + (1-$BF$66:$BF$70)*CO738), N($AU$66:$AU$70&gt;$AM738)),
SUMPRODUCT(INDEX($AV$56:$AX$65,,$AI738), INDEX($AY$56:$BE$65,,$AH738), 1 / ($BG$56:$BG$65*CS738 + (1-$BG$56:$BG$65)*CO738), N($AU$56:$AU$65&gt;$AM738))
) / 1000</f>
        <v>0</v>
      </c>
      <c r="CU738" s="231">
        <f t="shared" si="821"/>
        <v>20</v>
      </c>
      <c r="CV738" s="229">
        <f t="shared" si="806"/>
        <v>33</v>
      </c>
      <c r="CW738" s="234">
        <f t="shared" si="807"/>
        <v>4.8487499999999999</v>
      </c>
      <c r="CX738" s="234" cm="1">
        <f t="array" ref="CX738">$BM738 * IF($AH738&lt;=2,
SUMPRODUCT(INDEX($AV$61:$AX$65,,$AI738), INDEX($AY$61:$BE$65,,$AH738), 1 / ($BF$61:$BF$65*CW738 + (1-$BF$61:$BF$65)*CS738), N($AU$61:$AU$65&gt;$AM738)),
SUMPRODUCT(INDEX($AV$46:$AX$55,,$AI738), INDEX($AY$46:$BE$55,,$AH738), 1 / ($BG$46:$BG$55*CW738 + (1-$BG$46:$BG$55)*CS738), N($AU$46:$AU$55&gt;$AM738))
) / 1000</f>
        <v>0</v>
      </c>
      <c r="CY738" s="234" cm="1">
        <f t="array" ref="CY738">$BM738 * IF($AH738&lt;=2,
SUMPRODUCT(INDEX($AV$22:$AX$60,,$AI738), INDEX($AY$22:$BE$60,,$AH738), 1 / ($BF$22:$BF$60*CW738), N($AU$22:$AU$60&gt;$AM738)),
SUMPRODUCT(INDEX($AV$22:$AX$45,,$AI738), INDEX($AY$22:$BE$45,,$AH738), 1 / ($BG$22:$BG$45*CW738), N($AU$22:$AU$45&gt;$AM738))
) / 1000</f>
        <v>0</v>
      </c>
      <c r="CZ738" s="229">
        <f t="shared" si="808"/>
        <v>0</v>
      </c>
      <c r="DA738" s="246"/>
    </row>
    <row r="739" spans="1:105" s="75" customFormat="1" ht="14.25" customHeight="1" x14ac:dyDescent="0.2">
      <c r="A739" s="230" t="b">
        <f t="shared" si="813"/>
        <v>0</v>
      </c>
      <c r="B739" s="253">
        <v>718</v>
      </c>
      <c r="C739" s="266"/>
      <c r="D739" s="266"/>
      <c r="E739" s="254"/>
      <c r="F739" s="255" t="str">
        <f>IF(ISBLANK(E739), "", VLOOKUP(E739, Z!$A$2:$C$4127, 3, FALSE))</f>
        <v/>
      </c>
      <c r="G739" s="256"/>
      <c r="H739" s="256"/>
      <c r="I739" s="256"/>
      <c r="J739" s="257"/>
      <c r="K739" s="258"/>
      <c r="L739" s="267"/>
      <c r="M739" s="268"/>
      <c r="N739" s="259" t="str" cm="1">
        <f t="array" ref="N739">IF($L739&gt;0, INDEX(Clean,1+AK739,$D$1), "")</f>
        <v/>
      </c>
      <c r="O739" s="260"/>
      <c r="P739" s="260"/>
      <c r="Q739" s="261"/>
      <c r="R739" s="264">
        <f t="shared" si="784"/>
        <v>0</v>
      </c>
      <c r="S739" s="259" t="str" cm="1">
        <f t="array" ref="S739">IF($L739&gt;0, INDEX(Clean,1+AL739,$D$1), "")</f>
        <v/>
      </c>
      <c r="T739" s="260"/>
      <c r="U739" s="260"/>
      <c r="V739" s="261"/>
      <c r="W739" s="267"/>
      <c r="X739" s="267"/>
      <c r="Y739" s="257"/>
      <c r="Z739" s="264">
        <f t="shared" si="785"/>
        <v>0</v>
      </c>
      <c r="AA739" s="269"/>
      <c r="AB739" s="266"/>
      <c r="AC739" s="254"/>
      <c r="AD739" s="255" t="str">
        <f>IF(ISBLANK(AC739), "", VLOOKUP(AC739, Z!$A$2:$C$4127, 3, FALSE))</f>
        <v/>
      </c>
      <c r="AE739" s="270"/>
      <c r="AF739" s="265">
        <f t="shared" si="786"/>
        <v>0</v>
      </c>
      <c r="AG739" s="246"/>
      <c r="AH739" s="228">
        <f t="shared" si="809"/>
        <v>1</v>
      </c>
      <c r="AI739" s="228">
        <f t="shared" si="810"/>
        <v>1</v>
      </c>
      <c r="AJ739" s="228">
        <f t="shared" si="811"/>
        <v>0</v>
      </c>
      <c r="AK739" s="228">
        <v>0</v>
      </c>
      <c r="AL739" s="228">
        <v>0</v>
      </c>
      <c r="AM739" s="228">
        <f t="shared" si="787"/>
        <v>-100</v>
      </c>
      <c r="AN739" s="228" cm="1">
        <f t="array" ref="AN739">IF(ISBLANK(G739), 1, IFERROR(MATCH(G739, INDEX(Kat,,1), 0), IFERROR(MATCH(Kat, INDEX(Use,,2), 0), MATCH(Kat, INDEX(Use,,3), 0))))</f>
        <v>1</v>
      </c>
      <c r="AO739" s="246"/>
      <c r="AP739" s="228" cm="1">
        <f t="array" ref="AP739">IF(W739&gt;0, INDEX(Kat, AN739,4), 0)</f>
        <v>0</v>
      </c>
      <c r="AQ739" s="228">
        <f t="shared" si="812"/>
        <v>0</v>
      </c>
      <c r="AR739" s="228" cm="1">
        <f t="array" ref="AR739">IF(X739&gt;0, INDEX(Kat, $AN739, 4+AQ739), 0)</f>
        <v>0</v>
      </c>
      <c r="AS739" s="228" cm="1">
        <f t="array" ref="AS739">IF(X739&gt;0, INDEX(Kat, $AN739, 9+AQ739), 0)</f>
        <v>0</v>
      </c>
      <c r="AT739" s="246"/>
      <c r="AU739" s="262"/>
      <c r="AV739" s="262"/>
      <c r="AW739" s="263"/>
      <c r="AX739" s="263"/>
      <c r="AY739" s="263"/>
      <c r="AZ739" s="263"/>
      <c r="BA739" s="263"/>
      <c r="BB739" s="263"/>
      <c r="BC739" s="263"/>
      <c r="BD739" s="263"/>
      <c r="BE739" s="263"/>
      <c r="BF739" s="263"/>
      <c r="BG739" s="263"/>
      <c r="BH739" s="246"/>
      <c r="BI739" s="228" cm="1">
        <f t="array" ref="BI739">INDEX(Use, $AH739, 4)</f>
        <v>7</v>
      </c>
      <c r="BJ739" s="228">
        <f t="shared" si="788"/>
        <v>32</v>
      </c>
      <c r="BK739" s="228">
        <f t="shared" si="814"/>
        <v>13</v>
      </c>
      <c r="BL739" s="228">
        <f t="shared" si="815"/>
        <v>0</v>
      </c>
      <c r="BM739" s="233" cm="1">
        <f t="array" ref="BM739">L739/IF($M739&gt;0, INDEX($AY$22:$BE$76, $M739+20, $AH739), 1)</f>
        <v>0</v>
      </c>
      <c r="BN739" s="229">
        <f t="shared" si="789"/>
        <v>0</v>
      </c>
      <c r="BO739" s="228">
        <v>35</v>
      </c>
      <c r="BP739" s="229">
        <f t="shared" si="790"/>
        <v>48</v>
      </c>
      <c r="BQ739" s="234">
        <f t="shared" si="791"/>
        <v>3.0748170731707316</v>
      </c>
      <c r="BR739" s="234" cm="1">
        <f t="array" ref="BR739">$BM739 * SUMPRODUCT(INDEX($AV$76:$AX$81,,$AI739),INDEX($AY$76:$BE$81,,$AH739), N($AU$76:$AU$81&gt;$AM739)) / BQ739 / 1000</f>
        <v>0</v>
      </c>
      <c r="BS739" s="231">
        <f t="shared" si="816"/>
        <v>30</v>
      </c>
      <c r="BT739" s="229">
        <f t="shared" si="792"/>
        <v>43</v>
      </c>
      <c r="BU739" s="234">
        <f t="shared" si="793"/>
        <v>3.5018750000000001</v>
      </c>
      <c r="BV739" s="234" cm="1">
        <f t="array" ref="BV739">$BM739 * IF($AH739&lt;=2,
SUMPRODUCT(INDEX($AV$71:$AX$75,,$AI739), INDEX($AY$71:$BE$75,,$AH739), 1 / ($BF$71:$BF$75*BU739 + (1-$BF$71:$BF$75)*BQ739), N($AU$71:$AU$75&gt;$AM739)),
SUMPRODUCT(INDEX($AV$66:$AX$75,,$AI739), INDEX($AY$66:$BE$75,,$AH739), 1 / ($BG$66:$BG$75*BU739 + (1-$BG$66:$BG$75)*BQ739), N($AU$66:$AU$75&gt;$AM739))
) / 1000</f>
        <v>0</v>
      </c>
      <c r="BW739" s="231">
        <f t="shared" si="817"/>
        <v>25</v>
      </c>
      <c r="BX739" s="229">
        <f t="shared" si="794"/>
        <v>38</v>
      </c>
      <c r="BY739" s="234">
        <f t="shared" si="795"/>
        <v>4.0666935483870965</v>
      </c>
      <c r="BZ739" s="234" cm="1">
        <f t="array" ref="BZ739">$BM739 * IF($AH739&lt;=2,
SUMPRODUCT(INDEX($AV$66:$AX$70,,$AI739), INDEX($AY$66:$BE$70,,$AH739), 1 / ($BF$66:$BF$70*BY739 + (1-$BF$66:$BF$70)*BU739), N($AU$66:$AU$70&gt;$AM739)),
SUMPRODUCT(INDEX($AV$56:$AX$65,,$AI739), INDEX($AY$56:$BE$65,,$AH739), 1 / ($BG$56:$BG$65*BY739 + (1-$BG$56:$BG$65)*BU739), N($AU$56:$AU$65&gt;$AM739))
) / 1000</f>
        <v>0</v>
      </c>
      <c r="CA739" s="231">
        <f t="shared" si="818"/>
        <v>20</v>
      </c>
      <c r="CB739" s="229">
        <f t="shared" si="796"/>
        <v>33</v>
      </c>
      <c r="CC739" s="234">
        <f t="shared" si="797"/>
        <v>4.8487499999999999</v>
      </c>
      <c r="CD739" s="234" cm="1">
        <f t="array" ref="CD739">$BM739 * IF($AH739&lt;=2,
SUMPRODUCT(INDEX($AV$61:$AX$65,,$AI739), INDEX($AY$61:$BE$65,,$AH739), 1 / ($BF$61:$BF$65*CC739 + (1-$BF$61:$BF$65)*BY739), N($AU$61:$AU$65&gt;$AM739)),
SUMPRODUCT(INDEX($AV$46:$AX$55,,$AI739), INDEX($AY$46:$BE$55,,$AH739), 1 / ($BG$46:$BG$55*CC739 + (1-$BG$46:$BG$55)*BY739), N($AU$46:$AU$55&gt;$AM739))
) / 1000</f>
        <v>0</v>
      </c>
      <c r="CE739" s="234" cm="1">
        <f t="array" ref="CE739">$BM739 * IF($AH739&lt;=2,
SUMPRODUCT(INDEX($AV$22:$AX$60,,$AI739), INDEX($AY$22:$BE$60,,$AH739), 1 / ($BF$22:$BF$60*CC739), N($AU$22:$AU$60&gt;$AM739)),
SUMPRODUCT(INDEX($AV$22:$AX$45,,$AI739), INDEX($AY$22:$BE$45,,$AH739), 1 / ($BG$22:$BG$45*CC739), N($AU$22:$AU$45&gt;$AM739))
) / 1000</f>
        <v>0</v>
      </c>
      <c r="CF739" s="229">
        <f t="shared" si="798"/>
        <v>0</v>
      </c>
      <c r="CG739" s="246"/>
      <c r="CH739" s="229">
        <f t="shared" si="799"/>
        <v>0</v>
      </c>
      <c r="CI739" s="228">
        <v>35</v>
      </c>
      <c r="CJ739" s="229">
        <f t="shared" si="800"/>
        <v>48</v>
      </c>
      <c r="CK739" s="234">
        <f t="shared" si="801"/>
        <v>3.0748170731707316</v>
      </c>
      <c r="CL739" s="234" cm="1">
        <f t="array" ref="CL739">$BM739 * SUMPRODUCT(INDEX($AV$76:$AX$81,,$AI739),INDEX($AY$76:$BE$81,,$AH739), N($AU$76:$AU$81&gt;$AM739)) / CK739 / 1000</f>
        <v>0</v>
      </c>
      <c r="CM739" s="231">
        <f t="shared" si="819"/>
        <v>30</v>
      </c>
      <c r="CN739" s="229">
        <f t="shared" si="802"/>
        <v>43</v>
      </c>
      <c r="CO739" s="234">
        <f t="shared" si="803"/>
        <v>3.5018750000000001</v>
      </c>
      <c r="CP739" s="234" cm="1">
        <f t="array" ref="CP739">$BM739 * IF($AH739&lt;=2,
SUMPRODUCT(INDEX($AV$71:$AX$75,,$AI739), INDEX($AY$71:$BE$75,,$AH739), 1 / ($BF$71:$BF$75*CO739 + (1-$BF$71:$BF$75)*CK739), N($AU$71:$AU$75&gt;$AM739)),
SUMPRODUCT(INDEX($AV$66:$AX$75,,$AI739), INDEX($AY$66:$BE$75,,$AH739), 1 / ($BG$66:$BG$75*CO739 + (1-$BG$66:$BG$75)*CK739), N($AU$66:$AU$75&gt;$AM739))
) / 1000</f>
        <v>0</v>
      </c>
      <c r="CQ739" s="231">
        <f t="shared" si="820"/>
        <v>25</v>
      </c>
      <c r="CR739" s="229">
        <f t="shared" si="804"/>
        <v>38</v>
      </c>
      <c r="CS739" s="234">
        <f t="shared" si="805"/>
        <v>4.0666935483870965</v>
      </c>
      <c r="CT739" s="234" cm="1">
        <f t="array" ref="CT739">$BM739 * IF($AH739&lt;=2,
SUMPRODUCT(INDEX($AV$66:$AX$70,,$AI739), INDEX($AY$66:$BE$70,,$AH739), 1 / ($BF$66:$BF$70*CS739 + (1-$BF$66:$BF$70)*CO739), N($AU$66:$AU$70&gt;$AM739)),
SUMPRODUCT(INDEX($AV$56:$AX$65,,$AI739), INDEX($AY$56:$BE$65,,$AH739), 1 / ($BG$56:$BG$65*CS739 + (1-$BG$56:$BG$65)*CO739), N($AU$56:$AU$65&gt;$AM739))
) / 1000</f>
        <v>0</v>
      </c>
      <c r="CU739" s="231">
        <f t="shared" si="821"/>
        <v>20</v>
      </c>
      <c r="CV739" s="229">
        <f t="shared" si="806"/>
        <v>33</v>
      </c>
      <c r="CW739" s="234">
        <f t="shared" si="807"/>
        <v>4.8487499999999999</v>
      </c>
      <c r="CX739" s="234" cm="1">
        <f t="array" ref="CX739">$BM739 * IF($AH739&lt;=2,
SUMPRODUCT(INDEX($AV$61:$AX$65,,$AI739), INDEX($AY$61:$BE$65,,$AH739), 1 / ($BF$61:$BF$65*CW739 + (1-$BF$61:$BF$65)*CS739), N($AU$61:$AU$65&gt;$AM739)),
SUMPRODUCT(INDEX($AV$46:$AX$55,,$AI739), INDEX($AY$46:$BE$55,,$AH739), 1 / ($BG$46:$BG$55*CW739 + (1-$BG$46:$BG$55)*CS739), N($AU$46:$AU$55&gt;$AM739))
) / 1000</f>
        <v>0</v>
      </c>
      <c r="CY739" s="234" cm="1">
        <f t="array" ref="CY739">$BM739 * IF($AH739&lt;=2,
SUMPRODUCT(INDEX($AV$22:$AX$60,,$AI739), INDEX($AY$22:$BE$60,,$AH739), 1 / ($BF$22:$BF$60*CW739), N($AU$22:$AU$60&gt;$AM739)),
SUMPRODUCT(INDEX($AV$22:$AX$45,,$AI739), INDEX($AY$22:$BE$45,,$AH739), 1 / ($BG$22:$BG$45*CW739), N($AU$22:$AU$45&gt;$AM739))
) / 1000</f>
        <v>0</v>
      </c>
      <c r="CZ739" s="229">
        <f t="shared" si="808"/>
        <v>0</v>
      </c>
      <c r="DA739" s="246"/>
    </row>
    <row r="740" spans="1:105" s="75" customFormat="1" ht="14.25" customHeight="1" x14ac:dyDescent="0.2">
      <c r="A740" s="230" t="b">
        <f t="shared" si="813"/>
        <v>0</v>
      </c>
      <c r="B740" s="253">
        <v>719</v>
      </c>
      <c r="C740" s="266"/>
      <c r="D740" s="266"/>
      <c r="E740" s="254"/>
      <c r="F740" s="255" t="str">
        <f>IF(ISBLANK(E740), "", VLOOKUP(E740, Z!$A$2:$C$4127, 3, FALSE))</f>
        <v/>
      </c>
      <c r="G740" s="256"/>
      <c r="H740" s="256"/>
      <c r="I740" s="256"/>
      <c r="J740" s="257"/>
      <c r="K740" s="258"/>
      <c r="L740" s="267"/>
      <c r="M740" s="268"/>
      <c r="N740" s="259" t="str" cm="1">
        <f t="array" ref="N740">IF($L740&gt;0, INDEX(Clean,1+AK740,$D$1), "")</f>
        <v/>
      </c>
      <c r="O740" s="260"/>
      <c r="P740" s="260"/>
      <c r="Q740" s="261"/>
      <c r="R740" s="264">
        <f t="shared" si="784"/>
        <v>0</v>
      </c>
      <c r="S740" s="259" t="str" cm="1">
        <f t="array" ref="S740">IF($L740&gt;0, INDEX(Clean,1+AL740,$D$1), "")</f>
        <v/>
      </c>
      <c r="T740" s="260"/>
      <c r="U740" s="260"/>
      <c r="V740" s="261"/>
      <c r="W740" s="267"/>
      <c r="X740" s="267"/>
      <c r="Y740" s="257"/>
      <c r="Z740" s="264">
        <f t="shared" si="785"/>
        <v>0</v>
      </c>
      <c r="AA740" s="269"/>
      <c r="AB740" s="266"/>
      <c r="AC740" s="254"/>
      <c r="AD740" s="255" t="str">
        <f>IF(ISBLANK(AC740), "", VLOOKUP(AC740, Z!$A$2:$C$4127, 3, FALSE))</f>
        <v/>
      </c>
      <c r="AE740" s="270"/>
      <c r="AF740" s="265">
        <f t="shared" si="786"/>
        <v>0</v>
      </c>
      <c r="AG740" s="246"/>
      <c r="AH740" s="228">
        <f t="shared" si="809"/>
        <v>1</v>
      </c>
      <c r="AI740" s="228">
        <f t="shared" si="810"/>
        <v>1</v>
      </c>
      <c r="AJ740" s="228">
        <f t="shared" si="811"/>
        <v>0</v>
      </c>
      <c r="AK740" s="228">
        <v>0</v>
      </c>
      <c r="AL740" s="228">
        <v>0</v>
      </c>
      <c r="AM740" s="228">
        <f t="shared" si="787"/>
        <v>-100</v>
      </c>
      <c r="AN740" s="228" cm="1">
        <f t="array" ref="AN740">IF(ISBLANK(G740), 1, IFERROR(MATCH(G740, INDEX(Kat,,1), 0), IFERROR(MATCH(Kat, INDEX(Use,,2), 0), MATCH(Kat, INDEX(Use,,3), 0))))</f>
        <v>1</v>
      </c>
      <c r="AO740" s="246"/>
      <c r="AP740" s="228" cm="1">
        <f t="array" ref="AP740">IF(W740&gt;0, INDEX(Kat, AN740,4), 0)</f>
        <v>0</v>
      </c>
      <c r="AQ740" s="228">
        <f t="shared" si="812"/>
        <v>0</v>
      </c>
      <c r="AR740" s="228" cm="1">
        <f t="array" ref="AR740">IF(X740&gt;0, INDEX(Kat, $AN740, 4+AQ740), 0)</f>
        <v>0</v>
      </c>
      <c r="AS740" s="228" cm="1">
        <f t="array" ref="AS740">IF(X740&gt;0, INDEX(Kat, $AN740, 9+AQ740), 0)</f>
        <v>0</v>
      </c>
      <c r="AT740" s="246"/>
      <c r="AU740" s="262"/>
      <c r="AV740" s="262"/>
      <c r="AW740" s="263"/>
      <c r="AX740" s="263"/>
      <c r="AY740" s="263"/>
      <c r="AZ740" s="263"/>
      <c r="BA740" s="263"/>
      <c r="BB740" s="263"/>
      <c r="BC740" s="263"/>
      <c r="BD740" s="263"/>
      <c r="BE740" s="263"/>
      <c r="BF740" s="263"/>
      <c r="BG740" s="263"/>
      <c r="BH740" s="246"/>
      <c r="BI740" s="228" cm="1">
        <f t="array" ref="BI740">INDEX(Use, $AH740, 4)</f>
        <v>7</v>
      </c>
      <c r="BJ740" s="228">
        <f t="shared" si="788"/>
        <v>32</v>
      </c>
      <c r="BK740" s="228">
        <f t="shared" si="814"/>
        <v>13</v>
      </c>
      <c r="BL740" s="228">
        <f t="shared" si="815"/>
        <v>0</v>
      </c>
      <c r="BM740" s="233" cm="1">
        <f t="array" ref="BM740">L740/IF($M740&gt;0, INDEX($AY$22:$BE$76, $M740+20, $AH740), 1)</f>
        <v>0</v>
      </c>
      <c r="BN740" s="229">
        <f t="shared" si="789"/>
        <v>0</v>
      </c>
      <c r="BO740" s="228">
        <v>35</v>
      </c>
      <c r="BP740" s="229">
        <f t="shared" si="790"/>
        <v>48</v>
      </c>
      <c r="BQ740" s="234">
        <f t="shared" si="791"/>
        <v>3.0748170731707316</v>
      </c>
      <c r="BR740" s="234" cm="1">
        <f t="array" ref="BR740">$BM740 * SUMPRODUCT(INDEX($AV$76:$AX$81,,$AI740),INDEX($AY$76:$BE$81,,$AH740), N($AU$76:$AU$81&gt;$AM740)) / BQ740 / 1000</f>
        <v>0</v>
      </c>
      <c r="BS740" s="231">
        <f t="shared" si="816"/>
        <v>30</v>
      </c>
      <c r="BT740" s="229">
        <f t="shared" si="792"/>
        <v>43</v>
      </c>
      <c r="BU740" s="234">
        <f t="shared" si="793"/>
        <v>3.5018750000000001</v>
      </c>
      <c r="BV740" s="234" cm="1">
        <f t="array" ref="BV740">$BM740 * IF($AH740&lt;=2,
SUMPRODUCT(INDEX($AV$71:$AX$75,,$AI740), INDEX($AY$71:$BE$75,,$AH740), 1 / ($BF$71:$BF$75*BU740 + (1-$BF$71:$BF$75)*BQ740), N($AU$71:$AU$75&gt;$AM740)),
SUMPRODUCT(INDEX($AV$66:$AX$75,,$AI740), INDEX($AY$66:$BE$75,,$AH740), 1 / ($BG$66:$BG$75*BU740 + (1-$BG$66:$BG$75)*BQ740), N($AU$66:$AU$75&gt;$AM740))
) / 1000</f>
        <v>0</v>
      </c>
      <c r="BW740" s="231">
        <f t="shared" si="817"/>
        <v>25</v>
      </c>
      <c r="BX740" s="229">
        <f t="shared" si="794"/>
        <v>38</v>
      </c>
      <c r="BY740" s="234">
        <f t="shared" si="795"/>
        <v>4.0666935483870965</v>
      </c>
      <c r="BZ740" s="234" cm="1">
        <f t="array" ref="BZ740">$BM740 * IF($AH740&lt;=2,
SUMPRODUCT(INDEX($AV$66:$AX$70,,$AI740), INDEX($AY$66:$BE$70,,$AH740), 1 / ($BF$66:$BF$70*BY740 + (1-$BF$66:$BF$70)*BU740), N($AU$66:$AU$70&gt;$AM740)),
SUMPRODUCT(INDEX($AV$56:$AX$65,,$AI740), INDEX($AY$56:$BE$65,,$AH740), 1 / ($BG$56:$BG$65*BY740 + (1-$BG$56:$BG$65)*BU740), N($AU$56:$AU$65&gt;$AM740))
) / 1000</f>
        <v>0</v>
      </c>
      <c r="CA740" s="231">
        <f t="shared" si="818"/>
        <v>20</v>
      </c>
      <c r="CB740" s="229">
        <f t="shared" si="796"/>
        <v>33</v>
      </c>
      <c r="CC740" s="234">
        <f t="shared" si="797"/>
        <v>4.8487499999999999</v>
      </c>
      <c r="CD740" s="234" cm="1">
        <f t="array" ref="CD740">$BM740 * IF($AH740&lt;=2,
SUMPRODUCT(INDEX($AV$61:$AX$65,,$AI740), INDEX($AY$61:$BE$65,,$AH740), 1 / ($BF$61:$BF$65*CC740 + (1-$BF$61:$BF$65)*BY740), N($AU$61:$AU$65&gt;$AM740)),
SUMPRODUCT(INDEX($AV$46:$AX$55,,$AI740), INDEX($AY$46:$BE$55,,$AH740), 1 / ($BG$46:$BG$55*CC740 + (1-$BG$46:$BG$55)*BY740), N($AU$46:$AU$55&gt;$AM740))
) / 1000</f>
        <v>0</v>
      </c>
      <c r="CE740" s="234" cm="1">
        <f t="array" ref="CE740">$BM740 * IF($AH740&lt;=2,
SUMPRODUCT(INDEX($AV$22:$AX$60,,$AI740), INDEX($AY$22:$BE$60,,$AH740), 1 / ($BF$22:$BF$60*CC740), N($AU$22:$AU$60&gt;$AM740)),
SUMPRODUCT(INDEX($AV$22:$AX$45,,$AI740), INDEX($AY$22:$BE$45,,$AH740), 1 / ($BG$22:$BG$45*CC740), N($AU$22:$AU$45&gt;$AM740))
) / 1000</f>
        <v>0</v>
      </c>
      <c r="CF740" s="229">
        <f t="shared" si="798"/>
        <v>0</v>
      </c>
      <c r="CG740" s="246"/>
      <c r="CH740" s="229">
        <f t="shared" si="799"/>
        <v>0</v>
      </c>
      <c r="CI740" s="228">
        <v>35</v>
      </c>
      <c r="CJ740" s="229">
        <f t="shared" si="800"/>
        <v>48</v>
      </c>
      <c r="CK740" s="234">
        <f t="shared" si="801"/>
        <v>3.0748170731707316</v>
      </c>
      <c r="CL740" s="234" cm="1">
        <f t="array" ref="CL740">$BM740 * SUMPRODUCT(INDEX($AV$76:$AX$81,,$AI740),INDEX($AY$76:$BE$81,,$AH740), N($AU$76:$AU$81&gt;$AM740)) / CK740 / 1000</f>
        <v>0</v>
      </c>
      <c r="CM740" s="231">
        <f t="shared" si="819"/>
        <v>30</v>
      </c>
      <c r="CN740" s="229">
        <f t="shared" si="802"/>
        <v>43</v>
      </c>
      <c r="CO740" s="234">
        <f t="shared" si="803"/>
        <v>3.5018750000000001</v>
      </c>
      <c r="CP740" s="234" cm="1">
        <f t="array" ref="CP740">$BM740 * IF($AH740&lt;=2,
SUMPRODUCT(INDEX($AV$71:$AX$75,,$AI740), INDEX($AY$71:$BE$75,,$AH740), 1 / ($BF$71:$BF$75*CO740 + (1-$BF$71:$BF$75)*CK740), N($AU$71:$AU$75&gt;$AM740)),
SUMPRODUCT(INDEX($AV$66:$AX$75,,$AI740), INDEX($AY$66:$BE$75,,$AH740), 1 / ($BG$66:$BG$75*CO740 + (1-$BG$66:$BG$75)*CK740), N($AU$66:$AU$75&gt;$AM740))
) / 1000</f>
        <v>0</v>
      </c>
      <c r="CQ740" s="231">
        <f t="shared" si="820"/>
        <v>25</v>
      </c>
      <c r="CR740" s="229">
        <f t="shared" si="804"/>
        <v>38</v>
      </c>
      <c r="CS740" s="234">
        <f t="shared" si="805"/>
        <v>4.0666935483870965</v>
      </c>
      <c r="CT740" s="234" cm="1">
        <f t="array" ref="CT740">$BM740 * IF($AH740&lt;=2,
SUMPRODUCT(INDEX($AV$66:$AX$70,,$AI740), INDEX($AY$66:$BE$70,,$AH740), 1 / ($BF$66:$BF$70*CS740 + (1-$BF$66:$BF$70)*CO740), N($AU$66:$AU$70&gt;$AM740)),
SUMPRODUCT(INDEX($AV$56:$AX$65,,$AI740), INDEX($AY$56:$BE$65,,$AH740), 1 / ($BG$56:$BG$65*CS740 + (1-$BG$56:$BG$65)*CO740), N($AU$56:$AU$65&gt;$AM740))
) / 1000</f>
        <v>0</v>
      </c>
      <c r="CU740" s="231">
        <f t="shared" si="821"/>
        <v>20</v>
      </c>
      <c r="CV740" s="229">
        <f t="shared" si="806"/>
        <v>33</v>
      </c>
      <c r="CW740" s="234">
        <f t="shared" si="807"/>
        <v>4.8487499999999999</v>
      </c>
      <c r="CX740" s="234" cm="1">
        <f t="array" ref="CX740">$BM740 * IF($AH740&lt;=2,
SUMPRODUCT(INDEX($AV$61:$AX$65,,$AI740), INDEX($AY$61:$BE$65,,$AH740), 1 / ($BF$61:$BF$65*CW740 + (1-$BF$61:$BF$65)*CS740), N($AU$61:$AU$65&gt;$AM740)),
SUMPRODUCT(INDEX($AV$46:$AX$55,,$AI740), INDEX($AY$46:$BE$55,,$AH740), 1 / ($BG$46:$BG$55*CW740 + (1-$BG$46:$BG$55)*CS740), N($AU$46:$AU$55&gt;$AM740))
) / 1000</f>
        <v>0</v>
      </c>
      <c r="CY740" s="234" cm="1">
        <f t="array" ref="CY740">$BM740 * IF($AH740&lt;=2,
SUMPRODUCT(INDEX($AV$22:$AX$60,,$AI740), INDEX($AY$22:$BE$60,,$AH740), 1 / ($BF$22:$BF$60*CW740), N($AU$22:$AU$60&gt;$AM740)),
SUMPRODUCT(INDEX($AV$22:$AX$45,,$AI740), INDEX($AY$22:$BE$45,,$AH740), 1 / ($BG$22:$BG$45*CW740), N($AU$22:$AU$45&gt;$AM740))
) / 1000</f>
        <v>0</v>
      </c>
      <c r="CZ740" s="229">
        <f t="shared" si="808"/>
        <v>0</v>
      </c>
      <c r="DA740" s="246"/>
    </row>
    <row r="741" spans="1:105" s="75" customFormat="1" ht="14.25" customHeight="1" x14ac:dyDescent="0.2">
      <c r="A741" s="230" t="b">
        <f t="shared" si="813"/>
        <v>0</v>
      </c>
      <c r="B741" s="253">
        <v>720</v>
      </c>
      <c r="C741" s="266"/>
      <c r="D741" s="266"/>
      <c r="E741" s="254"/>
      <c r="F741" s="255" t="str">
        <f>IF(ISBLANK(E741), "", VLOOKUP(E741, Z!$A$2:$C$4127, 3, FALSE))</f>
        <v/>
      </c>
      <c r="G741" s="256"/>
      <c r="H741" s="256"/>
      <c r="I741" s="256"/>
      <c r="J741" s="257"/>
      <c r="K741" s="258"/>
      <c r="L741" s="267"/>
      <c r="M741" s="268"/>
      <c r="N741" s="259" t="str" cm="1">
        <f t="array" ref="N741">IF($L741&gt;0, INDEX(Clean,1+AK741,$D$1), "")</f>
        <v/>
      </c>
      <c r="O741" s="260"/>
      <c r="P741" s="260"/>
      <c r="Q741" s="261"/>
      <c r="R741" s="264">
        <f t="shared" si="784"/>
        <v>0</v>
      </c>
      <c r="S741" s="259" t="str" cm="1">
        <f t="array" ref="S741">IF($L741&gt;0, INDEX(Clean,1+AL741,$D$1), "")</f>
        <v/>
      </c>
      <c r="T741" s="260"/>
      <c r="U741" s="260"/>
      <c r="V741" s="261"/>
      <c r="W741" s="267"/>
      <c r="X741" s="267"/>
      <c r="Y741" s="257"/>
      <c r="Z741" s="264">
        <f t="shared" si="785"/>
        <v>0</v>
      </c>
      <c r="AA741" s="269"/>
      <c r="AB741" s="266"/>
      <c r="AC741" s="254"/>
      <c r="AD741" s="255" t="str">
        <f>IF(ISBLANK(AC741), "", VLOOKUP(AC741, Z!$A$2:$C$4127, 3, FALSE))</f>
        <v/>
      </c>
      <c r="AE741" s="270"/>
      <c r="AF741" s="265">
        <f t="shared" si="786"/>
        <v>0</v>
      </c>
      <c r="AG741" s="246"/>
      <c r="AH741" s="228">
        <f t="shared" si="809"/>
        <v>1</v>
      </c>
      <c r="AI741" s="228">
        <f t="shared" si="810"/>
        <v>1</v>
      </c>
      <c r="AJ741" s="228">
        <f t="shared" si="811"/>
        <v>0</v>
      </c>
      <c r="AK741" s="228">
        <v>0</v>
      </c>
      <c r="AL741" s="228">
        <v>0</v>
      </c>
      <c r="AM741" s="228">
        <f t="shared" si="787"/>
        <v>-100</v>
      </c>
      <c r="AN741" s="228" cm="1">
        <f t="array" ref="AN741">IF(ISBLANK(G741), 1, IFERROR(MATCH(G741, INDEX(Kat,,1), 0), IFERROR(MATCH(Kat, INDEX(Use,,2), 0), MATCH(Kat, INDEX(Use,,3), 0))))</f>
        <v>1</v>
      </c>
      <c r="AO741" s="246"/>
      <c r="AP741" s="228" cm="1">
        <f t="array" ref="AP741">IF(W741&gt;0, INDEX(Kat, AN741,4), 0)</f>
        <v>0</v>
      </c>
      <c r="AQ741" s="228">
        <f t="shared" si="812"/>
        <v>0</v>
      </c>
      <c r="AR741" s="228" cm="1">
        <f t="array" ref="AR741">IF(X741&gt;0, INDEX(Kat, $AN741, 4+AQ741), 0)</f>
        <v>0</v>
      </c>
      <c r="AS741" s="228" cm="1">
        <f t="array" ref="AS741">IF(X741&gt;0, INDEX(Kat, $AN741, 9+AQ741), 0)</f>
        <v>0</v>
      </c>
      <c r="AT741" s="246"/>
      <c r="AU741" s="262"/>
      <c r="AV741" s="262"/>
      <c r="AW741" s="263"/>
      <c r="AX741" s="263"/>
      <c r="AY741" s="263"/>
      <c r="AZ741" s="263"/>
      <c r="BA741" s="263"/>
      <c r="BB741" s="263"/>
      <c r="BC741" s="263"/>
      <c r="BD741" s="263"/>
      <c r="BE741" s="263"/>
      <c r="BF741" s="263"/>
      <c r="BG741" s="263"/>
      <c r="BH741" s="246"/>
      <c r="BI741" s="228" cm="1">
        <f t="array" ref="BI741">INDEX(Use, $AH741, 4)</f>
        <v>7</v>
      </c>
      <c r="BJ741" s="228">
        <f t="shared" si="788"/>
        <v>32</v>
      </c>
      <c r="BK741" s="228">
        <f t="shared" si="814"/>
        <v>13</v>
      </c>
      <c r="BL741" s="228">
        <f t="shared" si="815"/>
        <v>0</v>
      </c>
      <c r="BM741" s="233" cm="1">
        <f t="array" ref="BM741">L741/IF($M741&gt;0, INDEX($AY$22:$BE$76, $M741+20, $AH741), 1)</f>
        <v>0</v>
      </c>
      <c r="BN741" s="229">
        <f t="shared" si="789"/>
        <v>0</v>
      </c>
      <c r="BO741" s="228">
        <v>35</v>
      </c>
      <c r="BP741" s="229">
        <f t="shared" si="790"/>
        <v>48</v>
      </c>
      <c r="BQ741" s="234">
        <f t="shared" si="791"/>
        <v>3.0748170731707316</v>
      </c>
      <c r="BR741" s="234" cm="1">
        <f t="array" ref="BR741">$BM741 * SUMPRODUCT(INDEX($AV$76:$AX$81,,$AI741),INDEX($AY$76:$BE$81,,$AH741), N($AU$76:$AU$81&gt;$AM741)) / BQ741 / 1000</f>
        <v>0</v>
      </c>
      <c r="BS741" s="231">
        <f t="shared" si="816"/>
        <v>30</v>
      </c>
      <c r="BT741" s="229">
        <f t="shared" si="792"/>
        <v>43</v>
      </c>
      <c r="BU741" s="234">
        <f t="shared" si="793"/>
        <v>3.5018750000000001</v>
      </c>
      <c r="BV741" s="234" cm="1">
        <f t="array" ref="BV741">$BM741 * IF($AH741&lt;=2,
SUMPRODUCT(INDEX($AV$71:$AX$75,,$AI741), INDEX($AY$71:$BE$75,,$AH741), 1 / ($BF$71:$BF$75*BU741 + (1-$BF$71:$BF$75)*BQ741), N($AU$71:$AU$75&gt;$AM741)),
SUMPRODUCT(INDEX($AV$66:$AX$75,,$AI741), INDEX($AY$66:$BE$75,,$AH741), 1 / ($BG$66:$BG$75*BU741 + (1-$BG$66:$BG$75)*BQ741), N($AU$66:$AU$75&gt;$AM741))
) / 1000</f>
        <v>0</v>
      </c>
      <c r="BW741" s="231">
        <f t="shared" si="817"/>
        <v>25</v>
      </c>
      <c r="BX741" s="229">
        <f t="shared" si="794"/>
        <v>38</v>
      </c>
      <c r="BY741" s="234">
        <f t="shared" si="795"/>
        <v>4.0666935483870965</v>
      </c>
      <c r="BZ741" s="234" cm="1">
        <f t="array" ref="BZ741">$BM741 * IF($AH741&lt;=2,
SUMPRODUCT(INDEX($AV$66:$AX$70,,$AI741), INDEX($AY$66:$BE$70,,$AH741), 1 / ($BF$66:$BF$70*BY741 + (1-$BF$66:$BF$70)*BU741), N($AU$66:$AU$70&gt;$AM741)),
SUMPRODUCT(INDEX($AV$56:$AX$65,,$AI741), INDEX($AY$56:$BE$65,,$AH741), 1 / ($BG$56:$BG$65*BY741 + (1-$BG$56:$BG$65)*BU741), N($AU$56:$AU$65&gt;$AM741))
) / 1000</f>
        <v>0</v>
      </c>
      <c r="CA741" s="231">
        <f t="shared" si="818"/>
        <v>20</v>
      </c>
      <c r="CB741" s="229">
        <f t="shared" si="796"/>
        <v>33</v>
      </c>
      <c r="CC741" s="234">
        <f t="shared" si="797"/>
        <v>4.8487499999999999</v>
      </c>
      <c r="CD741" s="234" cm="1">
        <f t="array" ref="CD741">$BM741 * IF($AH741&lt;=2,
SUMPRODUCT(INDEX($AV$61:$AX$65,,$AI741), INDEX($AY$61:$BE$65,,$AH741), 1 / ($BF$61:$BF$65*CC741 + (1-$BF$61:$BF$65)*BY741), N($AU$61:$AU$65&gt;$AM741)),
SUMPRODUCT(INDEX($AV$46:$AX$55,,$AI741), INDEX($AY$46:$BE$55,,$AH741), 1 / ($BG$46:$BG$55*CC741 + (1-$BG$46:$BG$55)*BY741), N($AU$46:$AU$55&gt;$AM741))
) / 1000</f>
        <v>0</v>
      </c>
      <c r="CE741" s="234" cm="1">
        <f t="array" ref="CE741">$BM741 * IF($AH741&lt;=2,
SUMPRODUCT(INDEX($AV$22:$AX$60,,$AI741), INDEX($AY$22:$BE$60,,$AH741), 1 / ($BF$22:$BF$60*CC741), N($AU$22:$AU$60&gt;$AM741)),
SUMPRODUCT(INDEX($AV$22:$AX$45,,$AI741), INDEX($AY$22:$BE$45,,$AH741), 1 / ($BG$22:$BG$45*CC741), N($AU$22:$AU$45&gt;$AM741))
) / 1000</f>
        <v>0</v>
      </c>
      <c r="CF741" s="229">
        <f t="shared" si="798"/>
        <v>0</v>
      </c>
      <c r="CG741" s="246"/>
      <c r="CH741" s="229">
        <f t="shared" si="799"/>
        <v>0</v>
      </c>
      <c r="CI741" s="228">
        <v>35</v>
      </c>
      <c r="CJ741" s="229">
        <f t="shared" si="800"/>
        <v>48</v>
      </c>
      <c r="CK741" s="234">
        <f t="shared" si="801"/>
        <v>3.0748170731707316</v>
      </c>
      <c r="CL741" s="234" cm="1">
        <f t="array" ref="CL741">$BM741 * SUMPRODUCT(INDEX($AV$76:$AX$81,,$AI741),INDEX($AY$76:$BE$81,,$AH741), N($AU$76:$AU$81&gt;$AM741)) / CK741 / 1000</f>
        <v>0</v>
      </c>
      <c r="CM741" s="231">
        <f t="shared" si="819"/>
        <v>30</v>
      </c>
      <c r="CN741" s="229">
        <f t="shared" si="802"/>
        <v>43</v>
      </c>
      <c r="CO741" s="234">
        <f t="shared" si="803"/>
        <v>3.5018750000000001</v>
      </c>
      <c r="CP741" s="234" cm="1">
        <f t="array" ref="CP741">$BM741 * IF($AH741&lt;=2,
SUMPRODUCT(INDEX($AV$71:$AX$75,,$AI741), INDEX($AY$71:$BE$75,,$AH741), 1 / ($BF$71:$BF$75*CO741 + (1-$BF$71:$BF$75)*CK741), N($AU$71:$AU$75&gt;$AM741)),
SUMPRODUCT(INDEX($AV$66:$AX$75,,$AI741), INDEX($AY$66:$BE$75,,$AH741), 1 / ($BG$66:$BG$75*CO741 + (1-$BG$66:$BG$75)*CK741), N($AU$66:$AU$75&gt;$AM741))
) / 1000</f>
        <v>0</v>
      </c>
      <c r="CQ741" s="231">
        <f t="shared" si="820"/>
        <v>25</v>
      </c>
      <c r="CR741" s="229">
        <f t="shared" si="804"/>
        <v>38</v>
      </c>
      <c r="CS741" s="234">
        <f t="shared" si="805"/>
        <v>4.0666935483870965</v>
      </c>
      <c r="CT741" s="234" cm="1">
        <f t="array" ref="CT741">$BM741 * IF($AH741&lt;=2,
SUMPRODUCT(INDEX($AV$66:$AX$70,,$AI741), INDEX($AY$66:$BE$70,,$AH741), 1 / ($BF$66:$BF$70*CS741 + (1-$BF$66:$BF$70)*CO741), N($AU$66:$AU$70&gt;$AM741)),
SUMPRODUCT(INDEX($AV$56:$AX$65,,$AI741), INDEX($AY$56:$BE$65,,$AH741), 1 / ($BG$56:$BG$65*CS741 + (1-$BG$56:$BG$65)*CO741), N($AU$56:$AU$65&gt;$AM741))
) / 1000</f>
        <v>0</v>
      </c>
      <c r="CU741" s="231">
        <f t="shared" si="821"/>
        <v>20</v>
      </c>
      <c r="CV741" s="229">
        <f t="shared" si="806"/>
        <v>33</v>
      </c>
      <c r="CW741" s="234">
        <f t="shared" si="807"/>
        <v>4.8487499999999999</v>
      </c>
      <c r="CX741" s="234" cm="1">
        <f t="array" ref="CX741">$BM741 * IF($AH741&lt;=2,
SUMPRODUCT(INDEX($AV$61:$AX$65,,$AI741), INDEX($AY$61:$BE$65,,$AH741), 1 / ($BF$61:$BF$65*CW741 + (1-$BF$61:$BF$65)*CS741), N($AU$61:$AU$65&gt;$AM741)),
SUMPRODUCT(INDEX($AV$46:$AX$55,,$AI741), INDEX($AY$46:$BE$55,,$AH741), 1 / ($BG$46:$BG$55*CW741 + (1-$BG$46:$BG$55)*CS741), N($AU$46:$AU$55&gt;$AM741))
) / 1000</f>
        <v>0</v>
      </c>
      <c r="CY741" s="234" cm="1">
        <f t="array" ref="CY741">$BM741 * IF($AH741&lt;=2,
SUMPRODUCT(INDEX($AV$22:$AX$60,,$AI741), INDEX($AY$22:$BE$60,,$AH741), 1 / ($BF$22:$BF$60*CW741), N($AU$22:$AU$60&gt;$AM741)),
SUMPRODUCT(INDEX($AV$22:$AX$45,,$AI741), INDEX($AY$22:$BE$45,,$AH741), 1 / ($BG$22:$BG$45*CW741), N($AU$22:$AU$45&gt;$AM741))
) / 1000</f>
        <v>0</v>
      </c>
      <c r="CZ741" s="229">
        <f t="shared" si="808"/>
        <v>0</v>
      </c>
      <c r="DA741" s="246"/>
    </row>
    <row r="742" spans="1:105" s="75" customFormat="1" ht="14.25" customHeight="1" x14ac:dyDescent="0.2">
      <c r="A742" s="230" t="b">
        <f t="shared" si="813"/>
        <v>0</v>
      </c>
      <c r="B742" s="253">
        <v>721</v>
      </c>
      <c r="C742" s="266"/>
      <c r="D742" s="266"/>
      <c r="E742" s="254"/>
      <c r="F742" s="255" t="str">
        <f>IF(ISBLANK(E742), "", VLOOKUP(E742, Z!$A$2:$C$4127, 3, FALSE))</f>
        <v/>
      </c>
      <c r="G742" s="256"/>
      <c r="H742" s="256"/>
      <c r="I742" s="256"/>
      <c r="J742" s="257"/>
      <c r="K742" s="258"/>
      <c r="L742" s="267"/>
      <c r="M742" s="268"/>
      <c r="N742" s="259" t="str" cm="1">
        <f t="array" ref="N742">IF($L742&gt;0, INDEX(Clean,1+AK742,$D$1), "")</f>
        <v/>
      </c>
      <c r="O742" s="260"/>
      <c r="P742" s="260"/>
      <c r="Q742" s="261"/>
      <c r="R742" s="264">
        <f t="shared" si="784"/>
        <v>0</v>
      </c>
      <c r="S742" s="259" t="str" cm="1">
        <f t="array" ref="S742">IF($L742&gt;0, INDEX(Clean,1+AL742,$D$1), "")</f>
        <v/>
      </c>
      <c r="T742" s="260"/>
      <c r="U742" s="260"/>
      <c r="V742" s="261"/>
      <c r="W742" s="267"/>
      <c r="X742" s="267"/>
      <c r="Y742" s="257"/>
      <c r="Z742" s="264">
        <f t="shared" si="785"/>
        <v>0</v>
      </c>
      <c r="AA742" s="269"/>
      <c r="AB742" s="266"/>
      <c r="AC742" s="254"/>
      <c r="AD742" s="255" t="str">
        <f>IF(ISBLANK(AC742), "", VLOOKUP(AC742, Z!$A$2:$C$4127, 3, FALSE))</f>
        <v/>
      </c>
      <c r="AE742" s="270"/>
      <c r="AF742" s="265">
        <f t="shared" si="786"/>
        <v>0</v>
      </c>
      <c r="AG742" s="246"/>
      <c r="AH742" s="228">
        <f t="shared" si="809"/>
        <v>1</v>
      </c>
      <c r="AI742" s="228">
        <f t="shared" si="810"/>
        <v>1</v>
      </c>
      <c r="AJ742" s="228">
        <f t="shared" si="811"/>
        <v>0</v>
      </c>
      <c r="AK742" s="228">
        <v>0</v>
      </c>
      <c r="AL742" s="228">
        <v>0</v>
      </c>
      <c r="AM742" s="228">
        <f t="shared" si="787"/>
        <v>-100</v>
      </c>
      <c r="AN742" s="228" cm="1">
        <f t="array" ref="AN742">IF(ISBLANK(G742), 1, IFERROR(MATCH(G742, INDEX(Kat,,1), 0), IFERROR(MATCH(Kat, INDEX(Use,,2), 0), MATCH(Kat, INDEX(Use,,3), 0))))</f>
        <v>1</v>
      </c>
      <c r="AO742" s="246"/>
      <c r="AP742" s="228" cm="1">
        <f t="array" ref="AP742">IF(W742&gt;0, INDEX(Kat, AN742,4), 0)</f>
        <v>0</v>
      </c>
      <c r="AQ742" s="228">
        <f t="shared" si="812"/>
        <v>0</v>
      </c>
      <c r="AR742" s="228" cm="1">
        <f t="array" ref="AR742">IF(X742&gt;0, INDEX(Kat, $AN742, 4+AQ742), 0)</f>
        <v>0</v>
      </c>
      <c r="AS742" s="228" cm="1">
        <f t="array" ref="AS742">IF(X742&gt;0, INDEX(Kat, $AN742, 9+AQ742), 0)</f>
        <v>0</v>
      </c>
      <c r="AT742" s="246"/>
      <c r="AU742" s="262"/>
      <c r="AV742" s="262"/>
      <c r="AW742" s="263"/>
      <c r="AX742" s="263"/>
      <c r="AY742" s="263"/>
      <c r="AZ742" s="263"/>
      <c r="BA742" s="263"/>
      <c r="BB742" s="263"/>
      <c r="BC742" s="263"/>
      <c r="BD742" s="263"/>
      <c r="BE742" s="263"/>
      <c r="BF742" s="263"/>
      <c r="BG742" s="263"/>
      <c r="BH742" s="246"/>
      <c r="BI742" s="228" cm="1">
        <f t="array" ref="BI742">INDEX(Use, $AH742, 4)</f>
        <v>7</v>
      </c>
      <c r="BJ742" s="228">
        <f t="shared" si="788"/>
        <v>32</v>
      </c>
      <c r="BK742" s="228">
        <f t="shared" si="814"/>
        <v>13</v>
      </c>
      <c r="BL742" s="228">
        <f t="shared" si="815"/>
        <v>0</v>
      </c>
      <c r="BM742" s="233" cm="1">
        <f t="array" ref="BM742">L742/IF($M742&gt;0, INDEX($AY$22:$BE$76, $M742+20, $AH742), 1)</f>
        <v>0</v>
      </c>
      <c r="BN742" s="229">
        <f t="shared" si="789"/>
        <v>0</v>
      </c>
      <c r="BO742" s="228">
        <v>35</v>
      </c>
      <c r="BP742" s="229">
        <f t="shared" si="790"/>
        <v>48</v>
      </c>
      <c r="BQ742" s="234">
        <f t="shared" si="791"/>
        <v>3.0748170731707316</v>
      </c>
      <c r="BR742" s="234" cm="1">
        <f t="array" ref="BR742">$BM742 * SUMPRODUCT(INDEX($AV$76:$AX$81,,$AI742),INDEX($AY$76:$BE$81,,$AH742), N($AU$76:$AU$81&gt;$AM742)) / BQ742 / 1000</f>
        <v>0</v>
      </c>
      <c r="BS742" s="231">
        <f t="shared" si="816"/>
        <v>30</v>
      </c>
      <c r="BT742" s="229">
        <f t="shared" si="792"/>
        <v>43</v>
      </c>
      <c r="BU742" s="234">
        <f t="shared" si="793"/>
        <v>3.5018750000000001</v>
      </c>
      <c r="BV742" s="234" cm="1">
        <f t="array" ref="BV742">$BM742 * IF($AH742&lt;=2,
SUMPRODUCT(INDEX($AV$71:$AX$75,,$AI742), INDEX($AY$71:$BE$75,,$AH742), 1 / ($BF$71:$BF$75*BU742 + (1-$BF$71:$BF$75)*BQ742), N($AU$71:$AU$75&gt;$AM742)),
SUMPRODUCT(INDEX($AV$66:$AX$75,,$AI742), INDEX($AY$66:$BE$75,,$AH742), 1 / ($BG$66:$BG$75*BU742 + (1-$BG$66:$BG$75)*BQ742), N($AU$66:$AU$75&gt;$AM742))
) / 1000</f>
        <v>0</v>
      </c>
      <c r="BW742" s="231">
        <f t="shared" si="817"/>
        <v>25</v>
      </c>
      <c r="BX742" s="229">
        <f t="shared" si="794"/>
        <v>38</v>
      </c>
      <c r="BY742" s="234">
        <f t="shared" si="795"/>
        <v>4.0666935483870965</v>
      </c>
      <c r="BZ742" s="234" cm="1">
        <f t="array" ref="BZ742">$BM742 * IF($AH742&lt;=2,
SUMPRODUCT(INDEX($AV$66:$AX$70,,$AI742), INDEX($AY$66:$BE$70,,$AH742), 1 / ($BF$66:$BF$70*BY742 + (1-$BF$66:$BF$70)*BU742), N($AU$66:$AU$70&gt;$AM742)),
SUMPRODUCT(INDEX($AV$56:$AX$65,,$AI742), INDEX($AY$56:$BE$65,,$AH742), 1 / ($BG$56:$BG$65*BY742 + (1-$BG$56:$BG$65)*BU742), N($AU$56:$AU$65&gt;$AM742))
) / 1000</f>
        <v>0</v>
      </c>
      <c r="CA742" s="231">
        <f t="shared" si="818"/>
        <v>20</v>
      </c>
      <c r="CB742" s="229">
        <f t="shared" si="796"/>
        <v>33</v>
      </c>
      <c r="CC742" s="234">
        <f t="shared" si="797"/>
        <v>4.8487499999999999</v>
      </c>
      <c r="CD742" s="234" cm="1">
        <f t="array" ref="CD742">$BM742 * IF($AH742&lt;=2,
SUMPRODUCT(INDEX($AV$61:$AX$65,,$AI742), INDEX($AY$61:$BE$65,,$AH742), 1 / ($BF$61:$BF$65*CC742 + (1-$BF$61:$BF$65)*BY742), N($AU$61:$AU$65&gt;$AM742)),
SUMPRODUCT(INDEX($AV$46:$AX$55,,$AI742), INDEX($AY$46:$BE$55,,$AH742), 1 / ($BG$46:$BG$55*CC742 + (1-$BG$46:$BG$55)*BY742), N($AU$46:$AU$55&gt;$AM742))
) / 1000</f>
        <v>0</v>
      </c>
      <c r="CE742" s="234" cm="1">
        <f t="array" ref="CE742">$BM742 * IF($AH742&lt;=2,
SUMPRODUCT(INDEX($AV$22:$AX$60,,$AI742), INDEX($AY$22:$BE$60,,$AH742), 1 / ($BF$22:$BF$60*CC742), N($AU$22:$AU$60&gt;$AM742)),
SUMPRODUCT(INDEX($AV$22:$AX$45,,$AI742), INDEX($AY$22:$BE$45,,$AH742), 1 / ($BG$22:$BG$45*CC742), N($AU$22:$AU$45&gt;$AM742))
) / 1000</f>
        <v>0</v>
      </c>
      <c r="CF742" s="229">
        <f t="shared" si="798"/>
        <v>0</v>
      </c>
      <c r="CG742" s="246"/>
      <c r="CH742" s="229">
        <f t="shared" si="799"/>
        <v>0</v>
      </c>
      <c r="CI742" s="228">
        <v>35</v>
      </c>
      <c r="CJ742" s="229">
        <f t="shared" si="800"/>
        <v>48</v>
      </c>
      <c r="CK742" s="234">
        <f t="shared" si="801"/>
        <v>3.0748170731707316</v>
      </c>
      <c r="CL742" s="234" cm="1">
        <f t="array" ref="CL742">$BM742 * SUMPRODUCT(INDEX($AV$76:$AX$81,,$AI742),INDEX($AY$76:$BE$81,,$AH742), N($AU$76:$AU$81&gt;$AM742)) / CK742 / 1000</f>
        <v>0</v>
      </c>
      <c r="CM742" s="231">
        <f t="shared" si="819"/>
        <v>30</v>
      </c>
      <c r="CN742" s="229">
        <f t="shared" si="802"/>
        <v>43</v>
      </c>
      <c r="CO742" s="234">
        <f t="shared" si="803"/>
        <v>3.5018750000000001</v>
      </c>
      <c r="CP742" s="234" cm="1">
        <f t="array" ref="CP742">$BM742 * IF($AH742&lt;=2,
SUMPRODUCT(INDEX($AV$71:$AX$75,,$AI742), INDEX($AY$71:$BE$75,,$AH742), 1 / ($BF$71:$BF$75*CO742 + (1-$BF$71:$BF$75)*CK742), N($AU$71:$AU$75&gt;$AM742)),
SUMPRODUCT(INDEX($AV$66:$AX$75,,$AI742), INDEX($AY$66:$BE$75,,$AH742), 1 / ($BG$66:$BG$75*CO742 + (1-$BG$66:$BG$75)*CK742), N($AU$66:$AU$75&gt;$AM742))
) / 1000</f>
        <v>0</v>
      </c>
      <c r="CQ742" s="231">
        <f t="shared" si="820"/>
        <v>25</v>
      </c>
      <c r="CR742" s="229">
        <f t="shared" si="804"/>
        <v>38</v>
      </c>
      <c r="CS742" s="234">
        <f t="shared" si="805"/>
        <v>4.0666935483870965</v>
      </c>
      <c r="CT742" s="234" cm="1">
        <f t="array" ref="CT742">$BM742 * IF($AH742&lt;=2,
SUMPRODUCT(INDEX($AV$66:$AX$70,,$AI742), INDEX($AY$66:$BE$70,,$AH742), 1 / ($BF$66:$BF$70*CS742 + (1-$BF$66:$BF$70)*CO742), N($AU$66:$AU$70&gt;$AM742)),
SUMPRODUCT(INDEX($AV$56:$AX$65,,$AI742), INDEX($AY$56:$BE$65,,$AH742), 1 / ($BG$56:$BG$65*CS742 + (1-$BG$56:$BG$65)*CO742), N($AU$56:$AU$65&gt;$AM742))
) / 1000</f>
        <v>0</v>
      </c>
      <c r="CU742" s="231">
        <f t="shared" si="821"/>
        <v>20</v>
      </c>
      <c r="CV742" s="229">
        <f t="shared" si="806"/>
        <v>33</v>
      </c>
      <c r="CW742" s="234">
        <f t="shared" si="807"/>
        <v>4.8487499999999999</v>
      </c>
      <c r="CX742" s="234" cm="1">
        <f t="array" ref="CX742">$BM742 * IF($AH742&lt;=2,
SUMPRODUCT(INDEX($AV$61:$AX$65,,$AI742), INDEX($AY$61:$BE$65,,$AH742), 1 / ($BF$61:$BF$65*CW742 + (1-$BF$61:$BF$65)*CS742), N($AU$61:$AU$65&gt;$AM742)),
SUMPRODUCT(INDEX($AV$46:$AX$55,,$AI742), INDEX($AY$46:$BE$55,,$AH742), 1 / ($BG$46:$BG$55*CW742 + (1-$BG$46:$BG$55)*CS742), N($AU$46:$AU$55&gt;$AM742))
) / 1000</f>
        <v>0</v>
      </c>
      <c r="CY742" s="234" cm="1">
        <f t="array" ref="CY742">$BM742 * IF($AH742&lt;=2,
SUMPRODUCT(INDEX($AV$22:$AX$60,,$AI742), INDEX($AY$22:$BE$60,,$AH742), 1 / ($BF$22:$BF$60*CW742), N($AU$22:$AU$60&gt;$AM742)),
SUMPRODUCT(INDEX($AV$22:$AX$45,,$AI742), INDEX($AY$22:$BE$45,,$AH742), 1 / ($BG$22:$BG$45*CW742), N($AU$22:$AU$45&gt;$AM742))
) / 1000</f>
        <v>0</v>
      </c>
      <c r="CZ742" s="229">
        <f t="shared" si="808"/>
        <v>0</v>
      </c>
      <c r="DA742" s="246"/>
    </row>
    <row r="743" spans="1:105" s="75" customFormat="1" ht="14.25" customHeight="1" x14ac:dyDescent="0.2">
      <c r="A743" s="230" t="b">
        <f t="shared" si="813"/>
        <v>0</v>
      </c>
      <c r="B743" s="253">
        <v>722</v>
      </c>
      <c r="C743" s="266"/>
      <c r="D743" s="266"/>
      <c r="E743" s="254"/>
      <c r="F743" s="255" t="str">
        <f>IF(ISBLANK(E743), "", VLOOKUP(E743, Z!$A$2:$C$4127, 3, FALSE))</f>
        <v/>
      </c>
      <c r="G743" s="256"/>
      <c r="H743" s="256"/>
      <c r="I743" s="256"/>
      <c r="J743" s="257"/>
      <c r="K743" s="258"/>
      <c r="L743" s="267"/>
      <c r="M743" s="268"/>
      <c r="N743" s="259" t="str" cm="1">
        <f t="array" ref="N743">IF($L743&gt;0, INDEX(Clean,1+AK743,$D$1), "")</f>
        <v/>
      </c>
      <c r="O743" s="260"/>
      <c r="P743" s="260"/>
      <c r="Q743" s="261"/>
      <c r="R743" s="264">
        <f t="shared" si="784"/>
        <v>0</v>
      </c>
      <c r="S743" s="259" t="str" cm="1">
        <f t="array" ref="S743">IF($L743&gt;0, INDEX(Clean,1+AL743,$D$1), "")</f>
        <v/>
      </c>
      <c r="T743" s="260"/>
      <c r="U743" s="260"/>
      <c r="V743" s="261"/>
      <c r="W743" s="267"/>
      <c r="X743" s="267"/>
      <c r="Y743" s="257"/>
      <c r="Z743" s="264">
        <f t="shared" si="785"/>
        <v>0</v>
      </c>
      <c r="AA743" s="269"/>
      <c r="AB743" s="266"/>
      <c r="AC743" s="254"/>
      <c r="AD743" s="255" t="str">
        <f>IF(ISBLANK(AC743), "", VLOOKUP(AC743, Z!$A$2:$C$4127, 3, FALSE))</f>
        <v/>
      </c>
      <c r="AE743" s="270"/>
      <c r="AF743" s="265">
        <f t="shared" si="786"/>
        <v>0</v>
      </c>
      <c r="AG743" s="246"/>
      <c r="AH743" s="228">
        <f t="shared" si="809"/>
        <v>1</v>
      </c>
      <c r="AI743" s="228">
        <f t="shared" si="810"/>
        <v>1</v>
      </c>
      <c r="AJ743" s="228">
        <f t="shared" si="811"/>
        <v>0</v>
      </c>
      <c r="AK743" s="228">
        <v>0</v>
      </c>
      <c r="AL743" s="228">
        <v>0</v>
      </c>
      <c r="AM743" s="228">
        <f t="shared" si="787"/>
        <v>-100</v>
      </c>
      <c r="AN743" s="228" cm="1">
        <f t="array" ref="AN743">IF(ISBLANK(G743), 1, IFERROR(MATCH(G743, INDEX(Kat,,1), 0), IFERROR(MATCH(Kat, INDEX(Use,,2), 0), MATCH(Kat, INDEX(Use,,3), 0))))</f>
        <v>1</v>
      </c>
      <c r="AO743" s="246"/>
      <c r="AP743" s="228" cm="1">
        <f t="array" ref="AP743">IF(W743&gt;0, INDEX(Kat, AN743,4), 0)</f>
        <v>0</v>
      </c>
      <c r="AQ743" s="228">
        <f t="shared" si="812"/>
        <v>0</v>
      </c>
      <c r="AR743" s="228" cm="1">
        <f t="array" ref="AR743">IF(X743&gt;0, INDEX(Kat, $AN743, 4+AQ743), 0)</f>
        <v>0</v>
      </c>
      <c r="AS743" s="228" cm="1">
        <f t="array" ref="AS743">IF(X743&gt;0, INDEX(Kat, $AN743, 9+AQ743), 0)</f>
        <v>0</v>
      </c>
      <c r="AT743" s="246"/>
      <c r="AU743" s="262"/>
      <c r="AV743" s="262"/>
      <c r="AW743" s="263"/>
      <c r="AX743" s="263"/>
      <c r="AY743" s="263"/>
      <c r="AZ743" s="263"/>
      <c r="BA743" s="263"/>
      <c r="BB743" s="263"/>
      <c r="BC743" s="263"/>
      <c r="BD743" s="263"/>
      <c r="BE743" s="263"/>
      <c r="BF743" s="263"/>
      <c r="BG743" s="263"/>
      <c r="BH743" s="246"/>
      <c r="BI743" s="228" cm="1">
        <f t="array" ref="BI743">INDEX(Use, $AH743, 4)</f>
        <v>7</v>
      </c>
      <c r="BJ743" s="228">
        <f t="shared" si="788"/>
        <v>32</v>
      </c>
      <c r="BK743" s="228">
        <f t="shared" si="814"/>
        <v>13</v>
      </c>
      <c r="BL743" s="228">
        <f t="shared" si="815"/>
        <v>0</v>
      </c>
      <c r="BM743" s="233" cm="1">
        <f t="array" ref="BM743">L743/IF($M743&gt;0, INDEX($AY$22:$BE$76, $M743+20, $AH743), 1)</f>
        <v>0</v>
      </c>
      <c r="BN743" s="229">
        <f t="shared" si="789"/>
        <v>0</v>
      </c>
      <c r="BO743" s="228">
        <v>35</v>
      </c>
      <c r="BP743" s="229">
        <f t="shared" si="790"/>
        <v>48</v>
      </c>
      <c r="BQ743" s="234">
        <f t="shared" si="791"/>
        <v>3.0748170731707316</v>
      </c>
      <c r="BR743" s="234" cm="1">
        <f t="array" ref="BR743">$BM743 * SUMPRODUCT(INDEX($AV$76:$AX$81,,$AI743),INDEX($AY$76:$BE$81,,$AH743), N($AU$76:$AU$81&gt;$AM743)) / BQ743 / 1000</f>
        <v>0</v>
      </c>
      <c r="BS743" s="231">
        <f t="shared" si="816"/>
        <v>30</v>
      </c>
      <c r="BT743" s="229">
        <f t="shared" si="792"/>
        <v>43</v>
      </c>
      <c r="BU743" s="234">
        <f t="shared" si="793"/>
        <v>3.5018750000000001</v>
      </c>
      <c r="BV743" s="234" cm="1">
        <f t="array" ref="BV743">$BM743 * IF($AH743&lt;=2,
SUMPRODUCT(INDEX($AV$71:$AX$75,,$AI743), INDEX($AY$71:$BE$75,,$AH743), 1 / ($BF$71:$BF$75*BU743 + (1-$BF$71:$BF$75)*BQ743), N($AU$71:$AU$75&gt;$AM743)),
SUMPRODUCT(INDEX($AV$66:$AX$75,,$AI743), INDEX($AY$66:$BE$75,,$AH743), 1 / ($BG$66:$BG$75*BU743 + (1-$BG$66:$BG$75)*BQ743), N($AU$66:$AU$75&gt;$AM743))
) / 1000</f>
        <v>0</v>
      </c>
      <c r="BW743" s="231">
        <f t="shared" si="817"/>
        <v>25</v>
      </c>
      <c r="BX743" s="229">
        <f t="shared" si="794"/>
        <v>38</v>
      </c>
      <c r="BY743" s="234">
        <f t="shared" si="795"/>
        <v>4.0666935483870965</v>
      </c>
      <c r="BZ743" s="234" cm="1">
        <f t="array" ref="BZ743">$BM743 * IF($AH743&lt;=2,
SUMPRODUCT(INDEX($AV$66:$AX$70,,$AI743), INDEX($AY$66:$BE$70,,$AH743), 1 / ($BF$66:$BF$70*BY743 + (1-$BF$66:$BF$70)*BU743), N($AU$66:$AU$70&gt;$AM743)),
SUMPRODUCT(INDEX($AV$56:$AX$65,,$AI743), INDEX($AY$56:$BE$65,,$AH743), 1 / ($BG$56:$BG$65*BY743 + (1-$BG$56:$BG$65)*BU743), N($AU$56:$AU$65&gt;$AM743))
) / 1000</f>
        <v>0</v>
      </c>
      <c r="CA743" s="231">
        <f t="shared" si="818"/>
        <v>20</v>
      </c>
      <c r="CB743" s="229">
        <f t="shared" si="796"/>
        <v>33</v>
      </c>
      <c r="CC743" s="234">
        <f t="shared" si="797"/>
        <v>4.8487499999999999</v>
      </c>
      <c r="CD743" s="234" cm="1">
        <f t="array" ref="CD743">$BM743 * IF($AH743&lt;=2,
SUMPRODUCT(INDEX($AV$61:$AX$65,,$AI743), INDEX($AY$61:$BE$65,,$AH743), 1 / ($BF$61:$BF$65*CC743 + (1-$BF$61:$BF$65)*BY743), N($AU$61:$AU$65&gt;$AM743)),
SUMPRODUCT(INDEX($AV$46:$AX$55,,$AI743), INDEX($AY$46:$BE$55,,$AH743), 1 / ($BG$46:$BG$55*CC743 + (1-$BG$46:$BG$55)*BY743), N($AU$46:$AU$55&gt;$AM743))
) / 1000</f>
        <v>0</v>
      </c>
      <c r="CE743" s="234" cm="1">
        <f t="array" ref="CE743">$BM743 * IF($AH743&lt;=2,
SUMPRODUCT(INDEX($AV$22:$AX$60,,$AI743), INDEX($AY$22:$BE$60,,$AH743), 1 / ($BF$22:$BF$60*CC743), N($AU$22:$AU$60&gt;$AM743)),
SUMPRODUCT(INDEX($AV$22:$AX$45,,$AI743), INDEX($AY$22:$BE$45,,$AH743), 1 / ($BG$22:$BG$45*CC743), N($AU$22:$AU$45&gt;$AM743))
) / 1000</f>
        <v>0</v>
      </c>
      <c r="CF743" s="229">
        <f t="shared" si="798"/>
        <v>0</v>
      </c>
      <c r="CG743" s="246"/>
      <c r="CH743" s="229">
        <f t="shared" si="799"/>
        <v>0</v>
      </c>
      <c r="CI743" s="228">
        <v>35</v>
      </c>
      <c r="CJ743" s="229">
        <f t="shared" si="800"/>
        <v>48</v>
      </c>
      <c r="CK743" s="234">
        <f t="shared" si="801"/>
        <v>3.0748170731707316</v>
      </c>
      <c r="CL743" s="234" cm="1">
        <f t="array" ref="CL743">$BM743 * SUMPRODUCT(INDEX($AV$76:$AX$81,,$AI743),INDEX($AY$76:$BE$81,,$AH743), N($AU$76:$AU$81&gt;$AM743)) / CK743 / 1000</f>
        <v>0</v>
      </c>
      <c r="CM743" s="231">
        <f t="shared" si="819"/>
        <v>30</v>
      </c>
      <c r="CN743" s="229">
        <f t="shared" si="802"/>
        <v>43</v>
      </c>
      <c r="CO743" s="234">
        <f t="shared" si="803"/>
        <v>3.5018750000000001</v>
      </c>
      <c r="CP743" s="234" cm="1">
        <f t="array" ref="CP743">$BM743 * IF($AH743&lt;=2,
SUMPRODUCT(INDEX($AV$71:$AX$75,,$AI743), INDEX($AY$71:$BE$75,,$AH743), 1 / ($BF$71:$BF$75*CO743 + (1-$BF$71:$BF$75)*CK743), N($AU$71:$AU$75&gt;$AM743)),
SUMPRODUCT(INDEX($AV$66:$AX$75,,$AI743), INDEX($AY$66:$BE$75,,$AH743), 1 / ($BG$66:$BG$75*CO743 + (1-$BG$66:$BG$75)*CK743), N($AU$66:$AU$75&gt;$AM743))
) / 1000</f>
        <v>0</v>
      </c>
      <c r="CQ743" s="231">
        <f t="shared" si="820"/>
        <v>25</v>
      </c>
      <c r="CR743" s="229">
        <f t="shared" si="804"/>
        <v>38</v>
      </c>
      <c r="CS743" s="234">
        <f t="shared" si="805"/>
        <v>4.0666935483870965</v>
      </c>
      <c r="CT743" s="234" cm="1">
        <f t="array" ref="CT743">$BM743 * IF($AH743&lt;=2,
SUMPRODUCT(INDEX($AV$66:$AX$70,,$AI743), INDEX($AY$66:$BE$70,,$AH743), 1 / ($BF$66:$BF$70*CS743 + (1-$BF$66:$BF$70)*CO743), N($AU$66:$AU$70&gt;$AM743)),
SUMPRODUCT(INDEX($AV$56:$AX$65,,$AI743), INDEX($AY$56:$BE$65,,$AH743), 1 / ($BG$56:$BG$65*CS743 + (1-$BG$56:$BG$65)*CO743), N($AU$56:$AU$65&gt;$AM743))
) / 1000</f>
        <v>0</v>
      </c>
      <c r="CU743" s="231">
        <f t="shared" si="821"/>
        <v>20</v>
      </c>
      <c r="CV743" s="229">
        <f t="shared" si="806"/>
        <v>33</v>
      </c>
      <c r="CW743" s="234">
        <f t="shared" si="807"/>
        <v>4.8487499999999999</v>
      </c>
      <c r="CX743" s="234" cm="1">
        <f t="array" ref="CX743">$BM743 * IF($AH743&lt;=2,
SUMPRODUCT(INDEX($AV$61:$AX$65,,$AI743), INDEX($AY$61:$BE$65,,$AH743), 1 / ($BF$61:$BF$65*CW743 + (1-$BF$61:$BF$65)*CS743), N($AU$61:$AU$65&gt;$AM743)),
SUMPRODUCT(INDEX($AV$46:$AX$55,,$AI743), INDEX($AY$46:$BE$55,,$AH743), 1 / ($BG$46:$BG$55*CW743 + (1-$BG$46:$BG$55)*CS743), N($AU$46:$AU$55&gt;$AM743))
) / 1000</f>
        <v>0</v>
      </c>
      <c r="CY743" s="234" cm="1">
        <f t="array" ref="CY743">$BM743 * IF($AH743&lt;=2,
SUMPRODUCT(INDEX($AV$22:$AX$60,,$AI743), INDEX($AY$22:$BE$60,,$AH743), 1 / ($BF$22:$BF$60*CW743), N($AU$22:$AU$60&gt;$AM743)),
SUMPRODUCT(INDEX($AV$22:$AX$45,,$AI743), INDEX($AY$22:$BE$45,,$AH743), 1 / ($BG$22:$BG$45*CW743), N($AU$22:$AU$45&gt;$AM743))
) / 1000</f>
        <v>0</v>
      </c>
      <c r="CZ743" s="229">
        <f t="shared" si="808"/>
        <v>0</v>
      </c>
      <c r="DA743" s="246"/>
    </row>
    <row r="744" spans="1:105" s="75" customFormat="1" ht="14.25" customHeight="1" x14ac:dyDescent="0.2">
      <c r="A744" s="230" t="b">
        <f t="shared" si="813"/>
        <v>0</v>
      </c>
      <c r="B744" s="253">
        <v>723</v>
      </c>
      <c r="C744" s="266"/>
      <c r="D744" s="266"/>
      <c r="E744" s="254"/>
      <c r="F744" s="255" t="str">
        <f>IF(ISBLANK(E744), "", VLOOKUP(E744, Z!$A$2:$C$4127, 3, FALSE))</f>
        <v/>
      </c>
      <c r="G744" s="256"/>
      <c r="H744" s="256"/>
      <c r="I744" s="256"/>
      <c r="J744" s="257"/>
      <c r="K744" s="258"/>
      <c r="L744" s="267"/>
      <c r="M744" s="268"/>
      <c r="N744" s="259" t="str" cm="1">
        <f t="array" ref="N744">IF($L744&gt;0, INDEX(Clean,1+AK744,$D$1), "")</f>
        <v/>
      </c>
      <c r="O744" s="260"/>
      <c r="P744" s="260"/>
      <c r="Q744" s="261"/>
      <c r="R744" s="264">
        <f t="shared" si="784"/>
        <v>0</v>
      </c>
      <c r="S744" s="259" t="str" cm="1">
        <f t="array" ref="S744">IF($L744&gt;0, INDEX(Clean,1+AL744,$D$1), "")</f>
        <v/>
      </c>
      <c r="T744" s="260"/>
      <c r="U744" s="260"/>
      <c r="V744" s="261"/>
      <c r="W744" s="267"/>
      <c r="X744" s="267"/>
      <c r="Y744" s="257"/>
      <c r="Z744" s="264">
        <f t="shared" si="785"/>
        <v>0</v>
      </c>
      <c r="AA744" s="269"/>
      <c r="AB744" s="266"/>
      <c r="AC744" s="254"/>
      <c r="AD744" s="255" t="str">
        <f>IF(ISBLANK(AC744), "", VLOOKUP(AC744, Z!$A$2:$C$4127, 3, FALSE))</f>
        <v/>
      </c>
      <c r="AE744" s="270"/>
      <c r="AF744" s="265">
        <f t="shared" si="786"/>
        <v>0</v>
      </c>
      <c r="AG744" s="246"/>
      <c r="AH744" s="228">
        <f t="shared" si="809"/>
        <v>1</v>
      </c>
      <c r="AI744" s="228">
        <f t="shared" si="810"/>
        <v>1</v>
      </c>
      <c r="AJ744" s="228">
        <f t="shared" si="811"/>
        <v>0</v>
      </c>
      <c r="AK744" s="228">
        <v>0</v>
      </c>
      <c r="AL744" s="228">
        <v>0</v>
      </c>
      <c r="AM744" s="228">
        <f t="shared" si="787"/>
        <v>-100</v>
      </c>
      <c r="AN744" s="228" cm="1">
        <f t="array" ref="AN744">IF(ISBLANK(G744), 1, IFERROR(MATCH(G744, INDEX(Kat,,1), 0), IFERROR(MATCH(Kat, INDEX(Use,,2), 0), MATCH(Kat, INDEX(Use,,3), 0))))</f>
        <v>1</v>
      </c>
      <c r="AO744" s="246"/>
      <c r="AP744" s="228" cm="1">
        <f t="array" ref="AP744">IF(W744&gt;0, INDEX(Kat, AN744,4), 0)</f>
        <v>0</v>
      </c>
      <c r="AQ744" s="228">
        <f t="shared" si="812"/>
        <v>0</v>
      </c>
      <c r="AR744" s="228" cm="1">
        <f t="array" ref="AR744">IF(X744&gt;0, INDEX(Kat, $AN744, 4+AQ744), 0)</f>
        <v>0</v>
      </c>
      <c r="AS744" s="228" cm="1">
        <f t="array" ref="AS744">IF(X744&gt;0, INDEX(Kat, $AN744, 9+AQ744), 0)</f>
        <v>0</v>
      </c>
      <c r="AT744" s="246"/>
      <c r="AU744" s="262"/>
      <c r="AV744" s="262"/>
      <c r="AW744" s="263"/>
      <c r="AX744" s="263"/>
      <c r="AY744" s="263"/>
      <c r="AZ744" s="263"/>
      <c r="BA744" s="263"/>
      <c r="BB744" s="263"/>
      <c r="BC744" s="263"/>
      <c r="BD744" s="263"/>
      <c r="BE744" s="263"/>
      <c r="BF744" s="263"/>
      <c r="BG744" s="263"/>
      <c r="BH744" s="246"/>
      <c r="BI744" s="228" cm="1">
        <f t="array" ref="BI744">INDEX(Use, $AH744, 4)</f>
        <v>7</v>
      </c>
      <c r="BJ744" s="228">
        <f t="shared" si="788"/>
        <v>32</v>
      </c>
      <c r="BK744" s="228">
        <f t="shared" si="814"/>
        <v>13</v>
      </c>
      <c r="BL744" s="228">
        <f t="shared" si="815"/>
        <v>0</v>
      </c>
      <c r="BM744" s="233" cm="1">
        <f t="array" ref="BM744">L744/IF($M744&gt;0, INDEX($AY$22:$BE$76, $M744+20, $AH744), 1)</f>
        <v>0</v>
      </c>
      <c r="BN744" s="229">
        <f t="shared" si="789"/>
        <v>0</v>
      </c>
      <c r="BO744" s="228">
        <v>35</v>
      </c>
      <c r="BP744" s="229">
        <f t="shared" si="790"/>
        <v>48</v>
      </c>
      <c r="BQ744" s="234">
        <f t="shared" si="791"/>
        <v>3.0748170731707316</v>
      </c>
      <c r="BR744" s="234" cm="1">
        <f t="array" ref="BR744">$BM744 * SUMPRODUCT(INDEX($AV$76:$AX$81,,$AI744),INDEX($AY$76:$BE$81,,$AH744), N($AU$76:$AU$81&gt;$AM744)) / BQ744 / 1000</f>
        <v>0</v>
      </c>
      <c r="BS744" s="231">
        <f t="shared" si="816"/>
        <v>30</v>
      </c>
      <c r="BT744" s="229">
        <f t="shared" si="792"/>
        <v>43</v>
      </c>
      <c r="BU744" s="234">
        <f t="shared" si="793"/>
        <v>3.5018750000000001</v>
      </c>
      <c r="BV744" s="234" cm="1">
        <f t="array" ref="BV744">$BM744 * IF($AH744&lt;=2,
SUMPRODUCT(INDEX($AV$71:$AX$75,,$AI744), INDEX($AY$71:$BE$75,,$AH744), 1 / ($BF$71:$BF$75*BU744 + (1-$BF$71:$BF$75)*BQ744), N($AU$71:$AU$75&gt;$AM744)),
SUMPRODUCT(INDEX($AV$66:$AX$75,,$AI744), INDEX($AY$66:$BE$75,,$AH744), 1 / ($BG$66:$BG$75*BU744 + (1-$BG$66:$BG$75)*BQ744), N($AU$66:$AU$75&gt;$AM744))
) / 1000</f>
        <v>0</v>
      </c>
      <c r="BW744" s="231">
        <f t="shared" si="817"/>
        <v>25</v>
      </c>
      <c r="BX744" s="229">
        <f t="shared" si="794"/>
        <v>38</v>
      </c>
      <c r="BY744" s="234">
        <f t="shared" si="795"/>
        <v>4.0666935483870965</v>
      </c>
      <c r="BZ744" s="234" cm="1">
        <f t="array" ref="BZ744">$BM744 * IF($AH744&lt;=2,
SUMPRODUCT(INDEX($AV$66:$AX$70,,$AI744), INDEX($AY$66:$BE$70,,$AH744), 1 / ($BF$66:$BF$70*BY744 + (1-$BF$66:$BF$70)*BU744), N($AU$66:$AU$70&gt;$AM744)),
SUMPRODUCT(INDEX($AV$56:$AX$65,,$AI744), INDEX($AY$56:$BE$65,,$AH744), 1 / ($BG$56:$BG$65*BY744 + (1-$BG$56:$BG$65)*BU744), N($AU$56:$AU$65&gt;$AM744))
) / 1000</f>
        <v>0</v>
      </c>
      <c r="CA744" s="231">
        <f t="shared" si="818"/>
        <v>20</v>
      </c>
      <c r="CB744" s="229">
        <f t="shared" si="796"/>
        <v>33</v>
      </c>
      <c r="CC744" s="234">
        <f t="shared" si="797"/>
        <v>4.8487499999999999</v>
      </c>
      <c r="CD744" s="234" cm="1">
        <f t="array" ref="CD744">$BM744 * IF($AH744&lt;=2,
SUMPRODUCT(INDEX($AV$61:$AX$65,,$AI744), INDEX($AY$61:$BE$65,,$AH744), 1 / ($BF$61:$BF$65*CC744 + (1-$BF$61:$BF$65)*BY744), N($AU$61:$AU$65&gt;$AM744)),
SUMPRODUCT(INDEX($AV$46:$AX$55,,$AI744), INDEX($AY$46:$BE$55,,$AH744), 1 / ($BG$46:$BG$55*CC744 + (1-$BG$46:$BG$55)*BY744), N($AU$46:$AU$55&gt;$AM744))
) / 1000</f>
        <v>0</v>
      </c>
      <c r="CE744" s="234" cm="1">
        <f t="array" ref="CE744">$BM744 * IF($AH744&lt;=2,
SUMPRODUCT(INDEX($AV$22:$AX$60,,$AI744), INDEX($AY$22:$BE$60,,$AH744), 1 / ($BF$22:$BF$60*CC744), N($AU$22:$AU$60&gt;$AM744)),
SUMPRODUCT(INDEX($AV$22:$AX$45,,$AI744), INDEX($AY$22:$BE$45,,$AH744), 1 / ($BG$22:$BG$45*CC744), N($AU$22:$AU$45&gt;$AM744))
) / 1000</f>
        <v>0</v>
      </c>
      <c r="CF744" s="229">
        <f t="shared" si="798"/>
        <v>0</v>
      </c>
      <c r="CG744" s="246"/>
      <c r="CH744" s="229">
        <f t="shared" si="799"/>
        <v>0</v>
      </c>
      <c r="CI744" s="228">
        <v>35</v>
      </c>
      <c r="CJ744" s="229">
        <f t="shared" si="800"/>
        <v>48</v>
      </c>
      <c r="CK744" s="234">
        <f t="shared" si="801"/>
        <v>3.0748170731707316</v>
      </c>
      <c r="CL744" s="234" cm="1">
        <f t="array" ref="CL744">$BM744 * SUMPRODUCT(INDEX($AV$76:$AX$81,,$AI744),INDEX($AY$76:$BE$81,,$AH744), N($AU$76:$AU$81&gt;$AM744)) / CK744 / 1000</f>
        <v>0</v>
      </c>
      <c r="CM744" s="231">
        <f t="shared" si="819"/>
        <v>30</v>
      </c>
      <c r="CN744" s="229">
        <f t="shared" si="802"/>
        <v>43</v>
      </c>
      <c r="CO744" s="234">
        <f t="shared" si="803"/>
        <v>3.5018750000000001</v>
      </c>
      <c r="CP744" s="234" cm="1">
        <f t="array" ref="CP744">$BM744 * IF($AH744&lt;=2,
SUMPRODUCT(INDEX($AV$71:$AX$75,,$AI744), INDEX($AY$71:$BE$75,,$AH744), 1 / ($BF$71:$BF$75*CO744 + (1-$BF$71:$BF$75)*CK744), N($AU$71:$AU$75&gt;$AM744)),
SUMPRODUCT(INDEX($AV$66:$AX$75,,$AI744), INDEX($AY$66:$BE$75,,$AH744), 1 / ($BG$66:$BG$75*CO744 + (1-$BG$66:$BG$75)*CK744), N($AU$66:$AU$75&gt;$AM744))
) / 1000</f>
        <v>0</v>
      </c>
      <c r="CQ744" s="231">
        <f t="shared" si="820"/>
        <v>25</v>
      </c>
      <c r="CR744" s="229">
        <f t="shared" si="804"/>
        <v>38</v>
      </c>
      <c r="CS744" s="234">
        <f t="shared" si="805"/>
        <v>4.0666935483870965</v>
      </c>
      <c r="CT744" s="234" cm="1">
        <f t="array" ref="CT744">$BM744 * IF($AH744&lt;=2,
SUMPRODUCT(INDEX($AV$66:$AX$70,,$AI744), INDEX($AY$66:$BE$70,,$AH744), 1 / ($BF$66:$BF$70*CS744 + (1-$BF$66:$BF$70)*CO744), N($AU$66:$AU$70&gt;$AM744)),
SUMPRODUCT(INDEX($AV$56:$AX$65,,$AI744), INDEX($AY$56:$BE$65,,$AH744), 1 / ($BG$56:$BG$65*CS744 + (1-$BG$56:$BG$65)*CO744), N($AU$56:$AU$65&gt;$AM744))
) / 1000</f>
        <v>0</v>
      </c>
      <c r="CU744" s="231">
        <f t="shared" si="821"/>
        <v>20</v>
      </c>
      <c r="CV744" s="229">
        <f t="shared" si="806"/>
        <v>33</v>
      </c>
      <c r="CW744" s="234">
        <f t="shared" si="807"/>
        <v>4.8487499999999999</v>
      </c>
      <c r="CX744" s="234" cm="1">
        <f t="array" ref="CX744">$BM744 * IF($AH744&lt;=2,
SUMPRODUCT(INDEX($AV$61:$AX$65,,$AI744), INDEX($AY$61:$BE$65,,$AH744), 1 / ($BF$61:$BF$65*CW744 + (1-$BF$61:$BF$65)*CS744), N($AU$61:$AU$65&gt;$AM744)),
SUMPRODUCT(INDEX($AV$46:$AX$55,,$AI744), INDEX($AY$46:$BE$55,,$AH744), 1 / ($BG$46:$BG$55*CW744 + (1-$BG$46:$BG$55)*CS744), N($AU$46:$AU$55&gt;$AM744))
) / 1000</f>
        <v>0</v>
      </c>
      <c r="CY744" s="234" cm="1">
        <f t="array" ref="CY744">$BM744 * IF($AH744&lt;=2,
SUMPRODUCT(INDEX($AV$22:$AX$60,,$AI744), INDEX($AY$22:$BE$60,,$AH744), 1 / ($BF$22:$BF$60*CW744), N($AU$22:$AU$60&gt;$AM744)),
SUMPRODUCT(INDEX($AV$22:$AX$45,,$AI744), INDEX($AY$22:$BE$45,,$AH744), 1 / ($BG$22:$BG$45*CW744), N($AU$22:$AU$45&gt;$AM744))
) / 1000</f>
        <v>0</v>
      </c>
      <c r="CZ744" s="229">
        <f t="shared" si="808"/>
        <v>0</v>
      </c>
      <c r="DA744" s="246"/>
    </row>
    <row r="745" spans="1:105" s="75" customFormat="1" ht="14.25" customHeight="1" x14ac:dyDescent="0.2">
      <c r="A745" s="230" t="b">
        <f t="shared" si="813"/>
        <v>0</v>
      </c>
      <c r="B745" s="253">
        <v>724</v>
      </c>
      <c r="C745" s="266"/>
      <c r="D745" s="266"/>
      <c r="E745" s="254"/>
      <c r="F745" s="255" t="str">
        <f>IF(ISBLANK(E745), "", VLOOKUP(E745, Z!$A$2:$C$4127, 3, FALSE))</f>
        <v/>
      </c>
      <c r="G745" s="256"/>
      <c r="H745" s="256"/>
      <c r="I745" s="256"/>
      <c r="J745" s="257"/>
      <c r="K745" s="258"/>
      <c r="L745" s="267"/>
      <c r="M745" s="268"/>
      <c r="N745" s="259" t="str" cm="1">
        <f t="array" ref="N745">IF($L745&gt;0, INDEX(Clean,1+AK745,$D$1), "")</f>
        <v/>
      </c>
      <c r="O745" s="260"/>
      <c r="P745" s="260"/>
      <c r="Q745" s="261"/>
      <c r="R745" s="264">
        <f t="shared" si="784"/>
        <v>0</v>
      </c>
      <c r="S745" s="259" t="str" cm="1">
        <f t="array" ref="S745">IF($L745&gt;0, INDEX(Clean,1+AL745,$D$1), "")</f>
        <v/>
      </c>
      <c r="T745" s="260"/>
      <c r="U745" s="260"/>
      <c r="V745" s="261"/>
      <c r="W745" s="267"/>
      <c r="X745" s="267"/>
      <c r="Y745" s="257"/>
      <c r="Z745" s="264">
        <f t="shared" si="785"/>
        <v>0</v>
      </c>
      <c r="AA745" s="269"/>
      <c r="AB745" s="266"/>
      <c r="AC745" s="254"/>
      <c r="AD745" s="255" t="str">
        <f>IF(ISBLANK(AC745), "", VLOOKUP(AC745, Z!$A$2:$C$4127, 3, FALSE))</f>
        <v/>
      </c>
      <c r="AE745" s="270"/>
      <c r="AF745" s="265">
        <f t="shared" si="786"/>
        <v>0</v>
      </c>
      <c r="AG745" s="246"/>
      <c r="AH745" s="228">
        <f t="shared" si="809"/>
        <v>1</v>
      </c>
      <c r="AI745" s="228">
        <f t="shared" si="810"/>
        <v>1</v>
      </c>
      <c r="AJ745" s="228">
        <f t="shared" si="811"/>
        <v>0</v>
      </c>
      <c r="AK745" s="228">
        <v>0</v>
      </c>
      <c r="AL745" s="228">
        <v>0</v>
      </c>
      <c r="AM745" s="228">
        <f t="shared" si="787"/>
        <v>-100</v>
      </c>
      <c r="AN745" s="228" cm="1">
        <f t="array" ref="AN745">IF(ISBLANK(G745), 1, IFERROR(MATCH(G745, INDEX(Kat,,1), 0), IFERROR(MATCH(Kat, INDEX(Use,,2), 0), MATCH(Kat, INDEX(Use,,3), 0))))</f>
        <v>1</v>
      </c>
      <c r="AO745" s="246"/>
      <c r="AP745" s="228" cm="1">
        <f t="array" ref="AP745">IF(W745&gt;0, INDEX(Kat, AN745,4), 0)</f>
        <v>0</v>
      </c>
      <c r="AQ745" s="228">
        <f t="shared" si="812"/>
        <v>0</v>
      </c>
      <c r="AR745" s="228" cm="1">
        <f t="array" ref="AR745">IF(X745&gt;0, INDEX(Kat, $AN745, 4+AQ745), 0)</f>
        <v>0</v>
      </c>
      <c r="AS745" s="228" cm="1">
        <f t="array" ref="AS745">IF(X745&gt;0, INDEX(Kat, $AN745, 9+AQ745), 0)</f>
        <v>0</v>
      </c>
      <c r="AT745" s="246"/>
      <c r="AU745" s="262"/>
      <c r="AV745" s="262"/>
      <c r="AW745" s="263"/>
      <c r="AX745" s="263"/>
      <c r="AY745" s="263"/>
      <c r="AZ745" s="263"/>
      <c r="BA745" s="263"/>
      <c r="BB745" s="263"/>
      <c r="BC745" s="263"/>
      <c r="BD745" s="263"/>
      <c r="BE745" s="263"/>
      <c r="BF745" s="263"/>
      <c r="BG745" s="263"/>
      <c r="BH745" s="246"/>
      <c r="BI745" s="228" cm="1">
        <f t="array" ref="BI745">INDEX(Use, $AH745, 4)</f>
        <v>7</v>
      </c>
      <c r="BJ745" s="228">
        <f t="shared" si="788"/>
        <v>32</v>
      </c>
      <c r="BK745" s="228">
        <f t="shared" si="814"/>
        <v>13</v>
      </c>
      <c r="BL745" s="228">
        <f t="shared" si="815"/>
        <v>0</v>
      </c>
      <c r="BM745" s="233" cm="1">
        <f t="array" ref="BM745">L745/IF($M745&gt;0, INDEX($AY$22:$BE$76, $M745+20, $AH745), 1)</f>
        <v>0</v>
      </c>
      <c r="BN745" s="229">
        <f t="shared" si="789"/>
        <v>0</v>
      </c>
      <c r="BO745" s="228">
        <v>35</v>
      </c>
      <c r="BP745" s="229">
        <f t="shared" si="790"/>
        <v>48</v>
      </c>
      <c r="BQ745" s="234">
        <f t="shared" si="791"/>
        <v>3.0748170731707316</v>
      </c>
      <c r="BR745" s="234" cm="1">
        <f t="array" ref="BR745">$BM745 * SUMPRODUCT(INDEX($AV$76:$AX$81,,$AI745),INDEX($AY$76:$BE$81,,$AH745), N($AU$76:$AU$81&gt;$AM745)) / BQ745 / 1000</f>
        <v>0</v>
      </c>
      <c r="BS745" s="231">
        <f t="shared" si="816"/>
        <v>30</v>
      </c>
      <c r="BT745" s="229">
        <f t="shared" si="792"/>
        <v>43</v>
      </c>
      <c r="BU745" s="234">
        <f t="shared" si="793"/>
        <v>3.5018750000000001</v>
      </c>
      <c r="BV745" s="234" cm="1">
        <f t="array" ref="BV745">$BM745 * IF($AH745&lt;=2,
SUMPRODUCT(INDEX($AV$71:$AX$75,,$AI745), INDEX($AY$71:$BE$75,,$AH745), 1 / ($BF$71:$BF$75*BU745 + (1-$BF$71:$BF$75)*BQ745), N($AU$71:$AU$75&gt;$AM745)),
SUMPRODUCT(INDEX($AV$66:$AX$75,,$AI745), INDEX($AY$66:$BE$75,,$AH745), 1 / ($BG$66:$BG$75*BU745 + (1-$BG$66:$BG$75)*BQ745), N($AU$66:$AU$75&gt;$AM745))
) / 1000</f>
        <v>0</v>
      </c>
      <c r="BW745" s="231">
        <f t="shared" si="817"/>
        <v>25</v>
      </c>
      <c r="BX745" s="229">
        <f t="shared" si="794"/>
        <v>38</v>
      </c>
      <c r="BY745" s="234">
        <f t="shared" si="795"/>
        <v>4.0666935483870965</v>
      </c>
      <c r="BZ745" s="234" cm="1">
        <f t="array" ref="BZ745">$BM745 * IF($AH745&lt;=2,
SUMPRODUCT(INDEX($AV$66:$AX$70,,$AI745), INDEX($AY$66:$BE$70,,$AH745), 1 / ($BF$66:$BF$70*BY745 + (1-$BF$66:$BF$70)*BU745), N($AU$66:$AU$70&gt;$AM745)),
SUMPRODUCT(INDEX($AV$56:$AX$65,,$AI745), INDEX($AY$56:$BE$65,,$AH745), 1 / ($BG$56:$BG$65*BY745 + (1-$BG$56:$BG$65)*BU745), N($AU$56:$AU$65&gt;$AM745))
) / 1000</f>
        <v>0</v>
      </c>
      <c r="CA745" s="231">
        <f t="shared" si="818"/>
        <v>20</v>
      </c>
      <c r="CB745" s="229">
        <f t="shared" si="796"/>
        <v>33</v>
      </c>
      <c r="CC745" s="234">
        <f t="shared" si="797"/>
        <v>4.8487499999999999</v>
      </c>
      <c r="CD745" s="234" cm="1">
        <f t="array" ref="CD745">$BM745 * IF($AH745&lt;=2,
SUMPRODUCT(INDEX($AV$61:$AX$65,,$AI745), INDEX($AY$61:$BE$65,,$AH745), 1 / ($BF$61:$BF$65*CC745 + (1-$BF$61:$BF$65)*BY745), N($AU$61:$AU$65&gt;$AM745)),
SUMPRODUCT(INDEX($AV$46:$AX$55,,$AI745), INDEX($AY$46:$BE$55,,$AH745), 1 / ($BG$46:$BG$55*CC745 + (1-$BG$46:$BG$55)*BY745), N($AU$46:$AU$55&gt;$AM745))
) / 1000</f>
        <v>0</v>
      </c>
      <c r="CE745" s="234" cm="1">
        <f t="array" ref="CE745">$BM745 * IF($AH745&lt;=2,
SUMPRODUCT(INDEX($AV$22:$AX$60,,$AI745), INDEX($AY$22:$BE$60,,$AH745), 1 / ($BF$22:$BF$60*CC745), N($AU$22:$AU$60&gt;$AM745)),
SUMPRODUCT(INDEX($AV$22:$AX$45,,$AI745), INDEX($AY$22:$BE$45,,$AH745), 1 / ($BG$22:$BG$45*CC745), N($AU$22:$AU$45&gt;$AM745))
) / 1000</f>
        <v>0</v>
      </c>
      <c r="CF745" s="229">
        <f t="shared" si="798"/>
        <v>0</v>
      </c>
      <c r="CG745" s="246"/>
      <c r="CH745" s="229">
        <f t="shared" si="799"/>
        <v>0</v>
      </c>
      <c r="CI745" s="228">
        <v>35</v>
      </c>
      <c r="CJ745" s="229">
        <f t="shared" si="800"/>
        <v>48</v>
      </c>
      <c r="CK745" s="234">
        <f t="shared" si="801"/>
        <v>3.0748170731707316</v>
      </c>
      <c r="CL745" s="234" cm="1">
        <f t="array" ref="CL745">$BM745 * SUMPRODUCT(INDEX($AV$76:$AX$81,,$AI745),INDEX($AY$76:$BE$81,,$AH745), N($AU$76:$AU$81&gt;$AM745)) / CK745 / 1000</f>
        <v>0</v>
      </c>
      <c r="CM745" s="231">
        <f t="shared" si="819"/>
        <v>30</v>
      </c>
      <c r="CN745" s="229">
        <f t="shared" si="802"/>
        <v>43</v>
      </c>
      <c r="CO745" s="234">
        <f t="shared" si="803"/>
        <v>3.5018750000000001</v>
      </c>
      <c r="CP745" s="234" cm="1">
        <f t="array" ref="CP745">$BM745 * IF($AH745&lt;=2,
SUMPRODUCT(INDEX($AV$71:$AX$75,,$AI745), INDEX($AY$71:$BE$75,,$AH745), 1 / ($BF$71:$BF$75*CO745 + (1-$BF$71:$BF$75)*CK745), N($AU$71:$AU$75&gt;$AM745)),
SUMPRODUCT(INDEX($AV$66:$AX$75,,$AI745), INDEX($AY$66:$BE$75,,$AH745), 1 / ($BG$66:$BG$75*CO745 + (1-$BG$66:$BG$75)*CK745), N($AU$66:$AU$75&gt;$AM745))
) / 1000</f>
        <v>0</v>
      </c>
      <c r="CQ745" s="231">
        <f t="shared" si="820"/>
        <v>25</v>
      </c>
      <c r="CR745" s="229">
        <f t="shared" si="804"/>
        <v>38</v>
      </c>
      <c r="CS745" s="234">
        <f t="shared" si="805"/>
        <v>4.0666935483870965</v>
      </c>
      <c r="CT745" s="234" cm="1">
        <f t="array" ref="CT745">$BM745 * IF($AH745&lt;=2,
SUMPRODUCT(INDEX($AV$66:$AX$70,,$AI745), INDEX($AY$66:$BE$70,,$AH745), 1 / ($BF$66:$BF$70*CS745 + (1-$BF$66:$BF$70)*CO745), N($AU$66:$AU$70&gt;$AM745)),
SUMPRODUCT(INDEX($AV$56:$AX$65,,$AI745), INDEX($AY$56:$BE$65,,$AH745), 1 / ($BG$56:$BG$65*CS745 + (1-$BG$56:$BG$65)*CO745), N($AU$56:$AU$65&gt;$AM745))
) / 1000</f>
        <v>0</v>
      </c>
      <c r="CU745" s="231">
        <f t="shared" si="821"/>
        <v>20</v>
      </c>
      <c r="CV745" s="229">
        <f t="shared" si="806"/>
        <v>33</v>
      </c>
      <c r="CW745" s="234">
        <f t="shared" si="807"/>
        <v>4.8487499999999999</v>
      </c>
      <c r="CX745" s="234" cm="1">
        <f t="array" ref="CX745">$BM745 * IF($AH745&lt;=2,
SUMPRODUCT(INDEX($AV$61:$AX$65,,$AI745), INDEX($AY$61:$BE$65,,$AH745), 1 / ($BF$61:$BF$65*CW745 + (1-$BF$61:$BF$65)*CS745), N($AU$61:$AU$65&gt;$AM745)),
SUMPRODUCT(INDEX($AV$46:$AX$55,,$AI745), INDEX($AY$46:$BE$55,,$AH745), 1 / ($BG$46:$BG$55*CW745 + (1-$BG$46:$BG$55)*CS745), N($AU$46:$AU$55&gt;$AM745))
) / 1000</f>
        <v>0</v>
      </c>
      <c r="CY745" s="234" cm="1">
        <f t="array" ref="CY745">$BM745 * IF($AH745&lt;=2,
SUMPRODUCT(INDEX($AV$22:$AX$60,,$AI745), INDEX($AY$22:$BE$60,,$AH745), 1 / ($BF$22:$BF$60*CW745), N($AU$22:$AU$60&gt;$AM745)),
SUMPRODUCT(INDEX($AV$22:$AX$45,,$AI745), INDEX($AY$22:$BE$45,,$AH745), 1 / ($BG$22:$BG$45*CW745), N($AU$22:$AU$45&gt;$AM745))
) / 1000</f>
        <v>0</v>
      </c>
      <c r="CZ745" s="229">
        <f t="shared" si="808"/>
        <v>0</v>
      </c>
      <c r="DA745" s="246"/>
    </row>
    <row r="746" spans="1:105" s="75" customFormat="1" ht="14.25" customHeight="1" x14ac:dyDescent="0.2">
      <c r="A746" s="230" t="b">
        <f t="shared" si="813"/>
        <v>0</v>
      </c>
      <c r="B746" s="253">
        <v>725</v>
      </c>
      <c r="C746" s="266"/>
      <c r="D746" s="266"/>
      <c r="E746" s="254"/>
      <c r="F746" s="255" t="str">
        <f>IF(ISBLANK(E746), "", VLOOKUP(E746, Z!$A$2:$C$4127, 3, FALSE))</f>
        <v/>
      </c>
      <c r="G746" s="256"/>
      <c r="H746" s="256"/>
      <c r="I746" s="256"/>
      <c r="J746" s="257"/>
      <c r="K746" s="258"/>
      <c r="L746" s="267"/>
      <c r="M746" s="268"/>
      <c r="N746" s="259" t="str" cm="1">
        <f t="array" ref="N746">IF($L746&gt;0, INDEX(Clean,1+AK746,$D$1), "")</f>
        <v/>
      </c>
      <c r="O746" s="260"/>
      <c r="P746" s="260"/>
      <c r="Q746" s="261"/>
      <c r="R746" s="264">
        <f t="shared" si="784"/>
        <v>0</v>
      </c>
      <c r="S746" s="259" t="str" cm="1">
        <f t="array" ref="S746">IF($L746&gt;0, INDEX(Clean,1+AL746,$D$1), "")</f>
        <v/>
      </c>
      <c r="T746" s="260"/>
      <c r="U746" s="260"/>
      <c r="V746" s="261"/>
      <c r="W746" s="267"/>
      <c r="X746" s="267"/>
      <c r="Y746" s="257"/>
      <c r="Z746" s="264">
        <f t="shared" si="785"/>
        <v>0</v>
      </c>
      <c r="AA746" s="269"/>
      <c r="AB746" s="266"/>
      <c r="AC746" s="254"/>
      <c r="AD746" s="255" t="str">
        <f>IF(ISBLANK(AC746), "", VLOOKUP(AC746, Z!$A$2:$C$4127, 3, FALSE))</f>
        <v/>
      </c>
      <c r="AE746" s="270"/>
      <c r="AF746" s="265">
        <f t="shared" si="786"/>
        <v>0</v>
      </c>
      <c r="AG746" s="246"/>
      <c r="AH746" s="228">
        <f t="shared" si="809"/>
        <v>1</v>
      </c>
      <c r="AI746" s="228">
        <f t="shared" si="810"/>
        <v>1</v>
      </c>
      <c r="AJ746" s="228">
        <f t="shared" si="811"/>
        <v>0</v>
      </c>
      <c r="AK746" s="228">
        <v>0</v>
      </c>
      <c r="AL746" s="228">
        <v>0</v>
      </c>
      <c r="AM746" s="228">
        <f t="shared" si="787"/>
        <v>-100</v>
      </c>
      <c r="AN746" s="228" cm="1">
        <f t="array" ref="AN746">IF(ISBLANK(G746), 1, IFERROR(MATCH(G746, INDEX(Kat,,1), 0), IFERROR(MATCH(Kat, INDEX(Use,,2), 0), MATCH(Kat, INDEX(Use,,3), 0))))</f>
        <v>1</v>
      </c>
      <c r="AO746" s="246"/>
      <c r="AP746" s="228" cm="1">
        <f t="array" ref="AP746">IF(W746&gt;0, INDEX(Kat, AN746,4), 0)</f>
        <v>0</v>
      </c>
      <c r="AQ746" s="228">
        <f t="shared" si="812"/>
        <v>0</v>
      </c>
      <c r="AR746" s="228" cm="1">
        <f t="array" ref="AR746">IF(X746&gt;0, INDEX(Kat, $AN746, 4+AQ746), 0)</f>
        <v>0</v>
      </c>
      <c r="AS746" s="228" cm="1">
        <f t="array" ref="AS746">IF(X746&gt;0, INDEX(Kat, $AN746, 9+AQ746), 0)</f>
        <v>0</v>
      </c>
      <c r="AT746" s="246"/>
      <c r="AU746" s="262"/>
      <c r="AV746" s="262"/>
      <c r="AW746" s="263"/>
      <c r="AX746" s="263"/>
      <c r="AY746" s="263"/>
      <c r="AZ746" s="263"/>
      <c r="BA746" s="263"/>
      <c r="BB746" s="263"/>
      <c r="BC746" s="263"/>
      <c r="BD746" s="263"/>
      <c r="BE746" s="263"/>
      <c r="BF746" s="263"/>
      <c r="BG746" s="263"/>
      <c r="BH746" s="246"/>
      <c r="BI746" s="228" cm="1">
        <f t="array" ref="BI746">INDEX(Use, $AH746, 4)</f>
        <v>7</v>
      </c>
      <c r="BJ746" s="228">
        <f t="shared" si="788"/>
        <v>32</v>
      </c>
      <c r="BK746" s="228">
        <f t="shared" si="814"/>
        <v>13</v>
      </c>
      <c r="BL746" s="228">
        <f t="shared" si="815"/>
        <v>0</v>
      </c>
      <c r="BM746" s="233" cm="1">
        <f t="array" ref="BM746">L746/IF($M746&gt;0, INDEX($AY$22:$BE$76, $M746+20, $AH746), 1)</f>
        <v>0</v>
      </c>
      <c r="BN746" s="229">
        <f t="shared" si="789"/>
        <v>0</v>
      </c>
      <c r="BO746" s="228">
        <v>35</v>
      </c>
      <c r="BP746" s="229">
        <f t="shared" si="790"/>
        <v>48</v>
      </c>
      <c r="BQ746" s="234">
        <f t="shared" si="791"/>
        <v>3.0748170731707316</v>
      </c>
      <c r="BR746" s="234" cm="1">
        <f t="array" ref="BR746">$BM746 * SUMPRODUCT(INDEX($AV$76:$AX$81,,$AI746),INDEX($AY$76:$BE$81,,$AH746), N($AU$76:$AU$81&gt;$AM746)) / BQ746 / 1000</f>
        <v>0</v>
      </c>
      <c r="BS746" s="231">
        <f t="shared" si="816"/>
        <v>30</v>
      </c>
      <c r="BT746" s="229">
        <f t="shared" si="792"/>
        <v>43</v>
      </c>
      <c r="BU746" s="234">
        <f t="shared" si="793"/>
        <v>3.5018750000000001</v>
      </c>
      <c r="BV746" s="234" cm="1">
        <f t="array" ref="BV746">$BM746 * IF($AH746&lt;=2,
SUMPRODUCT(INDEX($AV$71:$AX$75,,$AI746), INDEX($AY$71:$BE$75,,$AH746), 1 / ($BF$71:$BF$75*BU746 + (1-$BF$71:$BF$75)*BQ746), N($AU$71:$AU$75&gt;$AM746)),
SUMPRODUCT(INDEX($AV$66:$AX$75,,$AI746), INDEX($AY$66:$BE$75,,$AH746), 1 / ($BG$66:$BG$75*BU746 + (1-$BG$66:$BG$75)*BQ746), N($AU$66:$AU$75&gt;$AM746))
) / 1000</f>
        <v>0</v>
      </c>
      <c r="BW746" s="231">
        <f t="shared" si="817"/>
        <v>25</v>
      </c>
      <c r="BX746" s="229">
        <f t="shared" si="794"/>
        <v>38</v>
      </c>
      <c r="BY746" s="234">
        <f t="shared" si="795"/>
        <v>4.0666935483870965</v>
      </c>
      <c r="BZ746" s="234" cm="1">
        <f t="array" ref="BZ746">$BM746 * IF($AH746&lt;=2,
SUMPRODUCT(INDEX($AV$66:$AX$70,,$AI746), INDEX($AY$66:$BE$70,,$AH746), 1 / ($BF$66:$BF$70*BY746 + (1-$BF$66:$BF$70)*BU746), N($AU$66:$AU$70&gt;$AM746)),
SUMPRODUCT(INDEX($AV$56:$AX$65,,$AI746), INDEX($AY$56:$BE$65,,$AH746), 1 / ($BG$56:$BG$65*BY746 + (1-$BG$56:$BG$65)*BU746), N($AU$56:$AU$65&gt;$AM746))
) / 1000</f>
        <v>0</v>
      </c>
      <c r="CA746" s="231">
        <f t="shared" si="818"/>
        <v>20</v>
      </c>
      <c r="CB746" s="229">
        <f t="shared" si="796"/>
        <v>33</v>
      </c>
      <c r="CC746" s="234">
        <f t="shared" si="797"/>
        <v>4.8487499999999999</v>
      </c>
      <c r="CD746" s="234" cm="1">
        <f t="array" ref="CD746">$BM746 * IF($AH746&lt;=2,
SUMPRODUCT(INDEX($AV$61:$AX$65,,$AI746), INDEX($AY$61:$BE$65,,$AH746), 1 / ($BF$61:$BF$65*CC746 + (1-$BF$61:$BF$65)*BY746), N($AU$61:$AU$65&gt;$AM746)),
SUMPRODUCT(INDEX($AV$46:$AX$55,,$AI746), INDEX($AY$46:$BE$55,,$AH746), 1 / ($BG$46:$BG$55*CC746 + (1-$BG$46:$BG$55)*BY746), N($AU$46:$AU$55&gt;$AM746))
) / 1000</f>
        <v>0</v>
      </c>
      <c r="CE746" s="234" cm="1">
        <f t="array" ref="CE746">$BM746 * IF($AH746&lt;=2,
SUMPRODUCT(INDEX($AV$22:$AX$60,,$AI746), INDEX($AY$22:$BE$60,,$AH746), 1 / ($BF$22:$BF$60*CC746), N($AU$22:$AU$60&gt;$AM746)),
SUMPRODUCT(INDEX($AV$22:$AX$45,,$AI746), INDEX($AY$22:$BE$45,,$AH746), 1 / ($BG$22:$BG$45*CC746), N($AU$22:$AU$45&gt;$AM746))
) / 1000</f>
        <v>0</v>
      </c>
      <c r="CF746" s="229">
        <f t="shared" si="798"/>
        <v>0</v>
      </c>
      <c r="CG746" s="246"/>
      <c r="CH746" s="229">
        <f t="shared" si="799"/>
        <v>0</v>
      </c>
      <c r="CI746" s="228">
        <v>35</v>
      </c>
      <c r="CJ746" s="229">
        <f t="shared" si="800"/>
        <v>48</v>
      </c>
      <c r="CK746" s="234">
        <f t="shared" si="801"/>
        <v>3.0748170731707316</v>
      </c>
      <c r="CL746" s="234" cm="1">
        <f t="array" ref="CL746">$BM746 * SUMPRODUCT(INDEX($AV$76:$AX$81,,$AI746),INDEX($AY$76:$BE$81,,$AH746), N($AU$76:$AU$81&gt;$AM746)) / CK746 / 1000</f>
        <v>0</v>
      </c>
      <c r="CM746" s="231">
        <f t="shared" si="819"/>
        <v>30</v>
      </c>
      <c r="CN746" s="229">
        <f t="shared" si="802"/>
        <v>43</v>
      </c>
      <c r="CO746" s="234">
        <f t="shared" si="803"/>
        <v>3.5018750000000001</v>
      </c>
      <c r="CP746" s="234" cm="1">
        <f t="array" ref="CP746">$BM746 * IF($AH746&lt;=2,
SUMPRODUCT(INDEX($AV$71:$AX$75,,$AI746), INDEX($AY$71:$BE$75,,$AH746), 1 / ($BF$71:$BF$75*CO746 + (1-$BF$71:$BF$75)*CK746), N($AU$71:$AU$75&gt;$AM746)),
SUMPRODUCT(INDEX($AV$66:$AX$75,,$AI746), INDEX($AY$66:$BE$75,,$AH746), 1 / ($BG$66:$BG$75*CO746 + (1-$BG$66:$BG$75)*CK746), N($AU$66:$AU$75&gt;$AM746))
) / 1000</f>
        <v>0</v>
      </c>
      <c r="CQ746" s="231">
        <f t="shared" si="820"/>
        <v>25</v>
      </c>
      <c r="CR746" s="229">
        <f t="shared" si="804"/>
        <v>38</v>
      </c>
      <c r="CS746" s="234">
        <f t="shared" si="805"/>
        <v>4.0666935483870965</v>
      </c>
      <c r="CT746" s="234" cm="1">
        <f t="array" ref="CT746">$BM746 * IF($AH746&lt;=2,
SUMPRODUCT(INDEX($AV$66:$AX$70,,$AI746), INDEX($AY$66:$BE$70,,$AH746), 1 / ($BF$66:$BF$70*CS746 + (1-$BF$66:$BF$70)*CO746), N($AU$66:$AU$70&gt;$AM746)),
SUMPRODUCT(INDEX($AV$56:$AX$65,,$AI746), INDEX($AY$56:$BE$65,,$AH746), 1 / ($BG$56:$BG$65*CS746 + (1-$BG$56:$BG$65)*CO746), N($AU$56:$AU$65&gt;$AM746))
) / 1000</f>
        <v>0</v>
      </c>
      <c r="CU746" s="231">
        <f t="shared" si="821"/>
        <v>20</v>
      </c>
      <c r="CV746" s="229">
        <f t="shared" si="806"/>
        <v>33</v>
      </c>
      <c r="CW746" s="234">
        <f t="shared" si="807"/>
        <v>4.8487499999999999</v>
      </c>
      <c r="CX746" s="234" cm="1">
        <f t="array" ref="CX746">$BM746 * IF($AH746&lt;=2,
SUMPRODUCT(INDEX($AV$61:$AX$65,,$AI746), INDEX($AY$61:$BE$65,,$AH746), 1 / ($BF$61:$BF$65*CW746 + (1-$BF$61:$BF$65)*CS746), N($AU$61:$AU$65&gt;$AM746)),
SUMPRODUCT(INDEX($AV$46:$AX$55,,$AI746), INDEX($AY$46:$BE$55,,$AH746), 1 / ($BG$46:$BG$55*CW746 + (1-$BG$46:$BG$55)*CS746), N($AU$46:$AU$55&gt;$AM746))
) / 1000</f>
        <v>0</v>
      </c>
      <c r="CY746" s="234" cm="1">
        <f t="array" ref="CY746">$BM746 * IF($AH746&lt;=2,
SUMPRODUCT(INDEX($AV$22:$AX$60,,$AI746), INDEX($AY$22:$BE$60,,$AH746), 1 / ($BF$22:$BF$60*CW746), N($AU$22:$AU$60&gt;$AM746)),
SUMPRODUCT(INDEX($AV$22:$AX$45,,$AI746), INDEX($AY$22:$BE$45,,$AH746), 1 / ($BG$22:$BG$45*CW746), N($AU$22:$AU$45&gt;$AM746))
) / 1000</f>
        <v>0</v>
      </c>
      <c r="CZ746" s="229">
        <f t="shared" si="808"/>
        <v>0</v>
      </c>
      <c r="DA746" s="246"/>
    </row>
    <row r="747" spans="1:105" s="75" customFormat="1" ht="14.25" customHeight="1" x14ac:dyDescent="0.2">
      <c r="A747" s="230" t="b">
        <f t="shared" si="813"/>
        <v>0</v>
      </c>
      <c r="B747" s="253">
        <v>726</v>
      </c>
      <c r="C747" s="266"/>
      <c r="D747" s="266"/>
      <c r="E747" s="254"/>
      <c r="F747" s="255" t="str">
        <f>IF(ISBLANK(E747), "", VLOOKUP(E747, Z!$A$2:$C$4127, 3, FALSE))</f>
        <v/>
      </c>
      <c r="G747" s="256"/>
      <c r="H747" s="256"/>
      <c r="I747" s="256"/>
      <c r="J747" s="257"/>
      <c r="K747" s="258"/>
      <c r="L747" s="267"/>
      <c r="M747" s="268"/>
      <c r="N747" s="259" t="str" cm="1">
        <f t="array" ref="N747">IF($L747&gt;0, INDEX(Clean,1+AK747,$D$1), "")</f>
        <v/>
      </c>
      <c r="O747" s="260"/>
      <c r="P747" s="260"/>
      <c r="Q747" s="261"/>
      <c r="R747" s="264">
        <f t="shared" si="784"/>
        <v>0</v>
      </c>
      <c r="S747" s="259" t="str" cm="1">
        <f t="array" ref="S747">IF($L747&gt;0, INDEX(Clean,1+AL747,$D$1), "")</f>
        <v/>
      </c>
      <c r="T747" s="260"/>
      <c r="U747" s="260"/>
      <c r="V747" s="261"/>
      <c r="W747" s="267"/>
      <c r="X747" s="267"/>
      <c r="Y747" s="257"/>
      <c r="Z747" s="264">
        <f t="shared" si="785"/>
        <v>0</v>
      </c>
      <c r="AA747" s="269"/>
      <c r="AB747" s="266"/>
      <c r="AC747" s="254"/>
      <c r="AD747" s="255" t="str">
        <f>IF(ISBLANK(AC747), "", VLOOKUP(AC747, Z!$A$2:$C$4127, 3, FALSE))</f>
        <v/>
      </c>
      <c r="AE747" s="270"/>
      <c r="AF747" s="265">
        <f t="shared" si="786"/>
        <v>0</v>
      </c>
      <c r="AG747" s="246"/>
      <c r="AH747" s="228">
        <f t="shared" si="809"/>
        <v>1</v>
      </c>
      <c r="AI747" s="228">
        <f t="shared" si="810"/>
        <v>1</v>
      </c>
      <c r="AJ747" s="228">
        <f t="shared" si="811"/>
        <v>0</v>
      </c>
      <c r="AK747" s="228">
        <v>0</v>
      </c>
      <c r="AL747" s="228">
        <v>0</v>
      </c>
      <c r="AM747" s="228">
        <f t="shared" si="787"/>
        <v>-100</v>
      </c>
      <c r="AN747" s="228" cm="1">
        <f t="array" ref="AN747">IF(ISBLANK(G747), 1, IFERROR(MATCH(G747, INDEX(Kat,,1), 0), IFERROR(MATCH(Kat, INDEX(Use,,2), 0), MATCH(Kat, INDEX(Use,,3), 0))))</f>
        <v>1</v>
      </c>
      <c r="AO747" s="246"/>
      <c r="AP747" s="228" cm="1">
        <f t="array" ref="AP747">IF(W747&gt;0, INDEX(Kat, AN747,4), 0)</f>
        <v>0</v>
      </c>
      <c r="AQ747" s="228">
        <f t="shared" si="812"/>
        <v>0</v>
      </c>
      <c r="AR747" s="228" cm="1">
        <f t="array" ref="AR747">IF(X747&gt;0, INDEX(Kat, $AN747, 4+AQ747), 0)</f>
        <v>0</v>
      </c>
      <c r="AS747" s="228" cm="1">
        <f t="array" ref="AS747">IF(X747&gt;0, INDEX(Kat, $AN747, 9+AQ747), 0)</f>
        <v>0</v>
      </c>
      <c r="AT747" s="246"/>
      <c r="AU747" s="262"/>
      <c r="AV747" s="262"/>
      <c r="AW747" s="263"/>
      <c r="AX747" s="263"/>
      <c r="AY747" s="263"/>
      <c r="AZ747" s="263"/>
      <c r="BA747" s="263"/>
      <c r="BB747" s="263"/>
      <c r="BC747" s="263"/>
      <c r="BD747" s="263"/>
      <c r="BE747" s="263"/>
      <c r="BF747" s="263"/>
      <c r="BG747" s="263"/>
      <c r="BH747" s="246"/>
      <c r="BI747" s="228" cm="1">
        <f t="array" ref="BI747">INDEX(Use, $AH747, 4)</f>
        <v>7</v>
      </c>
      <c r="BJ747" s="228">
        <f t="shared" si="788"/>
        <v>32</v>
      </c>
      <c r="BK747" s="228">
        <f t="shared" si="814"/>
        <v>13</v>
      </c>
      <c r="BL747" s="228">
        <f t="shared" si="815"/>
        <v>0</v>
      </c>
      <c r="BM747" s="233" cm="1">
        <f t="array" ref="BM747">L747/IF($M747&gt;0, INDEX($AY$22:$BE$76, $M747+20, $AH747), 1)</f>
        <v>0</v>
      </c>
      <c r="BN747" s="229">
        <f t="shared" si="789"/>
        <v>0</v>
      </c>
      <c r="BO747" s="228">
        <v>35</v>
      </c>
      <c r="BP747" s="229">
        <f t="shared" si="790"/>
        <v>48</v>
      </c>
      <c r="BQ747" s="234">
        <f t="shared" si="791"/>
        <v>3.0748170731707316</v>
      </c>
      <c r="BR747" s="234" cm="1">
        <f t="array" ref="BR747">$BM747 * SUMPRODUCT(INDEX($AV$76:$AX$81,,$AI747),INDEX($AY$76:$BE$81,,$AH747), N($AU$76:$AU$81&gt;$AM747)) / BQ747 / 1000</f>
        <v>0</v>
      </c>
      <c r="BS747" s="231">
        <f t="shared" si="816"/>
        <v>30</v>
      </c>
      <c r="BT747" s="229">
        <f t="shared" si="792"/>
        <v>43</v>
      </c>
      <c r="BU747" s="234">
        <f t="shared" si="793"/>
        <v>3.5018750000000001</v>
      </c>
      <c r="BV747" s="234" cm="1">
        <f t="array" ref="BV747">$BM747 * IF($AH747&lt;=2,
SUMPRODUCT(INDEX($AV$71:$AX$75,,$AI747), INDEX($AY$71:$BE$75,,$AH747), 1 / ($BF$71:$BF$75*BU747 + (1-$BF$71:$BF$75)*BQ747), N($AU$71:$AU$75&gt;$AM747)),
SUMPRODUCT(INDEX($AV$66:$AX$75,,$AI747), INDEX($AY$66:$BE$75,,$AH747), 1 / ($BG$66:$BG$75*BU747 + (1-$BG$66:$BG$75)*BQ747), N($AU$66:$AU$75&gt;$AM747))
) / 1000</f>
        <v>0</v>
      </c>
      <c r="BW747" s="231">
        <f t="shared" si="817"/>
        <v>25</v>
      </c>
      <c r="BX747" s="229">
        <f t="shared" si="794"/>
        <v>38</v>
      </c>
      <c r="BY747" s="234">
        <f t="shared" si="795"/>
        <v>4.0666935483870965</v>
      </c>
      <c r="BZ747" s="234" cm="1">
        <f t="array" ref="BZ747">$BM747 * IF($AH747&lt;=2,
SUMPRODUCT(INDEX($AV$66:$AX$70,,$AI747), INDEX($AY$66:$BE$70,,$AH747), 1 / ($BF$66:$BF$70*BY747 + (1-$BF$66:$BF$70)*BU747), N($AU$66:$AU$70&gt;$AM747)),
SUMPRODUCT(INDEX($AV$56:$AX$65,,$AI747), INDEX($AY$56:$BE$65,,$AH747), 1 / ($BG$56:$BG$65*BY747 + (1-$BG$56:$BG$65)*BU747), N($AU$56:$AU$65&gt;$AM747))
) / 1000</f>
        <v>0</v>
      </c>
      <c r="CA747" s="231">
        <f t="shared" si="818"/>
        <v>20</v>
      </c>
      <c r="CB747" s="229">
        <f t="shared" si="796"/>
        <v>33</v>
      </c>
      <c r="CC747" s="234">
        <f t="shared" si="797"/>
        <v>4.8487499999999999</v>
      </c>
      <c r="CD747" s="234" cm="1">
        <f t="array" ref="CD747">$BM747 * IF($AH747&lt;=2,
SUMPRODUCT(INDEX($AV$61:$AX$65,,$AI747), INDEX($AY$61:$BE$65,,$AH747), 1 / ($BF$61:$BF$65*CC747 + (1-$BF$61:$BF$65)*BY747), N($AU$61:$AU$65&gt;$AM747)),
SUMPRODUCT(INDEX($AV$46:$AX$55,,$AI747), INDEX($AY$46:$BE$55,,$AH747), 1 / ($BG$46:$BG$55*CC747 + (1-$BG$46:$BG$55)*BY747), N($AU$46:$AU$55&gt;$AM747))
) / 1000</f>
        <v>0</v>
      </c>
      <c r="CE747" s="234" cm="1">
        <f t="array" ref="CE747">$BM747 * IF($AH747&lt;=2,
SUMPRODUCT(INDEX($AV$22:$AX$60,,$AI747), INDEX($AY$22:$BE$60,,$AH747), 1 / ($BF$22:$BF$60*CC747), N($AU$22:$AU$60&gt;$AM747)),
SUMPRODUCT(INDEX($AV$22:$AX$45,,$AI747), INDEX($AY$22:$BE$45,,$AH747), 1 / ($BG$22:$BG$45*CC747), N($AU$22:$AU$45&gt;$AM747))
) / 1000</f>
        <v>0</v>
      </c>
      <c r="CF747" s="229">
        <f t="shared" si="798"/>
        <v>0</v>
      </c>
      <c r="CG747" s="246"/>
      <c r="CH747" s="229">
        <f t="shared" si="799"/>
        <v>0</v>
      </c>
      <c r="CI747" s="228">
        <v>35</v>
      </c>
      <c r="CJ747" s="229">
        <f t="shared" si="800"/>
        <v>48</v>
      </c>
      <c r="CK747" s="234">
        <f t="shared" si="801"/>
        <v>3.0748170731707316</v>
      </c>
      <c r="CL747" s="234" cm="1">
        <f t="array" ref="CL747">$BM747 * SUMPRODUCT(INDEX($AV$76:$AX$81,,$AI747),INDEX($AY$76:$BE$81,,$AH747), N($AU$76:$AU$81&gt;$AM747)) / CK747 / 1000</f>
        <v>0</v>
      </c>
      <c r="CM747" s="231">
        <f t="shared" si="819"/>
        <v>30</v>
      </c>
      <c r="CN747" s="229">
        <f t="shared" si="802"/>
        <v>43</v>
      </c>
      <c r="CO747" s="234">
        <f t="shared" si="803"/>
        <v>3.5018750000000001</v>
      </c>
      <c r="CP747" s="234" cm="1">
        <f t="array" ref="CP747">$BM747 * IF($AH747&lt;=2,
SUMPRODUCT(INDEX($AV$71:$AX$75,,$AI747), INDEX($AY$71:$BE$75,,$AH747), 1 / ($BF$71:$BF$75*CO747 + (1-$BF$71:$BF$75)*CK747), N($AU$71:$AU$75&gt;$AM747)),
SUMPRODUCT(INDEX($AV$66:$AX$75,,$AI747), INDEX($AY$66:$BE$75,,$AH747), 1 / ($BG$66:$BG$75*CO747 + (1-$BG$66:$BG$75)*CK747), N($AU$66:$AU$75&gt;$AM747))
) / 1000</f>
        <v>0</v>
      </c>
      <c r="CQ747" s="231">
        <f t="shared" si="820"/>
        <v>25</v>
      </c>
      <c r="CR747" s="229">
        <f t="shared" si="804"/>
        <v>38</v>
      </c>
      <c r="CS747" s="234">
        <f t="shared" si="805"/>
        <v>4.0666935483870965</v>
      </c>
      <c r="CT747" s="234" cm="1">
        <f t="array" ref="CT747">$BM747 * IF($AH747&lt;=2,
SUMPRODUCT(INDEX($AV$66:$AX$70,,$AI747), INDEX($AY$66:$BE$70,,$AH747), 1 / ($BF$66:$BF$70*CS747 + (1-$BF$66:$BF$70)*CO747), N($AU$66:$AU$70&gt;$AM747)),
SUMPRODUCT(INDEX($AV$56:$AX$65,,$AI747), INDEX($AY$56:$BE$65,,$AH747), 1 / ($BG$56:$BG$65*CS747 + (1-$BG$56:$BG$65)*CO747), N($AU$56:$AU$65&gt;$AM747))
) / 1000</f>
        <v>0</v>
      </c>
      <c r="CU747" s="231">
        <f t="shared" si="821"/>
        <v>20</v>
      </c>
      <c r="CV747" s="229">
        <f t="shared" si="806"/>
        <v>33</v>
      </c>
      <c r="CW747" s="234">
        <f t="shared" si="807"/>
        <v>4.8487499999999999</v>
      </c>
      <c r="CX747" s="234" cm="1">
        <f t="array" ref="CX747">$BM747 * IF($AH747&lt;=2,
SUMPRODUCT(INDEX($AV$61:$AX$65,,$AI747), INDEX($AY$61:$BE$65,,$AH747), 1 / ($BF$61:$BF$65*CW747 + (1-$BF$61:$BF$65)*CS747), N($AU$61:$AU$65&gt;$AM747)),
SUMPRODUCT(INDEX($AV$46:$AX$55,,$AI747), INDEX($AY$46:$BE$55,,$AH747), 1 / ($BG$46:$BG$55*CW747 + (1-$BG$46:$BG$55)*CS747), N($AU$46:$AU$55&gt;$AM747))
) / 1000</f>
        <v>0</v>
      </c>
      <c r="CY747" s="234" cm="1">
        <f t="array" ref="CY747">$BM747 * IF($AH747&lt;=2,
SUMPRODUCT(INDEX($AV$22:$AX$60,,$AI747), INDEX($AY$22:$BE$60,,$AH747), 1 / ($BF$22:$BF$60*CW747), N($AU$22:$AU$60&gt;$AM747)),
SUMPRODUCT(INDEX($AV$22:$AX$45,,$AI747), INDEX($AY$22:$BE$45,,$AH747), 1 / ($BG$22:$BG$45*CW747), N($AU$22:$AU$45&gt;$AM747))
) / 1000</f>
        <v>0</v>
      </c>
      <c r="CZ747" s="229">
        <f t="shared" si="808"/>
        <v>0</v>
      </c>
      <c r="DA747" s="246"/>
    </row>
    <row r="748" spans="1:105" s="75" customFormat="1" ht="14.25" customHeight="1" x14ac:dyDescent="0.2">
      <c r="A748" s="230" t="b">
        <f t="shared" si="813"/>
        <v>0</v>
      </c>
      <c r="B748" s="253">
        <v>727</v>
      </c>
      <c r="C748" s="266"/>
      <c r="D748" s="266"/>
      <c r="E748" s="254"/>
      <c r="F748" s="255" t="str">
        <f>IF(ISBLANK(E748), "", VLOOKUP(E748, Z!$A$2:$C$4127, 3, FALSE))</f>
        <v/>
      </c>
      <c r="G748" s="256"/>
      <c r="H748" s="256"/>
      <c r="I748" s="256"/>
      <c r="J748" s="257"/>
      <c r="K748" s="258"/>
      <c r="L748" s="267"/>
      <c r="M748" s="268"/>
      <c r="N748" s="259" t="str" cm="1">
        <f t="array" ref="N748">IF($L748&gt;0, INDEX(Clean,1+AK748,$D$1), "")</f>
        <v/>
      </c>
      <c r="O748" s="260"/>
      <c r="P748" s="260"/>
      <c r="Q748" s="261"/>
      <c r="R748" s="264">
        <f t="shared" si="784"/>
        <v>0</v>
      </c>
      <c r="S748" s="259" t="str" cm="1">
        <f t="array" ref="S748">IF($L748&gt;0, INDEX(Clean,1+AL748,$D$1), "")</f>
        <v/>
      </c>
      <c r="T748" s="260"/>
      <c r="U748" s="260"/>
      <c r="V748" s="261"/>
      <c r="W748" s="267"/>
      <c r="X748" s="267"/>
      <c r="Y748" s="257"/>
      <c r="Z748" s="264">
        <f t="shared" si="785"/>
        <v>0</v>
      </c>
      <c r="AA748" s="269"/>
      <c r="AB748" s="266"/>
      <c r="AC748" s="254"/>
      <c r="AD748" s="255" t="str">
        <f>IF(ISBLANK(AC748), "", VLOOKUP(AC748, Z!$A$2:$C$4127, 3, FALSE))</f>
        <v/>
      </c>
      <c r="AE748" s="270"/>
      <c r="AF748" s="265">
        <f t="shared" si="786"/>
        <v>0</v>
      </c>
      <c r="AG748" s="246"/>
      <c r="AH748" s="228">
        <f t="shared" si="809"/>
        <v>1</v>
      </c>
      <c r="AI748" s="228">
        <f t="shared" si="810"/>
        <v>1</v>
      </c>
      <c r="AJ748" s="228">
        <f t="shared" si="811"/>
        <v>0</v>
      </c>
      <c r="AK748" s="228">
        <v>0</v>
      </c>
      <c r="AL748" s="228">
        <v>0</v>
      </c>
      <c r="AM748" s="228">
        <f t="shared" si="787"/>
        <v>-100</v>
      </c>
      <c r="AN748" s="228" cm="1">
        <f t="array" ref="AN748">IF(ISBLANK(G748), 1, IFERROR(MATCH(G748, INDEX(Kat,,1), 0), IFERROR(MATCH(Kat, INDEX(Use,,2), 0), MATCH(Kat, INDEX(Use,,3), 0))))</f>
        <v>1</v>
      </c>
      <c r="AO748" s="246"/>
      <c r="AP748" s="228" cm="1">
        <f t="array" ref="AP748">IF(W748&gt;0, INDEX(Kat, AN748,4), 0)</f>
        <v>0</v>
      </c>
      <c r="AQ748" s="228">
        <f t="shared" si="812"/>
        <v>0</v>
      </c>
      <c r="AR748" s="228" cm="1">
        <f t="array" ref="AR748">IF(X748&gt;0, INDEX(Kat, $AN748, 4+AQ748), 0)</f>
        <v>0</v>
      </c>
      <c r="AS748" s="228" cm="1">
        <f t="array" ref="AS748">IF(X748&gt;0, INDEX(Kat, $AN748, 9+AQ748), 0)</f>
        <v>0</v>
      </c>
      <c r="AT748" s="246"/>
      <c r="AU748" s="262"/>
      <c r="AV748" s="262"/>
      <c r="AW748" s="263"/>
      <c r="AX748" s="263"/>
      <c r="AY748" s="263"/>
      <c r="AZ748" s="263"/>
      <c r="BA748" s="263"/>
      <c r="BB748" s="263"/>
      <c r="BC748" s="263"/>
      <c r="BD748" s="263"/>
      <c r="BE748" s="263"/>
      <c r="BF748" s="263"/>
      <c r="BG748" s="263"/>
      <c r="BH748" s="246"/>
      <c r="BI748" s="228" cm="1">
        <f t="array" ref="BI748">INDEX(Use, $AH748, 4)</f>
        <v>7</v>
      </c>
      <c r="BJ748" s="228">
        <f t="shared" si="788"/>
        <v>32</v>
      </c>
      <c r="BK748" s="228">
        <f t="shared" si="814"/>
        <v>13</v>
      </c>
      <c r="BL748" s="228">
        <f t="shared" si="815"/>
        <v>0</v>
      </c>
      <c r="BM748" s="233" cm="1">
        <f t="array" ref="BM748">L748/IF($M748&gt;0, INDEX($AY$22:$BE$76, $M748+20, $AH748), 1)</f>
        <v>0</v>
      </c>
      <c r="BN748" s="229">
        <f t="shared" si="789"/>
        <v>0</v>
      </c>
      <c r="BO748" s="228">
        <v>35</v>
      </c>
      <c r="BP748" s="229">
        <f t="shared" si="790"/>
        <v>48</v>
      </c>
      <c r="BQ748" s="234">
        <f t="shared" si="791"/>
        <v>3.0748170731707316</v>
      </c>
      <c r="BR748" s="234" cm="1">
        <f t="array" ref="BR748">$BM748 * SUMPRODUCT(INDEX($AV$76:$AX$81,,$AI748),INDEX($AY$76:$BE$81,,$AH748), N($AU$76:$AU$81&gt;$AM748)) / BQ748 / 1000</f>
        <v>0</v>
      </c>
      <c r="BS748" s="231">
        <f t="shared" si="816"/>
        <v>30</v>
      </c>
      <c r="BT748" s="229">
        <f t="shared" si="792"/>
        <v>43</v>
      </c>
      <c r="BU748" s="234">
        <f t="shared" si="793"/>
        <v>3.5018750000000001</v>
      </c>
      <c r="BV748" s="234" cm="1">
        <f t="array" ref="BV748">$BM748 * IF($AH748&lt;=2,
SUMPRODUCT(INDEX($AV$71:$AX$75,,$AI748), INDEX($AY$71:$BE$75,,$AH748), 1 / ($BF$71:$BF$75*BU748 + (1-$BF$71:$BF$75)*BQ748), N($AU$71:$AU$75&gt;$AM748)),
SUMPRODUCT(INDEX($AV$66:$AX$75,,$AI748), INDEX($AY$66:$BE$75,,$AH748), 1 / ($BG$66:$BG$75*BU748 + (1-$BG$66:$BG$75)*BQ748), N($AU$66:$AU$75&gt;$AM748))
) / 1000</f>
        <v>0</v>
      </c>
      <c r="BW748" s="231">
        <f t="shared" si="817"/>
        <v>25</v>
      </c>
      <c r="BX748" s="229">
        <f t="shared" si="794"/>
        <v>38</v>
      </c>
      <c r="BY748" s="234">
        <f t="shared" si="795"/>
        <v>4.0666935483870965</v>
      </c>
      <c r="BZ748" s="234" cm="1">
        <f t="array" ref="BZ748">$BM748 * IF($AH748&lt;=2,
SUMPRODUCT(INDEX($AV$66:$AX$70,,$AI748), INDEX($AY$66:$BE$70,,$AH748), 1 / ($BF$66:$BF$70*BY748 + (1-$BF$66:$BF$70)*BU748), N($AU$66:$AU$70&gt;$AM748)),
SUMPRODUCT(INDEX($AV$56:$AX$65,,$AI748), INDEX($AY$56:$BE$65,,$AH748), 1 / ($BG$56:$BG$65*BY748 + (1-$BG$56:$BG$65)*BU748), N($AU$56:$AU$65&gt;$AM748))
) / 1000</f>
        <v>0</v>
      </c>
      <c r="CA748" s="231">
        <f t="shared" si="818"/>
        <v>20</v>
      </c>
      <c r="CB748" s="229">
        <f t="shared" si="796"/>
        <v>33</v>
      </c>
      <c r="CC748" s="234">
        <f t="shared" si="797"/>
        <v>4.8487499999999999</v>
      </c>
      <c r="CD748" s="234" cm="1">
        <f t="array" ref="CD748">$BM748 * IF($AH748&lt;=2,
SUMPRODUCT(INDEX($AV$61:$AX$65,,$AI748), INDEX($AY$61:$BE$65,,$AH748), 1 / ($BF$61:$BF$65*CC748 + (1-$BF$61:$BF$65)*BY748), N($AU$61:$AU$65&gt;$AM748)),
SUMPRODUCT(INDEX($AV$46:$AX$55,,$AI748), INDEX($AY$46:$BE$55,,$AH748), 1 / ($BG$46:$BG$55*CC748 + (1-$BG$46:$BG$55)*BY748), N($AU$46:$AU$55&gt;$AM748))
) / 1000</f>
        <v>0</v>
      </c>
      <c r="CE748" s="234" cm="1">
        <f t="array" ref="CE748">$BM748 * IF($AH748&lt;=2,
SUMPRODUCT(INDEX($AV$22:$AX$60,,$AI748), INDEX($AY$22:$BE$60,,$AH748), 1 / ($BF$22:$BF$60*CC748), N($AU$22:$AU$60&gt;$AM748)),
SUMPRODUCT(INDEX($AV$22:$AX$45,,$AI748), INDEX($AY$22:$BE$45,,$AH748), 1 / ($BG$22:$BG$45*CC748), N($AU$22:$AU$45&gt;$AM748))
) / 1000</f>
        <v>0</v>
      </c>
      <c r="CF748" s="229">
        <f t="shared" si="798"/>
        <v>0</v>
      </c>
      <c r="CG748" s="246"/>
      <c r="CH748" s="229">
        <f t="shared" si="799"/>
        <v>0</v>
      </c>
      <c r="CI748" s="228">
        <v>35</v>
      </c>
      <c r="CJ748" s="229">
        <f t="shared" si="800"/>
        <v>48</v>
      </c>
      <c r="CK748" s="234">
        <f t="shared" si="801"/>
        <v>3.0748170731707316</v>
      </c>
      <c r="CL748" s="234" cm="1">
        <f t="array" ref="CL748">$BM748 * SUMPRODUCT(INDEX($AV$76:$AX$81,,$AI748),INDEX($AY$76:$BE$81,,$AH748), N($AU$76:$AU$81&gt;$AM748)) / CK748 / 1000</f>
        <v>0</v>
      </c>
      <c r="CM748" s="231">
        <f t="shared" si="819"/>
        <v>30</v>
      </c>
      <c r="CN748" s="229">
        <f t="shared" si="802"/>
        <v>43</v>
      </c>
      <c r="CO748" s="234">
        <f t="shared" si="803"/>
        <v>3.5018750000000001</v>
      </c>
      <c r="CP748" s="234" cm="1">
        <f t="array" ref="CP748">$BM748 * IF($AH748&lt;=2,
SUMPRODUCT(INDEX($AV$71:$AX$75,,$AI748), INDEX($AY$71:$BE$75,,$AH748), 1 / ($BF$71:$BF$75*CO748 + (1-$BF$71:$BF$75)*CK748), N($AU$71:$AU$75&gt;$AM748)),
SUMPRODUCT(INDEX($AV$66:$AX$75,,$AI748), INDEX($AY$66:$BE$75,,$AH748), 1 / ($BG$66:$BG$75*CO748 + (1-$BG$66:$BG$75)*CK748), N($AU$66:$AU$75&gt;$AM748))
) / 1000</f>
        <v>0</v>
      </c>
      <c r="CQ748" s="231">
        <f t="shared" si="820"/>
        <v>25</v>
      </c>
      <c r="CR748" s="229">
        <f t="shared" si="804"/>
        <v>38</v>
      </c>
      <c r="CS748" s="234">
        <f t="shared" si="805"/>
        <v>4.0666935483870965</v>
      </c>
      <c r="CT748" s="234" cm="1">
        <f t="array" ref="CT748">$BM748 * IF($AH748&lt;=2,
SUMPRODUCT(INDEX($AV$66:$AX$70,,$AI748), INDEX($AY$66:$BE$70,,$AH748), 1 / ($BF$66:$BF$70*CS748 + (1-$BF$66:$BF$70)*CO748), N($AU$66:$AU$70&gt;$AM748)),
SUMPRODUCT(INDEX($AV$56:$AX$65,,$AI748), INDEX($AY$56:$BE$65,,$AH748), 1 / ($BG$56:$BG$65*CS748 + (1-$BG$56:$BG$65)*CO748), N($AU$56:$AU$65&gt;$AM748))
) / 1000</f>
        <v>0</v>
      </c>
      <c r="CU748" s="231">
        <f t="shared" si="821"/>
        <v>20</v>
      </c>
      <c r="CV748" s="229">
        <f t="shared" si="806"/>
        <v>33</v>
      </c>
      <c r="CW748" s="234">
        <f t="shared" si="807"/>
        <v>4.8487499999999999</v>
      </c>
      <c r="CX748" s="234" cm="1">
        <f t="array" ref="CX748">$BM748 * IF($AH748&lt;=2,
SUMPRODUCT(INDEX($AV$61:$AX$65,,$AI748), INDEX($AY$61:$BE$65,,$AH748), 1 / ($BF$61:$BF$65*CW748 + (1-$BF$61:$BF$65)*CS748), N($AU$61:$AU$65&gt;$AM748)),
SUMPRODUCT(INDEX($AV$46:$AX$55,,$AI748), INDEX($AY$46:$BE$55,,$AH748), 1 / ($BG$46:$BG$55*CW748 + (1-$BG$46:$BG$55)*CS748), N($AU$46:$AU$55&gt;$AM748))
) / 1000</f>
        <v>0</v>
      </c>
      <c r="CY748" s="234" cm="1">
        <f t="array" ref="CY748">$BM748 * IF($AH748&lt;=2,
SUMPRODUCT(INDEX($AV$22:$AX$60,,$AI748), INDEX($AY$22:$BE$60,,$AH748), 1 / ($BF$22:$BF$60*CW748), N($AU$22:$AU$60&gt;$AM748)),
SUMPRODUCT(INDEX($AV$22:$AX$45,,$AI748), INDEX($AY$22:$BE$45,,$AH748), 1 / ($BG$22:$BG$45*CW748), N($AU$22:$AU$45&gt;$AM748))
) / 1000</f>
        <v>0</v>
      </c>
      <c r="CZ748" s="229">
        <f t="shared" si="808"/>
        <v>0</v>
      </c>
      <c r="DA748" s="246"/>
    </row>
    <row r="749" spans="1:105" s="75" customFormat="1" ht="14.25" customHeight="1" x14ac:dyDescent="0.2">
      <c r="A749" s="230" t="b">
        <f t="shared" si="813"/>
        <v>0</v>
      </c>
      <c r="B749" s="253">
        <v>728</v>
      </c>
      <c r="C749" s="266"/>
      <c r="D749" s="266"/>
      <c r="E749" s="254"/>
      <c r="F749" s="255" t="str">
        <f>IF(ISBLANK(E749), "", VLOOKUP(E749, Z!$A$2:$C$4127, 3, FALSE))</f>
        <v/>
      </c>
      <c r="G749" s="256"/>
      <c r="H749" s="256"/>
      <c r="I749" s="256"/>
      <c r="J749" s="257"/>
      <c r="K749" s="258"/>
      <c r="L749" s="267"/>
      <c r="M749" s="268"/>
      <c r="N749" s="259" t="str" cm="1">
        <f t="array" ref="N749">IF($L749&gt;0, INDEX(Clean,1+AK749,$D$1), "")</f>
        <v/>
      </c>
      <c r="O749" s="260"/>
      <c r="P749" s="260"/>
      <c r="Q749" s="261"/>
      <c r="R749" s="264">
        <f t="shared" si="784"/>
        <v>0</v>
      </c>
      <c r="S749" s="259" t="str" cm="1">
        <f t="array" ref="S749">IF($L749&gt;0, INDEX(Clean,1+AL749,$D$1), "")</f>
        <v/>
      </c>
      <c r="T749" s="260"/>
      <c r="U749" s="260"/>
      <c r="V749" s="261"/>
      <c r="W749" s="267"/>
      <c r="X749" s="267"/>
      <c r="Y749" s="257"/>
      <c r="Z749" s="264">
        <f t="shared" si="785"/>
        <v>0</v>
      </c>
      <c r="AA749" s="269"/>
      <c r="AB749" s="266"/>
      <c r="AC749" s="254"/>
      <c r="AD749" s="255" t="str">
        <f>IF(ISBLANK(AC749), "", VLOOKUP(AC749, Z!$A$2:$C$4127, 3, FALSE))</f>
        <v/>
      </c>
      <c r="AE749" s="270"/>
      <c r="AF749" s="265">
        <f t="shared" si="786"/>
        <v>0</v>
      </c>
      <c r="AG749" s="246"/>
      <c r="AH749" s="228">
        <f t="shared" si="809"/>
        <v>1</v>
      </c>
      <c r="AI749" s="228">
        <f t="shared" si="810"/>
        <v>1</v>
      </c>
      <c r="AJ749" s="228">
        <f t="shared" si="811"/>
        <v>0</v>
      </c>
      <c r="AK749" s="228">
        <v>0</v>
      </c>
      <c r="AL749" s="228">
        <v>0</v>
      </c>
      <c r="AM749" s="228">
        <f t="shared" si="787"/>
        <v>-100</v>
      </c>
      <c r="AN749" s="228" cm="1">
        <f t="array" ref="AN749">IF(ISBLANK(G749), 1, IFERROR(MATCH(G749, INDEX(Kat,,1), 0), IFERROR(MATCH(Kat, INDEX(Use,,2), 0), MATCH(Kat, INDEX(Use,,3), 0))))</f>
        <v>1</v>
      </c>
      <c r="AO749" s="246"/>
      <c r="AP749" s="228" cm="1">
        <f t="array" ref="AP749">IF(W749&gt;0, INDEX(Kat, AN749,4), 0)</f>
        <v>0</v>
      </c>
      <c r="AQ749" s="228">
        <f t="shared" si="812"/>
        <v>0</v>
      </c>
      <c r="AR749" s="228" cm="1">
        <f t="array" ref="AR749">IF(X749&gt;0, INDEX(Kat, $AN749, 4+AQ749), 0)</f>
        <v>0</v>
      </c>
      <c r="AS749" s="228" cm="1">
        <f t="array" ref="AS749">IF(X749&gt;0, INDEX(Kat, $AN749, 9+AQ749), 0)</f>
        <v>0</v>
      </c>
      <c r="AT749" s="246"/>
      <c r="AU749" s="262"/>
      <c r="AV749" s="262"/>
      <c r="AW749" s="263"/>
      <c r="AX749" s="263"/>
      <c r="AY749" s="263"/>
      <c r="AZ749" s="263"/>
      <c r="BA749" s="263"/>
      <c r="BB749" s="263"/>
      <c r="BC749" s="263"/>
      <c r="BD749" s="263"/>
      <c r="BE749" s="263"/>
      <c r="BF749" s="263"/>
      <c r="BG749" s="263"/>
      <c r="BH749" s="246"/>
      <c r="BI749" s="228" cm="1">
        <f t="array" ref="BI749">INDEX(Use, $AH749, 4)</f>
        <v>7</v>
      </c>
      <c r="BJ749" s="228">
        <f t="shared" si="788"/>
        <v>32</v>
      </c>
      <c r="BK749" s="228">
        <f t="shared" si="814"/>
        <v>13</v>
      </c>
      <c r="BL749" s="228">
        <f t="shared" si="815"/>
        <v>0</v>
      </c>
      <c r="BM749" s="233" cm="1">
        <f t="array" ref="BM749">L749/IF($M749&gt;0, INDEX($AY$22:$BE$76, $M749+20, $AH749), 1)</f>
        <v>0</v>
      </c>
      <c r="BN749" s="229">
        <f t="shared" si="789"/>
        <v>0</v>
      </c>
      <c r="BO749" s="228">
        <v>35</v>
      </c>
      <c r="BP749" s="229">
        <f t="shared" si="790"/>
        <v>48</v>
      </c>
      <c r="BQ749" s="234">
        <f t="shared" si="791"/>
        <v>3.0748170731707316</v>
      </c>
      <c r="BR749" s="234" cm="1">
        <f t="array" ref="BR749">$BM749 * SUMPRODUCT(INDEX($AV$76:$AX$81,,$AI749),INDEX($AY$76:$BE$81,,$AH749), N($AU$76:$AU$81&gt;$AM749)) / BQ749 / 1000</f>
        <v>0</v>
      </c>
      <c r="BS749" s="231">
        <f t="shared" si="816"/>
        <v>30</v>
      </c>
      <c r="BT749" s="229">
        <f t="shared" si="792"/>
        <v>43</v>
      </c>
      <c r="BU749" s="234">
        <f t="shared" si="793"/>
        <v>3.5018750000000001</v>
      </c>
      <c r="BV749" s="234" cm="1">
        <f t="array" ref="BV749">$BM749 * IF($AH749&lt;=2,
SUMPRODUCT(INDEX($AV$71:$AX$75,,$AI749), INDEX($AY$71:$BE$75,,$AH749), 1 / ($BF$71:$BF$75*BU749 + (1-$BF$71:$BF$75)*BQ749), N($AU$71:$AU$75&gt;$AM749)),
SUMPRODUCT(INDEX($AV$66:$AX$75,,$AI749), INDEX($AY$66:$BE$75,,$AH749), 1 / ($BG$66:$BG$75*BU749 + (1-$BG$66:$BG$75)*BQ749), N($AU$66:$AU$75&gt;$AM749))
) / 1000</f>
        <v>0</v>
      </c>
      <c r="BW749" s="231">
        <f t="shared" si="817"/>
        <v>25</v>
      </c>
      <c r="BX749" s="229">
        <f t="shared" si="794"/>
        <v>38</v>
      </c>
      <c r="BY749" s="234">
        <f t="shared" si="795"/>
        <v>4.0666935483870965</v>
      </c>
      <c r="BZ749" s="234" cm="1">
        <f t="array" ref="BZ749">$BM749 * IF($AH749&lt;=2,
SUMPRODUCT(INDEX($AV$66:$AX$70,,$AI749), INDEX($AY$66:$BE$70,,$AH749), 1 / ($BF$66:$BF$70*BY749 + (1-$BF$66:$BF$70)*BU749), N($AU$66:$AU$70&gt;$AM749)),
SUMPRODUCT(INDEX($AV$56:$AX$65,,$AI749), INDEX($AY$56:$BE$65,,$AH749), 1 / ($BG$56:$BG$65*BY749 + (1-$BG$56:$BG$65)*BU749), N($AU$56:$AU$65&gt;$AM749))
) / 1000</f>
        <v>0</v>
      </c>
      <c r="CA749" s="231">
        <f t="shared" si="818"/>
        <v>20</v>
      </c>
      <c r="CB749" s="229">
        <f t="shared" si="796"/>
        <v>33</v>
      </c>
      <c r="CC749" s="234">
        <f t="shared" si="797"/>
        <v>4.8487499999999999</v>
      </c>
      <c r="CD749" s="234" cm="1">
        <f t="array" ref="CD749">$BM749 * IF($AH749&lt;=2,
SUMPRODUCT(INDEX($AV$61:$AX$65,,$AI749), INDEX($AY$61:$BE$65,,$AH749), 1 / ($BF$61:$BF$65*CC749 + (1-$BF$61:$BF$65)*BY749), N($AU$61:$AU$65&gt;$AM749)),
SUMPRODUCT(INDEX($AV$46:$AX$55,,$AI749), INDEX($AY$46:$BE$55,,$AH749), 1 / ($BG$46:$BG$55*CC749 + (1-$BG$46:$BG$55)*BY749), N($AU$46:$AU$55&gt;$AM749))
) / 1000</f>
        <v>0</v>
      </c>
      <c r="CE749" s="234" cm="1">
        <f t="array" ref="CE749">$BM749 * IF($AH749&lt;=2,
SUMPRODUCT(INDEX($AV$22:$AX$60,,$AI749), INDEX($AY$22:$BE$60,,$AH749), 1 / ($BF$22:$BF$60*CC749), N($AU$22:$AU$60&gt;$AM749)),
SUMPRODUCT(INDEX($AV$22:$AX$45,,$AI749), INDEX($AY$22:$BE$45,,$AH749), 1 / ($BG$22:$BG$45*CC749), N($AU$22:$AU$45&gt;$AM749))
) / 1000</f>
        <v>0</v>
      </c>
      <c r="CF749" s="229">
        <f t="shared" si="798"/>
        <v>0</v>
      </c>
      <c r="CG749" s="246"/>
      <c r="CH749" s="229">
        <f t="shared" si="799"/>
        <v>0</v>
      </c>
      <c r="CI749" s="228">
        <v>35</v>
      </c>
      <c r="CJ749" s="229">
        <f t="shared" si="800"/>
        <v>48</v>
      </c>
      <c r="CK749" s="234">
        <f t="shared" si="801"/>
        <v>3.0748170731707316</v>
      </c>
      <c r="CL749" s="234" cm="1">
        <f t="array" ref="CL749">$BM749 * SUMPRODUCT(INDEX($AV$76:$AX$81,,$AI749),INDEX($AY$76:$BE$81,,$AH749), N($AU$76:$AU$81&gt;$AM749)) / CK749 / 1000</f>
        <v>0</v>
      </c>
      <c r="CM749" s="231">
        <f t="shared" si="819"/>
        <v>30</v>
      </c>
      <c r="CN749" s="229">
        <f t="shared" si="802"/>
        <v>43</v>
      </c>
      <c r="CO749" s="234">
        <f t="shared" si="803"/>
        <v>3.5018750000000001</v>
      </c>
      <c r="CP749" s="234" cm="1">
        <f t="array" ref="CP749">$BM749 * IF($AH749&lt;=2,
SUMPRODUCT(INDEX($AV$71:$AX$75,,$AI749), INDEX($AY$71:$BE$75,,$AH749), 1 / ($BF$71:$BF$75*CO749 + (1-$BF$71:$BF$75)*CK749), N($AU$71:$AU$75&gt;$AM749)),
SUMPRODUCT(INDEX($AV$66:$AX$75,,$AI749), INDEX($AY$66:$BE$75,,$AH749), 1 / ($BG$66:$BG$75*CO749 + (1-$BG$66:$BG$75)*CK749), N($AU$66:$AU$75&gt;$AM749))
) / 1000</f>
        <v>0</v>
      </c>
      <c r="CQ749" s="231">
        <f t="shared" si="820"/>
        <v>25</v>
      </c>
      <c r="CR749" s="229">
        <f t="shared" si="804"/>
        <v>38</v>
      </c>
      <c r="CS749" s="234">
        <f t="shared" si="805"/>
        <v>4.0666935483870965</v>
      </c>
      <c r="CT749" s="234" cm="1">
        <f t="array" ref="CT749">$BM749 * IF($AH749&lt;=2,
SUMPRODUCT(INDEX($AV$66:$AX$70,,$AI749), INDEX($AY$66:$BE$70,,$AH749), 1 / ($BF$66:$BF$70*CS749 + (1-$BF$66:$BF$70)*CO749), N($AU$66:$AU$70&gt;$AM749)),
SUMPRODUCT(INDEX($AV$56:$AX$65,,$AI749), INDEX($AY$56:$BE$65,,$AH749), 1 / ($BG$56:$BG$65*CS749 + (1-$BG$56:$BG$65)*CO749), N($AU$56:$AU$65&gt;$AM749))
) / 1000</f>
        <v>0</v>
      </c>
      <c r="CU749" s="231">
        <f t="shared" si="821"/>
        <v>20</v>
      </c>
      <c r="CV749" s="229">
        <f t="shared" si="806"/>
        <v>33</v>
      </c>
      <c r="CW749" s="234">
        <f t="shared" si="807"/>
        <v>4.8487499999999999</v>
      </c>
      <c r="CX749" s="234" cm="1">
        <f t="array" ref="CX749">$BM749 * IF($AH749&lt;=2,
SUMPRODUCT(INDEX($AV$61:$AX$65,,$AI749), INDEX($AY$61:$BE$65,,$AH749), 1 / ($BF$61:$BF$65*CW749 + (1-$BF$61:$BF$65)*CS749), N($AU$61:$AU$65&gt;$AM749)),
SUMPRODUCT(INDEX($AV$46:$AX$55,,$AI749), INDEX($AY$46:$BE$55,,$AH749), 1 / ($BG$46:$BG$55*CW749 + (1-$BG$46:$BG$55)*CS749), N($AU$46:$AU$55&gt;$AM749))
) / 1000</f>
        <v>0</v>
      </c>
      <c r="CY749" s="234" cm="1">
        <f t="array" ref="CY749">$BM749 * IF($AH749&lt;=2,
SUMPRODUCT(INDEX($AV$22:$AX$60,,$AI749), INDEX($AY$22:$BE$60,,$AH749), 1 / ($BF$22:$BF$60*CW749), N($AU$22:$AU$60&gt;$AM749)),
SUMPRODUCT(INDEX($AV$22:$AX$45,,$AI749), INDEX($AY$22:$BE$45,,$AH749), 1 / ($BG$22:$BG$45*CW749), N($AU$22:$AU$45&gt;$AM749))
) / 1000</f>
        <v>0</v>
      </c>
      <c r="CZ749" s="229">
        <f t="shared" si="808"/>
        <v>0</v>
      </c>
      <c r="DA749" s="246"/>
    </row>
    <row r="750" spans="1:105" s="75" customFormat="1" ht="14.25" customHeight="1" x14ac:dyDescent="0.2">
      <c r="A750" s="230" t="b">
        <f t="shared" si="813"/>
        <v>0</v>
      </c>
      <c r="B750" s="253">
        <v>729</v>
      </c>
      <c r="C750" s="266"/>
      <c r="D750" s="266"/>
      <c r="E750" s="254"/>
      <c r="F750" s="255" t="str">
        <f>IF(ISBLANK(E750), "", VLOOKUP(E750, Z!$A$2:$C$4127, 3, FALSE))</f>
        <v/>
      </c>
      <c r="G750" s="256"/>
      <c r="H750" s="256"/>
      <c r="I750" s="256"/>
      <c r="J750" s="257"/>
      <c r="K750" s="258"/>
      <c r="L750" s="267"/>
      <c r="M750" s="268"/>
      <c r="N750" s="259" t="str" cm="1">
        <f t="array" ref="N750">IF($L750&gt;0, INDEX(Clean,1+AK750,$D$1), "")</f>
        <v/>
      </c>
      <c r="O750" s="260"/>
      <c r="P750" s="260"/>
      <c r="Q750" s="261"/>
      <c r="R750" s="264">
        <f t="shared" si="784"/>
        <v>0</v>
      </c>
      <c r="S750" s="259" t="str" cm="1">
        <f t="array" ref="S750">IF($L750&gt;0, INDEX(Clean,1+AL750,$D$1), "")</f>
        <v/>
      </c>
      <c r="T750" s="260"/>
      <c r="U750" s="260"/>
      <c r="V750" s="261"/>
      <c r="W750" s="267"/>
      <c r="X750" s="267"/>
      <c r="Y750" s="257"/>
      <c r="Z750" s="264">
        <f t="shared" si="785"/>
        <v>0</v>
      </c>
      <c r="AA750" s="269"/>
      <c r="AB750" s="266"/>
      <c r="AC750" s="254"/>
      <c r="AD750" s="255" t="str">
        <f>IF(ISBLANK(AC750), "", VLOOKUP(AC750, Z!$A$2:$C$4127, 3, FALSE))</f>
        <v/>
      </c>
      <c r="AE750" s="270"/>
      <c r="AF750" s="265">
        <f t="shared" si="786"/>
        <v>0</v>
      </c>
      <c r="AG750" s="246"/>
      <c r="AH750" s="228">
        <f t="shared" si="809"/>
        <v>1</v>
      </c>
      <c r="AI750" s="228">
        <f t="shared" si="810"/>
        <v>1</v>
      </c>
      <c r="AJ750" s="228">
        <f t="shared" si="811"/>
        <v>0</v>
      </c>
      <c r="AK750" s="228">
        <v>0</v>
      </c>
      <c r="AL750" s="228">
        <v>0</v>
      </c>
      <c r="AM750" s="228">
        <f t="shared" si="787"/>
        <v>-100</v>
      </c>
      <c r="AN750" s="228" cm="1">
        <f t="array" ref="AN750">IF(ISBLANK(G750), 1, IFERROR(MATCH(G750, INDEX(Kat,,1), 0), IFERROR(MATCH(Kat, INDEX(Use,,2), 0), MATCH(Kat, INDEX(Use,,3), 0))))</f>
        <v>1</v>
      </c>
      <c r="AO750" s="246"/>
      <c r="AP750" s="228" cm="1">
        <f t="array" ref="AP750">IF(W750&gt;0, INDEX(Kat, AN750,4), 0)</f>
        <v>0</v>
      </c>
      <c r="AQ750" s="228">
        <f t="shared" si="812"/>
        <v>0</v>
      </c>
      <c r="AR750" s="228" cm="1">
        <f t="array" ref="AR750">IF(X750&gt;0, INDEX(Kat, $AN750, 4+AQ750), 0)</f>
        <v>0</v>
      </c>
      <c r="AS750" s="228" cm="1">
        <f t="array" ref="AS750">IF(X750&gt;0, INDEX(Kat, $AN750, 9+AQ750), 0)</f>
        <v>0</v>
      </c>
      <c r="AT750" s="246"/>
      <c r="AU750" s="262"/>
      <c r="AV750" s="262"/>
      <c r="AW750" s="263"/>
      <c r="AX750" s="263"/>
      <c r="AY750" s="263"/>
      <c r="AZ750" s="263"/>
      <c r="BA750" s="263"/>
      <c r="BB750" s="263"/>
      <c r="BC750" s="263"/>
      <c r="BD750" s="263"/>
      <c r="BE750" s="263"/>
      <c r="BF750" s="263"/>
      <c r="BG750" s="263"/>
      <c r="BH750" s="246"/>
      <c r="BI750" s="228" cm="1">
        <f t="array" ref="BI750">INDEX(Use, $AH750, 4)</f>
        <v>7</v>
      </c>
      <c r="BJ750" s="228">
        <f t="shared" si="788"/>
        <v>32</v>
      </c>
      <c r="BK750" s="228">
        <f t="shared" si="814"/>
        <v>13</v>
      </c>
      <c r="BL750" s="228">
        <f t="shared" si="815"/>
        <v>0</v>
      </c>
      <c r="BM750" s="233" cm="1">
        <f t="array" ref="BM750">L750/IF($M750&gt;0, INDEX($AY$22:$BE$76, $M750+20, $AH750), 1)</f>
        <v>0</v>
      </c>
      <c r="BN750" s="229">
        <f t="shared" si="789"/>
        <v>0</v>
      </c>
      <c r="BO750" s="228">
        <v>35</v>
      </c>
      <c r="BP750" s="229">
        <f t="shared" si="790"/>
        <v>48</v>
      </c>
      <c r="BQ750" s="234">
        <f t="shared" si="791"/>
        <v>3.0748170731707316</v>
      </c>
      <c r="BR750" s="234" cm="1">
        <f t="array" ref="BR750">$BM750 * SUMPRODUCT(INDEX($AV$76:$AX$81,,$AI750),INDEX($AY$76:$BE$81,,$AH750), N($AU$76:$AU$81&gt;$AM750)) / BQ750 / 1000</f>
        <v>0</v>
      </c>
      <c r="BS750" s="231">
        <f t="shared" si="816"/>
        <v>30</v>
      </c>
      <c r="BT750" s="229">
        <f t="shared" si="792"/>
        <v>43</v>
      </c>
      <c r="BU750" s="234">
        <f t="shared" si="793"/>
        <v>3.5018750000000001</v>
      </c>
      <c r="BV750" s="234" cm="1">
        <f t="array" ref="BV750">$BM750 * IF($AH750&lt;=2,
SUMPRODUCT(INDEX($AV$71:$AX$75,,$AI750), INDEX($AY$71:$BE$75,,$AH750), 1 / ($BF$71:$BF$75*BU750 + (1-$BF$71:$BF$75)*BQ750), N($AU$71:$AU$75&gt;$AM750)),
SUMPRODUCT(INDEX($AV$66:$AX$75,,$AI750), INDEX($AY$66:$BE$75,,$AH750), 1 / ($BG$66:$BG$75*BU750 + (1-$BG$66:$BG$75)*BQ750), N($AU$66:$AU$75&gt;$AM750))
) / 1000</f>
        <v>0</v>
      </c>
      <c r="BW750" s="231">
        <f t="shared" si="817"/>
        <v>25</v>
      </c>
      <c r="BX750" s="229">
        <f t="shared" si="794"/>
        <v>38</v>
      </c>
      <c r="BY750" s="234">
        <f t="shared" si="795"/>
        <v>4.0666935483870965</v>
      </c>
      <c r="BZ750" s="234" cm="1">
        <f t="array" ref="BZ750">$BM750 * IF($AH750&lt;=2,
SUMPRODUCT(INDEX($AV$66:$AX$70,,$AI750), INDEX($AY$66:$BE$70,,$AH750), 1 / ($BF$66:$BF$70*BY750 + (1-$BF$66:$BF$70)*BU750), N($AU$66:$AU$70&gt;$AM750)),
SUMPRODUCT(INDEX($AV$56:$AX$65,,$AI750), INDEX($AY$56:$BE$65,,$AH750), 1 / ($BG$56:$BG$65*BY750 + (1-$BG$56:$BG$65)*BU750), N($AU$56:$AU$65&gt;$AM750))
) / 1000</f>
        <v>0</v>
      </c>
      <c r="CA750" s="231">
        <f t="shared" si="818"/>
        <v>20</v>
      </c>
      <c r="CB750" s="229">
        <f t="shared" si="796"/>
        <v>33</v>
      </c>
      <c r="CC750" s="234">
        <f t="shared" si="797"/>
        <v>4.8487499999999999</v>
      </c>
      <c r="CD750" s="234" cm="1">
        <f t="array" ref="CD750">$BM750 * IF($AH750&lt;=2,
SUMPRODUCT(INDEX($AV$61:$AX$65,,$AI750), INDEX($AY$61:$BE$65,,$AH750), 1 / ($BF$61:$BF$65*CC750 + (1-$BF$61:$BF$65)*BY750), N($AU$61:$AU$65&gt;$AM750)),
SUMPRODUCT(INDEX($AV$46:$AX$55,,$AI750), INDEX($AY$46:$BE$55,,$AH750), 1 / ($BG$46:$BG$55*CC750 + (1-$BG$46:$BG$55)*BY750), N($AU$46:$AU$55&gt;$AM750))
) / 1000</f>
        <v>0</v>
      </c>
      <c r="CE750" s="234" cm="1">
        <f t="array" ref="CE750">$BM750 * IF($AH750&lt;=2,
SUMPRODUCT(INDEX($AV$22:$AX$60,,$AI750), INDEX($AY$22:$BE$60,,$AH750), 1 / ($BF$22:$BF$60*CC750), N($AU$22:$AU$60&gt;$AM750)),
SUMPRODUCT(INDEX($AV$22:$AX$45,,$AI750), INDEX($AY$22:$BE$45,,$AH750), 1 / ($BG$22:$BG$45*CC750), N($AU$22:$AU$45&gt;$AM750))
) / 1000</f>
        <v>0</v>
      </c>
      <c r="CF750" s="229">
        <f t="shared" si="798"/>
        <v>0</v>
      </c>
      <c r="CG750" s="246"/>
      <c r="CH750" s="229">
        <f t="shared" si="799"/>
        <v>0</v>
      </c>
      <c r="CI750" s="228">
        <v>35</v>
      </c>
      <c r="CJ750" s="229">
        <f t="shared" si="800"/>
        <v>48</v>
      </c>
      <c r="CK750" s="234">
        <f t="shared" si="801"/>
        <v>3.0748170731707316</v>
      </c>
      <c r="CL750" s="234" cm="1">
        <f t="array" ref="CL750">$BM750 * SUMPRODUCT(INDEX($AV$76:$AX$81,,$AI750),INDEX($AY$76:$BE$81,,$AH750), N($AU$76:$AU$81&gt;$AM750)) / CK750 / 1000</f>
        <v>0</v>
      </c>
      <c r="CM750" s="231">
        <f t="shared" si="819"/>
        <v>30</v>
      </c>
      <c r="CN750" s="229">
        <f t="shared" si="802"/>
        <v>43</v>
      </c>
      <c r="CO750" s="234">
        <f t="shared" si="803"/>
        <v>3.5018750000000001</v>
      </c>
      <c r="CP750" s="234" cm="1">
        <f t="array" ref="CP750">$BM750 * IF($AH750&lt;=2,
SUMPRODUCT(INDEX($AV$71:$AX$75,,$AI750), INDEX($AY$71:$BE$75,,$AH750), 1 / ($BF$71:$BF$75*CO750 + (1-$BF$71:$BF$75)*CK750), N($AU$71:$AU$75&gt;$AM750)),
SUMPRODUCT(INDEX($AV$66:$AX$75,,$AI750), INDEX($AY$66:$BE$75,,$AH750), 1 / ($BG$66:$BG$75*CO750 + (1-$BG$66:$BG$75)*CK750), N($AU$66:$AU$75&gt;$AM750))
) / 1000</f>
        <v>0</v>
      </c>
      <c r="CQ750" s="231">
        <f t="shared" si="820"/>
        <v>25</v>
      </c>
      <c r="CR750" s="229">
        <f t="shared" si="804"/>
        <v>38</v>
      </c>
      <c r="CS750" s="234">
        <f t="shared" si="805"/>
        <v>4.0666935483870965</v>
      </c>
      <c r="CT750" s="234" cm="1">
        <f t="array" ref="CT750">$BM750 * IF($AH750&lt;=2,
SUMPRODUCT(INDEX($AV$66:$AX$70,,$AI750), INDEX($AY$66:$BE$70,,$AH750), 1 / ($BF$66:$BF$70*CS750 + (1-$BF$66:$BF$70)*CO750), N($AU$66:$AU$70&gt;$AM750)),
SUMPRODUCT(INDEX($AV$56:$AX$65,,$AI750), INDEX($AY$56:$BE$65,,$AH750), 1 / ($BG$56:$BG$65*CS750 + (1-$BG$56:$BG$65)*CO750), N($AU$56:$AU$65&gt;$AM750))
) / 1000</f>
        <v>0</v>
      </c>
      <c r="CU750" s="231">
        <f t="shared" si="821"/>
        <v>20</v>
      </c>
      <c r="CV750" s="229">
        <f t="shared" si="806"/>
        <v>33</v>
      </c>
      <c r="CW750" s="234">
        <f t="shared" si="807"/>
        <v>4.8487499999999999</v>
      </c>
      <c r="CX750" s="234" cm="1">
        <f t="array" ref="CX750">$BM750 * IF($AH750&lt;=2,
SUMPRODUCT(INDEX($AV$61:$AX$65,,$AI750), INDEX($AY$61:$BE$65,,$AH750), 1 / ($BF$61:$BF$65*CW750 + (1-$BF$61:$BF$65)*CS750), N($AU$61:$AU$65&gt;$AM750)),
SUMPRODUCT(INDEX($AV$46:$AX$55,,$AI750), INDEX($AY$46:$BE$55,,$AH750), 1 / ($BG$46:$BG$55*CW750 + (1-$BG$46:$BG$55)*CS750), N($AU$46:$AU$55&gt;$AM750))
) / 1000</f>
        <v>0</v>
      </c>
      <c r="CY750" s="234" cm="1">
        <f t="array" ref="CY750">$BM750 * IF($AH750&lt;=2,
SUMPRODUCT(INDEX($AV$22:$AX$60,,$AI750), INDEX($AY$22:$BE$60,,$AH750), 1 / ($BF$22:$BF$60*CW750), N($AU$22:$AU$60&gt;$AM750)),
SUMPRODUCT(INDEX($AV$22:$AX$45,,$AI750), INDEX($AY$22:$BE$45,,$AH750), 1 / ($BG$22:$BG$45*CW750), N($AU$22:$AU$45&gt;$AM750))
) / 1000</f>
        <v>0</v>
      </c>
      <c r="CZ750" s="229">
        <f t="shared" si="808"/>
        <v>0</v>
      </c>
      <c r="DA750" s="246"/>
    </row>
    <row r="751" spans="1:105" s="75" customFormat="1" ht="14.25" customHeight="1" x14ac:dyDescent="0.2">
      <c r="A751" s="230" t="b">
        <f t="shared" si="813"/>
        <v>0</v>
      </c>
      <c r="B751" s="253">
        <v>730</v>
      </c>
      <c r="C751" s="266"/>
      <c r="D751" s="266"/>
      <c r="E751" s="254"/>
      <c r="F751" s="255" t="str">
        <f>IF(ISBLANK(E751), "", VLOOKUP(E751, Z!$A$2:$C$4127, 3, FALSE))</f>
        <v/>
      </c>
      <c r="G751" s="256"/>
      <c r="H751" s="256"/>
      <c r="I751" s="256"/>
      <c r="J751" s="257"/>
      <c r="K751" s="258"/>
      <c r="L751" s="267"/>
      <c r="M751" s="268"/>
      <c r="N751" s="259" t="str" cm="1">
        <f t="array" ref="N751">IF($L751&gt;0, INDEX(Clean,1+AK751,$D$1), "")</f>
        <v/>
      </c>
      <c r="O751" s="260"/>
      <c r="P751" s="260"/>
      <c r="Q751" s="261"/>
      <c r="R751" s="264">
        <f t="shared" si="784"/>
        <v>0</v>
      </c>
      <c r="S751" s="259" t="str" cm="1">
        <f t="array" ref="S751">IF($L751&gt;0, INDEX(Clean,1+AL751,$D$1), "")</f>
        <v/>
      </c>
      <c r="T751" s="260"/>
      <c r="U751" s="260"/>
      <c r="V751" s="261"/>
      <c r="W751" s="267"/>
      <c r="X751" s="267"/>
      <c r="Y751" s="257"/>
      <c r="Z751" s="264">
        <f t="shared" si="785"/>
        <v>0</v>
      </c>
      <c r="AA751" s="269"/>
      <c r="AB751" s="266"/>
      <c r="AC751" s="254"/>
      <c r="AD751" s="255" t="str">
        <f>IF(ISBLANK(AC751), "", VLOOKUP(AC751, Z!$A$2:$C$4127, 3, FALSE))</f>
        <v/>
      </c>
      <c r="AE751" s="270"/>
      <c r="AF751" s="265">
        <f t="shared" si="786"/>
        <v>0</v>
      </c>
      <c r="AG751" s="246"/>
      <c r="AH751" s="228">
        <f t="shared" si="809"/>
        <v>1</v>
      </c>
      <c r="AI751" s="228">
        <f t="shared" si="810"/>
        <v>1</v>
      </c>
      <c r="AJ751" s="228">
        <f t="shared" si="811"/>
        <v>0</v>
      </c>
      <c r="AK751" s="228">
        <v>0</v>
      </c>
      <c r="AL751" s="228">
        <v>0</v>
      </c>
      <c r="AM751" s="228">
        <f t="shared" si="787"/>
        <v>-100</v>
      </c>
      <c r="AN751" s="228" cm="1">
        <f t="array" ref="AN751">IF(ISBLANK(G751), 1, IFERROR(MATCH(G751, INDEX(Kat,,1), 0), IFERROR(MATCH(Kat, INDEX(Use,,2), 0), MATCH(Kat, INDEX(Use,,3), 0))))</f>
        <v>1</v>
      </c>
      <c r="AO751" s="246"/>
      <c r="AP751" s="228" cm="1">
        <f t="array" ref="AP751">IF(W751&gt;0, INDEX(Kat, AN751,4), 0)</f>
        <v>0</v>
      </c>
      <c r="AQ751" s="228">
        <f t="shared" si="812"/>
        <v>0</v>
      </c>
      <c r="AR751" s="228" cm="1">
        <f t="array" ref="AR751">IF(X751&gt;0, INDEX(Kat, $AN751, 4+AQ751), 0)</f>
        <v>0</v>
      </c>
      <c r="AS751" s="228" cm="1">
        <f t="array" ref="AS751">IF(X751&gt;0, INDEX(Kat, $AN751, 9+AQ751), 0)</f>
        <v>0</v>
      </c>
      <c r="AT751" s="246"/>
      <c r="AU751" s="262"/>
      <c r="AV751" s="262"/>
      <c r="AW751" s="263"/>
      <c r="AX751" s="263"/>
      <c r="AY751" s="263"/>
      <c r="AZ751" s="263"/>
      <c r="BA751" s="263"/>
      <c r="BB751" s="263"/>
      <c r="BC751" s="263"/>
      <c r="BD751" s="263"/>
      <c r="BE751" s="263"/>
      <c r="BF751" s="263"/>
      <c r="BG751" s="263"/>
      <c r="BH751" s="246"/>
      <c r="BI751" s="228" cm="1">
        <f t="array" ref="BI751">INDEX(Use, $AH751, 4)</f>
        <v>7</v>
      </c>
      <c r="BJ751" s="228">
        <f t="shared" si="788"/>
        <v>32</v>
      </c>
      <c r="BK751" s="228">
        <f t="shared" si="814"/>
        <v>13</v>
      </c>
      <c r="BL751" s="228">
        <f t="shared" si="815"/>
        <v>0</v>
      </c>
      <c r="BM751" s="233" cm="1">
        <f t="array" ref="BM751">L751/IF($M751&gt;0, INDEX($AY$22:$BE$76, $M751+20, $AH751), 1)</f>
        <v>0</v>
      </c>
      <c r="BN751" s="229">
        <f t="shared" si="789"/>
        <v>0</v>
      </c>
      <c r="BO751" s="228">
        <v>35</v>
      </c>
      <c r="BP751" s="229">
        <f t="shared" si="790"/>
        <v>48</v>
      </c>
      <c r="BQ751" s="234">
        <f t="shared" si="791"/>
        <v>3.0748170731707316</v>
      </c>
      <c r="BR751" s="234" cm="1">
        <f t="array" ref="BR751">$BM751 * SUMPRODUCT(INDEX($AV$76:$AX$81,,$AI751),INDEX($AY$76:$BE$81,,$AH751), N($AU$76:$AU$81&gt;$AM751)) / BQ751 / 1000</f>
        <v>0</v>
      </c>
      <c r="BS751" s="231">
        <f t="shared" si="816"/>
        <v>30</v>
      </c>
      <c r="BT751" s="229">
        <f t="shared" si="792"/>
        <v>43</v>
      </c>
      <c r="BU751" s="234">
        <f t="shared" si="793"/>
        <v>3.5018750000000001</v>
      </c>
      <c r="BV751" s="234" cm="1">
        <f t="array" ref="BV751">$BM751 * IF($AH751&lt;=2,
SUMPRODUCT(INDEX($AV$71:$AX$75,,$AI751), INDEX($AY$71:$BE$75,,$AH751), 1 / ($BF$71:$BF$75*BU751 + (1-$BF$71:$BF$75)*BQ751), N($AU$71:$AU$75&gt;$AM751)),
SUMPRODUCT(INDEX($AV$66:$AX$75,,$AI751), INDEX($AY$66:$BE$75,,$AH751), 1 / ($BG$66:$BG$75*BU751 + (1-$BG$66:$BG$75)*BQ751), N($AU$66:$AU$75&gt;$AM751))
) / 1000</f>
        <v>0</v>
      </c>
      <c r="BW751" s="231">
        <f t="shared" si="817"/>
        <v>25</v>
      </c>
      <c r="BX751" s="229">
        <f t="shared" si="794"/>
        <v>38</v>
      </c>
      <c r="BY751" s="234">
        <f t="shared" si="795"/>
        <v>4.0666935483870965</v>
      </c>
      <c r="BZ751" s="234" cm="1">
        <f t="array" ref="BZ751">$BM751 * IF($AH751&lt;=2,
SUMPRODUCT(INDEX($AV$66:$AX$70,,$AI751), INDEX($AY$66:$BE$70,,$AH751), 1 / ($BF$66:$BF$70*BY751 + (1-$BF$66:$BF$70)*BU751), N($AU$66:$AU$70&gt;$AM751)),
SUMPRODUCT(INDEX($AV$56:$AX$65,,$AI751), INDEX($AY$56:$BE$65,,$AH751), 1 / ($BG$56:$BG$65*BY751 + (1-$BG$56:$BG$65)*BU751), N($AU$56:$AU$65&gt;$AM751))
) / 1000</f>
        <v>0</v>
      </c>
      <c r="CA751" s="231">
        <f t="shared" si="818"/>
        <v>20</v>
      </c>
      <c r="CB751" s="229">
        <f t="shared" si="796"/>
        <v>33</v>
      </c>
      <c r="CC751" s="234">
        <f t="shared" si="797"/>
        <v>4.8487499999999999</v>
      </c>
      <c r="CD751" s="234" cm="1">
        <f t="array" ref="CD751">$BM751 * IF($AH751&lt;=2,
SUMPRODUCT(INDEX($AV$61:$AX$65,,$AI751), INDEX($AY$61:$BE$65,,$AH751), 1 / ($BF$61:$BF$65*CC751 + (1-$BF$61:$BF$65)*BY751), N($AU$61:$AU$65&gt;$AM751)),
SUMPRODUCT(INDEX($AV$46:$AX$55,,$AI751), INDEX($AY$46:$BE$55,,$AH751), 1 / ($BG$46:$BG$55*CC751 + (1-$BG$46:$BG$55)*BY751), N($AU$46:$AU$55&gt;$AM751))
) / 1000</f>
        <v>0</v>
      </c>
      <c r="CE751" s="234" cm="1">
        <f t="array" ref="CE751">$BM751 * IF($AH751&lt;=2,
SUMPRODUCT(INDEX($AV$22:$AX$60,,$AI751), INDEX($AY$22:$BE$60,,$AH751), 1 / ($BF$22:$BF$60*CC751), N($AU$22:$AU$60&gt;$AM751)),
SUMPRODUCT(INDEX($AV$22:$AX$45,,$AI751), INDEX($AY$22:$BE$45,,$AH751), 1 / ($BG$22:$BG$45*CC751), N($AU$22:$AU$45&gt;$AM751))
) / 1000</f>
        <v>0</v>
      </c>
      <c r="CF751" s="229">
        <f t="shared" si="798"/>
        <v>0</v>
      </c>
      <c r="CG751" s="246"/>
      <c r="CH751" s="229">
        <f t="shared" si="799"/>
        <v>0</v>
      </c>
      <c r="CI751" s="228">
        <v>35</v>
      </c>
      <c r="CJ751" s="229">
        <f t="shared" si="800"/>
        <v>48</v>
      </c>
      <c r="CK751" s="234">
        <f t="shared" si="801"/>
        <v>3.0748170731707316</v>
      </c>
      <c r="CL751" s="234" cm="1">
        <f t="array" ref="CL751">$BM751 * SUMPRODUCT(INDEX($AV$76:$AX$81,,$AI751),INDEX($AY$76:$BE$81,,$AH751), N($AU$76:$AU$81&gt;$AM751)) / CK751 / 1000</f>
        <v>0</v>
      </c>
      <c r="CM751" s="231">
        <f t="shared" si="819"/>
        <v>30</v>
      </c>
      <c r="CN751" s="229">
        <f t="shared" si="802"/>
        <v>43</v>
      </c>
      <c r="CO751" s="234">
        <f t="shared" si="803"/>
        <v>3.5018750000000001</v>
      </c>
      <c r="CP751" s="234" cm="1">
        <f t="array" ref="CP751">$BM751 * IF($AH751&lt;=2,
SUMPRODUCT(INDEX($AV$71:$AX$75,,$AI751), INDEX($AY$71:$BE$75,,$AH751), 1 / ($BF$71:$BF$75*CO751 + (1-$BF$71:$BF$75)*CK751), N($AU$71:$AU$75&gt;$AM751)),
SUMPRODUCT(INDEX($AV$66:$AX$75,,$AI751), INDEX($AY$66:$BE$75,,$AH751), 1 / ($BG$66:$BG$75*CO751 + (1-$BG$66:$BG$75)*CK751), N($AU$66:$AU$75&gt;$AM751))
) / 1000</f>
        <v>0</v>
      </c>
      <c r="CQ751" s="231">
        <f t="shared" si="820"/>
        <v>25</v>
      </c>
      <c r="CR751" s="229">
        <f t="shared" si="804"/>
        <v>38</v>
      </c>
      <c r="CS751" s="234">
        <f t="shared" si="805"/>
        <v>4.0666935483870965</v>
      </c>
      <c r="CT751" s="234" cm="1">
        <f t="array" ref="CT751">$BM751 * IF($AH751&lt;=2,
SUMPRODUCT(INDEX($AV$66:$AX$70,,$AI751), INDEX($AY$66:$BE$70,,$AH751), 1 / ($BF$66:$BF$70*CS751 + (1-$BF$66:$BF$70)*CO751), N($AU$66:$AU$70&gt;$AM751)),
SUMPRODUCT(INDEX($AV$56:$AX$65,,$AI751), INDEX($AY$56:$BE$65,,$AH751), 1 / ($BG$56:$BG$65*CS751 + (1-$BG$56:$BG$65)*CO751), N($AU$56:$AU$65&gt;$AM751))
) / 1000</f>
        <v>0</v>
      </c>
      <c r="CU751" s="231">
        <f t="shared" si="821"/>
        <v>20</v>
      </c>
      <c r="CV751" s="229">
        <f t="shared" si="806"/>
        <v>33</v>
      </c>
      <c r="CW751" s="234">
        <f t="shared" si="807"/>
        <v>4.8487499999999999</v>
      </c>
      <c r="CX751" s="234" cm="1">
        <f t="array" ref="CX751">$BM751 * IF($AH751&lt;=2,
SUMPRODUCT(INDEX($AV$61:$AX$65,,$AI751), INDEX($AY$61:$BE$65,,$AH751), 1 / ($BF$61:$BF$65*CW751 + (1-$BF$61:$BF$65)*CS751), N($AU$61:$AU$65&gt;$AM751)),
SUMPRODUCT(INDEX($AV$46:$AX$55,,$AI751), INDEX($AY$46:$BE$55,,$AH751), 1 / ($BG$46:$BG$55*CW751 + (1-$BG$46:$BG$55)*CS751), N($AU$46:$AU$55&gt;$AM751))
) / 1000</f>
        <v>0</v>
      </c>
      <c r="CY751" s="234" cm="1">
        <f t="array" ref="CY751">$BM751 * IF($AH751&lt;=2,
SUMPRODUCT(INDEX($AV$22:$AX$60,,$AI751), INDEX($AY$22:$BE$60,,$AH751), 1 / ($BF$22:$BF$60*CW751), N($AU$22:$AU$60&gt;$AM751)),
SUMPRODUCT(INDEX($AV$22:$AX$45,,$AI751), INDEX($AY$22:$BE$45,,$AH751), 1 / ($BG$22:$BG$45*CW751), N($AU$22:$AU$45&gt;$AM751))
) / 1000</f>
        <v>0</v>
      </c>
      <c r="CZ751" s="229">
        <f t="shared" si="808"/>
        <v>0</v>
      </c>
      <c r="DA751" s="246"/>
    </row>
    <row r="752" spans="1:105" s="75" customFormat="1" ht="14.25" customHeight="1" x14ac:dyDescent="0.2">
      <c r="A752" s="230" t="b">
        <f t="shared" si="813"/>
        <v>0</v>
      </c>
      <c r="B752" s="253">
        <v>731</v>
      </c>
      <c r="C752" s="266"/>
      <c r="D752" s="266"/>
      <c r="E752" s="254"/>
      <c r="F752" s="255" t="str">
        <f>IF(ISBLANK(E752), "", VLOOKUP(E752, Z!$A$2:$C$4127, 3, FALSE))</f>
        <v/>
      </c>
      <c r="G752" s="256"/>
      <c r="H752" s="256"/>
      <c r="I752" s="256"/>
      <c r="J752" s="257"/>
      <c r="K752" s="258"/>
      <c r="L752" s="267"/>
      <c r="M752" s="268"/>
      <c r="N752" s="259" t="str" cm="1">
        <f t="array" ref="N752">IF($L752&gt;0, INDEX(Clean,1+AK752,$D$1), "")</f>
        <v/>
      </c>
      <c r="O752" s="260"/>
      <c r="P752" s="260"/>
      <c r="Q752" s="261"/>
      <c r="R752" s="264">
        <f t="shared" si="784"/>
        <v>0</v>
      </c>
      <c r="S752" s="259" t="str" cm="1">
        <f t="array" ref="S752">IF($L752&gt;0, INDEX(Clean,1+AL752,$D$1), "")</f>
        <v/>
      </c>
      <c r="T752" s="260"/>
      <c r="U752" s="260"/>
      <c r="V752" s="261"/>
      <c r="W752" s="267"/>
      <c r="X752" s="267"/>
      <c r="Y752" s="257"/>
      <c r="Z752" s="264">
        <f t="shared" si="785"/>
        <v>0</v>
      </c>
      <c r="AA752" s="269"/>
      <c r="AB752" s="266"/>
      <c r="AC752" s="254"/>
      <c r="AD752" s="255" t="str">
        <f>IF(ISBLANK(AC752), "", VLOOKUP(AC752, Z!$A$2:$C$4127, 3, FALSE))</f>
        <v/>
      </c>
      <c r="AE752" s="270"/>
      <c r="AF752" s="265">
        <f t="shared" si="786"/>
        <v>0</v>
      </c>
      <c r="AG752" s="246"/>
      <c r="AH752" s="228">
        <f t="shared" si="809"/>
        <v>1</v>
      </c>
      <c r="AI752" s="228">
        <f t="shared" si="810"/>
        <v>1</v>
      </c>
      <c r="AJ752" s="228">
        <f t="shared" si="811"/>
        <v>0</v>
      </c>
      <c r="AK752" s="228">
        <v>0</v>
      </c>
      <c r="AL752" s="228">
        <v>0</v>
      </c>
      <c r="AM752" s="228">
        <f t="shared" si="787"/>
        <v>-100</v>
      </c>
      <c r="AN752" s="228" cm="1">
        <f t="array" ref="AN752">IF(ISBLANK(G752), 1, IFERROR(MATCH(G752, INDEX(Kat,,1), 0), IFERROR(MATCH(Kat, INDEX(Use,,2), 0), MATCH(Kat, INDEX(Use,,3), 0))))</f>
        <v>1</v>
      </c>
      <c r="AO752" s="246"/>
      <c r="AP752" s="228" cm="1">
        <f t="array" ref="AP752">IF(W752&gt;0, INDEX(Kat, AN752,4), 0)</f>
        <v>0</v>
      </c>
      <c r="AQ752" s="228">
        <f t="shared" si="812"/>
        <v>0</v>
      </c>
      <c r="AR752" s="228" cm="1">
        <f t="array" ref="AR752">IF(X752&gt;0, INDEX(Kat, $AN752, 4+AQ752), 0)</f>
        <v>0</v>
      </c>
      <c r="AS752" s="228" cm="1">
        <f t="array" ref="AS752">IF(X752&gt;0, INDEX(Kat, $AN752, 9+AQ752), 0)</f>
        <v>0</v>
      </c>
      <c r="AT752" s="246"/>
      <c r="AU752" s="262"/>
      <c r="AV752" s="262"/>
      <c r="AW752" s="263"/>
      <c r="AX752" s="263"/>
      <c r="AY752" s="263"/>
      <c r="AZ752" s="263"/>
      <c r="BA752" s="263"/>
      <c r="BB752" s="263"/>
      <c r="BC752" s="263"/>
      <c r="BD752" s="263"/>
      <c r="BE752" s="263"/>
      <c r="BF752" s="263"/>
      <c r="BG752" s="263"/>
      <c r="BH752" s="246"/>
      <c r="BI752" s="228" cm="1">
        <f t="array" ref="BI752">INDEX(Use, $AH752, 4)</f>
        <v>7</v>
      </c>
      <c r="BJ752" s="228">
        <f t="shared" si="788"/>
        <v>32</v>
      </c>
      <c r="BK752" s="228">
        <f t="shared" si="814"/>
        <v>13</v>
      </c>
      <c r="BL752" s="228">
        <f t="shared" si="815"/>
        <v>0</v>
      </c>
      <c r="BM752" s="233" cm="1">
        <f t="array" ref="BM752">L752/IF($M752&gt;0, INDEX($AY$22:$BE$76, $M752+20, $AH752), 1)</f>
        <v>0</v>
      </c>
      <c r="BN752" s="229">
        <f t="shared" si="789"/>
        <v>0</v>
      </c>
      <c r="BO752" s="228">
        <v>35</v>
      </c>
      <c r="BP752" s="229">
        <f t="shared" si="790"/>
        <v>48</v>
      </c>
      <c r="BQ752" s="234">
        <f t="shared" si="791"/>
        <v>3.0748170731707316</v>
      </c>
      <c r="BR752" s="234" cm="1">
        <f t="array" ref="BR752">$BM752 * SUMPRODUCT(INDEX($AV$76:$AX$81,,$AI752),INDEX($AY$76:$BE$81,,$AH752), N($AU$76:$AU$81&gt;$AM752)) / BQ752 / 1000</f>
        <v>0</v>
      </c>
      <c r="BS752" s="231">
        <f t="shared" si="816"/>
        <v>30</v>
      </c>
      <c r="BT752" s="229">
        <f t="shared" si="792"/>
        <v>43</v>
      </c>
      <c r="BU752" s="234">
        <f t="shared" si="793"/>
        <v>3.5018750000000001</v>
      </c>
      <c r="BV752" s="234" cm="1">
        <f t="array" ref="BV752">$BM752 * IF($AH752&lt;=2,
SUMPRODUCT(INDEX($AV$71:$AX$75,,$AI752), INDEX($AY$71:$BE$75,,$AH752), 1 / ($BF$71:$BF$75*BU752 + (1-$BF$71:$BF$75)*BQ752), N($AU$71:$AU$75&gt;$AM752)),
SUMPRODUCT(INDEX($AV$66:$AX$75,,$AI752), INDEX($AY$66:$BE$75,,$AH752), 1 / ($BG$66:$BG$75*BU752 + (1-$BG$66:$BG$75)*BQ752), N($AU$66:$AU$75&gt;$AM752))
) / 1000</f>
        <v>0</v>
      </c>
      <c r="BW752" s="231">
        <f t="shared" si="817"/>
        <v>25</v>
      </c>
      <c r="BX752" s="229">
        <f t="shared" si="794"/>
        <v>38</v>
      </c>
      <c r="BY752" s="234">
        <f t="shared" si="795"/>
        <v>4.0666935483870965</v>
      </c>
      <c r="BZ752" s="234" cm="1">
        <f t="array" ref="BZ752">$BM752 * IF($AH752&lt;=2,
SUMPRODUCT(INDEX($AV$66:$AX$70,,$AI752), INDEX($AY$66:$BE$70,,$AH752), 1 / ($BF$66:$BF$70*BY752 + (1-$BF$66:$BF$70)*BU752), N($AU$66:$AU$70&gt;$AM752)),
SUMPRODUCT(INDEX($AV$56:$AX$65,,$AI752), INDEX($AY$56:$BE$65,,$AH752), 1 / ($BG$56:$BG$65*BY752 + (1-$BG$56:$BG$65)*BU752), N($AU$56:$AU$65&gt;$AM752))
) / 1000</f>
        <v>0</v>
      </c>
      <c r="CA752" s="231">
        <f t="shared" si="818"/>
        <v>20</v>
      </c>
      <c r="CB752" s="229">
        <f t="shared" si="796"/>
        <v>33</v>
      </c>
      <c r="CC752" s="234">
        <f t="shared" si="797"/>
        <v>4.8487499999999999</v>
      </c>
      <c r="CD752" s="234" cm="1">
        <f t="array" ref="CD752">$BM752 * IF($AH752&lt;=2,
SUMPRODUCT(INDEX($AV$61:$AX$65,,$AI752), INDEX($AY$61:$BE$65,,$AH752), 1 / ($BF$61:$BF$65*CC752 + (1-$BF$61:$BF$65)*BY752), N($AU$61:$AU$65&gt;$AM752)),
SUMPRODUCT(INDEX($AV$46:$AX$55,,$AI752), INDEX($AY$46:$BE$55,,$AH752), 1 / ($BG$46:$BG$55*CC752 + (1-$BG$46:$BG$55)*BY752), N($AU$46:$AU$55&gt;$AM752))
) / 1000</f>
        <v>0</v>
      </c>
      <c r="CE752" s="234" cm="1">
        <f t="array" ref="CE752">$BM752 * IF($AH752&lt;=2,
SUMPRODUCT(INDEX($AV$22:$AX$60,,$AI752), INDEX($AY$22:$BE$60,,$AH752), 1 / ($BF$22:$BF$60*CC752), N($AU$22:$AU$60&gt;$AM752)),
SUMPRODUCT(INDEX($AV$22:$AX$45,,$AI752), INDEX($AY$22:$BE$45,,$AH752), 1 / ($BG$22:$BG$45*CC752), N($AU$22:$AU$45&gt;$AM752))
) / 1000</f>
        <v>0</v>
      </c>
      <c r="CF752" s="229">
        <f t="shared" si="798"/>
        <v>0</v>
      </c>
      <c r="CG752" s="246"/>
      <c r="CH752" s="229">
        <f t="shared" si="799"/>
        <v>0</v>
      </c>
      <c r="CI752" s="228">
        <v>35</v>
      </c>
      <c r="CJ752" s="229">
        <f t="shared" si="800"/>
        <v>48</v>
      </c>
      <c r="CK752" s="234">
        <f t="shared" si="801"/>
        <v>3.0748170731707316</v>
      </c>
      <c r="CL752" s="234" cm="1">
        <f t="array" ref="CL752">$BM752 * SUMPRODUCT(INDEX($AV$76:$AX$81,,$AI752),INDEX($AY$76:$BE$81,,$AH752), N($AU$76:$AU$81&gt;$AM752)) / CK752 / 1000</f>
        <v>0</v>
      </c>
      <c r="CM752" s="231">
        <f t="shared" si="819"/>
        <v>30</v>
      </c>
      <c r="CN752" s="229">
        <f t="shared" si="802"/>
        <v>43</v>
      </c>
      <c r="CO752" s="234">
        <f t="shared" si="803"/>
        <v>3.5018750000000001</v>
      </c>
      <c r="CP752" s="234" cm="1">
        <f t="array" ref="CP752">$BM752 * IF($AH752&lt;=2,
SUMPRODUCT(INDEX($AV$71:$AX$75,,$AI752), INDEX($AY$71:$BE$75,,$AH752), 1 / ($BF$71:$BF$75*CO752 + (1-$BF$71:$BF$75)*CK752), N($AU$71:$AU$75&gt;$AM752)),
SUMPRODUCT(INDEX($AV$66:$AX$75,,$AI752), INDEX($AY$66:$BE$75,,$AH752), 1 / ($BG$66:$BG$75*CO752 + (1-$BG$66:$BG$75)*CK752), N($AU$66:$AU$75&gt;$AM752))
) / 1000</f>
        <v>0</v>
      </c>
      <c r="CQ752" s="231">
        <f t="shared" si="820"/>
        <v>25</v>
      </c>
      <c r="CR752" s="229">
        <f t="shared" si="804"/>
        <v>38</v>
      </c>
      <c r="CS752" s="234">
        <f t="shared" si="805"/>
        <v>4.0666935483870965</v>
      </c>
      <c r="CT752" s="234" cm="1">
        <f t="array" ref="CT752">$BM752 * IF($AH752&lt;=2,
SUMPRODUCT(INDEX($AV$66:$AX$70,,$AI752), INDEX($AY$66:$BE$70,,$AH752), 1 / ($BF$66:$BF$70*CS752 + (1-$BF$66:$BF$70)*CO752), N($AU$66:$AU$70&gt;$AM752)),
SUMPRODUCT(INDEX($AV$56:$AX$65,,$AI752), INDEX($AY$56:$BE$65,,$AH752), 1 / ($BG$56:$BG$65*CS752 + (1-$BG$56:$BG$65)*CO752), N($AU$56:$AU$65&gt;$AM752))
) / 1000</f>
        <v>0</v>
      </c>
      <c r="CU752" s="231">
        <f t="shared" si="821"/>
        <v>20</v>
      </c>
      <c r="CV752" s="229">
        <f t="shared" si="806"/>
        <v>33</v>
      </c>
      <c r="CW752" s="234">
        <f t="shared" si="807"/>
        <v>4.8487499999999999</v>
      </c>
      <c r="CX752" s="234" cm="1">
        <f t="array" ref="CX752">$BM752 * IF($AH752&lt;=2,
SUMPRODUCT(INDEX($AV$61:$AX$65,,$AI752), INDEX($AY$61:$BE$65,,$AH752), 1 / ($BF$61:$BF$65*CW752 + (1-$BF$61:$BF$65)*CS752), N($AU$61:$AU$65&gt;$AM752)),
SUMPRODUCT(INDEX($AV$46:$AX$55,,$AI752), INDEX($AY$46:$BE$55,,$AH752), 1 / ($BG$46:$BG$55*CW752 + (1-$BG$46:$BG$55)*CS752), N($AU$46:$AU$55&gt;$AM752))
) / 1000</f>
        <v>0</v>
      </c>
      <c r="CY752" s="234" cm="1">
        <f t="array" ref="CY752">$BM752 * IF($AH752&lt;=2,
SUMPRODUCT(INDEX($AV$22:$AX$60,,$AI752), INDEX($AY$22:$BE$60,,$AH752), 1 / ($BF$22:$BF$60*CW752), N($AU$22:$AU$60&gt;$AM752)),
SUMPRODUCT(INDEX($AV$22:$AX$45,,$AI752), INDEX($AY$22:$BE$45,,$AH752), 1 / ($BG$22:$BG$45*CW752), N($AU$22:$AU$45&gt;$AM752))
) / 1000</f>
        <v>0</v>
      </c>
      <c r="CZ752" s="229">
        <f t="shared" si="808"/>
        <v>0</v>
      </c>
      <c r="DA752" s="246"/>
    </row>
    <row r="753" spans="1:105" s="75" customFormat="1" ht="14.25" customHeight="1" x14ac:dyDescent="0.2">
      <c r="A753" s="230" t="b">
        <f t="shared" si="813"/>
        <v>0</v>
      </c>
      <c r="B753" s="253">
        <v>732</v>
      </c>
      <c r="C753" s="266"/>
      <c r="D753" s="266"/>
      <c r="E753" s="254"/>
      <c r="F753" s="255" t="str">
        <f>IF(ISBLANK(E753), "", VLOOKUP(E753, Z!$A$2:$C$4127, 3, FALSE))</f>
        <v/>
      </c>
      <c r="G753" s="256"/>
      <c r="H753" s="256"/>
      <c r="I753" s="256"/>
      <c r="J753" s="257"/>
      <c r="K753" s="258"/>
      <c r="L753" s="267"/>
      <c r="M753" s="268"/>
      <c r="N753" s="259" t="str" cm="1">
        <f t="array" ref="N753">IF($L753&gt;0, INDEX(Clean,1+AK753,$D$1), "")</f>
        <v/>
      </c>
      <c r="O753" s="260"/>
      <c r="P753" s="260"/>
      <c r="Q753" s="261"/>
      <c r="R753" s="264">
        <f t="shared" si="784"/>
        <v>0</v>
      </c>
      <c r="S753" s="259" t="str" cm="1">
        <f t="array" ref="S753">IF($L753&gt;0, INDEX(Clean,1+AL753,$D$1), "")</f>
        <v/>
      </c>
      <c r="T753" s="260"/>
      <c r="U753" s="260"/>
      <c r="V753" s="261"/>
      <c r="W753" s="267"/>
      <c r="X753" s="267"/>
      <c r="Y753" s="257"/>
      <c r="Z753" s="264">
        <f t="shared" si="785"/>
        <v>0</v>
      </c>
      <c r="AA753" s="269"/>
      <c r="AB753" s="266"/>
      <c r="AC753" s="254"/>
      <c r="AD753" s="255" t="str">
        <f>IF(ISBLANK(AC753), "", VLOOKUP(AC753, Z!$A$2:$C$4127, 3, FALSE))</f>
        <v/>
      </c>
      <c r="AE753" s="270"/>
      <c r="AF753" s="265">
        <f t="shared" si="786"/>
        <v>0</v>
      </c>
      <c r="AG753" s="246"/>
      <c r="AH753" s="228">
        <f t="shared" si="809"/>
        <v>1</v>
      </c>
      <c r="AI753" s="228">
        <f t="shared" si="810"/>
        <v>1</v>
      </c>
      <c r="AJ753" s="228">
        <f t="shared" si="811"/>
        <v>0</v>
      </c>
      <c r="AK753" s="228">
        <v>0</v>
      </c>
      <c r="AL753" s="228">
        <v>0</v>
      </c>
      <c r="AM753" s="228">
        <f t="shared" si="787"/>
        <v>-100</v>
      </c>
      <c r="AN753" s="228" cm="1">
        <f t="array" ref="AN753">IF(ISBLANK(G753), 1, IFERROR(MATCH(G753, INDEX(Kat,,1), 0), IFERROR(MATCH(Kat, INDEX(Use,,2), 0), MATCH(Kat, INDEX(Use,,3), 0))))</f>
        <v>1</v>
      </c>
      <c r="AO753" s="246"/>
      <c r="AP753" s="228" cm="1">
        <f t="array" ref="AP753">IF(W753&gt;0, INDEX(Kat, AN753,4), 0)</f>
        <v>0</v>
      </c>
      <c r="AQ753" s="228">
        <f t="shared" si="812"/>
        <v>0</v>
      </c>
      <c r="AR753" s="228" cm="1">
        <f t="array" ref="AR753">IF(X753&gt;0, INDEX(Kat, $AN753, 4+AQ753), 0)</f>
        <v>0</v>
      </c>
      <c r="AS753" s="228" cm="1">
        <f t="array" ref="AS753">IF(X753&gt;0, INDEX(Kat, $AN753, 9+AQ753), 0)</f>
        <v>0</v>
      </c>
      <c r="AT753" s="246"/>
      <c r="AU753" s="262"/>
      <c r="AV753" s="262"/>
      <c r="AW753" s="263"/>
      <c r="AX753" s="263"/>
      <c r="AY753" s="263"/>
      <c r="AZ753" s="263"/>
      <c r="BA753" s="263"/>
      <c r="BB753" s="263"/>
      <c r="BC753" s="263"/>
      <c r="BD753" s="263"/>
      <c r="BE753" s="263"/>
      <c r="BF753" s="263"/>
      <c r="BG753" s="263"/>
      <c r="BH753" s="246"/>
      <c r="BI753" s="228" cm="1">
        <f t="array" ref="BI753">INDEX(Use, $AH753, 4)</f>
        <v>7</v>
      </c>
      <c r="BJ753" s="228">
        <f t="shared" si="788"/>
        <v>32</v>
      </c>
      <c r="BK753" s="228">
        <f t="shared" si="814"/>
        <v>13</v>
      </c>
      <c r="BL753" s="228">
        <f t="shared" si="815"/>
        <v>0</v>
      </c>
      <c r="BM753" s="233" cm="1">
        <f t="array" ref="BM753">L753/IF($M753&gt;0, INDEX($AY$22:$BE$76, $M753+20, $AH753), 1)</f>
        <v>0</v>
      </c>
      <c r="BN753" s="229">
        <f t="shared" si="789"/>
        <v>0</v>
      </c>
      <c r="BO753" s="228">
        <v>35</v>
      </c>
      <c r="BP753" s="229">
        <f t="shared" si="790"/>
        <v>48</v>
      </c>
      <c r="BQ753" s="234">
        <f t="shared" si="791"/>
        <v>3.0748170731707316</v>
      </c>
      <c r="BR753" s="234" cm="1">
        <f t="array" ref="BR753">$BM753 * SUMPRODUCT(INDEX($AV$76:$AX$81,,$AI753),INDEX($AY$76:$BE$81,,$AH753), N($AU$76:$AU$81&gt;$AM753)) / BQ753 / 1000</f>
        <v>0</v>
      </c>
      <c r="BS753" s="231">
        <f t="shared" si="816"/>
        <v>30</v>
      </c>
      <c r="BT753" s="229">
        <f t="shared" si="792"/>
        <v>43</v>
      </c>
      <c r="BU753" s="234">
        <f t="shared" si="793"/>
        <v>3.5018750000000001</v>
      </c>
      <c r="BV753" s="234" cm="1">
        <f t="array" ref="BV753">$BM753 * IF($AH753&lt;=2,
SUMPRODUCT(INDEX($AV$71:$AX$75,,$AI753), INDEX($AY$71:$BE$75,,$AH753), 1 / ($BF$71:$BF$75*BU753 + (1-$BF$71:$BF$75)*BQ753), N($AU$71:$AU$75&gt;$AM753)),
SUMPRODUCT(INDEX($AV$66:$AX$75,,$AI753), INDEX($AY$66:$BE$75,,$AH753), 1 / ($BG$66:$BG$75*BU753 + (1-$BG$66:$BG$75)*BQ753), N($AU$66:$AU$75&gt;$AM753))
) / 1000</f>
        <v>0</v>
      </c>
      <c r="BW753" s="231">
        <f t="shared" si="817"/>
        <v>25</v>
      </c>
      <c r="BX753" s="229">
        <f t="shared" si="794"/>
        <v>38</v>
      </c>
      <c r="BY753" s="234">
        <f t="shared" si="795"/>
        <v>4.0666935483870965</v>
      </c>
      <c r="BZ753" s="234" cm="1">
        <f t="array" ref="BZ753">$BM753 * IF($AH753&lt;=2,
SUMPRODUCT(INDEX($AV$66:$AX$70,,$AI753), INDEX($AY$66:$BE$70,,$AH753), 1 / ($BF$66:$BF$70*BY753 + (1-$BF$66:$BF$70)*BU753), N($AU$66:$AU$70&gt;$AM753)),
SUMPRODUCT(INDEX($AV$56:$AX$65,,$AI753), INDEX($AY$56:$BE$65,,$AH753), 1 / ($BG$56:$BG$65*BY753 + (1-$BG$56:$BG$65)*BU753), N($AU$56:$AU$65&gt;$AM753))
) / 1000</f>
        <v>0</v>
      </c>
      <c r="CA753" s="231">
        <f t="shared" si="818"/>
        <v>20</v>
      </c>
      <c r="CB753" s="229">
        <f t="shared" si="796"/>
        <v>33</v>
      </c>
      <c r="CC753" s="234">
        <f t="shared" si="797"/>
        <v>4.8487499999999999</v>
      </c>
      <c r="CD753" s="234" cm="1">
        <f t="array" ref="CD753">$BM753 * IF($AH753&lt;=2,
SUMPRODUCT(INDEX($AV$61:$AX$65,,$AI753), INDEX($AY$61:$BE$65,,$AH753), 1 / ($BF$61:$BF$65*CC753 + (1-$BF$61:$BF$65)*BY753), N($AU$61:$AU$65&gt;$AM753)),
SUMPRODUCT(INDEX($AV$46:$AX$55,,$AI753), INDEX($AY$46:$BE$55,,$AH753), 1 / ($BG$46:$BG$55*CC753 + (1-$BG$46:$BG$55)*BY753), N($AU$46:$AU$55&gt;$AM753))
) / 1000</f>
        <v>0</v>
      </c>
      <c r="CE753" s="234" cm="1">
        <f t="array" ref="CE753">$BM753 * IF($AH753&lt;=2,
SUMPRODUCT(INDEX($AV$22:$AX$60,,$AI753), INDEX($AY$22:$BE$60,,$AH753), 1 / ($BF$22:$BF$60*CC753), N($AU$22:$AU$60&gt;$AM753)),
SUMPRODUCT(INDEX($AV$22:$AX$45,,$AI753), INDEX($AY$22:$BE$45,,$AH753), 1 / ($BG$22:$BG$45*CC753), N($AU$22:$AU$45&gt;$AM753))
) / 1000</f>
        <v>0</v>
      </c>
      <c r="CF753" s="229">
        <f t="shared" si="798"/>
        <v>0</v>
      </c>
      <c r="CG753" s="246"/>
      <c r="CH753" s="229">
        <f t="shared" si="799"/>
        <v>0</v>
      </c>
      <c r="CI753" s="228">
        <v>35</v>
      </c>
      <c r="CJ753" s="229">
        <f t="shared" si="800"/>
        <v>48</v>
      </c>
      <c r="CK753" s="234">
        <f t="shared" si="801"/>
        <v>3.0748170731707316</v>
      </c>
      <c r="CL753" s="234" cm="1">
        <f t="array" ref="CL753">$BM753 * SUMPRODUCT(INDEX($AV$76:$AX$81,,$AI753),INDEX($AY$76:$BE$81,,$AH753), N($AU$76:$AU$81&gt;$AM753)) / CK753 / 1000</f>
        <v>0</v>
      </c>
      <c r="CM753" s="231">
        <f t="shared" si="819"/>
        <v>30</v>
      </c>
      <c r="CN753" s="229">
        <f t="shared" si="802"/>
        <v>43</v>
      </c>
      <c r="CO753" s="234">
        <f t="shared" si="803"/>
        <v>3.5018750000000001</v>
      </c>
      <c r="CP753" s="234" cm="1">
        <f t="array" ref="CP753">$BM753 * IF($AH753&lt;=2,
SUMPRODUCT(INDEX($AV$71:$AX$75,,$AI753), INDEX($AY$71:$BE$75,,$AH753), 1 / ($BF$71:$BF$75*CO753 + (1-$BF$71:$BF$75)*CK753), N($AU$71:$AU$75&gt;$AM753)),
SUMPRODUCT(INDEX($AV$66:$AX$75,,$AI753), INDEX($AY$66:$BE$75,,$AH753), 1 / ($BG$66:$BG$75*CO753 + (1-$BG$66:$BG$75)*CK753), N($AU$66:$AU$75&gt;$AM753))
) / 1000</f>
        <v>0</v>
      </c>
      <c r="CQ753" s="231">
        <f t="shared" si="820"/>
        <v>25</v>
      </c>
      <c r="CR753" s="229">
        <f t="shared" si="804"/>
        <v>38</v>
      </c>
      <c r="CS753" s="234">
        <f t="shared" si="805"/>
        <v>4.0666935483870965</v>
      </c>
      <c r="CT753" s="234" cm="1">
        <f t="array" ref="CT753">$BM753 * IF($AH753&lt;=2,
SUMPRODUCT(INDEX($AV$66:$AX$70,,$AI753), INDEX($AY$66:$BE$70,,$AH753), 1 / ($BF$66:$BF$70*CS753 + (1-$BF$66:$BF$70)*CO753), N($AU$66:$AU$70&gt;$AM753)),
SUMPRODUCT(INDEX($AV$56:$AX$65,,$AI753), INDEX($AY$56:$BE$65,,$AH753), 1 / ($BG$56:$BG$65*CS753 + (1-$BG$56:$BG$65)*CO753), N($AU$56:$AU$65&gt;$AM753))
) / 1000</f>
        <v>0</v>
      </c>
      <c r="CU753" s="231">
        <f t="shared" si="821"/>
        <v>20</v>
      </c>
      <c r="CV753" s="229">
        <f t="shared" si="806"/>
        <v>33</v>
      </c>
      <c r="CW753" s="234">
        <f t="shared" si="807"/>
        <v>4.8487499999999999</v>
      </c>
      <c r="CX753" s="234" cm="1">
        <f t="array" ref="CX753">$BM753 * IF($AH753&lt;=2,
SUMPRODUCT(INDEX($AV$61:$AX$65,,$AI753), INDEX($AY$61:$BE$65,,$AH753), 1 / ($BF$61:$BF$65*CW753 + (1-$BF$61:$BF$65)*CS753), N($AU$61:$AU$65&gt;$AM753)),
SUMPRODUCT(INDEX($AV$46:$AX$55,,$AI753), INDEX($AY$46:$BE$55,,$AH753), 1 / ($BG$46:$BG$55*CW753 + (1-$BG$46:$BG$55)*CS753), N($AU$46:$AU$55&gt;$AM753))
) / 1000</f>
        <v>0</v>
      </c>
      <c r="CY753" s="234" cm="1">
        <f t="array" ref="CY753">$BM753 * IF($AH753&lt;=2,
SUMPRODUCT(INDEX($AV$22:$AX$60,,$AI753), INDEX($AY$22:$BE$60,,$AH753), 1 / ($BF$22:$BF$60*CW753), N($AU$22:$AU$60&gt;$AM753)),
SUMPRODUCT(INDEX($AV$22:$AX$45,,$AI753), INDEX($AY$22:$BE$45,,$AH753), 1 / ($BG$22:$BG$45*CW753), N($AU$22:$AU$45&gt;$AM753))
) / 1000</f>
        <v>0</v>
      </c>
      <c r="CZ753" s="229">
        <f t="shared" si="808"/>
        <v>0</v>
      </c>
      <c r="DA753" s="246"/>
    </row>
    <row r="754" spans="1:105" s="75" customFormat="1" ht="14.25" customHeight="1" x14ac:dyDescent="0.2">
      <c r="A754" s="230" t="b">
        <f t="shared" si="813"/>
        <v>0</v>
      </c>
      <c r="B754" s="253">
        <v>733</v>
      </c>
      <c r="C754" s="266"/>
      <c r="D754" s="266"/>
      <c r="E754" s="254"/>
      <c r="F754" s="255" t="str">
        <f>IF(ISBLANK(E754), "", VLOOKUP(E754, Z!$A$2:$C$4127, 3, FALSE))</f>
        <v/>
      </c>
      <c r="G754" s="256"/>
      <c r="H754" s="256"/>
      <c r="I754" s="256"/>
      <c r="J754" s="257"/>
      <c r="K754" s="258"/>
      <c r="L754" s="267"/>
      <c r="M754" s="268"/>
      <c r="N754" s="259" t="str" cm="1">
        <f t="array" ref="N754">IF($L754&gt;0, INDEX(Clean,1+AK754,$D$1), "")</f>
        <v/>
      </c>
      <c r="O754" s="260"/>
      <c r="P754" s="260"/>
      <c r="Q754" s="261"/>
      <c r="R754" s="264">
        <f t="shared" si="784"/>
        <v>0</v>
      </c>
      <c r="S754" s="259" t="str" cm="1">
        <f t="array" ref="S754">IF($L754&gt;0, INDEX(Clean,1+AL754,$D$1), "")</f>
        <v/>
      </c>
      <c r="T754" s="260"/>
      <c r="U754" s="260"/>
      <c r="V754" s="261"/>
      <c r="W754" s="267"/>
      <c r="X754" s="267"/>
      <c r="Y754" s="257"/>
      <c r="Z754" s="264">
        <f t="shared" si="785"/>
        <v>0</v>
      </c>
      <c r="AA754" s="269"/>
      <c r="AB754" s="266"/>
      <c r="AC754" s="254"/>
      <c r="AD754" s="255" t="str">
        <f>IF(ISBLANK(AC754), "", VLOOKUP(AC754, Z!$A$2:$C$4127, 3, FALSE))</f>
        <v/>
      </c>
      <c r="AE754" s="270"/>
      <c r="AF754" s="265">
        <f t="shared" si="786"/>
        <v>0</v>
      </c>
      <c r="AG754" s="246"/>
      <c r="AH754" s="228">
        <f t="shared" si="809"/>
        <v>1</v>
      </c>
      <c r="AI754" s="228">
        <f t="shared" si="810"/>
        <v>1</v>
      </c>
      <c r="AJ754" s="228">
        <f t="shared" si="811"/>
        <v>0</v>
      </c>
      <c r="AK754" s="228">
        <v>0</v>
      </c>
      <c r="AL754" s="228">
        <v>0</v>
      </c>
      <c r="AM754" s="228">
        <f t="shared" si="787"/>
        <v>-100</v>
      </c>
      <c r="AN754" s="228" cm="1">
        <f t="array" ref="AN754">IF(ISBLANK(G754), 1, IFERROR(MATCH(G754, INDEX(Kat,,1), 0), IFERROR(MATCH(Kat, INDEX(Use,,2), 0), MATCH(Kat, INDEX(Use,,3), 0))))</f>
        <v>1</v>
      </c>
      <c r="AO754" s="246"/>
      <c r="AP754" s="228" cm="1">
        <f t="array" ref="AP754">IF(W754&gt;0, INDEX(Kat, AN754,4), 0)</f>
        <v>0</v>
      </c>
      <c r="AQ754" s="228">
        <f t="shared" si="812"/>
        <v>0</v>
      </c>
      <c r="AR754" s="228" cm="1">
        <f t="array" ref="AR754">IF(X754&gt;0, INDEX(Kat, $AN754, 4+AQ754), 0)</f>
        <v>0</v>
      </c>
      <c r="AS754" s="228" cm="1">
        <f t="array" ref="AS754">IF(X754&gt;0, INDEX(Kat, $AN754, 9+AQ754), 0)</f>
        <v>0</v>
      </c>
      <c r="AT754" s="246"/>
      <c r="AU754" s="262"/>
      <c r="AV754" s="262"/>
      <c r="AW754" s="263"/>
      <c r="AX754" s="263"/>
      <c r="AY754" s="263"/>
      <c r="AZ754" s="263"/>
      <c r="BA754" s="263"/>
      <c r="BB754" s="263"/>
      <c r="BC754" s="263"/>
      <c r="BD754" s="263"/>
      <c r="BE754" s="263"/>
      <c r="BF754" s="263"/>
      <c r="BG754" s="263"/>
      <c r="BH754" s="246"/>
      <c r="BI754" s="228" cm="1">
        <f t="array" ref="BI754">INDEX(Use, $AH754, 4)</f>
        <v>7</v>
      </c>
      <c r="BJ754" s="228">
        <f t="shared" si="788"/>
        <v>32</v>
      </c>
      <c r="BK754" s="228">
        <f t="shared" si="814"/>
        <v>13</v>
      </c>
      <c r="BL754" s="228">
        <f t="shared" si="815"/>
        <v>0</v>
      </c>
      <c r="BM754" s="233" cm="1">
        <f t="array" ref="BM754">L754/IF($M754&gt;0, INDEX($AY$22:$BE$76, $M754+20, $AH754), 1)</f>
        <v>0</v>
      </c>
      <c r="BN754" s="229">
        <f t="shared" si="789"/>
        <v>0</v>
      </c>
      <c r="BO754" s="228">
        <v>35</v>
      </c>
      <c r="BP754" s="229">
        <f t="shared" si="790"/>
        <v>48</v>
      </c>
      <c r="BQ754" s="234">
        <f t="shared" si="791"/>
        <v>3.0748170731707316</v>
      </c>
      <c r="BR754" s="234" cm="1">
        <f t="array" ref="BR754">$BM754 * SUMPRODUCT(INDEX($AV$76:$AX$81,,$AI754),INDEX($AY$76:$BE$81,,$AH754), N($AU$76:$AU$81&gt;$AM754)) / BQ754 / 1000</f>
        <v>0</v>
      </c>
      <c r="BS754" s="231">
        <f t="shared" si="816"/>
        <v>30</v>
      </c>
      <c r="BT754" s="229">
        <f t="shared" si="792"/>
        <v>43</v>
      </c>
      <c r="BU754" s="234">
        <f t="shared" si="793"/>
        <v>3.5018750000000001</v>
      </c>
      <c r="BV754" s="234" cm="1">
        <f t="array" ref="BV754">$BM754 * IF($AH754&lt;=2,
SUMPRODUCT(INDEX($AV$71:$AX$75,,$AI754), INDEX($AY$71:$BE$75,,$AH754), 1 / ($BF$71:$BF$75*BU754 + (1-$BF$71:$BF$75)*BQ754), N($AU$71:$AU$75&gt;$AM754)),
SUMPRODUCT(INDEX($AV$66:$AX$75,,$AI754), INDEX($AY$66:$BE$75,,$AH754), 1 / ($BG$66:$BG$75*BU754 + (1-$BG$66:$BG$75)*BQ754), N($AU$66:$AU$75&gt;$AM754))
) / 1000</f>
        <v>0</v>
      </c>
      <c r="BW754" s="231">
        <f t="shared" si="817"/>
        <v>25</v>
      </c>
      <c r="BX754" s="229">
        <f t="shared" si="794"/>
        <v>38</v>
      </c>
      <c r="BY754" s="234">
        <f t="shared" si="795"/>
        <v>4.0666935483870965</v>
      </c>
      <c r="BZ754" s="234" cm="1">
        <f t="array" ref="BZ754">$BM754 * IF($AH754&lt;=2,
SUMPRODUCT(INDEX($AV$66:$AX$70,,$AI754), INDEX($AY$66:$BE$70,,$AH754), 1 / ($BF$66:$BF$70*BY754 + (1-$BF$66:$BF$70)*BU754), N($AU$66:$AU$70&gt;$AM754)),
SUMPRODUCT(INDEX($AV$56:$AX$65,,$AI754), INDEX($AY$56:$BE$65,,$AH754), 1 / ($BG$56:$BG$65*BY754 + (1-$BG$56:$BG$65)*BU754), N($AU$56:$AU$65&gt;$AM754))
) / 1000</f>
        <v>0</v>
      </c>
      <c r="CA754" s="231">
        <f t="shared" si="818"/>
        <v>20</v>
      </c>
      <c r="CB754" s="229">
        <f t="shared" si="796"/>
        <v>33</v>
      </c>
      <c r="CC754" s="234">
        <f t="shared" si="797"/>
        <v>4.8487499999999999</v>
      </c>
      <c r="CD754" s="234" cm="1">
        <f t="array" ref="CD754">$BM754 * IF($AH754&lt;=2,
SUMPRODUCT(INDEX($AV$61:$AX$65,,$AI754), INDEX($AY$61:$BE$65,,$AH754), 1 / ($BF$61:$BF$65*CC754 + (1-$BF$61:$BF$65)*BY754), N($AU$61:$AU$65&gt;$AM754)),
SUMPRODUCT(INDEX($AV$46:$AX$55,,$AI754), INDEX($AY$46:$BE$55,,$AH754), 1 / ($BG$46:$BG$55*CC754 + (1-$BG$46:$BG$55)*BY754), N($AU$46:$AU$55&gt;$AM754))
) / 1000</f>
        <v>0</v>
      </c>
      <c r="CE754" s="234" cm="1">
        <f t="array" ref="CE754">$BM754 * IF($AH754&lt;=2,
SUMPRODUCT(INDEX($AV$22:$AX$60,,$AI754), INDEX($AY$22:$BE$60,,$AH754), 1 / ($BF$22:$BF$60*CC754), N($AU$22:$AU$60&gt;$AM754)),
SUMPRODUCT(INDEX($AV$22:$AX$45,,$AI754), INDEX($AY$22:$BE$45,,$AH754), 1 / ($BG$22:$BG$45*CC754), N($AU$22:$AU$45&gt;$AM754))
) / 1000</f>
        <v>0</v>
      </c>
      <c r="CF754" s="229">
        <f t="shared" si="798"/>
        <v>0</v>
      </c>
      <c r="CG754" s="246"/>
      <c r="CH754" s="229">
        <f t="shared" si="799"/>
        <v>0</v>
      </c>
      <c r="CI754" s="228">
        <v>35</v>
      </c>
      <c r="CJ754" s="229">
        <f t="shared" si="800"/>
        <v>48</v>
      </c>
      <c r="CK754" s="234">
        <f t="shared" si="801"/>
        <v>3.0748170731707316</v>
      </c>
      <c r="CL754" s="234" cm="1">
        <f t="array" ref="CL754">$BM754 * SUMPRODUCT(INDEX($AV$76:$AX$81,,$AI754),INDEX($AY$76:$BE$81,,$AH754), N($AU$76:$AU$81&gt;$AM754)) / CK754 / 1000</f>
        <v>0</v>
      </c>
      <c r="CM754" s="231">
        <f t="shared" si="819"/>
        <v>30</v>
      </c>
      <c r="CN754" s="229">
        <f t="shared" si="802"/>
        <v>43</v>
      </c>
      <c r="CO754" s="234">
        <f t="shared" si="803"/>
        <v>3.5018750000000001</v>
      </c>
      <c r="CP754" s="234" cm="1">
        <f t="array" ref="CP754">$BM754 * IF($AH754&lt;=2,
SUMPRODUCT(INDEX($AV$71:$AX$75,,$AI754), INDEX($AY$71:$BE$75,,$AH754), 1 / ($BF$71:$BF$75*CO754 + (1-$BF$71:$BF$75)*CK754), N($AU$71:$AU$75&gt;$AM754)),
SUMPRODUCT(INDEX($AV$66:$AX$75,,$AI754), INDEX($AY$66:$BE$75,,$AH754), 1 / ($BG$66:$BG$75*CO754 + (1-$BG$66:$BG$75)*CK754), N($AU$66:$AU$75&gt;$AM754))
) / 1000</f>
        <v>0</v>
      </c>
      <c r="CQ754" s="231">
        <f t="shared" si="820"/>
        <v>25</v>
      </c>
      <c r="CR754" s="229">
        <f t="shared" si="804"/>
        <v>38</v>
      </c>
      <c r="CS754" s="234">
        <f t="shared" si="805"/>
        <v>4.0666935483870965</v>
      </c>
      <c r="CT754" s="234" cm="1">
        <f t="array" ref="CT754">$BM754 * IF($AH754&lt;=2,
SUMPRODUCT(INDEX($AV$66:$AX$70,,$AI754), INDEX($AY$66:$BE$70,,$AH754), 1 / ($BF$66:$BF$70*CS754 + (1-$BF$66:$BF$70)*CO754), N($AU$66:$AU$70&gt;$AM754)),
SUMPRODUCT(INDEX($AV$56:$AX$65,,$AI754), INDEX($AY$56:$BE$65,,$AH754), 1 / ($BG$56:$BG$65*CS754 + (1-$BG$56:$BG$65)*CO754), N($AU$56:$AU$65&gt;$AM754))
) / 1000</f>
        <v>0</v>
      </c>
      <c r="CU754" s="231">
        <f t="shared" si="821"/>
        <v>20</v>
      </c>
      <c r="CV754" s="229">
        <f t="shared" si="806"/>
        <v>33</v>
      </c>
      <c r="CW754" s="234">
        <f t="shared" si="807"/>
        <v>4.8487499999999999</v>
      </c>
      <c r="CX754" s="234" cm="1">
        <f t="array" ref="CX754">$BM754 * IF($AH754&lt;=2,
SUMPRODUCT(INDEX($AV$61:$AX$65,,$AI754), INDEX($AY$61:$BE$65,,$AH754), 1 / ($BF$61:$BF$65*CW754 + (1-$BF$61:$BF$65)*CS754), N($AU$61:$AU$65&gt;$AM754)),
SUMPRODUCT(INDEX($AV$46:$AX$55,,$AI754), INDEX($AY$46:$BE$55,,$AH754), 1 / ($BG$46:$BG$55*CW754 + (1-$BG$46:$BG$55)*CS754), N($AU$46:$AU$55&gt;$AM754))
) / 1000</f>
        <v>0</v>
      </c>
      <c r="CY754" s="234" cm="1">
        <f t="array" ref="CY754">$BM754 * IF($AH754&lt;=2,
SUMPRODUCT(INDEX($AV$22:$AX$60,,$AI754), INDEX($AY$22:$BE$60,,$AH754), 1 / ($BF$22:$BF$60*CW754), N($AU$22:$AU$60&gt;$AM754)),
SUMPRODUCT(INDEX($AV$22:$AX$45,,$AI754), INDEX($AY$22:$BE$45,,$AH754), 1 / ($BG$22:$BG$45*CW754), N($AU$22:$AU$45&gt;$AM754))
) / 1000</f>
        <v>0</v>
      </c>
      <c r="CZ754" s="229">
        <f t="shared" si="808"/>
        <v>0</v>
      </c>
      <c r="DA754" s="246"/>
    </row>
    <row r="755" spans="1:105" s="75" customFormat="1" ht="14.25" customHeight="1" x14ac:dyDescent="0.2">
      <c r="A755" s="230" t="b">
        <f t="shared" si="813"/>
        <v>0</v>
      </c>
      <c r="B755" s="253">
        <v>734</v>
      </c>
      <c r="C755" s="266"/>
      <c r="D755" s="266"/>
      <c r="E755" s="254"/>
      <c r="F755" s="255" t="str">
        <f>IF(ISBLANK(E755), "", VLOOKUP(E755, Z!$A$2:$C$4127, 3, FALSE))</f>
        <v/>
      </c>
      <c r="G755" s="256"/>
      <c r="H755" s="256"/>
      <c r="I755" s="256"/>
      <c r="J755" s="257"/>
      <c r="K755" s="258"/>
      <c r="L755" s="267"/>
      <c r="M755" s="268"/>
      <c r="N755" s="259" t="str" cm="1">
        <f t="array" ref="N755">IF($L755&gt;0, INDEX(Clean,1+AK755,$D$1), "")</f>
        <v/>
      </c>
      <c r="O755" s="260"/>
      <c r="P755" s="260"/>
      <c r="Q755" s="261"/>
      <c r="R755" s="264">
        <f t="shared" si="784"/>
        <v>0</v>
      </c>
      <c r="S755" s="259" t="str" cm="1">
        <f t="array" ref="S755">IF($L755&gt;0, INDEX(Clean,1+AL755,$D$1), "")</f>
        <v/>
      </c>
      <c r="T755" s="260"/>
      <c r="U755" s="260"/>
      <c r="V755" s="261"/>
      <c r="W755" s="267"/>
      <c r="X755" s="267"/>
      <c r="Y755" s="257"/>
      <c r="Z755" s="264">
        <f t="shared" si="785"/>
        <v>0</v>
      </c>
      <c r="AA755" s="269"/>
      <c r="AB755" s="266"/>
      <c r="AC755" s="254"/>
      <c r="AD755" s="255" t="str">
        <f>IF(ISBLANK(AC755), "", VLOOKUP(AC755, Z!$A$2:$C$4127, 3, FALSE))</f>
        <v/>
      </c>
      <c r="AE755" s="270"/>
      <c r="AF755" s="265">
        <f t="shared" si="786"/>
        <v>0</v>
      </c>
      <c r="AG755" s="246"/>
      <c r="AH755" s="228">
        <f t="shared" si="809"/>
        <v>1</v>
      </c>
      <c r="AI755" s="228">
        <f t="shared" si="810"/>
        <v>1</v>
      </c>
      <c r="AJ755" s="228">
        <f t="shared" si="811"/>
        <v>0</v>
      </c>
      <c r="AK755" s="228">
        <v>0</v>
      </c>
      <c r="AL755" s="228">
        <v>0</v>
      </c>
      <c r="AM755" s="228">
        <f t="shared" si="787"/>
        <v>-100</v>
      </c>
      <c r="AN755" s="228" cm="1">
        <f t="array" ref="AN755">IF(ISBLANK(G755), 1, IFERROR(MATCH(G755, INDEX(Kat,,1), 0), IFERROR(MATCH(Kat, INDEX(Use,,2), 0), MATCH(Kat, INDEX(Use,,3), 0))))</f>
        <v>1</v>
      </c>
      <c r="AO755" s="246"/>
      <c r="AP755" s="228" cm="1">
        <f t="array" ref="AP755">IF(W755&gt;0, INDEX(Kat, AN755,4), 0)</f>
        <v>0</v>
      </c>
      <c r="AQ755" s="228">
        <f t="shared" si="812"/>
        <v>0</v>
      </c>
      <c r="AR755" s="228" cm="1">
        <f t="array" ref="AR755">IF(X755&gt;0, INDEX(Kat, $AN755, 4+AQ755), 0)</f>
        <v>0</v>
      </c>
      <c r="AS755" s="228" cm="1">
        <f t="array" ref="AS755">IF(X755&gt;0, INDEX(Kat, $AN755, 9+AQ755), 0)</f>
        <v>0</v>
      </c>
      <c r="AT755" s="246"/>
      <c r="AU755" s="262"/>
      <c r="AV755" s="262"/>
      <c r="AW755" s="263"/>
      <c r="AX755" s="263"/>
      <c r="AY755" s="263"/>
      <c r="AZ755" s="263"/>
      <c r="BA755" s="263"/>
      <c r="BB755" s="263"/>
      <c r="BC755" s="263"/>
      <c r="BD755" s="263"/>
      <c r="BE755" s="263"/>
      <c r="BF755" s="263"/>
      <c r="BG755" s="263"/>
      <c r="BH755" s="246"/>
      <c r="BI755" s="228" cm="1">
        <f t="array" ref="BI755">INDEX(Use, $AH755, 4)</f>
        <v>7</v>
      </c>
      <c r="BJ755" s="228">
        <f t="shared" si="788"/>
        <v>32</v>
      </c>
      <c r="BK755" s="228">
        <f t="shared" si="814"/>
        <v>13</v>
      </c>
      <c r="BL755" s="228">
        <f t="shared" si="815"/>
        <v>0</v>
      </c>
      <c r="BM755" s="233" cm="1">
        <f t="array" ref="BM755">L755/IF($M755&gt;0, INDEX($AY$22:$BE$76, $M755+20, $AH755), 1)</f>
        <v>0</v>
      </c>
      <c r="BN755" s="229">
        <f t="shared" si="789"/>
        <v>0</v>
      </c>
      <c r="BO755" s="228">
        <v>35</v>
      </c>
      <c r="BP755" s="229">
        <f t="shared" si="790"/>
        <v>48</v>
      </c>
      <c r="BQ755" s="234">
        <f t="shared" si="791"/>
        <v>3.0748170731707316</v>
      </c>
      <c r="BR755" s="234" cm="1">
        <f t="array" ref="BR755">$BM755 * SUMPRODUCT(INDEX($AV$76:$AX$81,,$AI755),INDEX($AY$76:$BE$81,,$AH755), N($AU$76:$AU$81&gt;$AM755)) / BQ755 / 1000</f>
        <v>0</v>
      </c>
      <c r="BS755" s="231">
        <f t="shared" si="816"/>
        <v>30</v>
      </c>
      <c r="BT755" s="229">
        <f t="shared" si="792"/>
        <v>43</v>
      </c>
      <c r="BU755" s="234">
        <f t="shared" si="793"/>
        <v>3.5018750000000001</v>
      </c>
      <c r="BV755" s="234" cm="1">
        <f t="array" ref="BV755">$BM755 * IF($AH755&lt;=2,
SUMPRODUCT(INDEX($AV$71:$AX$75,,$AI755), INDEX($AY$71:$BE$75,,$AH755), 1 / ($BF$71:$BF$75*BU755 + (1-$BF$71:$BF$75)*BQ755), N($AU$71:$AU$75&gt;$AM755)),
SUMPRODUCT(INDEX($AV$66:$AX$75,,$AI755), INDEX($AY$66:$BE$75,,$AH755), 1 / ($BG$66:$BG$75*BU755 + (1-$BG$66:$BG$75)*BQ755), N($AU$66:$AU$75&gt;$AM755))
) / 1000</f>
        <v>0</v>
      </c>
      <c r="BW755" s="231">
        <f t="shared" si="817"/>
        <v>25</v>
      </c>
      <c r="BX755" s="229">
        <f t="shared" si="794"/>
        <v>38</v>
      </c>
      <c r="BY755" s="234">
        <f t="shared" si="795"/>
        <v>4.0666935483870965</v>
      </c>
      <c r="BZ755" s="234" cm="1">
        <f t="array" ref="BZ755">$BM755 * IF($AH755&lt;=2,
SUMPRODUCT(INDEX($AV$66:$AX$70,,$AI755), INDEX($AY$66:$BE$70,,$AH755), 1 / ($BF$66:$BF$70*BY755 + (1-$BF$66:$BF$70)*BU755), N($AU$66:$AU$70&gt;$AM755)),
SUMPRODUCT(INDEX($AV$56:$AX$65,,$AI755), INDEX($AY$56:$BE$65,,$AH755), 1 / ($BG$56:$BG$65*BY755 + (1-$BG$56:$BG$65)*BU755), N($AU$56:$AU$65&gt;$AM755))
) / 1000</f>
        <v>0</v>
      </c>
      <c r="CA755" s="231">
        <f t="shared" si="818"/>
        <v>20</v>
      </c>
      <c r="CB755" s="229">
        <f t="shared" si="796"/>
        <v>33</v>
      </c>
      <c r="CC755" s="234">
        <f t="shared" si="797"/>
        <v>4.8487499999999999</v>
      </c>
      <c r="CD755" s="234" cm="1">
        <f t="array" ref="CD755">$BM755 * IF($AH755&lt;=2,
SUMPRODUCT(INDEX($AV$61:$AX$65,,$AI755), INDEX($AY$61:$BE$65,,$AH755), 1 / ($BF$61:$BF$65*CC755 + (1-$BF$61:$BF$65)*BY755), N($AU$61:$AU$65&gt;$AM755)),
SUMPRODUCT(INDEX($AV$46:$AX$55,,$AI755), INDEX($AY$46:$BE$55,,$AH755), 1 / ($BG$46:$BG$55*CC755 + (1-$BG$46:$BG$55)*BY755), N($AU$46:$AU$55&gt;$AM755))
) / 1000</f>
        <v>0</v>
      </c>
      <c r="CE755" s="234" cm="1">
        <f t="array" ref="CE755">$BM755 * IF($AH755&lt;=2,
SUMPRODUCT(INDEX($AV$22:$AX$60,,$AI755), INDEX($AY$22:$BE$60,,$AH755), 1 / ($BF$22:$BF$60*CC755), N($AU$22:$AU$60&gt;$AM755)),
SUMPRODUCT(INDEX($AV$22:$AX$45,,$AI755), INDEX($AY$22:$BE$45,,$AH755), 1 / ($BG$22:$BG$45*CC755), N($AU$22:$AU$45&gt;$AM755))
) / 1000</f>
        <v>0</v>
      </c>
      <c r="CF755" s="229">
        <f t="shared" si="798"/>
        <v>0</v>
      </c>
      <c r="CG755" s="246"/>
      <c r="CH755" s="229">
        <f t="shared" si="799"/>
        <v>0</v>
      </c>
      <c r="CI755" s="228">
        <v>35</v>
      </c>
      <c r="CJ755" s="229">
        <f t="shared" si="800"/>
        <v>48</v>
      </c>
      <c r="CK755" s="234">
        <f t="shared" si="801"/>
        <v>3.0748170731707316</v>
      </c>
      <c r="CL755" s="234" cm="1">
        <f t="array" ref="CL755">$BM755 * SUMPRODUCT(INDEX($AV$76:$AX$81,,$AI755),INDEX($AY$76:$BE$81,,$AH755), N($AU$76:$AU$81&gt;$AM755)) / CK755 / 1000</f>
        <v>0</v>
      </c>
      <c r="CM755" s="231">
        <f t="shared" si="819"/>
        <v>30</v>
      </c>
      <c r="CN755" s="229">
        <f t="shared" si="802"/>
        <v>43</v>
      </c>
      <c r="CO755" s="234">
        <f t="shared" si="803"/>
        <v>3.5018750000000001</v>
      </c>
      <c r="CP755" s="234" cm="1">
        <f t="array" ref="CP755">$BM755 * IF($AH755&lt;=2,
SUMPRODUCT(INDEX($AV$71:$AX$75,,$AI755), INDEX($AY$71:$BE$75,,$AH755), 1 / ($BF$71:$BF$75*CO755 + (1-$BF$71:$BF$75)*CK755), N($AU$71:$AU$75&gt;$AM755)),
SUMPRODUCT(INDEX($AV$66:$AX$75,,$AI755), INDEX($AY$66:$BE$75,,$AH755), 1 / ($BG$66:$BG$75*CO755 + (1-$BG$66:$BG$75)*CK755), N($AU$66:$AU$75&gt;$AM755))
) / 1000</f>
        <v>0</v>
      </c>
      <c r="CQ755" s="231">
        <f t="shared" si="820"/>
        <v>25</v>
      </c>
      <c r="CR755" s="229">
        <f t="shared" si="804"/>
        <v>38</v>
      </c>
      <c r="CS755" s="234">
        <f t="shared" si="805"/>
        <v>4.0666935483870965</v>
      </c>
      <c r="CT755" s="234" cm="1">
        <f t="array" ref="CT755">$BM755 * IF($AH755&lt;=2,
SUMPRODUCT(INDEX($AV$66:$AX$70,,$AI755), INDEX($AY$66:$BE$70,,$AH755), 1 / ($BF$66:$BF$70*CS755 + (1-$BF$66:$BF$70)*CO755), N($AU$66:$AU$70&gt;$AM755)),
SUMPRODUCT(INDEX($AV$56:$AX$65,,$AI755), INDEX($AY$56:$BE$65,,$AH755), 1 / ($BG$56:$BG$65*CS755 + (1-$BG$56:$BG$65)*CO755), N($AU$56:$AU$65&gt;$AM755))
) / 1000</f>
        <v>0</v>
      </c>
      <c r="CU755" s="231">
        <f t="shared" si="821"/>
        <v>20</v>
      </c>
      <c r="CV755" s="229">
        <f t="shared" si="806"/>
        <v>33</v>
      </c>
      <c r="CW755" s="234">
        <f t="shared" si="807"/>
        <v>4.8487499999999999</v>
      </c>
      <c r="CX755" s="234" cm="1">
        <f t="array" ref="CX755">$BM755 * IF($AH755&lt;=2,
SUMPRODUCT(INDEX($AV$61:$AX$65,,$AI755), INDEX($AY$61:$BE$65,,$AH755), 1 / ($BF$61:$BF$65*CW755 + (1-$BF$61:$BF$65)*CS755), N($AU$61:$AU$65&gt;$AM755)),
SUMPRODUCT(INDEX($AV$46:$AX$55,,$AI755), INDEX($AY$46:$BE$55,,$AH755), 1 / ($BG$46:$BG$55*CW755 + (1-$BG$46:$BG$55)*CS755), N($AU$46:$AU$55&gt;$AM755))
) / 1000</f>
        <v>0</v>
      </c>
      <c r="CY755" s="234" cm="1">
        <f t="array" ref="CY755">$BM755 * IF($AH755&lt;=2,
SUMPRODUCT(INDEX($AV$22:$AX$60,,$AI755), INDEX($AY$22:$BE$60,,$AH755), 1 / ($BF$22:$BF$60*CW755), N($AU$22:$AU$60&gt;$AM755)),
SUMPRODUCT(INDEX($AV$22:$AX$45,,$AI755), INDEX($AY$22:$BE$45,,$AH755), 1 / ($BG$22:$BG$45*CW755), N($AU$22:$AU$45&gt;$AM755))
) / 1000</f>
        <v>0</v>
      </c>
      <c r="CZ755" s="229">
        <f t="shared" si="808"/>
        <v>0</v>
      </c>
      <c r="DA755" s="246"/>
    </row>
    <row r="756" spans="1:105" s="75" customFormat="1" ht="14.25" customHeight="1" x14ac:dyDescent="0.2">
      <c r="A756" s="230" t="b">
        <f t="shared" si="813"/>
        <v>0</v>
      </c>
      <c r="B756" s="253">
        <v>735</v>
      </c>
      <c r="C756" s="266"/>
      <c r="D756" s="266"/>
      <c r="E756" s="254"/>
      <c r="F756" s="255" t="str">
        <f>IF(ISBLANK(E756), "", VLOOKUP(E756, Z!$A$2:$C$4127, 3, FALSE))</f>
        <v/>
      </c>
      <c r="G756" s="256"/>
      <c r="H756" s="256"/>
      <c r="I756" s="256"/>
      <c r="J756" s="257"/>
      <c r="K756" s="258"/>
      <c r="L756" s="267"/>
      <c r="M756" s="268"/>
      <c r="N756" s="259" t="str" cm="1">
        <f t="array" ref="N756">IF($L756&gt;0, INDEX(Clean,1+AK756,$D$1), "")</f>
        <v/>
      </c>
      <c r="O756" s="260"/>
      <c r="P756" s="260"/>
      <c r="Q756" s="261"/>
      <c r="R756" s="264">
        <f t="shared" si="784"/>
        <v>0</v>
      </c>
      <c r="S756" s="259" t="str" cm="1">
        <f t="array" ref="S756">IF($L756&gt;0, INDEX(Clean,1+AL756,$D$1), "")</f>
        <v/>
      </c>
      <c r="T756" s="260"/>
      <c r="U756" s="260"/>
      <c r="V756" s="261"/>
      <c r="W756" s="267"/>
      <c r="X756" s="267"/>
      <c r="Y756" s="257"/>
      <c r="Z756" s="264">
        <f t="shared" si="785"/>
        <v>0</v>
      </c>
      <c r="AA756" s="269"/>
      <c r="AB756" s="266"/>
      <c r="AC756" s="254"/>
      <c r="AD756" s="255" t="str">
        <f>IF(ISBLANK(AC756), "", VLOOKUP(AC756, Z!$A$2:$C$4127, 3, FALSE))</f>
        <v/>
      </c>
      <c r="AE756" s="270"/>
      <c r="AF756" s="265">
        <f t="shared" si="786"/>
        <v>0</v>
      </c>
      <c r="AG756" s="246"/>
      <c r="AH756" s="228">
        <f t="shared" si="809"/>
        <v>1</v>
      </c>
      <c r="AI756" s="228">
        <f t="shared" si="810"/>
        <v>1</v>
      </c>
      <c r="AJ756" s="228">
        <f t="shared" si="811"/>
        <v>0</v>
      </c>
      <c r="AK756" s="228">
        <v>0</v>
      </c>
      <c r="AL756" s="228">
        <v>0</v>
      </c>
      <c r="AM756" s="228">
        <f t="shared" si="787"/>
        <v>-100</v>
      </c>
      <c r="AN756" s="228" cm="1">
        <f t="array" ref="AN756">IF(ISBLANK(G756), 1, IFERROR(MATCH(G756, INDEX(Kat,,1), 0), IFERROR(MATCH(Kat, INDEX(Use,,2), 0), MATCH(Kat, INDEX(Use,,3), 0))))</f>
        <v>1</v>
      </c>
      <c r="AO756" s="246"/>
      <c r="AP756" s="228" cm="1">
        <f t="array" ref="AP756">IF(W756&gt;0, INDEX(Kat, AN756,4), 0)</f>
        <v>0</v>
      </c>
      <c r="AQ756" s="228">
        <f t="shared" si="812"/>
        <v>0</v>
      </c>
      <c r="AR756" s="228" cm="1">
        <f t="array" ref="AR756">IF(X756&gt;0, INDEX(Kat, $AN756, 4+AQ756), 0)</f>
        <v>0</v>
      </c>
      <c r="AS756" s="228" cm="1">
        <f t="array" ref="AS756">IF(X756&gt;0, INDEX(Kat, $AN756, 9+AQ756), 0)</f>
        <v>0</v>
      </c>
      <c r="AT756" s="246"/>
      <c r="AU756" s="262"/>
      <c r="AV756" s="262"/>
      <c r="AW756" s="263"/>
      <c r="AX756" s="263"/>
      <c r="AY756" s="263"/>
      <c r="AZ756" s="263"/>
      <c r="BA756" s="263"/>
      <c r="BB756" s="263"/>
      <c r="BC756" s="263"/>
      <c r="BD756" s="263"/>
      <c r="BE756" s="263"/>
      <c r="BF756" s="263"/>
      <c r="BG756" s="263"/>
      <c r="BH756" s="246"/>
      <c r="BI756" s="228" cm="1">
        <f t="array" ref="BI756">INDEX(Use, $AH756, 4)</f>
        <v>7</v>
      </c>
      <c r="BJ756" s="228">
        <f t="shared" si="788"/>
        <v>32</v>
      </c>
      <c r="BK756" s="228">
        <f t="shared" si="814"/>
        <v>13</v>
      </c>
      <c r="BL756" s="228">
        <f t="shared" si="815"/>
        <v>0</v>
      </c>
      <c r="BM756" s="233" cm="1">
        <f t="array" ref="BM756">L756/IF($M756&gt;0, INDEX($AY$22:$BE$76, $M756+20, $AH756), 1)</f>
        <v>0</v>
      </c>
      <c r="BN756" s="229">
        <f t="shared" si="789"/>
        <v>0</v>
      </c>
      <c r="BO756" s="228">
        <v>35</v>
      </c>
      <c r="BP756" s="229">
        <f t="shared" si="790"/>
        <v>48</v>
      </c>
      <c r="BQ756" s="234">
        <f t="shared" si="791"/>
        <v>3.0748170731707316</v>
      </c>
      <c r="BR756" s="234" cm="1">
        <f t="array" ref="BR756">$BM756 * SUMPRODUCT(INDEX($AV$76:$AX$81,,$AI756),INDEX($AY$76:$BE$81,,$AH756), N($AU$76:$AU$81&gt;$AM756)) / BQ756 / 1000</f>
        <v>0</v>
      </c>
      <c r="BS756" s="231">
        <f t="shared" si="816"/>
        <v>30</v>
      </c>
      <c r="BT756" s="229">
        <f t="shared" si="792"/>
        <v>43</v>
      </c>
      <c r="BU756" s="234">
        <f t="shared" si="793"/>
        <v>3.5018750000000001</v>
      </c>
      <c r="BV756" s="234" cm="1">
        <f t="array" ref="BV756">$BM756 * IF($AH756&lt;=2,
SUMPRODUCT(INDEX($AV$71:$AX$75,,$AI756), INDEX($AY$71:$BE$75,,$AH756), 1 / ($BF$71:$BF$75*BU756 + (1-$BF$71:$BF$75)*BQ756), N($AU$71:$AU$75&gt;$AM756)),
SUMPRODUCT(INDEX($AV$66:$AX$75,,$AI756), INDEX($AY$66:$BE$75,,$AH756), 1 / ($BG$66:$BG$75*BU756 + (1-$BG$66:$BG$75)*BQ756), N($AU$66:$AU$75&gt;$AM756))
) / 1000</f>
        <v>0</v>
      </c>
      <c r="BW756" s="231">
        <f t="shared" si="817"/>
        <v>25</v>
      </c>
      <c r="BX756" s="229">
        <f t="shared" si="794"/>
        <v>38</v>
      </c>
      <c r="BY756" s="234">
        <f t="shared" si="795"/>
        <v>4.0666935483870965</v>
      </c>
      <c r="BZ756" s="234" cm="1">
        <f t="array" ref="BZ756">$BM756 * IF($AH756&lt;=2,
SUMPRODUCT(INDEX($AV$66:$AX$70,,$AI756), INDEX($AY$66:$BE$70,,$AH756), 1 / ($BF$66:$BF$70*BY756 + (1-$BF$66:$BF$70)*BU756), N($AU$66:$AU$70&gt;$AM756)),
SUMPRODUCT(INDEX($AV$56:$AX$65,,$AI756), INDEX($AY$56:$BE$65,,$AH756), 1 / ($BG$56:$BG$65*BY756 + (1-$BG$56:$BG$65)*BU756), N($AU$56:$AU$65&gt;$AM756))
) / 1000</f>
        <v>0</v>
      </c>
      <c r="CA756" s="231">
        <f t="shared" si="818"/>
        <v>20</v>
      </c>
      <c r="CB756" s="229">
        <f t="shared" si="796"/>
        <v>33</v>
      </c>
      <c r="CC756" s="234">
        <f t="shared" si="797"/>
        <v>4.8487499999999999</v>
      </c>
      <c r="CD756" s="234" cm="1">
        <f t="array" ref="CD756">$BM756 * IF($AH756&lt;=2,
SUMPRODUCT(INDEX($AV$61:$AX$65,,$AI756), INDEX($AY$61:$BE$65,,$AH756), 1 / ($BF$61:$BF$65*CC756 + (1-$BF$61:$BF$65)*BY756), N($AU$61:$AU$65&gt;$AM756)),
SUMPRODUCT(INDEX($AV$46:$AX$55,,$AI756), INDEX($AY$46:$BE$55,,$AH756), 1 / ($BG$46:$BG$55*CC756 + (1-$BG$46:$BG$55)*BY756), N($AU$46:$AU$55&gt;$AM756))
) / 1000</f>
        <v>0</v>
      </c>
      <c r="CE756" s="234" cm="1">
        <f t="array" ref="CE756">$BM756 * IF($AH756&lt;=2,
SUMPRODUCT(INDEX($AV$22:$AX$60,,$AI756), INDEX($AY$22:$BE$60,,$AH756), 1 / ($BF$22:$BF$60*CC756), N($AU$22:$AU$60&gt;$AM756)),
SUMPRODUCT(INDEX($AV$22:$AX$45,,$AI756), INDEX($AY$22:$BE$45,,$AH756), 1 / ($BG$22:$BG$45*CC756), N($AU$22:$AU$45&gt;$AM756))
) / 1000</f>
        <v>0</v>
      </c>
      <c r="CF756" s="229">
        <f t="shared" si="798"/>
        <v>0</v>
      </c>
      <c r="CG756" s="246"/>
      <c r="CH756" s="229">
        <f t="shared" si="799"/>
        <v>0</v>
      </c>
      <c r="CI756" s="228">
        <v>35</v>
      </c>
      <c r="CJ756" s="229">
        <f t="shared" si="800"/>
        <v>48</v>
      </c>
      <c r="CK756" s="234">
        <f t="shared" si="801"/>
        <v>3.0748170731707316</v>
      </c>
      <c r="CL756" s="234" cm="1">
        <f t="array" ref="CL756">$BM756 * SUMPRODUCT(INDEX($AV$76:$AX$81,,$AI756),INDEX($AY$76:$BE$81,,$AH756), N($AU$76:$AU$81&gt;$AM756)) / CK756 / 1000</f>
        <v>0</v>
      </c>
      <c r="CM756" s="231">
        <f t="shared" si="819"/>
        <v>30</v>
      </c>
      <c r="CN756" s="229">
        <f t="shared" si="802"/>
        <v>43</v>
      </c>
      <c r="CO756" s="234">
        <f t="shared" si="803"/>
        <v>3.5018750000000001</v>
      </c>
      <c r="CP756" s="234" cm="1">
        <f t="array" ref="CP756">$BM756 * IF($AH756&lt;=2,
SUMPRODUCT(INDEX($AV$71:$AX$75,,$AI756), INDEX($AY$71:$BE$75,,$AH756), 1 / ($BF$71:$BF$75*CO756 + (1-$BF$71:$BF$75)*CK756), N($AU$71:$AU$75&gt;$AM756)),
SUMPRODUCT(INDEX($AV$66:$AX$75,,$AI756), INDEX($AY$66:$BE$75,,$AH756), 1 / ($BG$66:$BG$75*CO756 + (1-$BG$66:$BG$75)*CK756), N($AU$66:$AU$75&gt;$AM756))
) / 1000</f>
        <v>0</v>
      </c>
      <c r="CQ756" s="231">
        <f t="shared" si="820"/>
        <v>25</v>
      </c>
      <c r="CR756" s="229">
        <f t="shared" si="804"/>
        <v>38</v>
      </c>
      <c r="CS756" s="234">
        <f t="shared" si="805"/>
        <v>4.0666935483870965</v>
      </c>
      <c r="CT756" s="234" cm="1">
        <f t="array" ref="CT756">$BM756 * IF($AH756&lt;=2,
SUMPRODUCT(INDEX($AV$66:$AX$70,,$AI756), INDEX($AY$66:$BE$70,,$AH756), 1 / ($BF$66:$BF$70*CS756 + (1-$BF$66:$BF$70)*CO756), N($AU$66:$AU$70&gt;$AM756)),
SUMPRODUCT(INDEX($AV$56:$AX$65,,$AI756), INDEX($AY$56:$BE$65,,$AH756), 1 / ($BG$56:$BG$65*CS756 + (1-$BG$56:$BG$65)*CO756), N($AU$56:$AU$65&gt;$AM756))
) / 1000</f>
        <v>0</v>
      </c>
      <c r="CU756" s="231">
        <f t="shared" si="821"/>
        <v>20</v>
      </c>
      <c r="CV756" s="229">
        <f t="shared" si="806"/>
        <v>33</v>
      </c>
      <c r="CW756" s="234">
        <f t="shared" si="807"/>
        <v>4.8487499999999999</v>
      </c>
      <c r="CX756" s="234" cm="1">
        <f t="array" ref="CX756">$BM756 * IF($AH756&lt;=2,
SUMPRODUCT(INDEX($AV$61:$AX$65,,$AI756), INDEX($AY$61:$BE$65,,$AH756), 1 / ($BF$61:$BF$65*CW756 + (1-$BF$61:$BF$65)*CS756), N($AU$61:$AU$65&gt;$AM756)),
SUMPRODUCT(INDEX($AV$46:$AX$55,,$AI756), INDEX($AY$46:$BE$55,,$AH756), 1 / ($BG$46:$BG$55*CW756 + (1-$BG$46:$BG$55)*CS756), N($AU$46:$AU$55&gt;$AM756))
) / 1000</f>
        <v>0</v>
      </c>
      <c r="CY756" s="234" cm="1">
        <f t="array" ref="CY756">$BM756 * IF($AH756&lt;=2,
SUMPRODUCT(INDEX($AV$22:$AX$60,,$AI756), INDEX($AY$22:$BE$60,,$AH756), 1 / ($BF$22:$BF$60*CW756), N($AU$22:$AU$60&gt;$AM756)),
SUMPRODUCT(INDEX($AV$22:$AX$45,,$AI756), INDEX($AY$22:$BE$45,,$AH756), 1 / ($BG$22:$BG$45*CW756), N($AU$22:$AU$45&gt;$AM756))
) / 1000</f>
        <v>0</v>
      </c>
      <c r="CZ756" s="229">
        <f t="shared" si="808"/>
        <v>0</v>
      </c>
      <c r="DA756" s="246"/>
    </row>
    <row r="757" spans="1:105" s="75" customFormat="1" ht="14.25" customHeight="1" x14ac:dyDescent="0.2">
      <c r="A757" s="230" t="b">
        <f t="shared" si="813"/>
        <v>0</v>
      </c>
      <c r="B757" s="253">
        <v>736</v>
      </c>
      <c r="C757" s="266"/>
      <c r="D757" s="266"/>
      <c r="E757" s="254"/>
      <c r="F757" s="255" t="str">
        <f>IF(ISBLANK(E757), "", VLOOKUP(E757, Z!$A$2:$C$4127, 3, FALSE))</f>
        <v/>
      </c>
      <c r="G757" s="256"/>
      <c r="H757" s="256"/>
      <c r="I757" s="256"/>
      <c r="J757" s="257"/>
      <c r="K757" s="258"/>
      <c r="L757" s="267"/>
      <c r="M757" s="268"/>
      <c r="N757" s="259" t="str" cm="1">
        <f t="array" ref="N757">IF($L757&gt;0, INDEX(Clean,1+AK757,$D$1), "")</f>
        <v/>
      </c>
      <c r="O757" s="260"/>
      <c r="P757" s="260"/>
      <c r="Q757" s="261"/>
      <c r="R757" s="264">
        <f t="shared" si="784"/>
        <v>0</v>
      </c>
      <c r="S757" s="259" t="str" cm="1">
        <f t="array" ref="S757">IF($L757&gt;0, INDEX(Clean,1+AL757,$D$1), "")</f>
        <v/>
      </c>
      <c r="T757" s="260"/>
      <c r="U757" s="260"/>
      <c r="V757" s="261"/>
      <c r="W757" s="267"/>
      <c r="X757" s="267"/>
      <c r="Y757" s="257"/>
      <c r="Z757" s="264">
        <f t="shared" si="785"/>
        <v>0</v>
      </c>
      <c r="AA757" s="269"/>
      <c r="AB757" s="266"/>
      <c r="AC757" s="254"/>
      <c r="AD757" s="255" t="str">
        <f>IF(ISBLANK(AC757), "", VLOOKUP(AC757, Z!$A$2:$C$4127, 3, FALSE))</f>
        <v/>
      </c>
      <c r="AE757" s="270"/>
      <c r="AF757" s="265">
        <f t="shared" si="786"/>
        <v>0</v>
      </c>
      <c r="AG757" s="246"/>
      <c r="AH757" s="228">
        <f t="shared" si="809"/>
        <v>1</v>
      </c>
      <c r="AI757" s="228">
        <f t="shared" si="810"/>
        <v>1</v>
      </c>
      <c r="AJ757" s="228">
        <f t="shared" si="811"/>
        <v>0</v>
      </c>
      <c r="AK757" s="228">
        <v>0</v>
      </c>
      <c r="AL757" s="228">
        <v>0</v>
      </c>
      <c r="AM757" s="228">
        <f t="shared" si="787"/>
        <v>-100</v>
      </c>
      <c r="AN757" s="228" cm="1">
        <f t="array" ref="AN757">IF(ISBLANK(G757), 1, IFERROR(MATCH(G757, INDEX(Kat,,1), 0), IFERROR(MATCH(Kat, INDEX(Use,,2), 0), MATCH(Kat, INDEX(Use,,3), 0))))</f>
        <v>1</v>
      </c>
      <c r="AO757" s="246"/>
      <c r="AP757" s="228" cm="1">
        <f t="array" ref="AP757">IF(W757&gt;0, INDEX(Kat, AN757,4), 0)</f>
        <v>0</v>
      </c>
      <c r="AQ757" s="228">
        <f t="shared" si="812"/>
        <v>0</v>
      </c>
      <c r="AR757" s="228" cm="1">
        <f t="array" ref="AR757">IF(X757&gt;0, INDEX(Kat, $AN757, 4+AQ757), 0)</f>
        <v>0</v>
      </c>
      <c r="AS757" s="228" cm="1">
        <f t="array" ref="AS757">IF(X757&gt;0, INDEX(Kat, $AN757, 9+AQ757), 0)</f>
        <v>0</v>
      </c>
      <c r="AT757" s="246"/>
      <c r="AU757" s="262"/>
      <c r="AV757" s="262"/>
      <c r="AW757" s="263"/>
      <c r="AX757" s="263"/>
      <c r="AY757" s="263"/>
      <c r="AZ757" s="263"/>
      <c r="BA757" s="263"/>
      <c r="BB757" s="263"/>
      <c r="BC757" s="263"/>
      <c r="BD757" s="263"/>
      <c r="BE757" s="263"/>
      <c r="BF757" s="263"/>
      <c r="BG757" s="263"/>
      <c r="BH757" s="246"/>
      <c r="BI757" s="228" cm="1">
        <f t="array" ref="BI757">INDEX(Use, $AH757, 4)</f>
        <v>7</v>
      </c>
      <c r="BJ757" s="228">
        <f t="shared" si="788"/>
        <v>32</v>
      </c>
      <c r="BK757" s="228">
        <f t="shared" si="814"/>
        <v>13</v>
      </c>
      <c r="BL757" s="228">
        <f t="shared" si="815"/>
        <v>0</v>
      </c>
      <c r="BM757" s="233" cm="1">
        <f t="array" ref="BM757">L757/IF($M757&gt;0, INDEX($AY$22:$BE$76, $M757+20, $AH757), 1)</f>
        <v>0</v>
      </c>
      <c r="BN757" s="229">
        <f t="shared" si="789"/>
        <v>0</v>
      </c>
      <c r="BO757" s="228">
        <v>35</v>
      </c>
      <c r="BP757" s="229">
        <f t="shared" si="790"/>
        <v>48</v>
      </c>
      <c r="BQ757" s="234">
        <f t="shared" si="791"/>
        <v>3.0748170731707316</v>
      </c>
      <c r="BR757" s="234" cm="1">
        <f t="array" ref="BR757">$BM757 * SUMPRODUCT(INDEX($AV$76:$AX$81,,$AI757),INDEX($AY$76:$BE$81,,$AH757), N($AU$76:$AU$81&gt;$AM757)) / BQ757 / 1000</f>
        <v>0</v>
      </c>
      <c r="BS757" s="231">
        <f t="shared" si="816"/>
        <v>30</v>
      </c>
      <c r="BT757" s="229">
        <f t="shared" si="792"/>
        <v>43</v>
      </c>
      <c r="BU757" s="234">
        <f t="shared" si="793"/>
        <v>3.5018750000000001</v>
      </c>
      <c r="BV757" s="234" cm="1">
        <f t="array" ref="BV757">$BM757 * IF($AH757&lt;=2,
SUMPRODUCT(INDEX($AV$71:$AX$75,,$AI757), INDEX($AY$71:$BE$75,,$AH757), 1 / ($BF$71:$BF$75*BU757 + (1-$BF$71:$BF$75)*BQ757), N($AU$71:$AU$75&gt;$AM757)),
SUMPRODUCT(INDEX($AV$66:$AX$75,,$AI757), INDEX($AY$66:$BE$75,,$AH757), 1 / ($BG$66:$BG$75*BU757 + (1-$BG$66:$BG$75)*BQ757), N($AU$66:$AU$75&gt;$AM757))
) / 1000</f>
        <v>0</v>
      </c>
      <c r="BW757" s="231">
        <f t="shared" si="817"/>
        <v>25</v>
      </c>
      <c r="BX757" s="229">
        <f t="shared" si="794"/>
        <v>38</v>
      </c>
      <c r="BY757" s="234">
        <f t="shared" si="795"/>
        <v>4.0666935483870965</v>
      </c>
      <c r="BZ757" s="234" cm="1">
        <f t="array" ref="BZ757">$BM757 * IF($AH757&lt;=2,
SUMPRODUCT(INDEX($AV$66:$AX$70,,$AI757), INDEX($AY$66:$BE$70,,$AH757), 1 / ($BF$66:$BF$70*BY757 + (1-$BF$66:$BF$70)*BU757), N($AU$66:$AU$70&gt;$AM757)),
SUMPRODUCT(INDEX($AV$56:$AX$65,,$AI757), INDEX($AY$56:$BE$65,,$AH757), 1 / ($BG$56:$BG$65*BY757 + (1-$BG$56:$BG$65)*BU757), N($AU$56:$AU$65&gt;$AM757))
) / 1000</f>
        <v>0</v>
      </c>
      <c r="CA757" s="231">
        <f t="shared" si="818"/>
        <v>20</v>
      </c>
      <c r="CB757" s="229">
        <f t="shared" si="796"/>
        <v>33</v>
      </c>
      <c r="CC757" s="234">
        <f t="shared" si="797"/>
        <v>4.8487499999999999</v>
      </c>
      <c r="CD757" s="234" cm="1">
        <f t="array" ref="CD757">$BM757 * IF($AH757&lt;=2,
SUMPRODUCT(INDEX($AV$61:$AX$65,,$AI757), INDEX($AY$61:$BE$65,,$AH757), 1 / ($BF$61:$BF$65*CC757 + (1-$BF$61:$BF$65)*BY757), N($AU$61:$AU$65&gt;$AM757)),
SUMPRODUCT(INDEX($AV$46:$AX$55,,$AI757), INDEX($AY$46:$BE$55,,$AH757), 1 / ($BG$46:$BG$55*CC757 + (1-$BG$46:$BG$55)*BY757), N($AU$46:$AU$55&gt;$AM757))
) / 1000</f>
        <v>0</v>
      </c>
      <c r="CE757" s="234" cm="1">
        <f t="array" ref="CE757">$BM757 * IF($AH757&lt;=2,
SUMPRODUCT(INDEX($AV$22:$AX$60,,$AI757), INDEX($AY$22:$BE$60,,$AH757), 1 / ($BF$22:$BF$60*CC757), N($AU$22:$AU$60&gt;$AM757)),
SUMPRODUCT(INDEX($AV$22:$AX$45,,$AI757), INDEX($AY$22:$BE$45,,$AH757), 1 / ($BG$22:$BG$45*CC757), N($AU$22:$AU$45&gt;$AM757))
) / 1000</f>
        <v>0</v>
      </c>
      <c r="CF757" s="229">
        <f t="shared" si="798"/>
        <v>0</v>
      </c>
      <c r="CG757" s="246"/>
      <c r="CH757" s="229">
        <f t="shared" si="799"/>
        <v>0</v>
      </c>
      <c r="CI757" s="228">
        <v>35</v>
      </c>
      <c r="CJ757" s="229">
        <f t="shared" si="800"/>
        <v>48</v>
      </c>
      <c r="CK757" s="234">
        <f t="shared" si="801"/>
        <v>3.0748170731707316</v>
      </c>
      <c r="CL757" s="234" cm="1">
        <f t="array" ref="CL757">$BM757 * SUMPRODUCT(INDEX($AV$76:$AX$81,,$AI757),INDEX($AY$76:$BE$81,,$AH757), N($AU$76:$AU$81&gt;$AM757)) / CK757 / 1000</f>
        <v>0</v>
      </c>
      <c r="CM757" s="231">
        <f t="shared" si="819"/>
        <v>30</v>
      </c>
      <c r="CN757" s="229">
        <f t="shared" si="802"/>
        <v>43</v>
      </c>
      <c r="CO757" s="234">
        <f t="shared" si="803"/>
        <v>3.5018750000000001</v>
      </c>
      <c r="CP757" s="234" cm="1">
        <f t="array" ref="CP757">$BM757 * IF($AH757&lt;=2,
SUMPRODUCT(INDEX($AV$71:$AX$75,,$AI757), INDEX($AY$71:$BE$75,,$AH757), 1 / ($BF$71:$BF$75*CO757 + (1-$BF$71:$BF$75)*CK757), N($AU$71:$AU$75&gt;$AM757)),
SUMPRODUCT(INDEX($AV$66:$AX$75,,$AI757), INDEX($AY$66:$BE$75,,$AH757), 1 / ($BG$66:$BG$75*CO757 + (1-$BG$66:$BG$75)*CK757), N($AU$66:$AU$75&gt;$AM757))
) / 1000</f>
        <v>0</v>
      </c>
      <c r="CQ757" s="231">
        <f t="shared" si="820"/>
        <v>25</v>
      </c>
      <c r="CR757" s="229">
        <f t="shared" si="804"/>
        <v>38</v>
      </c>
      <c r="CS757" s="234">
        <f t="shared" si="805"/>
        <v>4.0666935483870965</v>
      </c>
      <c r="CT757" s="234" cm="1">
        <f t="array" ref="CT757">$BM757 * IF($AH757&lt;=2,
SUMPRODUCT(INDEX($AV$66:$AX$70,,$AI757), INDEX($AY$66:$BE$70,,$AH757), 1 / ($BF$66:$BF$70*CS757 + (1-$BF$66:$BF$70)*CO757), N($AU$66:$AU$70&gt;$AM757)),
SUMPRODUCT(INDEX($AV$56:$AX$65,,$AI757), INDEX($AY$56:$BE$65,,$AH757), 1 / ($BG$56:$BG$65*CS757 + (1-$BG$56:$BG$65)*CO757), N($AU$56:$AU$65&gt;$AM757))
) / 1000</f>
        <v>0</v>
      </c>
      <c r="CU757" s="231">
        <f t="shared" si="821"/>
        <v>20</v>
      </c>
      <c r="CV757" s="229">
        <f t="shared" si="806"/>
        <v>33</v>
      </c>
      <c r="CW757" s="234">
        <f t="shared" si="807"/>
        <v>4.8487499999999999</v>
      </c>
      <c r="CX757" s="234" cm="1">
        <f t="array" ref="CX757">$BM757 * IF($AH757&lt;=2,
SUMPRODUCT(INDEX($AV$61:$AX$65,,$AI757), INDEX($AY$61:$BE$65,,$AH757), 1 / ($BF$61:$BF$65*CW757 + (1-$BF$61:$BF$65)*CS757), N($AU$61:$AU$65&gt;$AM757)),
SUMPRODUCT(INDEX($AV$46:$AX$55,,$AI757), INDEX($AY$46:$BE$55,,$AH757), 1 / ($BG$46:$BG$55*CW757 + (1-$BG$46:$BG$55)*CS757), N($AU$46:$AU$55&gt;$AM757))
) / 1000</f>
        <v>0</v>
      </c>
      <c r="CY757" s="234" cm="1">
        <f t="array" ref="CY757">$BM757 * IF($AH757&lt;=2,
SUMPRODUCT(INDEX($AV$22:$AX$60,,$AI757), INDEX($AY$22:$BE$60,,$AH757), 1 / ($BF$22:$BF$60*CW757), N($AU$22:$AU$60&gt;$AM757)),
SUMPRODUCT(INDEX($AV$22:$AX$45,,$AI757), INDEX($AY$22:$BE$45,,$AH757), 1 / ($BG$22:$BG$45*CW757), N($AU$22:$AU$45&gt;$AM757))
) / 1000</f>
        <v>0</v>
      </c>
      <c r="CZ757" s="229">
        <f t="shared" si="808"/>
        <v>0</v>
      </c>
      <c r="DA757" s="246"/>
    </row>
    <row r="758" spans="1:105" s="75" customFormat="1" ht="14.25" customHeight="1" x14ac:dyDescent="0.2">
      <c r="A758" s="230" t="b">
        <f t="shared" si="813"/>
        <v>0</v>
      </c>
      <c r="B758" s="253">
        <v>737</v>
      </c>
      <c r="C758" s="266"/>
      <c r="D758" s="266"/>
      <c r="E758" s="254"/>
      <c r="F758" s="255" t="str">
        <f>IF(ISBLANK(E758), "", VLOOKUP(E758, Z!$A$2:$C$4127, 3, FALSE))</f>
        <v/>
      </c>
      <c r="G758" s="256"/>
      <c r="H758" s="256"/>
      <c r="I758" s="256"/>
      <c r="J758" s="257"/>
      <c r="K758" s="258"/>
      <c r="L758" s="267"/>
      <c r="M758" s="268"/>
      <c r="N758" s="259" t="str" cm="1">
        <f t="array" ref="N758">IF($L758&gt;0, INDEX(Clean,1+AK758,$D$1), "")</f>
        <v/>
      </c>
      <c r="O758" s="260"/>
      <c r="P758" s="260"/>
      <c r="Q758" s="261"/>
      <c r="R758" s="264">
        <f t="shared" si="784"/>
        <v>0</v>
      </c>
      <c r="S758" s="259" t="str" cm="1">
        <f t="array" ref="S758">IF($L758&gt;0, INDEX(Clean,1+AL758,$D$1), "")</f>
        <v/>
      </c>
      <c r="T758" s="260"/>
      <c r="U758" s="260"/>
      <c r="V758" s="261"/>
      <c r="W758" s="267"/>
      <c r="X758" s="267"/>
      <c r="Y758" s="257"/>
      <c r="Z758" s="264">
        <f t="shared" si="785"/>
        <v>0</v>
      </c>
      <c r="AA758" s="269"/>
      <c r="AB758" s="266"/>
      <c r="AC758" s="254"/>
      <c r="AD758" s="255" t="str">
        <f>IF(ISBLANK(AC758), "", VLOOKUP(AC758, Z!$A$2:$C$4127, 3, FALSE))</f>
        <v/>
      </c>
      <c r="AE758" s="270"/>
      <c r="AF758" s="265">
        <f t="shared" si="786"/>
        <v>0</v>
      </c>
      <c r="AG758" s="246"/>
      <c r="AH758" s="228">
        <f t="shared" si="809"/>
        <v>1</v>
      </c>
      <c r="AI758" s="228">
        <f t="shared" si="810"/>
        <v>1</v>
      </c>
      <c r="AJ758" s="228">
        <f t="shared" si="811"/>
        <v>0</v>
      </c>
      <c r="AK758" s="228">
        <v>0</v>
      </c>
      <c r="AL758" s="228">
        <v>0</v>
      </c>
      <c r="AM758" s="228">
        <f t="shared" si="787"/>
        <v>-100</v>
      </c>
      <c r="AN758" s="228" cm="1">
        <f t="array" ref="AN758">IF(ISBLANK(G758), 1, IFERROR(MATCH(G758, INDEX(Kat,,1), 0), IFERROR(MATCH(Kat, INDEX(Use,,2), 0), MATCH(Kat, INDEX(Use,,3), 0))))</f>
        <v>1</v>
      </c>
      <c r="AO758" s="246"/>
      <c r="AP758" s="228" cm="1">
        <f t="array" ref="AP758">IF(W758&gt;0, INDEX(Kat, AN758,4), 0)</f>
        <v>0</v>
      </c>
      <c r="AQ758" s="228">
        <f t="shared" si="812"/>
        <v>0</v>
      </c>
      <c r="AR758" s="228" cm="1">
        <f t="array" ref="AR758">IF(X758&gt;0, INDEX(Kat, $AN758, 4+AQ758), 0)</f>
        <v>0</v>
      </c>
      <c r="AS758" s="228" cm="1">
        <f t="array" ref="AS758">IF(X758&gt;0, INDEX(Kat, $AN758, 9+AQ758), 0)</f>
        <v>0</v>
      </c>
      <c r="AT758" s="246"/>
      <c r="AU758" s="262"/>
      <c r="AV758" s="262"/>
      <c r="AW758" s="263"/>
      <c r="AX758" s="263"/>
      <c r="AY758" s="263"/>
      <c r="AZ758" s="263"/>
      <c r="BA758" s="263"/>
      <c r="BB758" s="263"/>
      <c r="BC758" s="263"/>
      <c r="BD758" s="263"/>
      <c r="BE758" s="263"/>
      <c r="BF758" s="263"/>
      <c r="BG758" s="263"/>
      <c r="BH758" s="246"/>
      <c r="BI758" s="228" cm="1">
        <f t="array" ref="BI758">INDEX(Use, $AH758, 4)</f>
        <v>7</v>
      </c>
      <c r="BJ758" s="228">
        <f t="shared" si="788"/>
        <v>32</v>
      </c>
      <c r="BK758" s="228">
        <f t="shared" si="814"/>
        <v>13</v>
      </c>
      <c r="BL758" s="228">
        <f t="shared" si="815"/>
        <v>0</v>
      </c>
      <c r="BM758" s="233" cm="1">
        <f t="array" ref="BM758">L758/IF($M758&gt;0, INDEX($AY$22:$BE$76, $M758+20, $AH758), 1)</f>
        <v>0</v>
      </c>
      <c r="BN758" s="229">
        <f t="shared" si="789"/>
        <v>0</v>
      </c>
      <c r="BO758" s="228">
        <v>35</v>
      </c>
      <c r="BP758" s="229">
        <f t="shared" si="790"/>
        <v>48</v>
      </c>
      <c r="BQ758" s="234">
        <f t="shared" si="791"/>
        <v>3.0748170731707316</v>
      </c>
      <c r="BR758" s="234" cm="1">
        <f t="array" ref="BR758">$BM758 * SUMPRODUCT(INDEX($AV$76:$AX$81,,$AI758),INDEX($AY$76:$BE$81,,$AH758), N($AU$76:$AU$81&gt;$AM758)) / BQ758 / 1000</f>
        <v>0</v>
      </c>
      <c r="BS758" s="231">
        <f t="shared" si="816"/>
        <v>30</v>
      </c>
      <c r="BT758" s="229">
        <f t="shared" si="792"/>
        <v>43</v>
      </c>
      <c r="BU758" s="234">
        <f t="shared" si="793"/>
        <v>3.5018750000000001</v>
      </c>
      <c r="BV758" s="234" cm="1">
        <f t="array" ref="BV758">$BM758 * IF($AH758&lt;=2,
SUMPRODUCT(INDEX($AV$71:$AX$75,,$AI758), INDEX($AY$71:$BE$75,,$AH758), 1 / ($BF$71:$BF$75*BU758 + (1-$BF$71:$BF$75)*BQ758), N($AU$71:$AU$75&gt;$AM758)),
SUMPRODUCT(INDEX($AV$66:$AX$75,,$AI758), INDEX($AY$66:$BE$75,,$AH758), 1 / ($BG$66:$BG$75*BU758 + (1-$BG$66:$BG$75)*BQ758), N($AU$66:$AU$75&gt;$AM758))
) / 1000</f>
        <v>0</v>
      </c>
      <c r="BW758" s="231">
        <f t="shared" si="817"/>
        <v>25</v>
      </c>
      <c r="BX758" s="229">
        <f t="shared" si="794"/>
        <v>38</v>
      </c>
      <c r="BY758" s="234">
        <f t="shared" si="795"/>
        <v>4.0666935483870965</v>
      </c>
      <c r="BZ758" s="234" cm="1">
        <f t="array" ref="BZ758">$BM758 * IF($AH758&lt;=2,
SUMPRODUCT(INDEX($AV$66:$AX$70,,$AI758), INDEX($AY$66:$BE$70,,$AH758), 1 / ($BF$66:$BF$70*BY758 + (1-$BF$66:$BF$70)*BU758), N($AU$66:$AU$70&gt;$AM758)),
SUMPRODUCT(INDEX($AV$56:$AX$65,,$AI758), INDEX($AY$56:$BE$65,,$AH758), 1 / ($BG$56:$BG$65*BY758 + (1-$BG$56:$BG$65)*BU758), N($AU$56:$AU$65&gt;$AM758))
) / 1000</f>
        <v>0</v>
      </c>
      <c r="CA758" s="231">
        <f t="shared" si="818"/>
        <v>20</v>
      </c>
      <c r="CB758" s="229">
        <f t="shared" si="796"/>
        <v>33</v>
      </c>
      <c r="CC758" s="234">
        <f t="shared" si="797"/>
        <v>4.8487499999999999</v>
      </c>
      <c r="CD758" s="234" cm="1">
        <f t="array" ref="CD758">$BM758 * IF($AH758&lt;=2,
SUMPRODUCT(INDEX($AV$61:$AX$65,,$AI758), INDEX($AY$61:$BE$65,,$AH758), 1 / ($BF$61:$BF$65*CC758 + (1-$BF$61:$BF$65)*BY758), N($AU$61:$AU$65&gt;$AM758)),
SUMPRODUCT(INDEX($AV$46:$AX$55,,$AI758), INDEX($AY$46:$BE$55,,$AH758), 1 / ($BG$46:$BG$55*CC758 + (1-$BG$46:$BG$55)*BY758), N($AU$46:$AU$55&gt;$AM758))
) / 1000</f>
        <v>0</v>
      </c>
      <c r="CE758" s="234" cm="1">
        <f t="array" ref="CE758">$BM758 * IF($AH758&lt;=2,
SUMPRODUCT(INDEX($AV$22:$AX$60,,$AI758), INDEX($AY$22:$BE$60,,$AH758), 1 / ($BF$22:$BF$60*CC758), N($AU$22:$AU$60&gt;$AM758)),
SUMPRODUCT(INDEX($AV$22:$AX$45,,$AI758), INDEX($AY$22:$BE$45,,$AH758), 1 / ($BG$22:$BG$45*CC758), N($AU$22:$AU$45&gt;$AM758))
) / 1000</f>
        <v>0</v>
      </c>
      <c r="CF758" s="229">
        <f t="shared" si="798"/>
        <v>0</v>
      </c>
      <c r="CG758" s="246"/>
      <c r="CH758" s="229">
        <f t="shared" si="799"/>
        <v>0</v>
      </c>
      <c r="CI758" s="228">
        <v>35</v>
      </c>
      <c r="CJ758" s="229">
        <f t="shared" si="800"/>
        <v>48</v>
      </c>
      <c r="CK758" s="234">
        <f t="shared" si="801"/>
        <v>3.0748170731707316</v>
      </c>
      <c r="CL758" s="234" cm="1">
        <f t="array" ref="CL758">$BM758 * SUMPRODUCT(INDEX($AV$76:$AX$81,,$AI758),INDEX($AY$76:$BE$81,,$AH758), N($AU$76:$AU$81&gt;$AM758)) / CK758 / 1000</f>
        <v>0</v>
      </c>
      <c r="CM758" s="231">
        <f t="shared" si="819"/>
        <v>30</v>
      </c>
      <c r="CN758" s="229">
        <f t="shared" si="802"/>
        <v>43</v>
      </c>
      <c r="CO758" s="234">
        <f t="shared" si="803"/>
        <v>3.5018750000000001</v>
      </c>
      <c r="CP758" s="234" cm="1">
        <f t="array" ref="CP758">$BM758 * IF($AH758&lt;=2,
SUMPRODUCT(INDEX($AV$71:$AX$75,,$AI758), INDEX($AY$71:$BE$75,,$AH758), 1 / ($BF$71:$BF$75*CO758 + (1-$BF$71:$BF$75)*CK758), N($AU$71:$AU$75&gt;$AM758)),
SUMPRODUCT(INDEX($AV$66:$AX$75,,$AI758), INDEX($AY$66:$BE$75,,$AH758), 1 / ($BG$66:$BG$75*CO758 + (1-$BG$66:$BG$75)*CK758), N($AU$66:$AU$75&gt;$AM758))
) / 1000</f>
        <v>0</v>
      </c>
      <c r="CQ758" s="231">
        <f t="shared" si="820"/>
        <v>25</v>
      </c>
      <c r="CR758" s="229">
        <f t="shared" si="804"/>
        <v>38</v>
      </c>
      <c r="CS758" s="234">
        <f t="shared" si="805"/>
        <v>4.0666935483870965</v>
      </c>
      <c r="CT758" s="234" cm="1">
        <f t="array" ref="CT758">$BM758 * IF($AH758&lt;=2,
SUMPRODUCT(INDEX($AV$66:$AX$70,,$AI758), INDEX($AY$66:$BE$70,,$AH758), 1 / ($BF$66:$BF$70*CS758 + (1-$BF$66:$BF$70)*CO758), N($AU$66:$AU$70&gt;$AM758)),
SUMPRODUCT(INDEX($AV$56:$AX$65,,$AI758), INDEX($AY$56:$BE$65,,$AH758), 1 / ($BG$56:$BG$65*CS758 + (1-$BG$56:$BG$65)*CO758), N($AU$56:$AU$65&gt;$AM758))
) / 1000</f>
        <v>0</v>
      </c>
      <c r="CU758" s="231">
        <f t="shared" si="821"/>
        <v>20</v>
      </c>
      <c r="CV758" s="229">
        <f t="shared" si="806"/>
        <v>33</v>
      </c>
      <c r="CW758" s="234">
        <f t="shared" si="807"/>
        <v>4.8487499999999999</v>
      </c>
      <c r="CX758" s="234" cm="1">
        <f t="array" ref="CX758">$BM758 * IF($AH758&lt;=2,
SUMPRODUCT(INDEX($AV$61:$AX$65,,$AI758), INDEX($AY$61:$BE$65,,$AH758), 1 / ($BF$61:$BF$65*CW758 + (1-$BF$61:$BF$65)*CS758), N($AU$61:$AU$65&gt;$AM758)),
SUMPRODUCT(INDEX($AV$46:$AX$55,,$AI758), INDEX($AY$46:$BE$55,,$AH758), 1 / ($BG$46:$BG$55*CW758 + (1-$BG$46:$BG$55)*CS758), N($AU$46:$AU$55&gt;$AM758))
) / 1000</f>
        <v>0</v>
      </c>
      <c r="CY758" s="234" cm="1">
        <f t="array" ref="CY758">$BM758 * IF($AH758&lt;=2,
SUMPRODUCT(INDEX($AV$22:$AX$60,,$AI758), INDEX($AY$22:$BE$60,,$AH758), 1 / ($BF$22:$BF$60*CW758), N($AU$22:$AU$60&gt;$AM758)),
SUMPRODUCT(INDEX($AV$22:$AX$45,,$AI758), INDEX($AY$22:$BE$45,,$AH758), 1 / ($BG$22:$BG$45*CW758), N($AU$22:$AU$45&gt;$AM758))
) / 1000</f>
        <v>0</v>
      </c>
      <c r="CZ758" s="229">
        <f t="shared" si="808"/>
        <v>0</v>
      </c>
      <c r="DA758" s="246"/>
    </row>
    <row r="759" spans="1:105" s="75" customFormat="1" ht="14.25" customHeight="1" x14ac:dyDescent="0.2">
      <c r="A759" s="230" t="b">
        <f t="shared" si="813"/>
        <v>0</v>
      </c>
      <c r="B759" s="253">
        <v>738</v>
      </c>
      <c r="C759" s="266"/>
      <c r="D759" s="266"/>
      <c r="E759" s="254"/>
      <c r="F759" s="255" t="str">
        <f>IF(ISBLANK(E759), "", VLOOKUP(E759, Z!$A$2:$C$4127, 3, FALSE))</f>
        <v/>
      </c>
      <c r="G759" s="256"/>
      <c r="H759" s="256"/>
      <c r="I759" s="256"/>
      <c r="J759" s="257"/>
      <c r="K759" s="258"/>
      <c r="L759" s="267"/>
      <c r="M759" s="268"/>
      <c r="N759" s="259" t="str" cm="1">
        <f t="array" ref="N759">IF($L759&gt;0, INDEX(Clean,1+AK759,$D$1), "")</f>
        <v/>
      </c>
      <c r="O759" s="260"/>
      <c r="P759" s="260"/>
      <c r="Q759" s="261"/>
      <c r="R759" s="264">
        <f t="shared" si="784"/>
        <v>0</v>
      </c>
      <c r="S759" s="259" t="str" cm="1">
        <f t="array" ref="S759">IF($L759&gt;0, INDEX(Clean,1+AL759,$D$1), "")</f>
        <v/>
      </c>
      <c r="T759" s="260"/>
      <c r="U759" s="260"/>
      <c r="V759" s="261"/>
      <c r="W759" s="267"/>
      <c r="X759" s="267"/>
      <c r="Y759" s="257"/>
      <c r="Z759" s="264">
        <f t="shared" si="785"/>
        <v>0</v>
      </c>
      <c r="AA759" s="269"/>
      <c r="AB759" s="266"/>
      <c r="AC759" s="254"/>
      <c r="AD759" s="255" t="str">
        <f>IF(ISBLANK(AC759), "", VLOOKUP(AC759, Z!$A$2:$C$4127, 3, FALSE))</f>
        <v/>
      </c>
      <c r="AE759" s="270"/>
      <c r="AF759" s="265">
        <f t="shared" si="786"/>
        <v>0</v>
      </c>
      <c r="AG759" s="246"/>
      <c r="AH759" s="228">
        <f t="shared" si="809"/>
        <v>1</v>
      </c>
      <c r="AI759" s="228">
        <f t="shared" si="810"/>
        <v>1</v>
      </c>
      <c r="AJ759" s="228">
        <f t="shared" si="811"/>
        <v>0</v>
      </c>
      <c r="AK759" s="228">
        <v>0</v>
      </c>
      <c r="AL759" s="228">
        <v>0</v>
      </c>
      <c r="AM759" s="228">
        <f t="shared" si="787"/>
        <v>-100</v>
      </c>
      <c r="AN759" s="228" cm="1">
        <f t="array" ref="AN759">IF(ISBLANK(G759), 1, IFERROR(MATCH(G759, INDEX(Kat,,1), 0), IFERROR(MATCH(Kat, INDEX(Use,,2), 0), MATCH(Kat, INDEX(Use,,3), 0))))</f>
        <v>1</v>
      </c>
      <c r="AO759" s="246"/>
      <c r="AP759" s="228" cm="1">
        <f t="array" ref="AP759">IF(W759&gt;0, INDEX(Kat, AN759,4), 0)</f>
        <v>0</v>
      </c>
      <c r="AQ759" s="228">
        <f t="shared" si="812"/>
        <v>0</v>
      </c>
      <c r="AR759" s="228" cm="1">
        <f t="array" ref="AR759">IF(X759&gt;0, INDEX(Kat, $AN759, 4+AQ759), 0)</f>
        <v>0</v>
      </c>
      <c r="AS759" s="228" cm="1">
        <f t="array" ref="AS759">IF(X759&gt;0, INDEX(Kat, $AN759, 9+AQ759), 0)</f>
        <v>0</v>
      </c>
      <c r="AT759" s="246"/>
      <c r="AU759" s="262"/>
      <c r="AV759" s="262"/>
      <c r="AW759" s="263"/>
      <c r="AX759" s="263"/>
      <c r="AY759" s="263"/>
      <c r="AZ759" s="263"/>
      <c r="BA759" s="263"/>
      <c r="BB759" s="263"/>
      <c r="BC759" s="263"/>
      <c r="BD759" s="263"/>
      <c r="BE759" s="263"/>
      <c r="BF759" s="263"/>
      <c r="BG759" s="263"/>
      <c r="BH759" s="246"/>
      <c r="BI759" s="228" cm="1">
        <f t="array" ref="BI759">INDEX(Use, $AH759, 4)</f>
        <v>7</v>
      </c>
      <c r="BJ759" s="228">
        <f t="shared" si="788"/>
        <v>32</v>
      </c>
      <c r="BK759" s="228">
        <f t="shared" si="814"/>
        <v>13</v>
      </c>
      <c r="BL759" s="228">
        <f t="shared" si="815"/>
        <v>0</v>
      </c>
      <c r="BM759" s="233" cm="1">
        <f t="array" ref="BM759">L759/IF($M759&gt;0, INDEX($AY$22:$BE$76, $M759+20, $AH759), 1)</f>
        <v>0</v>
      </c>
      <c r="BN759" s="229">
        <f t="shared" si="789"/>
        <v>0</v>
      </c>
      <c r="BO759" s="228">
        <v>35</v>
      </c>
      <c r="BP759" s="229">
        <f t="shared" si="790"/>
        <v>48</v>
      </c>
      <c r="BQ759" s="234">
        <f t="shared" si="791"/>
        <v>3.0748170731707316</v>
      </c>
      <c r="BR759" s="234" cm="1">
        <f t="array" ref="BR759">$BM759 * SUMPRODUCT(INDEX($AV$76:$AX$81,,$AI759),INDEX($AY$76:$BE$81,,$AH759), N($AU$76:$AU$81&gt;$AM759)) / BQ759 / 1000</f>
        <v>0</v>
      </c>
      <c r="BS759" s="231">
        <f t="shared" si="816"/>
        <v>30</v>
      </c>
      <c r="BT759" s="229">
        <f t="shared" si="792"/>
        <v>43</v>
      </c>
      <c r="BU759" s="234">
        <f t="shared" si="793"/>
        <v>3.5018750000000001</v>
      </c>
      <c r="BV759" s="234" cm="1">
        <f t="array" ref="BV759">$BM759 * IF($AH759&lt;=2,
SUMPRODUCT(INDEX($AV$71:$AX$75,,$AI759), INDEX($AY$71:$BE$75,,$AH759), 1 / ($BF$71:$BF$75*BU759 + (1-$BF$71:$BF$75)*BQ759), N($AU$71:$AU$75&gt;$AM759)),
SUMPRODUCT(INDEX($AV$66:$AX$75,,$AI759), INDEX($AY$66:$BE$75,,$AH759), 1 / ($BG$66:$BG$75*BU759 + (1-$BG$66:$BG$75)*BQ759), N($AU$66:$AU$75&gt;$AM759))
) / 1000</f>
        <v>0</v>
      </c>
      <c r="BW759" s="231">
        <f t="shared" si="817"/>
        <v>25</v>
      </c>
      <c r="BX759" s="229">
        <f t="shared" si="794"/>
        <v>38</v>
      </c>
      <c r="BY759" s="234">
        <f t="shared" si="795"/>
        <v>4.0666935483870965</v>
      </c>
      <c r="BZ759" s="234" cm="1">
        <f t="array" ref="BZ759">$BM759 * IF($AH759&lt;=2,
SUMPRODUCT(INDEX($AV$66:$AX$70,,$AI759), INDEX($AY$66:$BE$70,,$AH759), 1 / ($BF$66:$BF$70*BY759 + (1-$BF$66:$BF$70)*BU759), N($AU$66:$AU$70&gt;$AM759)),
SUMPRODUCT(INDEX($AV$56:$AX$65,,$AI759), INDEX($AY$56:$BE$65,,$AH759), 1 / ($BG$56:$BG$65*BY759 + (1-$BG$56:$BG$65)*BU759), N($AU$56:$AU$65&gt;$AM759))
) / 1000</f>
        <v>0</v>
      </c>
      <c r="CA759" s="231">
        <f t="shared" si="818"/>
        <v>20</v>
      </c>
      <c r="CB759" s="229">
        <f t="shared" si="796"/>
        <v>33</v>
      </c>
      <c r="CC759" s="234">
        <f t="shared" si="797"/>
        <v>4.8487499999999999</v>
      </c>
      <c r="CD759" s="234" cm="1">
        <f t="array" ref="CD759">$BM759 * IF($AH759&lt;=2,
SUMPRODUCT(INDEX($AV$61:$AX$65,,$AI759), INDEX($AY$61:$BE$65,,$AH759), 1 / ($BF$61:$BF$65*CC759 + (1-$BF$61:$BF$65)*BY759), N($AU$61:$AU$65&gt;$AM759)),
SUMPRODUCT(INDEX($AV$46:$AX$55,,$AI759), INDEX($AY$46:$BE$55,,$AH759), 1 / ($BG$46:$BG$55*CC759 + (1-$BG$46:$BG$55)*BY759), N($AU$46:$AU$55&gt;$AM759))
) / 1000</f>
        <v>0</v>
      </c>
      <c r="CE759" s="234" cm="1">
        <f t="array" ref="CE759">$BM759 * IF($AH759&lt;=2,
SUMPRODUCT(INDEX($AV$22:$AX$60,,$AI759), INDEX($AY$22:$BE$60,,$AH759), 1 / ($BF$22:$BF$60*CC759), N($AU$22:$AU$60&gt;$AM759)),
SUMPRODUCT(INDEX($AV$22:$AX$45,,$AI759), INDEX($AY$22:$BE$45,,$AH759), 1 / ($BG$22:$BG$45*CC759), N($AU$22:$AU$45&gt;$AM759))
) / 1000</f>
        <v>0</v>
      </c>
      <c r="CF759" s="229">
        <f t="shared" si="798"/>
        <v>0</v>
      </c>
      <c r="CG759" s="246"/>
      <c r="CH759" s="229">
        <f t="shared" si="799"/>
        <v>0</v>
      </c>
      <c r="CI759" s="228">
        <v>35</v>
      </c>
      <c r="CJ759" s="229">
        <f t="shared" si="800"/>
        <v>48</v>
      </c>
      <c r="CK759" s="234">
        <f t="shared" si="801"/>
        <v>3.0748170731707316</v>
      </c>
      <c r="CL759" s="234" cm="1">
        <f t="array" ref="CL759">$BM759 * SUMPRODUCT(INDEX($AV$76:$AX$81,,$AI759),INDEX($AY$76:$BE$81,,$AH759), N($AU$76:$AU$81&gt;$AM759)) / CK759 / 1000</f>
        <v>0</v>
      </c>
      <c r="CM759" s="231">
        <f t="shared" si="819"/>
        <v>30</v>
      </c>
      <c r="CN759" s="229">
        <f t="shared" si="802"/>
        <v>43</v>
      </c>
      <c r="CO759" s="234">
        <f t="shared" si="803"/>
        <v>3.5018750000000001</v>
      </c>
      <c r="CP759" s="234" cm="1">
        <f t="array" ref="CP759">$BM759 * IF($AH759&lt;=2,
SUMPRODUCT(INDEX($AV$71:$AX$75,,$AI759), INDEX($AY$71:$BE$75,,$AH759), 1 / ($BF$71:$BF$75*CO759 + (1-$BF$71:$BF$75)*CK759), N($AU$71:$AU$75&gt;$AM759)),
SUMPRODUCT(INDEX($AV$66:$AX$75,,$AI759), INDEX($AY$66:$BE$75,,$AH759), 1 / ($BG$66:$BG$75*CO759 + (1-$BG$66:$BG$75)*CK759), N($AU$66:$AU$75&gt;$AM759))
) / 1000</f>
        <v>0</v>
      </c>
      <c r="CQ759" s="231">
        <f t="shared" si="820"/>
        <v>25</v>
      </c>
      <c r="CR759" s="229">
        <f t="shared" si="804"/>
        <v>38</v>
      </c>
      <c r="CS759" s="234">
        <f t="shared" si="805"/>
        <v>4.0666935483870965</v>
      </c>
      <c r="CT759" s="234" cm="1">
        <f t="array" ref="CT759">$BM759 * IF($AH759&lt;=2,
SUMPRODUCT(INDEX($AV$66:$AX$70,,$AI759), INDEX($AY$66:$BE$70,,$AH759), 1 / ($BF$66:$BF$70*CS759 + (1-$BF$66:$BF$70)*CO759), N($AU$66:$AU$70&gt;$AM759)),
SUMPRODUCT(INDEX($AV$56:$AX$65,,$AI759), INDEX($AY$56:$BE$65,,$AH759), 1 / ($BG$56:$BG$65*CS759 + (1-$BG$56:$BG$65)*CO759), N($AU$56:$AU$65&gt;$AM759))
) / 1000</f>
        <v>0</v>
      </c>
      <c r="CU759" s="231">
        <f t="shared" si="821"/>
        <v>20</v>
      </c>
      <c r="CV759" s="229">
        <f t="shared" si="806"/>
        <v>33</v>
      </c>
      <c r="CW759" s="234">
        <f t="shared" si="807"/>
        <v>4.8487499999999999</v>
      </c>
      <c r="CX759" s="234" cm="1">
        <f t="array" ref="CX759">$BM759 * IF($AH759&lt;=2,
SUMPRODUCT(INDEX($AV$61:$AX$65,,$AI759), INDEX($AY$61:$BE$65,,$AH759), 1 / ($BF$61:$BF$65*CW759 + (1-$BF$61:$BF$65)*CS759), N($AU$61:$AU$65&gt;$AM759)),
SUMPRODUCT(INDEX($AV$46:$AX$55,,$AI759), INDEX($AY$46:$BE$55,,$AH759), 1 / ($BG$46:$BG$55*CW759 + (1-$BG$46:$BG$55)*CS759), N($AU$46:$AU$55&gt;$AM759))
) / 1000</f>
        <v>0</v>
      </c>
      <c r="CY759" s="234" cm="1">
        <f t="array" ref="CY759">$BM759 * IF($AH759&lt;=2,
SUMPRODUCT(INDEX($AV$22:$AX$60,,$AI759), INDEX($AY$22:$BE$60,,$AH759), 1 / ($BF$22:$BF$60*CW759), N($AU$22:$AU$60&gt;$AM759)),
SUMPRODUCT(INDEX($AV$22:$AX$45,,$AI759), INDEX($AY$22:$BE$45,,$AH759), 1 / ($BG$22:$BG$45*CW759), N($AU$22:$AU$45&gt;$AM759))
) / 1000</f>
        <v>0</v>
      </c>
      <c r="CZ759" s="229">
        <f t="shared" si="808"/>
        <v>0</v>
      </c>
      <c r="DA759" s="246"/>
    </row>
    <row r="760" spans="1:105" s="75" customFormat="1" ht="14.25" customHeight="1" x14ac:dyDescent="0.2">
      <c r="A760" s="230" t="b">
        <f t="shared" si="813"/>
        <v>0</v>
      </c>
      <c r="B760" s="253">
        <v>739</v>
      </c>
      <c r="C760" s="266"/>
      <c r="D760" s="266"/>
      <c r="E760" s="254"/>
      <c r="F760" s="255" t="str">
        <f>IF(ISBLANK(E760), "", VLOOKUP(E760, Z!$A$2:$C$4127, 3, FALSE))</f>
        <v/>
      </c>
      <c r="G760" s="256"/>
      <c r="H760" s="256"/>
      <c r="I760" s="256"/>
      <c r="J760" s="257"/>
      <c r="K760" s="258"/>
      <c r="L760" s="267"/>
      <c r="M760" s="268"/>
      <c r="N760" s="259" t="str" cm="1">
        <f t="array" ref="N760">IF($L760&gt;0, INDEX(Clean,1+AK760,$D$1), "")</f>
        <v/>
      </c>
      <c r="O760" s="260"/>
      <c r="P760" s="260"/>
      <c r="Q760" s="261"/>
      <c r="R760" s="264">
        <f t="shared" si="784"/>
        <v>0</v>
      </c>
      <c r="S760" s="259" t="str" cm="1">
        <f t="array" ref="S760">IF($L760&gt;0, INDEX(Clean,1+AL760,$D$1), "")</f>
        <v/>
      </c>
      <c r="T760" s="260"/>
      <c r="U760" s="260"/>
      <c r="V760" s="261"/>
      <c r="W760" s="267"/>
      <c r="X760" s="267"/>
      <c r="Y760" s="257"/>
      <c r="Z760" s="264">
        <f t="shared" si="785"/>
        <v>0</v>
      </c>
      <c r="AA760" s="269"/>
      <c r="AB760" s="266"/>
      <c r="AC760" s="254"/>
      <c r="AD760" s="255" t="str">
        <f>IF(ISBLANK(AC760), "", VLOOKUP(AC760, Z!$A$2:$C$4127, 3, FALSE))</f>
        <v/>
      </c>
      <c r="AE760" s="270"/>
      <c r="AF760" s="265">
        <f t="shared" si="786"/>
        <v>0</v>
      </c>
      <c r="AG760" s="246"/>
      <c r="AH760" s="228">
        <f t="shared" si="809"/>
        <v>1</v>
      </c>
      <c r="AI760" s="228">
        <f t="shared" si="810"/>
        <v>1</v>
      </c>
      <c r="AJ760" s="228">
        <f t="shared" si="811"/>
        <v>0</v>
      </c>
      <c r="AK760" s="228">
        <v>0</v>
      </c>
      <c r="AL760" s="228">
        <v>0</v>
      </c>
      <c r="AM760" s="228">
        <f t="shared" si="787"/>
        <v>-100</v>
      </c>
      <c r="AN760" s="228" cm="1">
        <f t="array" ref="AN760">IF(ISBLANK(G760), 1, IFERROR(MATCH(G760, INDEX(Kat,,1), 0), IFERROR(MATCH(Kat, INDEX(Use,,2), 0), MATCH(Kat, INDEX(Use,,3), 0))))</f>
        <v>1</v>
      </c>
      <c r="AO760" s="246"/>
      <c r="AP760" s="228" cm="1">
        <f t="array" ref="AP760">IF(W760&gt;0, INDEX(Kat, AN760,4), 0)</f>
        <v>0</v>
      </c>
      <c r="AQ760" s="228">
        <f t="shared" si="812"/>
        <v>0</v>
      </c>
      <c r="AR760" s="228" cm="1">
        <f t="array" ref="AR760">IF(X760&gt;0, INDEX(Kat, $AN760, 4+AQ760), 0)</f>
        <v>0</v>
      </c>
      <c r="AS760" s="228" cm="1">
        <f t="array" ref="AS760">IF(X760&gt;0, INDEX(Kat, $AN760, 9+AQ760), 0)</f>
        <v>0</v>
      </c>
      <c r="AT760" s="246"/>
      <c r="AU760" s="262"/>
      <c r="AV760" s="262"/>
      <c r="AW760" s="263"/>
      <c r="AX760" s="263"/>
      <c r="AY760" s="263"/>
      <c r="AZ760" s="263"/>
      <c r="BA760" s="263"/>
      <c r="BB760" s="263"/>
      <c r="BC760" s="263"/>
      <c r="BD760" s="263"/>
      <c r="BE760" s="263"/>
      <c r="BF760" s="263"/>
      <c r="BG760" s="263"/>
      <c r="BH760" s="246"/>
      <c r="BI760" s="228" cm="1">
        <f t="array" ref="BI760">INDEX(Use, $AH760, 4)</f>
        <v>7</v>
      </c>
      <c r="BJ760" s="228">
        <f t="shared" si="788"/>
        <v>32</v>
      </c>
      <c r="BK760" s="228">
        <f t="shared" si="814"/>
        <v>13</v>
      </c>
      <c r="BL760" s="228">
        <f t="shared" si="815"/>
        <v>0</v>
      </c>
      <c r="BM760" s="233" cm="1">
        <f t="array" ref="BM760">L760/IF($M760&gt;0, INDEX($AY$22:$BE$76, $M760+20, $AH760), 1)</f>
        <v>0</v>
      </c>
      <c r="BN760" s="229">
        <f t="shared" si="789"/>
        <v>0</v>
      </c>
      <c r="BO760" s="228">
        <v>35</v>
      </c>
      <c r="BP760" s="229">
        <f t="shared" si="790"/>
        <v>48</v>
      </c>
      <c r="BQ760" s="234">
        <f t="shared" si="791"/>
        <v>3.0748170731707316</v>
      </c>
      <c r="BR760" s="234" cm="1">
        <f t="array" ref="BR760">$BM760 * SUMPRODUCT(INDEX($AV$76:$AX$81,,$AI760),INDEX($AY$76:$BE$81,,$AH760), N($AU$76:$AU$81&gt;$AM760)) / BQ760 / 1000</f>
        <v>0</v>
      </c>
      <c r="BS760" s="231">
        <f t="shared" si="816"/>
        <v>30</v>
      </c>
      <c r="BT760" s="229">
        <f t="shared" si="792"/>
        <v>43</v>
      </c>
      <c r="BU760" s="234">
        <f t="shared" si="793"/>
        <v>3.5018750000000001</v>
      </c>
      <c r="BV760" s="234" cm="1">
        <f t="array" ref="BV760">$BM760 * IF($AH760&lt;=2,
SUMPRODUCT(INDEX($AV$71:$AX$75,,$AI760), INDEX($AY$71:$BE$75,,$AH760), 1 / ($BF$71:$BF$75*BU760 + (1-$BF$71:$BF$75)*BQ760), N($AU$71:$AU$75&gt;$AM760)),
SUMPRODUCT(INDEX($AV$66:$AX$75,,$AI760), INDEX($AY$66:$BE$75,,$AH760), 1 / ($BG$66:$BG$75*BU760 + (1-$BG$66:$BG$75)*BQ760), N($AU$66:$AU$75&gt;$AM760))
) / 1000</f>
        <v>0</v>
      </c>
      <c r="BW760" s="231">
        <f t="shared" si="817"/>
        <v>25</v>
      </c>
      <c r="BX760" s="229">
        <f t="shared" si="794"/>
        <v>38</v>
      </c>
      <c r="BY760" s="234">
        <f t="shared" si="795"/>
        <v>4.0666935483870965</v>
      </c>
      <c r="BZ760" s="234" cm="1">
        <f t="array" ref="BZ760">$BM760 * IF($AH760&lt;=2,
SUMPRODUCT(INDEX($AV$66:$AX$70,,$AI760), INDEX($AY$66:$BE$70,,$AH760), 1 / ($BF$66:$BF$70*BY760 + (1-$BF$66:$BF$70)*BU760), N($AU$66:$AU$70&gt;$AM760)),
SUMPRODUCT(INDEX($AV$56:$AX$65,,$AI760), INDEX($AY$56:$BE$65,,$AH760), 1 / ($BG$56:$BG$65*BY760 + (1-$BG$56:$BG$65)*BU760), N($AU$56:$AU$65&gt;$AM760))
) / 1000</f>
        <v>0</v>
      </c>
      <c r="CA760" s="231">
        <f t="shared" si="818"/>
        <v>20</v>
      </c>
      <c r="CB760" s="229">
        <f t="shared" si="796"/>
        <v>33</v>
      </c>
      <c r="CC760" s="234">
        <f t="shared" si="797"/>
        <v>4.8487499999999999</v>
      </c>
      <c r="CD760" s="234" cm="1">
        <f t="array" ref="CD760">$BM760 * IF($AH760&lt;=2,
SUMPRODUCT(INDEX($AV$61:$AX$65,,$AI760), INDEX($AY$61:$BE$65,,$AH760), 1 / ($BF$61:$BF$65*CC760 + (1-$BF$61:$BF$65)*BY760), N($AU$61:$AU$65&gt;$AM760)),
SUMPRODUCT(INDEX($AV$46:$AX$55,,$AI760), INDEX($AY$46:$BE$55,,$AH760), 1 / ($BG$46:$BG$55*CC760 + (1-$BG$46:$BG$55)*BY760), N($AU$46:$AU$55&gt;$AM760))
) / 1000</f>
        <v>0</v>
      </c>
      <c r="CE760" s="234" cm="1">
        <f t="array" ref="CE760">$BM760 * IF($AH760&lt;=2,
SUMPRODUCT(INDEX($AV$22:$AX$60,,$AI760), INDEX($AY$22:$BE$60,,$AH760), 1 / ($BF$22:$BF$60*CC760), N($AU$22:$AU$60&gt;$AM760)),
SUMPRODUCT(INDEX($AV$22:$AX$45,,$AI760), INDEX($AY$22:$BE$45,,$AH760), 1 / ($BG$22:$BG$45*CC760), N($AU$22:$AU$45&gt;$AM760))
) / 1000</f>
        <v>0</v>
      </c>
      <c r="CF760" s="229">
        <f t="shared" si="798"/>
        <v>0</v>
      </c>
      <c r="CG760" s="246"/>
      <c r="CH760" s="229">
        <f t="shared" si="799"/>
        <v>0</v>
      </c>
      <c r="CI760" s="228">
        <v>35</v>
      </c>
      <c r="CJ760" s="229">
        <f t="shared" si="800"/>
        <v>48</v>
      </c>
      <c r="CK760" s="234">
        <f t="shared" si="801"/>
        <v>3.0748170731707316</v>
      </c>
      <c r="CL760" s="234" cm="1">
        <f t="array" ref="CL760">$BM760 * SUMPRODUCT(INDEX($AV$76:$AX$81,,$AI760),INDEX($AY$76:$BE$81,,$AH760), N($AU$76:$AU$81&gt;$AM760)) / CK760 / 1000</f>
        <v>0</v>
      </c>
      <c r="CM760" s="231">
        <f t="shared" si="819"/>
        <v>30</v>
      </c>
      <c r="CN760" s="229">
        <f t="shared" si="802"/>
        <v>43</v>
      </c>
      <c r="CO760" s="234">
        <f t="shared" si="803"/>
        <v>3.5018750000000001</v>
      </c>
      <c r="CP760" s="234" cm="1">
        <f t="array" ref="CP760">$BM760 * IF($AH760&lt;=2,
SUMPRODUCT(INDEX($AV$71:$AX$75,,$AI760), INDEX($AY$71:$BE$75,,$AH760), 1 / ($BF$71:$BF$75*CO760 + (1-$BF$71:$BF$75)*CK760), N($AU$71:$AU$75&gt;$AM760)),
SUMPRODUCT(INDEX($AV$66:$AX$75,,$AI760), INDEX($AY$66:$BE$75,,$AH760), 1 / ($BG$66:$BG$75*CO760 + (1-$BG$66:$BG$75)*CK760), N($AU$66:$AU$75&gt;$AM760))
) / 1000</f>
        <v>0</v>
      </c>
      <c r="CQ760" s="231">
        <f t="shared" si="820"/>
        <v>25</v>
      </c>
      <c r="CR760" s="229">
        <f t="shared" si="804"/>
        <v>38</v>
      </c>
      <c r="CS760" s="234">
        <f t="shared" si="805"/>
        <v>4.0666935483870965</v>
      </c>
      <c r="CT760" s="234" cm="1">
        <f t="array" ref="CT760">$BM760 * IF($AH760&lt;=2,
SUMPRODUCT(INDEX($AV$66:$AX$70,,$AI760), INDEX($AY$66:$BE$70,,$AH760), 1 / ($BF$66:$BF$70*CS760 + (1-$BF$66:$BF$70)*CO760), N($AU$66:$AU$70&gt;$AM760)),
SUMPRODUCT(INDEX($AV$56:$AX$65,,$AI760), INDEX($AY$56:$BE$65,,$AH760), 1 / ($BG$56:$BG$65*CS760 + (1-$BG$56:$BG$65)*CO760), N($AU$56:$AU$65&gt;$AM760))
) / 1000</f>
        <v>0</v>
      </c>
      <c r="CU760" s="231">
        <f t="shared" si="821"/>
        <v>20</v>
      </c>
      <c r="CV760" s="229">
        <f t="shared" si="806"/>
        <v>33</v>
      </c>
      <c r="CW760" s="234">
        <f t="shared" si="807"/>
        <v>4.8487499999999999</v>
      </c>
      <c r="CX760" s="234" cm="1">
        <f t="array" ref="CX760">$BM760 * IF($AH760&lt;=2,
SUMPRODUCT(INDEX($AV$61:$AX$65,,$AI760), INDEX($AY$61:$BE$65,,$AH760), 1 / ($BF$61:$BF$65*CW760 + (1-$BF$61:$BF$65)*CS760), N($AU$61:$AU$65&gt;$AM760)),
SUMPRODUCT(INDEX($AV$46:$AX$55,,$AI760), INDEX($AY$46:$BE$55,,$AH760), 1 / ($BG$46:$BG$55*CW760 + (1-$BG$46:$BG$55)*CS760), N($AU$46:$AU$55&gt;$AM760))
) / 1000</f>
        <v>0</v>
      </c>
      <c r="CY760" s="234" cm="1">
        <f t="array" ref="CY760">$BM760 * IF($AH760&lt;=2,
SUMPRODUCT(INDEX($AV$22:$AX$60,,$AI760), INDEX($AY$22:$BE$60,,$AH760), 1 / ($BF$22:$BF$60*CW760), N($AU$22:$AU$60&gt;$AM760)),
SUMPRODUCT(INDEX($AV$22:$AX$45,,$AI760), INDEX($AY$22:$BE$45,,$AH760), 1 / ($BG$22:$BG$45*CW760), N($AU$22:$AU$45&gt;$AM760))
) / 1000</f>
        <v>0</v>
      </c>
      <c r="CZ760" s="229">
        <f t="shared" si="808"/>
        <v>0</v>
      </c>
      <c r="DA760" s="246"/>
    </row>
    <row r="761" spans="1:105" s="75" customFormat="1" ht="14.25" customHeight="1" x14ac:dyDescent="0.2">
      <c r="A761" s="230" t="b">
        <f t="shared" si="813"/>
        <v>0</v>
      </c>
      <c r="B761" s="253">
        <v>740</v>
      </c>
      <c r="C761" s="266"/>
      <c r="D761" s="266"/>
      <c r="E761" s="254"/>
      <c r="F761" s="255" t="str">
        <f>IF(ISBLANK(E761), "", VLOOKUP(E761, Z!$A$2:$C$4127, 3, FALSE))</f>
        <v/>
      </c>
      <c r="G761" s="256"/>
      <c r="H761" s="256"/>
      <c r="I761" s="256"/>
      <c r="J761" s="257"/>
      <c r="K761" s="258"/>
      <c r="L761" s="267"/>
      <c r="M761" s="268"/>
      <c r="N761" s="259" t="str" cm="1">
        <f t="array" ref="N761">IF($L761&gt;0, INDEX(Clean,1+AK761,$D$1), "")</f>
        <v/>
      </c>
      <c r="O761" s="260"/>
      <c r="P761" s="260"/>
      <c r="Q761" s="261"/>
      <c r="R761" s="264">
        <f t="shared" si="784"/>
        <v>0</v>
      </c>
      <c r="S761" s="259" t="str" cm="1">
        <f t="array" ref="S761">IF($L761&gt;0, INDEX(Clean,1+AL761,$D$1), "")</f>
        <v/>
      </c>
      <c r="T761" s="260"/>
      <c r="U761" s="260"/>
      <c r="V761" s="261"/>
      <c r="W761" s="267"/>
      <c r="X761" s="267"/>
      <c r="Y761" s="257"/>
      <c r="Z761" s="264">
        <f t="shared" si="785"/>
        <v>0</v>
      </c>
      <c r="AA761" s="269"/>
      <c r="AB761" s="266"/>
      <c r="AC761" s="254"/>
      <c r="AD761" s="255" t="str">
        <f>IF(ISBLANK(AC761), "", VLOOKUP(AC761, Z!$A$2:$C$4127, 3, FALSE))</f>
        <v/>
      </c>
      <c r="AE761" s="270"/>
      <c r="AF761" s="265">
        <f t="shared" si="786"/>
        <v>0</v>
      </c>
      <c r="AG761" s="246"/>
      <c r="AH761" s="228">
        <f t="shared" si="809"/>
        <v>1</v>
      </c>
      <c r="AI761" s="228">
        <f t="shared" si="810"/>
        <v>1</v>
      </c>
      <c r="AJ761" s="228">
        <f t="shared" si="811"/>
        <v>0</v>
      </c>
      <c r="AK761" s="228">
        <v>0</v>
      </c>
      <c r="AL761" s="228">
        <v>0</v>
      </c>
      <c r="AM761" s="228">
        <f t="shared" si="787"/>
        <v>-100</v>
      </c>
      <c r="AN761" s="228" cm="1">
        <f t="array" ref="AN761">IF(ISBLANK(G761), 1, IFERROR(MATCH(G761, INDEX(Kat,,1), 0), IFERROR(MATCH(Kat, INDEX(Use,,2), 0), MATCH(Kat, INDEX(Use,,3), 0))))</f>
        <v>1</v>
      </c>
      <c r="AO761" s="246"/>
      <c r="AP761" s="228" cm="1">
        <f t="array" ref="AP761">IF(W761&gt;0, INDEX(Kat, AN761,4), 0)</f>
        <v>0</v>
      </c>
      <c r="AQ761" s="228">
        <f t="shared" si="812"/>
        <v>0</v>
      </c>
      <c r="AR761" s="228" cm="1">
        <f t="array" ref="AR761">IF(X761&gt;0, INDEX(Kat, $AN761, 4+AQ761), 0)</f>
        <v>0</v>
      </c>
      <c r="AS761" s="228" cm="1">
        <f t="array" ref="AS761">IF(X761&gt;0, INDEX(Kat, $AN761, 9+AQ761), 0)</f>
        <v>0</v>
      </c>
      <c r="AT761" s="246"/>
      <c r="AU761" s="262"/>
      <c r="AV761" s="262"/>
      <c r="AW761" s="263"/>
      <c r="AX761" s="263"/>
      <c r="AY761" s="263"/>
      <c r="AZ761" s="263"/>
      <c r="BA761" s="263"/>
      <c r="BB761" s="263"/>
      <c r="BC761" s="263"/>
      <c r="BD761" s="263"/>
      <c r="BE761" s="263"/>
      <c r="BF761" s="263"/>
      <c r="BG761" s="263"/>
      <c r="BH761" s="246"/>
      <c r="BI761" s="228" cm="1">
        <f t="array" ref="BI761">INDEX(Use, $AH761, 4)</f>
        <v>7</v>
      </c>
      <c r="BJ761" s="228">
        <f t="shared" si="788"/>
        <v>32</v>
      </c>
      <c r="BK761" s="228">
        <f t="shared" si="814"/>
        <v>13</v>
      </c>
      <c r="BL761" s="228">
        <f t="shared" si="815"/>
        <v>0</v>
      </c>
      <c r="BM761" s="233" cm="1">
        <f t="array" ref="BM761">L761/IF($M761&gt;0, INDEX($AY$22:$BE$76, $M761+20, $AH761), 1)</f>
        <v>0</v>
      </c>
      <c r="BN761" s="229">
        <f t="shared" si="789"/>
        <v>0</v>
      </c>
      <c r="BO761" s="228">
        <v>35</v>
      </c>
      <c r="BP761" s="229">
        <f t="shared" si="790"/>
        <v>48</v>
      </c>
      <c r="BQ761" s="234">
        <f t="shared" si="791"/>
        <v>3.0748170731707316</v>
      </c>
      <c r="BR761" s="234" cm="1">
        <f t="array" ref="BR761">$BM761 * SUMPRODUCT(INDEX($AV$76:$AX$81,,$AI761),INDEX($AY$76:$BE$81,,$AH761), N($AU$76:$AU$81&gt;$AM761)) / BQ761 / 1000</f>
        <v>0</v>
      </c>
      <c r="BS761" s="231">
        <f t="shared" si="816"/>
        <v>30</v>
      </c>
      <c r="BT761" s="229">
        <f t="shared" si="792"/>
        <v>43</v>
      </c>
      <c r="BU761" s="234">
        <f t="shared" si="793"/>
        <v>3.5018750000000001</v>
      </c>
      <c r="BV761" s="234" cm="1">
        <f t="array" ref="BV761">$BM761 * IF($AH761&lt;=2,
SUMPRODUCT(INDEX($AV$71:$AX$75,,$AI761), INDEX($AY$71:$BE$75,,$AH761), 1 / ($BF$71:$BF$75*BU761 + (1-$BF$71:$BF$75)*BQ761), N($AU$71:$AU$75&gt;$AM761)),
SUMPRODUCT(INDEX($AV$66:$AX$75,,$AI761), INDEX($AY$66:$BE$75,,$AH761), 1 / ($BG$66:$BG$75*BU761 + (1-$BG$66:$BG$75)*BQ761), N($AU$66:$AU$75&gt;$AM761))
) / 1000</f>
        <v>0</v>
      </c>
      <c r="BW761" s="231">
        <f t="shared" si="817"/>
        <v>25</v>
      </c>
      <c r="BX761" s="229">
        <f t="shared" si="794"/>
        <v>38</v>
      </c>
      <c r="BY761" s="234">
        <f t="shared" si="795"/>
        <v>4.0666935483870965</v>
      </c>
      <c r="BZ761" s="234" cm="1">
        <f t="array" ref="BZ761">$BM761 * IF($AH761&lt;=2,
SUMPRODUCT(INDEX($AV$66:$AX$70,,$AI761), INDEX($AY$66:$BE$70,,$AH761), 1 / ($BF$66:$BF$70*BY761 + (1-$BF$66:$BF$70)*BU761), N($AU$66:$AU$70&gt;$AM761)),
SUMPRODUCT(INDEX($AV$56:$AX$65,,$AI761), INDEX($AY$56:$BE$65,,$AH761), 1 / ($BG$56:$BG$65*BY761 + (1-$BG$56:$BG$65)*BU761), N($AU$56:$AU$65&gt;$AM761))
) / 1000</f>
        <v>0</v>
      </c>
      <c r="CA761" s="231">
        <f t="shared" si="818"/>
        <v>20</v>
      </c>
      <c r="CB761" s="229">
        <f t="shared" si="796"/>
        <v>33</v>
      </c>
      <c r="CC761" s="234">
        <f t="shared" si="797"/>
        <v>4.8487499999999999</v>
      </c>
      <c r="CD761" s="234" cm="1">
        <f t="array" ref="CD761">$BM761 * IF($AH761&lt;=2,
SUMPRODUCT(INDEX($AV$61:$AX$65,,$AI761), INDEX($AY$61:$BE$65,,$AH761), 1 / ($BF$61:$BF$65*CC761 + (1-$BF$61:$BF$65)*BY761), N($AU$61:$AU$65&gt;$AM761)),
SUMPRODUCT(INDEX($AV$46:$AX$55,,$AI761), INDEX($AY$46:$BE$55,,$AH761), 1 / ($BG$46:$BG$55*CC761 + (1-$BG$46:$BG$55)*BY761), N($AU$46:$AU$55&gt;$AM761))
) / 1000</f>
        <v>0</v>
      </c>
      <c r="CE761" s="234" cm="1">
        <f t="array" ref="CE761">$BM761 * IF($AH761&lt;=2,
SUMPRODUCT(INDEX($AV$22:$AX$60,,$AI761), INDEX($AY$22:$BE$60,,$AH761), 1 / ($BF$22:$BF$60*CC761), N($AU$22:$AU$60&gt;$AM761)),
SUMPRODUCT(INDEX($AV$22:$AX$45,,$AI761), INDEX($AY$22:$BE$45,,$AH761), 1 / ($BG$22:$BG$45*CC761), N($AU$22:$AU$45&gt;$AM761))
) / 1000</f>
        <v>0</v>
      </c>
      <c r="CF761" s="229">
        <f t="shared" si="798"/>
        <v>0</v>
      </c>
      <c r="CG761" s="246"/>
      <c r="CH761" s="229">
        <f t="shared" si="799"/>
        <v>0</v>
      </c>
      <c r="CI761" s="228">
        <v>35</v>
      </c>
      <c r="CJ761" s="229">
        <f t="shared" si="800"/>
        <v>48</v>
      </c>
      <c r="CK761" s="234">
        <f t="shared" si="801"/>
        <v>3.0748170731707316</v>
      </c>
      <c r="CL761" s="234" cm="1">
        <f t="array" ref="CL761">$BM761 * SUMPRODUCT(INDEX($AV$76:$AX$81,,$AI761),INDEX($AY$76:$BE$81,,$AH761), N($AU$76:$AU$81&gt;$AM761)) / CK761 / 1000</f>
        <v>0</v>
      </c>
      <c r="CM761" s="231">
        <f t="shared" si="819"/>
        <v>30</v>
      </c>
      <c r="CN761" s="229">
        <f t="shared" si="802"/>
        <v>43</v>
      </c>
      <c r="CO761" s="234">
        <f t="shared" si="803"/>
        <v>3.5018750000000001</v>
      </c>
      <c r="CP761" s="234" cm="1">
        <f t="array" ref="CP761">$BM761 * IF($AH761&lt;=2,
SUMPRODUCT(INDEX($AV$71:$AX$75,,$AI761), INDEX($AY$71:$BE$75,,$AH761), 1 / ($BF$71:$BF$75*CO761 + (1-$BF$71:$BF$75)*CK761), N($AU$71:$AU$75&gt;$AM761)),
SUMPRODUCT(INDEX($AV$66:$AX$75,,$AI761), INDEX($AY$66:$BE$75,,$AH761), 1 / ($BG$66:$BG$75*CO761 + (1-$BG$66:$BG$75)*CK761), N($AU$66:$AU$75&gt;$AM761))
) / 1000</f>
        <v>0</v>
      </c>
      <c r="CQ761" s="231">
        <f t="shared" si="820"/>
        <v>25</v>
      </c>
      <c r="CR761" s="229">
        <f t="shared" si="804"/>
        <v>38</v>
      </c>
      <c r="CS761" s="234">
        <f t="shared" si="805"/>
        <v>4.0666935483870965</v>
      </c>
      <c r="CT761" s="234" cm="1">
        <f t="array" ref="CT761">$BM761 * IF($AH761&lt;=2,
SUMPRODUCT(INDEX($AV$66:$AX$70,,$AI761), INDEX($AY$66:$BE$70,,$AH761), 1 / ($BF$66:$BF$70*CS761 + (1-$BF$66:$BF$70)*CO761), N($AU$66:$AU$70&gt;$AM761)),
SUMPRODUCT(INDEX($AV$56:$AX$65,,$AI761), INDEX($AY$56:$BE$65,,$AH761), 1 / ($BG$56:$BG$65*CS761 + (1-$BG$56:$BG$65)*CO761), N($AU$56:$AU$65&gt;$AM761))
) / 1000</f>
        <v>0</v>
      </c>
      <c r="CU761" s="231">
        <f t="shared" si="821"/>
        <v>20</v>
      </c>
      <c r="CV761" s="229">
        <f t="shared" si="806"/>
        <v>33</v>
      </c>
      <c r="CW761" s="234">
        <f t="shared" si="807"/>
        <v>4.8487499999999999</v>
      </c>
      <c r="CX761" s="234" cm="1">
        <f t="array" ref="CX761">$BM761 * IF($AH761&lt;=2,
SUMPRODUCT(INDEX($AV$61:$AX$65,,$AI761), INDEX($AY$61:$BE$65,,$AH761), 1 / ($BF$61:$BF$65*CW761 + (1-$BF$61:$BF$65)*CS761), N($AU$61:$AU$65&gt;$AM761)),
SUMPRODUCT(INDEX($AV$46:$AX$55,,$AI761), INDEX($AY$46:$BE$55,,$AH761), 1 / ($BG$46:$BG$55*CW761 + (1-$BG$46:$BG$55)*CS761), N($AU$46:$AU$55&gt;$AM761))
) / 1000</f>
        <v>0</v>
      </c>
      <c r="CY761" s="234" cm="1">
        <f t="array" ref="CY761">$BM761 * IF($AH761&lt;=2,
SUMPRODUCT(INDEX($AV$22:$AX$60,,$AI761), INDEX($AY$22:$BE$60,,$AH761), 1 / ($BF$22:$BF$60*CW761), N($AU$22:$AU$60&gt;$AM761)),
SUMPRODUCT(INDEX($AV$22:$AX$45,,$AI761), INDEX($AY$22:$BE$45,,$AH761), 1 / ($BG$22:$BG$45*CW761), N($AU$22:$AU$45&gt;$AM761))
) / 1000</f>
        <v>0</v>
      </c>
      <c r="CZ761" s="229">
        <f t="shared" si="808"/>
        <v>0</v>
      </c>
      <c r="DA761" s="246"/>
    </row>
    <row r="762" spans="1:105" s="75" customFormat="1" ht="14.25" customHeight="1" x14ac:dyDescent="0.2">
      <c r="A762" s="230" t="b">
        <f t="shared" si="813"/>
        <v>0</v>
      </c>
      <c r="B762" s="253">
        <v>741</v>
      </c>
      <c r="C762" s="266"/>
      <c r="D762" s="266"/>
      <c r="E762" s="254"/>
      <c r="F762" s="255" t="str">
        <f>IF(ISBLANK(E762), "", VLOOKUP(E762, Z!$A$2:$C$4127, 3, FALSE))</f>
        <v/>
      </c>
      <c r="G762" s="256"/>
      <c r="H762" s="256"/>
      <c r="I762" s="256"/>
      <c r="J762" s="257"/>
      <c r="K762" s="258"/>
      <c r="L762" s="267"/>
      <c r="M762" s="268"/>
      <c r="N762" s="259" t="str" cm="1">
        <f t="array" ref="N762">IF($L762&gt;0, INDEX(Clean,1+AK762,$D$1), "")</f>
        <v/>
      </c>
      <c r="O762" s="260"/>
      <c r="P762" s="260"/>
      <c r="Q762" s="261"/>
      <c r="R762" s="264">
        <f t="shared" ref="R762:R825" si="822">CF762*1000</f>
        <v>0</v>
      </c>
      <c r="S762" s="259" t="str" cm="1">
        <f t="array" ref="S762">IF($L762&gt;0, INDEX(Clean,1+AL762,$D$1), "")</f>
        <v/>
      </c>
      <c r="T762" s="260"/>
      <c r="U762" s="260"/>
      <c r="V762" s="261"/>
      <c r="W762" s="267"/>
      <c r="X762" s="267"/>
      <c r="Y762" s="257"/>
      <c r="Z762" s="264">
        <f t="shared" ref="Z762:Z825" si="823">(CZ762 - IF(W762&gt;0, CZ762*(W762/7)*AP762, 0) - IF(X762&gt;0, CZ762*(X762*AR762*AS762), 0))*1000</f>
        <v>0</v>
      </c>
      <c r="AA762" s="269"/>
      <c r="AB762" s="266"/>
      <c r="AC762" s="254"/>
      <c r="AD762" s="255" t="str">
        <f>IF(ISBLANK(AC762), "", VLOOKUP(AC762, Z!$A$2:$C$4127, 3, FALSE))</f>
        <v/>
      </c>
      <c r="AE762" s="270"/>
      <c r="AF762" s="265">
        <f t="shared" ref="AF762:AF825" si="824">0.75*AO$22*(R762-Z762)</f>
        <v>0</v>
      </c>
      <c r="AG762" s="246"/>
      <c r="AH762" s="228">
        <f t="shared" si="809"/>
        <v>1</v>
      </c>
      <c r="AI762" s="228">
        <f t="shared" si="810"/>
        <v>1</v>
      </c>
      <c r="AJ762" s="228">
        <f t="shared" si="811"/>
        <v>0</v>
      </c>
      <c r="AK762" s="228">
        <v>0</v>
      </c>
      <c r="AL762" s="228">
        <v>0</v>
      </c>
      <c r="AM762" s="228">
        <f t="shared" ref="AM762:AM825" si="825">IF(AND(K762="x", AH762=5), 11, IF(AND(K762="x", AH762=6), 19, -100))</f>
        <v>-100</v>
      </c>
      <c r="AN762" s="228" cm="1">
        <f t="array" ref="AN762">IF(ISBLANK(G762), 1, IFERROR(MATCH(G762, INDEX(Kat,,1), 0), IFERROR(MATCH(Kat, INDEX(Use,,2), 0), MATCH(Kat, INDEX(Use,,3), 0))))</f>
        <v>1</v>
      </c>
      <c r="AO762" s="246"/>
      <c r="AP762" s="228" cm="1">
        <f t="array" ref="AP762">IF(W762&gt;0, INDEX(Kat, AN762,4), 0)</f>
        <v>0</v>
      </c>
      <c r="AQ762" s="228">
        <f t="shared" si="812"/>
        <v>0</v>
      </c>
      <c r="AR762" s="228" cm="1">
        <f t="array" ref="AR762">IF(X762&gt;0, INDEX(Kat, $AN762, 4+AQ762), 0)</f>
        <v>0</v>
      </c>
      <c r="AS762" s="228" cm="1">
        <f t="array" ref="AS762">IF(X762&gt;0, INDEX(Kat, $AN762, 9+AQ762), 0)</f>
        <v>0</v>
      </c>
      <c r="AT762" s="246"/>
      <c r="AU762" s="262"/>
      <c r="AV762" s="262"/>
      <c r="AW762" s="263"/>
      <c r="AX762" s="263"/>
      <c r="AY762" s="263"/>
      <c r="AZ762" s="263"/>
      <c r="BA762" s="263"/>
      <c r="BB762" s="263"/>
      <c r="BC762" s="263"/>
      <c r="BD762" s="263"/>
      <c r="BE762" s="263"/>
      <c r="BF762" s="263"/>
      <c r="BG762" s="263"/>
      <c r="BH762" s="246"/>
      <c r="BI762" s="228" cm="1">
        <f t="array" ref="BI762">INDEX(Use, $AH762, 4)</f>
        <v>7</v>
      </c>
      <c r="BJ762" s="228">
        <f t="shared" ref="BJ762:BJ825" si="826">MAX(25, BI762+25)</f>
        <v>32</v>
      </c>
      <c r="BK762" s="228">
        <f t="shared" si="814"/>
        <v>13</v>
      </c>
      <c r="BL762" s="228">
        <f t="shared" si="815"/>
        <v>0</v>
      </c>
      <c r="BM762" s="233" cm="1">
        <f t="array" ref="BM762">L762/IF($M762&gt;0, INDEX($AY$22:$BE$76, $M762+20, $AH762), 1)</f>
        <v>0</v>
      </c>
      <c r="BN762" s="229">
        <f t="shared" ref="BN762:BN825" si="827">Q762 /  IF(AH762&lt;=2, 0.7 + 0.3 * (P762-20)/(35-20), 0.4 + 0.6 * (P762-5)/(35-5))</f>
        <v>0</v>
      </c>
      <c r="BO762" s="228">
        <v>35</v>
      </c>
      <c r="BP762" s="229">
        <f t="shared" ref="BP762:BP825" si="828">MAX($O762, MAX($BJ762, $BO762 + $BK762 + $BL762 + 0.35*$AK762*$BK762 + BN762))</f>
        <v>48</v>
      </c>
      <c r="BQ762" s="234">
        <f t="shared" ref="BQ762:BQ825" si="829">0.45*($BI762+273.15)/(BP762-$BI762)</f>
        <v>3.0748170731707316</v>
      </c>
      <c r="BR762" s="234" cm="1">
        <f t="array" ref="BR762">$BM762 * SUMPRODUCT(INDEX($AV$76:$AX$81,,$AI762),INDEX($AY$76:$BE$81,,$AH762), N($AU$76:$AU$81&gt;$AM762)) / BQ762 / 1000</f>
        <v>0</v>
      </c>
      <c r="BS762" s="231">
        <f t="shared" si="816"/>
        <v>30</v>
      </c>
      <c r="BT762" s="229">
        <f t="shared" ref="BT762:BT825" si="830">MAX($O762, MAX($BJ762, BS762 + $BK762 + $BL762 + IF($AH762&lt;=2, (BS762-20)/(35-20), 0.6+0.4*(BS762-5)/(35-5))*0.35*$AK762*$BK762) + IF($AH762&lt;=2,0.9,0.8)*$BN762)</f>
        <v>43</v>
      </c>
      <c r="BU762" s="234">
        <f t="shared" ref="BU762:BU825" si="831">0.45*($BI762+273.15)/(BT762-$BI762)</f>
        <v>3.5018750000000001</v>
      </c>
      <c r="BV762" s="234" cm="1">
        <f t="array" ref="BV762">$BM762 * IF($AH762&lt;=2,
SUMPRODUCT(INDEX($AV$71:$AX$75,,$AI762), INDEX($AY$71:$BE$75,,$AH762), 1 / ($BF$71:$BF$75*BU762 + (1-$BF$71:$BF$75)*BQ762), N($AU$71:$AU$75&gt;$AM762)),
SUMPRODUCT(INDEX($AV$66:$AX$75,,$AI762), INDEX($AY$66:$BE$75,,$AH762), 1 / ($BG$66:$BG$75*BU762 + (1-$BG$66:$BG$75)*BQ762), N($AU$66:$AU$75&gt;$AM762))
) / 1000</f>
        <v>0</v>
      </c>
      <c r="BW762" s="231">
        <f t="shared" si="817"/>
        <v>25</v>
      </c>
      <c r="BX762" s="229">
        <f t="shared" ref="BX762:BX825" si="832">MAX($O762, MAX($BJ762, BW762 + $BK762 + $BL762 + IF($AH762&lt;=2, (BW762-20)/(35-20), 0.6+0.4*(BW762-5)/(35-5))*0.35*$AK762*$BK762) + IF($AH762&lt;=2,0.8,0.6)*$BN762)</f>
        <v>38</v>
      </c>
      <c r="BY762" s="234">
        <f t="shared" ref="BY762:BY825" si="833">0.45*($BI762+273.15)/(BX762-$BI762)</f>
        <v>4.0666935483870965</v>
      </c>
      <c r="BZ762" s="234" cm="1">
        <f t="array" ref="BZ762">$BM762 * IF($AH762&lt;=2,
SUMPRODUCT(INDEX($AV$66:$AX$70,,$AI762), INDEX($AY$66:$BE$70,,$AH762), 1 / ($BF$66:$BF$70*BY762 + (1-$BF$66:$BF$70)*BU762), N($AU$66:$AU$70&gt;$AM762)),
SUMPRODUCT(INDEX($AV$56:$AX$65,,$AI762), INDEX($AY$56:$BE$65,,$AH762), 1 / ($BG$56:$BG$65*BY762 + (1-$BG$56:$BG$65)*BU762), N($AU$56:$AU$65&gt;$AM762))
) / 1000</f>
        <v>0</v>
      </c>
      <c r="CA762" s="231">
        <f t="shared" si="818"/>
        <v>20</v>
      </c>
      <c r="CB762" s="229">
        <f t="shared" ref="CB762:CB825" si="834">MAX($O762, MAX($BJ762, CA762 + $BK762 + $BL762 + IF($AH762&lt;=2, (CA762-20)/(35-20), 0.6+0.4*(CA762-5)/(35-5))*0.35*$AK762*$BK762) + IF($AH762&lt;=2,0.7,0.4)*$BN762)</f>
        <v>33</v>
      </c>
      <c r="CC762" s="234">
        <f t="shared" ref="CC762:CC825" si="835">0.45*($BI762+273.15)/(CB762-$BI762)</f>
        <v>4.8487499999999999</v>
      </c>
      <c r="CD762" s="234" cm="1">
        <f t="array" ref="CD762">$BM762 * IF($AH762&lt;=2,
SUMPRODUCT(INDEX($AV$61:$AX$65,,$AI762), INDEX($AY$61:$BE$65,,$AH762), 1 / ($BF$61:$BF$65*CC762 + (1-$BF$61:$BF$65)*BY762), N($AU$61:$AU$65&gt;$AM762)),
SUMPRODUCT(INDEX($AV$46:$AX$55,,$AI762), INDEX($AY$46:$BE$55,,$AH762), 1 / ($BG$46:$BG$55*CC762 + (1-$BG$46:$BG$55)*BY762), N($AU$46:$AU$55&gt;$AM762))
) / 1000</f>
        <v>0</v>
      </c>
      <c r="CE762" s="234" cm="1">
        <f t="array" ref="CE762">$BM762 * IF($AH762&lt;=2,
SUMPRODUCT(INDEX($AV$22:$AX$60,,$AI762), INDEX($AY$22:$BE$60,,$AH762), 1 / ($BF$22:$BF$60*CC762), N($AU$22:$AU$60&gt;$AM762)),
SUMPRODUCT(INDEX($AV$22:$AX$45,,$AI762), INDEX($AY$22:$BE$45,,$AH762), 1 / ($BG$22:$BG$45*CC762), N($AU$22:$AU$45&gt;$AM762))
) / 1000</f>
        <v>0</v>
      </c>
      <c r="CF762" s="229">
        <f t="shared" ref="CF762:CF825" si="836">BR762+BV762+BZ762+CD762+CE762</f>
        <v>0</v>
      </c>
      <c r="CG762" s="246"/>
      <c r="CH762" s="229">
        <f t="shared" ref="CH762:CH825" si="837">V762 /  IF(AH762&lt;=2, 0.7 + 0.3 * (U762-20)/(35-20), 0.4 + 0.6 * (U762-5)/(35-5))</f>
        <v>0</v>
      </c>
      <c r="CI762" s="228">
        <v>35</v>
      </c>
      <c r="CJ762" s="229">
        <f t="shared" ref="CJ762:CJ825" si="838">MAX($T762, MAX($BJ762, $BO762 + $BK762 + $BL762 + 0.35*$AL762*$BK762 + CH762))</f>
        <v>48</v>
      </c>
      <c r="CK762" s="234">
        <f t="shared" ref="CK762:CK825" si="839">0.45*($BI762+273.15)/(CJ762-$BI762)</f>
        <v>3.0748170731707316</v>
      </c>
      <c r="CL762" s="234" cm="1">
        <f t="array" ref="CL762">$BM762 * SUMPRODUCT(INDEX($AV$76:$AX$81,,$AI762),INDEX($AY$76:$BE$81,,$AH762), N($AU$76:$AU$81&gt;$AM762)) / CK762 / 1000</f>
        <v>0</v>
      </c>
      <c r="CM762" s="231">
        <f t="shared" si="819"/>
        <v>30</v>
      </c>
      <c r="CN762" s="229">
        <f t="shared" ref="CN762:CN825" si="840">MAX($T762, MAX($BJ762, CM762 + $BK762 + $BL762 + IF($AH762&lt;=2, (CM762-20)/(35-20), 0.6+0.4*(CM762-5)/(35-5))*0.35*$AL762*$BK762) + IF($AH762&lt;=2,0.9,0.8)*$CH762)</f>
        <v>43</v>
      </c>
      <c r="CO762" s="234">
        <f t="shared" ref="CO762:CO825" si="841">0.45*($BI762+273.15)/(CN762-$BI762)</f>
        <v>3.5018750000000001</v>
      </c>
      <c r="CP762" s="234" cm="1">
        <f t="array" ref="CP762">$BM762 * IF($AH762&lt;=2,
SUMPRODUCT(INDEX($AV$71:$AX$75,,$AI762), INDEX($AY$71:$BE$75,,$AH762), 1 / ($BF$71:$BF$75*CO762 + (1-$BF$71:$BF$75)*CK762), N($AU$71:$AU$75&gt;$AM762)),
SUMPRODUCT(INDEX($AV$66:$AX$75,,$AI762), INDEX($AY$66:$BE$75,,$AH762), 1 / ($BG$66:$BG$75*CO762 + (1-$BG$66:$BG$75)*CK762), N($AU$66:$AU$75&gt;$AM762))
) / 1000</f>
        <v>0</v>
      </c>
      <c r="CQ762" s="231">
        <f t="shared" si="820"/>
        <v>25</v>
      </c>
      <c r="CR762" s="229">
        <f t="shared" ref="CR762:CR825" si="842">MAX($T762, MAX($BJ762, CQ762 + $BK762 + $BL762 + IF($AH762&lt;=2, (CQ762-20)/(35-20), 0.6+0.4*(CQ762-5)/(35-5))*0.35*$AL762*$BK762) + IF($AH762&lt;=2,0.8,0.6)*$CH762)</f>
        <v>38</v>
      </c>
      <c r="CS762" s="234">
        <f t="shared" ref="CS762:CS825" si="843">0.45*($BI762+273.15)/(CR762-$BI762)</f>
        <v>4.0666935483870965</v>
      </c>
      <c r="CT762" s="234" cm="1">
        <f t="array" ref="CT762">$BM762 * IF($AH762&lt;=2,
SUMPRODUCT(INDEX($AV$66:$AX$70,,$AI762), INDEX($AY$66:$BE$70,,$AH762), 1 / ($BF$66:$BF$70*CS762 + (1-$BF$66:$BF$70)*CO762), N($AU$66:$AU$70&gt;$AM762)),
SUMPRODUCT(INDEX($AV$56:$AX$65,,$AI762), INDEX($AY$56:$BE$65,,$AH762), 1 / ($BG$56:$BG$65*CS762 + (1-$BG$56:$BG$65)*CO762), N($AU$56:$AU$65&gt;$AM762))
) / 1000</f>
        <v>0</v>
      </c>
      <c r="CU762" s="231">
        <f t="shared" si="821"/>
        <v>20</v>
      </c>
      <c r="CV762" s="229">
        <f t="shared" ref="CV762:CV825" si="844">MAX($T762, MAX($BJ762, CU762 + $BK762 + $BL762 + IF($AH762&lt;=2, (CU762-20)/(35-20), 0.6+0.4*(CU762-5)/(35-5))*0.35*$AL762*$BK762) + IF($AH762&lt;=2,0.7,0.4)*$CH762)</f>
        <v>33</v>
      </c>
      <c r="CW762" s="234">
        <f t="shared" ref="CW762:CW825" si="845">0.45*($BI762+273.15)/(CV762-$BI762)</f>
        <v>4.8487499999999999</v>
      </c>
      <c r="CX762" s="234" cm="1">
        <f t="array" ref="CX762">$BM762 * IF($AH762&lt;=2,
SUMPRODUCT(INDEX($AV$61:$AX$65,,$AI762), INDEX($AY$61:$BE$65,,$AH762), 1 / ($BF$61:$BF$65*CW762 + (1-$BF$61:$BF$65)*CS762), N($AU$61:$AU$65&gt;$AM762)),
SUMPRODUCT(INDEX($AV$46:$AX$55,,$AI762), INDEX($AY$46:$BE$55,,$AH762), 1 / ($BG$46:$BG$55*CW762 + (1-$BG$46:$BG$55)*CS762), N($AU$46:$AU$55&gt;$AM762))
) / 1000</f>
        <v>0</v>
      </c>
      <c r="CY762" s="234" cm="1">
        <f t="array" ref="CY762">$BM762 * IF($AH762&lt;=2,
SUMPRODUCT(INDEX($AV$22:$AX$60,,$AI762), INDEX($AY$22:$BE$60,,$AH762), 1 / ($BF$22:$BF$60*CW762), N($AU$22:$AU$60&gt;$AM762)),
SUMPRODUCT(INDEX($AV$22:$AX$45,,$AI762), INDEX($AY$22:$BE$45,,$AH762), 1 / ($BG$22:$BG$45*CW762), N($AU$22:$AU$45&gt;$AM762))
) / 1000</f>
        <v>0</v>
      </c>
      <c r="CZ762" s="229">
        <f t="shared" ref="CZ762:CZ825" si="846">CL762+CP762+CT762+CX762+CY762</f>
        <v>0</v>
      </c>
      <c r="DA762" s="246"/>
    </row>
    <row r="763" spans="1:105" s="75" customFormat="1" ht="14.25" customHeight="1" x14ac:dyDescent="0.2">
      <c r="A763" s="230" t="b">
        <f t="shared" si="813"/>
        <v>0</v>
      </c>
      <c r="B763" s="253">
        <v>742</v>
      </c>
      <c r="C763" s="266"/>
      <c r="D763" s="266"/>
      <c r="E763" s="254"/>
      <c r="F763" s="255" t="str">
        <f>IF(ISBLANK(E763), "", VLOOKUP(E763, Z!$A$2:$C$4127, 3, FALSE))</f>
        <v/>
      </c>
      <c r="G763" s="256"/>
      <c r="H763" s="256"/>
      <c r="I763" s="256"/>
      <c r="J763" s="257"/>
      <c r="K763" s="258"/>
      <c r="L763" s="267"/>
      <c r="M763" s="268"/>
      <c r="N763" s="259" t="str" cm="1">
        <f t="array" ref="N763">IF($L763&gt;0, INDEX(Clean,1+AK763,$D$1), "")</f>
        <v/>
      </c>
      <c r="O763" s="260"/>
      <c r="P763" s="260"/>
      <c r="Q763" s="261"/>
      <c r="R763" s="264">
        <f t="shared" si="822"/>
        <v>0</v>
      </c>
      <c r="S763" s="259" t="str" cm="1">
        <f t="array" ref="S763">IF($L763&gt;0, INDEX(Clean,1+AL763,$D$1), "")</f>
        <v/>
      </c>
      <c r="T763" s="260"/>
      <c r="U763" s="260"/>
      <c r="V763" s="261"/>
      <c r="W763" s="267"/>
      <c r="X763" s="267"/>
      <c r="Y763" s="257"/>
      <c r="Z763" s="264">
        <f t="shared" si="823"/>
        <v>0</v>
      </c>
      <c r="AA763" s="269"/>
      <c r="AB763" s="266"/>
      <c r="AC763" s="254"/>
      <c r="AD763" s="255" t="str">
        <f>IF(ISBLANK(AC763), "", VLOOKUP(AC763, Z!$A$2:$C$4127, 3, FALSE))</f>
        <v/>
      </c>
      <c r="AE763" s="270"/>
      <c r="AF763" s="265">
        <f t="shared" si="824"/>
        <v>0</v>
      </c>
      <c r="AG763" s="246"/>
      <c r="AH763" s="228">
        <f t="shared" ref="AH763:AH826" si="847">IF(ISBLANK(I763), 1, IFERROR(MATCH(I763, INDEX(Use,,1), 0), IFERROR(MATCH(I763, INDEX(Use,,2), 0), MATCH(I763, INDEX(Use,,3), 0))))</f>
        <v>1</v>
      </c>
      <c r="AI763" s="228">
        <f t="shared" ref="AI763:AI826" si="848">IF(ISBLANK(H763), 1, IFERROR(MATCH(H763, INDEX(Loc,,1), 0), IFERROR(MATCH(H763, INDEX(Loc,,2), 0), MATCH(H763, INDEX(Loc,,3), 0))))</f>
        <v>1</v>
      </c>
      <c r="AJ763" s="228">
        <f t="shared" ref="AJ763:AJ826" si="849">_xlfn.IFNA(IF(IFERROR(MATCH(J763, INDEX(Medium,,1), 0), IFERROR(MATCH(J763, INDEX(Medium,,2), 0), MATCH(J763, INDEX(Medium,,3), 0))) = 2, 1, 0), 0)</f>
        <v>0</v>
      </c>
      <c r="AK763" s="228">
        <v>0</v>
      </c>
      <c r="AL763" s="228">
        <v>0</v>
      </c>
      <c r="AM763" s="228">
        <f t="shared" si="825"/>
        <v>-100</v>
      </c>
      <c r="AN763" s="228" cm="1">
        <f t="array" ref="AN763">IF(ISBLANK(G763), 1, IFERROR(MATCH(G763, INDEX(Kat,,1), 0), IFERROR(MATCH(Kat, INDEX(Use,,2), 0), MATCH(Kat, INDEX(Use,,3), 0))))</f>
        <v>1</v>
      </c>
      <c r="AO763" s="246"/>
      <c r="AP763" s="228" cm="1">
        <f t="array" ref="AP763">IF(W763&gt;0, INDEX(Kat, AN763,4), 0)</f>
        <v>0</v>
      </c>
      <c r="AQ763" s="228">
        <f t="shared" ref="AQ763:AQ826" si="850">IF(ISBLANK(Y763), 0, IFERROR(MATCH(Y763, INDEX(Month,,1), 0), IFERROR(MATCH(Y763, INDEX(Month,,2), 0), MATCH(Y763, INDEX(Month,,3), 0))))</f>
        <v>0</v>
      </c>
      <c r="AR763" s="228" cm="1">
        <f t="array" ref="AR763">IF(X763&gt;0, INDEX(Kat, $AN763, 4+AQ763), 0)</f>
        <v>0</v>
      </c>
      <c r="AS763" s="228" cm="1">
        <f t="array" ref="AS763">IF(X763&gt;0, INDEX(Kat, $AN763, 9+AQ763), 0)</f>
        <v>0</v>
      </c>
      <c r="AT763" s="246"/>
      <c r="AU763" s="262"/>
      <c r="AV763" s="262"/>
      <c r="AW763" s="263"/>
      <c r="AX763" s="263"/>
      <c r="AY763" s="263"/>
      <c r="AZ763" s="263"/>
      <c r="BA763" s="263"/>
      <c r="BB763" s="263"/>
      <c r="BC763" s="263"/>
      <c r="BD763" s="263"/>
      <c r="BE763" s="263"/>
      <c r="BF763" s="263"/>
      <c r="BG763" s="263"/>
      <c r="BH763" s="246"/>
      <c r="BI763" s="228" cm="1">
        <f t="array" ref="BI763">INDEX(Use, $AH763, 4)</f>
        <v>7</v>
      </c>
      <c r="BJ763" s="228">
        <f t="shared" si="826"/>
        <v>32</v>
      </c>
      <c r="BK763" s="228">
        <f t="shared" si="814"/>
        <v>13</v>
      </c>
      <c r="BL763" s="228">
        <f t="shared" si="815"/>
        <v>0</v>
      </c>
      <c r="BM763" s="233" cm="1">
        <f t="array" ref="BM763">L763/IF($M763&gt;0, INDEX($AY$22:$BE$76, $M763+20, $AH763), 1)</f>
        <v>0</v>
      </c>
      <c r="BN763" s="229">
        <f t="shared" si="827"/>
        <v>0</v>
      </c>
      <c r="BO763" s="228">
        <v>35</v>
      </c>
      <c r="BP763" s="229">
        <f t="shared" si="828"/>
        <v>48</v>
      </c>
      <c r="BQ763" s="234">
        <f t="shared" si="829"/>
        <v>3.0748170731707316</v>
      </c>
      <c r="BR763" s="234" cm="1">
        <f t="array" ref="BR763">$BM763 * SUMPRODUCT(INDEX($AV$76:$AX$81,,$AI763),INDEX($AY$76:$BE$81,,$AH763), N($AU$76:$AU$81&gt;$AM763)) / BQ763 / 1000</f>
        <v>0</v>
      </c>
      <c r="BS763" s="231">
        <f t="shared" si="816"/>
        <v>30</v>
      </c>
      <c r="BT763" s="229">
        <f t="shared" si="830"/>
        <v>43</v>
      </c>
      <c r="BU763" s="234">
        <f t="shared" si="831"/>
        <v>3.5018750000000001</v>
      </c>
      <c r="BV763" s="234" cm="1">
        <f t="array" ref="BV763">$BM763 * IF($AH763&lt;=2,
SUMPRODUCT(INDEX($AV$71:$AX$75,,$AI763), INDEX($AY$71:$BE$75,,$AH763), 1 / ($BF$71:$BF$75*BU763 + (1-$BF$71:$BF$75)*BQ763), N($AU$71:$AU$75&gt;$AM763)),
SUMPRODUCT(INDEX($AV$66:$AX$75,,$AI763), INDEX($AY$66:$BE$75,,$AH763), 1 / ($BG$66:$BG$75*BU763 + (1-$BG$66:$BG$75)*BQ763), N($AU$66:$AU$75&gt;$AM763))
) / 1000</f>
        <v>0</v>
      </c>
      <c r="BW763" s="231">
        <f t="shared" si="817"/>
        <v>25</v>
      </c>
      <c r="BX763" s="229">
        <f t="shared" si="832"/>
        <v>38</v>
      </c>
      <c r="BY763" s="234">
        <f t="shared" si="833"/>
        <v>4.0666935483870965</v>
      </c>
      <c r="BZ763" s="234" cm="1">
        <f t="array" ref="BZ763">$BM763 * IF($AH763&lt;=2,
SUMPRODUCT(INDEX($AV$66:$AX$70,,$AI763), INDEX($AY$66:$BE$70,,$AH763), 1 / ($BF$66:$BF$70*BY763 + (1-$BF$66:$BF$70)*BU763), N($AU$66:$AU$70&gt;$AM763)),
SUMPRODUCT(INDEX($AV$56:$AX$65,,$AI763), INDEX($AY$56:$BE$65,,$AH763), 1 / ($BG$56:$BG$65*BY763 + (1-$BG$56:$BG$65)*BU763), N($AU$56:$AU$65&gt;$AM763))
) / 1000</f>
        <v>0</v>
      </c>
      <c r="CA763" s="231">
        <f t="shared" si="818"/>
        <v>20</v>
      </c>
      <c r="CB763" s="229">
        <f t="shared" si="834"/>
        <v>33</v>
      </c>
      <c r="CC763" s="234">
        <f t="shared" si="835"/>
        <v>4.8487499999999999</v>
      </c>
      <c r="CD763" s="234" cm="1">
        <f t="array" ref="CD763">$BM763 * IF($AH763&lt;=2,
SUMPRODUCT(INDEX($AV$61:$AX$65,,$AI763), INDEX($AY$61:$BE$65,,$AH763), 1 / ($BF$61:$BF$65*CC763 + (1-$BF$61:$BF$65)*BY763), N($AU$61:$AU$65&gt;$AM763)),
SUMPRODUCT(INDEX($AV$46:$AX$55,,$AI763), INDEX($AY$46:$BE$55,,$AH763), 1 / ($BG$46:$BG$55*CC763 + (1-$BG$46:$BG$55)*BY763), N($AU$46:$AU$55&gt;$AM763))
) / 1000</f>
        <v>0</v>
      </c>
      <c r="CE763" s="234" cm="1">
        <f t="array" ref="CE763">$BM763 * IF($AH763&lt;=2,
SUMPRODUCT(INDEX($AV$22:$AX$60,,$AI763), INDEX($AY$22:$BE$60,,$AH763), 1 / ($BF$22:$BF$60*CC763), N($AU$22:$AU$60&gt;$AM763)),
SUMPRODUCT(INDEX($AV$22:$AX$45,,$AI763), INDEX($AY$22:$BE$45,,$AH763), 1 / ($BG$22:$BG$45*CC763), N($AU$22:$AU$45&gt;$AM763))
) / 1000</f>
        <v>0</v>
      </c>
      <c r="CF763" s="229">
        <f t="shared" si="836"/>
        <v>0</v>
      </c>
      <c r="CG763" s="246"/>
      <c r="CH763" s="229">
        <f t="shared" si="837"/>
        <v>0</v>
      </c>
      <c r="CI763" s="228">
        <v>35</v>
      </c>
      <c r="CJ763" s="229">
        <f t="shared" si="838"/>
        <v>48</v>
      </c>
      <c r="CK763" s="234">
        <f t="shared" si="839"/>
        <v>3.0748170731707316</v>
      </c>
      <c r="CL763" s="234" cm="1">
        <f t="array" ref="CL763">$BM763 * SUMPRODUCT(INDEX($AV$76:$AX$81,,$AI763),INDEX($AY$76:$BE$81,,$AH763), N($AU$76:$AU$81&gt;$AM763)) / CK763 / 1000</f>
        <v>0</v>
      </c>
      <c r="CM763" s="231">
        <f t="shared" si="819"/>
        <v>30</v>
      </c>
      <c r="CN763" s="229">
        <f t="shared" si="840"/>
        <v>43</v>
      </c>
      <c r="CO763" s="234">
        <f t="shared" si="841"/>
        <v>3.5018750000000001</v>
      </c>
      <c r="CP763" s="234" cm="1">
        <f t="array" ref="CP763">$BM763 * IF($AH763&lt;=2,
SUMPRODUCT(INDEX($AV$71:$AX$75,,$AI763), INDEX($AY$71:$BE$75,,$AH763), 1 / ($BF$71:$BF$75*CO763 + (1-$BF$71:$BF$75)*CK763), N($AU$71:$AU$75&gt;$AM763)),
SUMPRODUCT(INDEX($AV$66:$AX$75,,$AI763), INDEX($AY$66:$BE$75,,$AH763), 1 / ($BG$66:$BG$75*CO763 + (1-$BG$66:$BG$75)*CK763), N($AU$66:$AU$75&gt;$AM763))
) / 1000</f>
        <v>0</v>
      </c>
      <c r="CQ763" s="231">
        <f t="shared" si="820"/>
        <v>25</v>
      </c>
      <c r="CR763" s="229">
        <f t="shared" si="842"/>
        <v>38</v>
      </c>
      <c r="CS763" s="234">
        <f t="shared" si="843"/>
        <v>4.0666935483870965</v>
      </c>
      <c r="CT763" s="234" cm="1">
        <f t="array" ref="CT763">$BM763 * IF($AH763&lt;=2,
SUMPRODUCT(INDEX($AV$66:$AX$70,,$AI763), INDEX($AY$66:$BE$70,,$AH763), 1 / ($BF$66:$BF$70*CS763 + (1-$BF$66:$BF$70)*CO763), N($AU$66:$AU$70&gt;$AM763)),
SUMPRODUCT(INDEX($AV$56:$AX$65,,$AI763), INDEX($AY$56:$BE$65,,$AH763), 1 / ($BG$56:$BG$65*CS763 + (1-$BG$56:$BG$65)*CO763), N($AU$56:$AU$65&gt;$AM763))
) / 1000</f>
        <v>0</v>
      </c>
      <c r="CU763" s="231">
        <f t="shared" si="821"/>
        <v>20</v>
      </c>
      <c r="CV763" s="229">
        <f t="shared" si="844"/>
        <v>33</v>
      </c>
      <c r="CW763" s="234">
        <f t="shared" si="845"/>
        <v>4.8487499999999999</v>
      </c>
      <c r="CX763" s="234" cm="1">
        <f t="array" ref="CX763">$BM763 * IF($AH763&lt;=2,
SUMPRODUCT(INDEX($AV$61:$AX$65,,$AI763), INDEX($AY$61:$BE$65,,$AH763), 1 / ($BF$61:$BF$65*CW763 + (1-$BF$61:$BF$65)*CS763), N($AU$61:$AU$65&gt;$AM763)),
SUMPRODUCT(INDEX($AV$46:$AX$55,,$AI763), INDEX($AY$46:$BE$55,,$AH763), 1 / ($BG$46:$BG$55*CW763 + (1-$BG$46:$BG$55)*CS763), N($AU$46:$AU$55&gt;$AM763))
) / 1000</f>
        <v>0</v>
      </c>
      <c r="CY763" s="234" cm="1">
        <f t="array" ref="CY763">$BM763 * IF($AH763&lt;=2,
SUMPRODUCT(INDEX($AV$22:$AX$60,,$AI763), INDEX($AY$22:$BE$60,,$AH763), 1 / ($BF$22:$BF$60*CW763), N($AU$22:$AU$60&gt;$AM763)),
SUMPRODUCT(INDEX($AV$22:$AX$45,,$AI763), INDEX($AY$22:$BE$45,,$AH763), 1 / ($BG$22:$BG$45*CW763), N($AU$22:$AU$45&gt;$AM763))
) / 1000</f>
        <v>0</v>
      </c>
      <c r="CZ763" s="229">
        <f t="shared" si="846"/>
        <v>0</v>
      </c>
      <c r="DA763" s="246"/>
    </row>
    <row r="764" spans="1:105" s="75" customFormat="1" ht="14.25" customHeight="1" x14ac:dyDescent="0.2">
      <c r="A764" s="230" t="b">
        <f t="shared" si="813"/>
        <v>0</v>
      </c>
      <c r="B764" s="253">
        <v>743</v>
      </c>
      <c r="C764" s="266"/>
      <c r="D764" s="266"/>
      <c r="E764" s="254"/>
      <c r="F764" s="255" t="str">
        <f>IF(ISBLANK(E764), "", VLOOKUP(E764, Z!$A$2:$C$4127, 3, FALSE))</f>
        <v/>
      </c>
      <c r="G764" s="256"/>
      <c r="H764" s="256"/>
      <c r="I764" s="256"/>
      <c r="J764" s="257"/>
      <c r="K764" s="258"/>
      <c r="L764" s="267"/>
      <c r="M764" s="268"/>
      <c r="N764" s="259" t="str" cm="1">
        <f t="array" ref="N764">IF($L764&gt;0, INDEX(Clean,1+AK764,$D$1), "")</f>
        <v/>
      </c>
      <c r="O764" s="260"/>
      <c r="P764" s="260"/>
      <c r="Q764" s="261"/>
      <c r="R764" s="264">
        <f t="shared" si="822"/>
        <v>0</v>
      </c>
      <c r="S764" s="259" t="str" cm="1">
        <f t="array" ref="S764">IF($L764&gt;0, INDEX(Clean,1+AL764,$D$1), "")</f>
        <v/>
      </c>
      <c r="T764" s="260"/>
      <c r="U764" s="260"/>
      <c r="V764" s="261"/>
      <c r="W764" s="267"/>
      <c r="X764" s="267"/>
      <c r="Y764" s="257"/>
      <c r="Z764" s="264">
        <f t="shared" si="823"/>
        <v>0</v>
      </c>
      <c r="AA764" s="269"/>
      <c r="AB764" s="266"/>
      <c r="AC764" s="254"/>
      <c r="AD764" s="255" t="str">
        <f>IF(ISBLANK(AC764), "", VLOOKUP(AC764, Z!$A$2:$C$4127, 3, FALSE))</f>
        <v/>
      </c>
      <c r="AE764" s="270"/>
      <c r="AF764" s="265">
        <f t="shared" si="824"/>
        <v>0</v>
      </c>
      <c r="AG764" s="246"/>
      <c r="AH764" s="228">
        <f t="shared" si="847"/>
        <v>1</v>
      </c>
      <c r="AI764" s="228">
        <f t="shared" si="848"/>
        <v>1</v>
      </c>
      <c r="AJ764" s="228">
        <f t="shared" si="849"/>
        <v>0</v>
      </c>
      <c r="AK764" s="228">
        <v>0</v>
      </c>
      <c r="AL764" s="228">
        <v>0</v>
      </c>
      <c r="AM764" s="228">
        <f t="shared" si="825"/>
        <v>-100</v>
      </c>
      <c r="AN764" s="228" cm="1">
        <f t="array" ref="AN764">IF(ISBLANK(G764), 1, IFERROR(MATCH(G764, INDEX(Kat,,1), 0), IFERROR(MATCH(Kat, INDEX(Use,,2), 0), MATCH(Kat, INDEX(Use,,3), 0))))</f>
        <v>1</v>
      </c>
      <c r="AO764" s="246"/>
      <c r="AP764" s="228" cm="1">
        <f t="array" ref="AP764">IF(W764&gt;0, INDEX(Kat, AN764,4), 0)</f>
        <v>0</v>
      </c>
      <c r="AQ764" s="228">
        <f t="shared" si="850"/>
        <v>0</v>
      </c>
      <c r="AR764" s="228" cm="1">
        <f t="array" ref="AR764">IF(X764&gt;0, INDEX(Kat, $AN764, 4+AQ764), 0)</f>
        <v>0</v>
      </c>
      <c r="AS764" s="228" cm="1">
        <f t="array" ref="AS764">IF(X764&gt;0, INDEX(Kat, $AN764, 9+AQ764), 0)</f>
        <v>0</v>
      </c>
      <c r="AT764" s="246"/>
      <c r="AU764" s="262"/>
      <c r="AV764" s="262"/>
      <c r="AW764" s="263"/>
      <c r="AX764" s="263"/>
      <c r="AY764" s="263"/>
      <c r="AZ764" s="263"/>
      <c r="BA764" s="263"/>
      <c r="BB764" s="263"/>
      <c r="BC764" s="263"/>
      <c r="BD764" s="263"/>
      <c r="BE764" s="263"/>
      <c r="BF764" s="263"/>
      <c r="BG764" s="263"/>
      <c r="BH764" s="246"/>
      <c r="BI764" s="228" cm="1">
        <f t="array" ref="BI764">INDEX(Use, $AH764, 4)</f>
        <v>7</v>
      </c>
      <c r="BJ764" s="228">
        <f t="shared" si="826"/>
        <v>32</v>
      </c>
      <c r="BK764" s="228">
        <f t="shared" si="814"/>
        <v>13</v>
      </c>
      <c r="BL764" s="228">
        <f t="shared" si="815"/>
        <v>0</v>
      </c>
      <c r="BM764" s="233" cm="1">
        <f t="array" ref="BM764">L764/IF($M764&gt;0, INDEX($AY$22:$BE$76, $M764+20, $AH764), 1)</f>
        <v>0</v>
      </c>
      <c r="BN764" s="229">
        <f t="shared" si="827"/>
        <v>0</v>
      </c>
      <c r="BO764" s="228">
        <v>35</v>
      </c>
      <c r="BP764" s="229">
        <f t="shared" si="828"/>
        <v>48</v>
      </c>
      <c r="BQ764" s="234">
        <f t="shared" si="829"/>
        <v>3.0748170731707316</v>
      </c>
      <c r="BR764" s="234" cm="1">
        <f t="array" ref="BR764">$BM764 * SUMPRODUCT(INDEX($AV$76:$AX$81,,$AI764),INDEX($AY$76:$BE$81,,$AH764), N($AU$76:$AU$81&gt;$AM764)) / BQ764 / 1000</f>
        <v>0</v>
      </c>
      <c r="BS764" s="231">
        <f t="shared" si="816"/>
        <v>30</v>
      </c>
      <c r="BT764" s="229">
        <f t="shared" si="830"/>
        <v>43</v>
      </c>
      <c r="BU764" s="234">
        <f t="shared" si="831"/>
        <v>3.5018750000000001</v>
      </c>
      <c r="BV764" s="234" cm="1">
        <f t="array" ref="BV764">$BM764 * IF($AH764&lt;=2,
SUMPRODUCT(INDEX($AV$71:$AX$75,,$AI764), INDEX($AY$71:$BE$75,,$AH764), 1 / ($BF$71:$BF$75*BU764 + (1-$BF$71:$BF$75)*BQ764), N($AU$71:$AU$75&gt;$AM764)),
SUMPRODUCT(INDEX($AV$66:$AX$75,,$AI764), INDEX($AY$66:$BE$75,,$AH764), 1 / ($BG$66:$BG$75*BU764 + (1-$BG$66:$BG$75)*BQ764), N($AU$66:$AU$75&gt;$AM764))
) / 1000</f>
        <v>0</v>
      </c>
      <c r="BW764" s="231">
        <f t="shared" si="817"/>
        <v>25</v>
      </c>
      <c r="BX764" s="229">
        <f t="shared" si="832"/>
        <v>38</v>
      </c>
      <c r="BY764" s="234">
        <f t="shared" si="833"/>
        <v>4.0666935483870965</v>
      </c>
      <c r="BZ764" s="234" cm="1">
        <f t="array" ref="BZ764">$BM764 * IF($AH764&lt;=2,
SUMPRODUCT(INDEX($AV$66:$AX$70,,$AI764), INDEX($AY$66:$BE$70,,$AH764), 1 / ($BF$66:$BF$70*BY764 + (1-$BF$66:$BF$70)*BU764), N($AU$66:$AU$70&gt;$AM764)),
SUMPRODUCT(INDEX($AV$56:$AX$65,,$AI764), INDEX($AY$56:$BE$65,,$AH764), 1 / ($BG$56:$BG$65*BY764 + (1-$BG$56:$BG$65)*BU764), N($AU$56:$AU$65&gt;$AM764))
) / 1000</f>
        <v>0</v>
      </c>
      <c r="CA764" s="231">
        <f t="shared" si="818"/>
        <v>20</v>
      </c>
      <c r="CB764" s="229">
        <f t="shared" si="834"/>
        <v>33</v>
      </c>
      <c r="CC764" s="234">
        <f t="shared" si="835"/>
        <v>4.8487499999999999</v>
      </c>
      <c r="CD764" s="234" cm="1">
        <f t="array" ref="CD764">$BM764 * IF($AH764&lt;=2,
SUMPRODUCT(INDEX($AV$61:$AX$65,,$AI764), INDEX($AY$61:$BE$65,,$AH764), 1 / ($BF$61:$BF$65*CC764 + (1-$BF$61:$BF$65)*BY764), N($AU$61:$AU$65&gt;$AM764)),
SUMPRODUCT(INDEX($AV$46:$AX$55,,$AI764), INDEX($AY$46:$BE$55,,$AH764), 1 / ($BG$46:$BG$55*CC764 + (1-$BG$46:$BG$55)*BY764), N($AU$46:$AU$55&gt;$AM764))
) / 1000</f>
        <v>0</v>
      </c>
      <c r="CE764" s="234" cm="1">
        <f t="array" ref="CE764">$BM764 * IF($AH764&lt;=2,
SUMPRODUCT(INDEX($AV$22:$AX$60,,$AI764), INDEX($AY$22:$BE$60,,$AH764), 1 / ($BF$22:$BF$60*CC764), N($AU$22:$AU$60&gt;$AM764)),
SUMPRODUCT(INDEX($AV$22:$AX$45,,$AI764), INDEX($AY$22:$BE$45,,$AH764), 1 / ($BG$22:$BG$45*CC764), N($AU$22:$AU$45&gt;$AM764))
) / 1000</f>
        <v>0</v>
      </c>
      <c r="CF764" s="229">
        <f t="shared" si="836"/>
        <v>0</v>
      </c>
      <c r="CG764" s="246"/>
      <c r="CH764" s="229">
        <f t="shared" si="837"/>
        <v>0</v>
      </c>
      <c r="CI764" s="228">
        <v>35</v>
      </c>
      <c r="CJ764" s="229">
        <f t="shared" si="838"/>
        <v>48</v>
      </c>
      <c r="CK764" s="234">
        <f t="shared" si="839"/>
        <v>3.0748170731707316</v>
      </c>
      <c r="CL764" s="234" cm="1">
        <f t="array" ref="CL764">$BM764 * SUMPRODUCT(INDEX($AV$76:$AX$81,,$AI764),INDEX($AY$76:$BE$81,,$AH764), N($AU$76:$AU$81&gt;$AM764)) / CK764 / 1000</f>
        <v>0</v>
      </c>
      <c r="CM764" s="231">
        <f t="shared" si="819"/>
        <v>30</v>
      </c>
      <c r="CN764" s="229">
        <f t="shared" si="840"/>
        <v>43</v>
      </c>
      <c r="CO764" s="234">
        <f t="shared" si="841"/>
        <v>3.5018750000000001</v>
      </c>
      <c r="CP764" s="234" cm="1">
        <f t="array" ref="CP764">$BM764 * IF($AH764&lt;=2,
SUMPRODUCT(INDEX($AV$71:$AX$75,,$AI764), INDEX($AY$71:$BE$75,,$AH764), 1 / ($BF$71:$BF$75*CO764 + (1-$BF$71:$BF$75)*CK764), N($AU$71:$AU$75&gt;$AM764)),
SUMPRODUCT(INDEX($AV$66:$AX$75,,$AI764), INDEX($AY$66:$BE$75,,$AH764), 1 / ($BG$66:$BG$75*CO764 + (1-$BG$66:$BG$75)*CK764), N($AU$66:$AU$75&gt;$AM764))
) / 1000</f>
        <v>0</v>
      </c>
      <c r="CQ764" s="231">
        <f t="shared" si="820"/>
        <v>25</v>
      </c>
      <c r="CR764" s="229">
        <f t="shared" si="842"/>
        <v>38</v>
      </c>
      <c r="CS764" s="234">
        <f t="shared" si="843"/>
        <v>4.0666935483870965</v>
      </c>
      <c r="CT764" s="234" cm="1">
        <f t="array" ref="CT764">$BM764 * IF($AH764&lt;=2,
SUMPRODUCT(INDEX($AV$66:$AX$70,,$AI764), INDEX($AY$66:$BE$70,,$AH764), 1 / ($BF$66:$BF$70*CS764 + (1-$BF$66:$BF$70)*CO764), N($AU$66:$AU$70&gt;$AM764)),
SUMPRODUCT(INDEX($AV$56:$AX$65,,$AI764), INDEX($AY$56:$BE$65,,$AH764), 1 / ($BG$56:$BG$65*CS764 + (1-$BG$56:$BG$65)*CO764), N($AU$56:$AU$65&gt;$AM764))
) / 1000</f>
        <v>0</v>
      </c>
      <c r="CU764" s="231">
        <f t="shared" si="821"/>
        <v>20</v>
      </c>
      <c r="CV764" s="229">
        <f t="shared" si="844"/>
        <v>33</v>
      </c>
      <c r="CW764" s="234">
        <f t="shared" si="845"/>
        <v>4.8487499999999999</v>
      </c>
      <c r="CX764" s="234" cm="1">
        <f t="array" ref="CX764">$BM764 * IF($AH764&lt;=2,
SUMPRODUCT(INDEX($AV$61:$AX$65,,$AI764), INDEX($AY$61:$BE$65,,$AH764), 1 / ($BF$61:$BF$65*CW764 + (1-$BF$61:$BF$65)*CS764), N($AU$61:$AU$65&gt;$AM764)),
SUMPRODUCT(INDEX($AV$46:$AX$55,,$AI764), INDEX($AY$46:$BE$55,,$AH764), 1 / ($BG$46:$BG$55*CW764 + (1-$BG$46:$BG$55)*CS764), N($AU$46:$AU$55&gt;$AM764))
) / 1000</f>
        <v>0</v>
      </c>
      <c r="CY764" s="234" cm="1">
        <f t="array" ref="CY764">$BM764 * IF($AH764&lt;=2,
SUMPRODUCT(INDEX($AV$22:$AX$60,,$AI764), INDEX($AY$22:$BE$60,,$AH764), 1 / ($BF$22:$BF$60*CW764), N($AU$22:$AU$60&gt;$AM764)),
SUMPRODUCT(INDEX($AV$22:$AX$45,,$AI764), INDEX($AY$22:$BE$45,,$AH764), 1 / ($BG$22:$BG$45*CW764), N($AU$22:$AU$45&gt;$AM764))
) / 1000</f>
        <v>0</v>
      </c>
      <c r="CZ764" s="229">
        <f t="shared" si="846"/>
        <v>0</v>
      </c>
      <c r="DA764" s="246"/>
    </row>
    <row r="765" spans="1:105" s="75" customFormat="1" ht="14.25" customHeight="1" x14ac:dyDescent="0.2">
      <c r="A765" s="230" t="b">
        <f t="shared" si="813"/>
        <v>0</v>
      </c>
      <c r="B765" s="253">
        <v>744</v>
      </c>
      <c r="C765" s="266"/>
      <c r="D765" s="266"/>
      <c r="E765" s="254"/>
      <c r="F765" s="255" t="str">
        <f>IF(ISBLANK(E765), "", VLOOKUP(E765, Z!$A$2:$C$4127, 3, FALSE))</f>
        <v/>
      </c>
      <c r="G765" s="256"/>
      <c r="H765" s="256"/>
      <c r="I765" s="256"/>
      <c r="J765" s="257"/>
      <c r="K765" s="258"/>
      <c r="L765" s="267"/>
      <c r="M765" s="268"/>
      <c r="N765" s="259" t="str" cm="1">
        <f t="array" ref="N765">IF($L765&gt;0, INDEX(Clean,1+AK765,$D$1), "")</f>
        <v/>
      </c>
      <c r="O765" s="260"/>
      <c r="P765" s="260"/>
      <c r="Q765" s="261"/>
      <c r="R765" s="264">
        <f t="shared" si="822"/>
        <v>0</v>
      </c>
      <c r="S765" s="259" t="str" cm="1">
        <f t="array" ref="S765">IF($L765&gt;0, INDEX(Clean,1+AL765,$D$1), "")</f>
        <v/>
      </c>
      <c r="T765" s="260"/>
      <c r="U765" s="260"/>
      <c r="V765" s="261"/>
      <c r="W765" s="267"/>
      <c r="X765" s="267"/>
      <c r="Y765" s="257"/>
      <c r="Z765" s="264">
        <f t="shared" si="823"/>
        <v>0</v>
      </c>
      <c r="AA765" s="269"/>
      <c r="AB765" s="266"/>
      <c r="AC765" s="254"/>
      <c r="AD765" s="255" t="str">
        <f>IF(ISBLANK(AC765), "", VLOOKUP(AC765, Z!$A$2:$C$4127, 3, FALSE))</f>
        <v/>
      </c>
      <c r="AE765" s="270"/>
      <c r="AF765" s="265">
        <f t="shared" si="824"/>
        <v>0</v>
      </c>
      <c r="AG765" s="246"/>
      <c r="AH765" s="228">
        <f t="shared" si="847"/>
        <v>1</v>
      </c>
      <c r="AI765" s="228">
        <f t="shared" si="848"/>
        <v>1</v>
      </c>
      <c r="AJ765" s="228">
        <f t="shared" si="849"/>
        <v>0</v>
      </c>
      <c r="AK765" s="228">
        <v>0</v>
      </c>
      <c r="AL765" s="228">
        <v>0</v>
      </c>
      <c r="AM765" s="228">
        <f t="shared" si="825"/>
        <v>-100</v>
      </c>
      <c r="AN765" s="228" cm="1">
        <f t="array" ref="AN765">IF(ISBLANK(G765), 1, IFERROR(MATCH(G765, INDEX(Kat,,1), 0), IFERROR(MATCH(Kat, INDEX(Use,,2), 0), MATCH(Kat, INDEX(Use,,3), 0))))</f>
        <v>1</v>
      </c>
      <c r="AO765" s="246"/>
      <c r="AP765" s="228" cm="1">
        <f t="array" ref="AP765">IF(W765&gt;0, INDEX(Kat, AN765,4), 0)</f>
        <v>0</v>
      </c>
      <c r="AQ765" s="228">
        <f t="shared" si="850"/>
        <v>0</v>
      </c>
      <c r="AR765" s="228" cm="1">
        <f t="array" ref="AR765">IF(X765&gt;0, INDEX(Kat, $AN765, 4+AQ765), 0)</f>
        <v>0</v>
      </c>
      <c r="AS765" s="228" cm="1">
        <f t="array" ref="AS765">IF(X765&gt;0, INDEX(Kat, $AN765, 9+AQ765), 0)</f>
        <v>0</v>
      </c>
      <c r="AT765" s="246"/>
      <c r="AU765" s="262"/>
      <c r="AV765" s="262"/>
      <c r="AW765" s="263"/>
      <c r="AX765" s="263"/>
      <c r="AY765" s="263"/>
      <c r="AZ765" s="263"/>
      <c r="BA765" s="263"/>
      <c r="BB765" s="263"/>
      <c r="BC765" s="263"/>
      <c r="BD765" s="263"/>
      <c r="BE765" s="263"/>
      <c r="BF765" s="263"/>
      <c r="BG765" s="263"/>
      <c r="BH765" s="246"/>
      <c r="BI765" s="228" cm="1">
        <f t="array" ref="BI765">INDEX(Use, $AH765, 4)</f>
        <v>7</v>
      </c>
      <c r="BJ765" s="228">
        <f t="shared" si="826"/>
        <v>32</v>
      </c>
      <c r="BK765" s="228">
        <f t="shared" si="814"/>
        <v>13</v>
      </c>
      <c r="BL765" s="228">
        <f t="shared" si="815"/>
        <v>0</v>
      </c>
      <c r="BM765" s="233" cm="1">
        <f t="array" ref="BM765">L765/IF($M765&gt;0, INDEX($AY$22:$BE$76, $M765+20, $AH765), 1)</f>
        <v>0</v>
      </c>
      <c r="BN765" s="229">
        <f t="shared" si="827"/>
        <v>0</v>
      </c>
      <c r="BO765" s="228">
        <v>35</v>
      </c>
      <c r="BP765" s="229">
        <f t="shared" si="828"/>
        <v>48</v>
      </c>
      <c r="BQ765" s="234">
        <f t="shared" si="829"/>
        <v>3.0748170731707316</v>
      </c>
      <c r="BR765" s="234" cm="1">
        <f t="array" ref="BR765">$BM765 * SUMPRODUCT(INDEX($AV$76:$AX$81,,$AI765),INDEX($AY$76:$BE$81,,$AH765), N($AU$76:$AU$81&gt;$AM765)) / BQ765 / 1000</f>
        <v>0</v>
      </c>
      <c r="BS765" s="231">
        <f t="shared" si="816"/>
        <v>30</v>
      </c>
      <c r="BT765" s="229">
        <f t="shared" si="830"/>
        <v>43</v>
      </c>
      <c r="BU765" s="234">
        <f t="shared" si="831"/>
        <v>3.5018750000000001</v>
      </c>
      <c r="BV765" s="234" cm="1">
        <f t="array" ref="BV765">$BM765 * IF($AH765&lt;=2,
SUMPRODUCT(INDEX($AV$71:$AX$75,,$AI765), INDEX($AY$71:$BE$75,,$AH765), 1 / ($BF$71:$BF$75*BU765 + (1-$BF$71:$BF$75)*BQ765), N($AU$71:$AU$75&gt;$AM765)),
SUMPRODUCT(INDEX($AV$66:$AX$75,,$AI765), INDEX($AY$66:$BE$75,,$AH765), 1 / ($BG$66:$BG$75*BU765 + (1-$BG$66:$BG$75)*BQ765), N($AU$66:$AU$75&gt;$AM765))
) / 1000</f>
        <v>0</v>
      </c>
      <c r="BW765" s="231">
        <f t="shared" si="817"/>
        <v>25</v>
      </c>
      <c r="BX765" s="229">
        <f t="shared" si="832"/>
        <v>38</v>
      </c>
      <c r="BY765" s="234">
        <f t="shared" si="833"/>
        <v>4.0666935483870965</v>
      </c>
      <c r="BZ765" s="234" cm="1">
        <f t="array" ref="BZ765">$BM765 * IF($AH765&lt;=2,
SUMPRODUCT(INDEX($AV$66:$AX$70,,$AI765), INDEX($AY$66:$BE$70,,$AH765), 1 / ($BF$66:$BF$70*BY765 + (1-$BF$66:$BF$70)*BU765), N($AU$66:$AU$70&gt;$AM765)),
SUMPRODUCT(INDEX($AV$56:$AX$65,,$AI765), INDEX($AY$56:$BE$65,,$AH765), 1 / ($BG$56:$BG$65*BY765 + (1-$BG$56:$BG$65)*BU765), N($AU$56:$AU$65&gt;$AM765))
) / 1000</f>
        <v>0</v>
      </c>
      <c r="CA765" s="231">
        <f t="shared" si="818"/>
        <v>20</v>
      </c>
      <c r="CB765" s="229">
        <f t="shared" si="834"/>
        <v>33</v>
      </c>
      <c r="CC765" s="234">
        <f t="shared" si="835"/>
        <v>4.8487499999999999</v>
      </c>
      <c r="CD765" s="234" cm="1">
        <f t="array" ref="CD765">$BM765 * IF($AH765&lt;=2,
SUMPRODUCT(INDEX($AV$61:$AX$65,,$AI765), INDEX($AY$61:$BE$65,,$AH765), 1 / ($BF$61:$BF$65*CC765 + (1-$BF$61:$BF$65)*BY765), N($AU$61:$AU$65&gt;$AM765)),
SUMPRODUCT(INDEX($AV$46:$AX$55,,$AI765), INDEX($AY$46:$BE$55,,$AH765), 1 / ($BG$46:$BG$55*CC765 + (1-$BG$46:$BG$55)*BY765), N($AU$46:$AU$55&gt;$AM765))
) / 1000</f>
        <v>0</v>
      </c>
      <c r="CE765" s="234" cm="1">
        <f t="array" ref="CE765">$BM765 * IF($AH765&lt;=2,
SUMPRODUCT(INDEX($AV$22:$AX$60,,$AI765), INDEX($AY$22:$BE$60,,$AH765), 1 / ($BF$22:$BF$60*CC765), N($AU$22:$AU$60&gt;$AM765)),
SUMPRODUCT(INDEX($AV$22:$AX$45,,$AI765), INDEX($AY$22:$BE$45,,$AH765), 1 / ($BG$22:$BG$45*CC765), N($AU$22:$AU$45&gt;$AM765))
) / 1000</f>
        <v>0</v>
      </c>
      <c r="CF765" s="229">
        <f t="shared" si="836"/>
        <v>0</v>
      </c>
      <c r="CG765" s="246"/>
      <c r="CH765" s="229">
        <f t="shared" si="837"/>
        <v>0</v>
      </c>
      <c r="CI765" s="228">
        <v>35</v>
      </c>
      <c r="CJ765" s="229">
        <f t="shared" si="838"/>
        <v>48</v>
      </c>
      <c r="CK765" s="234">
        <f t="shared" si="839"/>
        <v>3.0748170731707316</v>
      </c>
      <c r="CL765" s="234" cm="1">
        <f t="array" ref="CL765">$BM765 * SUMPRODUCT(INDEX($AV$76:$AX$81,,$AI765),INDEX($AY$76:$BE$81,,$AH765), N($AU$76:$AU$81&gt;$AM765)) / CK765 / 1000</f>
        <v>0</v>
      </c>
      <c r="CM765" s="231">
        <f t="shared" si="819"/>
        <v>30</v>
      </c>
      <c r="CN765" s="229">
        <f t="shared" si="840"/>
        <v>43</v>
      </c>
      <c r="CO765" s="234">
        <f t="shared" si="841"/>
        <v>3.5018750000000001</v>
      </c>
      <c r="CP765" s="234" cm="1">
        <f t="array" ref="CP765">$BM765 * IF($AH765&lt;=2,
SUMPRODUCT(INDEX($AV$71:$AX$75,,$AI765), INDEX($AY$71:$BE$75,,$AH765), 1 / ($BF$71:$BF$75*CO765 + (1-$BF$71:$BF$75)*CK765), N($AU$71:$AU$75&gt;$AM765)),
SUMPRODUCT(INDEX($AV$66:$AX$75,,$AI765), INDEX($AY$66:$BE$75,,$AH765), 1 / ($BG$66:$BG$75*CO765 + (1-$BG$66:$BG$75)*CK765), N($AU$66:$AU$75&gt;$AM765))
) / 1000</f>
        <v>0</v>
      </c>
      <c r="CQ765" s="231">
        <f t="shared" si="820"/>
        <v>25</v>
      </c>
      <c r="CR765" s="229">
        <f t="shared" si="842"/>
        <v>38</v>
      </c>
      <c r="CS765" s="234">
        <f t="shared" si="843"/>
        <v>4.0666935483870965</v>
      </c>
      <c r="CT765" s="234" cm="1">
        <f t="array" ref="CT765">$BM765 * IF($AH765&lt;=2,
SUMPRODUCT(INDEX($AV$66:$AX$70,,$AI765), INDEX($AY$66:$BE$70,,$AH765), 1 / ($BF$66:$BF$70*CS765 + (1-$BF$66:$BF$70)*CO765), N($AU$66:$AU$70&gt;$AM765)),
SUMPRODUCT(INDEX($AV$56:$AX$65,,$AI765), INDEX($AY$56:$BE$65,,$AH765), 1 / ($BG$56:$BG$65*CS765 + (1-$BG$56:$BG$65)*CO765), N($AU$56:$AU$65&gt;$AM765))
) / 1000</f>
        <v>0</v>
      </c>
      <c r="CU765" s="231">
        <f t="shared" si="821"/>
        <v>20</v>
      </c>
      <c r="CV765" s="229">
        <f t="shared" si="844"/>
        <v>33</v>
      </c>
      <c r="CW765" s="234">
        <f t="shared" si="845"/>
        <v>4.8487499999999999</v>
      </c>
      <c r="CX765" s="234" cm="1">
        <f t="array" ref="CX765">$BM765 * IF($AH765&lt;=2,
SUMPRODUCT(INDEX($AV$61:$AX$65,,$AI765), INDEX($AY$61:$BE$65,,$AH765), 1 / ($BF$61:$BF$65*CW765 + (1-$BF$61:$BF$65)*CS765), N($AU$61:$AU$65&gt;$AM765)),
SUMPRODUCT(INDEX($AV$46:$AX$55,,$AI765), INDEX($AY$46:$BE$55,,$AH765), 1 / ($BG$46:$BG$55*CW765 + (1-$BG$46:$BG$55)*CS765), N($AU$46:$AU$55&gt;$AM765))
) / 1000</f>
        <v>0</v>
      </c>
      <c r="CY765" s="234" cm="1">
        <f t="array" ref="CY765">$BM765 * IF($AH765&lt;=2,
SUMPRODUCT(INDEX($AV$22:$AX$60,,$AI765), INDEX($AY$22:$BE$60,,$AH765), 1 / ($BF$22:$BF$60*CW765), N($AU$22:$AU$60&gt;$AM765)),
SUMPRODUCT(INDEX($AV$22:$AX$45,,$AI765), INDEX($AY$22:$BE$45,,$AH765), 1 / ($BG$22:$BG$45*CW765), N($AU$22:$AU$45&gt;$AM765))
) / 1000</f>
        <v>0</v>
      </c>
      <c r="CZ765" s="229">
        <f t="shared" si="846"/>
        <v>0</v>
      </c>
      <c r="DA765" s="246"/>
    </row>
    <row r="766" spans="1:105" s="75" customFormat="1" ht="14.25" customHeight="1" x14ac:dyDescent="0.2">
      <c r="A766" s="230" t="b">
        <f t="shared" si="813"/>
        <v>0</v>
      </c>
      <c r="B766" s="253">
        <v>745</v>
      </c>
      <c r="C766" s="266"/>
      <c r="D766" s="266"/>
      <c r="E766" s="254"/>
      <c r="F766" s="255" t="str">
        <f>IF(ISBLANK(E766), "", VLOOKUP(E766, Z!$A$2:$C$4127, 3, FALSE))</f>
        <v/>
      </c>
      <c r="G766" s="256"/>
      <c r="H766" s="256"/>
      <c r="I766" s="256"/>
      <c r="J766" s="257"/>
      <c r="K766" s="258"/>
      <c r="L766" s="267"/>
      <c r="M766" s="268"/>
      <c r="N766" s="259" t="str" cm="1">
        <f t="array" ref="N766">IF($L766&gt;0, INDEX(Clean,1+AK766,$D$1), "")</f>
        <v/>
      </c>
      <c r="O766" s="260"/>
      <c r="P766" s="260"/>
      <c r="Q766" s="261"/>
      <c r="R766" s="264">
        <f t="shared" si="822"/>
        <v>0</v>
      </c>
      <c r="S766" s="259" t="str" cm="1">
        <f t="array" ref="S766">IF($L766&gt;0, INDEX(Clean,1+AL766,$D$1), "")</f>
        <v/>
      </c>
      <c r="T766" s="260"/>
      <c r="U766" s="260"/>
      <c r="V766" s="261"/>
      <c r="W766" s="267"/>
      <c r="X766" s="267"/>
      <c r="Y766" s="257"/>
      <c r="Z766" s="264">
        <f t="shared" si="823"/>
        <v>0</v>
      </c>
      <c r="AA766" s="269"/>
      <c r="AB766" s="266"/>
      <c r="AC766" s="254"/>
      <c r="AD766" s="255" t="str">
        <f>IF(ISBLANK(AC766), "", VLOOKUP(AC766, Z!$A$2:$C$4127, 3, FALSE))</f>
        <v/>
      </c>
      <c r="AE766" s="270"/>
      <c r="AF766" s="265">
        <f t="shared" si="824"/>
        <v>0</v>
      </c>
      <c r="AG766" s="246"/>
      <c r="AH766" s="228">
        <f t="shared" si="847"/>
        <v>1</v>
      </c>
      <c r="AI766" s="228">
        <f t="shared" si="848"/>
        <v>1</v>
      </c>
      <c r="AJ766" s="228">
        <f t="shared" si="849"/>
        <v>0</v>
      </c>
      <c r="AK766" s="228">
        <v>0</v>
      </c>
      <c r="AL766" s="228">
        <v>0</v>
      </c>
      <c r="AM766" s="228">
        <f t="shared" si="825"/>
        <v>-100</v>
      </c>
      <c r="AN766" s="228" cm="1">
        <f t="array" ref="AN766">IF(ISBLANK(G766), 1, IFERROR(MATCH(G766, INDEX(Kat,,1), 0), IFERROR(MATCH(Kat, INDEX(Use,,2), 0), MATCH(Kat, INDEX(Use,,3), 0))))</f>
        <v>1</v>
      </c>
      <c r="AO766" s="246"/>
      <c r="AP766" s="228" cm="1">
        <f t="array" ref="AP766">IF(W766&gt;0, INDEX(Kat, AN766,4), 0)</f>
        <v>0</v>
      </c>
      <c r="AQ766" s="228">
        <f t="shared" si="850"/>
        <v>0</v>
      </c>
      <c r="AR766" s="228" cm="1">
        <f t="array" ref="AR766">IF(X766&gt;0, INDEX(Kat, $AN766, 4+AQ766), 0)</f>
        <v>0</v>
      </c>
      <c r="AS766" s="228" cm="1">
        <f t="array" ref="AS766">IF(X766&gt;0, INDEX(Kat, $AN766, 9+AQ766), 0)</f>
        <v>0</v>
      </c>
      <c r="AT766" s="246"/>
      <c r="AU766" s="262"/>
      <c r="AV766" s="262"/>
      <c r="AW766" s="263"/>
      <c r="AX766" s="263"/>
      <c r="AY766" s="263"/>
      <c r="AZ766" s="263"/>
      <c r="BA766" s="263"/>
      <c r="BB766" s="263"/>
      <c r="BC766" s="263"/>
      <c r="BD766" s="263"/>
      <c r="BE766" s="263"/>
      <c r="BF766" s="263"/>
      <c r="BG766" s="263"/>
      <c r="BH766" s="246"/>
      <c r="BI766" s="228" cm="1">
        <f t="array" ref="BI766">INDEX(Use, $AH766, 4)</f>
        <v>7</v>
      </c>
      <c r="BJ766" s="228">
        <f t="shared" si="826"/>
        <v>32</v>
      </c>
      <c r="BK766" s="228">
        <f t="shared" si="814"/>
        <v>13</v>
      </c>
      <c r="BL766" s="228">
        <f t="shared" si="815"/>
        <v>0</v>
      </c>
      <c r="BM766" s="233" cm="1">
        <f t="array" ref="BM766">L766/IF($M766&gt;0, INDEX($AY$22:$BE$76, $M766+20, $AH766), 1)</f>
        <v>0</v>
      </c>
      <c r="BN766" s="229">
        <f t="shared" si="827"/>
        <v>0</v>
      </c>
      <c r="BO766" s="228">
        <v>35</v>
      </c>
      <c r="BP766" s="229">
        <f t="shared" si="828"/>
        <v>48</v>
      </c>
      <c r="BQ766" s="234">
        <f t="shared" si="829"/>
        <v>3.0748170731707316</v>
      </c>
      <c r="BR766" s="234" cm="1">
        <f t="array" ref="BR766">$BM766 * SUMPRODUCT(INDEX($AV$76:$AX$81,,$AI766),INDEX($AY$76:$BE$81,,$AH766), N($AU$76:$AU$81&gt;$AM766)) / BQ766 / 1000</f>
        <v>0</v>
      </c>
      <c r="BS766" s="231">
        <f t="shared" si="816"/>
        <v>30</v>
      </c>
      <c r="BT766" s="229">
        <f t="shared" si="830"/>
        <v>43</v>
      </c>
      <c r="BU766" s="234">
        <f t="shared" si="831"/>
        <v>3.5018750000000001</v>
      </c>
      <c r="BV766" s="234" cm="1">
        <f t="array" ref="BV766">$BM766 * IF($AH766&lt;=2,
SUMPRODUCT(INDEX($AV$71:$AX$75,,$AI766), INDEX($AY$71:$BE$75,,$AH766), 1 / ($BF$71:$BF$75*BU766 + (1-$BF$71:$BF$75)*BQ766), N($AU$71:$AU$75&gt;$AM766)),
SUMPRODUCT(INDEX($AV$66:$AX$75,,$AI766), INDEX($AY$66:$BE$75,,$AH766), 1 / ($BG$66:$BG$75*BU766 + (1-$BG$66:$BG$75)*BQ766), N($AU$66:$AU$75&gt;$AM766))
) / 1000</f>
        <v>0</v>
      </c>
      <c r="BW766" s="231">
        <f t="shared" si="817"/>
        <v>25</v>
      </c>
      <c r="BX766" s="229">
        <f t="shared" si="832"/>
        <v>38</v>
      </c>
      <c r="BY766" s="234">
        <f t="shared" si="833"/>
        <v>4.0666935483870965</v>
      </c>
      <c r="BZ766" s="234" cm="1">
        <f t="array" ref="BZ766">$BM766 * IF($AH766&lt;=2,
SUMPRODUCT(INDEX($AV$66:$AX$70,,$AI766), INDEX($AY$66:$BE$70,,$AH766), 1 / ($BF$66:$BF$70*BY766 + (1-$BF$66:$BF$70)*BU766), N($AU$66:$AU$70&gt;$AM766)),
SUMPRODUCT(INDEX($AV$56:$AX$65,,$AI766), INDEX($AY$56:$BE$65,,$AH766), 1 / ($BG$56:$BG$65*BY766 + (1-$BG$56:$BG$65)*BU766), N($AU$56:$AU$65&gt;$AM766))
) / 1000</f>
        <v>0</v>
      </c>
      <c r="CA766" s="231">
        <f t="shared" si="818"/>
        <v>20</v>
      </c>
      <c r="CB766" s="229">
        <f t="shared" si="834"/>
        <v>33</v>
      </c>
      <c r="CC766" s="234">
        <f t="shared" si="835"/>
        <v>4.8487499999999999</v>
      </c>
      <c r="CD766" s="234" cm="1">
        <f t="array" ref="CD766">$BM766 * IF($AH766&lt;=2,
SUMPRODUCT(INDEX($AV$61:$AX$65,,$AI766), INDEX($AY$61:$BE$65,,$AH766), 1 / ($BF$61:$BF$65*CC766 + (1-$BF$61:$BF$65)*BY766), N($AU$61:$AU$65&gt;$AM766)),
SUMPRODUCT(INDEX($AV$46:$AX$55,,$AI766), INDEX($AY$46:$BE$55,,$AH766), 1 / ($BG$46:$BG$55*CC766 + (1-$BG$46:$BG$55)*BY766), N($AU$46:$AU$55&gt;$AM766))
) / 1000</f>
        <v>0</v>
      </c>
      <c r="CE766" s="234" cm="1">
        <f t="array" ref="CE766">$BM766 * IF($AH766&lt;=2,
SUMPRODUCT(INDEX($AV$22:$AX$60,,$AI766), INDEX($AY$22:$BE$60,,$AH766), 1 / ($BF$22:$BF$60*CC766), N($AU$22:$AU$60&gt;$AM766)),
SUMPRODUCT(INDEX($AV$22:$AX$45,,$AI766), INDEX($AY$22:$BE$45,,$AH766), 1 / ($BG$22:$BG$45*CC766), N($AU$22:$AU$45&gt;$AM766))
) / 1000</f>
        <v>0</v>
      </c>
      <c r="CF766" s="229">
        <f t="shared" si="836"/>
        <v>0</v>
      </c>
      <c r="CG766" s="246"/>
      <c r="CH766" s="229">
        <f t="shared" si="837"/>
        <v>0</v>
      </c>
      <c r="CI766" s="228">
        <v>35</v>
      </c>
      <c r="CJ766" s="229">
        <f t="shared" si="838"/>
        <v>48</v>
      </c>
      <c r="CK766" s="234">
        <f t="shared" si="839"/>
        <v>3.0748170731707316</v>
      </c>
      <c r="CL766" s="234" cm="1">
        <f t="array" ref="CL766">$BM766 * SUMPRODUCT(INDEX($AV$76:$AX$81,,$AI766),INDEX($AY$76:$BE$81,,$AH766), N($AU$76:$AU$81&gt;$AM766)) / CK766 / 1000</f>
        <v>0</v>
      </c>
      <c r="CM766" s="231">
        <f t="shared" si="819"/>
        <v>30</v>
      </c>
      <c r="CN766" s="229">
        <f t="shared" si="840"/>
        <v>43</v>
      </c>
      <c r="CO766" s="234">
        <f t="shared" si="841"/>
        <v>3.5018750000000001</v>
      </c>
      <c r="CP766" s="234" cm="1">
        <f t="array" ref="CP766">$BM766 * IF($AH766&lt;=2,
SUMPRODUCT(INDEX($AV$71:$AX$75,,$AI766), INDEX($AY$71:$BE$75,,$AH766), 1 / ($BF$71:$BF$75*CO766 + (1-$BF$71:$BF$75)*CK766), N($AU$71:$AU$75&gt;$AM766)),
SUMPRODUCT(INDEX($AV$66:$AX$75,,$AI766), INDEX($AY$66:$BE$75,,$AH766), 1 / ($BG$66:$BG$75*CO766 + (1-$BG$66:$BG$75)*CK766), N($AU$66:$AU$75&gt;$AM766))
) / 1000</f>
        <v>0</v>
      </c>
      <c r="CQ766" s="231">
        <f t="shared" si="820"/>
        <v>25</v>
      </c>
      <c r="CR766" s="229">
        <f t="shared" si="842"/>
        <v>38</v>
      </c>
      <c r="CS766" s="234">
        <f t="shared" si="843"/>
        <v>4.0666935483870965</v>
      </c>
      <c r="CT766" s="234" cm="1">
        <f t="array" ref="CT766">$BM766 * IF($AH766&lt;=2,
SUMPRODUCT(INDEX($AV$66:$AX$70,,$AI766), INDEX($AY$66:$BE$70,,$AH766), 1 / ($BF$66:$BF$70*CS766 + (1-$BF$66:$BF$70)*CO766), N($AU$66:$AU$70&gt;$AM766)),
SUMPRODUCT(INDEX($AV$56:$AX$65,,$AI766), INDEX($AY$56:$BE$65,,$AH766), 1 / ($BG$56:$BG$65*CS766 + (1-$BG$56:$BG$65)*CO766), N($AU$56:$AU$65&gt;$AM766))
) / 1000</f>
        <v>0</v>
      </c>
      <c r="CU766" s="231">
        <f t="shared" si="821"/>
        <v>20</v>
      </c>
      <c r="CV766" s="229">
        <f t="shared" si="844"/>
        <v>33</v>
      </c>
      <c r="CW766" s="234">
        <f t="shared" si="845"/>
        <v>4.8487499999999999</v>
      </c>
      <c r="CX766" s="234" cm="1">
        <f t="array" ref="CX766">$BM766 * IF($AH766&lt;=2,
SUMPRODUCT(INDEX($AV$61:$AX$65,,$AI766), INDEX($AY$61:$BE$65,,$AH766), 1 / ($BF$61:$BF$65*CW766 + (1-$BF$61:$BF$65)*CS766), N($AU$61:$AU$65&gt;$AM766)),
SUMPRODUCT(INDEX($AV$46:$AX$55,,$AI766), INDEX($AY$46:$BE$55,,$AH766), 1 / ($BG$46:$BG$55*CW766 + (1-$BG$46:$BG$55)*CS766), N($AU$46:$AU$55&gt;$AM766))
) / 1000</f>
        <v>0</v>
      </c>
      <c r="CY766" s="234" cm="1">
        <f t="array" ref="CY766">$BM766 * IF($AH766&lt;=2,
SUMPRODUCT(INDEX($AV$22:$AX$60,,$AI766), INDEX($AY$22:$BE$60,,$AH766), 1 / ($BF$22:$BF$60*CW766), N($AU$22:$AU$60&gt;$AM766)),
SUMPRODUCT(INDEX($AV$22:$AX$45,,$AI766), INDEX($AY$22:$BE$45,,$AH766), 1 / ($BG$22:$BG$45*CW766), N($AU$22:$AU$45&gt;$AM766))
) / 1000</f>
        <v>0</v>
      </c>
      <c r="CZ766" s="229">
        <f t="shared" si="846"/>
        <v>0</v>
      </c>
      <c r="DA766" s="246"/>
    </row>
    <row r="767" spans="1:105" s="75" customFormat="1" ht="14.25" customHeight="1" x14ac:dyDescent="0.2">
      <c r="A767" s="230" t="b">
        <f t="shared" si="813"/>
        <v>0</v>
      </c>
      <c r="B767" s="253">
        <v>746</v>
      </c>
      <c r="C767" s="266"/>
      <c r="D767" s="266"/>
      <c r="E767" s="254"/>
      <c r="F767" s="255" t="str">
        <f>IF(ISBLANK(E767), "", VLOOKUP(E767, Z!$A$2:$C$4127, 3, FALSE))</f>
        <v/>
      </c>
      <c r="G767" s="256"/>
      <c r="H767" s="256"/>
      <c r="I767" s="256"/>
      <c r="J767" s="257"/>
      <c r="K767" s="258"/>
      <c r="L767" s="267"/>
      <c r="M767" s="268"/>
      <c r="N767" s="259" t="str" cm="1">
        <f t="array" ref="N767">IF($L767&gt;0, INDEX(Clean,1+AK767,$D$1), "")</f>
        <v/>
      </c>
      <c r="O767" s="260"/>
      <c r="P767" s="260"/>
      <c r="Q767" s="261"/>
      <c r="R767" s="264">
        <f t="shared" si="822"/>
        <v>0</v>
      </c>
      <c r="S767" s="259" t="str" cm="1">
        <f t="array" ref="S767">IF($L767&gt;0, INDEX(Clean,1+AL767,$D$1), "")</f>
        <v/>
      </c>
      <c r="T767" s="260"/>
      <c r="U767" s="260"/>
      <c r="V767" s="261"/>
      <c r="W767" s="267"/>
      <c r="X767" s="267"/>
      <c r="Y767" s="257"/>
      <c r="Z767" s="264">
        <f t="shared" si="823"/>
        <v>0</v>
      </c>
      <c r="AA767" s="269"/>
      <c r="AB767" s="266"/>
      <c r="AC767" s="254"/>
      <c r="AD767" s="255" t="str">
        <f>IF(ISBLANK(AC767), "", VLOOKUP(AC767, Z!$A$2:$C$4127, 3, FALSE))</f>
        <v/>
      </c>
      <c r="AE767" s="270"/>
      <c r="AF767" s="265">
        <f t="shared" si="824"/>
        <v>0</v>
      </c>
      <c r="AG767" s="246"/>
      <c r="AH767" s="228">
        <f t="shared" si="847"/>
        <v>1</v>
      </c>
      <c r="AI767" s="228">
        <f t="shared" si="848"/>
        <v>1</v>
      </c>
      <c r="AJ767" s="228">
        <f t="shared" si="849"/>
        <v>0</v>
      </c>
      <c r="AK767" s="228">
        <v>0</v>
      </c>
      <c r="AL767" s="228">
        <v>0</v>
      </c>
      <c r="AM767" s="228">
        <f t="shared" si="825"/>
        <v>-100</v>
      </c>
      <c r="AN767" s="228" cm="1">
        <f t="array" ref="AN767">IF(ISBLANK(G767), 1, IFERROR(MATCH(G767, INDEX(Kat,,1), 0), IFERROR(MATCH(Kat, INDEX(Use,,2), 0), MATCH(Kat, INDEX(Use,,3), 0))))</f>
        <v>1</v>
      </c>
      <c r="AO767" s="246"/>
      <c r="AP767" s="228" cm="1">
        <f t="array" ref="AP767">IF(W767&gt;0, INDEX(Kat, AN767,4), 0)</f>
        <v>0</v>
      </c>
      <c r="AQ767" s="228">
        <f t="shared" si="850"/>
        <v>0</v>
      </c>
      <c r="AR767" s="228" cm="1">
        <f t="array" ref="AR767">IF(X767&gt;0, INDEX(Kat, $AN767, 4+AQ767), 0)</f>
        <v>0</v>
      </c>
      <c r="AS767" s="228" cm="1">
        <f t="array" ref="AS767">IF(X767&gt;0, INDEX(Kat, $AN767, 9+AQ767), 0)</f>
        <v>0</v>
      </c>
      <c r="AT767" s="246"/>
      <c r="AU767" s="262"/>
      <c r="AV767" s="262"/>
      <c r="AW767" s="263"/>
      <c r="AX767" s="263"/>
      <c r="AY767" s="263"/>
      <c r="AZ767" s="263"/>
      <c r="BA767" s="263"/>
      <c r="BB767" s="263"/>
      <c r="BC767" s="263"/>
      <c r="BD767" s="263"/>
      <c r="BE767" s="263"/>
      <c r="BF767" s="263"/>
      <c r="BG767" s="263"/>
      <c r="BH767" s="246"/>
      <c r="BI767" s="228" cm="1">
        <f t="array" ref="BI767">INDEX(Use, $AH767, 4)</f>
        <v>7</v>
      </c>
      <c r="BJ767" s="228">
        <f t="shared" si="826"/>
        <v>32</v>
      </c>
      <c r="BK767" s="228">
        <f t="shared" si="814"/>
        <v>13</v>
      </c>
      <c r="BL767" s="228">
        <f t="shared" si="815"/>
        <v>0</v>
      </c>
      <c r="BM767" s="233" cm="1">
        <f t="array" ref="BM767">L767/IF($M767&gt;0, INDEX($AY$22:$BE$76, $M767+20, $AH767), 1)</f>
        <v>0</v>
      </c>
      <c r="BN767" s="229">
        <f t="shared" si="827"/>
        <v>0</v>
      </c>
      <c r="BO767" s="228">
        <v>35</v>
      </c>
      <c r="BP767" s="229">
        <f t="shared" si="828"/>
        <v>48</v>
      </c>
      <c r="BQ767" s="234">
        <f t="shared" si="829"/>
        <v>3.0748170731707316</v>
      </c>
      <c r="BR767" s="234" cm="1">
        <f t="array" ref="BR767">$BM767 * SUMPRODUCT(INDEX($AV$76:$AX$81,,$AI767),INDEX($AY$76:$BE$81,,$AH767), N($AU$76:$AU$81&gt;$AM767)) / BQ767 / 1000</f>
        <v>0</v>
      </c>
      <c r="BS767" s="231">
        <f t="shared" si="816"/>
        <v>30</v>
      </c>
      <c r="BT767" s="229">
        <f t="shared" si="830"/>
        <v>43</v>
      </c>
      <c r="BU767" s="234">
        <f t="shared" si="831"/>
        <v>3.5018750000000001</v>
      </c>
      <c r="BV767" s="234" cm="1">
        <f t="array" ref="BV767">$BM767 * IF($AH767&lt;=2,
SUMPRODUCT(INDEX($AV$71:$AX$75,,$AI767), INDEX($AY$71:$BE$75,,$AH767), 1 / ($BF$71:$BF$75*BU767 + (1-$BF$71:$BF$75)*BQ767), N($AU$71:$AU$75&gt;$AM767)),
SUMPRODUCT(INDEX($AV$66:$AX$75,,$AI767), INDEX($AY$66:$BE$75,,$AH767), 1 / ($BG$66:$BG$75*BU767 + (1-$BG$66:$BG$75)*BQ767), N($AU$66:$AU$75&gt;$AM767))
) / 1000</f>
        <v>0</v>
      </c>
      <c r="BW767" s="231">
        <f t="shared" si="817"/>
        <v>25</v>
      </c>
      <c r="BX767" s="229">
        <f t="shared" si="832"/>
        <v>38</v>
      </c>
      <c r="BY767" s="234">
        <f t="shared" si="833"/>
        <v>4.0666935483870965</v>
      </c>
      <c r="BZ767" s="234" cm="1">
        <f t="array" ref="BZ767">$BM767 * IF($AH767&lt;=2,
SUMPRODUCT(INDEX($AV$66:$AX$70,,$AI767), INDEX($AY$66:$BE$70,,$AH767), 1 / ($BF$66:$BF$70*BY767 + (1-$BF$66:$BF$70)*BU767), N($AU$66:$AU$70&gt;$AM767)),
SUMPRODUCT(INDEX($AV$56:$AX$65,,$AI767), INDEX($AY$56:$BE$65,,$AH767), 1 / ($BG$56:$BG$65*BY767 + (1-$BG$56:$BG$65)*BU767), N($AU$56:$AU$65&gt;$AM767))
) / 1000</f>
        <v>0</v>
      </c>
      <c r="CA767" s="231">
        <f t="shared" si="818"/>
        <v>20</v>
      </c>
      <c r="CB767" s="229">
        <f t="shared" si="834"/>
        <v>33</v>
      </c>
      <c r="CC767" s="234">
        <f t="shared" si="835"/>
        <v>4.8487499999999999</v>
      </c>
      <c r="CD767" s="234" cm="1">
        <f t="array" ref="CD767">$BM767 * IF($AH767&lt;=2,
SUMPRODUCT(INDEX($AV$61:$AX$65,,$AI767), INDEX($AY$61:$BE$65,,$AH767), 1 / ($BF$61:$BF$65*CC767 + (1-$BF$61:$BF$65)*BY767), N($AU$61:$AU$65&gt;$AM767)),
SUMPRODUCT(INDEX($AV$46:$AX$55,,$AI767), INDEX($AY$46:$BE$55,,$AH767), 1 / ($BG$46:$BG$55*CC767 + (1-$BG$46:$BG$55)*BY767), N($AU$46:$AU$55&gt;$AM767))
) / 1000</f>
        <v>0</v>
      </c>
      <c r="CE767" s="234" cm="1">
        <f t="array" ref="CE767">$BM767 * IF($AH767&lt;=2,
SUMPRODUCT(INDEX($AV$22:$AX$60,,$AI767), INDEX($AY$22:$BE$60,,$AH767), 1 / ($BF$22:$BF$60*CC767), N($AU$22:$AU$60&gt;$AM767)),
SUMPRODUCT(INDEX($AV$22:$AX$45,,$AI767), INDEX($AY$22:$BE$45,,$AH767), 1 / ($BG$22:$BG$45*CC767), N($AU$22:$AU$45&gt;$AM767))
) / 1000</f>
        <v>0</v>
      </c>
      <c r="CF767" s="229">
        <f t="shared" si="836"/>
        <v>0</v>
      </c>
      <c r="CG767" s="246"/>
      <c r="CH767" s="229">
        <f t="shared" si="837"/>
        <v>0</v>
      </c>
      <c r="CI767" s="228">
        <v>35</v>
      </c>
      <c r="CJ767" s="229">
        <f t="shared" si="838"/>
        <v>48</v>
      </c>
      <c r="CK767" s="234">
        <f t="shared" si="839"/>
        <v>3.0748170731707316</v>
      </c>
      <c r="CL767" s="234" cm="1">
        <f t="array" ref="CL767">$BM767 * SUMPRODUCT(INDEX($AV$76:$AX$81,,$AI767),INDEX($AY$76:$BE$81,,$AH767), N($AU$76:$AU$81&gt;$AM767)) / CK767 / 1000</f>
        <v>0</v>
      </c>
      <c r="CM767" s="231">
        <f t="shared" si="819"/>
        <v>30</v>
      </c>
      <c r="CN767" s="229">
        <f t="shared" si="840"/>
        <v>43</v>
      </c>
      <c r="CO767" s="234">
        <f t="shared" si="841"/>
        <v>3.5018750000000001</v>
      </c>
      <c r="CP767" s="234" cm="1">
        <f t="array" ref="CP767">$BM767 * IF($AH767&lt;=2,
SUMPRODUCT(INDEX($AV$71:$AX$75,,$AI767), INDEX($AY$71:$BE$75,,$AH767), 1 / ($BF$71:$BF$75*CO767 + (1-$BF$71:$BF$75)*CK767), N($AU$71:$AU$75&gt;$AM767)),
SUMPRODUCT(INDEX($AV$66:$AX$75,,$AI767), INDEX($AY$66:$BE$75,,$AH767), 1 / ($BG$66:$BG$75*CO767 + (1-$BG$66:$BG$75)*CK767), N($AU$66:$AU$75&gt;$AM767))
) / 1000</f>
        <v>0</v>
      </c>
      <c r="CQ767" s="231">
        <f t="shared" si="820"/>
        <v>25</v>
      </c>
      <c r="CR767" s="229">
        <f t="shared" si="842"/>
        <v>38</v>
      </c>
      <c r="CS767" s="234">
        <f t="shared" si="843"/>
        <v>4.0666935483870965</v>
      </c>
      <c r="CT767" s="234" cm="1">
        <f t="array" ref="CT767">$BM767 * IF($AH767&lt;=2,
SUMPRODUCT(INDEX($AV$66:$AX$70,,$AI767), INDEX($AY$66:$BE$70,,$AH767), 1 / ($BF$66:$BF$70*CS767 + (1-$BF$66:$BF$70)*CO767), N($AU$66:$AU$70&gt;$AM767)),
SUMPRODUCT(INDEX($AV$56:$AX$65,,$AI767), INDEX($AY$56:$BE$65,,$AH767), 1 / ($BG$56:$BG$65*CS767 + (1-$BG$56:$BG$65)*CO767), N($AU$56:$AU$65&gt;$AM767))
) / 1000</f>
        <v>0</v>
      </c>
      <c r="CU767" s="231">
        <f t="shared" si="821"/>
        <v>20</v>
      </c>
      <c r="CV767" s="229">
        <f t="shared" si="844"/>
        <v>33</v>
      </c>
      <c r="CW767" s="234">
        <f t="shared" si="845"/>
        <v>4.8487499999999999</v>
      </c>
      <c r="CX767" s="234" cm="1">
        <f t="array" ref="CX767">$BM767 * IF($AH767&lt;=2,
SUMPRODUCT(INDEX($AV$61:$AX$65,,$AI767), INDEX($AY$61:$BE$65,,$AH767), 1 / ($BF$61:$BF$65*CW767 + (1-$BF$61:$BF$65)*CS767), N($AU$61:$AU$65&gt;$AM767)),
SUMPRODUCT(INDEX($AV$46:$AX$55,,$AI767), INDEX($AY$46:$BE$55,,$AH767), 1 / ($BG$46:$BG$55*CW767 + (1-$BG$46:$BG$55)*CS767), N($AU$46:$AU$55&gt;$AM767))
) / 1000</f>
        <v>0</v>
      </c>
      <c r="CY767" s="234" cm="1">
        <f t="array" ref="CY767">$BM767 * IF($AH767&lt;=2,
SUMPRODUCT(INDEX($AV$22:$AX$60,,$AI767), INDEX($AY$22:$BE$60,,$AH767), 1 / ($BF$22:$BF$60*CW767), N($AU$22:$AU$60&gt;$AM767)),
SUMPRODUCT(INDEX($AV$22:$AX$45,,$AI767), INDEX($AY$22:$BE$45,,$AH767), 1 / ($BG$22:$BG$45*CW767), N($AU$22:$AU$45&gt;$AM767))
) / 1000</f>
        <v>0</v>
      </c>
      <c r="CZ767" s="229">
        <f t="shared" si="846"/>
        <v>0</v>
      </c>
      <c r="DA767" s="246"/>
    </row>
    <row r="768" spans="1:105" s="75" customFormat="1" ht="14.25" customHeight="1" x14ac:dyDescent="0.2">
      <c r="A768" s="230" t="b">
        <f t="shared" si="813"/>
        <v>0</v>
      </c>
      <c r="B768" s="253">
        <v>747</v>
      </c>
      <c r="C768" s="266"/>
      <c r="D768" s="266"/>
      <c r="E768" s="254"/>
      <c r="F768" s="255" t="str">
        <f>IF(ISBLANK(E768), "", VLOOKUP(E768, Z!$A$2:$C$4127, 3, FALSE))</f>
        <v/>
      </c>
      <c r="G768" s="256"/>
      <c r="H768" s="256"/>
      <c r="I768" s="256"/>
      <c r="J768" s="257"/>
      <c r="K768" s="258"/>
      <c r="L768" s="267"/>
      <c r="M768" s="268"/>
      <c r="N768" s="259" t="str" cm="1">
        <f t="array" ref="N768">IF($L768&gt;0, INDEX(Clean,1+AK768,$D$1), "")</f>
        <v/>
      </c>
      <c r="O768" s="260"/>
      <c r="P768" s="260"/>
      <c r="Q768" s="261"/>
      <c r="R768" s="264">
        <f t="shared" si="822"/>
        <v>0</v>
      </c>
      <c r="S768" s="259" t="str" cm="1">
        <f t="array" ref="S768">IF($L768&gt;0, INDEX(Clean,1+AL768,$D$1), "")</f>
        <v/>
      </c>
      <c r="T768" s="260"/>
      <c r="U768" s="260"/>
      <c r="V768" s="261"/>
      <c r="W768" s="267"/>
      <c r="X768" s="267"/>
      <c r="Y768" s="257"/>
      <c r="Z768" s="264">
        <f t="shared" si="823"/>
        <v>0</v>
      </c>
      <c r="AA768" s="269"/>
      <c r="AB768" s="266"/>
      <c r="AC768" s="254"/>
      <c r="AD768" s="255" t="str">
        <f>IF(ISBLANK(AC768), "", VLOOKUP(AC768, Z!$A$2:$C$4127, 3, FALSE))</f>
        <v/>
      </c>
      <c r="AE768" s="270"/>
      <c r="AF768" s="265">
        <f t="shared" si="824"/>
        <v>0</v>
      </c>
      <c r="AG768" s="246"/>
      <c r="AH768" s="228">
        <f t="shared" si="847"/>
        <v>1</v>
      </c>
      <c r="AI768" s="228">
        <f t="shared" si="848"/>
        <v>1</v>
      </c>
      <c r="AJ768" s="228">
        <f t="shared" si="849"/>
        <v>0</v>
      </c>
      <c r="AK768" s="228">
        <v>0</v>
      </c>
      <c r="AL768" s="228">
        <v>0</v>
      </c>
      <c r="AM768" s="228">
        <f t="shared" si="825"/>
        <v>-100</v>
      </c>
      <c r="AN768" s="228" cm="1">
        <f t="array" ref="AN768">IF(ISBLANK(G768), 1, IFERROR(MATCH(G768, INDEX(Kat,,1), 0), IFERROR(MATCH(Kat, INDEX(Use,,2), 0), MATCH(Kat, INDEX(Use,,3), 0))))</f>
        <v>1</v>
      </c>
      <c r="AO768" s="246"/>
      <c r="AP768" s="228" cm="1">
        <f t="array" ref="AP768">IF(W768&gt;0, INDEX(Kat, AN768,4), 0)</f>
        <v>0</v>
      </c>
      <c r="AQ768" s="228">
        <f t="shared" si="850"/>
        <v>0</v>
      </c>
      <c r="AR768" s="228" cm="1">
        <f t="array" ref="AR768">IF(X768&gt;0, INDEX(Kat, $AN768, 4+AQ768), 0)</f>
        <v>0</v>
      </c>
      <c r="AS768" s="228" cm="1">
        <f t="array" ref="AS768">IF(X768&gt;0, INDEX(Kat, $AN768, 9+AQ768), 0)</f>
        <v>0</v>
      </c>
      <c r="AT768" s="246"/>
      <c r="AU768" s="262"/>
      <c r="AV768" s="262"/>
      <c r="AW768" s="263"/>
      <c r="AX768" s="263"/>
      <c r="AY768" s="263"/>
      <c r="AZ768" s="263"/>
      <c r="BA768" s="263"/>
      <c r="BB768" s="263"/>
      <c r="BC768" s="263"/>
      <c r="BD768" s="263"/>
      <c r="BE768" s="263"/>
      <c r="BF768" s="263"/>
      <c r="BG768" s="263"/>
      <c r="BH768" s="246"/>
      <c r="BI768" s="228" cm="1">
        <f t="array" ref="BI768">INDEX(Use, $AH768, 4)</f>
        <v>7</v>
      </c>
      <c r="BJ768" s="228">
        <f t="shared" si="826"/>
        <v>32</v>
      </c>
      <c r="BK768" s="228">
        <f t="shared" si="814"/>
        <v>13</v>
      </c>
      <c r="BL768" s="228">
        <f t="shared" si="815"/>
        <v>0</v>
      </c>
      <c r="BM768" s="233" cm="1">
        <f t="array" ref="BM768">L768/IF($M768&gt;0, INDEX($AY$22:$BE$76, $M768+20, $AH768), 1)</f>
        <v>0</v>
      </c>
      <c r="BN768" s="229">
        <f t="shared" si="827"/>
        <v>0</v>
      </c>
      <c r="BO768" s="228">
        <v>35</v>
      </c>
      <c r="BP768" s="229">
        <f t="shared" si="828"/>
        <v>48</v>
      </c>
      <c r="BQ768" s="234">
        <f t="shared" si="829"/>
        <v>3.0748170731707316</v>
      </c>
      <c r="BR768" s="234" cm="1">
        <f t="array" ref="BR768">$BM768 * SUMPRODUCT(INDEX($AV$76:$AX$81,,$AI768),INDEX($AY$76:$BE$81,,$AH768), N($AU$76:$AU$81&gt;$AM768)) / BQ768 / 1000</f>
        <v>0</v>
      </c>
      <c r="BS768" s="231">
        <f t="shared" si="816"/>
        <v>30</v>
      </c>
      <c r="BT768" s="229">
        <f t="shared" si="830"/>
        <v>43</v>
      </c>
      <c r="BU768" s="234">
        <f t="shared" si="831"/>
        <v>3.5018750000000001</v>
      </c>
      <c r="BV768" s="234" cm="1">
        <f t="array" ref="BV768">$BM768 * IF($AH768&lt;=2,
SUMPRODUCT(INDEX($AV$71:$AX$75,,$AI768), INDEX($AY$71:$BE$75,,$AH768), 1 / ($BF$71:$BF$75*BU768 + (1-$BF$71:$BF$75)*BQ768), N($AU$71:$AU$75&gt;$AM768)),
SUMPRODUCT(INDEX($AV$66:$AX$75,,$AI768), INDEX($AY$66:$BE$75,,$AH768), 1 / ($BG$66:$BG$75*BU768 + (1-$BG$66:$BG$75)*BQ768), N($AU$66:$AU$75&gt;$AM768))
) / 1000</f>
        <v>0</v>
      </c>
      <c r="BW768" s="231">
        <f t="shared" si="817"/>
        <v>25</v>
      </c>
      <c r="BX768" s="229">
        <f t="shared" si="832"/>
        <v>38</v>
      </c>
      <c r="BY768" s="234">
        <f t="shared" si="833"/>
        <v>4.0666935483870965</v>
      </c>
      <c r="BZ768" s="234" cm="1">
        <f t="array" ref="BZ768">$BM768 * IF($AH768&lt;=2,
SUMPRODUCT(INDEX($AV$66:$AX$70,,$AI768), INDEX($AY$66:$BE$70,,$AH768), 1 / ($BF$66:$BF$70*BY768 + (1-$BF$66:$BF$70)*BU768), N($AU$66:$AU$70&gt;$AM768)),
SUMPRODUCT(INDEX($AV$56:$AX$65,,$AI768), INDEX($AY$56:$BE$65,,$AH768), 1 / ($BG$56:$BG$65*BY768 + (1-$BG$56:$BG$65)*BU768), N($AU$56:$AU$65&gt;$AM768))
) / 1000</f>
        <v>0</v>
      </c>
      <c r="CA768" s="231">
        <f t="shared" si="818"/>
        <v>20</v>
      </c>
      <c r="CB768" s="229">
        <f t="shared" si="834"/>
        <v>33</v>
      </c>
      <c r="CC768" s="234">
        <f t="shared" si="835"/>
        <v>4.8487499999999999</v>
      </c>
      <c r="CD768" s="234" cm="1">
        <f t="array" ref="CD768">$BM768 * IF($AH768&lt;=2,
SUMPRODUCT(INDEX($AV$61:$AX$65,,$AI768), INDEX($AY$61:$BE$65,,$AH768), 1 / ($BF$61:$BF$65*CC768 + (1-$BF$61:$BF$65)*BY768), N($AU$61:$AU$65&gt;$AM768)),
SUMPRODUCT(INDEX($AV$46:$AX$55,,$AI768), INDEX($AY$46:$BE$55,,$AH768), 1 / ($BG$46:$BG$55*CC768 + (1-$BG$46:$BG$55)*BY768), N($AU$46:$AU$55&gt;$AM768))
) / 1000</f>
        <v>0</v>
      </c>
      <c r="CE768" s="234" cm="1">
        <f t="array" ref="CE768">$BM768 * IF($AH768&lt;=2,
SUMPRODUCT(INDEX($AV$22:$AX$60,,$AI768), INDEX($AY$22:$BE$60,,$AH768), 1 / ($BF$22:$BF$60*CC768), N($AU$22:$AU$60&gt;$AM768)),
SUMPRODUCT(INDEX($AV$22:$AX$45,,$AI768), INDEX($AY$22:$BE$45,,$AH768), 1 / ($BG$22:$BG$45*CC768), N($AU$22:$AU$45&gt;$AM768))
) / 1000</f>
        <v>0</v>
      </c>
      <c r="CF768" s="229">
        <f t="shared" si="836"/>
        <v>0</v>
      </c>
      <c r="CG768" s="246"/>
      <c r="CH768" s="229">
        <f t="shared" si="837"/>
        <v>0</v>
      </c>
      <c r="CI768" s="228">
        <v>35</v>
      </c>
      <c r="CJ768" s="229">
        <f t="shared" si="838"/>
        <v>48</v>
      </c>
      <c r="CK768" s="234">
        <f t="shared" si="839"/>
        <v>3.0748170731707316</v>
      </c>
      <c r="CL768" s="234" cm="1">
        <f t="array" ref="CL768">$BM768 * SUMPRODUCT(INDEX($AV$76:$AX$81,,$AI768),INDEX($AY$76:$BE$81,,$AH768), N($AU$76:$AU$81&gt;$AM768)) / CK768 / 1000</f>
        <v>0</v>
      </c>
      <c r="CM768" s="231">
        <f t="shared" si="819"/>
        <v>30</v>
      </c>
      <c r="CN768" s="229">
        <f t="shared" si="840"/>
        <v>43</v>
      </c>
      <c r="CO768" s="234">
        <f t="shared" si="841"/>
        <v>3.5018750000000001</v>
      </c>
      <c r="CP768" s="234" cm="1">
        <f t="array" ref="CP768">$BM768 * IF($AH768&lt;=2,
SUMPRODUCT(INDEX($AV$71:$AX$75,,$AI768), INDEX($AY$71:$BE$75,,$AH768), 1 / ($BF$71:$BF$75*CO768 + (1-$BF$71:$BF$75)*CK768), N($AU$71:$AU$75&gt;$AM768)),
SUMPRODUCT(INDEX($AV$66:$AX$75,,$AI768), INDEX($AY$66:$BE$75,,$AH768), 1 / ($BG$66:$BG$75*CO768 + (1-$BG$66:$BG$75)*CK768), N($AU$66:$AU$75&gt;$AM768))
) / 1000</f>
        <v>0</v>
      </c>
      <c r="CQ768" s="231">
        <f t="shared" si="820"/>
        <v>25</v>
      </c>
      <c r="CR768" s="229">
        <f t="shared" si="842"/>
        <v>38</v>
      </c>
      <c r="CS768" s="234">
        <f t="shared" si="843"/>
        <v>4.0666935483870965</v>
      </c>
      <c r="CT768" s="234" cm="1">
        <f t="array" ref="CT768">$BM768 * IF($AH768&lt;=2,
SUMPRODUCT(INDEX($AV$66:$AX$70,,$AI768), INDEX($AY$66:$BE$70,,$AH768), 1 / ($BF$66:$BF$70*CS768 + (1-$BF$66:$BF$70)*CO768), N($AU$66:$AU$70&gt;$AM768)),
SUMPRODUCT(INDEX($AV$56:$AX$65,,$AI768), INDEX($AY$56:$BE$65,,$AH768), 1 / ($BG$56:$BG$65*CS768 + (1-$BG$56:$BG$65)*CO768), N($AU$56:$AU$65&gt;$AM768))
) / 1000</f>
        <v>0</v>
      </c>
      <c r="CU768" s="231">
        <f t="shared" si="821"/>
        <v>20</v>
      </c>
      <c r="CV768" s="229">
        <f t="shared" si="844"/>
        <v>33</v>
      </c>
      <c r="CW768" s="234">
        <f t="shared" si="845"/>
        <v>4.8487499999999999</v>
      </c>
      <c r="CX768" s="234" cm="1">
        <f t="array" ref="CX768">$BM768 * IF($AH768&lt;=2,
SUMPRODUCT(INDEX($AV$61:$AX$65,,$AI768), INDEX($AY$61:$BE$65,,$AH768), 1 / ($BF$61:$BF$65*CW768 + (1-$BF$61:$BF$65)*CS768), N($AU$61:$AU$65&gt;$AM768)),
SUMPRODUCT(INDEX($AV$46:$AX$55,,$AI768), INDEX($AY$46:$BE$55,,$AH768), 1 / ($BG$46:$BG$55*CW768 + (1-$BG$46:$BG$55)*CS768), N($AU$46:$AU$55&gt;$AM768))
) / 1000</f>
        <v>0</v>
      </c>
      <c r="CY768" s="234" cm="1">
        <f t="array" ref="CY768">$BM768 * IF($AH768&lt;=2,
SUMPRODUCT(INDEX($AV$22:$AX$60,,$AI768), INDEX($AY$22:$BE$60,,$AH768), 1 / ($BF$22:$BF$60*CW768), N($AU$22:$AU$60&gt;$AM768)),
SUMPRODUCT(INDEX($AV$22:$AX$45,,$AI768), INDEX($AY$22:$BE$45,,$AH768), 1 / ($BG$22:$BG$45*CW768), N($AU$22:$AU$45&gt;$AM768))
) / 1000</f>
        <v>0</v>
      </c>
      <c r="CZ768" s="229">
        <f t="shared" si="846"/>
        <v>0</v>
      </c>
      <c r="DA768" s="246"/>
    </row>
    <row r="769" spans="1:105" s="75" customFormat="1" ht="14.25" customHeight="1" x14ac:dyDescent="0.2">
      <c r="A769" s="230" t="b">
        <f t="shared" si="813"/>
        <v>0</v>
      </c>
      <c r="B769" s="253">
        <v>748</v>
      </c>
      <c r="C769" s="266"/>
      <c r="D769" s="266"/>
      <c r="E769" s="254"/>
      <c r="F769" s="255" t="str">
        <f>IF(ISBLANK(E769), "", VLOOKUP(E769, Z!$A$2:$C$4127, 3, FALSE))</f>
        <v/>
      </c>
      <c r="G769" s="256"/>
      <c r="H769" s="256"/>
      <c r="I769" s="256"/>
      <c r="J769" s="257"/>
      <c r="K769" s="258"/>
      <c r="L769" s="267"/>
      <c r="M769" s="268"/>
      <c r="N769" s="259" t="str" cm="1">
        <f t="array" ref="N769">IF($L769&gt;0, INDEX(Clean,1+AK769,$D$1), "")</f>
        <v/>
      </c>
      <c r="O769" s="260"/>
      <c r="P769" s="260"/>
      <c r="Q769" s="261"/>
      <c r="R769" s="264">
        <f t="shared" si="822"/>
        <v>0</v>
      </c>
      <c r="S769" s="259" t="str" cm="1">
        <f t="array" ref="S769">IF($L769&gt;0, INDEX(Clean,1+AL769,$D$1), "")</f>
        <v/>
      </c>
      <c r="T769" s="260"/>
      <c r="U769" s="260"/>
      <c r="V769" s="261"/>
      <c r="W769" s="267"/>
      <c r="X769" s="267"/>
      <c r="Y769" s="257"/>
      <c r="Z769" s="264">
        <f t="shared" si="823"/>
        <v>0</v>
      </c>
      <c r="AA769" s="269"/>
      <c r="AB769" s="266"/>
      <c r="AC769" s="254"/>
      <c r="AD769" s="255" t="str">
        <f>IF(ISBLANK(AC769), "", VLOOKUP(AC769, Z!$A$2:$C$4127, 3, FALSE))</f>
        <v/>
      </c>
      <c r="AE769" s="270"/>
      <c r="AF769" s="265">
        <f t="shared" si="824"/>
        <v>0</v>
      </c>
      <c r="AG769" s="246"/>
      <c r="AH769" s="228">
        <f t="shared" si="847"/>
        <v>1</v>
      </c>
      <c r="AI769" s="228">
        <f t="shared" si="848"/>
        <v>1</v>
      </c>
      <c r="AJ769" s="228">
        <f t="shared" si="849"/>
        <v>0</v>
      </c>
      <c r="AK769" s="228">
        <v>0</v>
      </c>
      <c r="AL769" s="228">
        <v>0</v>
      </c>
      <c r="AM769" s="228">
        <f t="shared" si="825"/>
        <v>-100</v>
      </c>
      <c r="AN769" s="228" cm="1">
        <f t="array" ref="AN769">IF(ISBLANK(G769), 1, IFERROR(MATCH(G769, INDEX(Kat,,1), 0), IFERROR(MATCH(Kat, INDEX(Use,,2), 0), MATCH(Kat, INDEX(Use,,3), 0))))</f>
        <v>1</v>
      </c>
      <c r="AO769" s="246"/>
      <c r="AP769" s="228" cm="1">
        <f t="array" ref="AP769">IF(W769&gt;0, INDEX(Kat, AN769,4), 0)</f>
        <v>0</v>
      </c>
      <c r="AQ769" s="228">
        <f t="shared" si="850"/>
        <v>0</v>
      </c>
      <c r="AR769" s="228" cm="1">
        <f t="array" ref="AR769">IF(X769&gt;0, INDEX(Kat, $AN769, 4+AQ769), 0)</f>
        <v>0</v>
      </c>
      <c r="AS769" s="228" cm="1">
        <f t="array" ref="AS769">IF(X769&gt;0, INDEX(Kat, $AN769, 9+AQ769), 0)</f>
        <v>0</v>
      </c>
      <c r="AT769" s="246"/>
      <c r="AU769" s="262"/>
      <c r="AV769" s="262"/>
      <c r="AW769" s="263"/>
      <c r="AX769" s="263"/>
      <c r="AY769" s="263"/>
      <c r="AZ769" s="263"/>
      <c r="BA769" s="263"/>
      <c r="BB769" s="263"/>
      <c r="BC769" s="263"/>
      <c r="BD769" s="263"/>
      <c r="BE769" s="263"/>
      <c r="BF769" s="263"/>
      <c r="BG769" s="263"/>
      <c r="BH769" s="246"/>
      <c r="BI769" s="228" cm="1">
        <f t="array" ref="BI769">INDEX(Use, $AH769, 4)</f>
        <v>7</v>
      </c>
      <c r="BJ769" s="228">
        <f t="shared" si="826"/>
        <v>32</v>
      </c>
      <c r="BK769" s="228">
        <f t="shared" si="814"/>
        <v>13</v>
      </c>
      <c r="BL769" s="228">
        <f t="shared" si="815"/>
        <v>0</v>
      </c>
      <c r="BM769" s="233" cm="1">
        <f t="array" ref="BM769">L769/IF($M769&gt;0, INDEX($AY$22:$BE$76, $M769+20, $AH769), 1)</f>
        <v>0</v>
      </c>
      <c r="BN769" s="229">
        <f t="shared" si="827"/>
        <v>0</v>
      </c>
      <c r="BO769" s="228">
        <v>35</v>
      </c>
      <c r="BP769" s="229">
        <f t="shared" si="828"/>
        <v>48</v>
      </c>
      <c r="BQ769" s="234">
        <f t="shared" si="829"/>
        <v>3.0748170731707316</v>
      </c>
      <c r="BR769" s="234" cm="1">
        <f t="array" ref="BR769">$BM769 * SUMPRODUCT(INDEX($AV$76:$AX$81,,$AI769),INDEX($AY$76:$BE$81,,$AH769), N($AU$76:$AU$81&gt;$AM769)) / BQ769 / 1000</f>
        <v>0</v>
      </c>
      <c r="BS769" s="231">
        <f t="shared" si="816"/>
        <v>30</v>
      </c>
      <c r="BT769" s="229">
        <f t="shared" si="830"/>
        <v>43</v>
      </c>
      <c r="BU769" s="234">
        <f t="shared" si="831"/>
        <v>3.5018750000000001</v>
      </c>
      <c r="BV769" s="234" cm="1">
        <f t="array" ref="BV769">$BM769 * IF($AH769&lt;=2,
SUMPRODUCT(INDEX($AV$71:$AX$75,,$AI769), INDEX($AY$71:$BE$75,,$AH769), 1 / ($BF$71:$BF$75*BU769 + (1-$BF$71:$BF$75)*BQ769), N($AU$71:$AU$75&gt;$AM769)),
SUMPRODUCT(INDEX($AV$66:$AX$75,,$AI769), INDEX($AY$66:$BE$75,,$AH769), 1 / ($BG$66:$BG$75*BU769 + (1-$BG$66:$BG$75)*BQ769), N($AU$66:$AU$75&gt;$AM769))
) / 1000</f>
        <v>0</v>
      </c>
      <c r="BW769" s="231">
        <f t="shared" si="817"/>
        <v>25</v>
      </c>
      <c r="BX769" s="229">
        <f t="shared" si="832"/>
        <v>38</v>
      </c>
      <c r="BY769" s="234">
        <f t="shared" si="833"/>
        <v>4.0666935483870965</v>
      </c>
      <c r="BZ769" s="234" cm="1">
        <f t="array" ref="BZ769">$BM769 * IF($AH769&lt;=2,
SUMPRODUCT(INDEX($AV$66:$AX$70,,$AI769), INDEX($AY$66:$BE$70,,$AH769), 1 / ($BF$66:$BF$70*BY769 + (1-$BF$66:$BF$70)*BU769), N($AU$66:$AU$70&gt;$AM769)),
SUMPRODUCT(INDEX($AV$56:$AX$65,,$AI769), INDEX($AY$56:$BE$65,,$AH769), 1 / ($BG$56:$BG$65*BY769 + (1-$BG$56:$BG$65)*BU769), N($AU$56:$AU$65&gt;$AM769))
) / 1000</f>
        <v>0</v>
      </c>
      <c r="CA769" s="231">
        <f t="shared" si="818"/>
        <v>20</v>
      </c>
      <c r="CB769" s="229">
        <f t="shared" si="834"/>
        <v>33</v>
      </c>
      <c r="CC769" s="234">
        <f t="shared" si="835"/>
        <v>4.8487499999999999</v>
      </c>
      <c r="CD769" s="234" cm="1">
        <f t="array" ref="CD769">$BM769 * IF($AH769&lt;=2,
SUMPRODUCT(INDEX($AV$61:$AX$65,,$AI769), INDEX($AY$61:$BE$65,,$AH769), 1 / ($BF$61:$BF$65*CC769 + (1-$BF$61:$BF$65)*BY769), N($AU$61:$AU$65&gt;$AM769)),
SUMPRODUCT(INDEX($AV$46:$AX$55,,$AI769), INDEX($AY$46:$BE$55,,$AH769), 1 / ($BG$46:$BG$55*CC769 + (1-$BG$46:$BG$55)*BY769), N($AU$46:$AU$55&gt;$AM769))
) / 1000</f>
        <v>0</v>
      </c>
      <c r="CE769" s="234" cm="1">
        <f t="array" ref="CE769">$BM769 * IF($AH769&lt;=2,
SUMPRODUCT(INDEX($AV$22:$AX$60,,$AI769), INDEX($AY$22:$BE$60,,$AH769), 1 / ($BF$22:$BF$60*CC769), N($AU$22:$AU$60&gt;$AM769)),
SUMPRODUCT(INDEX($AV$22:$AX$45,,$AI769), INDEX($AY$22:$BE$45,,$AH769), 1 / ($BG$22:$BG$45*CC769), N($AU$22:$AU$45&gt;$AM769))
) / 1000</f>
        <v>0</v>
      </c>
      <c r="CF769" s="229">
        <f t="shared" si="836"/>
        <v>0</v>
      </c>
      <c r="CG769" s="246"/>
      <c r="CH769" s="229">
        <f t="shared" si="837"/>
        <v>0</v>
      </c>
      <c r="CI769" s="228">
        <v>35</v>
      </c>
      <c r="CJ769" s="229">
        <f t="shared" si="838"/>
        <v>48</v>
      </c>
      <c r="CK769" s="234">
        <f t="shared" si="839"/>
        <v>3.0748170731707316</v>
      </c>
      <c r="CL769" s="234" cm="1">
        <f t="array" ref="CL769">$BM769 * SUMPRODUCT(INDEX($AV$76:$AX$81,,$AI769),INDEX($AY$76:$BE$81,,$AH769), N($AU$76:$AU$81&gt;$AM769)) / CK769 / 1000</f>
        <v>0</v>
      </c>
      <c r="CM769" s="231">
        <f t="shared" si="819"/>
        <v>30</v>
      </c>
      <c r="CN769" s="229">
        <f t="shared" si="840"/>
        <v>43</v>
      </c>
      <c r="CO769" s="234">
        <f t="shared" si="841"/>
        <v>3.5018750000000001</v>
      </c>
      <c r="CP769" s="234" cm="1">
        <f t="array" ref="CP769">$BM769 * IF($AH769&lt;=2,
SUMPRODUCT(INDEX($AV$71:$AX$75,,$AI769), INDEX($AY$71:$BE$75,,$AH769), 1 / ($BF$71:$BF$75*CO769 + (1-$BF$71:$BF$75)*CK769), N($AU$71:$AU$75&gt;$AM769)),
SUMPRODUCT(INDEX($AV$66:$AX$75,,$AI769), INDEX($AY$66:$BE$75,,$AH769), 1 / ($BG$66:$BG$75*CO769 + (1-$BG$66:$BG$75)*CK769), N($AU$66:$AU$75&gt;$AM769))
) / 1000</f>
        <v>0</v>
      </c>
      <c r="CQ769" s="231">
        <f t="shared" si="820"/>
        <v>25</v>
      </c>
      <c r="CR769" s="229">
        <f t="shared" si="842"/>
        <v>38</v>
      </c>
      <c r="CS769" s="234">
        <f t="shared" si="843"/>
        <v>4.0666935483870965</v>
      </c>
      <c r="CT769" s="234" cm="1">
        <f t="array" ref="CT769">$BM769 * IF($AH769&lt;=2,
SUMPRODUCT(INDEX($AV$66:$AX$70,,$AI769), INDEX($AY$66:$BE$70,,$AH769), 1 / ($BF$66:$BF$70*CS769 + (1-$BF$66:$BF$70)*CO769), N($AU$66:$AU$70&gt;$AM769)),
SUMPRODUCT(INDEX($AV$56:$AX$65,,$AI769), INDEX($AY$56:$BE$65,,$AH769), 1 / ($BG$56:$BG$65*CS769 + (1-$BG$56:$BG$65)*CO769), N($AU$56:$AU$65&gt;$AM769))
) / 1000</f>
        <v>0</v>
      </c>
      <c r="CU769" s="231">
        <f t="shared" si="821"/>
        <v>20</v>
      </c>
      <c r="CV769" s="229">
        <f t="shared" si="844"/>
        <v>33</v>
      </c>
      <c r="CW769" s="234">
        <f t="shared" si="845"/>
        <v>4.8487499999999999</v>
      </c>
      <c r="CX769" s="234" cm="1">
        <f t="array" ref="CX769">$BM769 * IF($AH769&lt;=2,
SUMPRODUCT(INDEX($AV$61:$AX$65,,$AI769), INDEX($AY$61:$BE$65,,$AH769), 1 / ($BF$61:$BF$65*CW769 + (1-$BF$61:$BF$65)*CS769), N($AU$61:$AU$65&gt;$AM769)),
SUMPRODUCT(INDEX($AV$46:$AX$55,,$AI769), INDEX($AY$46:$BE$55,,$AH769), 1 / ($BG$46:$BG$55*CW769 + (1-$BG$46:$BG$55)*CS769), N($AU$46:$AU$55&gt;$AM769))
) / 1000</f>
        <v>0</v>
      </c>
      <c r="CY769" s="234" cm="1">
        <f t="array" ref="CY769">$BM769 * IF($AH769&lt;=2,
SUMPRODUCT(INDEX($AV$22:$AX$60,,$AI769), INDEX($AY$22:$BE$60,,$AH769), 1 / ($BF$22:$BF$60*CW769), N($AU$22:$AU$60&gt;$AM769)),
SUMPRODUCT(INDEX($AV$22:$AX$45,,$AI769), INDEX($AY$22:$BE$45,,$AH769), 1 / ($BG$22:$BG$45*CW769), N($AU$22:$AU$45&gt;$AM769))
) / 1000</f>
        <v>0</v>
      </c>
      <c r="CZ769" s="229">
        <f t="shared" si="846"/>
        <v>0</v>
      </c>
      <c r="DA769" s="246"/>
    </row>
    <row r="770" spans="1:105" s="75" customFormat="1" ht="14.25" customHeight="1" x14ac:dyDescent="0.2">
      <c r="A770" s="230" t="b">
        <f t="shared" si="813"/>
        <v>0</v>
      </c>
      <c r="B770" s="253">
        <v>749</v>
      </c>
      <c r="C770" s="266"/>
      <c r="D770" s="266"/>
      <c r="E770" s="254"/>
      <c r="F770" s="255" t="str">
        <f>IF(ISBLANK(E770), "", VLOOKUP(E770, Z!$A$2:$C$4127, 3, FALSE))</f>
        <v/>
      </c>
      <c r="G770" s="256"/>
      <c r="H770" s="256"/>
      <c r="I770" s="256"/>
      <c r="J770" s="257"/>
      <c r="K770" s="258"/>
      <c r="L770" s="267"/>
      <c r="M770" s="268"/>
      <c r="N770" s="259" t="str" cm="1">
        <f t="array" ref="N770">IF($L770&gt;0, INDEX(Clean,1+AK770,$D$1), "")</f>
        <v/>
      </c>
      <c r="O770" s="260"/>
      <c r="P770" s="260"/>
      <c r="Q770" s="261"/>
      <c r="R770" s="264">
        <f t="shared" si="822"/>
        <v>0</v>
      </c>
      <c r="S770" s="259" t="str" cm="1">
        <f t="array" ref="S770">IF($L770&gt;0, INDEX(Clean,1+AL770,$D$1), "")</f>
        <v/>
      </c>
      <c r="T770" s="260"/>
      <c r="U770" s="260"/>
      <c r="V770" s="261"/>
      <c r="W770" s="267"/>
      <c r="X770" s="267"/>
      <c r="Y770" s="257"/>
      <c r="Z770" s="264">
        <f t="shared" si="823"/>
        <v>0</v>
      </c>
      <c r="AA770" s="269"/>
      <c r="AB770" s="266"/>
      <c r="AC770" s="254"/>
      <c r="AD770" s="255" t="str">
        <f>IF(ISBLANK(AC770), "", VLOOKUP(AC770, Z!$A$2:$C$4127, 3, FALSE))</f>
        <v/>
      </c>
      <c r="AE770" s="270"/>
      <c r="AF770" s="265">
        <f t="shared" si="824"/>
        <v>0</v>
      </c>
      <c r="AG770" s="246"/>
      <c r="AH770" s="228">
        <f t="shared" si="847"/>
        <v>1</v>
      </c>
      <c r="AI770" s="228">
        <f t="shared" si="848"/>
        <v>1</v>
      </c>
      <c r="AJ770" s="228">
        <f t="shared" si="849"/>
        <v>0</v>
      </c>
      <c r="AK770" s="228">
        <v>0</v>
      </c>
      <c r="AL770" s="228">
        <v>0</v>
      </c>
      <c r="AM770" s="228">
        <f t="shared" si="825"/>
        <v>-100</v>
      </c>
      <c r="AN770" s="228" cm="1">
        <f t="array" ref="AN770">IF(ISBLANK(G770), 1, IFERROR(MATCH(G770, INDEX(Kat,,1), 0), IFERROR(MATCH(Kat, INDEX(Use,,2), 0), MATCH(Kat, INDEX(Use,,3), 0))))</f>
        <v>1</v>
      </c>
      <c r="AO770" s="246"/>
      <c r="AP770" s="228" cm="1">
        <f t="array" ref="AP770">IF(W770&gt;0, INDEX(Kat, AN770,4), 0)</f>
        <v>0</v>
      </c>
      <c r="AQ770" s="228">
        <f t="shared" si="850"/>
        <v>0</v>
      </c>
      <c r="AR770" s="228" cm="1">
        <f t="array" ref="AR770">IF(X770&gt;0, INDEX(Kat, $AN770, 4+AQ770), 0)</f>
        <v>0</v>
      </c>
      <c r="AS770" s="228" cm="1">
        <f t="array" ref="AS770">IF(X770&gt;0, INDEX(Kat, $AN770, 9+AQ770), 0)</f>
        <v>0</v>
      </c>
      <c r="AT770" s="246"/>
      <c r="AU770" s="262"/>
      <c r="AV770" s="262"/>
      <c r="AW770" s="263"/>
      <c r="AX770" s="263"/>
      <c r="AY770" s="263"/>
      <c r="AZ770" s="263"/>
      <c r="BA770" s="263"/>
      <c r="BB770" s="263"/>
      <c r="BC770" s="263"/>
      <c r="BD770" s="263"/>
      <c r="BE770" s="263"/>
      <c r="BF770" s="263"/>
      <c r="BG770" s="263"/>
      <c r="BH770" s="246"/>
      <c r="BI770" s="228" cm="1">
        <f t="array" ref="BI770">INDEX(Use, $AH770, 4)</f>
        <v>7</v>
      </c>
      <c r="BJ770" s="228">
        <f t="shared" si="826"/>
        <v>32</v>
      </c>
      <c r="BK770" s="228">
        <f t="shared" si="814"/>
        <v>13</v>
      </c>
      <c r="BL770" s="228">
        <f t="shared" si="815"/>
        <v>0</v>
      </c>
      <c r="BM770" s="233" cm="1">
        <f t="array" ref="BM770">L770/IF($M770&gt;0, INDEX($AY$22:$BE$76, $M770+20, $AH770), 1)</f>
        <v>0</v>
      </c>
      <c r="BN770" s="229">
        <f t="shared" si="827"/>
        <v>0</v>
      </c>
      <c r="BO770" s="228">
        <v>35</v>
      </c>
      <c r="BP770" s="229">
        <f t="shared" si="828"/>
        <v>48</v>
      </c>
      <c r="BQ770" s="234">
        <f t="shared" si="829"/>
        <v>3.0748170731707316</v>
      </c>
      <c r="BR770" s="234" cm="1">
        <f t="array" ref="BR770">$BM770 * SUMPRODUCT(INDEX($AV$76:$AX$81,,$AI770),INDEX($AY$76:$BE$81,,$AH770), N($AU$76:$AU$81&gt;$AM770)) / BQ770 / 1000</f>
        <v>0</v>
      </c>
      <c r="BS770" s="231">
        <f t="shared" si="816"/>
        <v>30</v>
      </c>
      <c r="BT770" s="229">
        <f t="shared" si="830"/>
        <v>43</v>
      </c>
      <c r="BU770" s="234">
        <f t="shared" si="831"/>
        <v>3.5018750000000001</v>
      </c>
      <c r="BV770" s="234" cm="1">
        <f t="array" ref="BV770">$BM770 * IF($AH770&lt;=2,
SUMPRODUCT(INDEX($AV$71:$AX$75,,$AI770), INDEX($AY$71:$BE$75,,$AH770), 1 / ($BF$71:$BF$75*BU770 + (1-$BF$71:$BF$75)*BQ770), N($AU$71:$AU$75&gt;$AM770)),
SUMPRODUCT(INDEX($AV$66:$AX$75,,$AI770), INDEX($AY$66:$BE$75,,$AH770), 1 / ($BG$66:$BG$75*BU770 + (1-$BG$66:$BG$75)*BQ770), N($AU$66:$AU$75&gt;$AM770))
) / 1000</f>
        <v>0</v>
      </c>
      <c r="BW770" s="231">
        <f t="shared" si="817"/>
        <v>25</v>
      </c>
      <c r="BX770" s="229">
        <f t="shared" si="832"/>
        <v>38</v>
      </c>
      <c r="BY770" s="234">
        <f t="shared" si="833"/>
        <v>4.0666935483870965</v>
      </c>
      <c r="BZ770" s="234" cm="1">
        <f t="array" ref="BZ770">$BM770 * IF($AH770&lt;=2,
SUMPRODUCT(INDEX($AV$66:$AX$70,,$AI770), INDEX($AY$66:$BE$70,,$AH770), 1 / ($BF$66:$BF$70*BY770 + (1-$BF$66:$BF$70)*BU770), N($AU$66:$AU$70&gt;$AM770)),
SUMPRODUCT(INDEX($AV$56:$AX$65,,$AI770), INDEX($AY$56:$BE$65,,$AH770), 1 / ($BG$56:$BG$65*BY770 + (1-$BG$56:$BG$65)*BU770), N($AU$56:$AU$65&gt;$AM770))
) / 1000</f>
        <v>0</v>
      </c>
      <c r="CA770" s="231">
        <f t="shared" si="818"/>
        <v>20</v>
      </c>
      <c r="CB770" s="229">
        <f t="shared" si="834"/>
        <v>33</v>
      </c>
      <c r="CC770" s="234">
        <f t="shared" si="835"/>
        <v>4.8487499999999999</v>
      </c>
      <c r="CD770" s="234" cm="1">
        <f t="array" ref="CD770">$BM770 * IF($AH770&lt;=2,
SUMPRODUCT(INDEX($AV$61:$AX$65,,$AI770), INDEX($AY$61:$BE$65,,$AH770), 1 / ($BF$61:$BF$65*CC770 + (1-$BF$61:$BF$65)*BY770), N($AU$61:$AU$65&gt;$AM770)),
SUMPRODUCT(INDEX($AV$46:$AX$55,,$AI770), INDEX($AY$46:$BE$55,,$AH770), 1 / ($BG$46:$BG$55*CC770 + (1-$BG$46:$BG$55)*BY770), N($AU$46:$AU$55&gt;$AM770))
) / 1000</f>
        <v>0</v>
      </c>
      <c r="CE770" s="234" cm="1">
        <f t="array" ref="CE770">$BM770 * IF($AH770&lt;=2,
SUMPRODUCT(INDEX($AV$22:$AX$60,,$AI770), INDEX($AY$22:$BE$60,,$AH770), 1 / ($BF$22:$BF$60*CC770), N($AU$22:$AU$60&gt;$AM770)),
SUMPRODUCT(INDEX($AV$22:$AX$45,,$AI770), INDEX($AY$22:$BE$45,,$AH770), 1 / ($BG$22:$BG$45*CC770), N($AU$22:$AU$45&gt;$AM770))
) / 1000</f>
        <v>0</v>
      </c>
      <c r="CF770" s="229">
        <f t="shared" si="836"/>
        <v>0</v>
      </c>
      <c r="CG770" s="246"/>
      <c r="CH770" s="229">
        <f t="shared" si="837"/>
        <v>0</v>
      </c>
      <c r="CI770" s="228">
        <v>35</v>
      </c>
      <c r="CJ770" s="229">
        <f t="shared" si="838"/>
        <v>48</v>
      </c>
      <c r="CK770" s="234">
        <f t="shared" si="839"/>
        <v>3.0748170731707316</v>
      </c>
      <c r="CL770" s="234" cm="1">
        <f t="array" ref="CL770">$BM770 * SUMPRODUCT(INDEX($AV$76:$AX$81,,$AI770),INDEX($AY$76:$BE$81,,$AH770), N($AU$76:$AU$81&gt;$AM770)) / CK770 / 1000</f>
        <v>0</v>
      </c>
      <c r="CM770" s="231">
        <f t="shared" si="819"/>
        <v>30</v>
      </c>
      <c r="CN770" s="229">
        <f t="shared" si="840"/>
        <v>43</v>
      </c>
      <c r="CO770" s="234">
        <f t="shared" si="841"/>
        <v>3.5018750000000001</v>
      </c>
      <c r="CP770" s="234" cm="1">
        <f t="array" ref="CP770">$BM770 * IF($AH770&lt;=2,
SUMPRODUCT(INDEX($AV$71:$AX$75,,$AI770), INDEX($AY$71:$BE$75,,$AH770), 1 / ($BF$71:$BF$75*CO770 + (1-$BF$71:$BF$75)*CK770), N($AU$71:$AU$75&gt;$AM770)),
SUMPRODUCT(INDEX($AV$66:$AX$75,,$AI770), INDEX($AY$66:$BE$75,,$AH770), 1 / ($BG$66:$BG$75*CO770 + (1-$BG$66:$BG$75)*CK770), N($AU$66:$AU$75&gt;$AM770))
) / 1000</f>
        <v>0</v>
      </c>
      <c r="CQ770" s="231">
        <f t="shared" si="820"/>
        <v>25</v>
      </c>
      <c r="CR770" s="229">
        <f t="shared" si="842"/>
        <v>38</v>
      </c>
      <c r="CS770" s="234">
        <f t="shared" si="843"/>
        <v>4.0666935483870965</v>
      </c>
      <c r="CT770" s="234" cm="1">
        <f t="array" ref="CT770">$BM770 * IF($AH770&lt;=2,
SUMPRODUCT(INDEX($AV$66:$AX$70,,$AI770), INDEX($AY$66:$BE$70,,$AH770), 1 / ($BF$66:$BF$70*CS770 + (1-$BF$66:$BF$70)*CO770), N($AU$66:$AU$70&gt;$AM770)),
SUMPRODUCT(INDEX($AV$56:$AX$65,,$AI770), INDEX($AY$56:$BE$65,,$AH770), 1 / ($BG$56:$BG$65*CS770 + (1-$BG$56:$BG$65)*CO770), N($AU$56:$AU$65&gt;$AM770))
) / 1000</f>
        <v>0</v>
      </c>
      <c r="CU770" s="231">
        <f t="shared" si="821"/>
        <v>20</v>
      </c>
      <c r="CV770" s="229">
        <f t="shared" si="844"/>
        <v>33</v>
      </c>
      <c r="CW770" s="234">
        <f t="shared" si="845"/>
        <v>4.8487499999999999</v>
      </c>
      <c r="CX770" s="234" cm="1">
        <f t="array" ref="CX770">$BM770 * IF($AH770&lt;=2,
SUMPRODUCT(INDEX($AV$61:$AX$65,,$AI770), INDEX($AY$61:$BE$65,,$AH770), 1 / ($BF$61:$BF$65*CW770 + (1-$BF$61:$BF$65)*CS770), N($AU$61:$AU$65&gt;$AM770)),
SUMPRODUCT(INDEX($AV$46:$AX$55,,$AI770), INDEX($AY$46:$BE$55,,$AH770), 1 / ($BG$46:$BG$55*CW770 + (1-$BG$46:$BG$55)*CS770), N($AU$46:$AU$55&gt;$AM770))
) / 1000</f>
        <v>0</v>
      </c>
      <c r="CY770" s="234" cm="1">
        <f t="array" ref="CY770">$BM770 * IF($AH770&lt;=2,
SUMPRODUCT(INDEX($AV$22:$AX$60,,$AI770), INDEX($AY$22:$BE$60,,$AH770), 1 / ($BF$22:$BF$60*CW770), N($AU$22:$AU$60&gt;$AM770)),
SUMPRODUCT(INDEX($AV$22:$AX$45,,$AI770), INDEX($AY$22:$BE$45,,$AH770), 1 / ($BG$22:$BG$45*CW770), N($AU$22:$AU$45&gt;$AM770))
) / 1000</f>
        <v>0</v>
      </c>
      <c r="CZ770" s="229">
        <f t="shared" si="846"/>
        <v>0</v>
      </c>
      <c r="DA770" s="246"/>
    </row>
    <row r="771" spans="1:105" s="75" customFormat="1" ht="14.25" customHeight="1" x14ac:dyDescent="0.2">
      <c r="A771" s="230" t="b">
        <f t="shared" si="813"/>
        <v>0</v>
      </c>
      <c r="B771" s="253">
        <v>750</v>
      </c>
      <c r="C771" s="266"/>
      <c r="D771" s="266"/>
      <c r="E771" s="254"/>
      <c r="F771" s="255" t="str">
        <f>IF(ISBLANK(E771), "", VLOOKUP(E771, Z!$A$2:$C$4127, 3, FALSE))</f>
        <v/>
      </c>
      <c r="G771" s="256"/>
      <c r="H771" s="256"/>
      <c r="I771" s="256"/>
      <c r="J771" s="257"/>
      <c r="K771" s="258"/>
      <c r="L771" s="267"/>
      <c r="M771" s="268"/>
      <c r="N771" s="259" t="str" cm="1">
        <f t="array" ref="N771">IF($L771&gt;0, INDEX(Clean,1+AK771,$D$1), "")</f>
        <v/>
      </c>
      <c r="O771" s="260"/>
      <c r="P771" s="260"/>
      <c r="Q771" s="261"/>
      <c r="R771" s="264">
        <f t="shared" si="822"/>
        <v>0</v>
      </c>
      <c r="S771" s="259" t="str" cm="1">
        <f t="array" ref="S771">IF($L771&gt;0, INDEX(Clean,1+AL771,$D$1), "")</f>
        <v/>
      </c>
      <c r="T771" s="260"/>
      <c r="U771" s="260"/>
      <c r="V771" s="261"/>
      <c r="W771" s="267"/>
      <c r="X771" s="267"/>
      <c r="Y771" s="257"/>
      <c r="Z771" s="264">
        <f t="shared" si="823"/>
        <v>0</v>
      </c>
      <c r="AA771" s="269"/>
      <c r="AB771" s="266"/>
      <c r="AC771" s="254"/>
      <c r="AD771" s="255" t="str">
        <f>IF(ISBLANK(AC771), "", VLOOKUP(AC771, Z!$A$2:$C$4127, 3, FALSE))</f>
        <v/>
      </c>
      <c r="AE771" s="270"/>
      <c r="AF771" s="265">
        <f t="shared" si="824"/>
        <v>0</v>
      </c>
      <c r="AG771" s="246"/>
      <c r="AH771" s="228">
        <f t="shared" si="847"/>
        <v>1</v>
      </c>
      <c r="AI771" s="228">
        <f t="shared" si="848"/>
        <v>1</v>
      </c>
      <c r="AJ771" s="228">
        <f t="shared" si="849"/>
        <v>0</v>
      </c>
      <c r="AK771" s="228">
        <v>0</v>
      </c>
      <c r="AL771" s="228">
        <v>0</v>
      </c>
      <c r="AM771" s="228">
        <f t="shared" si="825"/>
        <v>-100</v>
      </c>
      <c r="AN771" s="228" cm="1">
        <f t="array" ref="AN771">IF(ISBLANK(G771), 1, IFERROR(MATCH(G771, INDEX(Kat,,1), 0), IFERROR(MATCH(Kat, INDEX(Use,,2), 0), MATCH(Kat, INDEX(Use,,3), 0))))</f>
        <v>1</v>
      </c>
      <c r="AO771" s="246"/>
      <c r="AP771" s="228" cm="1">
        <f t="array" ref="AP771">IF(W771&gt;0, INDEX(Kat, AN771,4), 0)</f>
        <v>0</v>
      </c>
      <c r="AQ771" s="228">
        <f t="shared" si="850"/>
        <v>0</v>
      </c>
      <c r="AR771" s="228" cm="1">
        <f t="array" ref="AR771">IF(X771&gt;0, INDEX(Kat, $AN771, 4+AQ771), 0)</f>
        <v>0</v>
      </c>
      <c r="AS771" s="228" cm="1">
        <f t="array" ref="AS771">IF(X771&gt;0, INDEX(Kat, $AN771, 9+AQ771), 0)</f>
        <v>0</v>
      </c>
      <c r="AT771" s="246"/>
      <c r="AU771" s="262"/>
      <c r="AV771" s="262"/>
      <c r="AW771" s="263"/>
      <c r="AX771" s="263"/>
      <c r="AY771" s="263"/>
      <c r="AZ771" s="263"/>
      <c r="BA771" s="263"/>
      <c r="BB771" s="263"/>
      <c r="BC771" s="263"/>
      <c r="BD771" s="263"/>
      <c r="BE771" s="263"/>
      <c r="BF771" s="263"/>
      <c r="BG771" s="263"/>
      <c r="BH771" s="246"/>
      <c r="BI771" s="228" cm="1">
        <f t="array" ref="BI771">INDEX(Use, $AH771, 4)</f>
        <v>7</v>
      </c>
      <c r="BJ771" s="228">
        <f t="shared" si="826"/>
        <v>32</v>
      </c>
      <c r="BK771" s="228">
        <f t="shared" si="814"/>
        <v>13</v>
      </c>
      <c r="BL771" s="228">
        <f t="shared" si="815"/>
        <v>0</v>
      </c>
      <c r="BM771" s="233" cm="1">
        <f t="array" ref="BM771">L771/IF($M771&gt;0, INDEX($AY$22:$BE$76, $M771+20, $AH771), 1)</f>
        <v>0</v>
      </c>
      <c r="BN771" s="229">
        <f t="shared" si="827"/>
        <v>0</v>
      </c>
      <c r="BO771" s="228">
        <v>35</v>
      </c>
      <c r="BP771" s="229">
        <f t="shared" si="828"/>
        <v>48</v>
      </c>
      <c r="BQ771" s="234">
        <f t="shared" si="829"/>
        <v>3.0748170731707316</v>
      </c>
      <c r="BR771" s="234" cm="1">
        <f t="array" ref="BR771">$BM771 * SUMPRODUCT(INDEX($AV$76:$AX$81,,$AI771),INDEX($AY$76:$BE$81,,$AH771), N($AU$76:$AU$81&gt;$AM771)) / BQ771 / 1000</f>
        <v>0</v>
      </c>
      <c r="BS771" s="231">
        <f t="shared" si="816"/>
        <v>30</v>
      </c>
      <c r="BT771" s="229">
        <f t="shared" si="830"/>
        <v>43</v>
      </c>
      <c r="BU771" s="234">
        <f t="shared" si="831"/>
        <v>3.5018750000000001</v>
      </c>
      <c r="BV771" s="234" cm="1">
        <f t="array" ref="BV771">$BM771 * IF($AH771&lt;=2,
SUMPRODUCT(INDEX($AV$71:$AX$75,,$AI771), INDEX($AY$71:$BE$75,,$AH771), 1 / ($BF$71:$BF$75*BU771 + (1-$BF$71:$BF$75)*BQ771), N($AU$71:$AU$75&gt;$AM771)),
SUMPRODUCT(INDEX($AV$66:$AX$75,,$AI771), INDEX($AY$66:$BE$75,,$AH771), 1 / ($BG$66:$BG$75*BU771 + (1-$BG$66:$BG$75)*BQ771), N($AU$66:$AU$75&gt;$AM771))
) / 1000</f>
        <v>0</v>
      </c>
      <c r="BW771" s="231">
        <f t="shared" si="817"/>
        <v>25</v>
      </c>
      <c r="BX771" s="229">
        <f t="shared" si="832"/>
        <v>38</v>
      </c>
      <c r="BY771" s="234">
        <f t="shared" si="833"/>
        <v>4.0666935483870965</v>
      </c>
      <c r="BZ771" s="234" cm="1">
        <f t="array" ref="BZ771">$BM771 * IF($AH771&lt;=2,
SUMPRODUCT(INDEX($AV$66:$AX$70,,$AI771), INDEX($AY$66:$BE$70,,$AH771), 1 / ($BF$66:$BF$70*BY771 + (1-$BF$66:$BF$70)*BU771), N($AU$66:$AU$70&gt;$AM771)),
SUMPRODUCT(INDEX($AV$56:$AX$65,,$AI771), INDEX($AY$56:$BE$65,,$AH771), 1 / ($BG$56:$BG$65*BY771 + (1-$BG$56:$BG$65)*BU771), N($AU$56:$AU$65&gt;$AM771))
) / 1000</f>
        <v>0</v>
      </c>
      <c r="CA771" s="231">
        <f t="shared" si="818"/>
        <v>20</v>
      </c>
      <c r="CB771" s="229">
        <f t="shared" si="834"/>
        <v>33</v>
      </c>
      <c r="CC771" s="234">
        <f t="shared" si="835"/>
        <v>4.8487499999999999</v>
      </c>
      <c r="CD771" s="234" cm="1">
        <f t="array" ref="CD771">$BM771 * IF($AH771&lt;=2,
SUMPRODUCT(INDEX($AV$61:$AX$65,,$AI771), INDEX($AY$61:$BE$65,,$AH771), 1 / ($BF$61:$BF$65*CC771 + (1-$BF$61:$BF$65)*BY771), N($AU$61:$AU$65&gt;$AM771)),
SUMPRODUCT(INDEX($AV$46:$AX$55,,$AI771), INDEX($AY$46:$BE$55,,$AH771), 1 / ($BG$46:$BG$55*CC771 + (1-$BG$46:$BG$55)*BY771), N($AU$46:$AU$55&gt;$AM771))
) / 1000</f>
        <v>0</v>
      </c>
      <c r="CE771" s="234" cm="1">
        <f t="array" ref="CE771">$BM771 * IF($AH771&lt;=2,
SUMPRODUCT(INDEX($AV$22:$AX$60,,$AI771), INDEX($AY$22:$BE$60,,$AH771), 1 / ($BF$22:$BF$60*CC771), N($AU$22:$AU$60&gt;$AM771)),
SUMPRODUCT(INDEX($AV$22:$AX$45,,$AI771), INDEX($AY$22:$BE$45,,$AH771), 1 / ($BG$22:$BG$45*CC771), N($AU$22:$AU$45&gt;$AM771))
) / 1000</f>
        <v>0</v>
      </c>
      <c r="CF771" s="229">
        <f t="shared" si="836"/>
        <v>0</v>
      </c>
      <c r="CG771" s="246"/>
      <c r="CH771" s="229">
        <f t="shared" si="837"/>
        <v>0</v>
      </c>
      <c r="CI771" s="228">
        <v>35</v>
      </c>
      <c r="CJ771" s="229">
        <f t="shared" si="838"/>
        <v>48</v>
      </c>
      <c r="CK771" s="234">
        <f t="shared" si="839"/>
        <v>3.0748170731707316</v>
      </c>
      <c r="CL771" s="234" cm="1">
        <f t="array" ref="CL771">$BM771 * SUMPRODUCT(INDEX($AV$76:$AX$81,,$AI771),INDEX($AY$76:$BE$81,,$AH771), N($AU$76:$AU$81&gt;$AM771)) / CK771 / 1000</f>
        <v>0</v>
      </c>
      <c r="CM771" s="231">
        <f t="shared" si="819"/>
        <v>30</v>
      </c>
      <c r="CN771" s="229">
        <f t="shared" si="840"/>
        <v>43</v>
      </c>
      <c r="CO771" s="234">
        <f t="shared" si="841"/>
        <v>3.5018750000000001</v>
      </c>
      <c r="CP771" s="234" cm="1">
        <f t="array" ref="CP771">$BM771 * IF($AH771&lt;=2,
SUMPRODUCT(INDEX($AV$71:$AX$75,,$AI771), INDEX($AY$71:$BE$75,,$AH771), 1 / ($BF$71:$BF$75*CO771 + (1-$BF$71:$BF$75)*CK771), N($AU$71:$AU$75&gt;$AM771)),
SUMPRODUCT(INDEX($AV$66:$AX$75,,$AI771), INDEX($AY$66:$BE$75,,$AH771), 1 / ($BG$66:$BG$75*CO771 + (1-$BG$66:$BG$75)*CK771), N($AU$66:$AU$75&gt;$AM771))
) / 1000</f>
        <v>0</v>
      </c>
      <c r="CQ771" s="231">
        <f t="shared" si="820"/>
        <v>25</v>
      </c>
      <c r="CR771" s="229">
        <f t="shared" si="842"/>
        <v>38</v>
      </c>
      <c r="CS771" s="234">
        <f t="shared" si="843"/>
        <v>4.0666935483870965</v>
      </c>
      <c r="CT771" s="234" cm="1">
        <f t="array" ref="CT771">$BM771 * IF($AH771&lt;=2,
SUMPRODUCT(INDEX($AV$66:$AX$70,,$AI771), INDEX($AY$66:$BE$70,,$AH771), 1 / ($BF$66:$BF$70*CS771 + (1-$BF$66:$BF$70)*CO771), N($AU$66:$AU$70&gt;$AM771)),
SUMPRODUCT(INDEX($AV$56:$AX$65,,$AI771), INDEX($AY$56:$BE$65,,$AH771), 1 / ($BG$56:$BG$65*CS771 + (1-$BG$56:$BG$65)*CO771), N($AU$56:$AU$65&gt;$AM771))
) / 1000</f>
        <v>0</v>
      </c>
      <c r="CU771" s="231">
        <f t="shared" si="821"/>
        <v>20</v>
      </c>
      <c r="CV771" s="229">
        <f t="shared" si="844"/>
        <v>33</v>
      </c>
      <c r="CW771" s="234">
        <f t="shared" si="845"/>
        <v>4.8487499999999999</v>
      </c>
      <c r="CX771" s="234" cm="1">
        <f t="array" ref="CX771">$BM771 * IF($AH771&lt;=2,
SUMPRODUCT(INDEX($AV$61:$AX$65,,$AI771), INDEX($AY$61:$BE$65,,$AH771), 1 / ($BF$61:$BF$65*CW771 + (1-$BF$61:$BF$65)*CS771), N($AU$61:$AU$65&gt;$AM771)),
SUMPRODUCT(INDEX($AV$46:$AX$55,,$AI771), INDEX($AY$46:$BE$55,,$AH771), 1 / ($BG$46:$BG$55*CW771 + (1-$BG$46:$BG$55)*CS771), N($AU$46:$AU$55&gt;$AM771))
) / 1000</f>
        <v>0</v>
      </c>
      <c r="CY771" s="234" cm="1">
        <f t="array" ref="CY771">$BM771 * IF($AH771&lt;=2,
SUMPRODUCT(INDEX($AV$22:$AX$60,,$AI771), INDEX($AY$22:$BE$60,,$AH771), 1 / ($BF$22:$BF$60*CW771), N($AU$22:$AU$60&gt;$AM771)),
SUMPRODUCT(INDEX($AV$22:$AX$45,,$AI771), INDEX($AY$22:$BE$45,,$AH771), 1 / ($BG$22:$BG$45*CW771), N($AU$22:$AU$45&gt;$AM771))
) / 1000</f>
        <v>0</v>
      </c>
      <c r="CZ771" s="229">
        <f t="shared" si="846"/>
        <v>0</v>
      </c>
      <c r="DA771" s="246"/>
    </row>
    <row r="772" spans="1:105" s="75" customFormat="1" ht="14.25" customHeight="1" x14ac:dyDescent="0.2">
      <c r="A772" s="230" t="b">
        <f t="shared" si="813"/>
        <v>0</v>
      </c>
      <c r="B772" s="253">
        <v>751</v>
      </c>
      <c r="C772" s="266"/>
      <c r="D772" s="266"/>
      <c r="E772" s="254"/>
      <c r="F772" s="255" t="str">
        <f>IF(ISBLANK(E772), "", VLOOKUP(E772, Z!$A$2:$C$4127, 3, FALSE))</f>
        <v/>
      </c>
      <c r="G772" s="256"/>
      <c r="H772" s="256"/>
      <c r="I772" s="256"/>
      <c r="J772" s="257"/>
      <c r="K772" s="258"/>
      <c r="L772" s="267"/>
      <c r="M772" s="268"/>
      <c r="N772" s="259" t="str" cm="1">
        <f t="array" ref="N772">IF($L772&gt;0, INDEX(Clean,1+AK772,$D$1), "")</f>
        <v/>
      </c>
      <c r="O772" s="260"/>
      <c r="P772" s="260"/>
      <c r="Q772" s="261"/>
      <c r="R772" s="264">
        <f t="shared" si="822"/>
        <v>0</v>
      </c>
      <c r="S772" s="259" t="str" cm="1">
        <f t="array" ref="S772">IF($L772&gt;0, INDEX(Clean,1+AL772,$D$1), "")</f>
        <v/>
      </c>
      <c r="T772" s="260"/>
      <c r="U772" s="260"/>
      <c r="V772" s="261"/>
      <c r="W772" s="267"/>
      <c r="X772" s="267"/>
      <c r="Y772" s="257"/>
      <c r="Z772" s="264">
        <f t="shared" si="823"/>
        <v>0</v>
      </c>
      <c r="AA772" s="269"/>
      <c r="AB772" s="266"/>
      <c r="AC772" s="254"/>
      <c r="AD772" s="255" t="str">
        <f>IF(ISBLANK(AC772), "", VLOOKUP(AC772, Z!$A$2:$C$4127, 3, FALSE))</f>
        <v/>
      </c>
      <c r="AE772" s="270"/>
      <c r="AF772" s="265">
        <f t="shared" si="824"/>
        <v>0</v>
      </c>
      <c r="AG772" s="246"/>
      <c r="AH772" s="228">
        <f t="shared" si="847"/>
        <v>1</v>
      </c>
      <c r="AI772" s="228">
        <f t="shared" si="848"/>
        <v>1</v>
      </c>
      <c r="AJ772" s="228">
        <f t="shared" si="849"/>
        <v>0</v>
      </c>
      <c r="AK772" s="228">
        <v>0</v>
      </c>
      <c r="AL772" s="228">
        <v>0</v>
      </c>
      <c r="AM772" s="228">
        <f t="shared" si="825"/>
        <v>-100</v>
      </c>
      <c r="AN772" s="228" cm="1">
        <f t="array" ref="AN772">IF(ISBLANK(G772), 1, IFERROR(MATCH(G772, INDEX(Kat,,1), 0), IFERROR(MATCH(Kat, INDEX(Use,,2), 0), MATCH(Kat, INDEX(Use,,3), 0))))</f>
        <v>1</v>
      </c>
      <c r="AO772" s="246"/>
      <c r="AP772" s="228" cm="1">
        <f t="array" ref="AP772">IF(W772&gt;0, INDEX(Kat, AN772,4), 0)</f>
        <v>0</v>
      </c>
      <c r="AQ772" s="228">
        <f t="shared" si="850"/>
        <v>0</v>
      </c>
      <c r="AR772" s="228" cm="1">
        <f t="array" ref="AR772">IF(X772&gt;0, INDEX(Kat, $AN772, 4+AQ772), 0)</f>
        <v>0</v>
      </c>
      <c r="AS772" s="228" cm="1">
        <f t="array" ref="AS772">IF(X772&gt;0, INDEX(Kat, $AN772, 9+AQ772), 0)</f>
        <v>0</v>
      </c>
      <c r="AT772" s="246"/>
      <c r="AU772" s="262"/>
      <c r="AV772" s="262"/>
      <c r="AW772" s="263"/>
      <c r="AX772" s="263"/>
      <c r="AY772" s="263"/>
      <c r="AZ772" s="263"/>
      <c r="BA772" s="263"/>
      <c r="BB772" s="263"/>
      <c r="BC772" s="263"/>
      <c r="BD772" s="263"/>
      <c r="BE772" s="263"/>
      <c r="BF772" s="263"/>
      <c r="BG772" s="263"/>
      <c r="BH772" s="246"/>
      <c r="BI772" s="228" cm="1">
        <f t="array" ref="BI772">INDEX(Use, $AH772, 4)</f>
        <v>7</v>
      </c>
      <c r="BJ772" s="228">
        <f t="shared" si="826"/>
        <v>32</v>
      </c>
      <c r="BK772" s="228">
        <f t="shared" si="814"/>
        <v>13</v>
      </c>
      <c r="BL772" s="228">
        <f t="shared" si="815"/>
        <v>0</v>
      </c>
      <c r="BM772" s="233" cm="1">
        <f t="array" ref="BM772">L772/IF($M772&gt;0, INDEX($AY$22:$BE$76, $M772+20, $AH772), 1)</f>
        <v>0</v>
      </c>
      <c r="BN772" s="229">
        <f t="shared" si="827"/>
        <v>0</v>
      </c>
      <c r="BO772" s="228">
        <v>35</v>
      </c>
      <c r="BP772" s="229">
        <f t="shared" si="828"/>
        <v>48</v>
      </c>
      <c r="BQ772" s="234">
        <f t="shared" si="829"/>
        <v>3.0748170731707316</v>
      </c>
      <c r="BR772" s="234" cm="1">
        <f t="array" ref="BR772">$BM772 * SUMPRODUCT(INDEX($AV$76:$AX$81,,$AI772),INDEX($AY$76:$BE$81,,$AH772), N($AU$76:$AU$81&gt;$AM772)) / BQ772 / 1000</f>
        <v>0</v>
      </c>
      <c r="BS772" s="231">
        <f t="shared" si="816"/>
        <v>30</v>
      </c>
      <c r="BT772" s="229">
        <f t="shared" si="830"/>
        <v>43</v>
      </c>
      <c r="BU772" s="234">
        <f t="shared" si="831"/>
        <v>3.5018750000000001</v>
      </c>
      <c r="BV772" s="234" cm="1">
        <f t="array" ref="BV772">$BM772 * IF($AH772&lt;=2,
SUMPRODUCT(INDEX($AV$71:$AX$75,,$AI772), INDEX($AY$71:$BE$75,,$AH772), 1 / ($BF$71:$BF$75*BU772 + (1-$BF$71:$BF$75)*BQ772), N($AU$71:$AU$75&gt;$AM772)),
SUMPRODUCT(INDEX($AV$66:$AX$75,,$AI772), INDEX($AY$66:$BE$75,,$AH772), 1 / ($BG$66:$BG$75*BU772 + (1-$BG$66:$BG$75)*BQ772), N($AU$66:$AU$75&gt;$AM772))
) / 1000</f>
        <v>0</v>
      </c>
      <c r="BW772" s="231">
        <f t="shared" si="817"/>
        <v>25</v>
      </c>
      <c r="BX772" s="229">
        <f t="shared" si="832"/>
        <v>38</v>
      </c>
      <c r="BY772" s="234">
        <f t="shared" si="833"/>
        <v>4.0666935483870965</v>
      </c>
      <c r="BZ772" s="234" cm="1">
        <f t="array" ref="BZ772">$BM772 * IF($AH772&lt;=2,
SUMPRODUCT(INDEX($AV$66:$AX$70,,$AI772), INDEX($AY$66:$BE$70,,$AH772), 1 / ($BF$66:$BF$70*BY772 + (1-$BF$66:$BF$70)*BU772), N($AU$66:$AU$70&gt;$AM772)),
SUMPRODUCT(INDEX($AV$56:$AX$65,,$AI772), INDEX($AY$56:$BE$65,,$AH772), 1 / ($BG$56:$BG$65*BY772 + (1-$BG$56:$BG$65)*BU772), N($AU$56:$AU$65&gt;$AM772))
) / 1000</f>
        <v>0</v>
      </c>
      <c r="CA772" s="231">
        <f t="shared" si="818"/>
        <v>20</v>
      </c>
      <c r="CB772" s="229">
        <f t="shared" si="834"/>
        <v>33</v>
      </c>
      <c r="CC772" s="234">
        <f t="shared" si="835"/>
        <v>4.8487499999999999</v>
      </c>
      <c r="CD772" s="234" cm="1">
        <f t="array" ref="CD772">$BM772 * IF($AH772&lt;=2,
SUMPRODUCT(INDEX($AV$61:$AX$65,,$AI772), INDEX($AY$61:$BE$65,,$AH772), 1 / ($BF$61:$BF$65*CC772 + (1-$BF$61:$BF$65)*BY772), N($AU$61:$AU$65&gt;$AM772)),
SUMPRODUCT(INDEX($AV$46:$AX$55,,$AI772), INDEX($AY$46:$BE$55,,$AH772), 1 / ($BG$46:$BG$55*CC772 + (1-$BG$46:$BG$55)*BY772), N($AU$46:$AU$55&gt;$AM772))
) / 1000</f>
        <v>0</v>
      </c>
      <c r="CE772" s="234" cm="1">
        <f t="array" ref="CE772">$BM772 * IF($AH772&lt;=2,
SUMPRODUCT(INDEX($AV$22:$AX$60,,$AI772), INDEX($AY$22:$BE$60,,$AH772), 1 / ($BF$22:$BF$60*CC772), N($AU$22:$AU$60&gt;$AM772)),
SUMPRODUCT(INDEX($AV$22:$AX$45,,$AI772), INDEX($AY$22:$BE$45,,$AH772), 1 / ($BG$22:$BG$45*CC772), N($AU$22:$AU$45&gt;$AM772))
) / 1000</f>
        <v>0</v>
      </c>
      <c r="CF772" s="229">
        <f t="shared" si="836"/>
        <v>0</v>
      </c>
      <c r="CG772" s="246"/>
      <c r="CH772" s="229">
        <f t="shared" si="837"/>
        <v>0</v>
      </c>
      <c r="CI772" s="228">
        <v>35</v>
      </c>
      <c r="CJ772" s="229">
        <f t="shared" si="838"/>
        <v>48</v>
      </c>
      <c r="CK772" s="234">
        <f t="shared" si="839"/>
        <v>3.0748170731707316</v>
      </c>
      <c r="CL772" s="234" cm="1">
        <f t="array" ref="CL772">$BM772 * SUMPRODUCT(INDEX($AV$76:$AX$81,,$AI772),INDEX($AY$76:$BE$81,,$AH772), N($AU$76:$AU$81&gt;$AM772)) / CK772 / 1000</f>
        <v>0</v>
      </c>
      <c r="CM772" s="231">
        <f t="shared" si="819"/>
        <v>30</v>
      </c>
      <c r="CN772" s="229">
        <f t="shared" si="840"/>
        <v>43</v>
      </c>
      <c r="CO772" s="234">
        <f t="shared" si="841"/>
        <v>3.5018750000000001</v>
      </c>
      <c r="CP772" s="234" cm="1">
        <f t="array" ref="CP772">$BM772 * IF($AH772&lt;=2,
SUMPRODUCT(INDEX($AV$71:$AX$75,,$AI772), INDEX($AY$71:$BE$75,,$AH772), 1 / ($BF$71:$BF$75*CO772 + (1-$BF$71:$BF$75)*CK772), N($AU$71:$AU$75&gt;$AM772)),
SUMPRODUCT(INDEX($AV$66:$AX$75,,$AI772), INDEX($AY$66:$BE$75,,$AH772), 1 / ($BG$66:$BG$75*CO772 + (1-$BG$66:$BG$75)*CK772), N($AU$66:$AU$75&gt;$AM772))
) / 1000</f>
        <v>0</v>
      </c>
      <c r="CQ772" s="231">
        <f t="shared" si="820"/>
        <v>25</v>
      </c>
      <c r="CR772" s="229">
        <f t="shared" si="842"/>
        <v>38</v>
      </c>
      <c r="CS772" s="234">
        <f t="shared" si="843"/>
        <v>4.0666935483870965</v>
      </c>
      <c r="CT772" s="234" cm="1">
        <f t="array" ref="CT772">$BM772 * IF($AH772&lt;=2,
SUMPRODUCT(INDEX($AV$66:$AX$70,,$AI772), INDEX($AY$66:$BE$70,,$AH772), 1 / ($BF$66:$BF$70*CS772 + (1-$BF$66:$BF$70)*CO772), N($AU$66:$AU$70&gt;$AM772)),
SUMPRODUCT(INDEX($AV$56:$AX$65,,$AI772), INDEX($AY$56:$BE$65,,$AH772), 1 / ($BG$56:$BG$65*CS772 + (1-$BG$56:$BG$65)*CO772), N($AU$56:$AU$65&gt;$AM772))
) / 1000</f>
        <v>0</v>
      </c>
      <c r="CU772" s="231">
        <f t="shared" si="821"/>
        <v>20</v>
      </c>
      <c r="CV772" s="229">
        <f t="shared" si="844"/>
        <v>33</v>
      </c>
      <c r="CW772" s="234">
        <f t="shared" si="845"/>
        <v>4.8487499999999999</v>
      </c>
      <c r="CX772" s="234" cm="1">
        <f t="array" ref="CX772">$BM772 * IF($AH772&lt;=2,
SUMPRODUCT(INDEX($AV$61:$AX$65,,$AI772), INDEX($AY$61:$BE$65,,$AH772), 1 / ($BF$61:$BF$65*CW772 + (1-$BF$61:$BF$65)*CS772), N($AU$61:$AU$65&gt;$AM772)),
SUMPRODUCT(INDEX($AV$46:$AX$55,,$AI772), INDEX($AY$46:$BE$55,,$AH772), 1 / ($BG$46:$BG$55*CW772 + (1-$BG$46:$BG$55)*CS772), N($AU$46:$AU$55&gt;$AM772))
) / 1000</f>
        <v>0</v>
      </c>
      <c r="CY772" s="234" cm="1">
        <f t="array" ref="CY772">$BM772 * IF($AH772&lt;=2,
SUMPRODUCT(INDEX($AV$22:$AX$60,,$AI772), INDEX($AY$22:$BE$60,,$AH772), 1 / ($BF$22:$BF$60*CW772), N($AU$22:$AU$60&gt;$AM772)),
SUMPRODUCT(INDEX($AV$22:$AX$45,,$AI772), INDEX($AY$22:$BE$45,,$AH772), 1 / ($BG$22:$BG$45*CW772), N($AU$22:$AU$45&gt;$AM772))
) / 1000</f>
        <v>0</v>
      </c>
      <c r="CZ772" s="229">
        <f t="shared" si="846"/>
        <v>0</v>
      </c>
      <c r="DA772" s="246"/>
    </row>
    <row r="773" spans="1:105" s="75" customFormat="1" ht="14.25" customHeight="1" x14ac:dyDescent="0.2">
      <c r="A773" s="230" t="b">
        <f t="shared" si="813"/>
        <v>0</v>
      </c>
      <c r="B773" s="253">
        <v>752</v>
      </c>
      <c r="C773" s="266"/>
      <c r="D773" s="266"/>
      <c r="E773" s="254"/>
      <c r="F773" s="255" t="str">
        <f>IF(ISBLANK(E773), "", VLOOKUP(E773, Z!$A$2:$C$4127, 3, FALSE))</f>
        <v/>
      </c>
      <c r="G773" s="256"/>
      <c r="H773" s="256"/>
      <c r="I773" s="256"/>
      <c r="J773" s="257"/>
      <c r="K773" s="258"/>
      <c r="L773" s="267"/>
      <c r="M773" s="268"/>
      <c r="N773" s="259" t="str" cm="1">
        <f t="array" ref="N773">IF($L773&gt;0, INDEX(Clean,1+AK773,$D$1), "")</f>
        <v/>
      </c>
      <c r="O773" s="260"/>
      <c r="P773" s="260"/>
      <c r="Q773" s="261"/>
      <c r="R773" s="264">
        <f t="shared" si="822"/>
        <v>0</v>
      </c>
      <c r="S773" s="259" t="str" cm="1">
        <f t="array" ref="S773">IF($L773&gt;0, INDEX(Clean,1+AL773,$D$1), "")</f>
        <v/>
      </c>
      <c r="T773" s="260"/>
      <c r="U773" s="260"/>
      <c r="V773" s="261"/>
      <c r="W773" s="267"/>
      <c r="X773" s="267"/>
      <c r="Y773" s="257"/>
      <c r="Z773" s="264">
        <f t="shared" si="823"/>
        <v>0</v>
      </c>
      <c r="AA773" s="269"/>
      <c r="AB773" s="266"/>
      <c r="AC773" s="254"/>
      <c r="AD773" s="255" t="str">
        <f>IF(ISBLANK(AC773), "", VLOOKUP(AC773, Z!$A$2:$C$4127, 3, FALSE))</f>
        <v/>
      </c>
      <c r="AE773" s="270"/>
      <c r="AF773" s="265">
        <f t="shared" si="824"/>
        <v>0</v>
      </c>
      <c r="AG773" s="246"/>
      <c r="AH773" s="228">
        <f t="shared" si="847"/>
        <v>1</v>
      </c>
      <c r="AI773" s="228">
        <f t="shared" si="848"/>
        <v>1</v>
      </c>
      <c r="AJ773" s="228">
        <f t="shared" si="849"/>
        <v>0</v>
      </c>
      <c r="AK773" s="228">
        <v>0</v>
      </c>
      <c r="AL773" s="228">
        <v>0</v>
      </c>
      <c r="AM773" s="228">
        <f t="shared" si="825"/>
        <v>-100</v>
      </c>
      <c r="AN773" s="228" cm="1">
        <f t="array" ref="AN773">IF(ISBLANK(G773), 1, IFERROR(MATCH(G773, INDEX(Kat,,1), 0), IFERROR(MATCH(Kat, INDEX(Use,,2), 0), MATCH(Kat, INDEX(Use,,3), 0))))</f>
        <v>1</v>
      </c>
      <c r="AO773" s="246"/>
      <c r="AP773" s="228" cm="1">
        <f t="array" ref="AP773">IF(W773&gt;0, INDEX(Kat, AN773,4), 0)</f>
        <v>0</v>
      </c>
      <c r="AQ773" s="228">
        <f t="shared" si="850"/>
        <v>0</v>
      </c>
      <c r="AR773" s="228" cm="1">
        <f t="array" ref="AR773">IF(X773&gt;0, INDEX(Kat, $AN773, 4+AQ773), 0)</f>
        <v>0</v>
      </c>
      <c r="AS773" s="228" cm="1">
        <f t="array" ref="AS773">IF(X773&gt;0, INDEX(Kat, $AN773, 9+AQ773), 0)</f>
        <v>0</v>
      </c>
      <c r="AT773" s="246"/>
      <c r="AU773" s="262"/>
      <c r="AV773" s="262"/>
      <c r="AW773" s="263"/>
      <c r="AX773" s="263"/>
      <c r="AY773" s="263"/>
      <c r="AZ773" s="263"/>
      <c r="BA773" s="263"/>
      <c r="BB773" s="263"/>
      <c r="BC773" s="263"/>
      <c r="BD773" s="263"/>
      <c r="BE773" s="263"/>
      <c r="BF773" s="263"/>
      <c r="BG773" s="263"/>
      <c r="BH773" s="246"/>
      <c r="BI773" s="228" cm="1">
        <f t="array" ref="BI773">INDEX(Use, $AH773, 4)</f>
        <v>7</v>
      </c>
      <c r="BJ773" s="228">
        <f t="shared" si="826"/>
        <v>32</v>
      </c>
      <c r="BK773" s="228">
        <f t="shared" si="814"/>
        <v>13</v>
      </c>
      <c r="BL773" s="228">
        <f t="shared" si="815"/>
        <v>0</v>
      </c>
      <c r="BM773" s="233" cm="1">
        <f t="array" ref="BM773">L773/IF($M773&gt;0, INDEX($AY$22:$BE$76, $M773+20, $AH773), 1)</f>
        <v>0</v>
      </c>
      <c r="BN773" s="229">
        <f t="shared" si="827"/>
        <v>0</v>
      </c>
      <c r="BO773" s="228">
        <v>35</v>
      </c>
      <c r="BP773" s="229">
        <f t="shared" si="828"/>
        <v>48</v>
      </c>
      <c r="BQ773" s="234">
        <f t="shared" si="829"/>
        <v>3.0748170731707316</v>
      </c>
      <c r="BR773" s="234" cm="1">
        <f t="array" ref="BR773">$BM773 * SUMPRODUCT(INDEX($AV$76:$AX$81,,$AI773),INDEX($AY$76:$BE$81,,$AH773), N($AU$76:$AU$81&gt;$AM773)) / BQ773 / 1000</f>
        <v>0</v>
      </c>
      <c r="BS773" s="231">
        <f t="shared" si="816"/>
        <v>30</v>
      </c>
      <c r="BT773" s="229">
        <f t="shared" si="830"/>
        <v>43</v>
      </c>
      <c r="BU773" s="234">
        <f t="shared" si="831"/>
        <v>3.5018750000000001</v>
      </c>
      <c r="BV773" s="234" cm="1">
        <f t="array" ref="BV773">$BM773 * IF($AH773&lt;=2,
SUMPRODUCT(INDEX($AV$71:$AX$75,,$AI773), INDEX($AY$71:$BE$75,,$AH773), 1 / ($BF$71:$BF$75*BU773 + (1-$BF$71:$BF$75)*BQ773), N($AU$71:$AU$75&gt;$AM773)),
SUMPRODUCT(INDEX($AV$66:$AX$75,,$AI773), INDEX($AY$66:$BE$75,,$AH773), 1 / ($BG$66:$BG$75*BU773 + (1-$BG$66:$BG$75)*BQ773), N($AU$66:$AU$75&gt;$AM773))
) / 1000</f>
        <v>0</v>
      </c>
      <c r="BW773" s="231">
        <f t="shared" si="817"/>
        <v>25</v>
      </c>
      <c r="BX773" s="229">
        <f t="shared" si="832"/>
        <v>38</v>
      </c>
      <c r="BY773" s="234">
        <f t="shared" si="833"/>
        <v>4.0666935483870965</v>
      </c>
      <c r="BZ773" s="234" cm="1">
        <f t="array" ref="BZ773">$BM773 * IF($AH773&lt;=2,
SUMPRODUCT(INDEX($AV$66:$AX$70,,$AI773), INDEX($AY$66:$BE$70,,$AH773), 1 / ($BF$66:$BF$70*BY773 + (1-$BF$66:$BF$70)*BU773), N($AU$66:$AU$70&gt;$AM773)),
SUMPRODUCT(INDEX($AV$56:$AX$65,,$AI773), INDEX($AY$56:$BE$65,,$AH773), 1 / ($BG$56:$BG$65*BY773 + (1-$BG$56:$BG$65)*BU773), N($AU$56:$AU$65&gt;$AM773))
) / 1000</f>
        <v>0</v>
      </c>
      <c r="CA773" s="231">
        <f t="shared" si="818"/>
        <v>20</v>
      </c>
      <c r="CB773" s="229">
        <f t="shared" si="834"/>
        <v>33</v>
      </c>
      <c r="CC773" s="234">
        <f t="shared" si="835"/>
        <v>4.8487499999999999</v>
      </c>
      <c r="CD773" s="234" cm="1">
        <f t="array" ref="CD773">$BM773 * IF($AH773&lt;=2,
SUMPRODUCT(INDEX($AV$61:$AX$65,,$AI773), INDEX($AY$61:$BE$65,,$AH773), 1 / ($BF$61:$BF$65*CC773 + (1-$BF$61:$BF$65)*BY773), N($AU$61:$AU$65&gt;$AM773)),
SUMPRODUCT(INDEX($AV$46:$AX$55,,$AI773), INDEX($AY$46:$BE$55,,$AH773), 1 / ($BG$46:$BG$55*CC773 + (1-$BG$46:$BG$55)*BY773), N($AU$46:$AU$55&gt;$AM773))
) / 1000</f>
        <v>0</v>
      </c>
      <c r="CE773" s="234" cm="1">
        <f t="array" ref="CE773">$BM773 * IF($AH773&lt;=2,
SUMPRODUCT(INDEX($AV$22:$AX$60,,$AI773), INDEX($AY$22:$BE$60,,$AH773), 1 / ($BF$22:$BF$60*CC773), N($AU$22:$AU$60&gt;$AM773)),
SUMPRODUCT(INDEX($AV$22:$AX$45,,$AI773), INDEX($AY$22:$BE$45,,$AH773), 1 / ($BG$22:$BG$45*CC773), N($AU$22:$AU$45&gt;$AM773))
) / 1000</f>
        <v>0</v>
      </c>
      <c r="CF773" s="229">
        <f t="shared" si="836"/>
        <v>0</v>
      </c>
      <c r="CG773" s="246"/>
      <c r="CH773" s="229">
        <f t="shared" si="837"/>
        <v>0</v>
      </c>
      <c r="CI773" s="228">
        <v>35</v>
      </c>
      <c r="CJ773" s="229">
        <f t="shared" si="838"/>
        <v>48</v>
      </c>
      <c r="CK773" s="234">
        <f t="shared" si="839"/>
        <v>3.0748170731707316</v>
      </c>
      <c r="CL773" s="234" cm="1">
        <f t="array" ref="CL773">$BM773 * SUMPRODUCT(INDEX($AV$76:$AX$81,,$AI773),INDEX($AY$76:$BE$81,,$AH773), N($AU$76:$AU$81&gt;$AM773)) / CK773 / 1000</f>
        <v>0</v>
      </c>
      <c r="CM773" s="231">
        <f t="shared" si="819"/>
        <v>30</v>
      </c>
      <c r="CN773" s="229">
        <f t="shared" si="840"/>
        <v>43</v>
      </c>
      <c r="CO773" s="234">
        <f t="shared" si="841"/>
        <v>3.5018750000000001</v>
      </c>
      <c r="CP773" s="234" cm="1">
        <f t="array" ref="CP773">$BM773 * IF($AH773&lt;=2,
SUMPRODUCT(INDEX($AV$71:$AX$75,,$AI773), INDEX($AY$71:$BE$75,,$AH773), 1 / ($BF$71:$BF$75*CO773 + (1-$BF$71:$BF$75)*CK773), N($AU$71:$AU$75&gt;$AM773)),
SUMPRODUCT(INDEX($AV$66:$AX$75,,$AI773), INDEX($AY$66:$BE$75,,$AH773), 1 / ($BG$66:$BG$75*CO773 + (1-$BG$66:$BG$75)*CK773), N($AU$66:$AU$75&gt;$AM773))
) / 1000</f>
        <v>0</v>
      </c>
      <c r="CQ773" s="231">
        <f t="shared" si="820"/>
        <v>25</v>
      </c>
      <c r="CR773" s="229">
        <f t="shared" si="842"/>
        <v>38</v>
      </c>
      <c r="CS773" s="234">
        <f t="shared" si="843"/>
        <v>4.0666935483870965</v>
      </c>
      <c r="CT773" s="234" cm="1">
        <f t="array" ref="CT773">$BM773 * IF($AH773&lt;=2,
SUMPRODUCT(INDEX($AV$66:$AX$70,,$AI773), INDEX($AY$66:$BE$70,,$AH773), 1 / ($BF$66:$BF$70*CS773 + (1-$BF$66:$BF$70)*CO773), N($AU$66:$AU$70&gt;$AM773)),
SUMPRODUCT(INDEX($AV$56:$AX$65,,$AI773), INDEX($AY$56:$BE$65,,$AH773), 1 / ($BG$56:$BG$65*CS773 + (1-$BG$56:$BG$65)*CO773), N($AU$56:$AU$65&gt;$AM773))
) / 1000</f>
        <v>0</v>
      </c>
      <c r="CU773" s="231">
        <f t="shared" si="821"/>
        <v>20</v>
      </c>
      <c r="CV773" s="229">
        <f t="shared" si="844"/>
        <v>33</v>
      </c>
      <c r="CW773" s="234">
        <f t="shared" si="845"/>
        <v>4.8487499999999999</v>
      </c>
      <c r="CX773" s="234" cm="1">
        <f t="array" ref="CX773">$BM773 * IF($AH773&lt;=2,
SUMPRODUCT(INDEX($AV$61:$AX$65,,$AI773), INDEX($AY$61:$BE$65,,$AH773), 1 / ($BF$61:$BF$65*CW773 + (1-$BF$61:$BF$65)*CS773), N($AU$61:$AU$65&gt;$AM773)),
SUMPRODUCT(INDEX($AV$46:$AX$55,,$AI773), INDEX($AY$46:$BE$55,,$AH773), 1 / ($BG$46:$BG$55*CW773 + (1-$BG$46:$BG$55)*CS773), N($AU$46:$AU$55&gt;$AM773))
) / 1000</f>
        <v>0</v>
      </c>
      <c r="CY773" s="234" cm="1">
        <f t="array" ref="CY773">$BM773 * IF($AH773&lt;=2,
SUMPRODUCT(INDEX($AV$22:$AX$60,,$AI773), INDEX($AY$22:$BE$60,,$AH773), 1 / ($BF$22:$BF$60*CW773), N($AU$22:$AU$60&gt;$AM773)),
SUMPRODUCT(INDEX($AV$22:$AX$45,,$AI773), INDEX($AY$22:$BE$45,,$AH773), 1 / ($BG$22:$BG$45*CW773), N($AU$22:$AU$45&gt;$AM773))
) / 1000</f>
        <v>0</v>
      </c>
      <c r="CZ773" s="229">
        <f t="shared" si="846"/>
        <v>0</v>
      </c>
      <c r="DA773" s="246"/>
    </row>
    <row r="774" spans="1:105" s="75" customFormat="1" ht="14.25" customHeight="1" x14ac:dyDescent="0.2">
      <c r="A774" s="230" t="b">
        <f t="shared" si="813"/>
        <v>0</v>
      </c>
      <c r="B774" s="253">
        <v>753</v>
      </c>
      <c r="C774" s="266"/>
      <c r="D774" s="266"/>
      <c r="E774" s="254"/>
      <c r="F774" s="255" t="str">
        <f>IF(ISBLANK(E774), "", VLOOKUP(E774, Z!$A$2:$C$4127, 3, FALSE))</f>
        <v/>
      </c>
      <c r="G774" s="256"/>
      <c r="H774" s="256"/>
      <c r="I774" s="256"/>
      <c r="J774" s="257"/>
      <c r="K774" s="258"/>
      <c r="L774" s="267"/>
      <c r="M774" s="268"/>
      <c r="N774" s="259" t="str" cm="1">
        <f t="array" ref="N774">IF($L774&gt;0, INDEX(Clean,1+AK774,$D$1), "")</f>
        <v/>
      </c>
      <c r="O774" s="260"/>
      <c r="P774" s="260"/>
      <c r="Q774" s="261"/>
      <c r="R774" s="264">
        <f t="shared" si="822"/>
        <v>0</v>
      </c>
      <c r="S774" s="259" t="str" cm="1">
        <f t="array" ref="S774">IF($L774&gt;0, INDEX(Clean,1+AL774,$D$1), "")</f>
        <v/>
      </c>
      <c r="T774" s="260"/>
      <c r="U774" s="260"/>
      <c r="V774" s="261"/>
      <c r="W774" s="267"/>
      <c r="X774" s="267"/>
      <c r="Y774" s="257"/>
      <c r="Z774" s="264">
        <f t="shared" si="823"/>
        <v>0</v>
      </c>
      <c r="AA774" s="269"/>
      <c r="AB774" s="266"/>
      <c r="AC774" s="254"/>
      <c r="AD774" s="255" t="str">
        <f>IF(ISBLANK(AC774), "", VLOOKUP(AC774, Z!$A$2:$C$4127, 3, FALSE))</f>
        <v/>
      </c>
      <c r="AE774" s="270"/>
      <c r="AF774" s="265">
        <f t="shared" si="824"/>
        <v>0</v>
      </c>
      <c r="AG774" s="246"/>
      <c r="AH774" s="228">
        <f t="shared" si="847"/>
        <v>1</v>
      </c>
      <c r="AI774" s="228">
        <f t="shared" si="848"/>
        <v>1</v>
      </c>
      <c r="AJ774" s="228">
        <f t="shared" si="849"/>
        <v>0</v>
      </c>
      <c r="AK774" s="228">
        <v>0</v>
      </c>
      <c r="AL774" s="228">
        <v>0</v>
      </c>
      <c r="AM774" s="228">
        <f t="shared" si="825"/>
        <v>-100</v>
      </c>
      <c r="AN774" s="228" cm="1">
        <f t="array" ref="AN774">IF(ISBLANK(G774), 1, IFERROR(MATCH(G774, INDEX(Kat,,1), 0), IFERROR(MATCH(Kat, INDEX(Use,,2), 0), MATCH(Kat, INDEX(Use,,3), 0))))</f>
        <v>1</v>
      </c>
      <c r="AO774" s="246"/>
      <c r="AP774" s="228" cm="1">
        <f t="array" ref="AP774">IF(W774&gt;0, INDEX(Kat, AN774,4), 0)</f>
        <v>0</v>
      </c>
      <c r="AQ774" s="228">
        <f t="shared" si="850"/>
        <v>0</v>
      </c>
      <c r="AR774" s="228" cm="1">
        <f t="array" ref="AR774">IF(X774&gt;0, INDEX(Kat, $AN774, 4+AQ774), 0)</f>
        <v>0</v>
      </c>
      <c r="AS774" s="228" cm="1">
        <f t="array" ref="AS774">IF(X774&gt;0, INDEX(Kat, $AN774, 9+AQ774), 0)</f>
        <v>0</v>
      </c>
      <c r="AT774" s="246"/>
      <c r="AU774" s="262"/>
      <c r="AV774" s="262"/>
      <c r="AW774" s="263"/>
      <c r="AX774" s="263"/>
      <c r="AY774" s="263"/>
      <c r="AZ774" s="263"/>
      <c r="BA774" s="263"/>
      <c r="BB774" s="263"/>
      <c r="BC774" s="263"/>
      <c r="BD774" s="263"/>
      <c r="BE774" s="263"/>
      <c r="BF774" s="263"/>
      <c r="BG774" s="263"/>
      <c r="BH774" s="246"/>
      <c r="BI774" s="228" cm="1">
        <f t="array" ref="BI774">INDEX(Use, $AH774, 4)</f>
        <v>7</v>
      </c>
      <c r="BJ774" s="228">
        <f t="shared" si="826"/>
        <v>32</v>
      </c>
      <c r="BK774" s="228">
        <f t="shared" si="814"/>
        <v>13</v>
      </c>
      <c r="BL774" s="228">
        <f t="shared" si="815"/>
        <v>0</v>
      </c>
      <c r="BM774" s="233" cm="1">
        <f t="array" ref="BM774">L774/IF($M774&gt;0, INDEX($AY$22:$BE$76, $M774+20, $AH774), 1)</f>
        <v>0</v>
      </c>
      <c r="BN774" s="229">
        <f t="shared" si="827"/>
        <v>0</v>
      </c>
      <c r="BO774" s="228">
        <v>35</v>
      </c>
      <c r="BP774" s="229">
        <f t="shared" si="828"/>
        <v>48</v>
      </c>
      <c r="BQ774" s="234">
        <f t="shared" si="829"/>
        <v>3.0748170731707316</v>
      </c>
      <c r="BR774" s="234" cm="1">
        <f t="array" ref="BR774">$BM774 * SUMPRODUCT(INDEX($AV$76:$AX$81,,$AI774),INDEX($AY$76:$BE$81,,$AH774), N($AU$76:$AU$81&gt;$AM774)) / BQ774 / 1000</f>
        <v>0</v>
      </c>
      <c r="BS774" s="231">
        <f t="shared" si="816"/>
        <v>30</v>
      </c>
      <c r="BT774" s="229">
        <f t="shared" si="830"/>
        <v>43</v>
      </c>
      <c r="BU774" s="234">
        <f t="shared" si="831"/>
        <v>3.5018750000000001</v>
      </c>
      <c r="BV774" s="234" cm="1">
        <f t="array" ref="BV774">$BM774 * IF($AH774&lt;=2,
SUMPRODUCT(INDEX($AV$71:$AX$75,,$AI774), INDEX($AY$71:$BE$75,,$AH774), 1 / ($BF$71:$BF$75*BU774 + (1-$BF$71:$BF$75)*BQ774), N($AU$71:$AU$75&gt;$AM774)),
SUMPRODUCT(INDEX($AV$66:$AX$75,,$AI774), INDEX($AY$66:$BE$75,,$AH774), 1 / ($BG$66:$BG$75*BU774 + (1-$BG$66:$BG$75)*BQ774), N($AU$66:$AU$75&gt;$AM774))
) / 1000</f>
        <v>0</v>
      </c>
      <c r="BW774" s="231">
        <f t="shared" si="817"/>
        <v>25</v>
      </c>
      <c r="BX774" s="229">
        <f t="shared" si="832"/>
        <v>38</v>
      </c>
      <c r="BY774" s="234">
        <f t="shared" si="833"/>
        <v>4.0666935483870965</v>
      </c>
      <c r="BZ774" s="234" cm="1">
        <f t="array" ref="BZ774">$BM774 * IF($AH774&lt;=2,
SUMPRODUCT(INDEX($AV$66:$AX$70,,$AI774), INDEX($AY$66:$BE$70,,$AH774), 1 / ($BF$66:$BF$70*BY774 + (1-$BF$66:$BF$70)*BU774), N($AU$66:$AU$70&gt;$AM774)),
SUMPRODUCT(INDEX($AV$56:$AX$65,,$AI774), INDEX($AY$56:$BE$65,,$AH774), 1 / ($BG$56:$BG$65*BY774 + (1-$BG$56:$BG$65)*BU774), N($AU$56:$AU$65&gt;$AM774))
) / 1000</f>
        <v>0</v>
      </c>
      <c r="CA774" s="231">
        <f t="shared" si="818"/>
        <v>20</v>
      </c>
      <c r="CB774" s="229">
        <f t="shared" si="834"/>
        <v>33</v>
      </c>
      <c r="CC774" s="234">
        <f t="shared" si="835"/>
        <v>4.8487499999999999</v>
      </c>
      <c r="CD774" s="234" cm="1">
        <f t="array" ref="CD774">$BM774 * IF($AH774&lt;=2,
SUMPRODUCT(INDEX($AV$61:$AX$65,,$AI774), INDEX($AY$61:$BE$65,,$AH774), 1 / ($BF$61:$BF$65*CC774 + (1-$BF$61:$BF$65)*BY774), N($AU$61:$AU$65&gt;$AM774)),
SUMPRODUCT(INDEX($AV$46:$AX$55,,$AI774), INDEX($AY$46:$BE$55,,$AH774), 1 / ($BG$46:$BG$55*CC774 + (1-$BG$46:$BG$55)*BY774), N($AU$46:$AU$55&gt;$AM774))
) / 1000</f>
        <v>0</v>
      </c>
      <c r="CE774" s="234" cm="1">
        <f t="array" ref="CE774">$BM774 * IF($AH774&lt;=2,
SUMPRODUCT(INDEX($AV$22:$AX$60,,$AI774), INDEX($AY$22:$BE$60,,$AH774), 1 / ($BF$22:$BF$60*CC774), N($AU$22:$AU$60&gt;$AM774)),
SUMPRODUCT(INDEX($AV$22:$AX$45,,$AI774), INDEX($AY$22:$BE$45,,$AH774), 1 / ($BG$22:$BG$45*CC774), N($AU$22:$AU$45&gt;$AM774))
) / 1000</f>
        <v>0</v>
      </c>
      <c r="CF774" s="229">
        <f t="shared" si="836"/>
        <v>0</v>
      </c>
      <c r="CG774" s="246"/>
      <c r="CH774" s="229">
        <f t="shared" si="837"/>
        <v>0</v>
      </c>
      <c r="CI774" s="228">
        <v>35</v>
      </c>
      <c r="CJ774" s="229">
        <f t="shared" si="838"/>
        <v>48</v>
      </c>
      <c r="CK774" s="234">
        <f t="shared" si="839"/>
        <v>3.0748170731707316</v>
      </c>
      <c r="CL774" s="234" cm="1">
        <f t="array" ref="CL774">$BM774 * SUMPRODUCT(INDEX($AV$76:$AX$81,,$AI774),INDEX($AY$76:$BE$81,,$AH774), N($AU$76:$AU$81&gt;$AM774)) / CK774 / 1000</f>
        <v>0</v>
      </c>
      <c r="CM774" s="231">
        <f t="shared" si="819"/>
        <v>30</v>
      </c>
      <c r="CN774" s="229">
        <f t="shared" si="840"/>
        <v>43</v>
      </c>
      <c r="CO774" s="234">
        <f t="shared" si="841"/>
        <v>3.5018750000000001</v>
      </c>
      <c r="CP774" s="234" cm="1">
        <f t="array" ref="CP774">$BM774 * IF($AH774&lt;=2,
SUMPRODUCT(INDEX($AV$71:$AX$75,,$AI774), INDEX($AY$71:$BE$75,,$AH774), 1 / ($BF$71:$BF$75*CO774 + (1-$BF$71:$BF$75)*CK774), N($AU$71:$AU$75&gt;$AM774)),
SUMPRODUCT(INDEX($AV$66:$AX$75,,$AI774), INDEX($AY$66:$BE$75,,$AH774), 1 / ($BG$66:$BG$75*CO774 + (1-$BG$66:$BG$75)*CK774), N($AU$66:$AU$75&gt;$AM774))
) / 1000</f>
        <v>0</v>
      </c>
      <c r="CQ774" s="231">
        <f t="shared" si="820"/>
        <v>25</v>
      </c>
      <c r="CR774" s="229">
        <f t="shared" si="842"/>
        <v>38</v>
      </c>
      <c r="CS774" s="234">
        <f t="shared" si="843"/>
        <v>4.0666935483870965</v>
      </c>
      <c r="CT774" s="234" cm="1">
        <f t="array" ref="CT774">$BM774 * IF($AH774&lt;=2,
SUMPRODUCT(INDEX($AV$66:$AX$70,,$AI774), INDEX($AY$66:$BE$70,,$AH774), 1 / ($BF$66:$BF$70*CS774 + (1-$BF$66:$BF$70)*CO774), N($AU$66:$AU$70&gt;$AM774)),
SUMPRODUCT(INDEX($AV$56:$AX$65,,$AI774), INDEX($AY$56:$BE$65,,$AH774), 1 / ($BG$56:$BG$65*CS774 + (1-$BG$56:$BG$65)*CO774), N($AU$56:$AU$65&gt;$AM774))
) / 1000</f>
        <v>0</v>
      </c>
      <c r="CU774" s="231">
        <f t="shared" si="821"/>
        <v>20</v>
      </c>
      <c r="CV774" s="229">
        <f t="shared" si="844"/>
        <v>33</v>
      </c>
      <c r="CW774" s="234">
        <f t="shared" si="845"/>
        <v>4.8487499999999999</v>
      </c>
      <c r="CX774" s="234" cm="1">
        <f t="array" ref="CX774">$BM774 * IF($AH774&lt;=2,
SUMPRODUCT(INDEX($AV$61:$AX$65,,$AI774), INDEX($AY$61:$BE$65,,$AH774), 1 / ($BF$61:$BF$65*CW774 + (1-$BF$61:$BF$65)*CS774), N($AU$61:$AU$65&gt;$AM774)),
SUMPRODUCT(INDEX($AV$46:$AX$55,,$AI774), INDEX($AY$46:$BE$55,,$AH774), 1 / ($BG$46:$BG$55*CW774 + (1-$BG$46:$BG$55)*CS774), N($AU$46:$AU$55&gt;$AM774))
) / 1000</f>
        <v>0</v>
      </c>
      <c r="CY774" s="234" cm="1">
        <f t="array" ref="CY774">$BM774 * IF($AH774&lt;=2,
SUMPRODUCT(INDEX($AV$22:$AX$60,,$AI774), INDEX($AY$22:$BE$60,,$AH774), 1 / ($BF$22:$BF$60*CW774), N($AU$22:$AU$60&gt;$AM774)),
SUMPRODUCT(INDEX($AV$22:$AX$45,,$AI774), INDEX($AY$22:$BE$45,,$AH774), 1 / ($BG$22:$BG$45*CW774), N($AU$22:$AU$45&gt;$AM774))
) / 1000</f>
        <v>0</v>
      </c>
      <c r="CZ774" s="229">
        <f t="shared" si="846"/>
        <v>0</v>
      </c>
      <c r="DA774" s="246"/>
    </row>
    <row r="775" spans="1:105" s="75" customFormat="1" ht="14.25" customHeight="1" x14ac:dyDescent="0.2">
      <c r="A775" s="230" t="b">
        <f t="shared" si="813"/>
        <v>0</v>
      </c>
      <c r="B775" s="253">
        <v>754</v>
      </c>
      <c r="C775" s="266"/>
      <c r="D775" s="266"/>
      <c r="E775" s="254"/>
      <c r="F775" s="255" t="str">
        <f>IF(ISBLANK(E775), "", VLOOKUP(E775, Z!$A$2:$C$4127, 3, FALSE))</f>
        <v/>
      </c>
      <c r="G775" s="256"/>
      <c r="H775" s="256"/>
      <c r="I775" s="256"/>
      <c r="J775" s="257"/>
      <c r="K775" s="258"/>
      <c r="L775" s="267"/>
      <c r="M775" s="268"/>
      <c r="N775" s="259" t="str" cm="1">
        <f t="array" ref="N775">IF($L775&gt;0, INDEX(Clean,1+AK775,$D$1), "")</f>
        <v/>
      </c>
      <c r="O775" s="260"/>
      <c r="P775" s="260"/>
      <c r="Q775" s="261"/>
      <c r="R775" s="264">
        <f t="shared" si="822"/>
        <v>0</v>
      </c>
      <c r="S775" s="259" t="str" cm="1">
        <f t="array" ref="S775">IF($L775&gt;0, INDEX(Clean,1+AL775,$D$1), "")</f>
        <v/>
      </c>
      <c r="T775" s="260"/>
      <c r="U775" s="260"/>
      <c r="V775" s="261"/>
      <c r="W775" s="267"/>
      <c r="X775" s="267"/>
      <c r="Y775" s="257"/>
      <c r="Z775" s="264">
        <f t="shared" si="823"/>
        <v>0</v>
      </c>
      <c r="AA775" s="269"/>
      <c r="AB775" s="266"/>
      <c r="AC775" s="254"/>
      <c r="AD775" s="255" t="str">
        <f>IF(ISBLANK(AC775), "", VLOOKUP(AC775, Z!$A$2:$C$4127, 3, FALSE))</f>
        <v/>
      </c>
      <c r="AE775" s="270"/>
      <c r="AF775" s="265">
        <f t="shared" si="824"/>
        <v>0</v>
      </c>
      <c r="AG775" s="246"/>
      <c r="AH775" s="228">
        <f t="shared" si="847"/>
        <v>1</v>
      </c>
      <c r="AI775" s="228">
        <f t="shared" si="848"/>
        <v>1</v>
      </c>
      <c r="AJ775" s="228">
        <f t="shared" si="849"/>
        <v>0</v>
      </c>
      <c r="AK775" s="228">
        <v>0</v>
      </c>
      <c r="AL775" s="228">
        <v>0</v>
      </c>
      <c r="AM775" s="228">
        <f t="shared" si="825"/>
        <v>-100</v>
      </c>
      <c r="AN775" s="228" cm="1">
        <f t="array" ref="AN775">IF(ISBLANK(G775), 1, IFERROR(MATCH(G775, INDEX(Kat,,1), 0), IFERROR(MATCH(Kat, INDEX(Use,,2), 0), MATCH(Kat, INDEX(Use,,3), 0))))</f>
        <v>1</v>
      </c>
      <c r="AO775" s="246"/>
      <c r="AP775" s="228" cm="1">
        <f t="array" ref="AP775">IF(W775&gt;0, INDEX(Kat, AN775,4), 0)</f>
        <v>0</v>
      </c>
      <c r="AQ775" s="228">
        <f t="shared" si="850"/>
        <v>0</v>
      </c>
      <c r="AR775" s="228" cm="1">
        <f t="array" ref="AR775">IF(X775&gt;0, INDEX(Kat, $AN775, 4+AQ775), 0)</f>
        <v>0</v>
      </c>
      <c r="AS775" s="228" cm="1">
        <f t="array" ref="AS775">IF(X775&gt;0, INDEX(Kat, $AN775, 9+AQ775), 0)</f>
        <v>0</v>
      </c>
      <c r="AT775" s="246"/>
      <c r="AU775" s="262"/>
      <c r="AV775" s="262"/>
      <c r="AW775" s="263"/>
      <c r="AX775" s="263"/>
      <c r="AY775" s="263"/>
      <c r="AZ775" s="263"/>
      <c r="BA775" s="263"/>
      <c r="BB775" s="263"/>
      <c r="BC775" s="263"/>
      <c r="BD775" s="263"/>
      <c r="BE775" s="263"/>
      <c r="BF775" s="263"/>
      <c r="BG775" s="263"/>
      <c r="BH775" s="246"/>
      <c r="BI775" s="228" cm="1">
        <f t="array" ref="BI775">INDEX(Use, $AH775, 4)</f>
        <v>7</v>
      </c>
      <c r="BJ775" s="228">
        <f t="shared" si="826"/>
        <v>32</v>
      </c>
      <c r="BK775" s="228">
        <f t="shared" si="814"/>
        <v>13</v>
      </c>
      <c r="BL775" s="228">
        <f t="shared" si="815"/>
        <v>0</v>
      </c>
      <c r="BM775" s="233" cm="1">
        <f t="array" ref="BM775">L775/IF($M775&gt;0, INDEX($AY$22:$BE$76, $M775+20, $AH775), 1)</f>
        <v>0</v>
      </c>
      <c r="BN775" s="229">
        <f t="shared" si="827"/>
        <v>0</v>
      </c>
      <c r="BO775" s="228">
        <v>35</v>
      </c>
      <c r="BP775" s="229">
        <f t="shared" si="828"/>
        <v>48</v>
      </c>
      <c r="BQ775" s="234">
        <f t="shared" si="829"/>
        <v>3.0748170731707316</v>
      </c>
      <c r="BR775" s="234" cm="1">
        <f t="array" ref="BR775">$BM775 * SUMPRODUCT(INDEX($AV$76:$AX$81,,$AI775),INDEX($AY$76:$BE$81,,$AH775), N($AU$76:$AU$81&gt;$AM775)) / BQ775 / 1000</f>
        <v>0</v>
      </c>
      <c r="BS775" s="231">
        <f t="shared" si="816"/>
        <v>30</v>
      </c>
      <c r="BT775" s="229">
        <f t="shared" si="830"/>
        <v>43</v>
      </c>
      <c r="BU775" s="234">
        <f t="shared" si="831"/>
        <v>3.5018750000000001</v>
      </c>
      <c r="BV775" s="234" cm="1">
        <f t="array" ref="BV775">$BM775 * IF($AH775&lt;=2,
SUMPRODUCT(INDEX($AV$71:$AX$75,,$AI775), INDEX($AY$71:$BE$75,,$AH775), 1 / ($BF$71:$BF$75*BU775 + (1-$BF$71:$BF$75)*BQ775), N($AU$71:$AU$75&gt;$AM775)),
SUMPRODUCT(INDEX($AV$66:$AX$75,,$AI775), INDEX($AY$66:$BE$75,,$AH775), 1 / ($BG$66:$BG$75*BU775 + (1-$BG$66:$BG$75)*BQ775), N($AU$66:$AU$75&gt;$AM775))
) / 1000</f>
        <v>0</v>
      </c>
      <c r="BW775" s="231">
        <f t="shared" si="817"/>
        <v>25</v>
      </c>
      <c r="BX775" s="229">
        <f t="shared" si="832"/>
        <v>38</v>
      </c>
      <c r="BY775" s="234">
        <f t="shared" si="833"/>
        <v>4.0666935483870965</v>
      </c>
      <c r="BZ775" s="234" cm="1">
        <f t="array" ref="BZ775">$BM775 * IF($AH775&lt;=2,
SUMPRODUCT(INDEX($AV$66:$AX$70,,$AI775), INDEX($AY$66:$BE$70,,$AH775), 1 / ($BF$66:$BF$70*BY775 + (1-$BF$66:$BF$70)*BU775), N($AU$66:$AU$70&gt;$AM775)),
SUMPRODUCT(INDEX($AV$56:$AX$65,,$AI775), INDEX($AY$56:$BE$65,,$AH775), 1 / ($BG$56:$BG$65*BY775 + (1-$BG$56:$BG$65)*BU775), N($AU$56:$AU$65&gt;$AM775))
) / 1000</f>
        <v>0</v>
      </c>
      <c r="CA775" s="231">
        <f t="shared" si="818"/>
        <v>20</v>
      </c>
      <c r="CB775" s="229">
        <f t="shared" si="834"/>
        <v>33</v>
      </c>
      <c r="CC775" s="234">
        <f t="shared" si="835"/>
        <v>4.8487499999999999</v>
      </c>
      <c r="CD775" s="234" cm="1">
        <f t="array" ref="CD775">$BM775 * IF($AH775&lt;=2,
SUMPRODUCT(INDEX($AV$61:$AX$65,,$AI775), INDEX($AY$61:$BE$65,,$AH775), 1 / ($BF$61:$BF$65*CC775 + (1-$BF$61:$BF$65)*BY775), N($AU$61:$AU$65&gt;$AM775)),
SUMPRODUCT(INDEX($AV$46:$AX$55,,$AI775), INDEX($AY$46:$BE$55,,$AH775), 1 / ($BG$46:$BG$55*CC775 + (1-$BG$46:$BG$55)*BY775), N($AU$46:$AU$55&gt;$AM775))
) / 1000</f>
        <v>0</v>
      </c>
      <c r="CE775" s="234" cm="1">
        <f t="array" ref="CE775">$BM775 * IF($AH775&lt;=2,
SUMPRODUCT(INDEX($AV$22:$AX$60,,$AI775), INDEX($AY$22:$BE$60,,$AH775), 1 / ($BF$22:$BF$60*CC775), N($AU$22:$AU$60&gt;$AM775)),
SUMPRODUCT(INDEX($AV$22:$AX$45,,$AI775), INDEX($AY$22:$BE$45,,$AH775), 1 / ($BG$22:$BG$45*CC775), N($AU$22:$AU$45&gt;$AM775))
) / 1000</f>
        <v>0</v>
      </c>
      <c r="CF775" s="229">
        <f t="shared" si="836"/>
        <v>0</v>
      </c>
      <c r="CG775" s="246"/>
      <c r="CH775" s="229">
        <f t="shared" si="837"/>
        <v>0</v>
      </c>
      <c r="CI775" s="228">
        <v>35</v>
      </c>
      <c r="CJ775" s="229">
        <f t="shared" si="838"/>
        <v>48</v>
      </c>
      <c r="CK775" s="234">
        <f t="shared" si="839"/>
        <v>3.0748170731707316</v>
      </c>
      <c r="CL775" s="234" cm="1">
        <f t="array" ref="CL775">$BM775 * SUMPRODUCT(INDEX($AV$76:$AX$81,,$AI775),INDEX($AY$76:$BE$81,,$AH775), N($AU$76:$AU$81&gt;$AM775)) / CK775 / 1000</f>
        <v>0</v>
      </c>
      <c r="CM775" s="231">
        <f t="shared" si="819"/>
        <v>30</v>
      </c>
      <c r="CN775" s="229">
        <f t="shared" si="840"/>
        <v>43</v>
      </c>
      <c r="CO775" s="234">
        <f t="shared" si="841"/>
        <v>3.5018750000000001</v>
      </c>
      <c r="CP775" s="234" cm="1">
        <f t="array" ref="CP775">$BM775 * IF($AH775&lt;=2,
SUMPRODUCT(INDEX($AV$71:$AX$75,,$AI775), INDEX($AY$71:$BE$75,,$AH775), 1 / ($BF$71:$BF$75*CO775 + (1-$BF$71:$BF$75)*CK775), N($AU$71:$AU$75&gt;$AM775)),
SUMPRODUCT(INDEX($AV$66:$AX$75,,$AI775), INDEX($AY$66:$BE$75,,$AH775), 1 / ($BG$66:$BG$75*CO775 + (1-$BG$66:$BG$75)*CK775), N($AU$66:$AU$75&gt;$AM775))
) / 1000</f>
        <v>0</v>
      </c>
      <c r="CQ775" s="231">
        <f t="shared" si="820"/>
        <v>25</v>
      </c>
      <c r="CR775" s="229">
        <f t="shared" si="842"/>
        <v>38</v>
      </c>
      <c r="CS775" s="234">
        <f t="shared" si="843"/>
        <v>4.0666935483870965</v>
      </c>
      <c r="CT775" s="234" cm="1">
        <f t="array" ref="CT775">$BM775 * IF($AH775&lt;=2,
SUMPRODUCT(INDEX($AV$66:$AX$70,,$AI775), INDEX($AY$66:$BE$70,,$AH775), 1 / ($BF$66:$BF$70*CS775 + (1-$BF$66:$BF$70)*CO775), N($AU$66:$AU$70&gt;$AM775)),
SUMPRODUCT(INDEX($AV$56:$AX$65,,$AI775), INDEX($AY$56:$BE$65,,$AH775), 1 / ($BG$56:$BG$65*CS775 + (1-$BG$56:$BG$65)*CO775), N($AU$56:$AU$65&gt;$AM775))
) / 1000</f>
        <v>0</v>
      </c>
      <c r="CU775" s="231">
        <f t="shared" si="821"/>
        <v>20</v>
      </c>
      <c r="CV775" s="229">
        <f t="shared" si="844"/>
        <v>33</v>
      </c>
      <c r="CW775" s="234">
        <f t="shared" si="845"/>
        <v>4.8487499999999999</v>
      </c>
      <c r="CX775" s="234" cm="1">
        <f t="array" ref="CX775">$BM775 * IF($AH775&lt;=2,
SUMPRODUCT(INDEX($AV$61:$AX$65,,$AI775), INDEX($AY$61:$BE$65,,$AH775), 1 / ($BF$61:$BF$65*CW775 + (1-$BF$61:$BF$65)*CS775), N($AU$61:$AU$65&gt;$AM775)),
SUMPRODUCT(INDEX($AV$46:$AX$55,,$AI775), INDEX($AY$46:$BE$55,,$AH775), 1 / ($BG$46:$BG$55*CW775 + (1-$BG$46:$BG$55)*CS775), N($AU$46:$AU$55&gt;$AM775))
) / 1000</f>
        <v>0</v>
      </c>
      <c r="CY775" s="234" cm="1">
        <f t="array" ref="CY775">$BM775 * IF($AH775&lt;=2,
SUMPRODUCT(INDEX($AV$22:$AX$60,,$AI775), INDEX($AY$22:$BE$60,,$AH775), 1 / ($BF$22:$BF$60*CW775), N($AU$22:$AU$60&gt;$AM775)),
SUMPRODUCT(INDEX($AV$22:$AX$45,,$AI775), INDEX($AY$22:$BE$45,,$AH775), 1 / ($BG$22:$BG$45*CW775), N($AU$22:$AU$45&gt;$AM775))
) / 1000</f>
        <v>0</v>
      </c>
      <c r="CZ775" s="229">
        <f t="shared" si="846"/>
        <v>0</v>
      </c>
      <c r="DA775" s="246"/>
    </row>
    <row r="776" spans="1:105" s="75" customFormat="1" ht="14.25" customHeight="1" x14ac:dyDescent="0.2">
      <c r="A776" s="230" t="b">
        <f t="shared" si="813"/>
        <v>0</v>
      </c>
      <c r="B776" s="253">
        <v>755</v>
      </c>
      <c r="C776" s="266"/>
      <c r="D776" s="266"/>
      <c r="E776" s="254"/>
      <c r="F776" s="255" t="str">
        <f>IF(ISBLANK(E776), "", VLOOKUP(E776, Z!$A$2:$C$4127, 3, FALSE))</f>
        <v/>
      </c>
      <c r="G776" s="256"/>
      <c r="H776" s="256"/>
      <c r="I776" s="256"/>
      <c r="J776" s="257"/>
      <c r="K776" s="258"/>
      <c r="L776" s="267"/>
      <c r="M776" s="268"/>
      <c r="N776" s="259" t="str" cm="1">
        <f t="array" ref="N776">IF($L776&gt;0, INDEX(Clean,1+AK776,$D$1), "")</f>
        <v/>
      </c>
      <c r="O776" s="260"/>
      <c r="P776" s="260"/>
      <c r="Q776" s="261"/>
      <c r="R776" s="264">
        <f t="shared" si="822"/>
        <v>0</v>
      </c>
      <c r="S776" s="259" t="str" cm="1">
        <f t="array" ref="S776">IF($L776&gt;0, INDEX(Clean,1+AL776,$D$1), "")</f>
        <v/>
      </c>
      <c r="T776" s="260"/>
      <c r="U776" s="260"/>
      <c r="V776" s="261"/>
      <c r="W776" s="267"/>
      <c r="X776" s="267"/>
      <c r="Y776" s="257"/>
      <c r="Z776" s="264">
        <f t="shared" si="823"/>
        <v>0</v>
      </c>
      <c r="AA776" s="269"/>
      <c r="AB776" s="266"/>
      <c r="AC776" s="254"/>
      <c r="AD776" s="255" t="str">
        <f>IF(ISBLANK(AC776), "", VLOOKUP(AC776, Z!$A$2:$C$4127, 3, FALSE))</f>
        <v/>
      </c>
      <c r="AE776" s="270"/>
      <c r="AF776" s="265">
        <f t="shared" si="824"/>
        <v>0</v>
      </c>
      <c r="AG776" s="246"/>
      <c r="AH776" s="228">
        <f t="shared" si="847"/>
        <v>1</v>
      </c>
      <c r="AI776" s="228">
        <f t="shared" si="848"/>
        <v>1</v>
      </c>
      <c r="AJ776" s="228">
        <f t="shared" si="849"/>
        <v>0</v>
      </c>
      <c r="AK776" s="228">
        <v>0</v>
      </c>
      <c r="AL776" s="228">
        <v>0</v>
      </c>
      <c r="AM776" s="228">
        <f t="shared" si="825"/>
        <v>-100</v>
      </c>
      <c r="AN776" s="228" cm="1">
        <f t="array" ref="AN776">IF(ISBLANK(G776), 1, IFERROR(MATCH(G776, INDEX(Kat,,1), 0), IFERROR(MATCH(Kat, INDEX(Use,,2), 0), MATCH(Kat, INDEX(Use,,3), 0))))</f>
        <v>1</v>
      </c>
      <c r="AO776" s="246"/>
      <c r="AP776" s="228" cm="1">
        <f t="array" ref="AP776">IF(W776&gt;0, INDEX(Kat, AN776,4), 0)</f>
        <v>0</v>
      </c>
      <c r="AQ776" s="228">
        <f t="shared" si="850"/>
        <v>0</v>
      </c>
      <c r="AR776" s="228" cm="1">
        <f t="array" ref="AR776">IF(X776&gt;0, INDEX(Kat, $AN776, 4+AQ776), 0)</f>
        <v>0</v>
      </c>
      <c r="AS776" s="228" cm="1">
        <f t="array" ref="AS776">IF(X776&gt;0, INDEX(Kat, $AN776, 9+AQ776), 0)</f>
        <v>0</v>
      </c>
      <c r="AT776" s="246"/>
      <c r="AU776" s="262"/>
      <c r="AV776" s="262"/>
      <c r="AW776" s="263"/>
      <c r="AX776" s="263"/>
      <c r="AY776" s="263"/>
      <c r="AZ776" s="263"/>
      <c r="BA776" s="263"/>
      <c r="BB776" s="263"/>
      <c r="BC776" s="263"/>
      <c r="BD776" s="263"/>
      <c r="BE776" s="263"/>
      <c r="BF776" s="263"/>
      <c r="BG776" s="263"/>
      <c r="BH776" s="246"/>
      <c r="BI776" s="228" cm="1">
        <f t="array" ref="BI776">INDEX(Use, $AH776, 4)</f>
        <v>7</v>
      </c>
      <c r="BJ776" s="228">
        <f t="shared" si="826"/>
        <v>32</v>
      </c>
      <c r="BK776" s="228">
        <f t="shared" si="814"/>
        <v>13</v>
      </c>
      <c r="BL776" s="228">
        <f t="shared" si="815"/>
        <v>0</v>
      </c>
      <c r="BM776" s="233" cm="1">
        <f t="array" ref="BM776">L776/IF($M776&gt;0, INDEX($AY$22:$BE$76, $M776+20, $AH776), 1)</f>
        <v>0</v>
      </c>
      <c r="BN776" s="229">
        <f t="shared" si="827"/>
        <v>0</v>
      </c>
      <c r="BO776" s="228">
        <v>35</v>
      </c>
      <c r="BP776" s="229">
        <f t="shared" si="828"/>
        <v>48</v>
      </c>
      <c r="BQ776" s="234">
        <f t="shared" si="829"/>
        <v>3.0748170731707316</v>
      </c>
      <c r="BR776" s="234" cm="1">
        <f t="array" ref="BR776">$BM776 * SUMPRODUCT(INDEX($AV$76:$AX$81,,$AI776),INDEX($AY$76:$BE$81,,$AH776), N($AU$76:$AU$81&gt;$AM776)) / BQ776 / 1000</f>
        <v>0</v>
      </c>
      <c r="BS776" s="231">
        <f t="shared" si="816"/>
        <v>30</v>
      </c>
      <c r="BT776" s="229">
        <f t="shared" si="830"/>
        <v>43</v>
      </c>
      <c r="BU776" s="234">
        <f t="shared" si="831"/>
        <v>3.5018750000000001</v>
      </c>
      <c r="BV776" s="234" cm="1">
        <f t="array" ref="BV776">$BM776 * IF($AH776&lt;=2,
SUMPRODUCT(INDEX($AV$71:$AX$75,,$AI776), INDEX($AY$71:$BE$75,,$AH776), 1 / ($BF$71:$BF$75*BU776 + (1-$BF$71:$BF$75)*BQ776), N($AU$71:$AU$75&gt;$AM776)),
SUMPRODUCT(INDEX($AV$66:$AX$75,,$AI776), INDEX($AY$66:$BE$75,,$AH776), 1 / ($BG$66:$BG$75*BU776 + (1-$BG$66:$BG$75)*BQ776), N($AU$66:$AU$75&gt;$AM776))
) / 1000</f>
        <v>0</v>
      </c>
      <c r="BW776" s="231">
        <f t="shared" si="817"/>
        <v>25</v>
      </c>
      <c r="BX776" s="229">
        <f t="shared" si="832"/>
        <v>38</v>
      </c>
      <c r="BY776" s="234">
        <f t="shared" si="833"/>
        <v>4.0666935483870965</v>
      </c>
      <c r="BZ776" s="234" cm="1">
        <f t="array" ref="BZ776">$BM776 * IF($AH776&lt;=2,
SUMPRODUCT(INDEX($AV$66:$AX$70,,$AI776), INDEX($AY$66:$BE$70,,$AH776), 1 / ($BF$66:$BF$70*BY776 + (1-$BF$66:$BF$70)*BU776), N($AU$66:$AU$70&gt;$AM776)),
SUMPRODUCT(INDEX($AV$56:$AX$65,,$AI776), INDEX($AY$56:$BE$65,,$AH776), 1 / ($BG$56:$BG$65*BY776 + (1-$BG$56:$BG$65)*BU776), N($AU$56:$AU$65&gt;$AM776))
) / 1000</f>
        <v>0</v>
      </c>
      <c r="CA776" s="231">
        <f t="shared" si="818"/>
        <v>20</v>
      </c>
      <c r="CB776" s="229">
        <f t="shared" si="834"/>
        <v>33</v>
      </c>
      <c r="CC776" s="234">
        <f t="shared" si="835"/>
        <v>4.8487499999999999</v>
      </c>
      <c r="CD776" s="234" cm="1">
        <f t="array" ref="CD776">$BM776 * IF($AH776&lt;=2,
SUMPRODUCT(INDEX($AV$61:$AX$65,,$AI776), INDEX($AY$61:$BE$65,,$AH776), 1 / ($BF$61:$BF$65*CC776 + (1-$BF$61:$BF$65)*BY776), N($AU$61:$AU$65&gt;$AM776)),
SUMPRODUCT(INDEX($AV$46:$AX$55,,$AI776), INDEX($AY$46:$BE$55,,$AH776), 1 / ($BG$46:$BG$55*CC776 + (1-$BG$46:$BG$55)*BY776), N($AU$46:$AU$55&gt;$AM776))
) / 1000</f>
        <v>0</v>
      </c>
      <c r="CE776" s="234" cm="1">
        <f t="array" ref="CE776">$BM776 * IF($AH776&lt;=2,
SUMPRODUCT(INDEX($AV$22:$AX$60,,$AI776), INDEX($AY$22:$BE$60,,$AH776), 1 / ($BF$22:$BF$60*CC776), N($AU$22:$AU$60&gt;$AM776)),
SUMPRODUCT(INDEX($AV$22:$AX$45,,$AI776), INDEX($AY$22:$BE$45,,$AH776), 1 / ($BG$22:$BG$45*CC776), N($AU$22:$AU$45&gt;$AM776))
) / 1000</f>
        <v>0</v>
      </c>
      <c r="CF776" s="229">
        <f t="shared" si="836"/>
        <v>0</v>
      </c>
      <c r="CG776" s="246"/>
      <c r="CH776" s="229">
        <f t="shared" si="837"/>
        <v>0</v>
      </c>
      <c r="CI776" s="228">
        <v>35</v>
      </c>
      <c r="CJ776" s="229">
        <f t="shared" si="838"/>
        <v>48</v>
      </c>
      <c r="CK776" s="234">
        <f t="shared" si="839"/>
        <v>3.0748170731707316</v>
      </c>
      <c r="CL776" s="234" cm="1">
        <f t="array" ref="CL776">$BM776 * SUMPRODUCT(INDEX($AV$76:$AX$81,,$AI776),INDEX($AY$76:$BE$81,,$AH776), N($AU$76:$AU$81&gt;$AM776)) / CK776 / 1000</f>
        <v>0</v>
      </c>
      <c r="CM776" s="231">
        <f t="shared" si="819"/>
        <v>30</v>
      </c>
      <c r="CN776" s="229">
        <f t="shared" si="840"/>
        <v>43</v>
      </c>
      <c r="CO776" s="234">
        <f t="shared" si="841"/>
        <v>3.5018750000000001</v>
      </c>
      <c r="CP776" s="234" cm="1">
        <f t="array" ref="CP776">$BM776 * IF($AH776&lt;=2,
SUMPRODUCT(INDEX($AV$71:$AX$75,,$AI776), INDEX($AY$71:$BE$75,,$AH776), 1 / ($BF$71:$BF$75*CO776 + (1-$BF$71:$BF$75)*CK776), N($AU$71:$AU$75&gt;$AM776)),
SUMPRODUCT(INDEX($AV$66:$AX$75,,$AI776), INDEX($AY$66:$BE$75,,$AH776), 1 / ($BG$66:$BG$75*CO776 + (1-$BG$66:$BG$75)*CK776), N($AU$66:$AU$75&gt;$AM776))
) / 1000</f>
        <v>0</v>
      </c>
      <c r="CQ776" s="231">
        <f t="shared" si="820"/>
        <v>25</v>
      </c>
      <c r="CR776" s="229">
        <f t="shared" si="842"/>
        <v>38</v>
      </c>
      <c r="CS776" s="234">
        <f t="shared" si="843"/>
        <v>4.0666935483870965</v>
      </c>
      <c r="CT776" s="234" cm="1">
        <f t="array" ref="CT776">$BM776 * IF($AH776&lt;=2,
SUMPRODUCT(INDEX($AV$66:$AX$70,,$AI776), INDEX($AY$66:$BE$70,,$AH776), 1 / ($BF$66:$BF$70*CS776 + (1-$BF$66:$BF$70)*CO776), N($AU$66:$AU$70&gt;$AM776)),
SUMPRODUCT(INDEX($AV$56:$AX$65,,$AI776), INDEX($AY$56:$BE$65,,$AH776), 1 / ($BG$56:$BG$65*CS776 + (1-$BG$56:$BG$65)*CO776), N($AU$56:$AU$65&gt;$AM776))
) / 1000</f>
        <v>0</v>
      </c>
      <c r="CU776" s="231">
        <f t="shared" si="821"/>
        <v>20</v>
      </c>
      <c r="CV776" s="229">
        <f t="shared" si="844"/>
        <v>33</v>
      </c>
      <c r="CW776" s="234">
        <f t="shared" si="845"/>
        <v>4.8487499999999999</v>
      </c>
      <c r="CX776" s="234" cm="1">
        <f t="array" ref="CX776">$BM776 * IF($AH776&lt;=2,
SUMPRODUCT(INDEX($AV$61:$AX$65,,$AI776), INDEX($AY$61:$BE$65,,$AH776), 1 / ($BF$61:$BF$65*CW776 + (1-$BF$61:$BF$65)*CS776), N($AU$61:$AU$65&gt;$AM776)),
SUMPRODUCT(INDEX($AV$46:$AX$55,,$AI776), INDEX($AY$46:$BE$55,,$AH776), 1 / ($BG$46:$BG$55*CW776 + (1-$BG$46:$BG$55)*CS776), N($AU$46:$AU$55&gt;$AM776))
) / 1000</f>
        <v>0</v>
      </c>
      <c r="CY776" s="234" cm="1">
        <f t="array" ref="CY776">$BM776 * IF($AH776&lt;=2,
SUMPRODUCT(INDEX($AV$22:$AX$60,,$AI776), INDEX($AY$22:$BE$60,,$AH776), 1 / ($BF$22:$BF$60*CW776), N($AU$22:$AU$60&gt;$AM776)),
SUMPRODUCT(INDEX($AV$22:$AX$45,,$AI776), INDEX($AY$22:$BE$45,,$AH776), 1 / ($BG$22:$BG$45*CW776), N($AU$22:$AU$45&gt;$AM776))
) / 1000</f>
        <v>0</v>
      </c>
      <c r="CZ776" s="229">
        <f t="shared" si="846"/>
        <v>0</v>
      </c>
      <c r="DA776" s="246"/>
    </row>
    <row r="777" spans="1:105" s="75" customFormat="1" ht="14.25" customHeight="1" x14ac:dyDescent="0.2">
      <c r="A777" s="230" t="b">
        <f t="shared" si="813"/>
        <v>0</v>
      </c>
      <c r="B777" s="253">
        <v>756</v>
      </c>
      <c r="C777" s="266"/>
      <c r="D777" s="266"/>
      <c r="E777" s="254"/>
      <c r="F777" s="255" t="str">
        <f>IF(ISBLANK(E777), "", VLOOKUP(E777, Z!$A$2:$C$4127, 3, FALSE))</f>
        <v/>
      </c>
      <c r="G777" s="256"/>
      <c r="H777" s="256"/>
      <c r="I777" s="256"/>
      <c r="J777" s="257"/>
      <c r="K777" s="258"/>
      <c r="L777" s="267"/>
      <c r="M777" s="268"/>
      <c r="N777" s="259" t="str" cm="1">
        <f t="array" ref="N777">IF($L777&gt;0, INDEX(Clean,1+AK777,$D$1), "")</f>
        <v/>
      </c>
      <c r="O777" s="260"/>
      <c r="P777" s="260"/>
      <c r="Q777" s="261"/>
      <c r="R777" s="264">
        <f t="shared" si="822"/>
        <v>0</v>
      </c>
      <c r="S777" s="259" t="str" cm="1">
        <f t="array" ref="S777">IF($L777&gt;0, INDEX(Clean,1+AL777,$D$1), "")</f>
        <v/>
      </c>
      <c r="T777" s="260"/>
      <c r="U777" s="260"/>
      <c r="V777" s="261"/>
      <c r="W777" s="267"/>
      <c r="X777" s="267"/>
      <c r="Y777" s="257"/>
      <c r="Z777" s="264">
        <f t="shared" si="823"/>
        <v>0</v>
      </c>
      <c r="AA777" s="269"/>
      <c r="AB777" s="266"/>
      <c r="AC777" s="254"/>
      <c r="AD777" s="255" t="str">
        <f>IF(ISBLANK(AC777), "", VLOOKUP(AC777, Z!$A$2:$C$4127, 3, FALSE))</f>
        <v/>
      </c>
      <c r="AE777" s="270"/>
      <c r="AF777" s="265">
        <f t="shared" si="824"/>
        <v>0</v>
      </c>
      <c r="AG777" s="246"/>
      <c r="AH777" s="228">
        <f t="shared" si="847"/>
        <v>1</v>
      </c>
      <c r="AI777" s="228">
        <f t="shared" si="848"/>
        <v>1</v>
      </c>
      <c r="AJ777" s="228">
        <f t="shared" si="849"/>
        <v>0</v>
      </c>
      <c r="AK777" s="228">
        <v>0</v>
      </c>
      <c r="AL777" s="228">
        <v>0</v>
      </c>
      <c r="AM777" s="228">
        <f t="shared" si="825"/>
        <v>-100</v>
      </c>
      <c r="AN777" s="228" cm="1">
        <f t="array" ref="AN777">IF(ISBLANK(G777), 1, IFERROR(MATCH(G777, INDEX(Kat,,1), 0), IFERROR(MATCH(Kat, INDEX(Use,,2), 0), MATCH(Kat, INDEX(Use,,3), 0))))</f>
        <v>1</v>
      </c>
      <c r="AO777" s="246"/>
      <c r="AP777" s="228" cm="1">
        <f t="array" ref="AP777">IF(W777&gt;0, INDEX(Kat, AN777,4), 0)</f>
        <v>0</v>
      </c>
      <c r="AQ777" s="228">
        <f t="shared" si="850"/>
        <v>0</v>
      </c>
      <c r="AR777" s="228" cm="1">
        <f t="array" ref="AR777">IF(X777&gt;0, INDEX(Kat, $AN777, 4+AQ777), 0)</f>
        <v>0</v>
      </c>
      <c r="AS777" s="228" cm="1">
        <f t="array" ref="AS777">IF(X777&gt;0, INDEX(Kat, $AN777, 9+AQ777), 0)</f>
        <v>0</v>
      </c>
      <c r="AT777" s="246"/>
      <c r="AU777" s="262"/>
      <c r="AV777" s="262"/>
      <c r="AW777" s="263"/>
      <c r="AX777" s="263"/>
      <c r="AY777" s="263"/>
      <c r="AZ777" s="263"/>
      <c r="BA777" s="263"/>
      <c r="BB777" s="263"/>
      <c r="BC777" s="263"/>
      <c r="BD777" s="263"/>
      <c r="BE777" s="263"/>
      <c r="BF777" s="263"/>
      <c r="BG777" s="263"/>
      <c r="BH777" s="246"/>
      <c r="BI777" s="228" cm="1">
        <f t="array" ref="BI777">INDEX(Use, $AH777, 4)</f>
        <v>7</v>
      </c>
      <c r="BJ777" s="228">
        <f t="shared" si="826"/>
        <v>32</v>
      </c>
      <c r="BK777" s="228">
        <f t="shared" si="814"/>
        <v>13</v>
      </c>
      <c r="BL777" s="228">
        <f t="shared" si="815"/>
        <v>0</v>
      </c>
      <c r="BM777" s="233" cm="1">
        <f t="array" ref="BM777">L777/IF($M777&gt;0, INDEX($AY$22:$BE$76, $M777+20, $AH777), 1)</f>
        <v>0</v>
      </c>
      <c r="BN777" s="229">
        <f t="shared" si="827"/>
        <v>0</v>
      </c>
      <c r="BO777" s="228">
        <v>35</v>
      </c>
      <c r="BP777" s="229">
        <f t="shared" si="828"/>
        <v>48</v>
      </c>
      <c r="BQ777" s="234">
        <f t="shared" si="829"/>
        <v>3.0748170731707316</v>
      </c>
      <c r="BR777" s="234" cm="1">
        <f t="array" ref="BR777">$BM777 * SUMPRODUCT(INDEX($AV$76:$AX$81,,$AI777),INDEX($AY$76:$BE$81,,$AH777), N($AU$76:$AU$81&gt;$AM777)) / BQ777 / 1000</f>
        <v>0</v>
      </c>
      <c r="BS777" s="231">
        <f t="shared" si="816"/>
        <v>30</v>
      </c>
      <c r="BT777" s="229">
        <f t="shared" si="830"/>
        <v>43</v>
      </c>
      <c r="BU777" s="234">
        <f t="shared" si="831"/>
        <v>3.5018750000000001</v>
      </c>
      <c r="BV777" s="234" cm="1">
        <f t="array" ref="BV777">$BM777 * IF($AH777&lt;=2,
SUMPRODUCT(INDEX($AV$71:$AX$75,,$AI777), INDEX($AY$71:$BE$75,,$AH777), 1 / ($BF$71:$BF$75*BU777 + (1-$BF$71:$BF$75)*BQ777), N($AU$71:$AU$75&gt;$AM777)),
SUMPRODUCT(INDEX($AV$66:$AX$75,,$AI777), INDEX($AY$66:$BE$75,,$AH777), 1 / ($BG$66:$BG$75*BU777 + (1-$BG$66:$BG$75)*BQ777), N($AU$66:$AU$75&gt;$AM777))
) / 1000</f>
        <v>0</v>
      </c>
      <c r="BW777" s="231">
        <f t="shared" si="817"/>
        <v>25</v>
      </c>
      <c r="BX777" s="229">
        <f t="shared" si="832"/>
        <v>38</v>
      </c>
      <c r="BY777" s="234">
        <f t="shared" si="833"/>
        <v>4.0666935483870965</v>
      </c>
      <c r="BZ777" s="234" cm="1">
        <f t="array" ref="BZ777">$BM777 * IF($AH777&lt;=2,
SUMPRODUCT(INDEX($AV$66:$AX$70,,$AI777), INDEX($AY$66:$BE$70,,$AH777), 1 / ($BF$66:$BF$70*BY777 + (1-$BF$66:$BF$70)*BU777), N($AU$66:$AU$70&gt;$AM777)),
SUMPRODUCT(INDEX($AV$56:$AX$65,,$AI777), INDEX($AY$56:$BE$65,,$AH777), 1 / ($BG$56:$BG$65*BY777 + (1-$BG$56:$BG$65)*BU777), N($AU$56:$AU$65&gt;$AM777))
) / 1000</f>
        <v>0</v>
      </c>
      <c r="CA777" s="231">
        <f t="shared" si="818"/>
        <v>20</v>
      </c>
      <c r="CB777" s="229">
        <f t="shared" si="834"/>
        <v>33</v>
      </c>
      <c r="CC777" s="234">
        <f t="shared" si="835"/>
        <v>4.8487499999999999</v>
      </c>
      <c r="CD777" s="234" cm="1">
        <f t="array" ref="CD777">$BM777 * IF($AH777&lt;=2,
SUMPRODUCT(INDEX($AV$61:$AX$65,,$AI777), INDEX($AY$61:$BE$65,,$AH777), 1 / ($BF$61:$BF$65*CC777 + (1-$BF$61:$BF$65)*BY777), N($AU$61:$AU$65&gt;$AM777)),
SUMPRODUCT(INDEX($AV$46:$AX$55,,$AI777), INDEX($AY$46:$BE$55,,$AH777), 1 / ($BG$46:$BG$55*CC777 + (1-$BG$46:$BG$55)*BY777), N($AU$46:$AU$55&gt;$AM777))
) / 1000</f>
        <v>0</v>
      </c>
      <c r="CE777" s="234" cm="1">
        <f t="array" ref="CE777">$BM777 * IF($AH777&lt;=2,
SUMPRODUCT(INDEX($AV$22:$AX$60,,$AI777), INDEX($AY$22:$BE$60,,$AH777), 1 / ($BF$22:$BF$60*CC777), N($AU$22:$AU$60&gt;$AM777)),
SUMPRODUCT(INDEX($AV$22:$AX$45,,$AI777), INDEX($AY$22:$BE$45,,$AH777), 1 / ($BG$22:$BG$45*CC777), N($AU$22:$AU$45&gt;$AM777))
) / 1000</f>
        <v>0</v>
      </c>
      <c r="CF777" s="229">
        <f t="shared" si="836"/>
        <v>0</v>
      </c>
      <c r="CG777" s="246"/>
      <c r="CH777" s="229">
        <f t="shared" si="837"/>
        <v>0</v>
      </c>
      <c r="CI777" s="228">
        <v>35</v>
      </c>
      <c r="CJ777" s="229">
        <f t="shared" si="838"/>
        <v>48</v>
      </c>
      <c r="CK777" s="234">
        <f t="shared" si="839"/>
        <v>3.0748170731707316</v>
      </c>
      <c r="CL777" s="234" cm="1">
        <f t="array" ref="CL777">$BM777 * SUMPRODUCT(INDEX($AV$76:$AX$81,,$AI777),INDEX($AY$76:$BE$81,,$AH777), N($AU$76:$AU$81&gt;$AM777)) / CK777 / 1000</f>
        <v>0</v>
      </c>
      <c r="CM777" s="231">
        <f t="shared" si="819"/>
        <v>30</v>
      </c>
      <c r="CN777" s="229">
        <f t="shared" si="840"/>
        <v>43</v>
      </c>
      <c r="CO777" s="234">
        <f t="shared" si="841"/>
        <v>3.5018750000000001</v>
      </c>
      <c r="CP777" s="234" cm="1">
        <f t="array" ref="CP777">$BM777 * IF($AH777&lt;=2,
SUMPRODUCT(INDEX($AV$71:$AX$75,,$AI777), INDEX($AY$71:$BE$75,,$AH777), 1 / ($BF$71:$BF$75*CO777 + (1-$BF$71:$BF$75)*CK777), N($AU$71:$AU$75&gt;$AM777)),
SUMPRODUCT(INDEX($AV$66:$AX$75,,$AI777), INDEX($AY$66:$BE$75,,$AH777), 1 / ($BG$66:$BG$75*CO777 + (1-$BG$66:$BG$75)*CK777), N($AU$66:$AU$75&gt;$AM777))
) / 1000</f>
        <v>0</v>
      </c>
      <c r="CQ777" s="231">
        <f t="shared" si="820"/>
        <v>25</v>
      </c>
      <c r="CR777" s="229">
        <f t="shared" si="842"/>
        <v>38</v>
      </c>
      <c r="CS777" s="234">
        <f t="shared" si="843"/>
        <v>4.0666935483870965</v>
      </c>
      <c r="CT777" s="234" cm="1">
        <f t="array" ref="CT777">$BM777 * IF($AH777&lt;=2,
SUMPRODUCT(INDEX($AV$66:$AX$70,,$AI777), INDEX($AY$66:$BE$70,,$AH777), 1 / ($BF$66:$BF$70*CS777 + (1-$BF$66:$BF$70)*CO777), N($AU$66:$AU$70&gt;$AM777)),
SUMPRODUCT(INDEX($AV$56:$AX$65,,$AI777), INDEX($AY$56:$BE$65,,$AH777), 1 / ($BG$56:$BG$65*CS777 + (1-$BG$56:$BG$65)*CO777), N($AU$56:$AU$65&gt;$AM777))
) / 1000</f>
        <v>0</v>
      </c>
      <c r="CU777" s="231">
        <f t="shared" si="821"/>
        <v>20</v>
      </c>
      <c r="CV777" s="229">
        <f t="shared" si="844"/>
        <v>33</v>
      </c>
      <c r="CW777" s="234">
        <f t="shared" si="845"/>
        <v>4.8487499999999999</v>
      </c>
      <c r="CX777" s="234" cm="1">
        <f t="array" ref="CX777">$BM777 * IF($AH777&lt;=2,
SUMPRODUCT(INDEX($AV$61:$AX$65,,$AI777), INDEX($AY$61:$BE$65,,$AH777), 1 / ($BF$61:$BF$65*CW777 + (1-$BF$61:$BF$65)*CS777), N($AU$61:$AU$65&gt;$AM777)),
SUMPRODUCT(INDEX($AV$46:$AX$55,,$AI777), INDEX($AY$46:$BE$55,,$AH777), 1 / ($BG$46:$BG$55*CW777 + (1-$BG$46:$BG$55)*CS777), N($AU$46:$AU$55&gt;$AM777))
) / 1000</f>
        <v>0</v>
      </c>
      <c r="CY777" s="234" cm="1">
        <f t="array" ref="CY777">$BM777 * IF($AH777&lt;=2,
SUMPRODUCT(INDEX($AV$22:$AX$60,,$AI777), INDEX($AY$22:$BE$60,,$AH777), 1 / ($BF$22:$BF$60*CW777), N($AU$22:$AU$60&gt;$AM777)),
SUMPRODUCT(INDEX($AV$22:$AX$45,,$AI777), INDEX($AY$22:$BE$45,,$AH777), 1 / ($BG$22:$BG$45*CW777), N($AU$22:$AU$45&gt;$AM777))
) / 1000</f>
        <v>0</v>
      </c>
      <c r="CZ777" s="229">
        <f t="shared" si="846"/>
        <v>0</v>
      </c>
      <c r="DA777" s="246"/>
    </row>
    <row r="778" spans="1:105" s="75" customFormat="1" ht="14.25" customHeight="1" x14ac:dyDescent="0.2">
      <c r="A778" s="230" t="b">
        <f t="shared" si="813"/>
        <v>0</v>
      </c>
      <c r="B778" s="253">
        <v>757</v>
      </c>
      <c r="C778" s="266"/>
      <c r="D778" s="266"/>
      <c r="E778" s="254"/>
      <c r="F778" s="255" t="str">
        <f>IF(ISBLANK(E778), "", VLOOKUP(E778, Z!$A$2:$C$4127, 3, FALSE))</f>
        <v/>
      </c>
      <c r="G778" s="256"/>
      <c r="H778" s="256"/>
      <c r="I778" s="256"/>
      <c r="J778" s="257"/>
      <c r="K778" s="258"/>
      <c r="L778" s="267"/>
      <c r="M778" s="268"/>
      <c r="N778" s="259" t="str" cm="1">
        <f t="array" ref="N778">IF($L778&gt;0, INDEX(Clean,1+AK778,$D$1), "")</f>
        <v/>
      </c>
      <c r="O778" s="260"/>
      <c r="P778" s="260"/>
      <c r="Q778" s="261"/>
      <c r="R778" s="264">
        <f t="shared" si="822"/>
        <v>0</v>
      </c>
      <c r="S778" s="259" t="str" cm="1">
        <f t="array" ref="S778">IF($L778&gt;0, INDEX(Clean,1+AL778,$D$1), "")</f>
        <v/>
      </c>
      <c r="T778" s="260"/>
      <c r="U778" s="260"/>
      <c r="V778" s="261"/>
      <c r="W778" s="267"/>
      <c r="X778" s="267"/>
      <c r="Y778" s="257"/>
      <c r="Z778" s="264">
        <f t="shared" si="823"/>
        <v>0</v>
      </c>
      <c r="AA778" s="269"/>
      <c r="AB778" s="266"/>
      <c r="AC778" s="254"/>
      <c r="AD778" s="255" t="str">
        <f>IF(ISBLANK(AC778), "", VLOOKUP(AC778, Z!$A$2:$C$4127, 3, FALSE))</f>
        <v/>
      </c>
      <c r="AE778" s="270"/>
      <c r="AF778" s="265">
        <f t="shared" si="824"/>
        <v>0</v>
      </c>
      <c r="AG778" s="246"/>
      <c r="AH778" s="228">
        <f t="shared" si="847"/>
        <v>1</v>
      </c>
      <c r="AI778" s="228">
        <f t="shared" si="848"/>
        <v>1</v>
      </c>
      <c r="AJ778" s="228">
        <f t="shared" si="849"/>
        <v>0</v>
      </c>
      <c r="AK778" s="228">
        <v>0</v>
      </c>
      <c r="AL778" s="228">
        <v>0</v>
      </c>
      <c r="AM778" s="228">
        <f t="shared" si="825"/>
        <v>-100</v>
      </c>
      <c r="AN778" s="228" cm="1">
        <f t="array" ref="AN778">IF(ISBLANK(G778), 1, IFERROR(MATCH(G778, INDEX(Kat,,1), 0), IFERROR(MATCH(Kat, INDEX(Use,,2), 0), MATCH(Kat, INDEX(Use,,3), 0))))</f>
        <v>1</v>
      </c>
      <c r="AO778" s="246"/>
      <c r="AP778" s="228" cm="1">
        <f t="array" ref="AP778">IF(W778&gt;0, INDEX(Kat, AN778,4), 0)</f>
        <v>0</v>
      </c>
      <c r="AQ778" s="228">
        <f t="shared" si="850"/>
        <v>0</v>
      </c>
      <c r="AR778" s="228" cm="1">
        <f t="array" ref="AR778">IF(X778&gt;0, INDEX(Kat, $AN778, 4+AQ778), 0)</f>
        <v>0</v>
      </c>
      <c r="AS778" s="228" cm="1">
        <f t="array" ref="AS778">IF(X778&gt;0, INDEX(Kat, $AN778, 9+AQ778), 0)</f>
        <v>0</v>
      </c>
      <c r="AT778" s="246"/>
      <c r="AU778" s="262"/>
      <c r="AV778" s="262"/>
      <c r="AW778" s="263"/>
      <c r="AX778" s="263"/>
      <c r="AY778" s="263"/>
      <c r="AZ778" s="263"/>
      <c r="BA778" s="263"/>
      <c r="BB778" s="263"/>
      <c r="BC778" s="263"/>
      <c r="BD778" s="263"/>
      <c r="BE778" s="263"/>
      <c r="BF778" s="263"/>
      <c r="BG778" s="263"/>
      <c r="BH778" s="246"/>
      <c r="BI778" s="228" cm="1">
        <f t="array" ref="BI778">INDEX(Use, $AH778, 4)</f>
        <v>7</v>
      </c>
      <c r="BJ778" s="228">
        <f t="shared" si="826"/>
        <v>32</v>
      </c>
      <c r="BK778" s="228">
        <f t="shared" si="814"/>
        <v>13</v>
      </c>
      <c r="BL778" s="228">
        <f t="shared" si="815"/>
        <v>0</v>
      </c>
      <c r="BM778" s="233" cm="1">
        <f t="array" ref="BM778">L778/IF($M778&gt;0, INDEX($AY$22:$BE$76, $M778+20, $AH778), 1)</f>
        <v>0</v>
      </c>
      <c r="BN778" s="229">
        <f t="shared" si="827"/>
        <v>0</v>
      </c>
      <c r="BO778" s="228">
        <v>35</v>
      </c>
      <c r="BP778" s="229">
        <f t="shared" si="828"/>
        <v>48</v>
      </c>
      <c r="BQ778" s="234">
        <f t="shared" si="829"/>
        <v>3.0748170731707316</v>
      </c>
      <c r="BR778" s="234" cm="1">
        <f t="array" ref="BR778">$BM778 * SUMPRODUCT(INDEX($AV$76:$AX$81,,$AI778),INDEX($AY$76:$BE$81,,$AH778), N($AU$76:$AU$81&gt;$AM778)) / BQ778 / 1000</f>
        <v>0</v>
      </c>
      <c r="BS778" s="231">
        <f t="shared" si="816"/>
        <v>30</v>
      </c>
      <c r="BT778" s="229">
        <f t="shared" si="830"/>
        <v>43</v>
      </c>
      <c r="BU778" s="234">
        <f t="shared" si="831"/>
        <v>3.5018750000000001</v>
      </c>
      <c r="BV778" s="234" cm="1">
        <f t="array" ref="BV778">$BM778 * IF($AH778&lt;=2,
SUMPRODUCT(INDEX($AV$71:$AX$75,,$AI778), INDEX($AY$71:$BE$75,,$AH778), 1 / ($BF$71:$BF$75*BU778 + (1-$BF$71:$BF$75)*BQ778), N($AU$71:$AU$75&gt;$AM778)),
SUMPRODUCT(INDEX($AV$66:$AX$75,,$AI778), INDEX($AY$66:$BE$75,,$AH778), 1 / ($BG$66:$BG$75*BU778 + (1-$BG$66:$BG$75)*BQ778), N($AU$66:$AU$75&gt;$AM778))
) / 1000</f>
        <v>0</v>
      </c>
      <c r="BW778" s="231">
        <f t="shared" si="817"/>
        <v>25</v>
      </c>
      <c r="BX778" s="229">
        <f t="shared" si="832"/>
        <v>38</v>
      </c>
      <c r="BY778" s="234">
        <f t="shared" si="833"/>
        <v>4.0666935483870965</v>
      </c>
      <c r="BZ778" s="234" cm="1">
        <f t="array" ref="BZ778">$BM778 * IF($AH778&lt;=2,
SUMPRODUCT(INDEX($AV$66:$AX$70,,$AI778), INDEX($AY$66:$BE$70,,$AH778), 1 / ($BF$66:$BF$70*BY778 + (1-$BF$66:$BF$70)*BU778), N($AU$66:$AU$70&gt;$AM778)),
SUMPRODUCT(INDEX($AV$56:$AX$65,,$AI778), INDEX($AY$56:$BE$65,,$AH778), 1 / ($BG$56:$BG$65*BY778 + (1-$BG$56:$BG$65)*BU778), N($AU$56:$AU$65&gt;$AM778))
) / 1000</f>
        <v>0</v>
      </c>
      <c r="CA778" s="231">
        <f t="shared" si="818"/>
        <v>20</v>
      </c>
      <c r="CB778" s="229">
        <f t="shared" si="834"/>
        <v>33</v>
      </c>
      <c r="CC778" s="234">
        <f t="shared" si="835"/>
        <v>4.8487499999999999</v>
      </c>
      <c r="CD778" s="234" cm="1">
        <f t="array" ref="CD778">$BM778 * IF($AH778&lt;=2,
SUMPRODUCT(INDEX($AV$61:$AX$65,,$AI778), INDEX($AY$61:$BE$65,,$AH778), 1 / ($BF$61:$BF$65*CC778 + (1-$BF$61:$BF$65)*BY778), N($AU$61:$AU$65&gt;$AM778)),
SUMPRODUCT(INDEX($AV$46:$AX$55,,$AI778), INDEX($AY$46:$BE$55,,$AH778), 1 / ($BG$46:$BG$55*CC778 + (1-$BG$46:$BG$55)*BY778), N($AU$46:$AU$55&gt;$AM778))
) / 1000</f>
        <v>0</v>
      </c>
      <c r="CE778" s="234" cm="1">
        <f t="array" ref="CE778">$BM778 * IF($AH778&lt;=2,
SUMPRODUCT(INDEX($AV$22:$AX$60,,$AI778), INDEX($AY$22:$BE$60,,$AH778), 1 / ($BF$22:$BF$60*CC778), N($AU$22:$AU$60&gt;$AM778)),
SUMPRODUCT(INDEX($AV$22:$AX$45,,$AI778), INDEX($AY$22:$BE$45,,$AH778), 1 / ($BG$22:$BG$45*CC778), N($AU$22:$AU$45&gt;$AM778))
) / 1000</f>
        <v>0</v>
      </c>
      <c r="CF778" s="229">
        <f t="shared" si="836"/>
        <v>0</v>
      </c>
      <c r="CG778" s="246"/>
      <c r="CH778" s="229">
        <f t="shared" si="837"/>
        <v>0</v>
      </c>
      <c r="CI778" s="228">
        <v>35</v>
      </c>
      <c r="CJ778" s="229">
        <f t="shared" si="838"/>
        <v>48</v>
      </c>
      <c r="CK778" s="234">
        <f t="shared" si="839"/>
        <v>3.0748170731707316</v>
      </c>
      <c r="CL778" s="234" cm="1">
        <f t="array" ref="CL778">$BM778 * SUMPRODUCT(INDEX($AV$76:$AX$81,,$AI778),INDEX($AY$76:$BE$81,,$AH778), N($AU$76:$AU$81&gt;$AM778)) / CK778 / 1000</f>
        <v>0</v>
      </c>
      <c r="CM778" s="231">
        <f t="shared" si="819"/>
        <v>30</v>
      </c>
      <c r="CN778" s="229">
        <f t="shared" si="840"/>
        <v>43</v>
      </c>
      <c r="CO778" s="234">
        <f t="shared" si="841"/>
        <v>3.5018750000000001</v>
      </c>
      <c r="CP778" s="234" cm="1">
        <f t="array" ref="CP778">$BM778 * IF($AH778&lt;=2,
SUMPRODUCT(INDEX($AV$71:$AX$75,,$AI778), INDEX($AY$71:$BE$75,,$AH778), 1 / ($BF$71:$BF$75*CO778 + (1-$BF$71:$BF$75)*CK778), N($AU$71:$AU$75&gt;$AM778)),
SUMPRODUCT(INDEX($AV$66:$AX$75,,$AI778), INDEX($AY$66:$BE$75,,$AH778), 1 / ($BG$66:$BG$75*CO778 + (1-$BG$66:$BG$75)*CK778), N($AU$66:$AU$75&gt;$AM778))
) / 1000</f>
        <v>0</v>
      </c>
      <c r="CQ778" s="231">
        <f t="shared" si="820"/>
        <v>25</v>
      </c>
      <c r="CR778" s="229">
        <f t="shared" si="842"/>
        <v>38</v>
      </c>
      <c r="CS778" s="234">
        <f t="shared" si="843"/>
        <v>4.0666935483870965</v>
      </c>
      <c r="CT778" s="234" cm="1">
        <f t="array" ref="CT778">$BM778 * IF($AH778&lt;=2,
SUMPRODUCT(INDEX($AV$66:$AX$70,,$AI778), INDEX($AY$66:$BE$70,,$AH778), 1 / ($BF$66:$BF$70*CS778 + (1-$BF$66:$BF$70)*CO778), N($AU$66:$AU$70&gt;$AM778)),
SUMPRODUCT(INDEX($AV$56:$AX$65,,$AI778), INDEX($AY$56:$BE$65,,$AH778), 1 / ($BG$56:$BG$65*CS778 + (1-$BG$56:$BG$65)*CO778), N($AU$56:$AU$65&gt;$AM778))
) / 1000</f>
        <v>0</v>
      </c>
      <c r="CU778" s="231">
        <f t="shared" si="821"/>
        <v>20</v>
      </c>
      <c r="CV778" s="229">
        <f t="shared" si="844"/>
        <v>33</v>
      </c>
      <c r="CW778" s="234">
        <f t="shared" si="845"/>
        <v>4.8487499999999999</v>
      </c>
      <c r="CX778" s="234" cm="1">
        <f t="array" ref="CX778">$BM778 * IF($AH778&lt;=2,
SUMPRODUCT(INDEX($AV$61:$AX$65,,$AI778), INDEX($AY$61:$BE$65,,$AH778), 1 / ($BF$61:$BF$65*CW778 + (1-$BF$61:$BF$65)*CS778), N($AU$61:$AU$65&gt;$AM778)),
SUMPRODUCT(INDEX($AV$46:$AX$55,,$AI778), INDEX($AY$46:$BE$55,,$AH778), 1 / ($BG$46:$BG$55*CW778 + (1-$BG$46:$BG$55)*CS778), N($AU$46:$AU$55&gt;$AM778))
) / 1000</f>
        <v>0</v>
      </c>
      <c r="CY778" s="234" cm="1">
        <f t="array" ref="CY778">$BM778 * IF($AH778&lt;=2,
SUMPRODUCT(INDEX($AV$22:$AX$60,,$AI778), INDEX($AY$22:$BE$60,,$AH778), 1 / ($BF$22:$BF$60*CW778), N($AU$22:$AU$60&gt;$AM778)),
SUMPRODUCT(INDEX($AV$22:$AX$45,,$AI778), INDEX($AY$22:$BE$45,,$AH778), 1 / ($BG$22:$BG$45*CW778), N($AU$22:$AU$45&gt;$AM778))
) / 1000</f>
        <v>0</v>
      </c>
      <c r="CZ778" s="229">
        <f t="shared" si="846"/>
        <v>0</v>
      </c>
      <c r="DA778" s="246"/>
    </row>
    <row r="779" spans="1:105" s="75" customFormat="1" ht="14.25" customHeight="1" x14ac:dyDescent="0.2">
      <c r="A779" s="230" t="b">
        <f t="shared" si="813"/>
        <v>0</v>
      </c>
      <c r="B779" s="253">
        <v>758</v>
      </c>
      <c r="C779" s="266"/>
      <c r="D779" s="266"/>
      <c r="E779" s="254"/>
      <c r="F779" s="255" t="str">
        <f>IF(ISBLANK(E779), "", VLOOKUP(E779, Z!$A$2:$C$4127, 3, FALSE))</f>
        <v/>
      </c>
      <c r="G779" s="256"/>
      <c r="H779" s="256"/>
      <c r="I779" s="256"/>
      <c r="J779" s="257"/>
      <c r="K779" s="258"/>
      <c r="L779" s="267"/>
      <c r="M779" s="268"/>
      <c r="N779" s="259" t="str" cm="1">
        <f t="array" ref="N779">IF($L779&gt;0, INDEX(Clean,1+AK779,$D$1), "")</f>
        <v/>
      </c>
      <c r="O779" s="260"/>
      <c r="P779" s="260"/>
      <c r="Q779" s="261"/>
      <c r="R779" s="264">
        <f t="shared" si="822"/>
        <v>0</v>
      </c>
      <c r="S779" s="259" t="str" cm="1">
        <f t="array" ref="S779">IF($L779&gt;0, INDEX(Clean,1+AL779,$D$1), "")</f>
        <v/>
      </c>
      <c r="T779" s="260"/>
      <c r="U779" s="260"/>
      <c r="V779" s="261"/>
      <c r="W779" s="267"/>
      <c r="X779" s="267"/>
      <c r="Y779" s="257"/>
      <c r="Z779" s="264">
        <f t="shared" si="823"/>
        <v>0</v>
      </c>
      <c r="AA779" s="269"/>
      <c r="AB779" s="266"/>
      <c r="AC779" s="254"/>
      <c r="AD779" s="255" t="str">
        <f>IF(ISBLANK(AC779), "", VLOOKUP(AC779, Z!$A$2:$C$4127, 3, FALSE))</f>
        <v/>
      </c>
      <c r="AE779" s="270"/>
      <c r="AF779" s="265">
        <f t="shared" si="824"/>
        <v>0</v>
      </c>
      <c r="AG779" s="246"/>
      <c r="AH779" s="228">
        <f t="shared" si="847"/>
        <v>1</v>
      </c>
      <c r="AI779" s="228">
        <f t="shared" si="848"/>
        <v>1</v>
      </c>
      <c r="AJ779" s="228">
        <f t="shared" si="849"/>
        <v>0</v>
      </c>
      <c r="AK779" s="228">
        <v>0</v>
      </c>
      <c r="AL779" s="228">
        <v>0</v>
      </c>
      <c r="AM779" s="228">
        <f t="shared" si="825"/>
        <v>-100</v>
      </c>
      <c r="AN779" s="228" cm="1">
        <f t="array" ref="AN779">IF(ISBLANK(G779), 1, IFERROR(MATCH(G779, INDEX(Kat,,1), 0), IFERROR(MATCH(Kat, INDEX(Use,,2), 0), MATCH(Kat, INDEX(Use,,3), 0))))</f>
        <v>1</v>
      </c>
      <c r="AO779" s="246"/>
      <c r="AP779" s="228" cm="1">
        <f t="array" ref="AP779">IF(W779&gt;0, INDEX(Kat, AN779,4), 0)</f>
        <v>0</v>
      </c>
      <c r="AQ779" s="228">
        <f t="shared" si="850"/>
        <v>0</v>
      </c>
      <c r="AR779" s="228" cm="1">
        <f t="array" ref="AR779">IF(X779&gt;0, INDEX(Kat, $AN779, 4+AQ779), 0)</f>
        <v>0</v>
      </c>
      <c r="AS779" s="228" cm="1">
        <f t="array" ref="AS779">IF(X779&gt;0, INDEX(Kat, $AN779, 9+AQ779), 0)</f>
        <v>0</v>
      </c>
      <c r="AT779" s="246"/>
      <c r="AU779" s="262"/>
      <c r="AV779" s="262"/>
      <c r="AW779" s="263"/>
      <c r="AX779" s="263"/>
      <c r="AY779" s="263"/>
      <c r="AZ779" s="263"/>
      <c r="BA779" s="263"/>
      <c r="BB779" s="263"/>
      <c r="BC779" s="263"/>
      <c r="BD779" s="263"/>
      <c r="BE779" s="263"/>
      <c r="BF779" s="263"/>
      <c r="BG779" s="263"/>
      <c r="BH779" s="246"/>
      <c r="BI779" s="228" cm="1">
        <f t="array" ref="BI779">INDEX(Use, $AH779, 4)</f>
        <v>7</v>
      </c>
      <c r="BJ779" s="228">
        <f t="shared" si="826"/>
        <v>32</v>
      </c>
      <c r="BK779" s="228">
        <f t="shared" si="814"/>
        <v>13</v>
      </c>
      <c r="BL779" s="228">
        <f t="shared" si="815"/>
        <v>0</v>
      </c>
      <c r="BM779" s="233" cm="1">
        <f t="array" ref="BM779">L779/IF($M779&gt;0, INDEX($AY$22:$BE$76, $M779+20, $AH779), 1)</f>
        <v>0</v>
      </c>
      <c r="BN779" s="229">
        <f t="shared" si="827"/>
        <v>0</v>
      </c>
      <c r="BO779" s="228">
        <v>35</v>
      </c>
      <c r="BP779" s="229">
        <f t="shared" si="828"/>
        <v>48</v>
      </c>
      <c r="BQ779" s="234">
        <f t="shared" si="829"/>
        <v>3.0748170731707316</v>
      </c>
      <c r="BR779" s="234" cm="1">
        <f t="array" ref="BR779">$BM779 * SUMPRODUCT(INDEX($AV$76:$AX$81,,$AI779),INDEX($AY$76:$BE$81,,$AH779), N($AU$76:$AU$81&gt;$AM779)) / BQ779 / 1000</f>
        <v>0</v>
      </c>
      <c r="BS779" s="231">
        <f t="shared" si="816"/>
        <v>30</v>
      </c>
      <c r="BT779" s="229">
        <f t="shared" si="830"/>
        <v>43</v>
      </c>
      <c r="BU779" s="234">
        <f t="shared" si="831"/>
        <v>3.5018750000000001</v>
      </c>
      <c r="BV779" s="234" cm="1">
        <f t="array" ref="BV779">$BM779 * IF($AH779&lt;=2,
SUMPRODUCT(INDEX($AV$71:$AX$75,,$AI779), INDEX($AY$71:$BE$75,,$AH779), 1 / ($BF$71:$BF$75*BU779 + (1-$BF$71:$BF$75)*BQ779), N($AU$71:$AU$75&gt;$AM779)),
SUMPRODUCT(INDEX($AV$66:$AX$75,,$AI779), INDEX($AY$66:$BE$75,,$AH779), 1 / ($BG$66:$BG$75*BU779 + (1-$BG$66:$BG$75)*BQ779), N($AU$66:$AU$75&gt;$AM779))
) / 1000</f>
        <v>0</v>
      </c>
      <c r="BW779" s="231">
        <f t="shared" si="817"/>
        <v>25</v>
      </c>
      <c r="BX779" s="229">
        <f t="shared" si="832"/>
        <v>38</v>
      </c>
      <c r="BY779" s="234">
        <f t="shared" si="833"/>
        <v>4.0666935483870965</v>
      </c>
      <c r="BZ779" s="234" cm="1">
        <f t="array" ref="BZ779">$BM779 * IF($AH779&lt;=2,
SUMPRODUCT(INDEX($AV$66:$AX$70,,$AI779), INDEX($AY$66:$BE$70,,$AH779), 1 / ($BF$66:$BF$70*BY779 + (1-$BF$66:$BF$70)*BU779), N($AU$66:$AU$70&gt;$AM779)),
SUMPRODUCT(INDEX($AV$56:$AX$65,,$AI779), INDEX($AY$56:$BE$65,,$AH779), 1 / ($BG$56:$BG$65*BY779 + (1-$BG$56:$BG$65)*BU779), N($AU$56:$AU$65&gt;$AM779))
) / 1000</f>
        <v>0</v>
      </c>
      <c r="CA779" s="231">
        <f t="shared" si="818"/>
        <v>20</v>
      </c>
      <c r="CB779" s="229">
        <f t="shared" si="834"/>
        <v>33</v>
      </c>
      <c r="CC779" s="234">
        <f t="shared" si="835"/>
        <v>4.8487499999999999</v>
      </c>
      <c r="CD779" s="234" cm="1">
        <f t="array" ref="CD779">$BM779 * IF($AH779&lt;=2,
SUMPRODUCT(INDEX($AV$61:$AX$65,,$AI779), INDEX($AY$61:$BE$65,,$AH779), 1 / ($BF$61:$BF$65*CC779 + (1-$BF$61:$BF$65)*BY779), N($AU$61:$AU$65&gt;$AM779)),
SUMPRODUCT(INDEX($AV$46:$AX$55,,$AI779), INDEX($AY$46:$BE$55,,$AH779), 1 / ($BG$46:$BG$55*CC779 + (1-$BG$46:$BG$55)*BY779), N($AU$46:$AU$55&gt;$AM779))
) / 1000</f>
        <v>0</v>
      </c>
      <c r="CE779" s="234" cm="1">
        <f t="array" ref="CE779">$BM779 * IF($AH779&lt;=2,
SUMPRODUCT(INDEX($AV$22:$AX$60,,$AI779), INDEX($AY$22:$BE$60,,$AH779), 1 / ($BF$22:$BF$60*CC779), N($AU$22:$AU$60&gt;$AM779)),
SUMPRODUCT(INDEX($AV$22:$AX$45,,$AI779), INDEX($AY$22:$BE$45,,$AH779), 1 / ($BG$22:$BG$45*CC779), N($AU$22:$AU$45&gt;$AM779))
) / 1000</f>
        <v>0</v>
      </c>
      <c r="CF779" s="229">
        <f t="shared" si="836"/>
        <v>0</v>
      </c>
      <c r="CG779" s="246"/>
      <c r="CH779" s="229">
        <f t="shared" si="837"/>
        <v>0</v>
      </c>
      <c r="CI779" s="228">
        <v>35</v>
      </c>
      <c r="CJ779" s="229">
        <f t="shared" si="838"/>
        <v>48</v>
      </c>
      <c r="CK779" s="234">
        <f t="shared" si="839"/>
        <v>3.0748170731707316</v>
      </c>
      <c r="CL779" s="234" cm="1">
        <f t="array" ref="CL779">$BM779 * SUMPRODUCT(INDEX($AV$76:$AX$81,,$AI779),INDEX($AY$76:$BE$81,,$AH779), N($AU$76:$AU$81&gt;$AM779)) / CK779 / 1000</f>
        <v>0</v>
      </c>
      <c r="CM779" s="231">
        <f t="shared" si="819"/>
        <v>30</v>
      </c>
      <c r="CN779" s="229">
        <f t="shared" si="840"/>
        <v>43</v>
      </c>
      <c r="CO779" s="234">
        <f t="shared" si="841"/>
        <v>3.5018750000000001</v>
      </c>
      <c r="CP779" s="234" cm="1">
        <f t="array" ref="CP779">$BM779 * IF($AH779&lt;=2,
SUMPRODUCT(INDEX($AV$71:$AX$75,,$AI779), INDEX($AY$71:$BE$75,,$AH779), 1 / ($BF$71:$BF$75*CO779 + (1-$BF$71:$BF$75)*CK779), N($AU$71:$AU$75&gt;$AM779)),
SUMPRODUCT(INDEX($AV$66:$AX$75,,$AI779), INDEX($AY$66:$BE$75,,$AH779), 1 / ($BG$66:$BG$75*CO779 + (1-$BG$66:$BG$75)*CK779), N($AU$66:$AU$75&gt;$AM779))
) / 1000</f>
        <v>0</v>
      </c>
      <c r="CQ779" s="231">
        <f t="shared" si="820"/>
        <v>25</v>
      </c>
      <c r="CR779" s="229">
        <f t="shared" si="842"/>
        <v>38</v>
      </c>
      <c r="CS779" s="234">
        <f t="shared" si="843"/>
        <v>4.0666935483870965</v>
      </c>
      <c r="CT779" s="234" cm="1">
        <f t="array" ref="CT779">$BM779 * IF($AH779&lt;=2,
SUMPRODUCT(INDEX($AV$66:$AX$70,,$AI779), INDEX($AY$66:$BE$70,,$AH779), 1 / ($BF$66:$BF$70*CS779 + (1-$BF$66:$BF$70)*CO779), N($AU$66:$AU$70&gt;$AM779)),
SUMPRODUCT(INDEX($AV$56:$AX$65,,$AI779), INDEX($AY$56:$BE$65,,$AH779), 1 / ($BG$56:$BG$65*CS779 + (1-$BG$56:$BG$65)*CO779), N($AU$56:$AU$65&gt;$AM779))
) / 1000</f>
        <v>0</v>
      </c>
      <c r="CU779" s="231">
        <f t="shared" si="821"/>
        <v>20</v>
      </c>
      <c r="CV779" s="229">
        <f t="shared" si="844"/>
        <v>33</v>
      </c>
      <c r="CW779" s="234">
        <f t="shared" si="845"/>
        <v>4.8487499999999999</v>
      </c>
      <c r="CX779" s="234" cm="1">
        <f t="array" ref="CX779">$BM779 * IF($AH779&lt;=2,
SUMPRODUCT(INDEX($AV$61:$AX$65,,$AI779), INDEX($AY$61:$BE$65,,$AH779), 1 / ($BF$61:$BF$65*CW779 + (1-$BF$61:$BF$65)*CS779), N($AU$61:$AU$65&gt;$AM779)),
SUMPRODUCT(INDEX($AV$46:$AX$55,,$AI779), INDEX($AY$46:$BE$55,,$AH779), 1 / ($BG$46:$BG$55*CW779 + (1-$BG$46:$BG$55)*CS779), N($AU$46:$AU$55&gt;$AM779))
) / 1000</f>
        <v>0</v>
      </c>
      <c r="CY779" s="234" cm="1">
        <f t="array" ref="CY779">$BM779 * IF($AH779&lt;=2,
SUMPRODUCT(INDEX($AV$22:$AX$60,,$AI779), INDEX($AY$22:$BE$60,,$AH779), 1 / ($BF$22:$BF$60*CW779), N($AU$22:$AU$60&gt;$AM779)),
SUMPRODUCT(INDEX($AV$22:$AX$45,,$AI779), INDEX($AY$22:$BE$45,,$AH779), 1 / ($BG$22:$BG$45*CW779), N($AU$22:$AU$45&gt;$AM779))
) / 1000</f>
        <v>0</v>
      </c>
      <c r="CZ779" s="229">
        <f t="shared" si="846"/>
        <v>0</v>
      </c>
      <c r="DA779" s="246"/>
    </row>
    <row r="780" spans="1:105" s="75" customFormat="1" ht="14.25" customHeight="1" x14ac:dyDescent="0.2">
      <c r="A780" s="230" t="b">
        <f t="shared" si="813"/>
        <v>0</v>
      </c>
      <c r="B780" s="253">
        <v>759</v>
      </c>
      <c r="C780" s="266"/>
      <c r="D780" s="266"/>
      <c r="E780" s="254"/>
      <c r="F780" s="255" t="str">
        <f>IF(ISBLANK(E780), "", VLOOKUP(E780, Z!$A$2:$C$4127, 3, FALSE))</f>
        <v/>
      </c>
      <c r="G780" s="256"/>
      <c r="H780" s="256"/>
      <c r="I780" s="256"/>
      <c r="J780" s="257"/>
      <c r="K780" s="258"/>
      <c r="L780" s="267"/>
      <c r="M780" s="268"/>
      <c r="N780" s="259" t="str" cm="1">
        <f t="array" ref="N780">IF($L780&gt;0, INDEX(Clean,1+AK780,$D$1), "")</f>
        <v/>
      </c>
      <c r="O780" s="260"/>
      <c r="P780" s="260"/>
      <c r="Q780" s="261"/>
      <c r="R780" s="264">
        <f t="shared" si="822"/>
        <v>0</v>
      </c>
      <c r="S780" s="259" t="str" cm="1">
        <f t="array" ref="S780">IF($L780&gt;0, INDEX(Clean,1+AL780,$D$1), "")</f>
        <v/>
      </c>
      <c r="T780" s="260"/>
      <c r="U780" s="260"/>
      <c r="V780" s="261"/>
      <c r="W780" s="267"/>
      <c r="X780" s="267"/>
      <c r="Y780" s="257"/>
      <c r="Z780" s="264">
        <f t="shared" si="823"/>
        <v>0</v>
      </c>
      <c r="AA780" s="269"/>
      <c r="AB780" s="266"/>
      <c r="AC780" s="254"/>
      <c r="AD780" s="255" t="str">
        <f>IF(ISBLANK(AC780), "", VLOOKUP(AC780, Z!$A$2:$C$4127, 3, FALSE))</f>
        <v/>
      </c>
      <c r="AE780" s="270"/>
      <c r="AF780" s="265">
        <f t="shared" si="824"/>
        <v>0</v>
      </c>
      <c r="AG780" s="246"/>
      <c r="AH780" s="228">
        <f t="shared" si="847"/>
        <v>1</v>
      </c>
      <c r="AI780" s="228">
        <f t="shared" si="848"/>
        <v>1</v>
      </c>
      <c r="AJ780" s="228">
        <f t="shared" si="849"/>
        <v>0</v>
      </c>
      <c r="AK780" s="228">
        <v>0</v>
      </c>
      <c r="AL780" s="228">
        <v>0</v>
      </c>
      <c r="AM780" s="228">
        <f t="shared" si="825"/>
        <v>-100</v>
      </c>
      <c r="AN780" s="228" cm="1">
        <f t="array" ref="AN780">IF(ISBLANK(G780), 1, IFERROR(MATCH(G780, INDEX(Kat,,1), 0), IFERROR(MATCH(Kat, INDEX(Use,,2), 0), MATCH(Kat, INDEX(Use,,3), 0))))</f>
        <v>1</v>
      </c>
      <c r="AO780" s="246"/>
      <c r="AP780" s="228" cm="1">
        <f t="array" ref="AP780">IF(W780&gt;0, INDEX(Kat, AN780,4), 0)</f>
        <v>0</v>
      </c>
      <c r="AQ780" s="228">
        <f t="shared" si="850"/>
        <v>0</v>
      </c>
      <c r="AR780" s="228" cm="1">
        <f t="array" ref="AR780">IF(X780&gt;0, INDEX(Kat, $AN780, 4+AQ780), 0)</f>
        <v>0</v>
      </c>
      <c r="AS780" s="228" cm="1">
        <f t="array" ref="AS780">IF(X780&gt;0, INDEX(Kat, $AN780, 9+AQ780), 0)</f>
        <v>0</v>
      </c>
      <c r="AT780" s="246"/>
      <c r="AU780" s="262"/>
      <c r="AV780" s="262"/>
      <c r="AW780" s="263"/>
      <c r="AX780" s="263"/>
      <c r="AY780" s="263"/>
      <c r="AZ780" s="263"/>
      <c r="BA780" s="263"/>
      <c r="BB780" s="263"/>
      <c r="BC780" s="263"/>
      <c r="BD780" s="263"/>
      <c r="BE780" s="263"/>
      <c r="BF780" s="263"/>
      <c r="BG780" s="263"/>
      <c r="BH780" s="246"/>
      <c r="BI780" s="228" cm="1">
        <f t="array" ref="BI780">INDEX(Use, $AH780, 4)</f>
        <v>7</v>
      </c>
      <c r="BJ780" s="228">
        <f t="shared" si="826"/>
        <v>32</v>
      </c>
      <c r="BK780" s="228">
        <f t="shared" si="814"/>
        <v>13</v>
      </c>
      <c r="BL780" s="228">
        <f t="shared" si="815"/>
        <v>0</v>
      </c>
      <c r="BM780" s="233" cm="1">
        <f t="array" ref="BM780">L780/IF($M780&gt;0, INDEX($AY$22:$BE$76, $M780+20, $AH780), 1)</f>
        <v>0</v>
      </c>
      <c r="BN780" s="229">
        <f t="shared" si="827"/>
        <v>0</v>
      </c>
      <c r="BO780" s="228">
        <v>35</v>
      </c>
      <c r="BP780" s="229">
        <f t="shared" si="828"/>
        <v>48</v>
      </c>
      <c r="BQ780" s="234">
        <f t="shared" si="829"/>
        <v>3.0748170731707316</v>
      </c>
      <c r="BR780" s="234" cm="1">
        <f t="array" ref="BR780">$BM780 * SUMPRODUCT(INDEX($AV$76:$AX$81,,$AI780),INDEX($AY$76:$BE$81,,$AH780), N($AU$76:$AU$81&gt;$AM780)) / BQ780 / 1000</f>
        <v>0</v>
      </c>
      <c r="BS780" s="231">
        <f t="shared" si="816"/>
        <v>30</v>
      </c>
      <c r="BT780" s="229">
        <f t="shared" si="830"/>
        <v>43</v>
      </c>
      <c r="BU780" s="234">
        <f t="shared" si="831"/>
        <v>3.5018750000000001</v>
      </c>
      <c r="BV780" s="234" cm="1">
        <f t="array" ref="BV780">$BM780 * IF($AH780&lt;=2,
SUMPRODUCT(INDEX($AV$71:$AX$75,,$AI780), INDEX($AY$71:$BE$75,,$AH780), 1 / ($BF$71:$BF$75*BU780 + (1-$BF$71:$BF$75)*BQ780), N($AU$71:$AU$75&gt;$AM780)),
SUMPRODUCT(INDEX($AV$66:$AX$75,,$AI780), INDEX($AY$66:$BE$75,,$AH780), 1 / ($BG$66:$BG$75*BU780 + (1-$BG$66:$BG$75)*BQ780), N($AU$66:$AU$75&gt;$AM780))
) / 1000</f>
        <v>0</v>
      </c>
      <c r="BW780" s="231">
        <f t="shared" si="817"/>
        <v>25</v>
      </c>
      <c r="BX780" s="229">
        <f t="shared" si="832"/>
        <v>38</v>
      </c>
      <c r="BY780" s="234">
        <f t="shared" si="833"/>
        <v>4.0666935483870965</v>
      </c>
      <c r="BZ780" s="234" cm="1">
        <f t="array" ref="BZ780">$BM780 * IF($AH780&lt;=2,
SUMPRODUCT(INDEX($AV$66:$AX$70,,$AI780), INDEX($AY$66:$BE$70,,$AH780), 1 / ($BF$66:$BF$70*BY780 + (1-$BF$66:$BF$70)*BU780), N($AU$66:$AU$70&gt;$AM780)),
SUMPRODUCT(INDEX($AV$56:$AX$65,,$AI780), INDEX($AY$56:$BE$65,,$AH780), 1 / ($BG$56:$BG$65*BY780 + (1-$BG$56:$BG$65)*BU780), N($AU$56:$AU$65&gt;$AM780))
) / 1000</f>
        <v>0</v>
      </c>
      <c r="CA780" s="231">
        <f t="shared" si="818"/>
        <v>20</v>
      </c>
      <c r="CB780" s="229">
        <f t="shared" si="834"/>
        <v>33</v>
      </c>
      <c r="CC780" s="234">
        <f t="shared" si="835"/>
        <v>4.8487499999999999</v>
      </c>
      <c r="CD780" s="234" cm="1">
        <f t="array" ref="CD780">$BM780 * IF($AH780&lt;=2,
SUMPRODUCT(INDEX($AV$61:$AX$65,,$AI780), INDEX($AY$61:$BE$65,,$AH780), 1 / ($BF$61:$BF$65*CC780 + (1-$BF$61:$BF$65)*BY780), N($AU$61:$AU$65&gt;$AM780)),
SUMPRODUCT(INDEX($AV$46:$AX$55,,$AI780), INDEX($AY$46:$BE$55,,$AH780), 1 / ($BG$46:$BG$55*CC780 + (1-$BG$46:$BG$55)*BY780), N($AU$46:$AU$55&gt;$AM780))
) / 1000</f>
        <v>0</v>
      </c>
      <c r="CE780" s="234" cm="1">
        <f t="array" ref="CE780">$BM780 * IF($AH780&lt;=2,
SUMPRODUCT(INDEX($AV$22:$AX$60,,$AI780), INDEX($AY$22:$BE$60,,$AH780), 1 / ($BF$22:$BF$60*CC780), N($AU$22:$AU$60&gt;$AM780)),
SUMPRODUCT(INDEX($AV$22:$AX$45,,$AI780), INDEX($AY$22:$BE$45,,$AH780), 1 / ($BG$22:$BG$45*CC780), N($AU$22:$AU$45&gt;$AM780))
) / 1000</f>
        <v>0</v>
      </c>
      <c r="CF780" s="229">
        <f t="shared" si="836"/>
        <v>0</v>
      </c>
      <c r="CG780" s="246"/>
      <c r="CH780" s="229">
        <f t="shared" si="837"/>
        <v>0</v>
      </c>
      <c r="CI780" s="228">
        <v>35</v>
      </c>
      <c r="CJ780" s="229">
        <f t="shared" si="838"/>
        <v>48</v>
      </c>
      <c r="CK780" s="234">
        <f t="shared" si="839"/>
        <v>3.0748170731707316</v>
      </c>
      <c r="CL780" s="234" cm="1">
        <f t="array" ref="CL780">$BM780 * SUMPRODUCT(INDEX($AV$76:$AX$81,,$AI780),INDEX($AY$76:$BE$81,,$AH780), N($AU$76:$AU$81&gt;$AM780)) / CK780 / 1000</f>
        <v>0</v>
      </c>
      <c r="CM780" s="231">
        <f t="shared" si="819"/>
        <v>30</v>
      </c>
      <c r="CN780" s="229">
        <f t="shared" si="840"/>
        <v>43</v>
      </c>
      <c r="CO780" s="234">
        <f t="shared" si="841"/>
        <v>3.5018750000000001</v>
      </c>
      <c r="CP780" s="234" cm="1">
        <f t="array" ref="CP780">$BM780 * IF($AH780&lt;=2,
SUMPRODUCT(INDEX($AV$71:$AX$75,,$AI780), INDEX($AY$71:$BE$75,,$AH780), 1 / ($BF$71:$BF$75*CO780 + (1-$BF$71:$BF$75)*CK780), N($AU$71:$AU$75&gt;$AM780)),
SUMPRODUCT(INDEX($AV$66:$AX$75,,$AI780), INDEX($AY$66:$BE$75,,$AH780), 1 / ($BG$66:$BG$75*CO780 + (1-$BG$66:$BG$75)*CK780), N($AU$66:$AU$75&gt;$AM780))
) / 1000</f>
        <v>0</v>
      </c>
      <c r="CQ780" s="231">
        <f t="shared" si="820"/>
        <v>25</v>
      </c>
      <c r="CR780" s="229">
        <f t="shared" si="842"/>
        <v>38</v>
      </c>
      <c r="CS780" s="234">
        <f t="shared" si="843"/>
        <v>4.0666935483870965</v>
      </c>
      <c r="CT780" s="234" cm="1">
        <f t="array" ref="CT780">$BM780 * IF($AH780&lt;=2,
SUMPRODUCT(INDEX($AV$66:$AX$70,,$AI780), INDEX($AY$66:$BE$70,,$AH780), 1 / ($BF$66:$BF$70*CS780 + (1-$BF$66:$BF$70)*CO780), N($AU$66:$AU$70&gt;$AM780)),
SUMPRODUCT(INDEX($AV$56:$AX$65,,$AI780), INDEX($AY$56:$BE$65,,$AH780), 1 / ($BG$56:$BG$65*CS780 + (1-$BG$56:$BG$65)*CO780), N($AU$56:$AU$65&gt;$AM780))
) / 1000</f>
        <v>0</v>
      </c>
      <c r="CU780" s="231">
        <f t="shared" si="821"/>
        <v>20</v>
      </c>
      <c r="CV780" s="229">
        <f t="shared" si="844"/>
        <v>33</v>
      </c>
      <c r="CW780" s="234">
        <f t="shared" si="845"/>
        <v>4.8487499999999999</v>
      </c>
      <c r="CX780" s="234" cm="1">
        <f t="array" ref="CX780">$BM780 * IF($AH780&lt;=2,
SUMPRODUCT(INDEX($AV$61:$AX$65,,$AI780), INDEX($AY$61:$BE$65,,$AH780), 1 / ($BF$61:$BF$65*CW780 + (1-$BF$61:$BF$65)*CS780), N($AU$61:$AU$65&gt;$AM780)),
SUMPRODUCT(INDEX($AV$46:$AX$55,,$AI780), INDEX($AY$46:$BE$55,,$AH780), 1 / ($BG$46:$BG$55*CW780 + (1-$BG$46:$BG$55)*CS780), N($AU$46:$AU$55&gt;$AM780))
) / 1000</f>
        <v>0</v>
      </c>
      <c r="CY780" s="234" cm="1">
        <f t="array" ref="CY780">$BM780 * IF($AH780&lt;=2,
SUMPRODUCT(INDEX($AV$22:$AX$60,,$AI780), INDEX($AY$22:$BE$60,,$AH780), 1 / ($BF$22:$BF$60*CW780), N($AU$22:$AU$60&gt;$AM780)),
SUMPRODUCT(INDEX($AV$22:$AX$45,,$AI780), INDEX($AY$22:$BE$45,,$AH780), 1 / ($BG$22:$BG$45*CW780), N($AU$22:$AU$45&gt;$AM780))
) / 1000</f>
        <v>0</v>
      </c>
      <c r="CZ780" s="229">
        <f t="shared" si="846"/>
        <v>0</v>
      </c>
      <c r="DA780" s="246"/>
    </row>
    <row r="781" spans="1:105" s="75" customFormat="1" ht="14.25" customHeight="1" x14ac:dyDescent="0.2">
      <c r="A781" s="230" t="b">
        <f t="shared" si="813"/>
        <v>0</v>
      </c>
      <c r="B781" s="253">
        <v>760</v>
      </c>
      <c r="C781" s="266"/>
      <c r="D781" s="266"/>
      <c r="E781" s="254"/>
      <c r="F781" s="255" t="str">
        <f>IF(ISBLANK(E781), "", VLOOKUP(E781, Z!$A$2:$C$4127, 3, FALSE))</f>
        <v/>
      </c>
      <c r="G781" s="256"/>
      <c r="H781" s="256"/>
      <c r="I781" s="256"/>
      <c r="J781" s="257"/>
      <c r="K781" s="258"/>
      <c r="L781" s="267"/>
      <c r="M781" s="268"/>
      <c r="N781" s="259" t="str" cm="1">
        <f t="array" ref="N781">IF($L781&gt;0, INDEX(Clean,1+AK781,$D$1), "")</f>
        <v/>
      </c>
      <c r="O781" s="260"/>
      <c r="P781" s="260"/>
      <c r="Q781" s="261"/>
      <c r="R781" s="264">
        <f t="shared" si="822"/>
        <v>0</v>
      </c>
      <c r="S781" s="259" t="str" cm="1">
        <f t="array" ref="S781">IF($L781&gt;0, INDEX(Clean,1+AL781,$D$1), "")</f>
        <v/>
      </c>
      <c r="T781" s="260"/>
      <c r="U781" s="260"/>
      <c r="V781" s="261"/>
      <c r="W781" s="267"/>
      <c r="X781" s="267"/>
      <c r="Y781" s="257"/>
      <c r="Z781" s="264">
        <f t="shared" si="823"/>
        <v>0</v>
      </c>
      <c r="AA781" s="269"/>
      <c r="AB781" s="266"/>
      <c r="AC781" s="254"/>
      <c r="AD781" s="255" t="str">
        <f>IF(ISBLANK(AC781), "", VLOOKUP(AC781, Z!$A$2:$C$4127, 3, FALSE))</f>
        <v/>
      </c>
      <c r="AE781" s="270"/>
      <c r="AF781" s="265">
        <f t="shared" si="824"/>
        <v>0</v>
      </c>
      <c r="AG781" s="246"/>
      <c r="AH781" s="228">
        <f t="shared" si="847"/>
        <v>1</v>
      </c>
      <c r="AI781" s="228">
        <f t="shared" si="848"/>
        <v>1</v>
      </c>
      <c r="AJ781" s="228">
        <f t="shared" si="849"/>
        <v>0</v>
      </c>
      <c r="AK781" s="228">
        <v>0</v>
      </c>
      <c r="AL781" s="228">
        <v>0</v>
      </c>
      <c r="AM781" s="228">
        <f t="shared" si="825"/>
        <v>-100</v>
      </c>
      <c r="AN781" s="228" cm="1">
        <f t="array" ref="AN781">IF(ISBLANK(G781), 1, IFERROR(MATCH(G781, INDEX(Kat,,1), 0), IFERROR(MATCH(Kat, INDEX(Use,,2), 0), MATCH(Kat, INDEX(Use,,3), 0))))</f>
        <v>1</v>
      </c>
      <c r="AO781" s="246"/>
      <c r="AP781" s="228" cm="1">
        <f t="array" ref="AP781">IF(W781&gt;0, INDEX(Kat, AN781,4), 0)</f>
        <v>0</v>
      </c>
      <c r="AQ781" s="228">
        <f t="shared" si="850"/>
        <v>0</v>
      </c>
      <c r="AR781" s="228" cm="1">
        <f t="array" ref="AR781">IF(X781&gt;0, INDEX(Kat, $AN781, 4+AQ781), 0)</f>
        <v>0</v>
      </c>
      <c r="AS781" s="228" cm="1">
        <f t="array" ref="AS781">IF(X781&gt;0, INDEX(Kat, $AN781, 9+AQ781), 0)</f>
        <v>0</v>
      </c>
      <c r="AT781" s="246"/>
      <c r="AU781" s="262"/>
      <c r="AV781" s="262"/>
      <c r="AW781" s="263"/>
      <c r="AX781" s="263"/>
      <c r="AY781" s="263"/>
      <c r="AZ781" s="263"/>
      <c r="BA781" s="263"/>
      <c r="BB781" s="263"/>
      <c r="BC781" s="263"/>
      <c r="BD781" s="263"/>
      <c r="BE781" s="263"/>
      <c r="BF781" s="263"/>
      <c r="BG781" s="263"/>
      <c r="BH781" s="246"/>
      <c r="BI781" s="228" cm="1">
        <f t="array" ref="BI781">INDEX(Use, $AH781, 4)</f>
        <v>7</v>
      </c>
      <c r="BJ781" s="228">
        <f t="shared" si="826"/>
        <v>32</v>
      </c>
      <c r="BK781" s="228">
        <f t="shared" si="814"/>
        <v>13</v>
      </c>
      <c r="BL781" s="228">
        <f t="shared" si="815"/>
        <v>0</v>
      </c>
      <c r="BM781" s="233" cm="1">
        <f t="array" ref="BM781">L781/IF($M781&gt;0, INDEX($AY$22:$BE$76, $M781+20, $AH781), 1)</f>
        <v>0</v>
      </c>
      <c r="BN781" s="229">
        <f t="shared" si="827"/>
        <v>0</v>
      </c>
      <c r="BO781" s="228">
        <v>35</v>
      </c>
      <c r="BP781" s="229">
        <f t="shared" si="828"/>
        <v>48</v>
      </c>
      <c r="BQ781" s="234">
        <f t="shared" si="829"/>
        <v>3.0748170731707316</v>
      </c>
      <c r="BR781" s="234" cm="1">
        <f t="array" ref="BR781">$BM781 * SUMPRODUCT(INDEX($AV$76:$AX$81,,$AI781),INDEX($AY$76:$BE$81,,$AH781), N($AU$76:$AU$81&gt;$AM781)) / BQ781 / 1000</f>
        <v>0</v>
      </c>
      <c r="BS781" s="231">
        <f t="shared" si="816"/>
        <v>30</v>
      </c>
      <c r="BT781" s="229">
        <f t="shared" si="830"/>
        <v>43</v>
      </c>
      <c r="BU781" s="234">
        <f t="shared" si="831"/>
        <v>3.5018750000000001</v>
      </c>
      <c r="BV781" s="234" cm="1">
        <f t="array" ref="BV781">$BM781 * IF($AH781&lt;=2,
SUMPRODUCT(INDEX($AV$71:$AX$75,,$AI781), INDEX($AY$71:$BE$75,,$AH781), 1 / ($BF$71:$BF$75*BU781 + (1-$BF$71:$BF$75)*BQ781), N($AU$71:$AU$75&gt;$AM781)),
SUMPRODUCT(INDEX($AV$66:$AX$75,,$AI781), INDEX($AY$66:$BE$75,,$AH781), 1 / ($BG$66:$BG$75*BU781 + (1-$BG$66:$BG$75)*BQ781), N($AU$66:$AU$75&gt;$AM781))
) / 1000</f>
        <v>0</v>
      </c>
      <c r="BW781" s="231">
        <f t="shared" si="817"/>
        <v>25</v>
      </c>
      <c r="BX781" s="229">
        <f t="shared" si="832"/>
        <v>38</v>
      </c>
      <c r="BY781" s="234">
        <f t="shared" si="833"/>
        <v>4.0666935483870965</v>
      </c>
      <c r="BZ781" s="234" cm="1">
        <f t="array" ref="BZ781">$BM781 * IF($AH781&lt;=2,
SUMPRODUCT(INDEX($AV$66:$AX$70,,$AI781), INDEX($AY$66:$BE$70,,$AH781), 1 / ($BF$66:$BF$70*BY781 + (1-$BF$66:$BF$70)*BU781), N($AU$66:$AU$70&gt;$AM781)),
SUMPRODUCT(INDEX($AV$56:$AX$65,,$AI781), INDEX($AY$56:$BE$65,,$AH781), 1 / ($BG$56:$BG$65*BY781 + (1-$BG$56:$BG$65)*BU781), N($AU$56:$AU$65&gt;$AM781))
) / 1000</f>
        <v>0</v>
      </c>
      <c r="CA781" s="231">
        <f t="shared" si="818"/>
        <v>20</v>
      </c>
      <c r="CB781" s="229">
        <f t="shared" si="834"/>
        <v>33</v>
      </c>
      <c r="CC781" s="234">
        <f t="shared" si="835"/>
        <v>4.8487499999999999</v>
      </c>
      <c r="CD781" s="234" cm="1">
        <f t="array" ref="CD781">$BM781 * IF($AH781&lt;=2,
SUMPRODUCT(INDEX($AV$61:$AX$65,,$AI781), INDEX($AY$61:$BE$65,,$AH781), 1 / ($BF$61:$BF$65*CC781 + (1-$BF$61:$BF$65)*BY781), N($AU$61:$AU$65&gt;$AM781)),
SUMPRODUCT(INDEX($AV$46:$AX$55,,$AI781), INDEX($AY$46:$BE$55,,$AH781), 1 / ($BG$46:$BG$55*CC781 + (1-$BG$46:$BG$55)*BY781), N($AU$46:$AU$55&gt;$AM781))
) / 1000</f>
        <v>0</v>
      </c>
      <c r="CE781" s="234" cm="1">
        <f t="array" ref="CE781">$BM781 * IF($AH781&lt;=2,
SUMPRODUCT(INDEX($AV$22:$AX$60,,$AI781), INDEX($AY$22:$BE$60,,$AH781), 1 / ($BF$22:$BF$60*CC781), N($AU$22:$AU$60&gt;$AM781)),
SUMPRODUCT(INDEX($AV$22:$AX$45,,$AI781), INDEX($AY$22:$BE$45,,$AH781), 1 / ($BG$22:$BG$45*CC781), N($AU$22:$AU$45&gt;$AM781))
) / 1000</f>
        <v>0</v>
      </c>
      <c r="CF781" s="229">
        <f t="shared" si="836"/>
        <v>0</v>
      </c>
      <c r="CG781" s="246"/>
      <c r="CH781" s="229">
        <f t="shared" si="837"/>
        <v>0</v>
      </c>
      <c r="CI781" s="228">
        <v>35</v>
      </c>
      <c r="CJ781" s="229">
        <f t="shared" si="838"/>
        <v>48</v>
      </c>
      <c r="CK781" s="234">
        <f t="shared" si="839"/>
        <v>3.0748170731707316</v>
      </c>
      <c r="CL781" s="234" cm="1">
        <f t="array" ref="CL781">$BM781 * SUMPRODUCT(INDEX($AV$76:$AX$81,,$AI781),INDEX($AY$76:$BE$81,,$AH781), N($AU$76:$AU$81&gt;$AM781)) / CK781 / 1000</f>
        <v>0</v>
      </c>
      <c r="CM781" s="231">
        <f t="shared" si="819"/>
        <v>30</v>
      </c>
      <c r="CN781" s="229">
        <f t="shared" si="840"/>
        <v>43</v>
      </c>
      <c r="CO781" s="234">
        <f t="shared" si="841"/>
        <v>3.5018750000000001</v>
      </c>
      <c r="CP781" s="234" cm="1">
        <f t="array" ref="CP781">$BM781 * IF($AH781&lt;=2,
SUMPRODUCT(INDEX($AV$71:$AX$75,,$AI781), INDEX($AY$71:$BE$75,,$AH781), 1 / ($BF$71:$BF$75*CO781 + (1-$BF$71:$BF$75)*CK781), N($AU$71:$AU$75&gt;$AM781)),
SUMPRODUCT(INDEX($AV$66:$AX$75,,$AI781), INDEX($AY$66:$BE$75,,$AH781), 1 / ($BG$66:$BG$75*CO781 + (1-$BG$66:$BG$75)*CK781), N($AU$66:$AU$75&gt;$AM781))
) / 1000</f>
        <v>0</v>
      </c>
      <c r="CQ781" s="231">
        <f t="shared" si="820"/>
        <v>25</v>
      </c>
      <c r="CR781" s="229">
        <f t="shared" si="842"/>
        <v>38</v>
      </c>
      <c r="CS781" s="234">
        <f t="shared" si="843"/>
        <v>4.0666935483870965</v>
      </c>
      <c r="CT781" s="234" cm="1">
        <f t="array" ref="CT781">$BM781 * IF($AH781&lt;=2,
SUMPRODUCT(INDEX($AV$66:$AX$70,,$AI781), INDEX($AY$66:$BE$70,,$AH781), 1 / ($BF$66:$BF$70*CS781 + (1-$BF$66:$BF$70)*CO781), N($AU$66:$AU$70&gt;$AM781)),
SUMPRODUCT(INDEX($AV$56:$AX$65,,$AI781), INDEX($AY$56:$BE$65,,$AH781), 1 / ($BG$56:$BG$65*CS781 + (1-$BG$56:$BG$65)*CO781), N($AU$56:$AU$65&gt;$AM781))
) / 1000</f>
        <v>0</v>
      </c>
      <c r="CU781" s="231">
        <f t="shared" si="821"/>
        <v>20</v>
      </c>
      <c r="CV781" s="229">
        <f t="shared" si="844"/>
        <v>33</v>
      </c>
      <c r="CW781" s="234">
        <f t="shared" si="845"/>
        <v>4.8487499999999999</v>
      </c>
      <c r="CX781" s="234" cm="1">
        <f t="array" ref="CX781">$BM781 * IF($AH781&lt;=2,
SUMPRODUCT(INDEX($AV$61:$AX$65,,$AI781), INDEX($AY$61:$BE$65,,$AH781), 1 / ($BF$61:$BF$65*CW781 + (1-$BF$61:$BF$65)*CS781), N($AU$61:$AU$65&gt;$AM781)),
SUMPRODUCT(INDEX($AV$46:$AX$55,,$AI781), INDEX($AY$46:$BE$55,,$AH781), 1 / ($BG$46:$BG$55*CW781 + (1-$BG$46:$BG$55)*CS781), N($AU$46:$AU$55&gt;$AM781))
) / 1000</f>
        <v>0</v>
      </c>
      <c r="CY781" s="234" cm="1">
        <f t="array" ref="CY781">$BM781 * IF($AH781&lt;=2,
SUMPRODUCT(INDEX($AV$22:$AX$60,,$AI781), INDEX($AY$22:$BE$60,,$AH781), 1 / ($BF$22:$BF$60*CW781), N($AU$22:$AU$60&gt;$AM781)),
SUMPRODUCT(INDEX($AV$22:$AX$45,,$AI781), INDEX($AY$22:$BE$45,,$AH781), 1 / ($BG$22:$BG$45*CW781), N($AU$22:$AU$45&gt;$AM781))
) / 1000</f>
        <v>0</v>
      </c>
      <c r="CZ781" s="229">
        <f t="shared" si="846"/>
        <v>0</v>
      </c>
      <c r="DA781" s="246"/>
    </row>
    <row r="782" spans="1:105" s="75" customFormat="1" ht="14.25" customHeight="1" x14ac:dyDescent="0.2">
      <c r="A782" s="230" t="b">
        <f t="shared" si="813"/>
        <v>0</v>
      </c>
      <c r="B782" s="253">
        <v>761</v>
      </c>
      <c r="C782" s="266"/>
      <c r="D782" s="266"/>
      <c r="E782" s="254"/>
      <c r="F782" s="255" t="str">
        <f>IF(ISBLANK(E782), "", VLOOKUP(E782, Z!$A$2:$C$4127, 3, FALSE))</f>
        <v/>
      </c>
      <c r="G782" s="256"/>
      <c r="H782" s="256"/>
      <c r="I782" s="256"/>
      <c r="J782" s="257"/>
      <c r="K782" s="258"/>
      <c r="L782" s="267"/>
      <c r="M782" s="268"/>
      <c r="N782" s="259" t="str" cm="1">
        <f t="array" ref="N782">IF($L782&gt;0, INDEX(Clean,1+AK782,$D$1), "")</f>
        <v/>
      </c>
      <c r="O782" s="260"/>
      <c r="P782" s="260"/>
      <c r="Q782" s="261"/>
      <c r="R782" s="264">
        <f t="shared" si="822"/>
        <v>0</v>
      </c>
      <c r="S782" s="259" t="str" cm="1">
        <f t="array" ref="S782">IF($L782&gt;0, INDEX(Clean,1+AL782,$D$1), "")</f>
        <v/>
      </c>
      <c r="T782" s="260"/>
      <c r="U782" s="260"/>
      <c r="V782" s="261"/>
      <c r="W782" s="267"/>
      <c r="X782" s="267"/>
      <c r="Y782" s="257"/>
      <c r="Z782" s="264">
        <f t="shared" si="823"/>
        <v>0</v>
      </c>
      <c r="AA782" s="269"/>
      <c r="AB782" s="266"/>
      <c r="AC782" s="254"/>
      <c r="AD782" s="255" t="str">
        <f>IF(ISBLANK(AC782), "", VLOOKUP(AC782, Z!$A$2:$C$4127, 3, FALSE))</f>
        <v/>
      </c>
      <c r="AE782" s="270"/>
      <c r="AF782" s="265">
        <f t="shared" si="824"/>
        <v>0</v>
      </c>
      <c r="AG782" s="246"/>
      <c r="AH782" s="228">
        <f t="shared" si="847"/>
        <v>1</v>
      </c>
      <c r="AI782" s="228">
        <f t="shared" si="848"/>
        <v>1</v>
      </c>
      <c r="AJ782" s="228">
        <f t="shared" si="849"/>
        <v>0</v>
      </c>
      <c r="AK782" s="228">
        <v>0</v>
      </c>
      <c r="AL782" s="228">
        <v>0</v>
      </c>
      <c r="AM782" s="228">
        <f t="shared" si="825"/>
        <v>-100</v>
      </c>
      <c r="AN782" s="228" cm="1">
        <f t="array" ref="AN782">IF(ISBLANK(G782), 1, IFERROR(MATCH(G782, INDEX(Kat,,1), 0), IFERROR(MATCH(Kat, INDEX(Use,,2), 0), MATCH(Kat, INDEX(Use,,3), 0))))</f>
        <v>1</v>
      </c>
      <c r="AO782" s="246"/>
      <c r="AP782" s="228" cm="1">
        <f t="array" ref="AP782">IF(W782&gt;0, INDEX(Kat, AN782,4), 0)</f>
        <v>0</v>
      </c>
      <c r="AQ782" s="228">
        <f t="shared" si="850"/>
        <v>0</v>
      </c>
      <c r="AR782" s="228" cm="1">
        <f t="array" ref="AR782">IF(X782&gt;0, INDEX(Kat, $AN782, 4+AQ782), 0)</f>
        <v>0</v>
      </c>
      <c r="AS782" s="228" cm="1">
        <f t="array" ref="AS782">IF(X782&gt;0, INDEX(Kat, $AN782, 9+AQ782), 0)</f>
        <v>0</v>
      </c>
      <c r="AT782" s="246"/>
      <c r="AU782" s="262"/>
      <c r="AV782" s="262"/>
      <c r="AW782" s="263"/>
      <c r="AX782" s="263"/>
      <c r="AY782" s="263"/>
      <c r="AZ782" s="263"/>
      <c r="BA782" s="263"/>
      <c r="BB782" s="263"/>
      <c r="BC782" s="263"/>
      <c r="BD782" s="263"/>
      <c r="BE782" s="263"/>
      <c r="BF782" s="263"/>
      <c r="BG782" s="263"/>
      <c r="BH782" s="246"/>
      <c r="BI782" s="228" cm="1">
        <f t="array" ref="BI782">INDEX(Use, $AH782, 4)</f>
        <v>7</v>
      </c>
      <c r="BJ782" s="228">
        <f t="shared" si="826"/>
        <v>32</v>
      </c>
      <c r="BK782" s="228">
        <f t="shared" si="814"/>
        <v>13</v>
      </c>
      <c r="BL782" s="228">
        <f t="shared" si="815"/>
        <v>0</v>
      </c>
      <c r="BM782" s="233" cm="1">
        <f t="array" ref="BM782">L782/IF($M782&gt;0, INDEX($AY$22:$BE$76, $M782+20, $AH782), 1)</f>
        <v>0</v>
      </c>
      <c r="BN782" s="229">
        <f t="shared" si="827"/>
        <v>0</v>
      </c>
      <c r="BO782" s="228">
        <v>35</v>
      </c>
      <c r="BP782" s="229">
        <f t="shared" si="828"/>
        <v>48</v>
      </c>
      <c r="BQ782" s="234">
        <f t="shared" si="829"/>
        <v>3.0748170731707316</v>
      </c>
      <c r="BR782" s="234" cm="1">
        <f t="array" ref="BR782">$BM782 * SUMPRODUCT(INDEX($AV$76:$AX$81,,$AI782),INDEX($AY$76:$BE$81,,$AH782), N($AU$76:$AU$81&gt;$AM782)) / BQ782 / 1000</f>
        <v>0</v>
      </c>
      <c r="BS782" s="231">
        <f t="shared" si="816"/>
        <v>30</v>
      </c>
      <c r="BT782" s="229">
        <f t="shared" si="830"/>
        <v>43</v>
      </c>
      <c r="BU782" s="234">
        <f t="shared" si="831"/>
        <v>3.5018750000000001</v>
      </c>
      <c r="BV782" s="234" cm="1">
        <f t="array" ref="BV782">$BM782 * IF($AH782&lt;=2,
SUMPRODUCT(INDEX($AV$71:$AX$75,,$AI782), INDEX($AY$71:$BE$75,,$AH782), 1 / ($BF$71:$BF$75*BU782 + (1-$BF$71:$BF$75)*BQ782), N($AU$71:$AU$75&gt;$AM782)),
SUMPRODUCT(INDEX($AV$66:$AX$75,,$AI782), INDEX($AY$66:$BE$75,,$AH782), 1 / ($BG$66:$BG$75*BU782 + (1-$BG$66:$BG$75)*BQ782), N($AU$66:$AU$75&gt;$AM782))
) / 1000</f>
        <v>0</v>
      </c>
      <c r="BW782" s="231">
        <f t="shared" si="817"/>
        <v>25</v>
      </c>
      <c r="BX782" s="229">
        <f t="shared" si="832"/>
        <v>38</v>
      </c>
      <c r="BY782" s="234">
        <f t="shared" si="833"/>
        <v>4.0666935483870965</v>
      </c>
      <c r="BZ782" s="234" cm="1">
        <f t="array" ref="BZ782">$BM782 * IF($AH782&lt;=2,
SUMPRODUCT(INDEX($AV$66:$AX$70,,$AI782), INDEX($AY$66:$BE$70,,$AH782), 1 / ($BF$66:$BF$70*BY782 + (1-$BF$66:$BF$70)*BU782), N($AU$66:$AU$70&gt;$AM782)),
SUMPRODUCT(INDEX($AV$56:$AX$65,,$AI782), INDEX($AY$56:$BE$65,,$AH782), 1 / ($BG$56:$BG$65*BY782 + (1-$BG$56:$BG$65)*BU782), N($AU$56:$AU$65&gt;$AM782))
) / 1000</f>
        <v>0</v>
      </c>
      <c r="CA782" s="231">
        <f t="shared" si="818"/>
        <v>20</v>
      </c>
      <c r="CB782" s="229">
        <f t="shared" si="834"/>
        <v>33</v>
      </c>
      <c r="CC782" s="234">
        <f t="shared" si="835"/>
        <v>4.8487499999999999</v>
      </c>
      <c r="CD782" s="234" cm="1">
        <f t="array" ref="CD782">$BM782 * IF($AH782&lt;=2,
SUMPRODUCT(INDEX($AV$61:$AX$65,,$AI782), INDEX($AY$61:$BE$65,,$AH782), 1 / ($BF$61:$BF$65*CC782 + (1-$BF$61:$BF$65)*BY782), N($AU$61:$AU$65&gt;$AM782)),
SUMPRODUCT(INDEX($AV$46:$AX$55,,$AI782), INDEX($AY$46:$BE$55,,$AH782), 1 / ($BG$46:$BG$55*CC782 + (1-$BG$46:$BG$55)*BY782), N($AU$46:$AU$55&gt;$AM782))
) / 1000</f>
        <v>0</v>
      </c>
      <c r="CE782" s="234" cm="1">
        <f t="array" ref="CE782">$BM782 * IF($AH782&lt;=2,
SUMPRODUCT(INDEX($AV$22:$AX$60,,$AI782), INDEX($AY$22:$BE$60,,$AH782), 1 / ($BF$22:$BF$60*CC782), N($AU$22:$AU$60&gt;$AM782)),
SUMPRODUCT(INDEX($AV$22:$AX$45,,$AI782), INDEX($AY$22:$BE$45,,$AH782), 1 / ($BG$22:$BG$45*CC782), N($AU$22:$AU$45&gt;$AM782))
) / 1000</f>
        <v>0</v>
      </c>
      <c r="CF782" s="229">
        <f t="shared" si="836"/>
        <v>0</v>
      </c>
      <c r="CG782" s="246"/>
      <c r="CH782" s="229">
        <f t="shared" si="837"/>
        <v>0</v>
      </c>
      <c r="CI782" s="228">
        <v>35</v>
      </c>
      <c r="CJ782" s="229">
        <f t="shared" si="838"/>
        <v>48</v>
      </c>
      <c r="CK782" s="234">
        <f t="shared" si="839"/>
        <v>3.0748170731707316</v>
      </c>
      <c r="CL782" s="234" cm="1">
        <f t="array" ref="CL782">$BM782 * SUMPRODUCT(INDEX($AV$76:$AX$81,,$AI782),INDEX($AY$76:$BE$81,,$AH782), N($AU$76:$AU$81&gt;$AM782)) / CK782 / 1000</f>
        <v>0</v>
      </c>
      <c r="CM782" s="231">
        <f t="shared" si="819"/>
        <v>30</v>
      </c>
      <c r="CN782" s="229">
        <f t="shared" si="840"/>
        <v>43</v>
      </c>
      <c r="CO782" s="234">
        <f t="shared" si="841"/>
        <v>3.5018750000000001</v>
      </c>
      <c r="CP782" s="234" cm="1">
        <f t="array" ref="CP782">$BM782 * IF($AH782&lt;=2,
SUMPRODUCT(INDEX($AV$71:$AX$75,,$AI782), INDEX($AY$71:$BE$75,,$AH782), 1 / ($BF$71:$BF$75*CO782 + (1-$BF$71:$BF$75)*CK782), N($AU$71:$AU$75&gt;$AM782)),
SUMPRODUCT(INDEX($AV$66:$AX$75,,$AI782), INDEX($AY$66:$BE$75,,$AH782), 1 / ($BG$66:$BG$75*CO782 + (1-$BG$66:$BG$75)*CK782), N($AU$66:$AU$75&gt;$AM782))
) / 1000</f>
        <v>0</v>
      </c>
      <c r="CQ782" s="231">
        <f t="shared" si="820"/>
        <v>25</v>
      </c>
      <c r="CR782" s="229">
        <f t="shared" si="842"/>
        <v>38</v>
      </c>
      <c r="CS782" s="234">
        <f t="shared" si="843"/>
        <v>4.0666935483870965</v>
      </c>
      <c r="CT782" s="234" cm="1">
        <f t="array" ref="CT782">$BM782 * IF($AH782&lt;=2,
SUMPRODUCT(INDEX($AV$66:$AX$70,,$AI782), INDEX($AY$66:$BE$70,,$AH782), 1 / ($BF$66:$BF$70*CS782 + (1-$BF$66:$BF$70)*CO782), N($AU$66:$AU$70&gt;$AM782)),
SUMPRODUCT(INDEX($AV$56:$AX$65,,$AI782), INDEX($AY$56:$BE$65,,$AH782), 1 / ($BG$56:$BG$65*CS782 + (1-$BG$56:$BG$65)*CO782), N($AU$56:$AU$65&gt;$AM782))
) / 1000</f>
        <v>0</v>
      </c>
      <c r="CU782" s="231">
        <f t="shared" si="821"/>
        <v>20</v>
      </c>
      <c r="CV782" s="229">
        <f t="shared" si="844"/>
        <v>33</v>
      </c>
      <c r="CW782" s="234">
        <f t="shared" si="845"/>
        <v>4.8487499999999999</v>
      </c>
      <c r="CX782" s="234" cm="1">
        <f t="array" ref="CX782">$BM782 * IF($AH782&lt;=2,
SUMPRODUCT(INDEX($AV$61:$AX$65,,$AI782), INDEX($AY$61:$BE$65,,$AH782), 1 / ($BF$61:$BF$65*CW782 + (1-$BF$61:$BF$65)*CS782), N($AU$61:$AU$65&gt;$AM782)),
SUMPRODUCT(INDEX($AV$46:$AX$55,,$AI782), INDEX($AY$46:$BE$55,,$AH782), 1 / ($BG$46:$BG$55*CW782 + (1-$BG$46:$BG$55)*CS782), N($AU$46:$AU$55&gt;$AM782))
) / 1000</f>
        <v>0</v>
      </c>
      <c r="CY782" s="234" cm="1">
        <f t="array" ref="CY782">$BM782 * IF($AH782&lt;=2,
SUMPRODUCT(INDEX($AV$22:$AX$60,,$AI782), INDEX($AY$22:$BE$60,,$AH782), 1 / ($BF$22:$BF$60*CW782), N($AU$22:$AU$60&gt;$AM782)),
SUMPRODUCT(INDEX($AV$22:$AX$45,,$AI782), INDEX($AY$22:$BE$45,,$AH782), 1 / ($BG$22:$BG$45*CW782), N($AU$22:$AU$45&gt;$AM782))
) / 1000</f>
        <v>0</v>
      </c>
      <c r="CZ782" s="229">
        <f t="shared" si="846"/>
        <v>0</v>
      </c>
      <c r="DA782" s="246"/>
    </row>
    <row r="783" spans="1:105" s="75" customFormat="1" ht="14.25" customHeight="1" x14ac:dyDescent="0.2">
      <c r="A783" s="230" t="b">
        <f t="shared" si="813"/>
        <v>0</v>
      </c>
      <c r="B783" s="253">
        <v>762</v>
      </c>
      <c r="C783" s="266"/>
      <c r="D783" s="266"/>
      <c r="E783" s="254"/>
      <c r="F783" s="255" t="str">
        <f>IF(ISBLANK(E783), "", VLOOKUP(E783, Z!$A$2:$C$4127, 3, FALSE))</f>
        <v/>
      </c>
      <c r="G783" s="256"/>
      <c r="H783" s="256"/>
      <c r="I783" s="256"/>
      <c r="J783" s="257"/>
      <c r="K783" s="258"/>
      <c r="L783" s="267"/>
      <c r="M783" s="268"/>
      <c r="N783" s="259" t="str" cm="1">
        <f t="array" ref="N783">IF($L783&gt;0, INDEX(Clean,1+AK783,$D$1), "")</f>
        <v/>
      </c>
      <c r="O783" s="260"/>
      <c r="P783" s="260"/>
      <c r="Q783" s="261"/>
      <c r="R783" s="264">
        <f t="shared" si="822"/>
        <v>0</v>
      </c>
      <c r="S783" s="259" t="str" cm="1">
        <f t="array" ref="S783">IF($L783&gt;0, INDEX(Clean,1+AL783,$D$1), "")</f>
        <v/>
      </c>
      <c r="T783" s="260"/>
      <c r="U783" s="260"/>
      <c r="V783" s="261"/>
      <c r="W783" s="267"/>
      <c r="X783" s="267"/>
      <c r="Y783" s="257"/>
      <c r="Z783" s="264">
        <f t="shared" si="823"/>
        <v>0</v>
      </c>
      <c r="AA783" s="269"/>
      <c r="AB783" s="266"/>
      <c r="AC783" s="254"/>
      <c r="AD783" s="255" t="str">
        <f>IF(ISBLANK(AC783), "", VLOOKUP(AC783, Z!$A$2:$C$4127, 3, FALSE))</f>
        <v/>
      </c>
      <c r="AE783" s="270"/>
      <c r="AF783" s="265">
        <f t="shared" si="824"/>
        <v>0</v>
      </c>
      <c r="AG783" s="246"/>
      <c r="AH783" s="228">
        <f t="shared" si="847"/>
        <v>1</v>
      </c>
      <c r="AI783" s="228">
        <f t="shared" si="848"/>
        <v>1</v>
      </c>
      <c r="AJ783" s="228">
        <f t="shared" si="849"/>
        <v>0</v>
      </c>
      <c r="AK783" s="228">
        <v>0</v>
      </c>
      <c r="AL783" s="228">
        <v>0</v>
      </c>
      <c r="AM783" s="228">
        <f t="shared" si="825"/>
        <v>-100</v>
      </c>
      <c r="AN783" s="228" cm="1">
        <f t="array" ref="AN783">IF(ISBLANK(G783), 1, IFERROR(MATCH(G783, INDEX(Kat,,1), 0), IFERROR(MATCH(Kat, INDEX(Use,,2), 0), MATCH(Kat, INDEX(Use,,3), 0))))</f>
        <v>1</v>
      </c>
      <c r="AO783" s="246"/>
      <c r="AP783" s="228" cm="1">
        <f t="array" ref="AP783">IF(W783&gt;0, INDEX(Kat, AN783,4), 0)</f>
        <v>0</v>
      </c>
      <c r="AQ783" s="228">
        <f t="shared" si="850"/>
        <v>0</v>
      </c>
      <c r="AR783" s="228" cm="1">
        <f t="array" ref="AR783">IF(X783&gt;0, INDEX(Kat, $AN783, 4+AQ783), 0)</f>
        <v>0</v>
      </c>
      <c r="AS783" s="228" cm="1">
        <f t="array" ref="AS783">IF(X783&gt;0, INDEX(Kat, $AN783, 9+AQ783), 0)</f>
        <v>0</v>
      </c>
      <c r="AT783" s="246"/>
      <c r="AU783" s="262"/>
      <c r="AV783" s="262"/>
      <c r="AW783" s="263"/>
      <c r="AX783" s="263"/>
      <c r="AY783" s="263"/>
      <c r="AZ783" s="263"/>
      <c r="BA783" s="263"/>
      <c r="BB783" s="263"/>
      <c r="BC783" s="263"/>
      <c r="BD783" s="263"/>
      <c r="BE783" s="263"/>
      <c r="BF783" s="263"/>
      <c r="BG783" s="263"/>
      <c r="BH783" s="246"/>
      <c r="BI783" s="228" cm="1">
        <f t="array" ref="BI783">INDEX(Use, $AH783, 4)</f>
        <v>7</v>
      </c>
      <c r="BJ783" s="228">
        <f t="shared" si="826"/>
        <v>32</v>
      </c>
      <c r="BK783" s="228">
        <f t="shared" si="814"/>
        <v>13</v>
      </c>
      <c r="BL783" s="228">
        <f t="shared" si="815"/>
        <v>0</v>
      </c>
      <c r="BM783" s="233" cm="1">
        <f t="array" ref="BM783">L783/IF($M783&gt;0, INDEX($AY$22:$BE$76, $M783+20, $AH783), 1)</f>
        <v>0</v>
      </c>
      <c r="BN783" s="229">
        <f t="shared" si="827"/>
        <v>0</v>
      </c>
      <c r="BO783" s="228">
        <v>35</v>
      </c>
      <c r="BP783" s="229">
        <f t="shared" si="828"/>
        <v>48</v>
      </c>
      <c r="BQ783" s="234">
        <f t="shared" si="829"/>
        <v>3.0748170731707316</v>
      </c>
      <c r="BR783" s="234" cm="1">
        <f t="array" ref="BR783">$BM783 * SUMPRODUCT(INDEX($AV$76:$AX$81,,$AI783),INDEX($AY$76:$BE$81,,$AH783), N($AU$76:$AU$81&gt;$AM783)) / BQ783 / 1000</f>
        <v>0</v>
      </c>
      <c r="BS783" s="231">
        <f t="shared" si="816"/>
        <v>30</v>
      </c>
      <c r="BT783" s="229">
        <f t="shared" si="830"/>
        <v>43</v>
      </c>
      <c r="BU783" s="234">
        <f t="shared" si="831"/>
        <v>3.5018750000000001</v>
      </c>
      <c r="BV783" s="234" cm="1">
        <f t="array" ref="BV783">$BM783 * IF($AH783&lt;=2,
SUMPRODUCT(INDEX($AV$71:$AX$75,,$AI783), INDEX($AY$71:$BE$75,,$AH783), 1 / ($BF$71:$BF$75*BU783 + (1-$BF$71:$BF$75)*BQ783), N($AU$71:$AU$75&gt;$AM783)),
SUMPRODUCT(INDEX($AV$66:$AX$75,,$AI783), INDEX($AY$66:$BE$75,,$AH783), 1 / ($BG$66:$BG$75*BU783 + (1-$BG$66:$BG$75)*BQ783), N($AU$66:$AU$75&gt;$AM783))
) / 1000</f>
        <v>0</v>
      </c>
      <c r="BW783" s="231">
        <f t="shared" si="817"/>
        <v>25</v>
      </c>
      <c r="BX783" s="229">
        <f t="shared" si="832"/>
        <v>38</v>
      </c>
      <c r="BY783" s="234">
        <f t="shared" si="833"/>
        <v>4.0666935483870965</v>
      </c>
      <c r="BZ783" s="234" cm="1">
        <f t="array" ref="BZ783">$BM783 * IF($AH783&lt;=2,
SUMPRODUCT(INDEX($AV$66:$AX$70,,$AI783), INDEX($AY$66:$BE$70,,$AH783), 1 / ($BF$66:$BF$70*BY783 + (1-$BF$66:$BF$70)*BU783), N($AU$66:$AU$70&gt;$AM783)),
SUMPRODUCT(INDEX($AV$56:$AX$65,,$AI783), INDEX($AY$56:$BE$65,,$AH783), 1 / ($BG$56:$BG$65*BY783 + (1-$BG$56:$BG$65)*BU783), N($AU$56:$AU$65&gt;$AM783))
) / 1000</f>
        <v>0</v>
      </c>
      <c r="CA783" s="231">
        <f t="shared" si="818"/>
        <v>20</v>
      </c>
      <c r="CB783" s="229">
        <f t="shared" si="834"/>
        <v>33</v>
      </c>
      <c r="CC783" s="234">
        <f t="shared" si="835"/>
        <v>4.8487499999999999</v>
      </c>
      <c r="CD783" s="234" cm="1">
        <f t="array" ref="CD783">$BM783 * IF($AH783&lt;=2,
SUMPRODUCT(INDEX($AV$61:$AX$65,,$AI783), INDEX($AY$61:$BE$65,,$AH783), 1 / ($BF$61:$BF$65*CC783 + (1-$BF$61:$BF$65)*BY783), N($AU$61:$AU$65&gt;$AM783)),
SUMPRODUCT(INDEX($AV$46:$AX$55,,$AI783), INDEX($AY$46:$BE$55,,$AH783), 1 / ($BG$46:$BG$55*CC783 + (1-$BG$46:$BG$55)*BY783), N($AU$46:$AU$55&gt;$AM783))
) / 1000</f>
        <v>0</v>
      </c>
      <c r="CE783" s="234" cm="1">
        <f t="array" ref="CE783">$BM783 * IF($AH783&lt;=2,
SUMPRODUCT(INDEX($AV$22:$AX$60,,$AI783), INDEX($AY$22:$BE$60,,$AH783), 1 / ($BF$22:$BF$60*CC783), N($AU$22:$AU$60&gt;$AM783)),
SUMPRODUCT(INDEX($AV$22:$AX$45,,$AI783), INDEX($AY$22:$BE$45,,$AH783), 1 / ($BG$22:$BG$45*CC783), N($AU$22:$AU$45&gt;$AM783))
) / 1000</f>
        <v>0</v>
      </c>
      <c r="CF783" s="229">
        <f t="shared" si="836"/>
        <v>0</v>
      </c>
      <c r="CG783" s="246"/>
      <c r="CH783" s="229">
        <f t="shared" si="837"/>
        <v>0</v>
      </c>
      <c r="CI783" s="228">
        <v>35</v>
      </c>
      <c r="CJ783" s="229">
        <f t="shared" si="838"/>
        <v>48</v>
      </c>
      <c r="CK783" s="234">
        <f t="shared" si="839"/>
        <v>3.0748170731707316</v>
      </c>
      <c r="CL783" s="234" cm="1">
        <f t="array" ref="CL783">$BM783 * SUMPRODUCT(INDEX($AV$76:$AX$81,,$AI783),INDEX($AY$76:$BE$81,,$AH783), N($AU$76:$AU$81&gt;$AM783)) / CK783 / 1000</f>
        <v>0</v>
      </c>
      <c r="CM783" s="231">
        <f t="shared" si="819"/>
        <v>30</v>
      </c>
      <c r="CN783" s="229">
        <f t="shared" si="840"/>
        <v>43</v>
      </c>
      <c r="CO783" s="234">
        <f t="shared" si="841"/>
        <v>3.5018750000000001</v>
      </c>
      <c r="CP783" s="234" cm="1">
        <f t="array" ref="CP783">$BM783 * IF($AH783&lt;=2,
SUMPRODUCT(INDEX($AV$71:$AX$75,,$AI783), INDEX($AY$71:$BE$75,,$AH783), 1 / ($BF$71:$BF$75*CO783 + (1-$BF$71:$BF$75)*CK783), N($AU$71:$AU$75&gt;$AM783)),
SUMPRODUCT(INDEX($AV$66:$AX$75,,$AI783), INDEX($AY$66:$BE$75,,$AH783), 1 / ($BG$66:$BG$75*CO783 + (1-$BG$66:$BG$75)*CK783), N($AU$66:$AU$75&gt;$AM783))
) / 1000</f>
        <v>0</v>
      </c>
      <c r="CQ783" s="231">
        <f t="shared" si="820"/>
        <v>25</v>
      </c>
      <c r="CR783" s="229">
        <f t="shared" si="842"/>
        <v>38</v>
      </c>
      <c r="CS783" s="234">
        <f t="shared" si="843"/>
        <v>4.0666935483870965</v>
      </c>
      <c r="CT783" s="234" cm="1">
        <f t="array" ref="CT783">$BM783 * IF($AH783&lt;=2,
SUMPRODUCT(INDEX($AV$66:$AX$70,,$AI783), INDEX($AY$66:$BE$70,,$AH783), 1 / ($BF$66:$BF$70*CS783 + (1-$BF$66:$BF$70)*CO783), N($AU$66:$AU$70&gt;$AM783)),
SUMPRODUCT(INDEX($AV$56:$AX$65,,$AI783), INDEX($AY$56:$BE$65,,$AH783), 1 / ($BG$56:$BG$65*CS783 + (1-$BG$56:$BG$65)*CO783), N($AU$56:$AU$65&gt;$AM783))
) / 1000</f>
        <v>0</v>
      </c>
      <c r="CU783" s="231">
        <f t="shared" si="821"/>
        <v>20</v>
      </c>
      <c r="CV783" s="229">
        <f t="shared" si="844"/>
        <v>33</v>
      </c>
      <c r="CW783" s="234">
        <f t="shared" si="845"/>
        <v>4.8487499999999999</v>
      </c>
      <c r="CX783" s="234" cm="1">
        <f t="array" ref="CX783">$BM783 * IF($AH783&lt;=2,
SUMPRODUCT(INDEX($AV$61:$AX$65,,$AI783), INDEX($AY$61:$BE$65,,$AH783), 1 / ($BF$61:$BF$65*CW783 + (1-$BF$61:$BF$65)*CS783), N($AU$61:$AU$65&gt;$AM783)),
SUMPRODUCT(INDEX($AV$46:$AX$55,,$AI783), INDEX($AY$46:$BE$55,,$AH783), 1 / ($BG$46:$BG$55*CW783 + (1-$BG$46:$BG$55)*CS783), N($AU$46:$AU$55&gt;$AM783))
) / 1000</f>
        <v>0</v>
      </c>
      <c r="CY783" s="234" cm="1">
        <f t="array" ref="CY783">$BM783 * IF($AH783&lt;=2,
SUMPRODUCT(INDEX($AV$22:$AX$60,,$AI783), INDEX($AY$22:$BE$60,,$AH783), 1 / ($BF$22:$BF$60*CW783), N($AU$22:$AU$60&gt;$AM783)),
SUMPRODUCT(INDEX($AV$22:$AX$45,,$AI783), INDEX($AY$22:$BE$45,,$AH783), 1 / ($BG$22:$BG$45*CW783), N($AU$22:$AU$45&gt;$AM783))
) / 1000</f>
        <v>0</v>
      </c>
      <c r="CZ783" s="229">
        <f t="shared" si="846"/>
        <v>0</v>
      </c>
      <c r="DA783" s="246"/>
    </row>
    <row r="784" spans="1:105" s="75" customFormat="1" ht="14.25" customHeight="1" x14ac:dyDescent="0.2">
      <c r="A784" s="230" t="b">
        <f t="shared" si="813"/>
        <v>0</v>
      </c>
      <c r="B784" s="253">
        <v>763</v>
      </c>
      <c r="C784" s="266"/>
      <c r="D784" s="266"/>
      <c r="E784" s="254"/>
      <c r="F784" s="255" t="str">
        <f>IF(ISBLANK(E784), "", VLOOKUP(E784, Z!$A$2:$C$4127, 3, FALSE))</f>
        <v/>
      </c>
      <c r="G784" s="256"/>
      <c r="H784" s="256"/>
      <c r="I784" s="256"/>
      <c r="J784" s="257"/>
      <c r="K784" s="258"/>
      <c r="L784" s="267"/>
      <c r="M784" s="268"/>
      <c r="N784" s="259" t="str" cm="1">
        <f t="array" ref="N784">IF($L784&gt;0, INDEX(Clean,1+AK784,$D$1), "")</f>
        <v/>
      </c>
      <c r="O784" s="260"/>
      <c r="P784" s="260"/>
      <c r="Q784" s="261"/>
      <c r="R784" s="264">
        <f t="shared" si="822"/>
        <v>0</v>
      </c>
      <c r="S784" s="259" t="str" cm="1">
        <f t="array" ref="S784">IF($L784&gt;0, INDEX(Clean,1+AL784,$D$1), "")</f>
        <v/>
      </c>
      <c r="T784" s="260"/>
      <c r="U784" s="260"/>
      <c r="V784" s="261"/>
      <c r="W784" s="267"/>
      <c r="X784" s="267"/>
      <c r="Y784" s="257"/>
      <c r="Z784" s="264">
        <f t="shared" si="823"/>
        <v>0</v>
      </c>
      <c r="AA784" s="269"/>
      <c r="AB784" s="266"/>
      <c r="AC784" s="254"/>
      <c r="AD784" s="255" t="str">
        <f>IF(ISBLANK(AC784), "", VLOOKUP(AC784, Z!$A$2:$C$4127, 3, FALSE))</f>
        <v/>
      </c>
      <c r="AE784" s="270"/>
      <c r="AF784" s="265">
        <f t="shared" si="824"/>
        <v>0</v>
      </c>
      <c r="AG784" s="246"/>
      <c r="AH784" s="228">
        <f t="shared" si="847"/>
        <v>1</v>
      </c>
      <c r="AI784" s="228">
        <f t="shared" si="848"/>
        <v>1</v>
      </c>
      <c r="AJ784" s="228">
        <f t="shared" si="849"/>
        <v>0</v>
      </c>
      <c r="AK784" s="228">
        <v>0</v>
      </c>
      <c r="AL784" s="228">
        <v>0</v>
      </c>
      <c r="AM784" s="228">
        <f t="shared" si="825"/>
        <v>-100</v>
      </c>
      <c r="AN784" s="228" cm="1">
        <f t="array" ref="AN784">IF(ISBLANK(G784), 1, IFERROR(MATCH(G784, INDEX(Kat,,1), 0), IFERROR(MATCH(Kat, INDEX(Use,,2), 0), MATCH(Kat, INDEX(Use,,3), 0))))</f>
        <v>1</v>
      </c>
      <c r="AO784" s="246"/>
      <c r="AP784" s="228" cm="1">
        <f t="array" ref="AP784">IF(W784&gt;0, INDEX(Kat, AN784,4), 0)</f>
        <v>0</v>
      </c>
      <c r="AQ784" s="228">
        <f t="shared" si="850"/>
        <v>0</v>
      </c>
      <c r="AR784" s="228" cm="1">
        <f t="array" ref="AR784">IF(X784&gt;0, INDEX(Kat, $AN784, 4+AQ784), 0)</f>
        <v>0</v>
      </c>
      <c r="AS784" s="228" cm="1">
        <f t="array" ref="AS784">IF(X784&gt;0, INDEX(Kat, $AN784, 9+AQ784), 0)</f>
        <v>0</v>
      </c>
      <c r="AT784" s="246"/>
      <c r="AU784" s="262"/>
      <c r="AV784" s="262"/>
      <c r="AW784" s="263"/>
      <c r="AX784" s="263"/>
      <c r="AY784" s="263"/>
      <c r="AZ784" s="263"/>
      <c r="BA784" s="263"/>
      <c r="BB784" s="263"/>
      <c r="BC784" s="263"/>
      <c r="BD784" s="263"/>
      <c r="BE784" s="263"/>
      <c r="BF784" s="263"/>
      <c r="BG784" s="263"/>
      <c r="BH784" s="246"/>
      <c r="BI784" s="228" cm="1">
        <f t="array" ref="BI784">INDEX(Use, $AH784, 4)</f>
        <v>7</v>
      </c>
      <c r="BJ784" s="228">
        <f t="shared" si="826"/>
        <v>32</v>
      </c>
      <c r="BK784" s="228">
        <f t="shared" si="814"/>
        <v>13</v>
      </c>
      <c r="BL784" s="228">
        <f t="shared" si="815"/>
        <v>0</v>
      </c>
      <c r="BM784" s="233" cm="1">
        <f t="array" ref="BM784">L784/IF($M784&gt;0, INDEX($AY$22:$BE$76, $M784+20, $AH784), 1)</f>
        <v>0</v>
      </c>
      <c r="BN784" s="229">
        <f t="shared" si="827"/>
        <v>0</v>
      </c>
      <c r="BO784" s="228">
        <v>35</v>
      </c>
      <c r="BP784" s="229">
        <f t="shared" si="828"/>
        <v>48</v>
      </c>
      <c r="BQ784" s="234">
        <f t="shared" si="829"/>
        <v>3.0748170731707316</v>
      </c>
      <c r="BR784" s="234" cm="1">
        <f t="array" ref="BR784">$BM784 * SUMPRODUCT(INDEX($AV$76:$AX$81,,$AI784),INDEX($AY$76:$BE$81,,$AH784), N($AU$76:$AU$81&gt;$AM784)) / BQ784 / 1000</f>
        <v>0</v>
      </c>
      <c r="BS784" s="231">
        <f t="shared" si="816"/>
        <v>30</v>
      </c>
      <c r="BT784" s="229">
        <f t="shared" si="830"/>
        <v>43</v>
      </c>
      <c r="BU784" s="234">
        <f t="shared" si="831"/>
        <v>3.5018750000000001</v>
      </c>
      <c r="BV784" s="234" cm="1">
        <f t="array" ref="BV784">$BM784 * IF($AH784&lt;=2,
SUMPRODUCT(INDEX($AV$71:$AX$75,,$AI784), INDEX($AY$71:$BE$75,,$AH784), 1 / ($BF$71:$BF$75*BU784 + (1-$BF$71:$BF$75)*BQ784), N($AU$71:$AU$75&gt;$AM784)),
SUMPRODUCT(INDEX($AV$66:$AX$75,,$AI784), INDEX($AY$66:$BE$75,,$AH784), 1 / ($BG$66:$BG$75*BU784 + (1-$BG$66:$BG$75)*BQ784), N($AU$66:$AU$75&gt;$AM784))
) / 1000</f>
        <v>0</v>
      </c>
      <c r="BW784" s="231">
        <f t="shared" si="817"/>
        <v>25</v>
      </c>
      <c r="BX784" s="229">
        <f t="shared" si="832"/>
        <v>38</v>
      </c>
      <c r="BY784" s="234">
        <f t="shared" si="833"/>
        <v>4.0666935483870965</v>
      </c>
      <c r="BZ784" s="234" cm="1">
        <f t="array" ref="BZ784">$BM784 * IF($AH784&lt;=2,
SUMPRODUCT(INDEX($AV$66:$AX$70,,$AI784), INDEX($AY$66:$BE$70,,$AH784), 1 / ($BF$66:$BF$70*BY784 + (1-$BF$66:$BF$70)*BU784), N($AU$66:$AU$70&gt;$AM784)),
SUMPRODUCT(INDEX($AV$56:$AX$65,,$AI784), INDEX($AY$56:$BE$65,,$AH784), 1 / ($BG$56:$BG$65*BY784 + (1-$BG$56:$BG$65)*BU784), N($AU$56:$AU$65&gt;$AM784))
) / 1000</f>
        <v>0</v>
      </c>
      <c r="CA784" s="231">
        <f t="shared" si="818"/>
        <v>20</v>
      </c>
      <c r="CB784" s="229">
        <f t="shared" si="834"/>
        <v>33</v>
      </c>
      <c r="CC784" s="234">
        <f t="shared" si="835"/>
        <v>4.8487499999999999</v>
      </c>
      <c r="CD784" s="234" cm="1">
        <f t="array" ref="CD784">$BM784 * IF($AH784&lt;=2,
SUMPRODUCT(INDEX($AV$61:$AX$65,,$AI784), INDEX($AY$61:$BE$65,,$AH784), 1 / ($BF$61:$BF$65*CC784 + (1-$BF$61:$BF$65)*BY784), N($AU$61:$AU$65&gt;$AM784)),
SUMPRODUCT(INDEX($AV$46:$AX$55,,$AI784), INDEX($AY$46:$BE$55,,$AH784), 1 / ($BG$46:$BG$55*CC784 + (1-$BG$46:$BG$55)*BY784), N($AU$46:$AU$55&gt;$AM784))
) / 1000</f>
        <v>0</v>
      </c>
      <c r="CE784" s="234" cm="1">
        <f t="array" ref="CE784">$BM784 * IF($AH784&lt;=2,
SUMPRODUCT(INDEX($AV$22:$AX$60,,$AI784), INDEX($AY$22:$BE$60,,$AH784), 1 / ($BF$22:$BF$60*CC784), N($AU$22:$AU$60&gt;$AM784)),
SUMPRODUCT(INDEX($AV$22:$AX$45,,$AI784), INDEX($AY$22:$BE$45,,$AH784), 1 / ($BG$22:$BG$45*CC784), N($AU$22:$AU$45&gt;$AM784))
) / 1000</f>
        <v>0</v>
      </c>
      <c r="CF784" s="229">
        <f t="shared" si="836"/>
        <v>0</v>
      </c>
      <c r="CG784" s="246"/>
      <c r="CH784" s="229">
        <f t="shared" si="837"/>
        <v>0</v>
      </c>
      <c r="CI784" s="228">
        <v>35</v>
      </c>
      <c r="CJ784" s="229">
        <f t="shared" si="838"/>
        <v>48</v>
      </c>
      <c r="CK784" s="234">
        <f t="shared" si="839"/>
        <v>3.0748170731707316</v>
      </c>
      <c r="CL784" s="234" cm="1">
        <f t="array" ref="CL784">$BM784 * SUMPRODUCT(INDEX($AV$76:$AX$81,,$AI784),INDEX($AY$76:$BE$81,,$AH784), N($AU$76:$AU$81&gt;$AM784)) / CK784 / 1000</f>
        <v>0</v>
      </c>
      <c r="CM784" s="231">
        <f t="shared" si="819"/>
        <v>30</v>
      </c>
      <c r="CN784" s="229">
        <f t="shared" si="840"/>
        <v>43</v>
      </c>
      <c r="CO784" s="234">
        <f t="shared" si="841"/>
        <v>3.5018750000000001</v>
      </c>
      <c r="CP784" s="234" cm="1">
        <f t="array" ref="CP784">$BM784 * IF($AH784&lt;=2,
SUMPRODUCT(INDEX($AV$71:$AX$75,,$AI784), INDEX($AY$71:$BE$75,,$AH784), 1 / ($BF$71:$BF$75*CO784 + (1-$BF$71:$BF$75)*CK784), N($AU$71:$AU$75&gt;$AM784)),
SUMPRODUCT(INDEX($AV$66:$AX$75,,$AI784), INDEX($AY$66:$BE$75,,$AH784), 1 / ($BG$66:$BG$75*CO784 + (1-$BG$66:$BG$75)*CK784), N($AU$66:$AU$75&gt;$AM784))
) / 1000</f>
        <v>0</v>
      </c>
      <c r="CQ784" s="231">
        <f t="shared" si="820"/>
        <v>25</v>
      </c>
      <c r="CR784" s="229">
        <f t="shared" si="842"/>
        <v>38</v>
      </c>
      <c r="CS784" s="234">
        <f t="shared" si="843"/>
        <v>4.0666935483870965</v>
      </c>
      <c r="CT784" s="234" cm="1">
        <f t="array" ref="CT784">$BM784 * IF($AH784&lt;=2,
SUMPRODUCT(INDEX($AV$66:$AX$70,,$AI784), INDEX($AY$66:$BE$70,,$AH784), 1 / ($BF$66:$BF$70*CS784 + (1-$BF$66:$BF$70)*CO784), N($AU$66:$AU$70&gt;$AM784)),
SUMPRODUCT(INDEX($AV$56:$AX$65,,$AI784), INDEX($AY$56:$BE$65,,$AH784), 1 / ($BG$56:$BG$65*CS784 + (1-$BG$56:$BG$65)*CO784), N($AU$56:$AU$65&gt;$AM784))
) / 1000</f>
        <v>0</v>
      </c>
      <c r="CU784" s="231">
        <f t="shared" si="821"/>
        <v>20</v>
      </c>
      <c r="CV784" s="229">
        <f t="shared" si="844"/>
        <v>33</v>
      </c>
      <c r="CW784" s="234">
        <f t="shared" si="845"/>
        <v>4.8487499999999999</v>
      </c>
      <c r="CX784" s="234" cm="1">
        <f t="array" ref="CX784">$BM784 * IF($AH784&lt;=2,
SUMPRODUCT(INDEX($AV$61:$AX$65,,$AI784), INDEX($AY$61:$BE$65,,$AH784), 1 / ($BF$61:$BF$65*CW784 + (1-$BF$61:$BF$65)*CS784), N($AU$61:$AU$65&gt;$AM784)),
SUMPRODUCT(INDEX($AV$46:$AX$55,,$AI784), INDEX($AY$46:$BE$55,,$AH784), 1 / ($BG$46:$BG$55*CW784 + (1-$BG$46:$BG$55)*CS784), N($AU$46:$AU$55&gt;$AM784))
) / 1000</f>
        <v>0</v>
      </c>
      <c r="CY784" s="234" cm="1">
        <f t="array" ref="CY784">$BM784 * IF($AH784&lt;=2,
SUMPRODUCT(INDEX($AV$22:$AX$60,,$AI784), INDEX($AY$22:$BE$60,,$AH784), 1 / ($BF$22:$BF$60*CW784), N($AU$22:$AU$60&gt;$AM784)),
SUMPRODUCT(INDEX($AV$22:$AX$45,,$AI784), INDEX($AY$22:$BE$45,,$AH784), 1 / ($BG$22:$BG$45*CW784), N($AU$22:$AU$45&gt;$AM784))
) / 1000</f>
        <v>0</v>
      </c>
      <c r="CZ784" s="229">
        <f t="shared" si="846"/>
        <v>0</v>
      </c>
      <c r="DA784" s="246"/>
    </row>
    <row r="785" spans="1:105" s="75" customFormat="1" ht="14.25" customHeight="1" x14ac:dyDescent="0.2">
      <c r="A785" s="230" t="b">
        <f t="shared" si="813"/>
        <v>0</v>
      </c>
      <c r="B785" s="253">
        <v>764</v>
      </c>
      <c r="C785" s="266"/>
      <c r="D785" s="266"/>
      <c r="E785" s="254"/>
      <c r="F785" s="255" t="str">
        <f>IF(ISBLANK(E785), "", VLOOKUP(E785, Z!$A$2:$C$4127, 3, FALSE))</f>
        <v/>
      </c>
      <c r="G785" s="256"/>
      <c r="H785" s="256"/>
      <c r="I785" s="256"/>
      <c r="J785" s="257"/>
      <c r="K785" s="258"/>
      <c r="L785" s="267"/>
      <c r="M785" s="268"/>
      <c r="N785" s="259" t="str" cm="1">
        <f t="array" ref="N785">IF($L785&gt;0, INDEX(Clean,1+AK785,$D$1), "")</f>
        <v/>
      </c>
      <c r="O785" s="260"/>
      <c r="P785" s="260"/>
      <c r="Q785" s="261"/>
      <c r="R785" s="264">
        <f t="shared" si="822"/>
        <v>0</v>
      </c>
      <c r="S785" s="259" t="str" cm="1">
        <f t="array" ref="S785">IF($L785&gt;0, INDEX(Clean,1+AL785,$D$1), "")</f>
        <v/>
      </c>
      <c r="T785" s="260"/>
      <c r="U785" s="260"/>
      <c r="V785" s="261"/>
      <c r="W785" s="267"/>
      <c r="X785" s="267"/>
      <c r="Y785" s="257"/>
      <c r="Z785" s="264">
        <f t="shared" si="823"/>
        <v>0</v>
      </c>
      <c r="AA785" s="269"/>
      <c r="AB785" s="266"/>
      <c r="AC785" s="254"/>
      <c r="AD785" s="255" t="str">
        <f>IF(ISBLANK(AC785), "", VLOOKUP(AC785, Z!$A$2:$C$4127, 3, FALSE))</f>
        <v/>
      </c>
      <c r="AE785" s="270"/>
      <c r="AF785" s="265">
        <f t="shared" si="824"/>
        <v>0</v>
      </c>
      <c r="AG785" s="246"/>
      <c r="AH785" s="228">
        <f t="shared" si="847"/>
        <v>1</v>
      </c>
      <c r="AI785" s="228">
        <f t="shared" si="848"/>
        <v>1</v>
      </c>
      <c r="AJ785" s="228">
        <f t="shared" si="849"/>
        <v>0</v>
      </c>
      <c r="AK785" s="228">
        <v>0</v>
      </c>
      <c r="AL785" s="228">
        <v>0</v>
      </c>
      <c r="AM785" s="228">
        <f t="shared" si="825"/>
        <v>-100</v>
      </c>
      <c r="AN785" s="228" cm="1">
        <f t="array" ref="AN785">IF(ISBLANK(G785), 1, IFERROR(MATCH(G785, INDEX(Kat,,1), 0), IFERROR(MATCH(Kat, INDEX(Use,,2), 0), MATCH(Kat, INDEX(Use,,3), 0))))</f>
        <v>1</v>
      </c>
      <c r="AO785" s="246"/>
      <c r="AP785" s="228" cm="1">
        <f t="array" ref="AP785">IF(W785&gt;0, INDEX(Kat, AN785,4), 0)</f>
        <v>0</v>
      </c>
      <c r="AQ785" s="228">
        <f t="shared" si="850"/>
        <v>0</v>
      </c>
      <c r="AR785" s="228" cm="1">
        <f t="array" ref="AR785">IF(X785&gt;0, INDEX(Kat, $AN785, 4+AQ785), 0)</f>
        <v>0</v>
      </c>
      <c r="AS785" s="228" cm="1">
        <f t="array" ref="AS785">IF(X785&gt;0, INDEX(Kat, $AN785, 9+AQ785), 0)</f>
        <v>0</v>
      </c>
      <c r="AT785" s="246"/>
      <c r="AU785" s="262"/>
      <c r="AV785" s="262"/>
      <c r="AW785" s="263"/>
      <c r="AX785" s="263"/>
      <c r="AY785" s="263"/>
      <c r="AZ785" s="263"/>
      <c r="BA785" s="263"/>
      <c r="BB785" s="263"/>
      <c r="BC785" s="263"/>
      <c r="BD785" s="263"/>
      <c r="BE785" s="263"/>
      <c r="BF785" s="263"/>
      <c r="BG785" s="263"/>
      <c r="BH785" s="246"/>
      <c r="BI785" s="228" cm="1">
        <f t="array" ref="BI785">INDEX(Use, $AH785, 4)</f>
        <v>7</v>
      </c>
      <c r="BJ785" s="228">
        <f t="shared" si="826"/>
        <v>32</v>
      </c>
      <c r="BK785" s="228">
        <f t="shared" si="814"/>
        <v>13</v>
      </c>
      <c r="BL785" s="228">
        <f t="shared" si="815"/>
        <v>0</v>
      </c>
      <c r="BM785" s="233" cm="1">
        <f t="array" ref="BM785">L785/IF($M785&gt;0, INDEX($AY$22:$BE$76, $M785+20, $AH785), 1)</f>
        <v>0</v>
      </c>
      <c r="BN785" s="229">
        <f t="shared" si="827"/>
        <v>0</v>
      </c>
      <c r="BO785" s="228">
        <v>35</v>
      </c>
      <c r="BP785" s="229">
        <f t="shared" si="828"/>
        <v>48</v>
      </c>
      <c r="BQ785" s="234">
        <f t="shared" si="829"/>
        <v>3.0748170731707316</v>
      </c>
      <c r="BR785" s="234" cm="1">
        <f t="array" ref="BR785">$BM785 * SUMPRODUCT(INDEX($AV$76:$AX$81,,$AI785),INDEX($AY$76:$BE$81,,$AH785), N($AU$76:$AU$81&gt;$AM785)) / BQ785 / 1000</f>
        <v>0</v>
      </c>
      <c r="BS785" s="231">
        <f t="shared" si="816"/>
        <v>30</v>
      </c>
      <c r="BT785" s="229">
        <f t="shared" si="830"/>
        <v>43</v>
      </c>
      <c r="BU785" s="234">
        <f t="shared" si="831"/>
        <v>3.5018750000000001</v>
      </c>
      <c r="BV785" s="234" cm="1">
        <f t="array" ref="BV785">$BM785 * IF($AH785&lt;=2,
SUMPRODUCT(INDEX($AV$71:$AX$75,,$AI785), INDEX($AY$71:$BE$75,,$AH785), 1 / ($BF$71:$BF$75*BU785 + (1-$BF$71:$BF$75)*BQ785), N($AU$71:$AU$75&gt;$AM785)),
SUMPRODUCT(INDEX($AV$66:$AX$75,,$AI785), INDEX($AY$66:$BE$75,,$AH785), 1 / ($BG$66:$BG$75*BU785 + (1-$BG$66:$BG$75)*BQ785), N($AU$66:$AU$75&gt;$AM785))
) / 1000</f>
        <v>0</v>
      </c>
      <c r="BW785" s="231">
        <f t="shared" si="817"/>
        <v>25</v>
      </c>
      <c r="BX785" s="229">
        <f t="shared" si="832"/>
        <v>38</v>
      </c>
      <c r="BY785" s="234">
        <f t="shared" si="833"/>
        <v>4.0666935483870965</v>
      </c>
      <c r="BZ785" s="234" cm="1">
        <f t="array" ref="BZ785">$BM785 * IF($AH785&lt;=2,
SUMPRODUCT(INDEX($AV$66:$AX$70,,$AI785), INDEX($AY$66:$BE$70,,$AH785), 1 / ($BF$66:$BF$70*BY785 + (1-$BF$66:$BF$70)*BU785), N($AU$66:$AU$70&gt;$AM785)),
SUMPRODUCT(INDEX($AV$56:$AX$65,,$AI785), INDEX($AY$56:$BE$65,,$AH785), 1 / ($BG$56:$BG$65*BY785 + (1-$BG$56:$BG$65)*BU785), N($AU$56:$AU$65&gt;$AM785))
) / 1000</f>
        <v>0</v>
      </c>
      <c r="CA785" s="231">
        <f t="shared" si="818"/>
        <v>20</v>
      </c>
      <c r="CB785" s="229">
        <f t="shared" si="834"/>
        <v>33</v>
      </c>
      <c r="CC785" s="234">
        <f t="shared" si="835"/>
        <v>4.8487499999999999</v>
      </c>
      <c r="CD785" s="234" cm="1">
        <f t="array" ref="CD785">$BM785 * IF($AH785&lt;=2,
SUMPRODUCT(INDEX($AV$61:$AX$65,,$AI785), INDEX($AY$61:$BE$65,,$AH785), 1 / ($BF$61:$BF$65*CC785 + (1-$BF$61:$BF$65)*BY785), N($AU$61:$AU$65&gt;$AM785)),
SUMPRODUCT(INDEX($AV$46:$AX$55,,$AI785), INDEX($AY$46:$BE$55,,$AH785), 1 / ($BG$46:$BG$55*CC785 + (1-$BG$46:$BG$55)*BY785), N($AU$46:$AU$55&gt;$AM785))
) / 1000</f>
        <v>0</v>
      </c>
      <c r="CE785" s="234" cm="1">
        <f t="array" ref="CE785">$BM785 * IF($AH785&lt;=2,
SUMPRODUCT(INDEX($AV$22:$AX$60,,$AI785), INDEX($AY$22:$BE$60,,$AH785), 1 / ($BF$22:$BF$60*CC785), N($AU$22:$AU$60&gt;$AM785)),
SUMPRODUCT(INDEX($AV$22:$AX$45,,$AI785), INDEX($AY$22:$BE$45,,$AH785), 1 / ($BG$22:$BG$45*CC785), N($AU$22:$AU$45&gt;$AM785))
) / 1000</f>
        <v>0</v>
      </c>
      <c r="CF785" s="229">
        <f t="shared" si="836"/>
        <v>0</v>
      </c>
      <c r="CG785" s="246"/>
      <c r="CH785" s="229">
        <f t="shared" si="837"/>
        <v>0</v>
      </c>
      <c r="CI785" s="228">
        <v>35</v>
      </c>
      <c r="CJ785" s="229">
        <f t="shared" si="838"/>
        <v>48</v>
      </c>
      <c r="CK785" s="234">
        <f t="shared" si="839"/>
        <v>3.0748170731707316</v>
      </c>
      <c r="CL785" s="234" cm="1">
        <f t="array" ref="CL785">$BM785 * SUMPRODUCT(INDEX($AV$76:$AX$81,,$AI785),INDEX($AY$76:$BE$81,,$AH785), N($AU$76:$AU$81&gt;$AM785)) / CK785 / 1000</f>
        <v>0</v>
      </c>
      <c r="CM785" s="231">
        <f t="shared" si="819"/>
        <v>30</v>
      </c>
      <c r="CN785" s="229">
        <f t="shared" si="840"/>
        <v>43</v>
      </c>
      <c r="CO785" s="234">
        <f t="shared" si="841"/>
        <v>3.5018750000000001</v>
      </c>
      <c r="CP785" s="234" cm="1">
        <f t="array" ref="CP785">$BM785 * IF($AH785&lt;=2,
SUMPRODUCT(INDEX($AV$71:$AX$75,,$AI785), INDEX($AY$71:$BE$75,,$AH785), 1 / ($BF$71:$BF$75*CO785 + (1-$BF$71:$BF$75)*CK785), N($AU$71:$AU$75&gt;$AM785)),
SUMPRODUCT(INDEX($AV$66:$AX$75,,$AI785), INDEX($AY$66:$BE$75,,$AH785), 1 / ($BG$66:$BG$75*CO785 + (1-$BG$66:$BG$75)*CK785), N($AU$66:$AU$75&gt;$AM785))
) / 1000</f>
        <v>0</v>
      </c>
      <c r="CQ785" s="231">
        <f t="shared" si="820"/>
        <v>25</v>
      </c>
      <c r="CR785" s="229">
        <f t="shared" si="842"/>
        <v>38</v>
      </c>
      <c r="CS785" s="234">
        <f t="shared" si="843"/>
        <v>4.0666935483870965</v>
      </c>
      <c r="CT785" s="234" cm="1">
        <f t="array" ref="CT785">$BM785 * IF($AH785&lt;=2,
SUMPRODUCT(INDEX($AV$66:$AX$70,,$AI785), INDEX($AY$66:$BE$70,,$AH785), 1 / ($BF$66:$BF$70*CS785 + (1-$BF$66:$BF$70)*CO785), N($AU$66:$AU$70&gt;$AM785)),
SUMPRODUCT(INDEX($AV$56:$AX$65,,$AI785), INDEX($AY$56:$BE$65,,$AH785), 1 / ($BG$56:$BG$65*CS785 + (1-$BG$56:$BG$65)*CO785), N($AU$56:$AU$65&gt;$AM785))
) / 1000</f>
        <v>0</v>
      </c>
      <c r="CU785" s="231">
        <f t="shared" si="821"/>
        <v>20</v>
      </c>
      <c r="CV785" s="229">
        <f t="shared" si="844"/>
        <v>33</v>
      </c>
      <c r="CW785" s="234">
        <f t="shared" si="845"/>
        <v>4.8487499999999999</v>
      </c>
      <c r="CX785" s="234" cm="1">
        <f t="array" ref="CX785">$BM785 * IF($AH785&lt;=2,
SUMPRODUCT(INDEX($AV$61:$AX$65,,$AI785), INDEX($AY$61:$BE$65,,$AH785), 1 / ($BF$61:$BF$65*CW785 + (1-$BF$61:$BF$65)*CS785), N($AU$61:$AU$65&gt;$AM785)),
SUMPRODUCT(INDEX($AV$46:$AX$55,,$AI785), INDEX($AY$46:$BE$55,,$AH785), 1 / ($BG$46:$BG$55*CW785 + (1-$BG$46:$BG$55)*CS785), N($AU$46:$AU$55&gt;$AM785))
) / 1000</f>
        <v>0</v>
      </c>
      <c r="CY785" s="234" cm="1">
        <f t="array" ref="CY785">$BM785 * IF($AH785&lt;=2,
SUMPRODUCT(INDEX($AV$22:$AX$60,,$AI785), INDEX($AY$22:$BE$60,,$AH785), 1 / ($BF$22:$BF$60*CW785), N($AU$22:$AU$60&gt;$AM785)),
SUMPRODUCT(INDEX($AV$22:$AX$45,,$AI785), INDEX($AY$22:$BE$45,,$AH785), 1 / ($BG$22:$BG$45*CW785), N($AU$22:$AU$45&gt;$AM785))
) / 1000</f>
        <v>0</v>
      </c>
      <c r="CZ785" s="229">
        <f t="shared" si="846"/>
        <v>0</v>
      </c>
      <c r="DA785" s="246"/>
    </row>
    <row r="786" spans="1:105" s="75" customFormat="1" ht="14.25" customHeight="1" x14ac:dyDescent="0.2">
      <c r="A786" s="230" t="b">
        <f t="shared" si="813"/>
        <v>0</v>
      </c>
      <c r="B786" s="253">
        <v>765</v>
      </c>
      <c r="C786" s="266"/>
      <c r="D786" s="266"/>
      <c r="E786" s="254"/>
      <c r="F786" s="255" t="str">
        <f>IF(ISBLANK(E786), "", VLOOKUP(E786, Z!$A$2:$C$4127, 3, FALSE))</f>
        <v/>
      </c>
      <c r="G786" s="256"/>
      <c r="H786" s="256"/>
      <c r="I786" s="256"/>
      <c r="J786" s="257"/>
      <c r="K786" s="258"/>
      <c r="L786" s="267"/>
      <c r="M786" s="268"/>
      <c r="N786" s="259" t="str" cm="1">
        <f t="array" ref="N786">IF($L786&gt;0, INDEX(Clean,1+AK786,$D$1), "")</f>
        <v/>
      </c>
      <c r="O786" s="260"/>
      <c r="P786" s="260"/>
      <c r="Q786" s="261"/>
      <c r="R786" s="264">
        <f t="shared" si="822"/>
        <v>0</v>
      </c>
      <c r="S786" s="259" t="str" cm="1">
        <f t="array" ref="S786">IF($L786&gt;0, INDEX(Clean,1+AL786,$D$1), "")</f>
        <v/>
      </c>
      <c r="T786" s="260"/>
      <c r="U786" s="260"/>
      <c r="V786" s="261"/>
      <c r="W786" s="267"/>
      <c r="X786" s="267"/>
      <c r="Y786" s="257"/>
      <c r="Z786" s="264">
        <f t="shared" si="823"/>
        <v>0</v>
      </c>
      <c r="AA786" s="269"/>
      <c r="AB786" s="266"/>
      <c r="AC786" s="254"/>
      <c r="AD786" s="255" t="str">
        <f>IF(ISBLANK(AC786), "", VLOOKUP(AC786, Z!$A$2:$C$4127, 3, FALSE))</f>
        <v/>
      </c>
      <c r="AE786" s="270"/>
      <c r="AF786" s="265">
        <f t="shared" si="824"/>
        <v>0</v>
      </c>
      <c r="AG786" s="246"/>
      <c r="AH786" s="228">
        <f t="shared" si="847"/>
        <v>1</v>
      </c>
      <c r="AI786" s="228">
        <f t="shared" si="848"/>
        <v>1</v>
      </c>
      <c r="AJ786" s="228">
        <f t="shared" si="849"/>
        <v>0</v>
      </c>
      <c r="AK786" s="228">
        <v>0</v>
      </c>
      <c r="AL786" s="228">
        <v>0</v>
      </c>
      <c r="AM786" s="228">
        <f t="shared" si="825"/>
        <v>-100</v>
      </c>
      <c r="AN786" s="228" cm="1">
        <f t="array" ref="AN786">IF(ISBLANK(G786), 1, IFERROR(MATCH(G786, INDEX(Kat,,1), 0), IFERROR(MATCH(Kat, INDEX(Use,,2), 0), MATCH(Kat, INDEX(Use,,3), 0))))</f>
        <v>1</v>
      </c>
      <c r="AO786" s="246"/>
      <c r="AP786" s="228" cm="1">
        <f t="array" ref="AP786">IF(W786&gt;0, INDEX(Kat, AN786,4), 0)</f>
        <v>0</v>
      </c>
      <c r="AQ786" s="228">
        <f t="shared" si="850"/>
        <v>0</v>
      </c>
      <c r="AR786" s="228" cm="1">
        <f t="array" ref="AR786">IF(X786&gt;0, INDEX(Kat, $AN786, 4+AQ786), 0)</f>
        <v>0</v>
      </c>
      <c r="AS786" s="228" cm="1">
        <f t="array" ref="AS786">IF(X786&gt;0, INDEX(Kat, $AN786, 9+AQ786), 0)</f>
        <v>0</v>
      </c>
      <c r="AT786" s="246"/>
      <c r="AU786" s="262"/>
      <c r="AV786" s="262"/>
      <c r="AW786" s="263"/>
      <c r="AX786" s="263"/>
      <c r="AY786" s="263"/>
      <c r="AZ786" s="263"/>
      <c r="BA786" s="263"/>
      <c r="BB786" s="263"/>
      <c r="BC786" s="263"/>
      <c r="BD786" s="263"/>
      <c r="BE786" s="263"/>
      <c r="BF786" s="263"/>
      <c r="BG786" s="263"/>
      <c r="BH786" s="246"/>
      <c r="BI786" s="228" cm="1">
        <f t="array" ref="BI786">INDEX(Use, $AH786, 4)</f>
        <v>7</v>
      </c>
      <c r="BJ786" s="228">
        <f t="shared" si="826"/>
        <v>32</v>
      </c>
      <c r="BK786" s="228">
        <f t="shared" si="814"/>
        <v>13</v>
      </c>
      <c r="BL786" s="228">
        <f t="shared" si="815"/>
        <v>0</v>
      </c>
      <c r="BM786" s="233" cm="1">
        <f t="array" ref="BM786">L786/IF($M786&gt;0, INDEX($AY$22:$BE$76, $M786+20, $AH786), 1)</f>
        <v>0</v>
      </c>
      <c r="BN786" s="229">
        <f t="shared" si="827"/>
        <v>0</v>
      </c>
      <c r="BO786" s="228">
        <v>35</v>
      </c>
      <c r="BP786" s="229">
        <f t="shared" si="828"/>
        <v>48</v>
      </c>
      <c r="BQ786" s="234">
        <f t="shared" si="829"/>
        <v>3.0748170731707316</v>
      </c>
      <c r="BR786" s="234" cm="1">
        <f t="array" ref="BR786">$BM786 * SUMPRODUCT(INDEX($AV$76:$AX$81,,$AI786),INDEX($AY$76:$BE$81,,$AH786), N($AU$76:$AU$81&gt;$AM786)) / BQ786 / 1000</f>
        <v>0</v>
      </c>
      <c r="BS786" s="231">
        <f t="shared" si="816"/>
        <v>30</v>
      </c>
      <c r="BT786" s="229">
        <f t="shared" si="830"/>
        <v>43</v>
      </c>
      <c r="BU786" s="234">
        <f t="shared" si="831"/>
        <v>3.5018750000000001</v>
      </c>
      <c r="BV786" s="234" cm="1">
        <f t="array" ref="BV786">$BM786 * IF($AH786&lt;=2,
SUMPRODUCT(INDEX($AV$71:$AX$75,,$AI786), INDEX($AY$71:$BE$75,,$AH786), 1 / ($BF$71:$BF$75*BU786 + (1-$BF$71:$BF$75)*BQ786), N($AU$71:$AU$75&gt;$AM786)),
SUMPRODUCT(INDEX($AV$66:$AX$75,,$AI786), INDEX($AY$66:$BE$75,,$AH786), 1 / ($BG$66:$BG$75*BU786 + (1-$BG$66:$BG$75)*BQ786), N($AU$66:$AU$75&gt;$AM786))
) / 1000</f>
        <v>0</v>
      </c>
      <c r="BW786" s="231">
        <f t="shared" si="817"/>
        <v>25</v>
      </c>
      <c r="BX786" s="229">
        <f t="shared" si="832"/>
        <v>38</v>
      </c>
      <c r="BY786" s="234">
        <f t="shared" si="833"/>
        <v>4.0666935483870965</v>
      </c>
      <c r="BZ786" s="234" cm="1">
        <f t="array" ref="BZ786">$BM786 * IF($AH786&lt;=2,
SUMPRODUCT(INDEX($AV$66:$AX$70,,$AI786), INDEX($AY$66:$BE$70,,$AH786), 1 / ($BF$66:$BF$70*BY786 + (1-$BF$66:$BF$70)*BU786), N($AU$66:$AU$70&gt;$AM786)),
SUMPRODUCT(INDEX($AV$56:$AX$65,,$AI786), INDEX($AY$56:$BE$65,,$AH786), 1 / ($BG$56:$BG$65*BY786 + (1-$BG$56:$BG$65)*BU786), N($AU$56:$AU$65&gt;$AM786))
) / 1000</f>
        <v>0</v>
      </c>
      <c r="CA786" s="231">
        <f t="shared" si="818"/>
        <v>20</v>
      </c>
      <c r="CB786" s="229">
        <f t="shared" si="834"/>
        <v>33</v>
      </c>
      <c r="CC786" s="234">
        <f t="shared" si="835"/>
        <v>4.8487499999999999</v>
      </c>
      <c r="CD786" s="234" cm="1">
        <f t="array" ref="CD786">$BM786 * IF($AH786&lt;=2,
SUMPRODUCT(INDEX($AV$61:$AX$65,,$AI786), INDEX($AY$61:$BE$65,,$AH786), 1 / ($BF$61:$BF$65*CC786 + (1-$BF$61:$BF$65)*BY786), N($AU$61:$AU$65&gt;$AM786)),
SUMPRODUCT(INDEX($AV$46:$AX$55,,$AI786), INDEX($AY$46:$BE$55,,$AH786), 1 / ($BG$46:$BG$55*CC786 + (1-$BG$46:$BG$55)*BY786), N($AU$46:$AU$55&gt;$AM786))
) / 1000</f>
        <v>0</v>
      </c>
      <c r="CE786" s="234" cm="1">
        <f t="array" ref="CE786">$BM786 * IF($AH786&lt;=2,
SUMPRODUCT(INDEX($AV$22:$AX$60,,$AI786), INDEX($AY$22:$BE$60,,$AH786), 1 / ($BF$22:$BF$60*CC786), N($AU$22:$AU$60&gt;$AM786)),
SUMPRODUCT(INDEX($AV$22:$AX$45,,$AI786), INDEX($AY$22:$BE$45,,$AH786), 1 / ($BG$22:$BG$45*CC786), N($AU$22:$AU$45&gt;$AM786))
) / 1000</f>
        <v>0</v>
      </c>
      <c r="CF786" s="229">
        <f t="shared" si="836"/>
        <v>0</v>
      </c>
      <c r="CG786" s="246"/>
      <c r="CH786" s="229">
        <f t="shared" si="837"/>
        <v>0</v>
      </c>
      <c r="CI786" s="228">
        <v>35</v>
      </c>
      <c r="CJ786" s="229">
        <f t="shared" si="838"/>
        <v>48</v>
      </c>
      <c r="CK786" s="234">
        <f t="shared" si="839"/>
        <v>3.0748170731707316</v>
      </c>
      <c r="CL786" s="234" cm="1">
        <f t="array" ref="CL786">$BM786 * SUMPRODUCT(INDEX($AV$76:$AX$81,,$AI786),INDEX($AY$76:$BE$81,,$AH786), N($AU$76:$AU$81&gt;$AM786)) / CK786 / 1000</f>
        <v>0</v>
      </c>
      <c r="CM786" s="231">
        <f t="shared" si="819"/>
        <v>30</v>
      </c>
      <c r="CN786" s="229">
        <f t="shared" si="840"/>
        <v>43</v>
      </c>
      <c r="CO786" s="234">
        <f t="shared" si="841"/>
        <v>3.5018750000000001</v>
      </c>
      <c r="CP786" s="234" cm="1">
        <f t="array" ref="CP786">$BM786 * IF($AH786&lt;=2,
SUMPRODUCT(INDEX($AV$71:$AX$75,,$AI786), INDEX($AY$71:$BE$75,,$AH786), 1 / ($BF$71:$BF$75*CO786 + (1-$BF$71:$BF$75)*CK786), N($AU$71:$AU$75&gt;$AM786)),
SUMPRODUCT(INDEX($AV$66:$AX$75,,$AI786), INDEX($AY$66:$BE$75,,$AH786), 1 / ($BG$66:$BG$75*CO786 + (1-$BG$66:$BG$75)*CK786), N($AU$66:$AU$75&gt;$AM786))
) / 1000</f>
        <v>0</v>
      </c>
      <c r="CQ786" s="231">
        <f t="shared" si="820"/>
        <v>25</v>
      </c>
      <c r="CR786" s="229">
        <f t="shared" si="842"/>
        <v>38</v>
      </c>
      <c r="CS786" s="234">
        <f t="shared" si="843"/>
        <v>4.0666935483870965</v>
      </c>
      <c r="CT786" s="234" cm="1">
        <f t="array" ref="CT786">$BM786 * IF($AH786&lt;=2,
SUMPRODUCT(INDEX($AV$66:$AX$70,,$AI786), INDEX($AY$66:$BE$70,,$AH786), 1 / ($BF$66:$BF$70*CS786 + (1-$BF$66:$BF$70)*CO786), N($AU$66:$AU$70&gt;$AM786)),
SUMPRODUCT(INDEX($AV$56:$AX$65,,$AI786), INDEX($AY$56:$BE$65,,$AH786), 1 / ($BG$56:$BG$65*CS786 + (1-$BG$56:$BG$65)*CO786), N($AU$56:$AU$65&gt;$AM786))
) / 1000</f>
        <v>0</v>
      </c>
      <c r="CU786" s="231">
        <f t="shared" si="821"/>
        <v>20</v>
      </c>
      <c r="CV786" s="229">
        <f t="shared" si="844"/>
        <v>33</v>
      </c>
      <c r="CW786" s="234">
        <f t="shared" si="845"/>
        <v>4.8487499999999999</v>
      </c>
      <c r="CX786" s="234" cm="1">
        <f t="array" ref="CX786">$BM786 * IF($AH786&lt;=2,
SUMPRODUCT(INDEX($AV$61:$AX$65,,$AI786), INDEX($AY$61:$BE$65,,$AH786), 1 / ($BF$61:$BF$65*CW786 + (1-$BF$61:$BF$65)*CS786), N($AU$61:$AU$65&gt;$AM786)),
SUMPRODUCT(INDEX($AV$46:$AX$55,,$AI786), INDEX($AY$46:$BE$55,,$AH786), 1 / ($BG$46:$BG$55*CW786 + (1-$BG$46:$BG$55)*CS786), N($AU$46:$AU$55&gt;$AM786))
) / 1000</f>
        <v>0</v>
      </c>
      <c r="CY786" s="234" cm="1">
        <f t="array" ref="CY786">$BM786 * IF($AH786&lt;=2,
SUMPRODUCT(INDEX($AV$22:$AX$60,,$AI786), INDEX($AY$22:$BE$60,,$AH786), 1 / ($BF$22:$BF$60*CW786), N($AU$22:$AU$60&gt;$AM786)),
SUMPRODUCT(INDEX($AV$22:$AX$45,,$AI786), INDEX($AY$22:$BE$45,,$AH786), 1 / ($BG$22:$BG$45*CW786), N($AU$22:$AU$45&gt;$AM786))
) / 1000</f>
        <v>0</v>
      </c>
      <c r="CZ786" s="229">
        <f t="shared" si="846"/>
        <v>0</v>
      </c>
      <c r="DA786" s="246"/>
    </row>
    <row r="787" spans="1:105" s="75" customFormat="1" ht="14.25" customHeight="1" x14ac:dyDescent="0.2">
      <c r="A787" s="230" t="b">
        <f t="shared" si="813"/>
        <v>0</v>
      </c>
      <c r="B787" s="253">
        <v>766</v>
      </c>
      <c r="C787" s="266"/>
      <c r="D787" s="266"/>
      <c r="E787" s="254"/>
      <c r="F787" s="255" t="str">
        <f>IF(ISBLANK(E787), "", VLOOKUP(E787, Z!$A$2:$C$4127, 3, FALSE))</f>
        <v/>
      </c>
      <c r="G787" s="256"/>
      <c r="H787" s="256"/>
      <c r="I787" s="256"/>
      <c r="J787" s="257"/>
      <c r="K787" s="258"/>
      <c r="L787" s="267"/>
      <c r="M787" s="268"/>
      <c r="N787" s="259" t="str" cm="1">
        <f t="array" ref="N787">IF($L787&gt;0, INDEX(Clean,1+AK787,$D$1), "")</f>
        <v/>
      </c>
      <c r="O787" s="260"/>
      <c r="P787" s="260"/>
      <c r="Q787" s="261"/>
      <c r="R787" s="264">
        <f t="shared" si="822"/>
        <v>0</v>
      </c>
      <c r="S787" s="259" t="str" cm="1">
        <f t="array" ref="S787">IF($L787&gt;0, INDEX(Clean,1+AL787,$D$1), "")</f>
        <v/>
      </c>
      <c r="T787" s="260"/>
      <c r="U787" s="260"/>
      <c r="V787" s="261"/>
      <c r="W787" s="267"/>
      <c r="X787" s="267"/>
      <c r="Y787" s="257"/>
      <c r="Z787" s="264">
        <f t="shared" si="823"/>
        <v>0</v>
      </c>
      <c r="AA787" s="269"/>
      <c r="AB787" s="266"/>
      <c r="AC787" s="254"/>
      <c r="AD787" s="255" t="str">
        <f>IF(ISBLANK(AC787), "", VLOOKUP(AC787, Z!$A$2:$C$4127, 3, FALSE))</f>
        <v/>
      </c>
      <c r="AE787" s="270"/>
      <c r="AF787" s="265">
        <f t="shared" si="824"/>
        <v>0</v>
      </c>
      <c r="AG787" s="246"/>
      <c r="AH787" s="228">
        <f t="shared" si="847"/>
        <v>1</v>
      </c>
      <c r="AI787" s="228">
        <f t="shared" si="848"/>
        <v>1</v>
      </c>
      <c r="AJ787" s="228">
        <f t="shared" si="849"/>
        <v>0</v>
      </c>
      <c r="AK787" s="228">
        <v>0</v>
      </c>
      <c r="AL787" s="228">
        <v>0</v>
      </c>
      <c r="AM787" s="228">
        <f t="shared" si="825"/>
        <v>-100</v>
      </c>
      <c r="AN787" s="228" cm="1">
        <f t="array" ref="AN787">IF(ISBLANK(G787), 1, IFERROR(MATCH(G787, INDEX(Kat,,1), 0), IFERROR(MATCH(Kat, INDEX(Use,,2), 0), MATCH(Kat, INDEX(Use,,3), 0))))</f>
        <v>1</v>
      </c>
      <c r="AO787" s="246"/>
      <c r="AP787" s="228" cm="1">
        <f t="array" ref="AP787">IF(W787&gt;0, INDEX(Kat, AN787,4), 0)</f>
        <v>0</v>
      </c>
      <c r="AQ787" s="228">
        <f t="shared" si="850"/>
        <v>0</v>
      </c>
      <c r="AR787" s="228" cm="1">
        <f t="array" ref="AR787">IF(X787&gt;0, INDEX(Kat, $AN787, 4+AQ787), 0)</f>
        <v>0</v>
      </c>
      <c r="AS787" s="228" cm="1">
        <f t="array" ref="AS787">IF(X787&gt;0, INDEX(Kat, $AN787, 9+AQ787), 0)</f>
        <v>0</v>
      </c>
      <c r="AT787" s="246"/>
      <c r="AU787" s="262"/>
      <c r="AV787" s="262"/>
      <c r="AW787" s="263"/>
      <c r="AX787" s="263"/>
      <c r="AY787" s="263"/>
      <c r="AZ787" s="263"/>
      <c r="BA787" s="263"/>
      <c r="BB787" s="263"/>
      <c r="BC787" s="263"/>
      <c r="BD787" s="263"/>
      <c r="BE787" s="263"/>
      <c r="BF787" s="263"/>
      <c r="BG787" s="263"/>
      <c r="BH787" s="246"/>
      <c r="BI787" s="228" cm="1">
        <f t="array" ref="BI787">INDEX(Use, $AH787, 4)</f>
        <v>7</v>
      </c>
      <c r="BJ787" s="228">
        <f t="shared" si="826"/>
        <v>32</v>
      </c>
      <c r="BK787" s="228">
        <f t="shared" si="814"/>
        <v>13</v>
      </c>
      <c r="BL787" s="228">
        <f t="shared" si="815"/>
        <v>0</v>
      </c>
      <c r="BM787" s="233" cm="1">
        <f t="array" ref="BM787">L787/IF($M787&gt;0, INDEX($AY$22:$BE$76, $M787+20, $AH787), 1)</f>
        <v>0</v>
      </c>
      <c r="BN787" s="229">
        <f t="shared" si="827"/>
        <v>0</v>
      </c>
      <c r="BO787" s="228">
        <v>35</v>
      </c>
      <c r="BP787" s="229">
        <f t="shared" si="828"/>
        <v>48</v>
      </c>
      <c r="BQ787" s="234">
        <f t="shared" si="829"/>
        <v>3.0748170731707316</v>
      </c>
      <c r="BR787" s="234" cm="1">
        <f t="array" ref="BR787">$BM787 * SUMPRODUCT(INDEX($AV$76:$AX$81,,$AI787),INDEX($AY$76:$BE$81,,$AH787), N($AU$76:$AU$81&gt;$AM787)) / BQ787 / 1000</f>
        <v>0</v>
      </c>
      <c r="BS787" s="231">
        <f t="shared" si="816"/>
        <v>30</v>
      </c>
      <c r="BT787" s="229">
        <f t="shared" si="830"/>
        <v>43</v>
      </c>
      <c r="BU787" s="234">
        <f t="shared" si="831"/>
        <v>3.5018750000000001</v>
      </c>
      <c r="BV787" s="234" cm="1">
        <f t="array" ref="BV787">$BM787 * IF($AH787&lt;=2,
SUMPRODUCT(INDEX($AV$71:$AX$75,,$AI787), INDEX($AY$71:$BE$75,,$AH787), 1 / ($BF$71:$BF$75*BU787 + (1-$BF$71:$BF$75)*BQ787), N($AU$71:$AU$75&gt;$AM787)),
SUMPRODUCT(INDEX($AV$66:$AX$75,,$AI787), INDEX($AY$66:$BE$75,,$AH787), 1 / ($BG$66:$BG$75*BU787 + (1-$BG$66:$BG$75)*BQ787), N($AU$66:$AU$75&gt;$AM787))
) / 1000</f>
        <v>0</v>
      </c>
      <c r="BW787" s="231">
        <f t="shared" si="817"/>
        <v>25</v>
      </c>
      <c r="BX787" s="229">
        <f t="shared" si="832"/>
        <v>38</v>
      </c>
      <c r="BY787" s="234">
        <f t="shared" si="833"/>
        <v>4.0666935483870965</v>
      </c>
      <c r="BZ787" s="234" cm="1">
        <f t="array" ref="BZ787">$BM787 * IF($AH787&lt;=2,
SUMPRODUCT(INDEX($AV$66:$AX$70,,$AI787), INDEX($AY$66:$BE$70,,$AH787), 1 / ($BF$66:$BF$70*BY787 + (1-$BF$66:$BF$70)*BU787), N($AU$66:$AU$70&gt;$AM787)),
SUMPRODUCT(INDEX($AV$56:$AX$65,,$AI787), INDEX($AY$56:$BE$65,,$AH787), 1 / ($BG$56:$BG$65*BY787 + (1-$BG$56:$BG$65)*BU787), N($AU$56:$AU$65&gt;$AM787))
) / 1000</f>
        <v>0</v>
      </c>
      <c r="CA787" s="231">
        <f t="shared" si="818"/>
        <v>20</v>
      </c>
      <c r="CB787" s="229">
        <f t="shared" si="834"/>
        <v>33</v>
      </c>
      <c r="CC787" s="234">
        <f t="shared" si="835"/>
        <v>4.8487499999999999</v>
      </c>
      <c r="CD787" s="234" cm="1">
        <f t="array" ref="CD787">$BM787 * IF($AH787&lt;=2,
SUMPRODUCT(INDEX($AV$61:$AX$65,,$AI787), INDEX($AY$61:$BE$65,,$AH787), 1 / ($BF$61:$BF$65*CC787 + (1-$BF$61:$BF$65)*BY787), N($AU$61:$AU$65&gt;$AM787)),
SUMPRODUCT(INDEX($AV$46:$AX$55,,$AI787), INDEX($AY$46:$BE$55,,$AH787), 1 / ($BG$46:$BG$55*CC787 + (1-$BG$46:$BG$55)*BY787), N($AU$46:$AU$55&gt;$AM787))
) / 1000</f>
        <v>0</v>
      </c>
      <c r="CE787" s="234" cm="1">
        <f t="array" ref="CE787">$BM787 * IF($AH787&lt;=2,
SUMPRODUCT(INDEX($AV$22:$AX$60,,$AI787), INDEX($AY$22:$BE$60,,$AH787), 1 / ($BF$22:$BF$60*CC787), N($AU$22:$AU$60&gt;$AM787)),
SUMPRODUCT(INDEX($AV$22:$AX$45,,$AI787), INDEX($AY$22:$BE$45,,$AH787), 1 / ($BG$22:$BG$45*CC787), N($AU$22:$AU$45&gt;$AM787))
) / 1000</f>
        <v>0</v>
      </c>
      <c r="CF787" s="229">
        <f t="shared" si="836"/>
        <v>0</v>
      </c>
      <c r="CG787" s="246"/>
      <c r="CH787" s="229">
        <f t="shared" si="837"/>
        <v>0</v>
      </c>
      <c r="CI787" s="228">
        <v>35</v>
      </c>
      <c r="CJ787" s="229">
        <f t="shared" si="838"/>
        <v>48</v>
      </c>
      <c r="CK787" s="234">
        <f t="shared" si="839"/>
        <v>3.0748170731707316</v>
      </c>
      <c r="CL787" s="234" cm="1">
        <f t="array" ref="CL787">$BM787 * SUMPRODUCT(INDEX($AV$76:$AX$81,,$AI787),INDEX($AY$76:$BE$81,,$AH787), N($AU$76:$AU$81&gt;$AM787)) / CK787 / 1000</f>
        <v>0</v>
      </c>
      <c r="CM787" s="231">
        <f t="shared" si="819"/>
        <v>30</v>
      </c>
      <c r="CN787" s="229">
        <f t="shared" si="840"/>
        <v>43</v>
      </c>
      <c r="CO787" s="234">
        <f t="shared" si="841"/>
        <v>3.5018750000000001</v>
      </c>
      <c r="CP787" s="234" cm="1">
        <f t="array" ref="CP787">$BM787 * IF($AH787&lt;=2,
SUMPRODUCT(INDEX($AV$71:$AX$75,,$AI787), INDEX($AY$71:$BE$75,,$AH787), 1 / ($BF$71:$BF$75*CO787 + (1-$BF$71:$BF$75)*CK787), N($AU$71:$AU$75&gt;$AM787)),
SUMPRODUCT(INDEX($AV$66:$AX$75,,$AI787), INDEX($AY$66:$BE$75,,$AH787), 1 / ($BG$66:$BG$75*CO787 + (1-$BG$66:$BG$75)*CK787), N($AU$66:$AU$75&gt;$AM787))
) / 1000</f>
        <v>0</v>
      </c>
      <c r="CQ787" s="231">
        <f t="shared" si="820"/>
        <v>25</v>
      </c>
      <c r="CR787" s="229">
        <f t="shared" si="842"/>
        <v>38</v>
      </c>
      <c r="CS787" s="234">
        <f t="shared" si="843"/>
        <v>4.0666935483870965</v>
      </c>
      <c r="CT787" s="234" cm="1">
        <f t="array" ref="CT787">$BM787 * IF($AH787&lt;=2,
SUMPRODUCT(INDEX($AV$66:$AX$70,,$AI787), INDEX($AY$66:$BE$70,,$AH787), 1 / ($BF$66:$BF$70*CS787 + (1-$BF$66:$BF$70)*CO787), N($AU$66:$AU$70&gt;$AM787)),
SUMPRODUCT(INDEX($AV$56:$AX$65,,$AI787), INDEX($AY$56:$BE$65,,$AH787), 1 / ($BG$56:$BG$65*CS787 + (1-$BG$56:$BG$65)*CO787), N($AU$56:$AU$65&gt;$AM787))
) / 1000</f>
        <v>0</v>
      </c>
      <c r="CU787" s="231">
        <f t="shared" si="821"/>
        <v>20</v>
      </c>
      <c r="CV787" s="229">
        <f t="shared" si="844"/>
        <v>33</v>
      </c>
      <c r="CW787" s="234">
        <f t="shared" si="845"/>
        <v>4.8487499999999999</v>
      </c>
      <c r="CX787" s="234" cm="1">
        <f t="array" ref="CX787">$BM787 * IF($AH787&lt;=2,
SUMPRODUCT(INDEX($AV$61:$AX$65,,$AI787), INDEX($AY$61:$BE$65,,$AH787), 1 / ($BF$61:$BF$65*CW787 + (1-$BF$61:$BF$65)*CS787), N($AU$61:$AU$65&gt;$AM787)),
SUMPRODUCT(INDEX($AV$46:$AX$55,,$AI787), INDEX($AY$46:$BE$55,,$AH787), 1 / ($BG$46:$BG$55*CW787 + (1-$BG$46:$BG$55)*CS787), N($AU$46:$AU$55&gt;$AM787))
) / 1000</f>
        <v>0</v>
      </c>
      <c r="CY787" s="234" cm="1">
        <f t="array" ref="CY787">$BM787 * IF($AH787&lt;=2,
SUMPRODUCT(INDEX($AV$22:$AX$60,,$AI787), INDEX($AY$22:$BE$60,,$AH787), 1 / ($BF$22:$BF$60*CW787), N($AU$22:$AU$60&gt;$AM787)),
SUMPRODUCT(INDEX($AV$22:$AX$45,,$AI787), INDEX($AY$22:$BE$45,,$AH787), 1 / ($BG$22:$BG$45*CW787), N($AU$22:$AU$45&gt;$AM787))
) / 1000</f>
        <v>0</v>
      </c>
      <c r="CZ787" s="229">
        <f t="shared" si="846"/>
        <v>0</v>
      </c>
      <c r="DA787" s="246"/>
    </row>
    <row r="788" spans="1:105" s="75" customFormat="1" ht="14.25" customHeight="1" x14ac:dyDescent="0.2">
      <c r="A788" s="230" t="b">
        <f t="shared" si="813"/>
        <v>0</v>
      </c>
      <c r="B788" s="253">
        <v>767</v>
      </c>
      <c r="C788" s="266"/>
      <c r="D788" s="266"/>
      <c r="E788" s="254"/>
      <c r="F788" s="255" t="str">
        <f>IF(ISBLANK(E788), "", VLOOKUP(E788, Z!$A$2:$C$4127, 3, FALSE))</f>
        <v/>
      </c>
      <c r="G788" s="256"/>
      <c r="H788" s="256"/>
      <c r="I788" s="256"/>
      <c r="J788" s="257"/>
      <c r="K788" s="258"/>
      <c r="L788" s="267"/>
      <c r="M788" s="268"/>
      <c r="N788" s="259" t="str" cm="1">
        <f t="array" ref="N788">IF($L788&gt;0, INDEX(Clean,1+AK788,$D$1), "")</f>
        <v/>
      </c>
      <c r="O788" s="260"/>
      <c r="P788" s="260"/>
      <c r="Q788" s="261"/>
      <c r="R788" s="264">
        <f t="shared" si="822"/>
        <v>0</v>
      </c>
      <c r="S788" s="259" t="str" cm="1">
        <f t="array" ref="S788">IF($L788&gt;0, INDEX(Clean,1+AL788,$D$1), "")</f>
        <v/>
      </c>
      <c r="T788" s="260"/>
      <c r="U788" s="260"/>
      <c r="V788" s="261"/>
      <c r="W788" s="267"/>
      <c r="X788" s="267"/>
      <c r="Y788" s="257"/>
      <c r="Z788" s="264">
        <f t="shared" si="823"/>
        <v>0</v>
      </c>
      <c r="AA788" s="269"/>
      <c r="AB788" s="266"/>
      <c r="AC788" s="254"/>
      <c r="AD788" s="255" t="str">
        <f>IF(ISBLANK(AC788), "", VLOOKUP(AC788, Z!$A$2:$C$4127, 3, FALSE))</f>
        <v/>
      </c>
      <c r="AE788" s="270"/>
      <c r="AF788" s="265">
        <f t="shared" si="824"/>
        <v>0</v>
      </c>
      <c r="AG788" s="246"/>
      <c r="AH788" s="228">
        <f t="shared" si="847"/>
        <v>1</v>
      </c>
      <c r="AI788" s="228">
        <f t="shared" si="848"/>
        <v>1</v>
      </c>
      <c r="AJ788" s="228">
        <f t="shared" si="849"/>
        <v>0</v>
      </c>
      <c r="AK788" s="228">
        <v>0</v>
      </c>
      <c r="AL788" s="228">
        <v>0</v>
      </c>
      <c r="AM788" s="228">
        <f t="shared" si="825"/>
        <v>-100</v>
      </c>
      <c r="AN788" s="228" cm="1">
        <f t="array" ref="AN788">IF(ISBLANK(G788), 1, IFERROR(MATCH(G788, INDEX(Kat,,1), 0), IFERROR(MATCH(Kat, INDEX(Use,,2), 0), MATCH(Kat, INDEX(Use,,3), 0))))</f>
        <v>1</v>
      </c>
      <c r="AO788" s="246"/>
      <c r="AP788" s="228" cm="1">
        <f t="array" ref="AP788">IF(W788&gt;0, INDEX(Kat, AN788,4), 0)</f>
        <v>0</v>
      </c>
      <c r="AQ788" s="228">
        <f t="shared" si="850"/>
        <v>0</v>
      </c>
      <c r="AR788" s="228" cm="1">
        <f t="array" ref="AR788">IF(X788&gt;0, INDEX(Kat, $AN788, 4+AQ788), 0)</f>
        <v>0</v>
      </c>
      <c r="AS788" s="228" cm="1">
        <f t="array" ref="AS788">IF(X788&gt;0, INDEX(Kat, $AN788, 9+AQ788), 0)</f>
        <v>0</v>
      </c>
      <c r="AT788" s="246"/>
      <c r="AU788" s="262"/>
      <c r="AV788" s="262"/>
      <c r="AW788" s="263"/>
      <c r="AX788" s="263"/>
      <c r="AY788" s="263"/>
      <c r="AZ788" s="263"/>
      <c r="BA788" s="263"/>
      <c r="BB788" s="263"/>
      <c r="BC788" s="263"/>
      <c r="BD788" s="263"/>
      <c r="BE788" s="263"/>
      <c r="BF788" s="263"/>
      <c r="BG788" s="263"/>
      <c r="BH788" s="246"/>
      <c r="BI788" s="228" cm="1">
        <f t="array" ref="BI788">INDEX(Use, $AH788, 4)</f>
        <v>7</v>
      </c>
      <c r="BJ788" s="228">
        <f t="shared" si="826"/>
        <v>32</v>
      </c>
      <c r="BK788" s="228">
        <f t="shared" si="814"/>
        <v>13</v>
      </c>
      <c r="BL788" s="228">
        <f t="shared" si="815"/>
        <v>0</v>
      </c>
      <c r="BM788" s="233" cm="1">
        <f t="array" ref="BM788">L788/IF($M788&gt;0, INDEX($AY$22:$BE$76, $M788+20, $AH788), 1)</f>
        <v>0</v>
      </c>
      <c r="BN788" s="229">
        <f t="shared" si="827"/>
        <v>0</v>
      </c>
      <c r="BO788" s="228">
        <v>35</v>
      </c>
      <c r="BP788" s="229">
        <f t="shared" si="828"/>
        <v>48</v>
      </c>
      <c r="BQ788" s="234">
        <f t="shared" si="829"/>
        <v>3.0748170731707316</v>
      </c>
      <c r="BR788" s="234" cm="1">
        <f t="array" ref="BR788">$BM788 * SUMPRODUCT(INDEX($AV$76:$AX$81,,$AI788),INDEX($AY$76:$BE$81,,$AH788), N($AU$76:$AU$81&gt;$AM788)) / BQ788 / 1000</f>
        <v>0</v>
      </c>
      <c r="BS788" s="231">
        <f t="shared" si="816"/>
        <v>30</v>
      </c>
      <c r="BT788" s="229">
        <f t="shared" si="830"/>
        <v>43</v>
      </c>
      <c r="BU788" s="234">
        <f t="shared" si="831"/>
        <v>3.5018750000000001</v>
      </c>
      <c r="BV788" s="234" cm="1">
        <f t="array" ref="BV788">$BM788 * IF($AH788&lt;=2,
SUMPRODUCT(INDEX($AV$71:$AX$75,,$AI788), INDEX($AY$71:$BE$75,,$AH788), 1 / ($BF$71:$BF$75*BU788 + (1-$BF$71:$BF$75)*BQ788), N($AU$71:$AU$75&gt;$AM788)),
SUMPRODUCT(INDEX($AV$66:$AX$75,,$AI788), INDEX($AY$66:$BE$75,,$AH788), 1 / ($BG$66:$BG$75*BU788 + (1-$BG$66:$BG$75)*BQ788), N($AU$66:$AU$75&gt;$AM788))
) / 1000</f>
        <v>0</v>
      </c>
      <c r="BW788" s="231">
        <f t="shared" si="817"/>
        <v>25</v>
      </c>
      <c r="BX788" s="229">
        <f t="shared" si="832"/>
        <v>38</v>
      </c>
      <c r="BY788" s="234">
        <f t="shared" si="833"/>
        <v>4.0666935483870965</v>
      </c>
      <c r="BZ788" s="234" cm="1">
        <f t="array" ref="BZ788">$BM788 * IF($AH788&lt;=2,
SUMPRODUCT(INDEX($AV$66:$AX$70,,$AI788), INDEX($AY$66:$BE$70,,$AH788), 1 / ($BF$66:$BF$70*BY788 + (1-$BF$66:$BF$70)*BU788), N($AU$66:$AU$70&gt;$AM788)),
SUMPRODUCT(INDEX($AV$56:$AX$65,,$AI788), INDEX($AY$56:$BE$65,,$AH788), 1 / ($BG$56:$BG$65*BY788 + (1-$BG$56:$BG$65)*BU788), N($AU$56:$AU$65&gt;$AM788))
) / 1000</f>
        <v>0</v>
      </c>
      <c r="CA788" s="231">
        <f t="shared" si="818"/>
        <v>20</v>
      </c>
      <c r="CB788" s="229">
        <f t="shared" si="834"/>
        <v>33</v>
      </c>
      <c r="CC788" s="234">
        <f t="shared" si="835"/>
        <v>4.8487499999999999</v>
      </c>
      <c r="CD788" s="234" cm="1">
        <f t="array" ref="CD788">$BM788 * IF($AH788&lt;=2,
SUMPRODUCT(INDEX($AV$61:$AX$65,,$AI788), INDEX($AY$61:$BE$65,,$AH788), 1 / ($BF$61:$BF$65*CC788 + (1-$BF$61:$BF$65)*BY788), N($AU$61:$AU$65&gt;$AM788)),
SUMPRODUCT(INDEX($AV$46:$AX$55,,$AI788), INDEX($AY$46:$BE$55,,$AH788), 1 / ($BG$46:$BG$55*CC788 + (1-$BG$46:$BG$55)*BY788), N($AU$46:$AU$55&gt;$AM788))
) / 1000</f>
        <v>0</v>
      </c>
      <c r="CE788" s="234" cm="1">
        <f t="array" ref="CE788">$BM788 * IF($AH788&lt;=2,
SUMPRODUCT(INDEX($AV$22:$AX$60,,$AI788), INDEX($AY$22:$BE$60,,$AH788), 1 / ($BF$22:$BF$60*CC788), N($AU$22:$AU$60&gt;$AM788)),
SUMPRODUCT(INDEX($AV$22:$AX$45,,$AI788), INDEX($AY$22:$BE$45,,$AH788), 1 / ($BG$22:$BG$45*CC788), N($AU$22:$AU$45&gt;$AM788))
) / 1000</f>
        <v>0</v>
      </c>
      <c r="CF788" s="229">
        <f t="shared" si="836"/>
        <v>0</v>
      </c>
      <c r="CG788" s="246"/>
      <c r="CH788" s="229">
        <f t="shared" si="837"/>
        <v>0</v>
      </c>
      <c r="CI788" s="228">
        <v>35</v>
      </c>
      <c r="CJ788" s="229">
        <f t="shared" si="838"/>
        <v>48</v>
      </c>
      <c r="CK788" s="234">
        <f t="shared" si="839"/>
        <v>3.0748170731707316</v>
      </c>
      <c r="CL788" s="234" cm="1">
        <f t="array" ref="CL788">$BM788 * SUMPRODUCT(INDEX($AV$76:$AX$81,,$AI788),INDEX($AY$76:$BE$81,,$AH788), N($AU$76:$AU$81&gt;$AM788)) / CK788 / 1000</f>
        <v>0</v>
      </c>
      <c r="CM788" s="231">
        <f t="shared" si="819"/>
        <v>30</v>
      </c>
      <c r="CN788" s="229">
        <f t="shared" si="840"/>
        <v>43</v>
      </c>
      <c r="CO788" s="234">
        <f t="shared" si="841"/>
        <v>3.5018750000000001</v>
      </c>
      <c r="CP788" s="234" cm="1">
        <f t="array" ref="CP788">$BM788 * IF($AH788&lt;=2,
SUMPRODUCT(INDEX($AV$71:$AX$75,,$AI788), INDEX($AY$71:$BE$75,,$AH788), 1 / ($BF$71:$BF$75*CO788 + (1-$BF$71:$BF$75)*CK788), N($AU$71:$AU$75&gt;$AM788)),
SUMPRODUCT(INDEX($AV$66:$AX$75,,$AI788), INDEX($AY$66:$BE$75,,$AH788), 1 / ($BG$66:$BG$75*CO788 + (1-$BG$66:$BG$75)*CK788), N($AU$66:$AU$75&gt;$AM788))
) / 1000</f>
        <v>0</v>
      </c>
      <c r="CQ788" s="231">
        <f t="shared" si="820"/>
        <v>25</v>
      </c>
      <c r="CR788" s="229">
        <f t="shared" si="842"/>
        <v>38</v>
      </c>
      <c r="CS788" s="234">
        <f t="shared" si="843"/>
        <v>4.0666935483870965</v>
      </c>
      <c r="CT788" s="234" cm="1">
        <f t="array" ref="CT788">$BM788 * IF($AH788&lt;=2,
SUMPRODUCT(INDEX($AV$66:$AX$70,,$AI788), INDEX($AY$66:$BE$70,,$AH788), 1 / ($BF$66:$BF$70*CS788 + (1-$BF$66:$BF$70)*CO788), N($AU$66:$AU$70&gt;$AM788)),
SUMPRODUCT(INDEX($AV$56:$AX$65,,$AI788), INDEX($AY$56:$BE$65,,$AH788), 1 / ($BG$56:$BG$65*CS788 + (1-$BG$56:$BG$65)*CO788), N($AU$56:$AU$65&gt;$AM788))
) / 1000</f>
        <v>0</v>
      </c>
      <c r="CU788" s="231">
        <f t="shared" si="821"/>
        <v>20</v>
      </c>
      <c r="CV788" s="229">
        <f t="shared" si="844"/>
        <v>33</v>
      </c>
      <c r="CW788" s="234">
        <f t="shared" si="845"/>
        <v>4.8487499999999999</v>
      </c>
      <c r="CX788" s="234" cm="1">
        <f t="array" ref="CX788">$BM788 * IF($AH788&lt;=2,
SUMPRODUCT(INDEX($AV$61:$AX$65,,$AI788), INDEX($AY$61:$BE$65,,$AH788), 1 / ($BF$61:$BF$65*CW788 + (1-$BF$61:$BF$65)*CS788), N($AU$61:$AU$65&gt;$AM788)),
SUMPRODUCT(INDEX($AV$46:$AX$55,,$AI788), INDEX($AY$46:$BE$55,,$AH788), 1 / ($BG$46:$BG$55*CW788 + (1-$BG$46:$BG$55)*CS788), N($AU$46:$AU$55&gt;$AM788))
) / 1000</f>
        <v>0</v>
      </c>
      <c r="CY788" s="234" cm="1">
        <f t="array" ref="CY788">$BM788 * IF($AH788&lt;=2,
SUMPRODUCT(INDEX($AV$22:$AX$60,,$AI788), INDEX($AY$22:$BE$60,,$AH788), 1 / ($BF$22:$BF$60*CW788), N($AU$22:$AU$60&gt;$AM788)),
SUMPRODUCT(INDEX($AV$22:$AX$45,,$AI788), INDEX($AY$22:$BE$45,,$AH788), 1 / ($BG$22:$BG$45*CW788), N($AU$22:$AU$45&gt;$AM788))
) / 1000</f>
        <v>0</v>
      </c>
      <c r="CZ788" s="229">
        <f t="shared" si="846"/>
        <v>0</v>
      </c>
      <c r="DA788" s="246"/>
    </row>
    <row r="789" spans="1:105" s="75" customFormat="1" ht="14.25" customHeight="1" x14ac:dyDescent="0.2">
      <c r="A789" s="230" t="b">
        <f t="shared" ref="A789:A852" si="851">IF(OR(AND($L789&gt;80, $AH789=1), AND($L789&gt;40, $AH789=3), AND($L789&gt;30, $AH789=4),), TRUE, FALSE)</f>
        <v>0</v>
      </c>
      <c r="B789" s="253">
        <v>768</v>
      </c>
      <c r="C789" s="266"/>
      <c r="D789" s="266"/>
      <c r="E789" s="254"/>
      <c r="F789" s="255" t="str">
        <f>IF(ISBLANK(E789), "", VLOOKUP(E789, Z!$A$2:$C$4127, 3, FALSE))</f>
        <v/>
      </c>
      <c r="G789" s="256"/>
      <c r="H789" s="256"/>
      <c r="I789" s="256"/>
      <c r="J789" s="257"/>
      <c r="K789" s="258"/>
      <c r="L789" s="267"/>
      <c r="M789" s="268"/>
      <c r="N789" s="259" t="str" cm="1">
        <f t="array" ref="N789">IF($L789&gt;0, INDEX(Clean,1+AK789,$D$1), "")</f>
        <v/>
      </c>
      <c r="O789" s="260"/>
      <c r="P789" s="260"/>
      <c r="Q789" s="261"/>
      <c r="R789" s="264">
        <f t="shared" si="822"/>
        <v>0</v>
      </c>
      <c r="S789" s="259" t="str" cm="1">
        <f t="array" ref="S789">IF($L789&gt;0, INDEX(Clean,1+AL789,$D$1), "")</f>
        <v/>
      </c>
      <c r="T789" s="260"/>
      <c r="U789" s="260"/>
      <c r="V789" s="261"/>
      <c r="W789" s="267"/>
      <c r="X789" s="267"/>
      <c r="Y789" s="257"/>
      <c r="Z789" s="264">
        <f t="shared" si="823"/>
        <v>0</v>
      </c>
      <c r="AA789" s="269"/>
      <c r="AB789" s="266"/>
      <c r="AC789" s="254"/>
      <c r="AD789" s="255" t="str">
        <f>IF(ISBLANK(AC789), "", VLOOKUP(AC789, Z!$A$2:$C$4127, 3, FALSE))</f>
        <v/>
      </c>
      <c r="AE789" s="270"/>
      <c r="AF789" s="265">
        <f t="shared" si="824"/>
        <v>0</v>
      </c>
      <c r="AG789" s="246"/>
      <c r="AH789" s="228">
        <f t="shared" si="847"/>
        <v>1</v>
      </c>
      <c r="AI789" s="228">
        <f t="shared" si="848"/>
        <v>1</v>
      </c>
      <c r="AJ789" s="228">
        <f t="shared" si="849"/>
        <v>0</v>
      </c>
      <c r="AK789" s="228">
        <v>0</v>
      </c>
      <c r="AL789" s="228">
        <v>0</v>
      </c>
      <c r="AM789" s="228">
        <f t="shared" si="825"/>
        <v>-100</v>
      </c>
      <c r="AN789" s="228" cm="1">
        <f t="array" ref="AN789">IF(ISBLANK(G789), 1, IFERROR(MATCH(G789, INDEX(Kat,,1), 0), IFERROR(MATCH(Kat, INDEX(Use,,2), 0), MATCH(Kat, INDEX(Use,,3), 0))))</f>
        <v>1</v>
      </c>
      <c r="AO789" s="246"/>
      <c r="AP789" s="228" cm="1">
        <f t="array" ref="AP789">IF(W789&gt;0, INDEX(Kat, AN789,4), 0)</f>
        <v>0</v>
      </c>
      <c r="AQ789" s="228">
        <f t="shared" si="850"/>
        <v>0</v>
      </c>
      <c r="AR789" s="228" cm="1">
        <f t="array" ref="AR789">IF(X789&gt;0, INDEX(Kat, $AN789, 4+AQ789), 0)</f>
        <v>0</v>
      </c>
      <c r="AS789" s="228" cm="1">
        <f t="array" ref="AS789">IF(X789&gt;0, INDEX(Kat, $AN789, 9+AQ789), 0)</f>
        <v>0</v>
      </c>
      <c r="AT789" s="246"/>
      <c r="AU789" s="262"/>
      <c r="AV789" s="262"/>
      <c r="AW789" s="263"/>
      <c r="AX789" s="263"/>
      <c r="AY789" s="263"/>
      <c r="AZ789" s="263"/>
      <c r="BA789" s="263"/>
      <c r="BB789" s="263"/>
      <c r="BC789" s="263"/>
      <c r="BD789" s="263"/>
      <c r="BE789" s="263"/>
      <c r="BF789" s="263"/>
      <c r="BG789" s="263"/>
      <c r="BH789" s="246"/>
      <c r="BI789" s="228" cm="1">
        <f t="array" ref="BI789">INDEX(Use, $AH789, 4)</f>
        <v>7</v>
      </c>
      <c r="BJ789" s="228">
        <f t="shared" si="826"/>
        <v>32</v>
      </c>
      <c r="BK789" s="228">
        <f t="shared" si="814"/>
        <v>13</v>
      </c>
      <c r="BL789" s="228">
        <f t="shared" si="815"/>
        <v>0</v>
      </c>
      <c r="BM789" s="233" cm="1">
        <f t="array" ref="BM789">L789/IF($M789&gt;0, INDEX($AY$22:$BE$76, $M789+20, $AH789), 1)</f>
        <v>0</v>
      </c>
      <c r="BN789" s="229">
        <f t="shared" si="827"/>
        <v>0</v>
      </c>
      <c r="BO789" s="228">
        <v>35</v>
      </c>
      <c r="BP789" s="229">
        <f t="shared" si="828"/>
        <v>48</v>
      </c>
      <c r="BQ789" s="234">
        <f t="shared" si="829"/>
        <v>3.0748170731707316</v>
      </c>
      <c r="BR789" s="234" cm="1">
        <f t="array" ref="BR789">$BM789 * SUMPRODUCT(INDEX($AV$76:$AX$81,,$AI789),INDEX($AY$76:$BE$81,,$AH789), N($AU$76:$AU$81&gt;$AM789)) / BQ789 / 1000</f>
        <v>0</v>
      </c>
      <c r="BS789" s="231">
        <f t="shared" si="816"/>
        <v>30</v>
      </c>
      <c r="BT789" s="229">
        <f t="shared" si="830"/>
        <v>43</v>
      </c>
      <c r="BU789" s="234">
        <f t="shared" si="831"/>
        <v>3.5018750000000001</v>
      </c>
      <c r="BV789" s="234" cm="1">
        <f t="array" ref="BV789">$BM789 * IF($AH789&lt;=2,
SUMPRODUCT(INDEX($AV$71:$AX$75,,$AI789), INDEX($AY$71:$BE$75,,$AH789), 1 / ($BF$71:$BF$75*BU789 + (1-$BF$71:$BF$75)*BQ789), N($AU$71:$AU$75&gt;$AM789)),
SUMPRODUCT(INDEX($AV$66:$AX$75,,$AI789), INDEX($AY$66:$BE$75,,$AH789), 1 / ($BG$66:$BG$75*BU789 + (1-$BG$66:$BG$75)*BQ789), N($AU$66:$AU$75&gt;$AM789))
) / 1000</f>
        <v>0</v>
      </c>
      <c r="BW789" s="231">
        <f t="shared" si="817"/>
        <v>25</v>
      </c>
      <c r="BX789" s="229">
        <f t="shared" si="832"/>
        <v>38</v>
      </c>
      <c r="BY789" s="234">
        <f t="shared" si="833"/>
        <v>4.0666935483870965</v>
      </c>
      <c r="BZ789" s="234" cm="1">
        <f t="array" ref="BZ789">$BM789 * IF($AH789&lt;=2,
SUMPRODUCT(INDEX($AV$66:$AX$70,,$AI789), INDEX($AY$66:$BE$70,,$AH789), 1 / ($BF$66:$BF$70*BY789 + (1-$BF$66:$BF$70)*BU789), N($AU$66:$AU$70&gt;$AM789)),
SUMPRODUCT(INDEX($AV$56:$AX$65,,$AI789), INDEX($AY$56:$BE$65,,$AH789), 1 / ($BG$56:$BG$65*BY789 + (1-$BG$56:$BG$65)*BU789), N($AU$56:$AU$65&gt;$AM789))
) / 1000</f>
        <v>0</v>
      </c>
      <c r="CA789" s="231">
        <f t="shared" si="818"/>
        <v>20</v>
      </c>
      <c r="CB789" s="229">
        <f t="shared" si="834"/>
        <v>33</v>
      </c>
      <c r="CC789" s="234">
        <f t="shared" si="835"/>
        <v>4.8487499999999999</v>
      </c>
      <c r="CD789" s="234" cm="1">
        <f t="array" ref="CD789">$BM789 * IF($AH789&lt;=2,
SUMPRODUCT(INDEX($AV$61:$AX$65,,$AI789), INDEX($AY$61:$BE$65,,$AH789), 1 / ($BF$61:$BF$65*CC789 + (1-$BF$61:$BF$65)*BY789), N($AU$61:$AU$65&gt;$AM789)),
SUMPRODUCT(INDEX($AV$46:$AX$55,,$AI789), INDEX($AY$46:$BE$55,,$AH789), 1 / ($BG$46:$BG$55*CC789 + (1-$BG$46:$BG$55)*BY789), N($AU$46:$AU$55&gt;$AM789))
) / 1000</f>
        <v>0</v>
      </c>
      <c r="CE789" s="234" cm="1">
        <f t="array" ref="CE789">$BM789 * IF($AH789&lt;=2,
SUMPRODUCT(INDEX($AV$22:$AX$60,,$AI789), INDEX($AY$22:$BE$60,,$AH789), 1 / ($BF$22:$BF$60*CC789), N($AU$22:$AU$60&gt;$AM789)),
SUMPRODUCT(INDEX($AV$22:$AX$45,,$AI789), INDEX($AY$22:$BE$45,,$AH789), 1 / ($BG$22:$BG$45*CC789), N($AU$22:$AU$45&gt;$AM789))
) / 1000</f>
        <v>0</v>
      </c>
      <c r="CF789" s="229">
        <f t="shared" si="836"/>
        <v>0</v>
      </c>
      <c r="CG789" s="246"/>
      <c r="CH789" s="229">
        <f t="shared" si="837"/>
        <v>0</v>
      </c>
      <c r="CI789" s="228">
        <v>35</v>
      </c>
      <c r="CJ789" s="229">
        <f t="shared" si="838"/>
        <v>48</v>
      </c>
      <c r="CK789" s="234">
        <f t="shared" si="839"/>
        <v>3.0748170731707316</v>
      </c>
      <c r="CL789" s="234" cm="1">
        <f t="array" ref="CL789">$BM789 * SUMPRODUCT(INDEX($AV$76:$AX$81,,$AI789),INDEX($AY$76:$BE$81,,$AH789), N($AU$76:$AU$81&gt;$AM789)) / CK789 / 1000</f>
        <v>0</v>
      </c>
      <c r="CM789" s="231">
        <f t="shared" si="819"/>
        <v>30</v>
      </c>
      <c r="CN789" s="229">
        <f t="shared" si="840"/>
        <v>43</v>
      </c>
      <c r="CO789" s="234">
        <f t="shared" si="841"/>
        <v>3.5018750000000001</v>
      </c>
      <c r="CP789" s="234" cm="1">
        <f t="array" ref="CP789">$BM789 * IF($AH789&lt;=2,
SUMPRODUCT(INDEX($AV$71:$AX$75,,$AI789), INDEX($AY$71:$BE$75,,$AH789), 1 / ($BF$71:$BF$75*CO789 + (1-$BF$71:$BF$75)*CK789), N($AU$71:$AU$75&gt;$AM789)),
SUMPRODUCT(INDEX($AV$66:$AX$75,,$AI789), INDEX($AY$66:$BE$75,,$AH789), 1 / ($BG$66:$BG$75*CO789 + (1-$BG$66:$BG$75)*CK789), N($AU$66:$AU$75&gt;$AM789))
) / 1000</f>
        <v>0</v>
      </c>
      <c r="CQ789" s="231">
        <f t="shared" si="820"/>
        <v>25</v>
      </c>
      <c r="CR789" s="229">
        <f t="shared" si="842"/>
        <v>38</v>
      </c>
      <c r="CS789" s="234">
        <f t="shared" si="843"/>
        <v>4.0666935483870965</v>
      </c>
      <c r="CT789" s="234" cm="1">
        <f t="array" ref="CT789">$BM789 * IF($AH789&lt;=2,
SUMPRODUCT(INDEX($AV$66:$AX$70,,$AI789), INDEX($AY$66:$BE$70,,$AH789), 1 / ($BF$66:$BF$70*CS789 + (1-$BF$66:$BF$70)*CO789), N($AU$66:$AU$70&gt;$AM789)),
SUMPRODUCT(INDEX($AV$56:$AX$65,,$AI789), INDEX($AY$56:$BE$65,,$AH789), 1 / ($BG$56:$BG$65*CS789 + (1-$BG$56:$BG$65)*CO789), N($AU$56:$AU$65&gt;$AM789))
) / 1000</f>
        <v>0</v>
      </c>
      <c r="CU789" s="231">
        <f t="shared" si="821"/>
        <v>20</v>
      </c>
      <c r="CV789" s="229">
        <f t="shared" si="844"/>
        <v>33</v>
      </c>
      <c r="CW789" s="234">
        <f t="shared" si="845"/>
        <v>4.8487499999999999</v>
      </c>
      <c r="CX789" s="234" cm="1">
        <f t="array" ref="CX789">$BM789 * IF($AH789&lt;=2,
SUMPRODUCT(INDEX($AV$61:$AX$65,,$AI789), INDEX($AY$61:$BE$65,,$AH789), 1 / ($BF$61:$BF$65*CW789 + (1-$BF$61:$BF$65)*CS789), N($AU$61:$AU$65&gt;$AM789)),
SUMPRODUCT(INDEX($AV$46:$AX$55,,$AI789), INDEX($AY$46:$BE$55,,$AH789), 1 / ($BG$46:$BG$55*CW789 + (1-$BG$46:$BG$55)*CS789), N($AU$46:$AU$55&gt;$AM789))
) / 1000</f>
        <v>0</v>
      </c>
      <c r="CY789" s="234" cm="1">
        <f t="array" ref="CY789">$BM789 * IF($AH789&lt;=2,
SUMPRODUCT(INDEX($AV$22:$AX$60,,$AI789), INDEX($AY$22:$BE$60,,$AH789), 1 / ($BF$22:$BF$60*CW789), N($AU$22:$AU$60&gt;$AM789)),
SUMPRODUCT(INDEX($AV$22:$AX$45,,$AI789), INDEX($AY$22:$BE$45,,$AH789), 1 / ($BG$22:$BG$45*CW789), N($AU$22:$AU$45&gt;$AM789))
) / 1000</f>
        <v>0</v>
      </c>
      <c r="CZ789" s="229">
        <f t="shared" si="846"/>
        <v>0</v>
      </c>
      <c r="DA789" s="246"/>
    </row>
    <row r="790" spans="1:105" s="75" customFormat="1" ht="14.25" customHeight="1" x14ac:dyDescent="0.2">
      <c r="A790" s="230" t="b">
        <f t="shared" si="851"/>
        <v>0</v>
      </c>
      <c r="B790" s="253">
        <v>769</v>
      </c>
      <c r="C790" s="266"/>
      <c r="D790" s="266"/>
      <c r="E790" s="254"/>
      <c r="F790" s="255" t="str">
        <f>IF(ISBLANK(E790), "", VLOOKUP(E790, Z!$A$2:$C$4127, 3, FALSE))</f>
        <v/>
      </c>
      <c r="G790" s="256"/>
      <c r="H790" s="256"/>
      <c r="I790" s="256"/>
      <c r="J790" s="257"/>
      <c r="K790" s="258"/>
      <c r="L790" s="267"/>
      <c r="M790" s="268"/>
      <c r="N790" s="259" t="str" cm="1">
        <f t="array" ref="N790">IF($L790&gt;0, INDEX(Clean,1+AK790,$D$1), "")</f>
        <v/>
      </c>
      <c r="O790" s="260"/>
      <c r="P790" s="260"/>
      <c r="Q790" s="261"/>
      <c r="R790" s="264">
        <f t="shared" si="822"/>
        <v>0</v>
      </c>
      <c r="S790" s="259" t="str" cm="1">
        <f t="array" ref="S790">IF($L790&gt;0, INDEX(Clean,1+AL790,$D$1), "")</f>
        <v/>
      </c>
      <c r="T790" s="260"/>
      <c r="U790" s="260"/>
      <c r="V790" s="261"/>
      <c r="W790" s="267"/>
      <c r="X790" s="267"/>
      <c r="Y790" s="257"/>
      <c r="Z790" s="264">
        <f t="shared" si="823"/>
        <v>0</v>
      </c>
      <c r="AA790" s="269"/>
      <c r="AB790" s="266"/>
      <c r="AC790" s="254"/>
      <c r="AD790" s="255" t="str">
        <f>IF(ISBLANK(AC790), "", VLOOKUP(AC790, Z!$A$2:$C$4127, 3, FALSE))</f>
        <v/>
      </c>
      <c r="AE790" s="270"/>
      <c r="AF790" s="265">
        <f t="shared" si="824"/>
        <v>0</v>
      </c>
      <c r="AG790" s="246"/>
      <c r="AH790" s="228">
        <f t="shared" si="847"/>
        <v>1</v>
      </c>
      <c r="AI790" s="228">
        <f t="shared" si="848"/>
        <v>1</v>
      </c>
      <c r="AJ790" s="228">
        <f t="shared" si="849"/>
        <v>0</v>
      </c>
      <c r="AK790" s="228">
        <v>0</v>
      </c>
      <c r="AL790" s="228">
        <v>0</v>
      </c>
      <c r="AM790" s="228">
        <f t="shared" si="825"/>
        <v>-100</v>
      </c>
      <c r="AN790" s="228" cm="1">
        <f t="array" ref="AN790">IF(ISBLANK(G790), 1, IFERROR(MATCH(G790, INDEX(Kat,,1), 0), IFERROR(MATCH(Kat, INDEX(Use,,2), 0), MATCH(Kat, INDEX(Use,,3), 0))))</f>
        <v>1</v>
      </c>
      <c r="AO790" s="246"/>
      <c r="AP790" s="228" cm="1">
        <f t="array" ref="AP790">IF(W790&gt;0, INDEX(Kat, AN790,4), 0)</f>
        <v>0</v>
      </c>
      <c r="AQ790" s="228">
        <f t="shared" si="850"/>
        <v>0</v>
      </c>
      <c r="AR790" s="228" cm="1">
        <f t="array" ref="AR790">IF(X790&gt;0, INDEX(Kat, $AN790, 4+AQ790), 0)</f>
        <v>0</v>
      </c>
      <c r="AS790" s="228" cm="1">
        <f t="array" ref="AS790">IF(X790&gt;0, INDEX(Kat, $AN790, 9+AQ790), 0)</f>
        <v>0</v>
      </c>
      <c r="AT790" s="246"/>
      <c r="AU790" s="262"/>
      <c r="AV790" s="262"/>
      <c r="AW790" s="263"/>
      <c r="AX790" s="263"/>
      <c r="AY790" s="263"/>
      <c r="AZ790" s="263"/>
      <c r="BA790" s="263"/>
      <c r="BB790" s="263"/>
      <c r="BC790" s="263"/>
      <c r="BD790" s="263"/>
      <c r="BE790" s="263"/>
      <c r="BF790" s="263"/>
      <c r="BG790" s="263"/>
      <c r="BH790" s="246"/>
      <c r="BI790" s="228" cm="1">
        <f t="array" ref="BI790">INDEX(Use, $AH790, 4)</f>
        <v>7</v>
      </c>
      <c r="BJ790" s="228">
        <f t="shared" si="826"/>
        <v>32</v>
      </c>
      <c r="BK790" s="228">
        <f t="shared" ref="BK790:BK853" si="852">IF($AJ790=1, 6, IF($AH790=4, 10, 13))</f>
        <v>13</v>
      </c>
      <c r="BL790" s="228">
        <f t="shared" ref="BL790:BL853" si="853">IF($AJ790=1, 9, 0)</f>
        <v>0</v>
      </c>
      <c r="BM790" s="233" cm="1">
        <f t="array" ref="BM790">L790/IF($M790&gt;0, INDEX($AY$22:$BE$76, $M790+20, $AH790), 1)</f>
        <v>0</v>
      </c>
      <c r="BN790" s="229">
        <f t="shared" si="827"/>
        <v>0</v>
      </c>
      <c r="BO790" s="228">
        <v>35</v>
      </c>
      <c r="BP790" s="229">
        <f t="shared" si="828"/>
        <v>48</v>
      </c>
      <c r="BQ790" s="234">
        <f t="shared" si="829"/>
        <v>3.0748170731707316</v>
      </c>
      <c r="BR790" s="234" cm="1">
        <f t="array" ref="BR790">$BM790 * SUMPRODUCT(INDEX($AV$76:$AX$81,,$AI790),INDEX($AY$76:$BE$81,,$AH790), N($AU$76:$AU$81&gt;$AM790)) / BQ790 / 1000</f>
        <v>0</v>
      </c>
      <c r="BS790" s="231">
        <f t="shared" ref="BS790:BS853" si="854">IF($AH790&lt;=2, 30, 25)</f>
        <v>30</v>
      </c>
      <c r="BT790" s="229">
        <f t="shared" si="830"/>
        <v>43</v>
      </c>
      <c r="BU790" s="234">
        <f t="shared" si="831"/>
        <v>3.5018750000000001</v>
      </c>
      <c r="BV790" s="234" cm="1">
        <f t="array" ref="BV790">$BM790 * IF($AH790&lt;=2,
SUMPRODUCT(INDEX($AV$71:$AX$75,,$AI790), INDEX($AY$71:$BE$75,,$AH790), 1 / ($BF$71:$BF$75*BU790 + (1-$BF$71:$BF$75)*BQ790), N($AU$71:$AU$75&gt;$AM790)),
SUMPRODUCT(INDEX($AV$66:$AX$75,,$AI790), INDEX($AY$66:$BE$75,,$AH790), 1 / ($BG$66:$BG$75*BU790 + (1-$BG$66:$BG$75)*BQ790), N($AU$66:$AU$75&gt;$AM790))
) / 1000</f>
        <v>0</v>
      </c>
      <c r="BW790" s="231">
        <f t="shared" ref="BW790:BW853" si="855">IF($AH790&lt;=2, 25, 15)</f>
        <v>25</v>
      </c>
      <c r="BX790" s="229">
        <f t="shared" si="832"/>
        <v>38</v>
      </c>
      <c r="BY790" s="234">
        <f t="shared" si="833"/>
        <v>4.0666935483870965</v>
      </c>
      <c r="BZ790" s="234" cm="1">
        <f t="array" ref="BZ790">$BM790 * IF($AH790&lt;=2,
SUMPRODUCT(INDEX($AV$66:$AX$70,,$AI790), INDEX($AY$66:$BE$70,,$AH790), 1 / ($BF$66:$BF$70*BY790 + (1-$BF$66:$BF$70)*BU790), N($AU$66:$AU$70&gt;$AM790)),
SUMPRODUCT(INDEX($AV$56:$AX$65,,$AI790), INDEX($AY$56:$BE$65,,$AH790), 1 / ($BG$56:$BG$65*BY790 + (1-$BG$56:$BG$65)*BU790), N($AU$56:$AU$65&gt;$AM790))
) / 1000</f>
        <v>0</v>
      </c>
      <c r="CA790" s="231">
        <f t="shared" ref="CA790:CA853" si="856">IF($AH790&lt;=2, 20, 5)</f>
        <v>20</v>
      </c>
      <c r="CB790" s="229">
        <f t="shared" si="834"/>
        <v>33</v>
      </c>
      <c r="CC790" s="234">
        <f t="shared" si="835"/>
        <v>4.8487499999999999</v>
      </c>
      <c r="CD790" s="234" cm="1">
        <f t="array" ref="CD790">$BM790 * IF($AH790&lt;=2,
SUMPRODUCT(INDEX($AV$61:$AX$65,,$AI790), INDEX($AY$61:$BE$65,,$AH790), 1 / ($BF$61:$BF$65*CC790 + (1-$BF$61:$BF$65)*BY790), N($AU$61:$AU$65&gt;$AM790)),
SUMPRODUCT(INDEX($AV$46:$AX$55,,$AI790), INDEX($AY$46:$BE$55,,$AH790), 1 / ($BG$46:$BG$55*CC790 + (1-$BG$46:$BG$55)*BY790), N($AU$46:$AU$55&gt;$AM790))
) / 1000</f>
        <v>0</v>
      </c>
      <c r="CE790" s="234" cm="1">
        <f t="array" ref="CE790">$BM790 * IF($AH790&lt;=2,
SUMPRODUCT(INDEX($AV$22:$AX$60,,$AI790), INDEX($AY$22:$BE$60,,$AH790), 1 / ($BF$22:$BF$60*CC790), N($AU$22:$AU$60&gt;$AM790)),
SUMPRODUCT(INDEX($AV$22:$AX$45,,$AI790), INDEX($AY$22:$BE$45,,$AH790), 1 / ($BG$22:$BG$45*CC790), N($AU$22:$AU$45&gt;$AM790))
) / 1000</f>
        <v>0</v>
      </c>
      <c r="CF790" s="229">
        <f t="shared" si="836"/>
        <v>0</v>
      </c>
      <c r="CG790" s="246"/>
      <c r="CH790" s="229">
        <f t="shared" si="837"/>
        <v>0</v>
      </c>
      <c r="CI790" s="228">
        <v>35</v>
      </c>
      <c r="CJ790" s="229">
        <f t="shared" si="838"/>
        <v>48</v>
      </c>
      <c r="CK790" s="234">
        <f t="shared" si="839"/>
        <v>3.0748170731707316</v>
      </c>
      <c r="CL790" s="234" cm="1">
        <f t="array" ref="CL790">$BM790 * SUMPRODUCT(INDEX($AV$76:$AX$81,,$AI790),INDEX($AY$76:$BE$81,,$AH790), N($AU$76:$AU$81&gt;$AM790)) / CK790 / 1000</f>
        <v>0</v>
      </c>
      <c r="CM790" s="231">
        <f t="shared" ref="CM790:CM853" si="857">IF($AH790&lt;=2, 30, 25)</f>
        <v>30</v>
      </c>
      <c r="CN790" s="229">
        <f t="shared" si="840"/>
        <v>43</v>
      </c>
      <c r="CO790" s="234">
        <f t="shared" si="841"/>
        <v>3.5018750000000001</v>
      </c>
      <c r="CP790" s="234" cm="1">
        <f t="array" ref="CP790">$BM790 * IF($AH790&lt;=2,
SUMPRODUCT(INDEX($AV$71:$AX$75,,$AI790), INDEX($AY$71:$BE$75,,$AH790), 1 / ($BF$71:$BF$75*CO790 + (1-$BF$71:$BF$75)*CK790), N($AU$71:$AU$75&gt;$AM790)),
SUMPRODUCT(INDEX($AV$66:$AX$75,,$AI790), INDEX($AY$66:$BE$75,,$AH790), 1 / ($BG$66:$BG$75*CO790 + (1-$BG$66:$BG$75)*CK790), N($AU$66:$AU$75&gt;$AM790))
) / 1000</f>
        <v>0</v>
      </c>
      <c r="CQ790" s="231">
        <f t="shared" ref="CQ790:CQ853" si="858">IF($AH790&lt;=2, 25, 15)</f>
        <v>25</v>
      </c>
      <c r="CR790" s="229">
        <f t="shared" si="842"/>
        <v>38</v>
      </c>
      <c r="CS790" s="234">
        <f t="shared" si="843"/>
        <v>4.0666935483870965</v>
      </c>
      <c r="CT790" s="234" cm="1">
        <f t="array" ref="CT790">$BM790 * IF($AH790&lt;=2,
SUMPRODUCT(INDEX($AV$66:$AX$70,,$AI790), INDEX($AY$66:$BE$70,,$AH790), 1 / ($BF$66:$BF$70*CS790 + (1-$BF$66:$BF$70)*CO790), N($AU$66:$AU$70&gt;$AM790)),
SUMPRODUCT(INDEX($AV$56:$AX$65,,$AI790), INDEX($AY$56:$BE$65,,$AH790), 1 / ($BG$56:$BG$65*CS790 + (1-$BG$56:$BG$65)*CO790), N($AU$56:$AU$65&gt;$AM790))
) / 1000</f>
        <v>0</v>
      </c>
      <c r="CU790" s="231">
        <f t="shared" ref="CU790:CU853" si="859">IF($AH790&lt;=2, 20, 5)</f>
        <v>20</v>
      </c>
      <c r="CV790" s="229">
        <f t="shared" si="844"/>
        <v>33</v>
      </c>
      <c r="CW790" s="234">
        <f t="shared" si="845"/>
        <v>4.8487499999999999</v>
      </c>
      <c r="CX790" s="234" cm="1">
        <f t="array" ref="CX790">$BM790 * IF($AH790&lt;=2,
SUMPRODUCT(INDEX($AV$61:$AX$65,,$AI790), INDEX($AY$61:$BE$65,,$AH790), 1 / ($BF$61:$BF$65*CW790 + (1-$BF$61:$BF$65)*CS790), N($AU$61:$AU$65&gt;$AM790)),
SUMPRODUCT(INDEX($AV$46:$AX$55,,$AI790), INDEX($AY$46:$BE$55,,$AH790), 1 / ($BG$46:$BG$55*CW790 + (1-$BG$46:$BG$55)*CS790), N($AU$46:$AU$55&gt;$AM790))
) / 1000</f>
        <v>0</v>
      </c>
      <c r="CY790" s="234" cm="1">
        <f t="array" ref="CY790">$BM790 * IF($AH790&lt;=2,
SUMPRODUCT(INDEX($AV$22:$AX$60,,$AI790), INDEX($AY$22:$BE$60,,$AH790), 1 / ($BF$22:$BF$60*CW790), N($AU$22:$AU$60&gt;$AM790)),
SUMPRODUCT(INDEX($AV$22:$AX$45,,$AI790), INDEX($AY$22:$BE$45,,$AH790), 1 / ($BG$22:$BG$45*CW790), N($AU$22:$AU$45&gt;$AM790))
) / 1000</f>
        <v>0</v>
      </c>
      <c r="CZ790" s="229">
        <f t="shared" si="846"/>
        <v>0</v>
      </c>
      <c r="DA790" s="246"/>
    </row>
    <row r="791" spans="1:105" s="75" customFormat="1" ht="14.25" customHeight="1" x14ac:dyDescent="0.2">
      <c r="A791" s="230" t="b">
        <f t="shared" si="851"/>
        <v>0</v>
      </c>
      <c r="B791" s="253">
        <v>770</v>
      </c>
      <c r="C791" s="266"/>
      <c r="D791" s="266"/>
      <c r="E791" s="254"/>
      <c r="F791" s="255" t="str">
        <f>IF(ISBLANK(E791), "", VLOOKUP(E791, Z!$A$2:$C$4127, 3, FALSE))</f>
        <v/>
      </c>
      <c r="G791" s="256"/>
      <c r="H791" s="256"/>
      <c r="I791" s="256"/>
      <c r="J791" s="257"/>
      <c r="K791" s="258"/>
      <c r="L791" s="267"/>
      <c r="M791" s="268"/>
      <c r="N791" s="259" t="str" cm="1">
        <f t="array" ref="N791">IF($L791&gt;0, INDEX(Clean,1+AK791,$D$1), "")</f>
        <v/>
      </c>
      <c r="O791" s="260"/>
      <c r="P791" s="260"/>
      <c r="Q791" s="261"/>
      <c r="R791" s="264">
        <f t="shared" si="822"/>
        <v>0</v>
      </c>
      <c r="S791" s="259" t="str" cm="1">
        <f t="array" ref="S791">IF($L791&gt;0, INDEX(Clean,1+AL791,$D$1), "")</f>
        <v/>
      </c>
      <c r="T791" s="260"/>
      <c r="U791" s="260"/>
      <c r="V791" s="261"/>
      <c r="W791" s="267"/>
      <c r="X791" s="267"/>
      <c r="Y791" s="257"/>
      <c r="Z791" s="264">
        <f t="shared" si="823"/>
        <v>0</v>
      </c>
      <c r="AA791" s="269"/>
      <c r="AB791" s="266"/>
      <c r="AC791" s="254"/>
      <c r="AD791" s="255" t="str">
        <f>IF(ISBLANK(AC791), "", VLOOKUP(AC791, Z!$A$2:$C$4127, 3, FALSE))</f>
        <v/>
      </c>
      <c r="AE791" s="270"/>
      <c r="AF791" s="265">
        <f t="shared" si="824"/>
        <v>0</v>
      </c>
      <c r="AG791" s="246"/>
      <c r="AH791" s="228">
        <f t="shared" si="847"/>
        <v>1</v>
      </c>
      <c r="AI791" s="228">
        <f t="shared" si="848"/>
        <v>1</v>
      </c>
      <c r="AJ791" s="228">
        <f t="shared" si="849"/>
        <v>0</v>
      </c>
      <c r="AK791" s="228">
        <v>0</v>
      </c>
      <c r="AL791" s="228">
        <v>0</v>
      </c>
      <c r="AM791" s="228">
        <f t="shared" si="825"/>
        <v>-100</v>
      </c>
      <c r="AN791" s="228" cm="1">
        <f t="array" ref="AN791">IF(ISBLANK(G791), 1, IFERROR(MATCH(G791, INDEX(Kat,,1), 0), IFERROR(MATCH(Kat, INDEX(Use,,2), 0), MATCH(Kat, INDEX(Use,,3), 0))))</f>
        <v>1</v>
      </c>
      <c r="AO791" s="246"/>
      <c r="AP791" s="228" cm="1">
        <f t="array" ref="AP791">IF(W791&gt;0, INDEX(Kat, AN791,4), 0)</f>
        <v>0</v>
      </c>
      <c r="AQ791" s="228">
        <f t="shared" si="850"/>
        <v>0</v>
      </c>
      <c r="AR791" s="228" cm="1">
        <f t="array" ref="AR791">IF(X791&gt;0, INDEX(Kat, $AN791, 4+AQ791), 0)</f>
        <v>0</v>
      </c>
      <c r="AS791" s="228" cm="1">
        <f t="array" ref="AS791">IF(X791&gt;0, INDEX(Kat, $AN791, 9+AQ791), 0)</f>
        <v>0</v>
      </c>
      <c r="AT791" s="246"/>
      <c r="AU791" s="262"/>
      <c r="AV791" s="262"/>
      <c r="AW791" s="263"/>
      <c r="AX791" s="263"/>
      <c r="AY791" s="263"/>
      <c r="AZ791" s="263"/>
      <c r="BA791" s="263"/>
      <c r="BB791" s="263"/>
      <c r="BC791" s="263"/>
      <c r="BD791" s="263"/>
      <c r="BE791" s="263"/>
      <c r="BF791" s="263"/>
      <c r="BG791" s="263"/>
      <c r="BH791" s="246"/>
      <c r="BI791" s="228" cm="1">
        <f t="array" ref="BI791">INDEX(Use, $AH791, 4)</f>
        <v>7</v>
      </c>
      <c r="BJ791" s="228">
        <f t="shared" si="826"/>
        <v>32</v>
      </c>
      <c r="BK791" s="228">
        <f t="shared" si="852"/>
        <v>13</v>
      </c>
      <c r="BL791" s="228">
        <f t="shared" si="853"/>
        <v>0</v>
      </c>
      <c r="BM791" s="233" cm="1">
        <f t="array" ref="BM791">L791/IF($M791&gt;0, INDEX($AY$22:$BE$76, $M791+20, $AH791), 1)</f>
        <v>0</v>
      </c>
      <c r="BN791" s="229">
        <f t="shared" si="827"/>
        <v>0</v>
      </c>
      <c r="BO791" s="228">
        <v>35</v>
      </c>
      <c r="BP791" s="229">
        <f t="shared" si="828"/>
        <v>48</v>
      </c>
      <c r="BQ791" s="234">
        <f t="shared" si="829"/>
        <v>3.0748170731707316</v>
      </c>
      <c r="BR791" s="234" cm="1">
        <f t="array" ref="BR791">$BM791 * SUMPRODUCT(INDEX($AV$76:$AX$81,,$AI791),INDEX($AY$76:$BE$81,,$AH791), N($AU$76:$AU$81&gt;$AM791)) / BQ791 / 1000</f>
        <v>0</v>
      </c>
      <c r="BS791" s="231">
        <f t="shared" si="854"/>
        <v>30</v>
      </c>
      <c r="BT791" s="229">
        <f t="shared" si="830"/>
        <v>43</v>
      </c>
      <c r="BU791" s="234">
        <f t="shared" si="831"/>
        <v>3.5018750000000001</v>
      </c>
      <c r="BV791" s="234" cm="1">
        <f t="array" ref="BV791">$BM791 * IF($AH791&lt;=2,
SUMPRODUCT(INDEX($AV$71:$AX$75,,$AI791), INDEX($AY$71:$BE$75,,$AH791), 1 / ($BF$71:$BF$75*BU791 + (1-$BF$71:$BF$75)*BQ791), N($AU$71:$AU$75&gt;$AM791)),
SUMPRODUCT(INDEX($AV$66:$AX$75,,$AI791), INDEX($AY$66:$BE$75,,$AH791), 1 / ($BG$66:$BG$75*BU791 + (1-$BG$66:$BG$75)*BQ791), N($AU$66:$AU$75&gt;$AM791))
) / 1000</f>
        <v>0</v>
      </c>
      <c r="BW791" s="231">
        <f t="shared" si="855"/>
        <v>25</v>
      </c>
      <c r="BX791" s="229">
        <f t="shared" si="832"/>
        <v>38</v>
      </c>
      <c r="BY791" s="234">
        <f t="shared" si="833"/>
        <v>4.0666935483870965</v>
      </c>
      <c r="BZ791" s="234" cm="1">
        <f t="array" ref="BZ791">$BM791 * IF($AH791&lt;=2,
SUMPRODUCT(INDEX($AV$66:$AX$70,,$AI791), INDEX($AY$66:$BE$70,,$AH791), 1 / ($BF$66:$BF$70*BY791 + (1-$BF$66:$BF$70)*BU791), N($AU$66:$AU$70&gt;$AM791)),
SUMPRODUCT(INDEX($AV$56:$AX$65,,$AI791), INDEX($AY$56:$BE$65,,$AH791), 1 / ($BG$56:$BG$65*BY791 + (1-$BG$56:$BG$65)*BU791), N($AU$56:$AU$65&gt;$AM791))
) / 1000</f>
        <v>0</v>
      </c>
      <c r="CA791" s="231">
        <f t="shared" si="856"/>
        <v>20</v>
      </c>
      <c r="CB791" s="229">
        <f t="shared" si="834"/>
        <v>33</v>
      </c>
      <c r="CC791" s="234">
        <f t="shared" si="835"/>
        <v>4.8487499999999999</v>
      </c>
      <c r="CD791" s="234" cm="1">
        <f t="array" ref="CD791">$BM791 * IF($AH791&lt;=2,
SUMPRODUCT(INDEX($AV$61:$AX$65,,$AI791), INDEX($AY$61:$BE$65,,$AH791), 1 / ($BF$61:$BF$65*CC791 + (1-$BF$61:$BF$65)*BY791), N($AU$61:$AU$65&gt;$AM791)),
SUMPRODUCT(INDEX($AV$46:$AX$55,,$AI791), INDEX($AY$46:$BE$55,,$AH791), 1 / ($BG$46:$BG$55*CC791 + (1-$BG$46:$BG$55)*BY791), N($AU$46:$AU$55&gt;$AM791))
) / 1000</f>
        <v>0</v>
      </c>
      <c r="CE791" s="234" cm="1">
        <f t="array" ref="CE791">$BM791 * IF($AH791&lt;=2,
SUMPRODUCT(INDEX($AV$22:$AX$60,,$AI791), INDEX($AY$22:$BE$60,,$AH791), 1 / ($BF$22:$BF$60*CC791), N($AU$22:$AU$60&gt;$AM791)),
SUMPRODUCT(INDEX($AV$22:$AX$45,,$AI791), INDEX($AY$22:$BE$45,,$AH791), 1 / ($BG$22:$BG$45*CC791), N($AU$22:$AU$45&gt;$AM791))
) / 1000</f>
        <v>0</v>
      </c>
      <c r="CF791" s="229">
        <f t="shared" si="836"/>
        <v>0</v>
      </c>
      <c r="CG791" s="246"/>
      <c r="CH791" s="229">
        <f t="shared" si="837"/>
        <v>0</v>
      </c>
      <c r="CI791" s="228">
        <v>35</v>
      </c>
      <c r="CJ791" s="229">
        <f t="shared" si="838"/>
        <v>48</v>
      </c>
      <c r="CK791" s="234">
        <f t="shared" si="839"/>
        <v>3.0748170731707316</v>
      </c>
      <c r="CL791" s="234" cm="1">
        <f t="array" ref="CL791">$BM791 * SUMPRODUCT(INDEX($AV$76:$AX$81,,$AI791),INDEX($AY$76:$BE$81,,$AH791), N($AU$76:$AU$81&gt;$AM791)) / CK791 / 1000</f>
        <v>0</v>
      </c>
      <c r="CM791" s="231">
        <f t="shared" si="857"/>
        <v>30</v>
      </c>
      <c r="CN791" s="229">
        <f t="shared" si="840"/>
        <v>43</v>
      </c>
      <c r="CO791" s="234">
        <f t="shared" si="841"/>
        <v>3.5018750000000001</v>
      </c>
      <c r="CP791" s="234" cm="1">
        <f t="array" ref="CP791">$BM791 * IF($AH791&lt;=2,
SUMPRODUCT(INDEX($AV$71:$AX$75,,$AI791), INDEX($AY$71:$BE$75,,$AH791), 1 / ($BF$71:$BF$75*CO791 + (1-$BF$71:$BF$75)*CK791), N($AU$71:$AU$75&gt;$AM791)),
SUMPRODUCT(INDEX($AV$66:$AX$75,,$AI791), INDEX($AY$66:$BE$75,,$AH791), 1 / ($BG$66:$BG$75*CO791 + (1-$BG$66:$BG$75)*CK791), N($AU$66:$AU$75&gt;$AM791))
) / 1000</f>
        <v>0</v>
      </c>
      <c r="CQ791" s="231">
        <f t="shared" si="858"/>
        <v>25</v>
      </c>
      <c r="CR791" s="229">
        <f t="shared" si="842"/>
        <v>38</v>
      </c>
      <c r="CS791" s="234">
        <f t="shared" si="843"/>
        <v>4.0666935483870965</v>
      </c>
      <c r="CT791" s="234" cm="1">
        <f t="array" ref="CT791">$BM791 * IF($AH791&lt;=2,
SUMPRODUCT(INDEX($AV$66:$AX$70,,$AI791), INDEX($AY$66:$BE$70,,$AH791), 1 / ($BF$66:$BF$70*CS791 + (1-$BF$66:$BF$70)*CO791), N($AU$66:$AU$70&gt;$AM791)),
SUMPRODUCT(INDEX($AV$56:$AX$65,,$AI791), INDEX($AY$56:$BE$65,,$AH791), 1 / ($BG$56:$BG$65*CS791 + (1-$BG$56:$BG$65)*CO791), N($AU$56:$AU$65&gt;$AM791))
) / 1000</f>
        <v>0</v>
      </c>
      <c r="CU791" s="231">
        <f t="shared" si="859"/>
        <v>20</v>
      </c>
      <c r="CV791" s="229">
        <f t="shared" si="844"/>
        <v>33</v>
      </c>
      <c r="CW791" s="234">
        <f t="shared" si="845"/>
        <v>4.8487499999999999</v>
      </c>
      <c r="CX791" s="234" cm="1">
        <f t="array" ref="CX791">$BM791 * IF($AH791&lt;=2,
SUMPRODUCT(INDEX($AV$61:$AX$65,,$AI791), INDEX($AY$61:$BE$65,,$AH791), 1 / ($BF$61:$BF$65*CW791 + (1-$BF$61:$BF$65)*CS791), N($AU$61:$AU$65&gt;$AM791)),
SUMPRODUCT(INDEX($AV$46:$AX$55,,$AI791), INDEX($AY$46:$BE$55,,$AH791), 1 / ($BG$46:$BG$55*CW791 + (1-$BG$46:$BG$55)*CS791), N($AU$46:$AU$55&gt;$AM791))
) / 1000</f>
        <v>0</v>
      </c>
      <c r="CY791" s="234" cm="1">
        <f t="array" ref="CY791">$BM791 * IF($AH791&lt;=2,
SUMPRODUCT(INDEX($AV$22:$AX$60,,$AI791), INDEX($AY$22:$BE$60,,$AH791), 1 / ($BF$22:$BF$60*CW791), N($AU$22:$AU$60&gt;$AM791)),
SUMPRODUCT(INDEX($AV$22:$AX$45,,$AI791), INDEX($AY$22:$BE$45,,$AH791), 1 / ($BG$22:$BG$45*CW791), N($AU$22:$AU$45&gt;$AM791))
) / 1000</f>
        <v>0</v>
      </c>
      <c r="CZ791" s="229">
        <f t="shared" si="846"/>
        <v>0</v>
      </c>
      <c r="DA791" s="246"/>
    </row>
    <row r="792" spans="1:105" s="75" customFormat="1" ht="14.25" customHeight="1" x14ac:dyDescent="0.2">
      <c r="A792" s="230" t="b">
        <f t="shared" si="851"/>
        <v>0</v>
      </c>
      <c r="B792" s="253">
        <v>771</v>
      </c>
      <c r="C792" s="266"/>
      <c r="D792" s="266"/>
      <c r="E792" s="254"/>
      <c r="F792" s="255" t="str">
        <f>IF(ISBLANK(E792), "", VLOOKUP(E792, Z!$A$2:$C$4127, 3, FALSE))</f>
        <v/>
      </c>
      <c r="G792" s="256"/>
      <c r="H792" s="256"/>
      <c r="I792" s="256"/>
      <c r="J792" s="257"/>
      <c r="K792" s="258"/>
      <c r="L792" s="267"/>
      <c r="M792" s="268"/>
      <c r="N792" s="259" t="str" cm="1">
        <f t="array" ref="N792">IF($L792&gt;0, INDEX(Clean,1+AK792,$D$1), "")</f>
        <v/>
      </c>
      <c r="O792" s="260"/>
      <c r="P792" s="260"/>
      <c r="Q792" s="261"/>
      <c r="R792" s="264">
        <f t="shared" si="822"/>
        <v>0</v>
      </c>
      <c r="S792" s="259" t="str" cm="1">
        <f t="array" ref="S792">IF($L792&gt;0, INDEX(Clean,1+AL792,$D$1), "")</f>
        <v/>
      </c>
      <c r="T792" s="260"/>
      <c r="U792" s="260"/>
      <c r="V792" s="261"/>
      <c r="W792" s="267"/>
      <c r="X792" s="267"/>
      <c r="Y792" s="257"/>
      <c r="Z792" s="264">
        <f t="shared" si="823"/>
        <v>0</v>
      </c>
      <c r="AA792" s="269"/>
      <c r="AB792" s="266"/>
      <c r="AC792" s="254"/>
      <c r="AD792" s="255" t="str">
        <f>IF(ISBLANK(AC792), "", VLOOKUP(AC792, Z!$A$2:$C$4127, 3, FALSE))</f>
        <v/>
      </c>
      <c r="AE792" s="270"/>
      <c r="AF792" s="265">
        <f t="shared" si="824"/>
        <v>0</v>
      </c>
      <c r="AG792" s="246"/>
      <c r="AH792" s="228">
        <f t="shared" si="847"/>
        <v>1</v>
      </c>
      <c r="AI792" s="228">
        <f t="shared" si="848"/>
        <v>1</v>
      </c>
      <c r="AJ792" s="228">
        <f t="shared" si="849"/>
        <v>0</v>
      </c>
      <c r="AK792" s="228">
        <v>0</v>
      </c>
      <c r="AL792" s="228">
        <v>0</v>
      </c>
      <c r="AM792" s="228">
        <f t="shared" si="825"/>
        <v>-100</v>
      </c>
      <c r="AN792" s="228" cm="1">
        <f t="array" ref="AN792">IF(ISBLANK(G792), 1, IFERROR(MATCH(G792, INDEX(Kat,,1), 0), IFERROR(MATCH(Kat, INDEX(Use,,2), 0), MATCH(Kat, INDEX(Use,,3), 0))))</f>
        <v>1</v>
      </c>
      <c r="AO792" s="246"/>
      <c r="AP792" s="228" cm="1">
        <f t="array" ref="AP792">IF(W792&gt;0, INDEX(Kat, AN792,4), 0)</f>
        <v>0</v>
      </c>
      <c r="AQ792" s="228">
        <f t="shared" si="850"/>
        <v>0</v>
      </c>
      <c r="AR792" s="228" cm="1">
        <f t="array" ref="AR792">IF(X792&gt;0, INDEX(Kat, $AN792, 4+AQ792), 0)</f>
        <v>0</v>
      </c>
      <c r="AS792" s="228" cm="1">
        <f t="array" ref="AS792">IF(X792&gt;0, INDEX(Kat, $AN792, 9+AQ792), 0)</f>
        <v>0</v>
      </c>
      <c r="AT792" s="246"/>
      <c r="AU792" s="262"/>
      <c r="AV792" s="262"/>
      <c r="AW792" s="263"/>
      <c r="AX792" s="263"/>
      <c r="AY792" s="263"/>
      <c r="AZ792" s="263"/>
      <c r="BA792" s="263"/>
      <c r="BB792" s="263"/>
      <c r="BC792" s="263"/>
      <c r="BD792" s="263"/>
      <c r="BE792" s="263"/>
      <c r="BF792" s="263"/>
      <c r="BG792" s="263"/>
      <c r="BH792" s="246"/>
      <c r="BI792" s="228" cm="1">
        <f t="array" ref="BI792">INDEX(Use, $AH792, 4)</f>
        <v>7</v>
      </c>
      <c r="BJ792" s="228">
        <f t="shared" si="826"/>
        <v>32</v>
      </c>
      <c r="BK792" s="228">
        <f t="shared" si="852"/>
        <v>13</v>
      </c>
      <c r="BL792" s="228">
        <f t="shared" si="853"/>
        <v>0</v>
      </c>
      <c r="BM792" s="233" cm="1">
        <f t="array" ref="BM792">L792/IF($M792&gt;0, INDEX($AY$22:$BE$76, $M792+20, $AH792), 1)</f>
        <v>0</v>
      </c>
      <c r="BN792" s="229">
        <f t="shared" si="827"/>
        <v>0</v>
      </c>
      <c r="BO792" s="228">
        <v>35</v>
      </c>
      <c r="BP792" s="229">
        <f t="shared" si="828"/>
        <v>48</v>
      </c>
      <c r="BQ792" s="234">
        <f t="shared" si="829"/>
        <v>3.0748170731707316</v>
      </c>
      <c r="BR792" s="234" cm="1">
        <f t="array" ref="BR792">$BM792 * SUMPRODUCT(INDEX($AV$76:$AX$81,,$AI792),INDEX($AY$76:$BE$81,,$AH792), N($AU$76:$AU$81&gt;$AM792)) / BQ792 / 1000</f>
        <v>0</v>
      </c>
      <c r="BS792" s="231">
        <f t="shared" si="854"/>
        <v>30</v>
      </c>
      <c r="BT792" s="229">
        <f t="shared" si="830"/>
        <v>43</v>
      </c>
      <c r="BU792" s="234">
        <f t="shared" si="831"/>
        <v>3.5018750000000001</v>
      </c>
      <c r="BV792" s="234" cm="1">
        <f t="array" ref="BV792">$BM792 * IF($AH792&lt;=2,
SUMPRODUCT(INDEX($AV$71:$AX$75,,$AI792), INDEX($AY$71:$BE$75,,$AH792), 1 / ($BF$71:$BF$75*BU792 + (1-$BF$71:$BF$75)*BQ792), N($AU$71:$AU$75&gt;$AM792)),
SUMPRODUCT(INDEX($AV$66:$AX$75,,$AI792), INDEX($AY$66:$BE$75,,$AH792), 1 / ($BG$66:$BG$75*BU792 + (1-$BG$66:$BG$75)*BQ792), N($AU$66:$AU$75&gt;$AM792))
) / 1000</f>
        <v>0</v>
      </c>
      <c r="BW792" s="231">
        <f t="shared" si="855"/>
        <v>25</v>
      </c>
      <c r="BX792" s="229">
        <f t="shared" si="832"/>
        <v>38</v>
      </c>
      <c r="BY792" s="234">
        <f t="shared" si="833"/>
        <v>4.0666935483870965</v>
      </c>
      <c r="BZ792" s="234" cm="1">
        <f t="array" ref="BZ792">$BM792 * IF($AH792&lt;=2,
SUMPRODUCT(INDEX($AV$66:$AX$70,,$AI792), INDEX($AY$66:$BE$70,,$AH792), 1 / ($BF$66:$BF$70*BY792 + (1-$BF$66:$BF$70)*BU792), N($AU$66:$AU$70&gt;$AM792)),
SUMPRODUCT(INDEX($AV$56:$AX$65,,$AI792), INDEX($AY$56:$BE$65,,$AH792), 1 / ($BG$56:$BG$65*BY792 + (1-$BG$56:$BG$65)*BU792), N($AU$56:$AU$65&gt;$AM792))
) / 1000</f>
        <v>0</v>
      </c>
      <c r="CA792" s="231">
        <f t="shared" si="856"/>
        <v>20</v>
      </c>
      <c r="CB792" s="229">
        <f t="shared" si="834"/>
        <v>33</v>
      </c>
      <c r="CC792" s="234">
        <f t="shared" si="835"/>
        <v>4.8487499999999999</v>
      </c>
      <c r="CD792" s="234" cm="1">
        <f t="array" ref="CD792">$BM792 * IF($AH792&lt;=2,
SUMPRODUCT(INDEX($AV$61:$AX$65,,$AI792), INDEX($AY$61:$BE$65,,$AH792), 1 / ($BF$61:$BF$65*CC792 + (1-$BF$61:$BF$65)*BY792), N($AU$61:$AU$65&gt;$AM792)),
SUMPRODUCT(INDEX($AV$46:$AX$55,,$AI792), INDEX($AY$46:$BE$55,,$AH792), 1 / ($BG$46:$BG$55*CC792 + (1-$BG$46:$BG$55)*BY792), N($AU$46:$AU$55&gt;$AM792))
) / 1000</f>
        <v>0</v>
      </c>
      <c r="CE792" s="234" cm="1">
        <f t="array" ref="CE792">$BM792 * IF($AH792&lt;=2,
SUMPRODUCT(INDEX($AV$22:$AX$60,,$AI792), INDEX($AY$22:$BE$60,,$AH792), 1 / ($BF$22:$BF$60*CC792), N($AU$22:$AU$60&gt;$AM792)),
SUMPRODUCT(INDEX($AV$22:$AX$45,,$AI792), INDEX($AY$22:$BE$45,,$AH792), 1 / ($BG$22:$BG$45*CC792), N($AU$22:$AU$45&gt;$AM792))
) / 1000</f>
        <v>0</v>
      </c>
      <c r="CF792" s="229">
        <f t="shared" si="836"/>
        <v>0</v>
      </c>
      <c r="CG792" s="246"/>
      <c r="CH792" s="229">
        <f t="shared" si="837"/>
        <v>0</v>
      </c>
      <c r="CI792" s="228">
        <v>35</v>
      </c>
      <c r="CJ792" s="229">
        <f t="shared" si="838"/>
        <v>48</v>
      </c>
      <c r="CK792" s="234">
        <f t="shared" si="839"/>
        <v>3.0748170731707316</v>
      </c>
      <c r="CL792" s="234" cm="1">
        <f t="array" ref="CL792">$BM792 * SUMPRODUCT(INDEX($AV$76:$AX$81,,$AI792),INDEX($AY$76:$BE$81,,$AH792), N($AU$76:$AU$81&gt;$AM792)) / CK792 / 1000</f>
        <v>0</v>
      </c>
      <c r="CM792" s="231">
        <f t="shared" si="857"/>
        <v>30</v>
      </c>
      <c r="CN792" s="229">
        <f t="shared" si="840"/>
        <v>43</v>
      </c>
      <c r="CO792" s="234">
        <f t="shared" si="841"/>
        <v>3.5018750000000001</v>
      </c>
      <c r="CP792" s="234" cm="1">
        <f t="array" ref="CP792">$BM792 * IF($AH792&lt;=2,
SUMPRODUCT(INDEX($AV$71:$AX$75,,$AI792), INDEX($AY$71:$BE$75,,$AH792), 1 / ($BF$71:$BF$75*CO792 + (1-$BF$71:$BF$75)*CK792), N($AU$71:$AU$75&gt;$AM792)),
SUMPRODUCT(INDEX($AV$66:$AX$75,,$AI792), INDEX($AY$66:$BE$75,,$AH792), 1 / ($BG$66:$BG$75*CO792 + (1-$BG$66:$BG$75)*CK792), N($AU$66:$AU$75&gt;$AM792))
) / 1000</f>
        <v>0</v>
      </c>
      <c r="CQ792" s="231">
        <f t="shared" si="858"/>
        <v>25</v>
      </c>
      <c r="CR792" s="229">
        <f t="shared" si="842"/>
        <v>38</v>
      </c>
      <c r="CS792" s="234">
        <f t="shared" si="843"/>
        <v>4.0666935483870965</v>
      </c>
      <c r="CT792" s="234" cm="1">
        <f t="array" ref="CT792">$BM792 * IF($AH792&lt;=2,
SUMPRODUCT(INDEX($AV$66:$AX$70,,$AI792), INDEX($AY$66:$BE$70,,$AH792), 1 / ($BF$66:$BF$70*CS792 + (1-$BF$66:$BF$70)*CO792), N($AU$66:$AU$70&gt;$AM792)),
SUMPRODUCT(INDEX($AV$56:$AX$65,,$AI792), INDEX($AY$56:$BE$65,,$AH792), 1 / ($BG$56:$BG$65*CS792 + (1-$BG$56:$BG$65)*CO792), N($AU$56:$AU$65&gt;$AM792))
) / 1000</f>
        <v>0</v>
      </c>
      <c r="CU792" s="231">
        <f t="shared" si="859"/>
        <v>20</v>
      </c>
      <c r="CV792" s="229">
        <f t="shared" si="844"/>
        <v>33</v>
      </c>
      <c r="CW792" s="234">
        <f t="shared" si="845"/>
        <v>4.8487499999999999</v>
      </c>
      <c r="CX792" s="234" cm="1">
        <f t="array" ref="CX792">$BM792 * IF($AH792&lt;=2,
SUMPRODUCT(INDEX($AV$61:$AX$65,,$AI792), INDEX($AY$61:$BE$65,,$AH792), 1 / ($BF$61:$BF$65*CW792 + (1-$BF$61:$BF$65)*CS792), N($AU$61:$AU$65&gt;$AM792)),
SUMPRODUCT(INDEX($AV$46:$AX$55,,$AI792), INDEX($AY$46:$BE$55,,$AH792), 1 / ($BG$46:$BG$55*CW792 + (1-$BG$46:$BG$55)*CS792), N($AU$46:$AU$55&gt;$AM792))
) / 1000</f>
        <v>0</v>
      </c>
      <c r="CY792" s="234" cm="1">
        <f t="array" ref="CY792">$BM792 * IF($AH792&lt;=2,
SUMPRODUCT(INDEX($AV$22:$AX$60,,$AI792), INDEX($AY$22:$BE$60,,$AH792), 1 / ($BF$22:$BF$60*CW792), N($AU$22:$AU$60&gt;$AM792)),
SUMPRODUCT(INDEX($AV$22:$AX$45,,$AI792), INDEX($AY$22:$BE$45,,$AH792), 1 / ($BG$22:$BG$45*CW792), N($AU$22:$AU$45&gt;$AM792))
) / 1000</f>
        <v>0</v>
      </c>
      <c r="CZ792" s="229">
        <f t="shared" si="846"/>
        <v>0</v>
      </c>
      <c r="DA792" s="246"/>
    </row>
    <row r="793" spans="1:105" s="75" customFormat="1" ht="14.25" customHeight="1" x14ac:dyDescent="0.2">
      <c r="A793" s="230" t="b">
        <f t="shared" si="851"/>
        <v>0</v>
      </c>
      <c r="B793" s="253">
        <v>772</v>
      </c>
      <c r="C793" s="266"/>
      <c r="D793" s="266"/>
      <c r="E793" s="254"/>
      <c r="F793" s="255" t="str">
        <f>IF(ISBLANK(E793), "", VLOOKUP(E793, Z!$A$2:$C$4127, 3, FALSE))</f>
        <v/>
      </c>
      <c r="G793" s="256"/>
      <c r="H793" s="256"/>
      <c r="I793" s="256"/>
      <c r="J793" s="257"/>
      <c r="K793" s="258"/>
      <c r="L793" s="267"/>
      <c r="M793" s="268"/>
      <c r="N793" s="259" t="str" cm="1">
        <f t="array" ref="N793">IF($L793&gt;0, INDEX(Clean,1+AK793,$D$1), "")</f>
        <v/>
      </c>
      <c r="O793" s="260"/>
      <c r="P793" s="260"/>
      <c r="Q793" s="261"/>
      <c r="R793" s="264">
        <f t="shared" si="822"/>
        <v>0</v>
      </c>
      <c r="S793" s="259" t="str" cm="1">
        <f t="array" ref="S793">IF($L793&gt;0, INDEX(Clean,1+AL793,$D$1), "")</f>
        <v/>
      </c>
      <c r="T793" s="260"/>
      <c r="U793" s="260"/>
      <c r="V793" s="261"/>
      <c r="W793" s="267"/>
      <c r="X793" s="267"/>
      <c r="Y793" s="257"/>
      <c r="Z793" s="264">
        <f t="shared" si="823"/>
        <v>0</v>
      </c>
      <c r="AA793" s="269"/>
      <c r="AB793" s="266"/>
      <c r="AC793" s="254"/>
      <c r="AD793" s="255" t="str">
        <f>IF(ISBLANK(AC793), "", VLOOKUP(AC793, Z!$A$2:$C$4127, 3, FALSE))</f>
        <v/>
      </c>
      <c r="AE793" s="270"/>
      <c r="AF793" s="265">
        <f t="shared" si="824"/>
        <v>0</v>
      </c>
      <c r="AG793" s="246"/>
      <c r="AH793" s="228">
        <f t="shared" si="847"/>
        <v>1</v>
      </c>
      <c r="AI793" s="228">
        <f t="shared" si="848"/>
        <v>1</v>
      </c>
      <c r="AJ793" s="228">
        <f t="shared" si="849"/>
        <v>0</v>
      </c>
      <c r="AK793" s="228">
        <v>0</v>
      </c>
      <c r="AL793" s="228">
        <v>0</v>
      </c>
      <c r="AM793" s="228">
        <f t="shared" si="825"/>
        <v>-100</v>
      </c>
      <c r="AN793" s="228" cm="1">
        <f t="array" ref="AN793">IF(ISBLANK(G793), 1, IFERROR(MATCH(G793, INDEX(Kat,,1), 0), IFERROR(MATCH(Kat, INDEX(Use,,2), 0), MATCH(Kat, INDEX(Use,,3), 0))))</f>
        <v>1</v>
      </c>
      <c r="AO793" s="246"/>
      <c r="AP793" s="228" cm="1">
        <f t="array" ref="AP793">IF(W793&gt;0, INDEX(Kat, AN793,4), 0)</f>
        <v>0</v>
      </c>
      <c r="AQ793" s="228">
        <f t="shared" si="850"/>
        <v>0</v>
      </c>
      <c r="AR793" s="228" cm="1">
        <f t="array" ref="AR793">IF(X793&gt;0, INDEX(Kat, $AN793, 4+AQ793), 0)</f>
        <v>0</v>
      </c>
      <c r="AS793" s="228" cm="1">
        <f t="array" ref="AS793">IF(X793&gt;0, INDEX(Kat, $AN793, 9+AQ793), 0)</f>
        <v>0</v>
      </c>
      <c r="AT793" s="246"/>
      <c r="AU793" s="262"/>
      <c r="AV793" s="262"/>
      <c r="AW793" s="263"/>
      <c r="AX793" s="263"/>
      <c r="AY793" s="263"/>
      <c r="AZ793" s="263"/>
      <c r="BA793" s="263"/>
      <c r="BB793" s="263"/>
      <c r="BC793" s="263"/>
      <c r="BD793" s="263"/>
      <c r="BE793" s="263"/>
      <c r="BF793" s="263"/>
      <c r="BG793" s="263"/>
      <c r="BH793" s="246"/>
      <c r="BI793" s="228" cm="1">
        <f t="array" ref="BI793">INDEX(Use, $AH793, 4)</f>
        <v>7</v>
      </c>
      <c r="BJ793" s="228">
        <f t="shared" si="826"/>
        <v>32</v>
      </c>
      <c r="BK793" s="228">
        <f t="shared" si="852"/>
        <v>13</v>
      </c>
      <c r="BL793" s="228">
        <f t="shared" si="853"/>
        <v>0</v>
      </c>
      <c r="BM793" s="233" cm="1">
        <f t="array" ref="BM793">L793/IF($M793&gt;0, INDEX($AY$22:$BE$76, $M793+20, $AH793), 1)</f>
        <v>0</v>
      </c>
      <c r="BN793" s="229">
        <f t="shared" si="827"/>
        <v>0</v>
      </c>
      <c r="BO793" s="228">
        <v>35</v>
      </c>
      <c r="BP793" s="229">
        <f t="shared" si="828"/>
        <v>48</v>
      </c>
      <c r="BQ793" s="234">
        <f t="shared" si="829"/>
        <v>3.0748170731707316</v>
      </c>
      <c r="BR793" s="234" cm="1">
        <f t="array" ref="BR793">$BM793 * SUMPRODUCT(INDEX($AV$76:$AX$81,,$AI793),INDEX($AY$76:$BE$81,,$AH793), N($AU$76:$AU$81&gt;$AM793)) / BQ793 / 1000</f>
        <v>0</v>
      </c>
      <c r="BS793" s="231">
        <f t="shared" si="854"/>
        <v>30</v>
      </c>
      <c r="BT793" s="229">
        <f t="shared" si="830"/>
        <v>43</v>
      </c>
      <c r="BU793" s="234">
        <f t="shared" si="831"/>
        <v>3.5018750000000001</v>
      </c>
      <c r="BV793" s="234" cm="1">
        <f t="array" ref="BV793">$BM793 * IF($AH793&lt;=2,
SUMPRODUCT(INDEX($AV$71:$AX$75,,$AI793), INDEX($AY$71:$BE$75,,$AH793), 1 / ($BF$71:$BF$75*BU793 + (1-$BF$71:$BF$75)*BQ793), N($AU$71:$AU$75&gt;$AM793)),
SUMPRODUCT(INDEX($AV$66:$AX$75,,$AI793), INDEX($AY$66:$BE$75,,$AH793), 1 / ($BG$66:$BG$75*BU793 + (1-$BG$66:$BG$75)*BQ793), N($AU$66:$AU$75&gt;$AM793))
) / 1000</f>
        <v>0</v>
      </c>
      <c r="BW793" s="231">
        <f t="shared" si="855"/>
        <v>25</v>
      </c>
      <c r="BX793" s="229">
        <f t="shared" si="832"/>
        <v>38</v>
      </c>
      <c r="BY793" s="234">
        <f t="shared" si="833"/>
        <v>4.0666935483870965</v>
      </c>
      <c r="BZ793" s="234" cm="1">
        <f t="array" ref="BZ793">$BM793 * IF($AH793&lt;=2,
SUMPRODUCT(INDEX($AV$66:$AX$70,,$AI793), INDEX($AY$66:$BE$70,,$AH793), 1 / ($BF$66:$BF$70*BY793 + (1-$BF$66:$BF$70)*BU793), N($AU$66:$AU$70&gt;$AM793)),
SUMPRODUCT(INDEX($AV$56:$AX$65,,$AI793), INDEX($AY$56:$BE$65,,$AH793), 1 / ($BG$56:$BG$65*BY793 + (1-$BG$56:$BG$65)*BU793), N($AU$56:$AU$65&gt;$AM793))
) / 1000</f>
        <v>0</v>
      </c>
      <c r="CA793" s="231">
        <f t="shared" si="856"/>
        <v>20</v>
      </c>
      <c r="CB793" s="229">
        <f t="shared" si="834"/>
        <v>33</v>
      </c>
      <c r="CC793" s="234">
        <f t="shared" si="835"/>
        <v>4.8487499999999999</v>
      </c>
      <c r="CD793" s="234" cm="1">
        <f t="array" ref="CD793">$BM793 * IF($AH793&lt;=2,
SUMPRODUCT(INDEX($AV$61:$AX$65,,$AI793), INDEX($AY$61:$BE$65,,$AH793), 1 / ($BF$61:$BF$65*CC793 + (1-$BF$61:$BF$65)*BY793), N($AU$61:$AU$65&gt;$AM793)),
SUMPRODUCT(INDEX($AV$46:$AX$55,,$AI793), INDEX($AY$46:$BE$55,,$AH793), 1 / ($BG$46:$BG$55*CC793 + (1-$BG$46:$BG$55)*BY793), N($AU$46:$AU$55&gt;$AM793))
) / 1000</f>
        <v>0</v>
      </c>
      <c r="CE793" s="234" cm="1">
        <f t="array" ref="CE793">$BM793 * IF($AH793&lt;=2,
SUMPRODUCT(INDEX($AV$22:$AX$60,,$AI793), INDEX($AY$22:$BE$60,,$AH793), 1 / ($BF$22:$BF$60*CC793), N($AU$22:$AU$60&gt;$AM793)),
SUMPRODUCT(INDEX($AV$22:$AX$45,,$AI793), INDEX($AY$22:$BE$45,,$AH793), 1 / ($BG$22:$BG$45*CC793), N($AU$22:$AU$45&gt;$AM793))
) / 1000</f>
        <v>0</v>
      </c>
      <c r="CF793" s="229">
        <f t="shared" si="836"/>
        <v>0</v>
      </c>
      <c r="CG793" s="246"/>
      <c r="CH793" s="229">
        <f t="shared" si="837"/>
        <v>0</v>
      </c>
      <c r="CI793" s="228">
        <v>35</v>
      </c>
      <c r="CJ793" s="229">
        <f t="shared" si="838"/>
        <v>48</v>
      </c>
      <c r="CK793" s="234">
        <f t="shared" si="839"/>
        <v>3.0748170731707316</v>
      </c>
      <c r="CL793" s="234" cm="1">
        <f t="array" ref="CL793">$BM793 * SUMPRODUCT(INDEX($AV$76:$AX$81,,$AI793),INDEX($AY$76:$BE$81,,$AH793), N($AU$76:$AU$81&gt;$AM793)) / CK793 / 1000</f>
        <v>0</v>
      </c>
      <c r="CM793" s="231">
        <f t="shared" si="857"/>
        <v>30</v>
      </c>
      <c r="CN793" s="229">
        <f t="shared" si="840"/>
        <v>43</v>
      </c>
      <c r="CO793" s="234">
        <f t="shared" si="841"/>
        <v>3.5018750000000001</v>
      </c>
      <c r="CP793" s="234" cm="1">
        <f t="array" ref="CP793">$BM793 * IF($AH793&lt;=2,
SUMPRODUCT(INDEX($AV$71:$AX$75,,$AI793), INDEX($AY$71:$BE$75,,$AH793), 1 / ($BF$71:$BF$75*CO793 + (1-$BF$71:$BF$75)*CK793), N($AU$71:$AU$75&gt;$AM793)),
SUMPRODUCT(INDEX($AV$66:$AX$75,,$AI793), INDEX($AY$66:$BE$75,,$AH793), 1 / ($BG$66:$BG$75*CO793 + (1-$BG$66:$BG$75)*CK793), N($AU$66:$AU$75&gt;$AM793))
) / 1000</f>
        <v>0</v>
      </c>
      <c r="CQ793" s="231">
        <f t="shared" si="858"/>
        <v>25</v>
      </c>
      <c r="CR793" s="229">
        <f t="shared" si="842"/>
        <v>38</v>
      </c>
      <c r="CS793" s="234">
        <f t="shared" si="843"/>
        <v>4.0666935483870965</v>
      </c>
      <c r="CT793" s="234" cm="1">
        <f t="array" ref="CT793">$BM793 * IF($AH793&lt;=2,
SUMPRODUCT(INDEX($AV$66:$AX$70,,$AI793), INDEX($AY$66:$BE$70,,$AH793), 1 / ($BF$66:$BF$70*CS793 + (1-$BF$66:$BF$70)*CO793), N($AU$66:$AU$70&gt;$AM793)),
SUMPRODUCT(INDEX($AV$56:$AX$65,,$AI793), INDEX($AY$56:$BE$65,,$AH793), 1 / ($BG$56:$BG$65*CS793 + (1-$BG$56:$BG$65)*CO793), N($AU$56:$AU$65&gt;$AM793))
) / 1000</f>
        <v>0</v>
      </c>
      <c r="CU793" s="231">
        <f t="shared" si="859"/>
        <v>20</v>
      </c>
      <c r="CV793" s="229">
        <f t="shared" si="844"/>
        <v>33</v>
      </c>
      <c r="CW793" s="234">
        <f t="shared" si="845"/>
        <v>4.8487499999999999</v>
      </c>
      <c r="CX793" s="234" cm="1">
        <f t="array" ref="CX793">$BM793 * IF($AH793&lt;=2,
SUMPRODUCT(INDEX($AV$61:$AX$65,,$AI793), INDEX($AY$61:$BE$65,,$AH793), 1 / ($BF$61:$BF$65*CW793 + (1-$BF$61:$BF$65)*CS793), N($AU$61:$AU$65&gt;$AM793)),
SUMPRODUCT(INDEX($AV$46:$AX$55,,$AI793), INDEX($AY$46:$BE$55,,$AH793), 1 / ($BG$46:$BG$55*CW793 + (1-$BG$46:$BG$55)*CS793), N($AU$46:$AU$55&gt;$AM793))
) / 1000</f>
        <v>0</v>
      </c>
      <c r="CY793" s="234" cm="1">
        <f t="array" ref="CY793">$BM793 * IF($AH793&lt;=2,
SUMPRODUCT(INDEX($AV$22:$AX$60,,$AI793), INDEX($AY$22:$BE$60,,$AH793), 1 / ($BF$22:$BF$60*CW793), N($AU$22:$AU$60&gt;$AM793)),
SUMPRODUCT(INDEX($AV$22:$AX$45,,$AI793), INDEX($AY$22:$BE$45,,$AH793), 1 / ($BG$22:$BG$45*CW793), N($AU$22:$AU$45&gt;$AM793))
) / 1000</f>
        <v>0</v>
      </c>
      <c r="CZ793" s="229">
        <f t="shared" si="846"/>
        <v>0</v>
      </c>
      <c r="DA793" s="246"/>
    </row>
    <row r="794" spans="1:105" s="75" customFormat="1" ht="14.25" customHeight="1" x14ac:dyDescent="0.2">
      <c r="A794" s="230" t="b">
        <f t="shared" si="851"/>
        <v>0</v>
      </c>
      <c r="B794" s="253">
        <v>773</v>
      </c>
      <c r="C794" s="266"/>
      <c r="D794" s="266"/>
      <c r="E794" s="254"/>
      <c r="F794" s="255" t="str">
        <f>IF(ISBLANK(E794), "", VLOOKUP(E794, Z!$A$2:$C$4127, 3, FALSE))</f>
        <v/>
      </c>
      <c r="G794" s="256"/>
      <c r="H794" s="256"/>
      <c r="I794" s="256"/>
      <c r="J794" s="257"/>
      <c r="K794" s="258"/>
      <c r="L794" s="267"/>
      <c r="M794" s="268"/>
      <c r="N794" s="259" t="str" cm="1">
        <f t="array" ref="N794">IF($L794&gt;0, INDEX(Clean,1+AK794,$D$1), "")</f>
        <v/>
      </c>
      <c r="O794" s="260"/>
      <c r="P794" s="260"/>
      <c r="Q794" s="261"/>
      <c r="R794" s="264">
        <f t="shared" si="822"/>
        <v>0</v>
      </c>
      <c r="S794" s="259" t="str" cm="1">
        <f t="array" ref="S794">IF($L794&gt;0, INDEX(Clean,1+AL794,$D$1), "")</f>
        <v/>
      </c>
      <c r="T794" s="260"/>
      <c r="U794" s="260"/>
      <c r="V794" s="261"/>
      <c r="W794" s="267"/>
      <c r="X794" s="267"/>
      <c r="Y794" s="257"/>
      <c r="Z794" s="264">
        <f t="shared" si="823"/>
        <v>0</v>
      </c>
      <c r="AA794" s="269"/>
      <c r="AB794" s="266"/>
      <c r="AC794" s="254"/>
      <c r="AD794" s="255" t="str">
        <f>IF(ISBLANK(AC794), "", VLOOKUP(AC794, Z!$A$2:$C$4127, 3, FALSE))</f>
        <v/>
      </c>
      <c r="AE794" s="270"/>
      <c r="AF794" s="265">
        <f t="shared" si="824"/>
        <v>0</v>
      </c>
      <c r="AG794" s="246"/>
      <c r="AH794" s="228">
        <f t="shared" si="847"/>
        <v>1</v>
      </c>
      <c r="AI794" s="228">
        <f t="shared" si="848"/>
        <v>1</v>
      </c>
      <c r="AJ794" s="228">
        <f t="shared" si="849"/>
        <v>0</v>
      </c>
      <c r="AK794" s="228">
        <v>0</v>
      </c>
      <c r="AL794" s="228">
        <v>0</v>
      </c>
      <c r="AM794" s="228">
        <f t="shared" si="825"/>
        <v>-100</v>
      </c>
      <c r="AN794" s="228" cm="1">
        <f t="array" ref="AN794">IF(ISBLANK(G794), 1, IFERROR(MATCH(G794, INDEX(Kat,,1), 0), IFERROR(MATCH(Kat, INDEX(Use,,2), 0), MATCH(Kat, INDEX(Use,,3), 0))))</f>
        <v>1</v>
      </c>
      <c r="AO794" s="246"/>
      <c r="AP794" s="228" cm="1">
        <f t="array" ref="AP794">IF(W794&gt;0, INDEX(Kat, AN794,4), 0)</f>
        <v>0</v>
      </c>
      <c r="AQ794" s="228">
        <f t="shared" si="850"/>
        <v>0</v>
      </c>
      <c r="AR794" s="228" cm="1">
        <f t="array" ref="AR794">IF(X794&gt;0, INDEX(Kat, $AN794, 4+AQ794), 0)</f>
        <v>0</v>
      </c>
      <c r="AS794" s="228" cm="1">
        <f t="array" ref="AS794">IF(X794&gt;0, INDEX(Kat, $AN794, 9+AQ794), 0)</f>
        <v>0</v>
      </c>
      <c r="AT794" s="246"/>
      <c r="AU794" s="262"/>
      <c r="AV794" s="262"/>
      <c r="AW794" s="263"/>
      <c r="AX794" s="263"/>
      <c r="AY794" s="263"/>
      <c r="AZ794" s="263"/>
      <c r="BA794" s="263"/>
      <c r="BB794" s="263"/>
      <c r="BC794" s="263"/>
      <c r="BD794" s="263"/>
      <c r="BE794" s="263"/>
      <c r="BF794" s="263"/>
      <c r="BG794" s="263"/>
      <c r="BH794" s="246"/>
      <c r="BI794" s="228" cm="1">
        <f t="array" ref="BI794">INDEX(Use, $AH794, 4)</f>
        <v>7</v>
      </c>
      <c r="BJ794" s="228">
        <f t="shared" si="826"/>
        <v>32</v>
      </c>
      <c r="BK794" s="228">
        <f t="shared" si="852"/>
        <v>13</v>
      </c>
      <c r="BL794" s="228">
        <f t="shared" si="853"/>
        <v>0</v>
      </c>
      <c r="BM794" s="233" cm="1">
        <f t="array" ref="BM794">L794/IF($M794&gt;0, INDEX($AY$22:$BE$76, $M794+20, $AH794), 1)</f>
        <v>0</v>
      </c>
      <c r="BN794" s="229">
        <f t="shared" si="827"/>
        <v>0</v>
      </c>
      <c r="BO794" s="228">
        <v>35</v>
      </c>
      <c r="BP794" s="229">
        <f t="shared" si="828"/>
        <v>48</v>
      </c>
      <c r="BQ794" s="234">
        <f t="shared" si="829"/>
        <v>3.0748170731707316</v>
      </c>
      <c r="BR794" s="234" cm="1">
        <f t="array" ref="BR794">$BM794 * SUMPRODUCT(INDEX($AV$76:$AX$81,,$AI794),INDEX($AY$76:$BE$81,,$AH794), N($AU$76:$AU$81&gt;$AM794)) / BQ794 / 1000</f>
        <v>0</v>
      </c>
      <c r="BS794" s="231">
        <f t="shared" si="854"/>
        <v>30</v>
      </c>
      <c r="BT794" s="229">
        <f t="shared" si="830"/>
        <v>43</v>
      </c>
      <c r="BU794" s="234">
        <f t="shared" si="831"/>
        <v>3.5018750000000001</v>
      </c>
      <c r="BV794" s="234" cm="1">
        <f t="array" ref="BV794">$BM794 * IF($AH794&lt;=2,
SUMPRODUCT(INDEX($AV$71:$AX$75,,$AI794), INDEX($AY$71:$BE$75,,$AH794), 1 / ($BF$71:$BF$75*BU794 + (1-$BF$71:$BF$75)*BQ794), N($AU$71:$AU$75&gt;$AM794)),
SUMPRODUCT(INDEX($AV$66:$AX$75,,$AI794), INDEX($AY$66:$BE$75,,$AH794), 1 / ($BG$66:$BG$75*BU794 + (1-$BG$66:$BG$75)*BQ794), N($AU$66:$AU$75&gt;$AM794))
) / 1000</f>
        <v>0</v>
      </c>
      <c r="BW794" s="231">
        <f t="shared" si="855"/>
        <v>25</v>
      </c>
      <c r="BX794" s="229">
        <f t="shared" si="832"/>
        <v>38</v>
      </c>
      <c r="BY794" s="234">
        <f t="shared" si="833"/>
        <v>4.0666935483870965</v>
      </c>
      <c r="BZ794" s="234" cm="1">
        <f t="array" ref="BZ794">$BM794 * IF($AH794&lt;=2,
SUMPRODUCT(INDEX($AV$66:$AX$70,,$AI794), INDEX($AY$66:$BE$70,,$AH794), 1 / ($BF$66:$BF$70*BY794 + (1-$BF$66:$BF$70)*BU794), N($AU$66:$AU$70&gt;$AM794)),
SUMPRODUCT(INDEX($AV$56:$AX$65,,$AI794), INDEX($AY$56:$BE$65,,$AH794), 1 / ($BG$56:$BG$65*BY794 + (1-$BG$56:$BG$65)*BU794), N($AU$56:$AU$65&gt;$AM794))
) / 1000</f>
        <v>0</v>
      </c>
      <c r="CA794" s="231">
        <f t="shared" si="856"/>
        <v>20</v>
      </c>
      <c r="CB794" s="229">
        <f t="shared" si="834"/>
        <v>33</v>
      </c>
      <c r="CC794" s="234">
        <f t="shared" si="835"/>
        <v>4.8487499999999999</v>
      </c>
      <c r="CD794" s="234" cm="1">
        <f t="array" ref="CD794">$BM794 * IF($AH794&lt;=2,
SUMPRODUCT(INDEX($AV$61:$AX$65,,$AI794), INDEX($AY$61:$BE$65,,$AH794), 1 / ($BF$61:$BF$65*CC794 + (1-$BF$61:$BF$65)*BY794), N($AU$61:$AU$65&gt;$AM794)),
SUMPRODUCT(INDEX($AV$46:$AX$55,,$AI794), INDEX($AY$46:$BE$55,,$AH794), 1 / ($BG$46:$BG$55*CC794 + (1-$BG$46:$BG$55)*BY794), N($AU$46:$AU$55&gt;$AM794))
) / 1000</f>
        <v>0</v>
      </c>
      <c r="CE794" s="234" cm="1">
        <f t="array" ref="CE794">$BM794 * IF($AH794&lt;=2,
SUMPRODUCT(INDEX($AV$22:$AX$60,,$AI794), INDEX($AY$22:$BE$60,,$AH794), 1 / ($BF$22:$BF$60*CC794), N($AU$22:$AU$60&gt;$AM794)),
SUMPRODUCT(INDEX($AV$22:$AX$45,,$AI794), INDEX($AY$22:$BE$45,,$AH794), 1 / ($BG$22:$BG$45*CC794), N($AU$22:$AU$45&gt;$AM794))
) / 1000</f>
        <v>0</v>
      </c>
      <c r="CF794" s="229">
        <f t="shared" si="836"/>
        <v>0</v>
      </c>
      <c r="CG794" s="246"/>
      <c r="CH794" s="229">
        <f t="shared" si="837"/>
        <v>0</v>
      </c>
      <c r="CI794" s="228">
        <v>35</v>
      </c>
      <c r="CJ794" s="229">
        <f t="shared" si="838"/>
        <v>48</v>
      </c>
      <c r="CK794" s="234">
        <f t="shared" si="839"/>
        <v>3.0748170731707316</v>
      </c>
      <c r="CL794" s="234" cm="1">
        <f t="array" ref="CL794">$BM794 * SUMPRODUCT(INDEX($AV$76:$AX$81,,$AI794),INDEX($AY$76:$BE$81,,$AH794), N($AU$76:$AU$81&gt;$AM794)) / CK794 / 1000</f>
        <v>0</v>
      </c>
      <c r="CM794" s="231">
        <f t="shared" si="857"/>
        <v>30</v>
      </c>
      <c r="CN794" s="229">
        <f t="shared" si="840"/>
        <v>43</v>
      </c>
      <c r="CO794" s="234">
        <f t="shared" si="841"/>
        <v>3.5018750000000001</v>
      </c>
      <c r="CP794" s="234" cm="1">
        <f t="array" ref="CP794">$BM794 * IF($AH794&lt;=2,
SUMPRODUCT(INDEX($AV$71:$AX$75,,$AI794), INDEX($AY$71:$BE$75,,$AH794), 1 / ($BF$71:$BF$75*CO794 + (1-$BF$71:$BF$75)*CK794), N($AU$71:$AU$75&gt;$AM794)),
SUMPRODUCT(INDEX($AV$66:$AX$75,,$AI794), INDEX($AY$66:$BE$75,,$AH794), 1 / ($BG$66:$BG$75*CO794 + (1-$BG$66:$BG$75)*CK794), N($AU$66:$AU$75&gt;$AM794))
) / 1000</f>
        <v>0</v>
      </c>
      <c r="CQ794" s="231">
        <f t="shared" si="858"/>
        <v>25</v>
      </c>
      <c r="CR794" s="229">
        <f t="shared" si="842"/>
        <v>38</v>
      </c>
      <c r="CS794" s="234">
        <f t="shared" si="843"/>
        <v>4.0666935483870965</v>
      </c>
      <c r="CT794" s="234" cm="1">
        <f t="array" ref="CT794">$BM794 * IF($AH794&lt;=2,
SUMPRODUCT(INDEX($AV$66:$AX$70,,$AI794), INDEX($AY$66:$BE$70,,$AH794), 1 / ($BF$66:$BF$70*CS794 + (1-$BF$66:$BF$70)*CO794), N($AU$66:$AU$70&gt;$AM794)),
SUMPRODUCT(INDEX($AV$56:$AX$65,,$AI794), INDEX($AY$56:$BE$65,,$AH794), 1 / ($BG$56:$BG$65*CS794 + (1-$BG$56:$BG$65)*CO794), N($AU$56:$AU$65&gt;$AM794))
) / 1000</f>
        <v>0</v>
      </c>
      <c r="CU794" s="231">
        <f t="shared" si="859"/>
        <v>20</v>
      </c>
      <c r="CV794" s="229">
        <f t="shared" si="844"/>
        <v>33</v>
      </c>
      <c r="CW794" s="234">
        <f t="shared" si="845"/>
        <v>4.8487499999999999</v>
      </c>
      <c r="CX794" s="234" cm="1">
        <f t="array" ref="CX794">$BM794 * IF($AH794&lt;=2,
SUMPRODUCT(INDEX($AV$61:$AX$65,,$AI794), INDEX($AY$61:$BE$65,,$AH794), 1 / ($BF$61:$BF$65*CW794 + (1-$BF$61:$BF$65)*CS794), N($AU$61:$AU$65&gt;$AM794)),
SUMPRODUCT(INDEX($AV$46:$AX$55,,$AI794), INDEX($AY$46:$BE$55,,$AH794), 1 / ($BG$46:$BG$55*CW794 + (1-$BG$46:$BG$55)*CS794), N($AU$46:$AU$55&gt;$AM794))
) / 1000</f>
        <v>0</v>
      </c>
      <c r="CY794" s="234" cm="1">
        <f t="array" ref="CY794">$BM794 * IF($AH794&lt;=2,
SUMPRODUCT(INDEX($AV$22:$AX$60,,$AI794), INDEX($AY$22:$BE$60,,$AH794), 1 / ($BF$22:$BF$60*CW794), N($AU$22:$AU$60&gt;$AM794)),
SUMPRODUCT(INDEX($AV$22:$AX$45,,$AI794), INDEX($AY$22:$BE$45,,$AH794), 1 / ($BG$22:$BG$45*CW794), N($AU$22:$AU$45&gt;$AM794))
) / 1000</f>
        <v>0</v>
      </c>
      <c r="CZ794" s="229">
        <f t="shared" si="846"/>
        <v>0</v>
      </c>
      <c r="DA794" s="246"/>
    </row>
    <row r="795" spans="1:105" s="75" customFormat="1" ht="14.25" customHeight="1" x14ac:dyDescent="0.2">
      <c r="A795" s="230" t="b">
        <f t="shared" si="851"/>
        <v>0</v>
      </c>
      <c r="B795" s="253">
        <v>774</v>
      </c>
      <c r="C795" s="266"/>
      <c r="D795" s="266"/>
      <c r="E795" s="254"/>
      <c r="F795" s="255" t="str">
        <f>IF(ISBLANK(E795), "", VLOOKUP(E795, Z!$A$2:$C$4127, 3, FALSE))</f>
        <v/>
      </c>
      <c r="G795" s="256"/>
      <c r="H795" s="256"/>
      <c r="I795" s="256"/>
      <c r="J795" s="257"/>
      <c r="K795" s="258"/>
      <c r="L795" s="267"/>
      <c r="M795" s="268"/>
      <c r="N795" s="259" t="str" cm="1">
        <f t="array" ref="N795">IF($L795&gt;0, INDEX(Clean,1+AK795,$D$1), "")</f>
        <v/>
      </c>
      <c r="O795" s="260"/>
      <c r="P795" s="260"/>
      <c r="Q795" s="261"/>
      <c r="R795" s="264">
        <f t="shared" si="822"/>
        <v>0</v>
      </c>
      <c r="S795" s="259" t="str" cm="1">
        <f t="array" ref="S795">IF($L795&gt;0, INDEX(Clean,1+AL795,$D$1), "")</f>
        <v/>
      </c>
      <c r="T795" s="260"/>
      <c r="U795" s="260"/>
      <c r="V795" s="261"/>
      <c r="W795" s="267"/>
      <c r="X795" s="267"/>
      <c r="Y795" s="257"/>
      <c r="Z795" s="264">
        <f t="shared" si="823"/>
        <v>0</v>
      </c>
      <c r="AA795" s="269"/>
      <c r="AB795" s="266"/>
      <c r="AC795" s="254"/>
      <c r="AD795" s="255" t="str">
        <f>IF(ISBLANK(AC795), "", VLOOKUP(AC795, Z!$A$2:$C$4127, 3, FALSE))</f>
        <v/>
      </c>
      <c r="AE795" s="270"/>
      <c r="AF795" s="265">
        <f t="shared" si="824"/>
        <v>0</v>
      </c>
      <c r="AG795" s="246"/>
      <c r="AH795" s="228">
        <f t="shared" si="847"/>
        <v>1</v>
      </c>
      <c r="AI795" s="228">
        <f t="shared" si="848"/>
        <v>1</v>
      </c>
      <c r="AJ795" s="228">
        <f t="shared" si="849"/>
        <v>0</v>
      </c>
      <c r="AK795" s="228">
        <v>0</v>
      </c>
      <c r="AL795" s="228">
        <v>0</v>
      </c>
      <c r="AM795" s="228">
        <f t="shared" si="825"/>
        <v>-100</v>
      </c>
      <c r="AN795" s="228" cm="1">
        <f t="array" ref="AN795">IF(ISBLANK(G795), 1, IFERROR(MATCH(G795, INDEX(Kat,,1), 0), IFERROR(MATCH(Kat, INDEX(Use,,2), 0), MATCH(Kat, INDEX(Use,,3), 0))))</f>
        <v>1</v>
      </c>
      <c r="AO795" s="246"/>
      <c r="AP795" s="228" cm="1">
        <f t="array" ref="AP795">IF(W795&gt;0, INDEX(Kat, AN795,4), 0)</f>
        <v>0</v>
      </c>
      <c r="AQ795" s="228">
        <f t="shared" si="850"/>
        <v>0</v>
      </c>
      <c r="AR795" s="228" cm="1">
        <f t="array" ref="AR795">IF(X795&gt;0, INDEX(Kat, $AN795, 4+AQ795), 0)</f>
        <v>0</v>
      </c>
      <c r="AS795" s="228" cm="1">
        <f t="array" ref="AS795">IF(X795&gt;0, INDEX(Kat, $AN795, 9+AQ795), 0)</f>
        <v>0</v>
      </c>
      <c r="AT795" s="246"/>
      <c r="AU795" s="262"/>
      <c r="AV795" s="262"/>
      <c r="AW795" s="263"/>
      <c r="AX795" s="263"/>
      <c r="AY795" s="263"/>
      <c r="AZ795" s="263"/>
      <c r="BA795" s="263"/>
      <c r="BB795" s="263"/>
      <c r="BC795" s="263"/>
      <c r="BD795" s="263"/>
      <c r="BE795" s="263"/>
      <c r="BF795" s="263"/>
      <c r="BG795" s="263"/>
      <c r="BH795" s="246"/>
      <c r="BI795" s="228" cm="1">
        <f t="array" ref="BI795">INDEX(Use, $AH795, 4)</f>
        <v>7</v>
      </c>
      <c r="BJ795" s="228">
        <f t="shared" si="826"/>
        <v>32</v>
      </c>
      <c r="BK795" s="228">
        <f t="shared" si="852"/>
        <v>13</v>
      </c>
      <c r="BL795" s="228">
        <f t="shared" si="853"/>
        <v>0</v>
      </c>
      <c r="BM795" s="233" cm="1">
        <f t="array" ref="BM795">L795/IF($M795&gt;0, INDEX($AY$22:$BE$76, $M795+20, $AH795), 1)</f>
        <v>0</v>
      </c>
      <c r="BN795" s="229">
        <f t="shared" si="827"/>
        <v>0</v>
      </c>
      <c r="BO795" s="228">
        <v>35</v>
      </c>
      <c r="BP795" s="229">
        <f t="shared" si="828"/>
        <v>48</v>
      </c>
      <c r="BQ795" s="234">
        <f t="shared" si="829"/>
        <v>3.0748170731707316</v>
      </c>
      <c r="BR795" s="234" cm="1">
        <f t="array" ref="BR795">$BM795 * SUMPRODUCT(INDEX($AV$76:$AX$81,,$AI795),INDEX($AY$76:$BE$81,,$AH795), N($AU$76:$AU$81&gt;$AM795)) / BQ795 / 1000</f>
        <v>0</v>
      </c>
      <c r="BS795" s="231">
        <f t="shared" si="854"/>
        <v>30</v>
      </c>
      <c r="BT795" s="229">
        <f t="shared" si="830"/>
        <v>43</v>
      </c>
      <c r="BU795" s="234">
        <f t="shared" si="831"/>
        <v>3.5018750000000001</v>
      </c>
      <c r="BV795" s="234" cm="1">
        <f t="array" ref="BV795">$BM795 * IF($AH795&lt;=2,
SUMPRODUCT(INDEX($AV$71:$AX$75,,$AI795), INDEX($AY$71:$BE$75,,$AH795), 1 / ($BF$71:$BF$75*BU795 + (1-$BF$71:$BF$75)*BQ795), N($AU$71:$AU$75&gt;$AM795)),
SUMPRODUCT(INDEX($AV$66:$AX$75,,$AI795), INDEX($AY$66:$BE$75,,$AH795), 1 / ($BG$66:$BG$75*BU795 + (1-$BG$66:$BG$75)*BQ795), N($AU$66:$AU$75&gt;$AM795))
) / 1000</f>
        <v>0</v>
      </c>
      <c r="BW795" s="231">
        <f t="shared" si="855"/>
        <v>25</v>
      </c>
      <c r="BX795" s="229">
        <f t="shared" si="832"/>
        <v>38</v>
      </c>
      <c r="BY795" s="234">
        <f t="shared" si="833"/>
        <v>4.0666935483870965</v>
      </c>
      <c r="BZ795" s="234" cm="1">
        <f t="array" ref="BZ795">$BM795 * IF($AH795&lt;=2,
SUMPRODUCT(INDEX($AV$66:$AX$70,,$AI795), INDEX($AY$66:$BE$70,,$AH795), 1 / ($BF$66:$BF$70*BY795 + (1-$BF$66:$BF$70)*BU795), N($AU$66:$AU$70&gt;$AM795)),
SUMPRODUCT(INDEX($AV$56:$AX$65,,$AI795), INDEX($AY$56:$BE$65,,$AH795), 1 / ($BG$56:$BG$65*BY795 + (1-$BG$56:$BG$65)*BU795), N($AU$56:$AU$65&gt;$AM795))
) / 1000</f>
        <v>0</v>
      </c>
      <c r="CA795" s="231">
        <f t="shared" si="856"/>
        <v>20</v>
      </c>
      <c r="CB795" s="229">
        <f t="shared" si="834"/>
        <v>33</v>
      </c>
      <c r="CC795" s="234">
        <f t="shared" si="835"/>
        <v>4.8487499999999999</v>
      </c>
      <c r="CD795" s="234" cm="1">
        <f t="array" ref="CD795">$BM795 * IF($AH795&lt;=2,
SUMPRODUCT(INDEX($AV$61:$AX$65,,$AI795), INDEX($AY$61:$BE$65,,$AH795), 1 / ($BF$61:$BF$65*CC795 + (1-$BF$61:$BF$65)*BY795), N($AU$61:$AU$65&gt;$AM795)),
SUMPRODUCT(INDEX($AV$46:$AX$55,,$AI795), INDEX($AY$46:$BE$55,,$AH795), 1 / ($BG$46:$BG$55*CC795 + (1-$BG$46:$BG$55)*BY795), N($AU$46:$AU$55&gt;$AM795))
) / 1000</f>
        <v>0</v>
      </c>
      <c r="CE795" s="234" cm="1">
        <f t="array" ref="CE795">$BM795 * IF($AH795&lt;=2,
SUMPRODUCT(INDEX($AV$22:$AX$60,,$AI795), INDEX($AY$22:$BE$60,,$AH795), 1 / ($BF$22:$BF$60*CC795), N($AU$22:$AU$60&gt;$AM795)),
SUMPRODUCT(INDEX($AV$22:$AX$45,,$AI795), INDEX($AY$22:$BE$45,,$AH795), 1 / ($BG$22:$BG$45*CC795), N($AU$22:$AU$45&gt;$AM795))
) / 1000</f>
        <v>0</v>
      </c>
      <c r="CF795" s="229">
        <f t="shared" si="836"/>
        <v>0</v>
      </c>
      <c r="CG795" s="246"/>
      <c r="CH795" s="229">
        <f t="shared" si="837"/>
        <v>0</v>
      </c>
      <c r="CI795" s="228">
        <v>35</v>
      </c>
      <c r="CJ795" s="229">
        <f t="shared" si="838"/>
        <v>48</v>
      </c>
      <c r="CK795" s="234">
        <f t="shared" si="839"/>
        <v>3.0748170731707316</v>
      </c>
      <c r="CL795" s="234" cm="1">
        <f t="array" ref="CL795">$BM795 * SUMPRODUCT(INDEX($AV$76:$AX$81,,$AI795),INDEX($AY$76:$BE$81,,$AH795), N($AU$76:$AU$81&gt;$AM795)) / CK795 / 1000</f>
        <v>0</v>
      </c>
      <c r="CM795" s="231">
        <f t="shared" si="857"/>
        <v>30</v>
      </c>
      <c r="CN795" s="229">
        <f t="shared" si="840"/>
        <v>43</v>
      </c>
      <c r="CO795" s="234">
        <f t="shared" si="841"/>
        <v>3.5018750000000001</v>
      </c>
      <c r="CP795" s="234" cm="1">
        <f t="array" ref="CP795">$BM795 * IF($AH795&lt;=2,
SUMPRODUCT(INDEX($AV$71:$AX$75,,$AI795), INDEX($AY$71:$BE$75,,$AH795), 1 / ($BF$71:$BF$75*CO795 + (1-$BF$71:$BF$75)*CK795), N($AU$71:$AU$75&gt;$AM795)),
SUMPRODUCT(INDEX($AV$66:$AX$75,,$AI795), INDEX($AY$66:$BE$75,,$AH795), 1 / ($BG$66:$BG$75*CO795 + (1-$BG$66:$BG$75)*CK795), N($AU$66:$AU$75&gt;$AM795))
) / 1000</f>
        <v>0</v>
      </c>
      <c r="CQ795" s="231">
        <f t="shared" si="858"/>
        <v>25</v>
      </c>
      <c r="CR795" s="229">
        <f t="shared" si="842"/>
        <v>38</v>
      </c>
      <c r="CS795" s="234">
        <f t="shared" si="843"/>
        <v>4.0666935483870965</v>
      </c>
      <c r="CT795" s="234" cm="1">
        <f t="array" ref="CT795">$BM795 * IF($AH795&lt;=2,
SUMPRODUCT(INDEX($AV$66:$AX$70,,$AI795), INDEX($AY$66:$BE$70,,$AH795), 1 / ($BF$66:$BF$70*CS795 + (1-$BF$66:$BF$70)*CO795), N($AU$66:$AU$70&gt;$AM795)),
SUMPRODUCT(INDEX($AV$56:$AX$65,,$AI795), INDEX($AY$56:$BE$65,,$AH795), 1 / ($BG$56:$BG$65*CS795 + (1-$BG$56:$BG$65)*CO795), N($AU$56:$AU$65&gt;$AM795))
) / 1000</f>
        <v>0</v>
      </c>
      <c r="CU795" s="231">
        <f t="shared" si="859"/>
        <v>20</v>
      </c>
      <c r="CV795" s="229">
        <f t="shared" si="844"/>
        <v>33</v>
      </c>
      <c r="CW795" s="234">
        <f t="shared" si="845"/>
        <v>4.8487499999999999</v>
      </c>
      <c r="CX795" s="234" cm="1">
        <f t="array" ref="CX795">$BM795 * IF($AH795&lt;=2,
SUMPRODUCT(INDEX($AV$61:$AX$65,,$AI795), INDEX($AY$61:$BE$65,,$AH795), 1 / ($BF$61:$BF$65*CW795 + (1-$BF$61:$BF$65)*CS795), N($AU$61:$AU$65&gt;$AM795)),
SUMPRODUCT(INDEX($AV$46:$AX$55,,$AI795), INDEX($AY$46:$BE$55,,$AH795), 1 / ($BG$46:$BG$55*CW795 + (1-$BG$46:$BG$55)*CS795), N($AU$46:$AU$55&gt;$AM795))
) / 1000</f>
        <v>0</v>
      </c>
      <c r="CY795" s="234" cm="1">
        <f t="array" ref="CY795">$BM795 * IF($AH795&lt;=2,
SUMPRODUCT(INDEX($AV$22:$AX$60,,$AI795), INDEX($AY$22:$BE$60,,$AH795), 1 / ($BF$22:$BF$60*CW795), N($AU$22:$AU$60&gt;$AM795)),
SUMPRODUCT(INDEX($AV$22:$AX$45,,$AI795), INDEX($AY$22:$BE$45,,$AH795), 1 / ($BG$22:$BG$45*CW795), N($AU$22:$AU$45&gt;$AM795))
) / 1000</f>
        <v>0</v>
      </c>
      <c r="CZ795" s="229">
        <f t="shared" si="846"/>
        <v>0</v>
      </c>
      <c r="DA795" s="246"/>
    </row>
    <row r="796" spans="1:105" s="75" customFormat="1" ht="14.25" customHeight="1" x14ac:dyDescent="0.2">
      <c r="A796" s="230" t="b">
        <f t="shared" si="851"/>
        <v>0</v>
      </c>
      <c r="B796" s="253">
        <v>775</v>
      </c>
      <c r="C796" s="266"/>
      <c r="D796" s="266"/>
      <c r="E796" s="254"/>
      <c r="F796" s="255" t="str">
        <f>IF(ISBLANK(E796), "", VLOOKUP(E796, Z!$A$2:$C$4127, 3, FALSE))</f>
        <v/>
      </c>
      <c r="G796" s="256"/>
      <c r="H796" s="256"/>
      <c r="I796" s="256"/>
      <c r="J796" s="257"/>
      <c r="K796" s="258"/>
      <c r="L796" s="267"/>
      <c r="M796" s="268"/>
      <c r="N796" s="259" t="str" cm="1">
        <f t="array" ref="N796">IF($L796&gt;0, INDEX(Clean,1+AK796,$D$1), "")</f>
        <v/>
      </c>
      <c r="O796" s="260"/>
      <c r="P796" s="260"/>
      <c r="Q796" s="261"/>
      <c r="R796" s="264">
        <f t="shared" si="822"/>
        <v>0</v>
      </c>
      <c r="S796" s="259" t="str" cm="1">
        <f t="array" ref="S796">IF($L796&gt;0, INDEX(Clean,1+AL796,$D$1), "")</f>
        <v/>
      </c>
      <c r="T796" s="260"/>
      <c r="U796" s="260"/>
      <c r="V796" s="261"/>
      <c r="W796" s="267"/>
      <c r="X796" s="267"/>
      <c r="Y796" s="257"/>
      <c r="Z796" s="264">
        <f t="shared" si="823"/>
        <v>0</v>
      </c>
      <c r="AA796" s="269"/>
      <c r="AB796" s="266"/>
      <c r="AC796" s="254"/>
      <c r="AD796" s="255" t="str">
        <f>IF(ISBLANK(AC796), "", VLOOKUP(AC796, Z!$A$2:$C$4127, 3, FALSE))</f>
        <v/>
      </c>
      <c r="AE796" s="270"/>
      <c r="AF796" s="265">
        <f t="shared" si="824"/>
        <v>0</v>
      </c>
      <c r="AG796" s="246"/>
      <c r="AH796" s="228">
        <f t="shared" si="847"/>
        <v>1</v>
      </c>
      <c r="AI796" s="228">
        <f t="shared" si="848"/>
        <v>1</v>
      </c>
      <c r="AJ796" s="228">
        <f t="shared" si="849"/>
        <v>0</v>
      </c>
      <c r="AK796" s="228">
        <v>0</v>
      </c>
      <c r="AL796" s="228">
        <v>0</v>
      </c>
      <c r="AM796" s="228">
        <f t="shared" si="825"/>
        <v>-100</v>
      </c>
      <c r="AN796" s="228" cm="1">
        <f t="array" ref="AN796">IF(ISBLANK(G796), 1, IFERROR(MATCH(G796, INDEX(Kat,,1), 0), IFERROR(MATCH(Kat, INDEX(Use,,2), 0), MATCH(Kat, INDEX(Use,,3), 0))))</f>
        <v>1</v>
      </c>
      <c r="AO796" s="246"/>
      <c r="AP796" s="228" cm="1">
        <f t="array" ref="AP796">IF(W796&gt;0, INDEX(Kat, AN796,4), 0)</f>
        <v>0</v>
      </c>
      <c r="AQ796" s="228">
        <f t="shared" si="850"/>
        <v>0</v>
      </c>
      <c r="AR796" s="228" cm="1">
        <f t="array" ref="AR796">IF(X796&gt;0, INDEX(Kat, $AN796, 4+AQ796), 0)</f>
        <v>0</v>
      </c>
      <c r="AS796" s="228" cm="1">
        <f t="array" ref="AS796">IF(X796&gt;0, INDEX(Kat, $AN796, 9+AQ796), 0)</f>
        <v>0</v>
      </c>
      <c r="AT796" s="246"/>
      <c r="AU796" s="262"/>
      <c r="AV796" s="262"/>
      <c r="AW796" s="263"/>
      <c r="AX796" s="263"/>
      <c r="AY796" s="263"/>
      <c r="AZ796" s="263"/>
      <c r="BA796" s="263"/>
      <c r="BB796" s="263"/>
      <c r="BC796" s="263"/>
      <c r="BD796" s="263"/>
      <c r="BE796" s="263"/>
      <c r="BF796" s="263"/>
      <c r="BG796" s="263"/>
      <c r="BH796" s="246"/>
      <c r="BI796" s="228" cm="1">
        <f t="array" ref="BI796">INDEX(Use, $AH796, 4)</f>
        <v>7</v>
      </c>
      <c r="BJ796" s="228">
        <f t="shared" si="826"/>
        <v>32</v>
      </c>
      <c r="BK796" s="228">
        <f t="shared" si="852"/>
        <v>13</v>
      </c>
      <c r="BL796" s="228">
        <f t="shared" si="853"/>
        <v>0</v>
      </c>
      <c r="BM796" s="233" cm="1">
        <f t="array" ref="BM796">L796/IF($M796&gt;0, INDEX($AY$22:$BE$76, $M796+20, $AH796), 1)</f>
        <v>0</v>
      </c>
      <c r="BN796" s="229">
        <f t="shared" si="827"/>
        <v>0</v>
      </c>
      <c r="BO796" s="228">
        <v>35</v>
      </c>
      <c r="BP796" s="229">
        <f t="shared" si="828"/>
        <v>48</v>
      </c>
      <c r="BQ796" s="234">
        <f t="shared" si="829"/>
        <v>3.0748170731707316</v>
      </c>
      <c r="BR796" s="234" cm="1">
        <f t="array" ref="BR796">$BM796 * SUMPRODUCT(INDEX($AV$76:$AX$81,,$AI796),INDEX($AY$76:$BE$81,,$AH796), N($AU$76:$AU$81&gt;$AM796)) / BQ796 / 1000</f>
        <v>0</v>
      </c>
      <c r="BS796" s="231">
        <f t="shared" si="854"/>
        <v>30</v>
      </c>
      <c r="BT796" s="229">
        <f t="shared" si="830"/>
        <v>43</v>
      </c>
      <c r="BU796" s="234">
        <f t="shared" si="831"/>
        <v>3.5018750000000001</v>
      </c>
      <c r="BV796" s="234" cm="1">
        <f t="array" ref="BV796">$BM796 * IF($AH796&lt;=2,
SUMPRODUCT(INDEX($AV$71:$AX$75,,$AI796), INDEX($AY$71:$BE$75,,$AH796), 1 / ($BF$71:$BF$75*BU796 + (1-$BF$71:$BF$75)*BQ796), N($AU$71:$AU$75&gt;$AM796)),
SUMPRODUCT(INDEX($AV$66:$AX$75,,$AI796), INDEX($AY$66:$BE$75,,$AH796), 1 / ($BG$66:$BG$75*BU796 + (1-$BG$66:$BG$75)*BQ796), N($AU$66:$AU$75&gt;$AM796))
) / 1000</f>
        <v>0</v>
      </c>
      <c r="BW796" s="231">
        <f t="shared" si="855"/>
        <v>25</v>
      </c>
      <c r="BX796" s="229">
        <f t="shared" si="832"/>
        <v>38</v>
      </c>
      <c r="BY796" s="234">
        <f t="shared" si="833"/>
        <v>4.0666935483870965</v>
      </c>
      <c r="BZ796" s="234" cm="1">
        <f t="array" ref="BZ796">$BM796 * IF($AH796&lt;=2,
SUMPRODUCT(INDEX($AV$66:$AX$70,,$AI796), INDEX($AY$66:$BE$70,,$AH796), 1 / ($BF$66:$BF$70*BY796 + (1-$BF$66:$BF$70)*BU796), N($AU$66:$AU$70&gt;$AM796)),
SUMPRODUCT(INDEX($AV$56:$AX$65,,$AI796), INDEX($AY$56:$BE$65,,$AH796), 1 / ($BG$56:$BG$65*BY796 + (1-$BG$56:$BG$65)*BU796), N($AU$56:$AU$65&gt;$AM796))
) / 1000</f>
        <v>0</v>
      </c>
      <c r="CA796" s="231">
        <f t="shared" si="856"/>
        <v>20</v>
      </c>
      <c r="CB796" s="229">
        <f t="shared" si="834"/>
        <v>33</v>
      </c>
      <c r="CC796" s="234">
        <f t="shared" si="835"/>
        <v>4.8487499999999999</v>
      </c>
      <c r="CD796" s="234" cm="1">
        <f t="array" ref="CD796">$BM796 * IF($AH796&lt;=2,
SUMPRODUCT(INDEX($AV$61:$AX$65,,$AI796), INDEX($AY$61:$BE$65,,$AH796), 1 / ($BF$61:$BF$65*CC796 + (1-$BF$61:$BF$65)*BY796), N($AU$61:$AU$65&gt;$AM796)),
SUMPRODUCT(INDEX($AV$46:$AX$55,,$AI796), INDEX($AY$46:$BE$55,,$AH796), 1 / ($BG$46:$BG$55*CC796 + (1-$BG$46:$BG$55)*BY796), N($AU$46:$AU$55&gt;$AM796))
) / 1000</f>
        <v>0</v>
      </c>
      <c r="CE796" s="234" cm="1">
        <f t="array" ref="CE796">$BM796 * IF($AH796&lt;=2,
SUMPRODUCT(INDEX($AV$22:$AX$60,,$AI796), INDEX($AY$22:$BE$60,,$AH796), 1 / ($BF$22:$BF$60*CC796), N($AU$22:$AU$60&gt;$AM796)),
SUMPRODUCT(INDEX($AV$22:$AX$45,,$AI796), INDEX($AY$22:$BE$45,,$AH796), 1 / ($BG$22:$BG$45*CC796), N($AU$22:$AU$45&gt;$AM796))
) / 1000</f>
        <v>0</v>
      </c>
      <c r="CF796" s="229">
        <f t="shared" si="836"/>
        <v>0</v>
      </c>
      <c r="CG796" s="246"/>
      <c r="CH796" s="229">
        <f t="shared" si="837"/>
        <v>0</v>
      </c>
      <c r="CI796" s="228">
        <v>35</v>
      </c>
      <c r="CJ796" s="229">
        <f t="shared" si="838"/>
        <v>48</v>
      </c>
      <c r="CK796" s="234">
        <f t="shared" si="839"/>
        <v>3.0748170731707316</v>
      </c>
      <c r="CL796" s="234" cm="1">
        <f t="array" ref="CL796">$BM796 * SUMPRODUCT(INDEX($AV$76:$AX$81,,$AI796),INDEX($AY$76:$BE$81,,$AH796), N($AU$76:$AU$81&gt;$AM796)) / CK796 / 1000</f>
        <v>0</v>
      </c>
      <c r="CM796" s="231">
        <f t="shared" si="857"/>
        <v>30</v>
      </c>
      <c r="CN796" s="229">
        <f t="shared" si="840"/>
        <v>43</v>
      </c>
      <c r="CO796" s="234">
        <f t="shared" si="841"/>
        <v>3.5018750000000001</v>
      </c>
      <c r="CP796" s="234" cm="1">
        <f t="array" ref="CP796">$BM796 * IF($AH796&lt;=2,
SUMPRODUCT(INDEX($AV$71:$AX$75,,$AI796), INDEX($AY$71:$BE$75,,$AH796), 1 / ($BF$71:$BF$75*CO796 + (1-$BF$71:$BF$75)*CK796), N($AU$71:$AU$75&gt;$AM796)),
SUMPRODUCT(INDEX($AV$66:$AX$75,,$AI796), INDEX($AY$66:$BE$75,,$AH796), 1 / ($BG$66:$BG$75*CO796 + (1-$BG$66:$BG$75)*CK796), N($AU$66:$AU$75&gt;$AM796))
) / 1000</f>
        <v>0</v>
      </c>
      <c r="CQ796" s="231">
        <f t="shared" si="858"/>
        <v>25</v>
      </c>
      <c r="CR796" s="229">
        <f t="shared" si="842"/>
        <v>38</v>
      </c>
      <c r="CS796" s="234">
        <f t="shared" si="843"/>
        <v>4.0666935483870965</v>
      </c>
      <c r="CT796" s="234" cm="1">
        <f t="array" ref="CT796">$BM796 * IF($AH796&lt;=2,
SUMPRODUCT(INDEX($AV$66:$AX$70,,$AI796), INDEX($AY$66:$BE$70,,$AH796), 1 / ($BF$66:$BF$70*CS796 + (1-$BF$66:$BF$70)*CO796), N($AU$66:$AU$70&gt;$AM796)),
SUMPRODUCT(INDEX($AV$56:$AX$65,,$AI796), INDEX($AY$56:$BE$65,,$AH796), 1 / ($BG$56:$BG$65*CS796 + (1-$BG$56:$BG$65)*CO796), N($AU$56:$AU$65&gt;$AM796))
) / 1000</f>
        <v>0</v>
      </c>
      <c r="CU796" s="231">
        <f t="shared" si="859"/>
        <v>20</v>
      </c>
      <c r="CV796" s="229">
        <f t="shared" si="844"/>
        <v>33</v>
      </c>
      <c r="CW796" s="234">
        <f t="shared" si="845"/>
        <v>4.8487499999999999</v>
      </c>
      <c r="CX796" s="234" cm="1">
        <f t="array" ref="CX796">$BM796 * IF($AH796&lt;=2,
SUMPRODUCT(INDEX($AV$61:$AX$65,,$AI796), INDEX($AY$61:$BE$65,,$AH796), 1 / ($BF$61:$BF$65*CW796 + (1-$BF$61:$BF$65)*CS796), N($AU$61:$AU$65&gt;$AM796)),
SUMPRODUCT(INDEX($AV$46:$AX$55,,$AI796), INDEX($AY$46:$BE$55,,$AH796), 1 / ($BG$46:$BG$55*CW796 + (1-$BG$46:$BG$55)*CS796), N($AU$46:$AU$55&gt;$AM796))
) / 1000</f>
        <v>0</v>
      </c>
      <c r="CY796" s="234" cm="1">
        <f t="array" ref="CY796">$BM796 * IF($AH796&lt;=2,
SUMPRODUCT(INDEX($AV$22:$AX$60,,$AI796), INDEX($AY$22:$BE$60,,$AH796), 1 / ($BF$22:$BF$60*CW796), N($AU$22:$AU$60&gt;$AM796)),
SUMPRODUCT(INDEX($AV$22:$AX$45,,$AI796), INDEX($AY$22:$BE$45,,$AH796), 1 / ($BG$22:$BG$45*CW796), N($AU$22:$AU$45&gt;$AM796))
) / 1000</f>
        <v>0</v>
      </c>
      <c r="CZ796" s="229">
        <f t="shared" si="846"/>
        <v>0</v>
      </c>
      <c r="DA796" s="246"/>
    </row>
    <row r="797" spans="1:105" s="75" customFormat="1" ht="14.25" customHeight="1" x14ac:dyDescent="0.2">
      <c r="A797" s="230" t="b">
        <f t="shared" si="851"/>
        <v>0</v>
      </c>
      <c r="B797" s="253">
        <v>776</v>
      </c>
      <c r="C797" s="266"/>
      <c r="D797" s="266"/>
      <c r="E797" s="254"/>
      <c r="F797" s="255" t="str">
        <f>IF(ISBLANK(E797), "", VLOOKUP(E797, Z!$A$2:$C$4127, 3, FALSE))</f>
        <v/>
      </c>
      <c r="G797" s="256"/>
      <c r="H797" s="256"/>
      <c r="I797" s="256"/>
      <c r="J797" s="257"/>
      <c r="K797" s="258"/>
      <c r="L797" s="267"/>
      <c r="M797" s="268"/>
      <c r="N797" s="259" t="str" cm="1">
        <f t="array" ref="N797">IF($L797&gt;0, INDEX(Clean,1+AK797,$D$1), "")</f>
        <v/>
      </c>
      <c r="O797" s="260"/>
      <c r="P797" s="260"/>
      <c r="Q797" s="261"/>
      <c r="R797" s="264">
        <f t="shared" si="822"/>
        <v>0</v>
      </c>
      <c r="S797" s="259" t="str" cm="1">
        <f t="array" ref="S797">IF($L797&gt;0, INDEX(Clean,1+AL797,$D$1), "")</f>
        <v/>
      </c>
      <c r="T797" s="260"/>
      <c r="U797" s="260"/>
      <c r="V797" s="261"/>
      <c r="W797" s="267"/>
      <c r="X797" s="267"/>
      <c r="Y797" s="257"/>
      <c r="Z797" s="264">
        <f t="shared" si="823"/>
        <v>0</v>
      </c>
      <c r="AA797" s="269"/>
      <c r="AB797" s="266"/>
      <c r="AC797" s="254"/>
      <c r="AD797" s="255" t="str">
        <f>IF(ISBLANK(AC797), "", VLOOKUP(AC797, Z!$A$2:$C$4127, 3, FALSE))</f>
        <v/>
      </c>
      <c r="AE797" s="270"/>
      <c r="AF797" s="265">
        <f t="shared" si="824"/>
        <v>0</v>
      </c>
      <c r="AG797" s="246"/>
      <c r="AH797" s="228">
        <f t="shared" si="847"/>
        <v>1</v>
      </c>
      <c r="AI797" s="228">
        <f t="shared" si="848"/>
        <v>1</v>
      </c>
      <c r="AJ797" s="228">
        <f t="shared" si="849"/>
        <v>0</v>
      </c>
      <c r="AK797" s="228">
        <v>0</v>
      </c>
      <c r="AL797" s="228">
        <v>0</v>
      </c>
      <c r="AM797" s="228">
        <f t="shared" si="825"/>
        <v>-100</v>
      </c>
      <c r="AN797" s="228" cm="1">
        <f t="array" ref="AN797">IF(ISBLANK(G797), 1, IFERROR(MATCH(G797, INDEX(Kat,,1), 0), IFERROR(MATCH(Kat, INDEX(Use,,2), 0), MATCH(Kat, INDEX(Use,,3), 0))))</f>
        <v>1</v>
      </c>
      <c r="AO797" s="246"/>
      <c r="AP797" s="228" cm="1">
        <f t="array" ref="AP797">IF(W797&gt;0, INDEX(Kat, AN797,4), 0)</f>
        <v>0</v>
      </c>
      <c r="AQ797" s="228">
        <f t="shared" si="850"/>
        <v>0</v>
      </c>
      <c r="AR797" s="228" cm="1">
        <f t="array" ref="AR797">IF(X797&gt;0, INDEX(Kat, $AN797, 4+AQ797), 0)</f>
        <v>0</v>
      </c>
      <c r="AS797" s="228" cm="1">
        <f t="array" ref="AS797">IF(X797&gt;0, INDEX(Kat, $AN797, 9+AQ797), 0)</f>
        <v>0</v>
      </c>
      <c r="AT797" s="246"/>
      <c r="AU797" s="262"/>
      <c r="AV797" s="262"/>
      <c r="AW797" s="263"/>
      <c r="AX797" s="263"/>
      <c r="AY797" s="263"/>
      <c r="AZ797" s="263"/>
      <c r="BA797" s="263"/>
      <c r="BB797" s="263"/>
      <c r="BC797" s="263"/>
      <c r="BD797" s="263"/>
      <c r="BE797" s="263"/>
      <c r="BF797" s="263"/>
      <c r="BG797" s="263"/>
      <c r="BH797" s="246"/>
      <c r="BI797" s="228" cm="1">
        <f t="array" ref="BI797">INDEX(Use, $AH797, 4)</f>
        <v>7</v>
      </c>
      <c r="BJ797" s="228">
        <f t="shared" si="826"/>
        <v>32</v>
      </c>
      <c r="BK797" s="228">
        <f t="shared" si="852"/>
        <v>13</v>
      </c>
      <c r="BL797" s="228">
        <f t="shared" si="853"/>
        <v>0</v>
      </c>
      <c r="BM797" s="233" cm="1">
        <f t="array" ref="BM797">L797/IF($M797&gt;0, INDEX($AY$22:$BE$76, $M797+20, $AH797), 1)</f>
        <v>0</v>
      </c>
      <c r="BN797" s="229">
        <f t="shared" si="827"/>
        <v>0</v>
      </c>
      <c r="BO797" s="228">
        <v>35</v>
      </c>
      <c r="BP797" s="229">
        <f t="shared" si="828"/>
        <v>48</v>
      </c>
      <c r="BQ797" s="234">
        <f t="shared" si="829"/>
        <v>3.0748170731707316</v>
      </c>
      <c r="BR797" s="234" cm="1">
        <f t="array" ref="BR797">$BM797 * SUMPRODUCT(INDEX($AV$76:$AX$81,,$AI797),INDEX($AY$76:$BE$81,,$AH797), N($AU$76:$AU$81&gt;$AM797)) / BQ797 / 1000</f>
        <v>0</v>
      </c>
      <c r="BS797" s="231">
        <f t="shared" si="854"/>
        <v>30</v>
      </c>
      <c r="BT797" s="229">
        <f t="shared" si="830"/>
        <v>43</v>
      </c>
      <c r="BU797" s="234">
        <f t="shared" si="831"/>
        <v>3.5018750000000001</v>
      </c>
      <c r="BV797" s="234" cm="1">
        <f t="array" ref="BV797">$BM797 * IF($AH797&lt;=2,
SUMPRODUCT(INDEX($AV$71:$AX$75,,$AI797), INDEX($AY$71:$BE$75,,$AH797), 1 / ($BF$71:$BF$75*BU797 + (1-$BF$71:$BF$75)*BQ797), N($AU$71:$AU$75&gt;$AM797)),
SUMPRODUCT(INDEX($AV$66:$AX$75,,$AI797), INDEX($AY$66:$BE$75,,$AH797), 1 / ($BG$66:$BG$75*BU797 + (1-$BG$66:$BG$75)*BQ797), N($AU$66:$AU$75&gt;$AM797))
) / 1000</f>
        <v>0</v>
      </c>
      <c r="BW797" s="231">
        <f t="shared" si="855"/>
        <v>25</v>
      </c>
      <c r="BX797" s="229">
        <f t="shared" si="832"/>
        <v>38</v>
      </c>
      <c r="BY797" s="234">
        <f t="shared" si="833"/>
        <v>4.0666935483870965</v>
      </c>
      <c r="BZ797" s="234" cm="1">
        <f t="array" ref="BZ797">$BM797 * IF($AH797&lt;=2,
SUMPRODUCT(INDEX($AV$66:$AX$70,,$AI797), INDEX($AY$66:$BE$70,,$AH797), 1 / ($BF$66:$BF$70*BY797 + (1-$BF$66:$BF$70)*BU797), N($AU$66:$AU$70&gt;$AM797)),
SUMPRODUCT(INDEX($AV$56:$AX$65,,$AI797), INDEX($AY$56:$BE$65,,$AH797), 1 / ($BG$56:$BG$65*BY797 + (1-$BG$56:$BG$65)*BU797), N($AU$56:$AU$65&gt;$AM797))
) / 1000</f>
        <v>0</v>
      </c>
      <c r="CA797" s="231">
        <f t="shared" si="856"/>
        <v>20</v>
      </c>
      <c r="CB797" s="229">
        <f t="shared" si="834"/>
        <v>33</v>
      </c>
      <c r="CC797" s="234">
        <f t="shared" si="835"/>
        <v>4.8487499999999999</v>
      </c>
      <c r="CD797" s="234" cm="1">
        <f t="array" ref="CD797">$BM797 * IF($AH797&lt;=2,
SUMPRODUCT(INDEX($AV$61:$AX$65,,$AI797), INDEX($AY$61:$BE$65,,$AH797), 1 / ($BF$61:$BF$65*CC797 + (1-$BF$61:$BF$65)*BY797), N($AU$61:$AU$65&gt;$AM797)),
SUMPRODUCT(INDEX($AV$46:$AX$55,,$AI797), INDEX($AY$46:$BE$55,,$AH797), 1 / ($BG$46:$BG$55*CC797 + (1-$BG$46:$BG$55)*BY797), N($AU$46:$AU$55&gt;$AM797))
) / 1000</f>
        <v>0</v>
      </c>
      <c r="CE797" s="234" cm="1">
        <f t="array" ref="CE797">$BM797 * IF($AH797&lt;=2,
SUMPRODUCT(INDEX($AV$22:$AX$60,,$AI797), INDEX($AY$22:$BE$60,,$AH797), 1 / ($BF$22:$BF$60*CC797), N($AU$22:$AU$60&gt;$AM797)),
SUMPRODUCT(INDEX($AV$22:$AX$45,,$AI797), INDEX($AY$22:$BE$45,,$AH797), 1 / ($BG$22:$BG$45*CC797), N($AU$22:$AU$45&gt;$AM797))
) / 1000</f>
        <v>0</v>
      </c>
      <c r="CF797" s="229">
        <f t="shared" si="836"/>
        <v>0</v>
      </c>
      <c r="CG797" s="246"/>
      <c r="CH797" s="229">
        <f t="shared" si="837"/>
        <v>0</v>
      </c>
      <c r="CI797" s="228">
        <v>35</v>
      </c>
      <c r="CJ797" s="229">
        <f t="shared" si="838"/>
        <v>48</v>
      </c>
      <c r="CK797" s="234">
        <f t="shared" si="839"/>
        <v>3.0748170731707316</v>
      </c>
      <c r="CL797" s="234" cm="1">
        <f t="array" ref="CL797">$BM797 * SUMPRODUCT(INDEX($AV$76:$AX$81,,$AI797),INDEX($AY$76:$BE$81,,$AH797), N($AU$76:$AU$81&gt;$AM797)) / CK797 / 1000</f>
        <v>0</v>
      </c>
      <c r="CM797" s="231">
        <f t="shared" si="857"/>
        <v>30</v>
      </c>
      <c r="CN797" s="229">
        <f t="shared" si="840"/>
        <v>43</v>
      </c>
      <c r="CO797" s="234">
        <f t="shared" si="841"/>
        <v>3.5018750000000001</v>
      </c>
      <c r="CP797" s="234" cm="1">
        <f t="array" ref="CP797">$BM797 * IF($AH797&lt;=2,
SUMPRODUCT(INDEX($AV$71:$AX$75,,$AI797), INDEX($AY$71:$BE$75,,$AH797), 1 / ($BF$71:$BF$75*CO797 + (1-$BF$71:$BF$75)*CK797), N($AU$71:$AU$75&gt;$AM797)),
SUMPRODUCT(INDEX($AV$66:$AX$75,,$AI797), INDEX($AY$66:$BE$75,,$AH797), 1 / ($BG$66:$BG$75*CO797 + (1-$BG$66:$BG$75)*CK797), N($AU$66:$AU$75&gt;$AM797))
) / 1000</f>
        <v>0</v>
      </c>
      <c r="CQ797" s="231">
        <f t="shared" si="858"/>
        <v>25</v>
      </c>
      <c r="CR797" s="229">
        <f t="shared" si="842"/>
        <v>38</v>
      </c>
      <c r="CS797" s="234">
        <f t="shared" si="843"/>
        <v>4.0666935483870965</v>
      </c>
      <c r="CT797" s="234" cm="1">
        <f t="array" ref="CT797">$BM797 * IF($AH797&lt;=2,
SUMPRODUCT(INDEX($AV$66:$AX$70,,$AI797), INDEX($AY$66:$BE$70,,$AH797), 1 / ($BF$66:$BF$70*CS797 + (1-$BF$66:$BF$70)*CO797), N($AU$66:$AU$70&gt;$AM797)),
SUMPRODUCT(INDEX($AV$56:$AX$65,,$AI797), INDEX($AY$56:$BE$65,,$AH797), 1 / ($BG$56:$BG$65*CS797 + (1-$BG$56:$BG$65)*CO797), N($AU$56:$AU$65&gt;$AM797))
) / 1000</f>
        <v>0</v>
      </c>
      <c r="CU797" s="231">
        <f t="shared" si="859"/>
        <v>20</v>
      </c>
      <c r="CV797" s="229">
        <f t="shared" si="844"/>
        <v>33</v>
      </c>
      <c r="CW797" s="234">
        <f t="shared" si="845"/>
        <v>4.8487499999999999</v>
      </c>
      <c r="CX797" s="234" cm="1">
        <f t="array" ref="CX797">$BM797 * IF($AH797&lt;=2,
SUMPRODUCT(INDEX($AV$61:$AX$65,,$AI797), INDEX($AY$61:$BE$65,,$AH797), 1 / ($BF$61:$BF$65*CW797 + (1-$BF$61:$BF$65)*CS797), N($AU$61:$AU$65&gt;$AM797)),
SUMPRODUCT(INDEX($AV$46:$AX$55,,$AI797), INDEX($AY$46:$BE$55,,$AH797), 1 / ($BG$46:$BG$55*CW797 + (1-$BG$46:$BG$55)*CS797), N($AU$46:$AU$55&gt;$AM797))
) / 1000</f>
        <v>0</v>
      </c>
      <c r="CY797" s="234" cm="1">
        <f t="array" ref="CY797">$BM797 * IF($AH797&lt;=2,
SUMPRODUCT(INDEX($AV$22:$AX$60,,$AI797), INDEX($AY$22:$BE$60,,$AH797), 1 / ($BF$22:$BF$60*CW797), N($AU$22:$AU$60&gt;$AM797)),
SUMPRODUCT(INDEX($AV$22:$AX$45,,$AI797), INDEX($AY$22:$BE$45,,$AH797), 1 / ($BG$22:$BG$45*CW797), N($AU$22:$AU$45&gt;$AM797))
) / 1000</f>
        <v>0</v>
      </c>
      <c r="CZ797" s="229">
        <f t="shared" si="846"/>
        <v>0</v>
      </c>
      <c r="DA797" s="246"/>
    </row>
    <row r="798" spans="1:105" s="75" customFormat="1" ht="14.25" customHeight="1" x14ac:dyDescent="0.2">
      <c r="A798" s="230" t="b">
        <f t="shared" si="851"/>
        <v>0</v>
      </c>
      <c r="B798" s="253">
        <v>777</v>
      </c>
      <c r="C798" s="266"/>
      <c r="D798" s="266"/>
      <c r="E798" s="254"/>
      <c r="F798" s="255" t="str">
        <f>IF(ISBLANK(E798), "", VLOOKUP(E798, Z!$A$2:$C$4127, 3, FALSE))</f>
        <v/>
      </c>
      <c r="G798" s="256"/>
      <c r="H798" s="256"/>
      <c r="I798" s="256"/>
      <c r="J798" s="257"/>
      <c r="K798" s="258"/>
      <c r="L798" s="267"/>
      <c r="M798" s="268"/>
      <c r="N798" s="259" t="str" cm="1">
        <f t="array" ref="N798">IF($L798&gt;0, INDEX(Clean,1+AK798,$D$1), "")</f>
        <v/>
      </c>
      <c r="O798" s="260"/>
      <c r="P798" s="260"/>
      <c r="Q798" s="261"/>
      <c r="R798" s="264">
        <f t="shared" si="822"/>
        <v>0</v>
      </c>
      <c r="S798" s="259" t="str" cm="1">
        <f t="array" ref="S798">IF($L798&gt;0, INDEX(Clean,1+AL798,$D$1), "")</f>
        <v/>
      </c>
      <c r="T798" s="260"/>
      <c r="U798" s="260"/>
      <c r="V798" s="261"/>
      <c r="W798" s="267"/>
      <c r="X798" s="267"/>
      <c r="Y798" s="257"/>
      <c r="Z798" s="264">
        <f t="shared" si="823"/>
        <v>0</v>
      </c>
      <c r="AA798" s="269"/>
      <c r="AB798" s="266"/>
      <c r="AC798" s="254"/>
      <c r="AD798" s="255" t="str">
        <f>IF(ISBLANK(AC798), "", VLOOKUP(AC798, Z!$A$2:$C$4127, 3, FALSE))</f>
        <v/>
      </c>
      <c r="AE798" s="270"/>
      <c r="AF798" s="265">
        <f t="shared" si="824"/>
        <v>0</v>
      </c>
      <c r="AG798" s="246"/>
      <c r="AH798" s="228">
        <f t="shared" si="847"/>
        <v>1</v>
      </c>
      <c r="AI798" s="228">
        <f t="shared" si="848"/>
        <v>1</v>
      </c>
      <c r="AJ798" s="228">
        <f t="shared" si="849"/>
        <v>0</v>
      </c>
      <c r="AK798" s="228">
        <v>0</v>
      </c>
      <c r="AL798" s="228">
        <v>0</v>
      </c>
      <c r="AM798" s="228">
        <f t="shared" si="825"/>
        <v>-100</v>
      </c>
      <c r="AN798" s="228" cm="1">
        <f t="array" ref="AN798">IF(ISBLANK(G798), 1, IFERROR(MATCH(G798, INDEX(Kat,,1), 0), IFERROR(MATCH(Kat, INDEX(Use,,2), 0), MATCH(Kat, INDEX(Use,,3), 0))))</f>
        <v>1</v>
      </c>
      <c r="AO798" s="246"/>
      <c r="AP798" s="228" cm="1">
        <f t="array" ref="AP798">IF(W798&gt;0, INDEX(Kat, AN798,4), 0)</f>
        <v>0</v>
      </c>
      <c r="AQ798" s="228">
        <f t="shared" si="850"/>
        <v>0</v>
      </c>
      <c r="AR798" s="228" cm="1">
        <f t="array" ref="AR798">IF(X798&gt;0, INDEX(Kat, $AN798, 4+AQ798), 0)</f>
        <v>0</v>
      </c>
      <c r="AS798" s="228" cm="1">
        <f t="array" ref="AS798">IF(X798&gt;0, INDEX(Kat, $AN798, 9+AQ798), 0)</f>
        <v>0</v>
      </c>
      <c r="AT798" s="246"/>
      <c r="AU798" s="262"/>
      <c r="AV798" s="262"/>
      <c r="AW798" s="263"/>
      <c r="AX798" s="263"/>
      <c r="AY798" s="263"/>
      <c r="AZ798" s="263"/>
      <c r="BA798" s="263"/>
      <c r="BB798" s="263"/>
      <c r="BC798" s="263"/>
      <c r="BD798" s="263"/>
      <c r="BE798" s="263"/>
      <c r="BF798" s="263"/>
      <c r="BG798" s="263"/>
      <c r="BH798" s="246"/>
      <c r="BI798" s="228" cm="1">
        <f t="array" ref="BI798">INDEX(Use, $AH798, 4)</f>
        <v>7</v>
      </c>
      <c r="BJ798" s="228">
        <f t="shared" si="826"/>
        <v>32</v>
      </c>
      <c r="BK798" s="228">
        <f t="shared" si="852"/>
        <v>13</v>
      </c>
      <c r="BL798" s="228">
        <f t="shared" si="853"/>
        <v>0</v>
      </c>
      <c r="BM798" s="233" cm="1">
        <f t="array" ref="BM798">L798/IF($M798&gt;0, INDEX($AY$22:$BE$76, $M798+20, $AH798), 1)</f>
        <v>0</v>
      </c>
      <c r="BN798" s="229">
        <f t="shared" si="827"/>
        <v>0</v>
      </c>
      <c r="BO798" s="228">
        <v>35</v>
      </c>
      <c r="BP798" s="229">
        <f t="shared" si="828"/>
        <v>48</v>
      </c>
      <c r="BQ798" s="234">
        <f t="shared" si="829"/>
        <v>3.0748170731707316</v>
      </c>
      <c r="BR798" s="234" cm="1">
        <f t="array" ref="BR798">$BM798 * SUMPRODUCT(INDEX($AV$76:$AX$81,,$AI798),INDEX($AY$76:$BE$81,,$AH798), N($AU$76:$AU$81&gt;$AM798)) / BQ798 / 1000</f>
        <v>0</v>
      </c>
      <c r="BS798" s="231">
        <f t="shared" si="854"/>
        <v>30</v>
      </c>
      <c r="BT798" s="229">
        <f t="shared" si="830"/>
        <v>43</v>
      </c>
      <c r="BU798" s="234">
        <f t="shared" si="831"/>
        <v>3.5018750000000001</v>
      </c>
      <c r="BV798" s="234" cm="1">
        <f t="array" ref="BV798">$BM798 * IF($AH798&lt;=2,
SUMPRODUCT(INDEX($AV$71:$AX$75,,$AI798), INDEX($AY$71:$BE$75,,$AH798), 1 / ($BF$71:$BF$75*BU798 + (1-$BF$71:$BF$75)*BQ798), N($AU$71:$AU$75&gt;$AM798)),
SUMPRODUCT(INDEX($AV$66:$AX$75,,$AI798), INDEX($AY$66:$BE$75,,$AH798), 1 / ($BG$66:$BG$75*BU798 + (1-$BG$66:$BG$75)*BQ798), N($AU$66:$AU$75&gt;$AM798))
) / 1000</f>
        <v>0</v>
      </c>
      <c r="BW798" s="231">
        <f t="shared" si="855"/>
        <v>25</v>
      </c>
      <c r="BX798" s="229">
        <f t="shared" si="832"/>
        <v>38</v>
      </c>
      <c r="BY798" s="234">
        <f t="shared" si="833"/>
        <v>4.0666935483870965</v>
      </c>
      <c r="BZ798" s="234" cm="1">
        <f t="array" ref="BZ798">$BM798 * IF($AH798&lt;=2,
SUMPRODUCT(INDEX($AV$66:$AX$70,,$AI798), INDEX($AY$66:$BE$70,,$AH798), 1 / ($BF$66:$BF$70*BY798 + (1-$BF$66:$BF$70)*BU798), N($AU$66:$AU$70&gt;$AM798)),
SUMPRODUCT(INDEX($AV$56:$AX$65,,$AI798), INDEX($AY$56:$BE$65,,$AH798), 1 / ($BG$56:$BG$65*BY798 + (1-$BG$56:$BG$65)*BU798), N($AU$56:$AU$65&gt;$AM798))
) / 1000</f>
        <v>0</v>
      </c>
      <c r="CA798" s="231">
        <f t="shared" si="856"/>
        <v>20</v>
      </c>
      <c r="CB798" s="229">
        <f t="shared" si="834"/>
        <v>33</v>
      </c>
      <c r="CC798" s="234">
        <f t="shared" si="835"/>
        <v>4.8487499999999999</v>
      </c>
      <c r="CD798" s="234" cm="1">
        <f t="array" ref="CD798">$BM798 * IF($AH798&lt;=2,
SUMPRODUCT(INDEX($AV$61:$AX$65,,$AI798), INDEX($AY$61:$BE$65,,$AH798), 1 / ($BF$61:$BF$65*CC798 + (1-$BF$61:$BF$65)*BY798), N($AU$61:$AU$65&gt;$AM798)),
SUMPRODUCT(INDEX($AV$46:$AX$55,,$AI798), INDEX($AY$46:$BE$55,,$AH798), 1 / ($BG$46:$BG$55*CC798 + (1-$BG$46:$BG$55)*BY798), N($AU$46:$AU$55&gt;$AM798))
) / 1000</f>
        <v>0</v>
      </c>
      <c r="CE798" s="234" cm="1">
        <f t="array" ref="CE798">$BM798 * IF($AH798&lt;=2,
SUMPRODUCT(INDEX($AV$22:$AX$60,,$AI798), INDEX($AY$22:$BE$60,,$AH798), 1 / ($BF$22:$BF$60*CC798), N($AU$22:$AU$60&gt;$AM798)),
SUMPRODUCT(INDEX($AV$22:$AX$45,,$AI798), INDEX($AY$22:$BE$45,,$AH798), 1 / ($BG$22:$BG$45*CC798), N($AU$22:$AU$45&gt;$AM798))
) / 1000</f>
        <v>0</v>
      </c>
      <c r="CF798" s="229">
        <f t="shared" si="836"/>
        <v>0</v>
      </c>
      <c r="CG798" s="246"/>
      <c r="CH798" s="229">
        <f t="shared" si="837"/>
        <v>0</v>
      </c>
      <c r="CI798" s="228">
        <v>35</v>
      </c>
      <c r="CJ798" s="229">
        <f t="shared" si="838"/>
        <v>48</v>
      </c>
      <c r="CK798" s="234">
        <f t="shared" si="839"/>
        <v>3.0748170731707316</v>
      </c>
      <c r="CL798" s="234" cm="1">
        <f t="array" ref="CL798">$BM798 * SUMPRODUCT(INDEX($AV$76:$AX$81,,$AI798),INDEX($AY$76:$BE$81,,$AH798), N($AU$76:$AU$81&gt;$AM798)) / CK798 / 1000</f>
        <v>0</v>
      </c>
      <c r="CM798" s="231">
        <f t="shared" si="857"/>
        <v>30</v>
      </c>
      <c r="CN798" s="229">
        <f t="shared" si="840"/>
        <v>43</v>
      </c>
      <c r="CO798" s="234">
        <f t="shared" si="841"/>
        <v>3.5018750000000001</v>
      </c>
      <c r="CP798" s="234" cm="1">
        <f t="array" ref="CP798">$BM798 * IF($AH798&lt;=2,
SUMPRODUCT(INDEX($AV$71:$AX$75,,$AI798), INDEX($AY$71:$BE$75,,$AH798), 1 / ($BF$71:$BF$75*CO798 + (1-$BF$71:$BF$75)*CK798), N($AU$71:$AU$75&gt;$AM798)),
SUMPRODUCT(INDEX($AV$66:$AX$75,,$AI798), INDEX($AY$66:$BE$75,,$AH798), 1 / ($BG$66:$BG$75*CO798 + (1-$BG$66:$BG$75)*CK798), N($AU$66:$AU$75&gt;$AM798))
) / 1000</f>
        <v>0</v>
      </c>
      <c r="CQ798" s="231">
        <f t="shared" si="858"/>
        <v>25</v>
      </c>
      <c r="CR798" s="229">
        <f t="shared" si="842"/>
        <v>38</v>
      </c>
      <c r="CS798" s="234">
        <f t="shared" si="843"/>
        <v>4.0666935483870965</v>
      </c>
      <c r="CT798" s="234" cm="1">
        <f t="array" ref="CT798">$BM798 * IF($AH798&lt;=2,
SUMPRODUCT(INDEX($AV$66:$AX$70,,$AI798), INDEX($AY$66:$BE$70,,$AH798), 1 / ($BF$66:$BF$70*CS798 + (1-$BF$66:$BF$70)*CO798), N($AU$66:$AU$70&gt;$AM798)),
SUMPRODUCT(INDEX($AV$56:$AX$65,,$AI798), INDEX($AY$56:$BE$65,,$AH798), 1 / ($BG$56:$BG$65*CS798 + (1-$BG$56:$BG$65)*CO798), N($AU$56:$AU$65&gt;$AM798))
) / 1000</f>
        <v>0</v>
      </c>
      <c r="CU798" s="231">
        <f t="shared" si="859"/>
        <v>20</v>
      </c>
      <c r="CV798" s="229">
        <f t="shared" si="844"/>
        <v>33</v>
      </c>
      <c r="CW798" s="234">
        <f t="shared" si="845"/>
        <v>4.8487499999999999</v>
      </c>
      <c r="CX798" s="234" cm="1">
        <f t="array" ref="CX798">$BM798 * IF($AH798&lt;=2,
SUMPRODUCT(INDEX($AV$61:$AX$65,,$AI798), INDEX($AY$61:$BE$65,,$AH798), 1 / ($BF$61:$BF$65*CW798 + (1-$BF$61:$BF$65)*CS798), N($AU$61:$AU$65&gt;$AM798)),
SUMPRODUCT(INDEX($AV$46:$AX$55,,$AI798), INDEX($AY$46:$BE$55,,$AH798), 1 / ($BG$46:$BG$55*CW798 + (1-$BG$46:$BG$55)*CS798), N($AU$46:$AU$55&gt;$AM798))
) / 1000</f>
        <v>0</v>
      </c>
      <c r="CY798" s="234" cm="1">
        <f t="array" ref="CY798">$BM798 * IF($AH798&lt;=2,
SUMPRODUCT(INDEX($AV$22:$AX$60,,$AI798), INDEX($AY$22:$BE$60,,$AH798), 1 / ($BF$22:$BF$60*CW798), N($AU$22:$AU$60&gt;$AM798)),
SUMPRODUCT(INDEX($AV$22:$AX$45,,$AI798), INDEX($AY$22:$BE$45,,$AH798), 1 / ($BG$22:$BG$45*CW798), N($AU$22:$AU$45&gt;$AM798))
) / 1000</f>
        <v>0</v>
      </c>
      <c r="CZ798" s="229">
        <f t="shared" si="846"/>
        <v>0</v>
      </c>
      <c r="DA798" s="246"/>
    </row>
    <row r="799" spans="1:105" s="75" customFormat="1" ht="14.25" customHeight="1" x14ac:dyDescent="0.2">
      <c r="A799" s="230" t="b">
        <f t="shared" si="851"/>
        <v>0</v>
      </c>
      <c r="B799" s="253">
        <v>778</v>
      </c>
      <c r="C799" s="266"/>
      <c r="D799" s="266"/>
      <c r="E799" s="254"/>
      <c r="F799" s="255" t="str">
        <f>IF(ISBLANK(E799), "", VLOOKUP(E799, Z!$A$2:$C$4127, 3, FALSE))</f>
        <v/>
      </c>
      <c r="G799" s="256"/>
      <c r="H799" s="256"/>
      <c r="I799" s="256"/>
      <c r="J799" s="257"/>
      <c r="K799" s="258"/>
      <c r="L799" s="267"/>
      <c r="M799" s="268"/>
      <c r="N799" s="259" t="str" cm="1">
        <f t="array" ref="N799">IF($L799&gt;0, INDEX(Clean,1+AK799,$D$1), "")</f>
        <v/>
      </c>
      <c r="O799" s="260"/>
      <c r="P799" s="260"/>
      <c r="Q799" s="261"/>
      <c r="R799" s="264">
        <f t="shared" si="822"/>
        <v>0</v>
      </c>
      <c r="S799" s="259" t="str" cm="1">
        <f t="array" ref="S799">IF($L799&gt;0, INDEX(Clean,1+AL799,$D$1), "")</f>
        <v/>
      </c>
      <c r="T799" s="260"/>
      <c r="U799" s="260"/>
      <c r="V799" s="261"/>
      <c r="W799" s="267"/>
      <c r="X799" s="267"/>
      <c r="Y799" s="257"/>
      <c r="Z799" s="264">
        <f t="shared" si="823"/>
        <v>0</v>
      </c>
      <c r="AA799" s="269"/>
      <c r="AB799" s="266"/>
      <c r="AC799" s="254"/>
      <c r="AD799" s="255" t="str">
        <f>IF(ISBLANK(AC799), "", VLOOKUP(AC799, Z!$A$2:$C$4127, 3, FALSE))</f>
        <v/>
      </c>
      <c r="AE799" s="270"/>
      <c r="AF799" s="265">
        <f t="shared" si="824"/>
        <v>0</v>
      </c>
      <c r="AG799" s="246"/>
      <c r="AH799" s="228">
        <f t="shared" si="847"/>
        <v>1</v>
      </c>
      <c r="AI799" s="228">
        <f t="shared" si="848"/>
        <v>1</v>
      </c>
      <c r="AJ799" s="228">
        <f t="shared" si="849"/>
        <v>0</v>
      </c>
      <c r="AK799" s="228">
        <v>0</v>
      </c>
      <c r="AL799" s="228">
        <v>0</v>
      </c>
      <c r="AM799" s="228">
        <f t="shared" si="825"/>
        <v>-100</v>
      </c>
      <c r="AN799" s="228" cm="1">
        <f t="array" ref="AN799">IF(ISBLANK(G799), 1, IFERROR(MATCH(G799, INDEX(Kat,,1), 0), IFERROR(MATCH(Kat, INDEX(Use,,2), 0), MATCH(Kat, INDEX(Use,,3), 0))))</f>
        <v>1</v>
      </c>
      <c r="AO799" s="246"/>
      <c r="AP799" s="228" cm="1">
        <f t="array" ref="AP799">IF(W799&gt;0, INDEX(Kat, AN799,4), 0)</f>
        <v>0</v>
      </c>
      <c r="AQ799" s="228">
        <f t="shared" si="850"/>
        <v>0</v>
      </c>
      <c r="AR799" s="228" cm="1">
        <f t="array" ref="AR799">IF(X799&gt;0, INDEX(Kat, $AN799, 4+AQ799), 0)</f>
        <v>0</v>
      </c>
      <c r="AS799" s="228" cm="1">
        <f t="array" ref="AS799">IF(X799&gt;0, INDEX(Kat, $AN799, 9+AQ799), 0)</f>
        <v>0</v>
      </c>
      <c r="AT799" s="246"/>
      <c r="AU799" s="262"/>
      <c r="AV799" s="262"/>
      <c r="AW799" s="263"/>
      <c r="AX799" s="263"/>
      <c r="AY799" s="263"/>
      <c r="AZ799" s="263"/>
      <c r="BA799" s="263"/>
      <c r="BB799" s="263"/>
      <c r="BC799" s="263"/>
      <c r="BD799" s="263"/>
      <c r="BE799" s="263"/>
      <c r="BF799" s="263"/>
      <c r="BG799" s="263"/>
      <c r="BH799" s="246"/>
      <c r="BI799" s="228" cm="1">
        <f t="array" ref="BI799">INDEX(Use, $AH799, 4)</f>
        <v>7</v>
      </c>
      <c r="BJ799" s="228">
        <f t="shared" si="826"/>
        <v>32</v>
      </c>
      <c r="BK799" s="228">
        <f t="shared" si="852"/>
        <v>13</v>
      </c>
      <c r="BL799" s="228">
        <f t="shared" si="853"/>
        <v>0</v>
      </c>
      <c r="BM799" s="233" cm="1">
        <f t="array" ref="BM799">L799/IF($M799&gt;0, INDEX($AY$22:$BE$76, $M799+20, $AH799), 1)</f>
        <v>0</v>
      </c>
      <c r="BN799" s="229">
        <f t="shared" si="827"/>
        <v>0</v>
      </c>
      <c r="BO799" s="228">
        <v>35</v>
      </c>
      <c r="BP799" s="229">
        <f t="shared" si="828"/>
        <v>48</v>
      </c>
      <c r="BQ799" s="234">
        <f t="shared" si="829"/>
        <v>3.0748170731707316</v>
      </c>
      <c r="BR799" s="234" cm="1">
        <f t="array" ref="BR799">$BM799 * SUMPRODUCT(INDEX($AV$76:$AX$81,,$AI799),INDEX($AY$76:$BE$81,,$AH799), N($AU$76:$AU$81&gt;$AM799)) / BQ799 / 1000</f>
        <v>0</v>
      </c>
      <c r="BS799" s="231">
        <f t="shared" si="854"/>
        <v>30</v>
      </c>
      <c r="BT799" s="229">
        <f t="shared" si="830"/>
        <v>43</v>
      </c>
      <c r="BU799" s="234">
        <f t="shared" si="831"/>
        <v>3.5018750000000001</v>
      </c>
      <c r="BV799" s="234" cm="1">
        <f t="array" ref="BV799">$BM799 * IF($AH799&lt;=2,
SUMPRODUCT(INDEX($AV$71:$AX$75,,$AI799), INDEX($AY$71:$BE$75,,$AH799), 1 / ($BF$71:$BF$75*BU799 + (1-$BF$71:$BF$75)*BQ799), N($AU$71:$AU$75&gt;$AM799)),
SUMPRODUCT(INDEX($AV$66:$AX$75,,$AI799), INDEX($AY$66:$BE$75,,$AH799), 1 / ($BG$66:$BG$75*BU799 + (1-$BG$66:$BG$75)*BQ799), N($AU$66:$AU$75&gt;$AM799))
) / 1000</f>
        <v>0</v>
      </c>
      <c r="BW799" s="231">
        <f t="shared" si="855"/>
        <v>25</v>
      </c>
      <c r="BX799" s="229">
        <f t="shared" si="832"/>
        <v>38</v>
      </c>
      <c r="BY799" s="234">
        <f t="shared" si="833"/>
        <v>4.0666935483870965</v>
      </c>
      <c r="BZ799" s="234" cm="1">
        <f t="array" ref="BZ799">$BM799 * IF($AH799&lt;=2,
SUMPRODUCT(INDEX($AV$66:$AX$70,,$AI799), INDEX($AY$66:$BE$70,,$AH799), 1 / ($BF$66:$BF$70*BY799 + (1-$BF$66:$BF$70)*BU799), N($AU$66:$AU$70&gt;$AM799)),
SUMPRODUCT(INDEX($AV$56:$AX$65,,$AI799), INDEX($AY$56:$BE$65,,$AH799), 1 / ($BG$56:$BG$65*BY799 + (1-$BG$56:$BG$65)*BU799), N($AU$56:$AU$65&gt;$AM799))
) / 1000</f>
        <v>0</v>
      </c>
      <c r="CA799" s="231">
        <f t="shared" si="856"/>
        <v>20</v>
      </c>
      <c r="CB799" s="229">
        <f t="shared" si="834"/>
        <v>33</v>
      </c>
      <c r="CC799" s="234">
        <f t="shared" si="835"/>
        <v>4.8487499999999999</v>
      </c>
      <c r="CD799" s="234" cm="1">
        <f t="array" ref="CD799">$BM799 * IF($AH799&lt;=2,
SUMPRODUCT(INDEX($AV$61:$AX$65,,$AI799), INDEX($AY$61:$BE$65,,$AH799), 1 / ($BF$61:$BF$65*CC799 + (1-$BF$61:$BF$65)*BY799), N($AU$61:$AU$65&gt;$AM799)),
SUMPRODUCT(INDEX($AV$46:$AX$55,,$AI799), INDEX($AY$46:$BE$55,,$AH799), 1 / ($BG$46:$BG$55*CC799 + (1-$BG$46:$BG$55)*BY799), N($AU$46:$AU$55&gt;$AM799))
) / 1000</f>
        <v>0</v>
      </c>
      <c r="CE799" s="234" cm="1">
        <f t="array" ref="CE799">$BM799 * IF($AH799&lt;=2,
SUMPRODUCT(INDEX($AV$22:$AX$60,,$AI799), INDEX($AY$22:$BE$60,,$AH799), 1 / ($BF$22:$BF$60*CC799), N($AU$22:$AU$60&gt;$AM799)),
SUMPRODUCT(INDEX($AV$22:$AX$45,,$AI799), INDEX($AY$22:$BE$45,,$AH799), 1 / ($BG$22:$BG$45*CC799), N($AU$22:$AU$45&gt;$AM799))
) / 1000</f>
        <v>0</v>
      </c>
      <c r="CF799" s="229">
        <f t="shared" si="836"/>
        <v>0</v>
      </c>
      <c r="CG799" s="246"/>
      <c r="CH799" s="229">
        <f t="shared" si="837"/>
        <v>0</v>
      </c>
      <c r="CI799" s="228">
        <v>35</v>
      </c>
      <c r="CJ799" s="229">
        <f t="shared" si="838"/>
        <v>48</v>
      </c>
      <c r="CK799" s="234">
        <f t="shared" si="839"/>
        <v>3.0748170731707316</v>
      </c>
      <c r="CL799" s="234" cm="1">
        <f t="array" ref="CL799">$BM799 * SUMPRODUCT(INDEX($AV$76:$AX$81,,$AI799),INDEX($AY$76:$BE$81,,$AH799), N($AU$76:$AU$81&gt;$AM799)) / CK799 / 1000</f>
        <v>0</v>
      </c>
      <c r="CM799" s="231">
        <f t="shared" si="857"/>
        <v>30</v>
      </c>
      <c r="CN799" s="229">
        <f t="shared" si="840"/>
        <v>43</v>
      </c>
      <c r="CO799" s="234">
        <f t="shared" si="841"/>
        <v>3.5018750000000001</v>
      </c>
      <c r="CP799" s="234" cm="1">
        <f t="array" ref="CP799">$BM799 * IF($AH799&lt;=2,
SUMPRODUCT(INDEX($AV$71:$AX$75,,$AI799), INDEX($AY$71:$BE$75,,$AH799), 1 / ($BF$71:$BF$75*CO799 + (1-$BF$71:$BF$75)*CK799), N($AU$71:$AU$75&gt;$AM799)),
SUMPRODUCT(INDEX($AV$66:$AX$75,,$AI799), INDEX($AY$66:$BE$75,,$AH799), 1 / ($BG$66:$BG$75*CO799 + (1-$BG$66:$BG$75)*CK799), N($AU$66:$AU$75&gt;$AM799))
) / 1000</f>
        <v>0</v>
      </c>
      <c r="CQ799" s="231">
        <f t="shared" si="858"/>
        <v>25</v>
      </c>
      <c r="CR799" s="229">
        <f t="shared" si="842"/>
        <v>38</v>
      </c>
      <c r="CS799" s="234">
        <f t="shared" si="843"/>
        <v>4.0666935483870965</v>
      </c>
      <c r="CT799" s="234" cm="1">
        <f t="array" ref="CT799">$BM799 * IF($AH799&lt;=2,
SUMPRODUCT(INDEX($AV$66:$AX$70,,$AI799), INDEX($AY$66:$BE$70,,$AH799), 1 / ($BF$66:$BF$70*CS799 + (1-$BF$66:$BF$70)*CO799), N($AU$66:$AU$70&gt;$AM799)),
SUMPRODUCT(INDEX($AV$56:$AX$65,,$AI799), INDEX($AY$56:$BE$65,,$AH799), 1 / ($BG$56:$BG$65*CS799 + (1-$BG$56:$BG$65)*CO799), N($AU$56:$AU$65&gt;$AM799))
) / 1000</f>
        <v>0</v>
      </c>
      <c r="CU799" s="231">
        <f t="shared" si="859"/>
        <v>20</v>
      </c>
      <c r="CV799" s="229">
        <f t="shared" si="844"/>
        <v>33</v>
      </c>
      <c r="CW799" s="234">
        <f t="shared" si="845"/>
        <v>4.8487499999999999</v>
      </c>
      <c r="CX799" s="234" cm="1">
        <f t="array" ref="CX799">$BM799 * IF($AH799&lt;=2,
SUMPRODUCT(INDEX($AV$61:$AX$65,,$AI799), INDEX($AY$61:$BE$65,,$AH799), 1 / ($BF$61:$BF$65*CW799 + (1-$BF$61:$BF$65)*CS799), N($AU$61:$AU$65&gt;$AM799)),
SUMPRODUCT(INDEX($AV$46:$AX$55,,$AI799), INDEX($AY$46:$BE$55,,$AH799), 1 / ($BG$46:$BG$55*CW799 + (1-$BG$46:$BG$55)*CS799), N($AU$46:$AU$55&gt;$AM799))
) / 1000</f>
        <v>0</v>
      </c>
      <c r="CY799" s="234" cm="1">
        <f t="array" ref="CY799">$BM799 * IF($AH799&lt;=2,
SUMPRODUCT(INDEX($AV$22:$AX$60,,$AI799), INDEX($AY$22:$BE$60,,$AH799), 1 / ($BF$22:$BF$60*CW799), N($AU$22:$AU$60&gt;$AM799)),
SUMPRODUCT(INDEX($AV$22:$AX$45,,$AI799), INDEX($AY$22:$BE$45,,$AH799), 1 / ($BG$22:$BG$45*CW799), N($AU$22:$AU$45&gt;$AM799))
) / 1000</f>
        <v>0</v>
      </c>
      <c r="CZ799" s="229">
        <f t="shared" si="846"/>
        <v>0</v>
      </c>
      <c r="DA799" s="246"/>
    </row>
    <row r="800" spans="1:105" s="75" customFormat="1" ht="14.25" customHeight="1" x14ac:dyDescent="0.2">
      <c r="A800" s="230" t="b">
        <f t="shared" si="851"/>
        <v>0</v>
      </c>
      <c r="B800" s="253">
        <v>779</v>
      </c>
      <c r="C800" s="266"/>
      <c r="D800" s="266"/>
      <c r="E800" s="254"/>
      <c r="F800" s="255" t="str">
        <f>IF(ISBLANK(E800), "", VLOOKUP(E800, Z!$A$2:$C$4127, 3, FALSE))</f>
        <v/>
      </c>
      <c r="G800" s="256"/>
      <c r="H800" s="256"/>
      <c r="I800" s="256"/>
      <c r="J800" s="257"/>
      <c r="K800" s="258"/>
      <c r="L800" s="267"/>
      <c r="M800" s="268"/>
      <c r="N800" s="259" t="str" cm="1">
        <f t="array" ref="N800">IF($L800&gt;0, INDEX(Clean,1+AK800,$D$1), "")</f>
        <v/>
      </c>
      <c r="O800" s="260"/>
      <c r="P800" s="260"/>
      <c r="Q800" s="261"/>
      <c r="R800" s="264">
        <f t="shared" si="822"/>
        <v>0</v>
      </c>
      <c r="S800" s="259" t="str" cm="1">
        <f t="array" ref="S800">IF($L800&gt;0, INDEX(Clean,1+AL800,$D$1), "")</f>
        <v/>
      </c>
      <c r="T800" s="260"/>
      <c r="U800" s="260"/>
      <c r="V800" s="261"/>
      <c r="W800" s="267"/>
      <c r="X800" s="267"/>
      <c r="Y800" s="257"/>
      <c r="Z800" s="264">
        <f t="shared" si="823"/>
        <v>0</v>
      </c>
      <c r="AA800" s="269"/>
      <c r="AB800" s="266"/>
      <c r="AC800" s="254"/>
      <c r="AD800" s="255" t="str">
        <f>IF(ISBLANK(AC800), "", VLOOKUP(AC800, Z!$A$2:$C$4127, 3, FALSE))</f>
        <v/>
      </c>
      <c r="AE800" s="270"/>
      <c r="AF800" s="265">
        <f t="shared" si="824"/>
        <v>0</v>
      </c>
      <c r="AG800" s="246"/>
      <c r="AH800" s="228">
        <f t="shared" si="847"/>
        <v>1</v>
      </c>
      <c r="AI800" s="228">
        <f t="shared" si="848"/>
        <v>1</v>
      </c>
      <c r="AJ800" s="228">
        <f t="shared" si="849"/>
        <v>0</v>
      </c>
      <c r="AK800" s="228">
        <v>0</v>
      </c>
      <c r="AL800" s="228">
        <v>0</v>
      </c>
      <c r="AM800" s="228">
        <f t="shared" si="825"/>
        <v>-100</v>
      </c>
      <c r="AN800" s="228" cm="1">
        <f t="array" ref="AN800">IF(ISBLANK(G800), 1, IFERROR(MATCH(G800, INDEX(Kat,,1), 0), IFERROR(MATCH(Kat, INDEX(Use,,2), 0), MATCH(Kat, INDEX(Use,,3), 0))))</f>
        <v>1</v>
      </c>
      <c r="AO800" s="246"/>
      <c r="AP800" s="228" cm="1">
        <f t="array" ref="AP800">IF(W800&gt;0, INDEX(Kat, AN800,4), 0)</f>
        <v>0</v>
      </c>
      <c r="AQ800" s="228">
        <f t="shared" si="850"/>
        <v>0</v>
      </c>
      <c r="AR800" s="228" cm="1">
        <f t="array" ref="AR800">IF(X800&gt;0, INDEX(Kat, $AN800, 4+AQ800), 0)</f>
        <v>0</v>
      </c>
      <c r="AS800" s="228" cm="1">
        <f t="array" ref="AS800">IF(X800&gt;0, INDEX(Kat, $AN800, 9+AQ800), 0)</f>
        <v>0</v>
      </c>
      <c r="AT800" s="246"/>
      <c r="AU800" s="262"/>
      <c r="AV800" s="262"/>
      <c r="AW800" s="263"/>
      <c r="AX800" s="263"/>
      <c r="AY800" s="263"/>
      <c r="AZ800" s="263"/>
      <c r="BA800" s="263"/>
      <c r="BB800" s="263"/>
      <c r="BC800" s="263"/>
      <c r="BD800" s="263"/>
      <c r="BE800" s="263"/>
      <c r="BF800" s="263"/>
      <c r="BG800" s="263"/>
      <c r="BH800" s="246"/>
      <c r="BI800" s="228" cm="1">
        <f t="array" ref="BI800">INDEX(Use, $AH800, 4)</f>
        <v>7</v>
      </c>
      <c r="BJ800" s="228">
        <f t="shared" si="826"/>
        <v>32</v>
      </c>
      <c r="BK800" s="228">
        <f t="shared" si="852"/>
        <v>13</v>
      </c>
      <c r="BL800" s="228">
        <f t="shared" si="853"/>
        <v>0</v>
      </c>
      <c r="BM800" s="233" cm="1">
        <f t="array" ref="BM800">L800/IF($M800&gt;0, INDEX($AY$22:$BE$76, $M800+20, $AH800), 1)</f>
        <v>0</v>
      </c>
      <c r="BN800" s="229">
        <f t="shared" si="827"/>
        <v>0</v>
      </c>
      <c r="BO800" s="228">
        <v>35</v>
      </c>
      <c r="BP800" s="229">
        <f t="shared" si="828"/>
        <v>48</v>
      </c>
      <c r="BQ800" s="234">
        <f t="shared" si="829"/>
        <v>3.0748170731707316</v>
      </c>
      <c r="BR800" s="234" cm="1">
        <f t="array" ref="BR800">$BM800 * SUMPRODUCT(INDEX($AV$76:$AX$81,,$AI800),INDEX($AY$76:$BE$81,,$AH800), N($AU$76:$AU$81&gt;$AM800)) / BQ800 / 1000</f>
        <v>0</v>
      </c>
      <c r="BS800" s="231">
        <f t="shared" si="854"/>
        <v>30</v>
      </c>
      <c r="BT800" s="229">
        <f t="shared" si="830"/>
        <v>43</v>
      </c>
      <c r="BU800" s="234">
        <f t="shared" si="831"/>
        <v>3.5018750000000001</v>
      </c>
      <c r="BV800" s="234" cm="1">
        <f t="array" ref="BV800">$BM800 * IF($AH800&lt;=2,
SUMPRODUCT(INDEX($AV$71:$AX$75,,$AI800), INDEX($AY$71:$BE$75,,$AH800), 1 / ($BF$71:$BF$75*BU800 + (1-$BF$71:$BF$75)*BQ800), N($AU$71:$AU$75&gt;$AM800)),
SUMPRODUCT(INDEX($AV$66:$AX$75,,$AI800), INDEX($AY$66:$BE$75,,$AH800), 1 / ($BG$66:$BG$75*BU800 + (1-$BG$66:$BG$75)*BQ800), N($AU$66:$AU$75&gt;$AM800))
) / 1000</f>
        <v>0</v>
      </c>
      <c r="BW800" s="231">
        <f t="shared" si="855"/>
        <v>25</v>
      </c>
      <c r="BX800" s="229">
        <f t="shared" si="832"/>
        <v>38</v>
      </c>
      <c r="BY800" s="234">
        <f t="shared" si="833"/>
        <v>4.0666935483870965</v>
      </c>
      <c r="BZ800" s="234" cm="1">
        <f t="array" ref="BZ800">$BM800 * IF($AH800&lt;=2,
SUMPRODUCT(INDEX($AV$66:$AX$70,,$AI800), INDEX($AY$66:$BE$70,,$AH800), 1 / ($BF$66:$BF$70*BY800 + (1-$BF$66:$BF$70)*BU800), N($AU$66:$AU$70&gt;$AM800)),
SUMPRODUCT(INDEX($AV$56:$AX$65,,$AI800), INDEX($AY$56:$BE$65,,$AH800), 1 / ($BG$56:$BG$65*BY800 + (1-$BG$56:$BG$65)*BU800), N($AU$56:$AU$65&gt;$AM800))
) / 1000</f>
        <v>0</v>
      </c>
      <c r="CA800" s="231">
        <f t="shared" si="856"/>
        <v>20</v>
      </c>
      <c r="CB800" s="229">
        <f t="shared" si="834"/>
        <v>33</v>
      </c>
      <c r="CC800" s="234">
        <f t="shared" si="835"/>
        <v>4.8487499999999999</v>
      </c>
      <c r="CD800" s="234" cm="1">
        <f t="array" ref="CD800">$BM800 * IF($AH800&lt;=2,
SUMPRODUCT(INDEX($AV$61:$AX$65,,$AI800), INDEX($AY$61:$BE$65,,$AH800), 1 / ($BF$61:$BF$65*CC800 + (1-$BF$61:$BF$65)*BY800), N($AU$61:$AU$65&gt;$AM800)),
SUMPRODUCT(INDEX($AV$46:$AX$55,,$AI800), INDEX($AY$46:$BE$55,,$AH800), 1 / ($BG$46:$BG$55*CC800 + (1-$BG$46:$BG$55)*BY800), N($AU$46:$AU$55&gt;$AM800))
) / 1000</f>
        <v>0</v>
      </c>
      <c r="CE800" s="234" cm="1">
        <f t="array" ref="CE800">$BM800 * IF($AH800&lt;=2,
SUMPRODUCT(INDEX($AV$22:$AX$60,,$AI800), INDEX($AY$22:$BE$60,,$AH800), 1 / ($BF$22:$BF$60*CC800), N($AU$22:$AU$60&gt;$AM800)),
SUMPRODUCT(INDEX($AV$22:$AX$45,,$AI800), INDEX($AY$22:$BE$45,,$AH800), 1 / ($BG$22:$BG$45*CC800), N($AU$22:$AU$45&gt;$AM800))
) / 1000</f>
        <v>0</v>
      </c>
      <c r="CF800" s="229">
        <f t="shared" si="836"/>
        <v>0</v>
      </c>
      <c r="CG800" s="246"/>
      <c r="CH800" s="229">
        <f t="shared" si="837"/>
        <v>0</v>
      </c>
      <c r="CI800" s="228">
        <v>35</v>
      </c>
      <c r="CJ800" s="229">
        <f t="shared" si="838"/>
        <v>48</v>
      </c>
      <c r="CK800" s="234">
        <f t="shared" si="839"/>
        <v>3.0748170731707316</v>
      </c>
      <c r="CL800" s="234" cm="1">
        <f t="array" ref="CL800">$BM800 * SUMPRODUCT(INDEX($AV$76:$AX$81,,$AI800),INDEX($AY$76:$BE$81,,$AH800), N($AU$76:$AU$81&gt;$AM800)) / CK800 / 1000</f>
        <v>0</v>
      </c>
      <c r="CM800" s="231">
        <f t="shared" si="857"/>
        <v>30</v>
      </c>
      <c r="CN800" s="229">
        <f t="shared" si="840"/>
        <v>43</v>
      </c>
      <c r="CO800" s="234">
        <f t="shared" si="841"/>
        <v>3.5018750000000001</v>
      </c>
      <c r="CP800" s="234" cm="1">
        <f t="array" ref="CP800">$BM800 * IF($AH800&lt;=2,
SUMPRODUCT(INDEX($AV$71:$AX$75,,$AI800), INDEX($AY$71:$BE$75,,$AH800), 1 / ($BF$71:$BF$75*CO800 + (1-$BF$71:$BF$75)*CK800), N($AU$71:$AU$75&gt;$AM800)),
SUMPRODUCT(INDEX($AV$66:$AX$75,,$AI800), INDEX($AY$66:$BE$75,,$AH800), 1 / ($BG$66:$BG$75*CO800 + (1-$BG$66:$BG$75)*CK800), N($AU$66:$AU$75&gt;$AM800))
) / 1000</f>
        <v>0</v>
      </c>
      <c r="CQ800" s="231">
        <f t="shared" si="858"/>
        <v>25</v>
      </c>
      <c r="CR800" s="229">
        <f t="shared" si="842"/>
        <v>38</v>
      </c>
      <c r="CS800" s="234">
        <f t="shared" si="843"/>
        <v>4.0666935483870965</v>
      </c>
      <c r="CT800" s="234" cm="1">
        <f t="array" ref="CT800">$BM800 * IF($AH800&lt;=2,
SUMPRODUCT(INDEX($AV$66:$AX$70,,$AI800), INDEX($AY$66:$BE$70,,$AH800), 1 / ($BF$66:$BF$70*CS800 + (1-$BF$66:$BF$70)*CO800), N($AU$66:$AU$70&gt;$AM800)),
SUMPRODUCT(INDEX($AV$56:$AX$65,,$AI800), INDEX($AY$56:$BE$65,,$AH800), 1 / ($BG$56:$BG$65*CS800 + (1-$BG$56:$BG$65)*CO800), N($AU$56:$AU$65&gt;$AM800))
) / 1000</f>
        <v>0</v>
      </c>
      <c r="CU800" s="231">
        <f t="shared" si="859"/>
        <v>20</v>
      </c>
      <c r="CV800" s="229">
        <f t="shared" si="844"/>
        <v>33</v>
      </c>
      <c r="CW800" s="234">
        <f t="shared" si="845"/>
        <v>4.8487499999999999</v>
      </c>
      <c r="CX800" s="234" cm="1">
        <f t="array" ref="CX800">$BM800 * IF($AH800&lt;=2,
SUMPRODUCT(INDEX($AV$61:$AX$65,,$AI800), INDEX($AY$61:$BE$65,,$AH800), 1 / ($BF$61:$BF$65*CW800 + (1-$BF$61:$BF$65)*CS800), N($AU$61:$AU$65&gt;$AM800)),
SUMPRODUCT(INDEX($AV$46:$AX$55,,$AI800), INDEX($AY$46:$BE$55,,$AH800), 1 / ($BG$46:$BG$55*CW800 + (1-$BG$46:$BG$55)*CS800), N($AU$46:$AU$55&gt;$AM800))
) / 1000</f>
        <v>0</v>
      </c>
      <c r="CY800" s="234" cm="1">
        <f t="array" ref="CY800">$BM800 * IF($AH800&lt;=2,
SUMPRODUCT(INDEX($AV$22:$AX$60,,$AI800), INDEX($AY$22:$BE$60,,$AH800), 1 / ($BF$22:$BF$60*CW800), N($AU$22:$AU$60&gt;$AM800)),
SUMPRODUCT(INDEX($AV$22:$AX$45,,$AI800), INDEX($AY$22:$BE$45,,$AH800), 1 / ($BG$22:$BG$45*CW800), N($AU$22:$AU$45&gt;$AM800))
) / 1000</f>
        <v>0</v>
      </c>
      <c r="CZ800" s="229">
        <f t="shared" si="846"/>
        <v>0</v>
      </c>
      <c r="DA800" s="246"/>
    </row>
    <row r="801" spans="1:105" s="75" customFormat="1" ht="14.25" customHeight="1" x14ac:dyDescent="0.2">
      <c r="A801" s="230" t="b">
        <f t="shared" si="851"/>
        <v>0</v>
      </c>
      <c r="B801" s="253">
        <v>780</v>
      </c>
      <c r="C801" s="266"/>
      <c r="D801" s="266"/>
      <c r="E801" s="254"/>
      <c r="F801" s="255" t="str">
        <f>IF(ISBLANK(E801), "", VLOOKUP(E801, Z!$A$2:$C$4127, 3, FALSE))</f>
        <v/>
      </c>
      <c r="G801" s="256"/>
      <c r="H801" s="256"/>
      <c r="I801" s="256"/>
      <c r="J801" s="257"/>
      <c r="K801" s="258"/>
      <c r="L801" s="267"/>
      <c r="M801" s="268"/>
      <c r="N801" s="259" t="str" cm="1">
        <f t="array" ref="N801">IF($L801&gt;0, INDEX(Clean,1+AK801,$D$1), "")</f>
        <v/>
      </c>
      <c r="O801" s="260"/>
      <c r="P801" s="260"/>
      <c r="Q801" s="261"/>
      <c r="R801" s="264">
        <f t="shared" si="822"/>
        <v>0</v>
      </c>
      <c r="S801" s="259" t="str" cm="1">
        <f t="array" ref="S801">IF($L801&gt;0, INDEX(Clean,1+AL801,$D$1), "")</f>
        <v/>
      </c>
      <c r="T801" s="260"/>
      <c r="U801" s="260"/>
      <c r="V801" s="261"/>
      <c r="W801" s="267"/>
      <c r="X801" s="267"/>
      <c r="Y801" s="257"/>
      <c r="Z801" s="264">
        <f t="shared" si="823"/>
        <v>0</v>
      </c>
      <c r="AA801" s="269"/>
      <c r="AB801" s="266"/>
      <c r="AC801" s="254"/>
      <c r="AD801" s="255" t="str">
        <f>IF(ISBLANK(AC801), "", VLOOKUP(AC801, Z!$A$2:$C$4127, 3, FALSE))</f>
        <v/>
      </c>
      <c r="AE801" s="270"/>
      <c r="AF801" s="265">
        <f t="shared" si="824"/>
        <v>0</v>
      </c>
      <c r="AG801" s="246"/>
      <c r="AH801" s="228">
        <f t="shared" si="847"/>
        <v>1</v>
      </c>
      <c r="AI801" s="228">
        <f t="shared" si="848"/>
        <v>1</v>
      </c>
      <c r="AJ801" s="228">
        <f t="shared" si="849"/>
        <v>0</v>
      </c>
      <c r="AK801" s="228">
        <v>0</v>
      </c>
      <c r="AL801" s="228">
        <v>0</v>
      </c>
      <c r="AM801" s="228">
        <f t="shared" si="825"/>
        <v>-100</v>
      </c>
      <c r="AN801" s="228" cm="1">
        <f t="array" ref="AN801">IF(ISBLANK(G801), 1, IFERROR(MATCH(G801, INDEX(Kat,,1), 0), IFERROR(MATCH(Kat, INDEX(Use,,2), 0), MATCH(Kat, INDEX(Use,,3), 0))))</f>
        <v>1</v>
      </c>
      <c r="AO801" s="246"/>
      <c r="AP801" s="228" cm="1">
        <f t="array" ref="AP801">IF(W801&gt;0, INDEX(Kat, AN801,4), 0)</f>
        <v>0</v>
      </c>
      <c r="AQ801" s="228">
        <f t="shared" si="850"/>
        <v>0</v>
      </c>
      <c r="AR801" s="228" cm="1">
        <f t="array" ref="AR801">IF(X801&gt;0, INDEX(Kat, $AN801, 4+AQ801), 0)</f>
        <v>0</v>
      </c>
      <c r="AS801" s="228" cm="1">
        <f t="array" ref="AS801">IF(X801&gt;0, INDEX(Kat, $AN801, 9+AQ801), 0)</f>
        <v>0</v>
      </c>
      <c r="AT801" s="246"/>
      <c r="AU801" s="262"/>
      <c r="AV801" s="262"/>
      <c r="AW801" s="263"/>
      <c r="AX801" s="263"/>
      <c r="AY801" s="263"/>
      <c r="AZ801" s="263"/>
      <c r="BA801" s="263"/>
      <c r="BB801" s="263"/>
      <c r="BC801" s="263"/>
      <c r="BD801" s="263"/>
      <c r="BE801" s="263"/>
      <c r="BF801" s="263"/>
      <c r="BG801" s="263"/>
      <c r="BH801" s="246"/>
      <c r="BI801" s="228" cm="1">
        <f t="array" ref="BI801">INDEX(Use, $AH801, 4)</f>
        <v>7</v>
      </c>
      <c r="BJ801" s="228">
        <f t="shared" si="826"/>
        <v>32</v>
      </c>
      <c r="BK801" s="228">
        <f t="shared" si="852"/>
        <v>13</v>
      </c>
      <c r="BL801" s="228">
        <f t="shared" si="853"/>
        <v>0</v>
      </c>
      <c r="BM801" s="233" cm="1">
        <f t="array" ref="BM801">L801/IF($M801&gt;0, INDEX($AY$22:$BE$76, $M801+20, $AH801), 1)</f>
        <v>0</v>
      </c>
      <c r="BN801" s="229">
        <f t="shared" si="827"/>
        <v>0</v>
      </c>
      <c r="BO801" s="228">
        <v>35</v>
      </c>
      <c r="BP801" s="229">
        <f t="shared" si="828"/>
        <v>48</v>
      </c>
      <c r="BQ801" s="234">
        <f t="shared" si="829"/>
        <v>3.0748170731707316</v>
      </c>
      <c r="BR801" s="234" cm="1">
        <f t="array" ref="BR801">$BM801 * SUMPRODUCT(INDEX($AV$76:$AX$81,,$AI801),INDEX($AY$76:$BE$81,,$AH801), N($AU$76:$AU$81&gt;$AM801)) / BQ801 / 1000</f>
        <v>0</v>
      </c>
      <c r="BS801" s="231">
        <f t="shared" si="854"/>
        <v>30</v>
      </c>
      <c r="BT801" s="229">
        <f t="shared" si="830"/>
        <v>43</v>
      </c>
      <c r="BU801" s="234">
        <f t="shared" si="831"/>
        <v>3.5018750000000001</v>
      </c>
      <c r="BV801" s="234" cm="1">
        <f t="array" ref="BV801">$BM801 * IF($AH801&lt;=2,
SUMPRODUCT(INDEX($AV$71:$AX$75,,$AI801), INDEX($AY$71:$BE$75,,$AH801), 1 / ($BF$71:$BF$75*BU801 + (1-$BF$71:$BF$75)*BQ801), N($AU$71:$AU$75&gt;$AM801)),
SUMPRODUCT(INDEX($AV$66:$AX$75,,$AI801), INDEX($AY$66:$BE$75,,$AH801), 1 / ($BG$66:$BG$75*BU801 + (1-$BG$66:$BG$75)*BQ801), N($AU$66:$AU$75&gt;$AM801))
) / 1000</f>
        <v>0</v>
      </c>
      <c r="BW801" s="231">
        <f t="shared" si="855"/>
        <v>25</v>
      </c>
      <c r="BX801" s="229">
        <f t="shared" si="832"/>
        <v>38</v>
      </c>
      <c r="BY801" s="234">
        <f t="shared" si="833"/>
        <v>4.0666935483870965</v>
      </c>
      <c r="BZ801" s="234" cm="1">
        <f t="array" ref="BZ801">$BM801 * IF($AH801&lt;=2,
SUMPRODUCT(INDEX($AV$66:$AX$70,,$AI801), INDEX($AY$66:$BE$70,,$AH801), 1 / ($BF$66:$BF$70*BY801 + (1-$BF$66:$BF$70)*BU801), N($AU$66:$AU$70&gt;$AM801)),
SUMPRODUCT(INDEX($AV$56:$AX$65,,$AI801), INDEX($AY$56:$BE$65,,$AH801), 1 / ($BG$56:$BG$65*BY801 + (1-$BG$56:$BG$65)*BU801), N($AU$56:$AU$65&gt;$AM801))
) / 1000</f>
        <v>0</v>
      </c>
      <c r="CA801" s="231">
        <f t="shared" si="856"/>
        <v>20</v>
      </c>
      <c r="CB801" s="229">
        <f t="shared" si="834"/>
        <v>33</v>
      </c>
      <c r="CC801" s="234">
        <f t="shared" si="835"/>
        <v>4.8487499999999999</v>
      </c>
      <c r="CD801" s="234" cm="1">
        <f t="array" ref="CD801">$BM801 * IF($AH801&lt;=2,
SUMPRODUCT(INDEX($AV$61:$AX$65,,$AI801), INDEX($AY$61:$BE$65,,$AH801), 1 / ($BF$61:$BF$65*CC801 + (1-$BF$61:$BF$65)*BY801), N($AU$61:$AU$65&gt;$AM801)),
SUMPRODUCT(INDEX($AV$46:$AX$55,,$AI801), INDEX($AY$46:$BE$55,,$AH801), 1 / ($BG$46:$BG$55*CC801 + (1-$BG$46:$BG$55)*BY801), N($AU$46:$AU$55&gt;$AM801))
) / 1000</f>
        <v>0</v>
      </c>
      <c r="CE801" s="234" cm="1">
        <f t="array" ref="CE801">$BM801 * IF($AH801&lt;=2,
SUMPRODUCT(INDEX($AV$22:$AX$60,,$AI801), INDEX($AY$22:$BE$60,,$AH801), 1 / ($BF$22:$BF$60*CC801), N($AU$22:$AU$60&gt;$AM801)),
SUMPRODUCT(INDEX($AV$22:$AX$45,,$AI801), INDEX($AY$22:$BE$45,,$AH801), 1 / ($BG$22:$BG$45*CC801), N($AU$22:$AU$45&gt;$AM801))
) / 1000</f>
        <v>0</v>
      </c>
      <c r="CF801" s="229">
        <f t="shared" si="836"/>
        <v>0</v>
      </c>
      <c r="CG801" s="246"/>
      <c r="CH801" s="229">
        <f t="shared" si="837"/>
        <v>0</v>
      </c>
      <c r="CI801" s="228">
        <v>35</v>
      </c>
      <c r="CJ801" s="229">
        <f t="shared" si="838"/>
        <v>48</v>
      </c>
      <c r="CK801" s="234">
        <f t="shared" si="839"/>
        <v>3.0748170731707316</v>
      </c>
      <c r="CL801" s="234" cm="1">
        <f t="array" ref="CL801">$BM801 * SUMPRODUCT(INDEX($AV$76:$AX$81,,$AI801),INDEX($AY$76:$BE$81,,$AH801), N($AU$76:$AU$81&gt;$AM801)) / CK801 / 1000</f>
        <v>0</v>
      </c>
      <c r="CM801" s="231">
        <f t="shared" si="857"/>
        <v>30</v>
      </c>
      <c r="CN801" s="229">
        <f t="shared" si="840"/>
        <v>43</v>
      </c>
      <c r="CO801" s="234">
        <f t="shared" si="841"/>
        <v>3.5018750000000001</v>
      </c>
      <c r="CP801" s="234" cm="1">
        <f t="array" ref="CP801">$BM801 * IF($AH801&lt;=2,
SUMPRODUCT(INDEX($AV$71:$AX$75,,$AI801), INDEX($AY$71:$BE$75,,$AH801), 1 / ($BF$71:$BF$75*CO801 + (1-$BF$71:$BF$75)*CK801), N($AU$71:$AU$75&gt;$AM801)),
SUMPRODUCT(INDEX($AV$66:$AX$75,,$AI801), INDEX($AY$66:$BE$75,,$AH801), 1 / ($BG$66:$BG$75*CO801 + (1-$BG$66:$BG$75)*CK801), N($AU$66:$AU$75&gt;$AM801))
) / 1000</f>
        <v>0</v>
      </c>
      <c r="CQ801" s="231">
        <f t="shared" si="858"/>
        <v>25</v>
      </c>
      <c r="CR801" s="229">
        <f t="shared" si="842"/>
        <v>38</v>
      </c>
      <c r="CS801" s="234">
        <f t="shared" si="843"/>
        <v>4.0666935483870965</v>
      </c>
      <c r="CT801" s="234" cm="1">
        <f t="array" ref="CT801">$BM801 * IF($AH801&lt;=2,
SUMPRODUCT(INDEX($AV$66:$AX$70,,$AI801), INDEX($AY$66:$BE$70,,$AH801), 1 / ($BF$66:$BF$70*CS801 + (1-$BF$66:$BF$70)*CO801), N($AU$66:$AU$70&gt;$AM801)),
SUMPRODUCT(INDEX($AV$56:$AX$65,,$AI801), INDEX($AY$56:$BE$65,,$AH801), 1 / ($BG$56:$BG$65*CS801 + (1-$BG$56:$BG$65)*CO801), N($AU$56:$AU$65&gt;$AM801))
) / 1000</f>
        <v>0</v>
      </c>
      <c r="CU801" s="231">
        <f t="shared" si="859"/>
        <v>20</v>
      </c>
      <c r="CV801" s="229">
        <f t="shared" si="844"/>
        <v>33</v>
      </c>
      <c r="CW801" s="234">
        <f t="shared" si="845"/>
        <v>4.8487499999999999</v>
      </c>
      <c r="CX801" s="234" cm="1">
        <f t="array" ref="CX801">$BM801 * IF($AH801&lt;=2,
SUMPRODUCT(INDEX($AV$61:$AX$65,,$AI801), INDEX($AY$61:$BE$65,,$AH801), 1 / ($BF$61:$BF$65*CW801 + (1-$BF$61:$BF$65)*CS801), N($AU$61:$AU$65&gt;$AM801)),
SUMPRODUCT(INDEX($AV$46:$AX$55,,$AI801), INDEX($AY$46:$BE$55,,$AH801), 1 / ($BG$46:$BG$55*CW801 + (1-$BG$46:$BG$55)*CS801), N($AU$46:$AU$55&gt;$AM801))
) / 1000</f>
        <v>0</v>
      </c>
      <c r="CY801" s="234" cm="1">
        <f t="array" ref="CY801">$BM801 * IF($AH801&lt;=2,
SUMPRODUCT(INDEX($AV$22:$AX$60,,$AI801), INDEX($AY$22:$BE$60,,$AH801), 1 / ($BF$22:$BF$60*CW801), N($AU$22:$AU$60&gt;$AM801)),
SUMPRODUCT(INDEX($AV$22:$AX$45,,$AI801), INDEX($AY$22:$BE$45,,$AH801), 1 / ($BG$22:$BG$45*CW801), N($AU$22:$AU$45&gt;$AM801))
) / 1000</f>
        <v>0</v>
      </c>
      <c r="CZ801" s="229">
        <f t="shared" si="846"/>
        <v>0</v>
      </c>
      <c r="DA801" s="246"/>
    </row>
    <row r="802" spans="1:105" s="75" customFormat="1" ht="14.25" customHeight="1" x14ac:dyDescent="0.2">
      <c r="A802" s="230" t="b">
        <f t="shared" si="851"/>
        <v>0</v>
      </c>
      <c r="B802" s="253">
        <v>781</v>
      </c>
      <c r="C802" s="266"/>
      <c r="D802" s="266"/>
      <c r="E802" s="254"/>
      <c r="F802" s="255" t="str">
        <f>IF(ISBLANK(E802), "", VLOOKUP(E802, Z!$A$2:$C$4127, 3, FALSE))</f>
        <v/>
      </c>
      <c r="G802" s="256"/>
      <c r="H802" s="256"/>
      <c r="I802" s="256"/>
      <c r="J802" s="257"/>
      <c r="K802" s="258"/>
      <c r="L802" s="267"/>
      <c r="M802" s="268"/>
      <c r="N802" s="259" t="str" cm="1">
        <f t="array" ref="N802">IF($L802&gt;0, INDEX(Clean,1+AK802,$D$1), "")</f>
        <v/>
      </c>
      <c r="O802" s="260"/>
      <c r="P802" s="260"/>
      <c r="Q802" s="261"/>
      <c r="R802" s="264">
        <f t="shared" si="822"/>
        <v>0</v>
      </c>
      <c r="S802" s="259" t="str" cm="1">
        <f t="array" ref="S802">IF($L802&gt;0, INDEX(Clean,1+AL802,$D$1), "")</f>
        <v/>
      </c>
      <c r="T802" s="260"/>
      <c r="U802" s="260"/>
      <c r="V802" s="261"/>
      <c r="W802" s="267"/>
      <c r="X802" s="267"/>
      <c r="Y802" s="257"/>
      <c r="Z802" s="264">
        <f t="shared" si="823"/>
        <v>0</v>
      </c>
      <c r="AA802" s="269"/>
      <c r="AB802" s="266"/>
      <c r="AC802" s="254"/>
      <c r="AD802" s="255" t="str">
        <f>IF(ISBLANK(AC802), "", VLOOKUP(AC802, Z!$A$2:$C$4127, 3, FALSE))</f>
        <v/>
      </c>
      <c r="AE802" s="270"/>
      <c r="AF802" s="265">
        <f t="shared" si="824"/>
        <v>0</v>
      </c>
      <c r="AG802" s="246"/>
      <c r="AH802" s="228">
        <f t="shared" si="847"/>
        <v>1</v>
      </c>
      <c r="AI802" s="228">
        <f t="shared" si="848"/>
        <v>1</v>
      </c>
      <c r="AJ802" s="228">
        <f t="shared" si="849"/>
        <v>0</v>
      </c>
      <c r="AK802" s="228">
        <v>0</v>
      </c>
      <c r="AL802" s="228">
        <v>0</v>
      </c>
      <c r="AM802" s="228">
        <f t="shared" si="825"/>
        <v>-100</v>
      </c>
      <c r="AN802" s="228" cm="1">
        <f t="array" ref="AN802">IF(ISBLANK(G802), 1, IFERROR(MATCH(G802, INDEX(Kat,,1), 0), IFERROR(MATCH(Kat, INDEX(Use,,2), 0), MATCH(Kat, INDEX(Use,,3), 0))))</f>
        <v>1</v>
      </c>
      <c r="AO802" s="246"/>
      <c r="AP802" s="228" cm="1">
        <f t="array" ref="AP802">IF(W802&gt;0, INDEX(Kat, AN802,4), 0)</f>
        <v>0</v>
      </c>
      <c r="AQ802" s="228">
        <f t="shared" si="850"/>
        <v>0</v>
      </c>
      <c r="AR802" s="228" cm="1">
        <f t="array" ref="AR802">IF(X802&gt;0, INDEX(Kat, $AN802, 4+AQ802), 0)</f>
        <v>0</v>
      </c>
      <c r="AS802" s="228" cm="1">
        <f t="array" ref="AS802">IF(X802&gt;0, INDEX(Kat, $AN802, 9+AQ802), 0)</f>
        <v>0</v>
      </c>
      <c r="AT802" s="246"/>
      <c r="AU802" s="262"/>
      <c r="AV802" s="262"/>
      <c r="AW802" s="263"/>
      <c r="AX802" s="263"/>
      <c r="AY802" s="263"/>
      <c r="AZ802" s="263"/>
      <c r="BA802" s="263"/>
      <c r="BB802" s="263"/>
      <c r="BC802" s="263"/>
      <c r="BD802" s="263"/>
      <c r="BE802" s="263"/>
      <c r="BF802" s="263"/>
      <c r="BG802" s="263"/>
      <c r="BH802" s="246"/>
      <c r="BI802" s="228" cm="1">
        <f t="array" ref="BI802">INDEX(Use, $AH802, 4)</f>
        <v>7</v>
      </c>
      <c r="BJ802" s="228">
        <f t="shared" si="826"/>
        <v>32</v>
      </c>
      <c r="BK802" s="228">
        <f t="shared" si="852"/>
        <v>13</v>
      </c>
      <c r="BL802" s="228">
        <f t="shared" si="853"/>
        <v>0</v>
      </c>
      <c r="BM802" s="233" cm="1">
        <f t="array" ref="BM802">L802/IF($M802&gt;0, INDEX($AY$22:$BE$76, $M802+20, $AH802), 1)</f>
        <v>0</v>
      </c>
      <c r="BN802" s="229">
        <f t="shared" si="827"/>
        <v>0</v>
      </c>
      <c r="BO802" s="228">
        <v>35</v>
      </c>
      <c r="BP802" s="229">
        <f t="shared" si="828"/>
        <v>48</v>
      </c>
      <c r="BQ802" s="234">
        <f t="shared" si="829"/>
        <v>3.0748170731707316</v>
      </c>
      <c r="BR802" s="234" cm="1">
        <f t="array" ref="BR802">$BM802 * SUMPRODUCT(INDEX($AV$76:$AX$81,,$AI802),INDEX($AY$76:$BE$81,,$AH802), N($AU$76:$AU$81&gt;$AM802)) / BQ802 / 1000</f>
        <v>0</v>
      </c>
      <c r="BS802" s="231">
        <f t="shared" si="854"/>
        <v>30</v>
      </c>
      <c r="BT802" s="229">
        <f t="shared" si="830"/>
        <v>43</v>
      </c>
      <c r="BU802" s="234">
        <f t="shared" si="831"/>
        <v>3.5018750000000001</v>
      </c>
      <c r="BV802" s="234" cm="1">
        <f t="array" ref="BV802">$BM802 * IF($AH802&lt;=2,
SUMPRODUCT(INDEX($AV$71:$AX$75,,$AI802), INDEX($AY$71:$BE$75,,$AH802), 1 / ($BF$71:$BF$75*BU802 + (1-$BF$71:$BF$75)*BQ802), N($AU$71:$AU$75&gt;$AM802)),
SUMPRODUCT(INDEX($AV$66:$AX$75,,$AI802), INDEX($AY$66:$BE$75,,$AH802), 1 / ($BG$66:$BG$75*BU802 + (1-$BG$66:$BG$75)*BQ802), N($AU$66:$AU$75&gt;$AM802))
) / 1000</f>
        <v>0</v>
      </c>
      <c r="BW802" s="231">
        <f t="shared" si="855"/>
        <v>25</v>
      </c>
      <c r="BX802" s="229">
        <f t="shared" si="832"/>
        <v>38</v>
      </c>
      <c r="BY802" s="234">
        <f t="shared" si="833"/>
        <v>4.0666935483870965</v>
      </c>
      <c r="BZ802" s="234" cm="1">
        <f t="array" ref="BZ802">$BM802 * IF($AH802&lt;=2,
SUMPRODUCT(INDEX($AV$66:$AX$70,,$AI802), INDEX($AY$66:$BE$70,,$AH802), 1 / ($BF$66:$BF$70*BY802 + (1-$BF$66:$BF$70)*BU802), N($AU$66:$AU$70&gt;$AM802)),
SUMPRODUCT(INDEX($AV$56:$AX$65,,$AI802), INDEX($AY$56:$BE$65,,$AH802), 1 / ($BG$56:$BG$65*BY802 + (1-$BG$56:$BG$65)*BU802), N($AU$56:$AU$65&gt;$AM802))
) / 1000</f>
        <v>0</v>
      </c>
      <c r="CA802" s="231">
        <f t="shared" si="856"/>
        <v>20</v>
      </c>
      <c r="CB802" s="229">
        <f t="shared" si="834"/>
        <v>33</v>
      </c>
      <c r="CC802" s="234">
        <f t="shared" si="835"/>
        <v>4.8487499999999999</v>
      </c>
      <c r="CD802" s="234" cm="1">
        <f t="array" ref="CD802">$BM802 * IF($AH802&lt;=2,
SUMPRODUCT(INDEX($AV$61:$AX$65,,$AI802), INDEX($AY$61:$BE$65,,$AH802), 1 / ($BF$61:$BF$65*CC802 + (1-$BF$61:$BF$65)*BY802), N($AU$61:$AU$65&gt;$AM802)),
SUMPRODUCT(INDEX($AV$46:$AX$55,,$AI802), INDEX($AY$46:$BE$55,,$AH802), 1 / ($BG$46:$BG$55*CC802 + (1-$BG$46:$BG$55)*BY802), N($AU$46:$AU$55&gt;$AM802))
) / 1000</f>
        <v>0</v>
      </c>
      <c r="CE802" s="234" cm="1">
        <f t="array" ref="CE802">$BM802 * IF($AH802&lt;=2,
SUMPRODUCT(INDEX($AV$22:$AX$60,,$AI802), INDEX($AY$22:$BE$60,,$AH802), 1 / ($BF$22:$BF$60*CC802), N($AU$22:$AU$60&gt;$AM802)),
SUMPRODUCT(INDEX($AV$22:$AX$45,,$AI802), INDEX($AY$22:$BE$45,,$AH802), 1 / ($BG$22:$BG$45*CC802), N($AU$22:$AU$45&gt;$AM802))
) / 1000</f>
        <v>0</v>
      </c>
      <c r="CF802" s="229">
        <f t="shared" si="836"/>
        <v>0</v>
      </c>
      <c r="CG802" s="246"/>
      <c r="CH802" s="229">
        <f t="shared" si="837"/>
        <v>0</v>
      </c>
      <c r="CI802" s="228">
        <v>35</v>
      </c>
      <c r="CJ802" s="229">
        <f t="shared" si="838"/>
        <v>48</v>
      </c>
      <c r="CK802" s="234">
        <f t="shared" si="839"/>
        <v>3.0748170731707316</v>
      </c>
      <c r="CL802" s="234" cm="1">
        <f t="array" ref="CL802">$BM802 * SUMPRODUCT(INDEX($AV$76:$AX$81,,$AI802),INDEX($AY$76:$BE$81,,$AH802), N($AU$76:$AU$81&gt;$AM802)) / CK802 / 1000</f>
        <v>0</v>
      </c>
      <c r="CM802" s="231">
        <f t="shared" si="857"/>
        <v>30</v>
      </c>
      <c r="CN802" s="229">
        <f t="shared" si="840"/>
        <v>43</v>
      </c>
      <c r="CO802" s="234">
        <f t="shared" si="841"/>
        <v>3.5018750000000001</v>
      </c>
      <c r="CP802" s="234" cm="1">
        <f t="array" ref="CP802">$BM802 * IF($AH802&lt;=2,
SUMPRODUCT(INDEX($AV$71:$AX$75,,$AI802), INDEX($AY$71:$BE$75,,$AH802), 1 / ($BF$71:$BF$75*CO802 + (1-$BF$71:$BF$75)*CK802), N($AU$71:$AU$75&gt;$AM802)),
SUMPRODUCT(INDEX($AV$66:$AX$75,,$AI802), INDEX($AY$66:$BE$75,,$AH802), 1 / ($BG$66:$BG$75*CO802 + (1-$BG$66:$BG$75)*CK802), N($AU$66:$AU$75&gt;$AM802))
) / 1000</f>
        <v>0</v>
      </c>
      <c r="CQ802" s="231">
        <f t="shared" si="858"/>
        <v>25</v>
      </c>
      <c r="CR802" s="229">
        <f t="shared" si="842"/>
        <v>38</v>
      </c>
      <c r="CS802" s="234">
        <f t="shared" si="843"/>
        <v>4.0666935483870965</v>
      </c>
      <c r="CT802" s="234" cm="1">
        <f t="array" ref="CT802">$BM802 * IF($AH802&lt;=2,
SUMPRODUCT(INDEX($AV$66:$AX$70,,$AI802), INDEX($AY$66:$BE$70,,$AH802), 1 / ($BF$66:$BF$70*CS802 + (1-$BF$66:$BF$70)*CO802), N($AU$66:$AU$70&gt;$AM802)),
SUMPRODUCT(INDEX($AV$56:$AX$65,,$AI802), INDEX($AY$56:$BE$65,,$AH802), 1 / ($BG$56:$BG$65*CS802 + (1-$BG$56:$BG$65)*CO802), N($AU$56:$AU$65&gt;$AM802))
) / 1000</f>
        <v>0</v>
      </c>
      <c r="CU802" s="231">
        <f t="shared" si="859"/>
        <v>20</v>
      </c>
      <c r="CV802" s="229">
        <f t="shared" si="844"/>
        <v>33</v>
      </c>
      <c r="CW802" s="234">
        <f t="shared" si="845"/>
        <v>4.8487499999999999</v>
      </c>
      <c r="CX802" s="234" cm="1">
        <f t="array" ref="CX802">$BM802 * IF($AH802&lt;=2,
SUMPRODUCT(INDEX($AV$61:$AX$65,,$AI802), INDEX($AY$61:$BE$65,,$AH802), 1 / ($BF$61:$BF$65*CW802 + (1-$BF$61:$BF$65)*CS802), N($AU$61:$AU$65&gt;$AM802)),
SUMPRODUCT(INDEX($AV$46:$AX$55,,$AI802), INDEX($AY$46:$BE$55,,$AH802), 1 / ($BG$46:$BG$55*CW802 + (1-$BG$46:$BG$55)*CS802), N($AU$46:$AU$55&gt;$AM802))
) / 1000</f>
        <v>0</v>
      </c>
      <c r="CY802" s="234" cm="1">
        <f t="array" ref="CY802">$BM802 * IF($AH802&lt;=2,
SUMPRODUCT(INDEX($AV$22:$AX$60,,$AI802), INDEX($AY$22:$BE$60,,$AH802), 1 / ($BF$22:$BF$60*CW802), N($AU$22:$AU$60&gt;$AM802)),
SUMPRODUCT(INDEX($AV$22:$AX$45,,$AI802), INDEX($AY$22:$BE$45,,$AH802), 1 / ($BG$22:$BG$45*CW802), N($AU$22:$AU$45&gt;$AM802))
) / 1000</f>
        <v>0</v>
      </c>
      <c r="CZ802" s="229">
        <f t="shared" si="846"/>
        <v>0</v>
      </c>
      <c r="DA802" s="246"/>
    </row>
    <row r="803" spans="1:105" s="75" customFormat="1" ht="14.25" customHeight="1" x14ac:dyDescent="0.2">
      <c r="A803" s="230" t="b">
        <f t="shared" si="851"/>
        <v>0</v>
      </c>
      <c r="B803" s="253">
        <v>782</v>
      </c>
      <c r="C803" s="266"/>
      <c r="D803" s="266"/>
      <c r="E803" s="254"/>
      <c r="F803" s="255" t="str">
        <f>IF(ISBLANK(E803), "", VLOOKUP(E803, Z!$A$2:$C$4127, 3, FALSE))</f>
        <v/>
      </c>
      <c r="G803" s="256"/>
      <c r="H803" s="256"/>
      <c r="I803" s="256"/>
      <c r="J803" s="257"/>
      <c r="K803" s="258"/>
      <c r="L803" s="267"/>
      <c r="M803" s="268"/>
      <c r="N803" s="259" t="str" cm="1">
        <f t="array" ref="N803">IF($L803&gt;0, INDEX(Clean,1+AK803,$D$1), "")</f>
        <v/>
      </c>
      <c r="O803" s="260"/>
      <c r="P803" s="260"/>
      <c r="Q803" s="261"/>
      <c r="R803" s="264">
        <f t="shared" si="822"/>
        <v>0</v>
      </c>
      <c r="S803" s="259" t="str" cm="1">
        <f t="array" ref="S803">IF($L803&gt;0, INDEX(Clean,1+AL803,$D$1), "")</f>
        <v/>
      </c>
      <c r="T803" s="260"/>
      <c r="U803" s="260"/>
      <c r="V803" s="261"/>
      <c r="W803" s="267"/>
      <c r="X803" s="267"/>
      <c r="Y803" s="257"/>
      <c r="Z803" s="264">
        <f t="shared" si="823"/>
        <v>0</v>
      </c>
      <c r="AA803" s="269"/>
      <c r="AB803" s="266"/>
      <c r="AC803" s="254"/>
      <c r="AD803" s="255" t="str">
        <f>IF(ISBLANK(AC803), "", VLOOKUP(AC803, Z!$A$2:$C$4127, 3, FALSE))</f>
        <v/>
      </c>
      <c r="AE803" s="270"/>
      <c r="AF803" s="265">
        <f t="shared" si="824"/>
        <v>0</v>
      </c>
      <c r="AG803" s="246"/>
      <c r="AH803" s="228">
        <f t="shared" si="847"/>
        <v>1</v>
      </c>
      <c r="AI803" s="228">
        <f t="shared" si="848"/>
        <v>1</v>
      </c>
      <c r="AJ803" s="228">
        <f t="shared" si="849"/>
        <v>0</v>
      </c>
      <c r="AK803" s="228">
        <v>0</v>
      </c>
      <c r="AL803" s="228">
        <v>0</v>
      </c>
      <c r="AM803" s="228">
        <f t="shared" si="825"/>
        <v>-100</v>
      </c>
      <c r="AN803" s="228" cm="1">
        <f t="array" ref="AN803">IF(ISBLANK(G803), 1, IFERROR(MATCH(G803, INDEX(Kat,,1), 0), IFERROR(MATCH(Kat, INDEX(Use,,2), 0), MATCH(Kat, INDEX(Use,,3), 0))))</f>
        <v>1</v>
      </c>
      <c r="AO803" s="246"/>
      <c r="AP803" s="228" cm="1">
        <f t="array" ref="AP803">IF(W803&gt;0, INDEX(Kat, AN803,4), 0)</f>
        <v>0</v>
      </c>
      <c r="AQ803" s="228">
        <f t="shared" si="850"/>
        <v>0</v>
      </c>
      <c r="AR803" s="228" cm="1">
        <f t="array" ref="AR803">IF(X803&gt;0, INDEX(Kat, $AN803, 4+AQ803), 0)</f>
        <v>0</v>
      </c>
      <c r="AS803" s="228" cm="1">
        <f t="array" ref="AS803">IF(X803&gt;0, INDEX(Kat, $AN803, 9+AQ803), 0)</f>
        <v>0</v>
      </c>
      <c r="AT803" s="246"/>
      <c r="AU803" s="262"/>
      <c r="AV803" s="262"/>
      <c r="AW803" s="263"/>
      <c r="AX803" s="263"/>
      <c r="AY803" s="263"/>
      <c r="AZ803" s="263"/>
      <c r="BA803" s="263"/>
      <c r="BB803" s="263"/>
      <c r="BC803" s="263"/>
      <c r="BD803" s="263"/>
      <c r="BE803" s="263"/>
      <c r="BF803" s="263"/>
      <c r="BG803" s="263"/>
      <c r="BH803" s="246"/>
      <c r="BI803" s="228" cm="1">
        <f t="array" ref="BI803">INDEX(Use, $AH803, 4)</f>
        <v>7</v>
      </c>
      <c r="BJ803" s="228">
        <f t="shared" si="826"/>
        <v>32</v>
      </c>
      <c r="BK803" s="228">
        <f t="shared" si="852"/>
        <v>13</v>
      </c>
      <c r="BL803" s="228">
        <f t="shared" si="853"/>
        <v>0</v>
      </c>
      <c r="BM803" s="233" cm="1">
        <f t="array" ref="BM803">L803/IF($M803&gt;0, INDEX($AY$22:$BE$76, $M803+20, $AH803), 1)</f>
        <v>0</v>
      </c>
      <c r="BN803" s="229">
        <f t="shared" si="827"/>
        <v>0</v>
      </c>
      <c r="BO803" s="228">
        <v>35</v>
      </c>
      <c r="BP803" s="229">
        <f t="shared" si="828"/>
        <v>48</v>
      </c>
      <c r="BQ803" s="234">
        <f t="shared" si="829"/>
        <v>3.0748170731707316</v>
      </c>
      <c r="BR803" s="234" cm="1">
        <f t="array" ref="BR803">$BM803 * SUMPRODUCT(INDEX($AV$76:$AX$81,,$AI803),INDEX($AY$76:$BE$81,,$AH803), N($AU$76:$AU$81&gt;$AM803)) / BQ803 / 1000</f>
        <v>0</v>
      </c>
      <c r="BS803" s="231">
        <f t="shared" si="854"/>
        <v>30</v>
      </c>
      <c r="BT803" s="229">
        <f t="shared" si="830"/>
        <v>43</v>
      </c>
      <c r="BU803" s="234">
        <f t="shared" si="831"/>
        <v>3.5018750000000001</v>
      </c>
      <c r="BV803" s="234" cm="1">
        <f t="array" ref="BV803">$BM803 * IF($AH803&lt;=2,
SUMPRODUCT(INDEX($AV$71:$AX$75,,$AI803), INDEX($AY$71:$BE$75,,$AH803), 1 / ($BF$71:$BF$75*BU803 + (1-$BF$71:$BF$75)*BQ803), N($AU$71:$AU$75&gt;$AM803)),
SUMPRODUCT(INDEX($AV$66:$AX$75,,$AI803), INDEX($AY$66:$BE$75,,$AH803), 1 / ($BG$66:$BG$75*BU803 + (1-$BG$66:$BG$75)*BQ803), N($AU$66:$AU$75&gt;$AM803))
) / 1000</f>
        <v>0</v>
      </c>
      <c r="BW803" s="231">
        <f t="shared" si="855"/>
        <v>25</v>
      </c>
      <c r="BX803" s="229">
        <f t="shared" si="832"/>
        <v>38</v>
      </c>
      <c r="BY803" s="234">
        <f t="shared" si="833"/>
        <v>4.0666935483870965</v>
      </c>
      <c r="BZ803" s="234" cm="1">
        <f t="array" ref="BZ803">$BM803 * IF($AH803&lt;=2,
SUMPRODUCT(INDEX($AV$66:$AX$70,,$AI803), INDEX($AY$66:$BE$70,,$AH803), 1 / ($BF$66:$BF$70*BY803 + (1-$BF$66:$BF$70)*BU803), N($AU$66:$AU$70&gt;$AM803)),
SUMPRODUCT(INDEX($AV$56:$AX$65,,$AI803), INDEX($AY$56:$BE$65,,$AH803), 1 / ($BG$56:$BG$65*BY803 + (1-$BG$56:$BG$65)*BU803), N($AU$56:$AU$65&gt;$AM803))
) / 1000</f>
        <v>0</v>
      </c>
      <c r="CA803" s="231">
        <f t="shared" si="856"/>
        <v>20</v>
      </c>
      <c r="CB803" s="229">
        <f t="shared" si="834"/>
        <v>33</v>
      </c>
      <c r="CC803" s="234">
        <f t="shared" si="835"/>
        <v>4.8487499999999999</v>
      </c>
      <c r="CD803" s="234" cm="1">
        <f t="array" ref="CD803">$BM803 * IF($AH803&lt;=2,
SUMPRODUCT(INDEX($AV$61:$AX$65,,$AI803), INDEX($AY$61:$BE$65,,$AH803), 1 / ($BF$61:$BF$65*CC803 + (1-$BF$61:$BF$65)*BY803), N($AU$61:$AU$65&gt;$AM803)),
SUMPRODUCT(INDEX($AV$46:$AX$55,,$AI803), INDEX($AY$46:$BE$55,,$AH803), 1 / ($BG$46:$BG$55*CC803 + (1-$BG$46:$BG$55)*BY803), N($AU$46:$AU$55&gt;$AM803))
) / 1000</f>
        <v>0</v>
      </c>
      <c r="CE803" s="234" cm="1">
        <f t="array" ref="CE803">$BM803 * IF($AH803&lt;=2,
SUMPRODUCT(INDEX($AV$22:$AX$60,,$AI803), INDEX($AY$22:$BE$60,,$AH803), 1 / ($BF$22:$BF$60*CC803), N($AU$22:$AU$60&gt;$AM803)),
SUMPRODUCT(INDEX($AV$22:$AX$45,,$AI803), INDEX($AY$22:$BE$45,,$AH803), 1 / ($BG$22:$BG$45*CC803), N($AU$22:$AU$45&gt;$AM803))
) / 1000</f>
        <v>0</v>
      </c>
      <c r="CF803" s="229">
        <f t="shared" si="836"/>
        <v>0</v>
      </c>
      <c r="CG803" s="246"/>
      <c r="CH803" s="229">
        <f t="shared" si="837"/>
        <v>0</v>
      </c>
      <c r="CI803" s="228">
        <v>35</v>
      </c>
      <c r="CJ803" s="229">
        <f t="shared" si="838"/>
        <v>48</v>
      </c>
      <c r="CK803" s="234">
        <f t="shared" si="839"/>
        <v>3.0748170731707316</v>
      </c>
      <c r="CL803" s="234" cm="1">
        <f t="array" ref="CL803">$BM803 * SUMPRODUCT(INDEX($AV$76:$AX$81,,$AI803),INDEX($AY$76:$BE$81,,$AH803), N($AU$76:$AU$81&gt;$AM803)) / CK803 / 1000</f>
        <v>0</v>
      </c>
      <c r="CM803" s="231">
        <f t="shared" si="857"/>
        <v>30</v>
      </c>
      <c r="CN803" s="229">
        <f t="shared" si="840"/>
        <v>43</v>
      </c>
      <c r="CO803" s="234">
        <f t="shared" si="841"/>
        <v>3.5018750000000001</v>
      </c>
      <c r="CP803" s="234" cm="1">
        <f t="array" ref="CP803">$BM803 * IF($AH803&lt;=2,
SUMPRODUCT(INDEX($AV$71:$AX$75,,$AI803), INDEX($AY$71:$BE$75,,$AH803), 1 / ($BF$71:$BF$75*CO803 + (1-$BF$71:$BF$75)*CK803), N($AU$71:$AU$75&gt;$AM803)),
SUMPRODUCT(INDEX($AV$66:$AX$75,,$AI803), INDEX($AY$66:$BE$75,,$AH803), 1 / ($BG$66:$BG$75*CO803 + (1-$BG$66:$BG$75)*CK803), N($AU$66:$AU$75&gt;$AM803))
) / 1000</f>
        <v>0</v>
      </c>
      <c r="CQ803" s="231">
        <f t="shared" si="858"/>
        <v>25</v>
      </c>
      <c r="CR803" s="229">
        <f t="shared" si="842"/>
        <v>38</v>
      </c>
      <c r="CS803" s="234">
        <f t="shared" si="843"/>
        <v>4.0666935483870965</v>
      </c>
      <c r="CT803" s="234" cm="1">
        <f t="array" ref="CT803">$BM803 * IF($AH803&lt;=2,
SUMPRODUCT(INDEX($AV$66:$AX$70,,$AI803), INDEX($AY$66:$BE$70,,$AH803), 1 / ($BF$66:$BF$70*CS803 + (1-$BF$66:$BF$70)*CO803), N($AU$66:$AU$70&gt;$AM803)),
SUMPRODUCT(INDEX($AV$56:$AX$65,,$AI803), INDEX($AY$56:$BE$65,,$AH803), 1 / ($BG$56:$BG$65*CS803 + (1-$BG$56:$BG$65)*CO803), N($AU$56:$AU$65&gt;$AM803))
) / 1000</f>
        <v>0</v>
      </c>
      <c r="CU803" s="231">
        <f t="shared" si="859"/>
        <v>20</v>
      </c>
      <c r="CV803" s="229">
        <f t="shared" si="844"/>
        <v>33</v>
      </c>
      <c r="CW803" s="234">
        <f t="shared" si="845"/>
        <v>4.8487499999999999</v>
      </c>
      <c r="CX803" s="234" cm="1">
        <f t="array" ref="CX803">$BM803 * IF($AH803&lt;=2,
SUMPRODUCT(INDEX($AV$61:$AX$65,,$AI803), INDEX($AY$61:$BE$65,,$AH803), 1 / ($BF$61:$BF$65*CW803 + (1-$BF$61:$BF$65)*CS803), N($AU$61:$AU$65&gt;$AM803)),
SUMPRODUCT(INDEX($AV$46:$AX$55,,$AI803), INDEX($AY$46:$BE$55,,$AH803), 1 / ($BG$46:$BG$55*CW803 + (1-$BG$46:$BG$55)*CS803), N($AU$46:$AU$55&gt;$AM803))
) / 1000</f>
        <v>0</v>
      </c>
      <c r="CY803" s="234" cm="1">
        <f t="array" ref="CY803">$BM803 * IF($AH803&lt;=2,
SUMPRODUCT(INDEX($AV$22:$AX$60,,$AI803), INDEX($AY$22:$BE$60,,$AH803), 1 / ($BF$22:$BF$60*CW803), N($AU$22:$AU$60&gt;$AM803)),
SUMPRODUCT(INDEX($AV$22:$AX$45,,$AI803), INDEX($AY$22:$BE$45,,$AH803), 1 / ($BG$22:$BG$45*CW803), N($AU$22:$AU$45&gt;$AM803))
) / 1000</f>
        <v>0</v>
      </c>
      <c r="CZ803" s="229">
        <f t="shared" si="846"/>
        <v>0</v>
      </c>
      <c r="DA803" s="246"/>
    </row>
    <row r="804" spans="1:105" s="75" customFormat="1" ht="14.25" customHeight="1" x14ac:dyDescent="0.2">
      <c r="A804" s="230" t="b">
        <f t="shared" si="851"/>
        <v>0</v>
      </c>
      <c r="B804" s="253">
        <v>783</v>
      </c>
      <c r="C804" s="266"/>
      <c r="D804" s="266"/>
      <c r="E804" s="254"/>
      <c r="F804" s="255" t="str">
        <f>IF(ISBLANK(E804), "", VLOOKUP(E804, Z!$A$2:$C$4127, 3, FALSE))</f>
        <v/>
      </c>
      <c r="G804" s="256"/>
      <c r="H804" s="256"/>
      <c r="I804" s="256"/>
      <c r="J804" s="257"/>
      <c r="K804" s="258"/>
      <c r="L804" s="267"/>
      <c r="M804" s="268"/>
      <c r="N804" s="259" t="str" cm="1">
        <f t="array" ref="N804">IF($L804&gt;0, INDEX(Clean,1+AK804,$D$1), "")</f>
        <v/>
      </c>
      <c r="O804" s="260"/>
      <c r="P804" s="260"/>
      <c r="Q804" s="261"/>
      <c r="R804" s="264">
        <f t="shared" si="822"/>
        <v>0</v>
      </c>
      <c r="S804" s="259" t="str" cm="1">
        <f t="array" ref="S804">IF($L804&gt;0, INDEX(Clean,1+AL804,$D$1), "")</f>
        <v/>
      </c>
      <c r="T804" s="260"/>
      <c r="U804" s="260"/>
      <c r="V804" s="261"/>
      <c r="W804" s="267"/>
      <c r="X804" s="267"/>
      <c r="Y804" s="257"/>
      <c r="Z804" s="264">
        <f t="shared" si="823"/>
        <v>0</v>
      </c>
      <c r="AA804" s="269"/>
      <c r="AB804" s="266"/>
      <c r="AC804" s="254"/>
      <c r="AD804" s="255" t="str">
        <f>IF(ISBLANK(AC804), "", VLOOKUP(AC804, Z!$A$2:$C$4127, 3, FALSE))</f>
        <v/>
      </c>
      <c r="AE804" s="270"/>
      <c r="AF804" s="265">
        <f t="shared" si="824"/>
        <v>0</v>
      </c>
      <c r="AG804" s="246"/>
      <c r="AH804" s="228">
        <f t="shared" si="847"/>
        <v>1</v>
      </c>
      <c r="AI804" s="228">
        <f t="shared" si="848"/>
        <v>1</v>
      </c>
      <c r="AJ804" s="228">
        <f t="shared" si="849"/>
        <v>0</v>
      </c>
      <c r="AK804" s="228">
        <v>0</v>
      </c>
      <c r="AL804" s="228">
        <v>0</v>
      </c>
      <c r="AM804" s="228">
        <f t="shared" si="825"/>
        <v>-100</v>
      </c>
      <c r="AN804" s="228" cm="1">
        <f t="array" ref="AN804">IF(ISBLANK(G804), 1, IFERROR(MATCH(G804, INDEX(Kat,,1), 0), IFERROR(MATCH(Kat, INDEX(Use,,2), 0), MATCH(Kat, INDEX(Use,,3), 0))))</f>
        <v>1</v>
      </c>
      <c r="AO804" s="246"/>
      <c r="AP804" s="228" cm="1">
        <f t="array" ref="AP804">IF(W804&gt;0, INDEX(Kat, AN804,4), 0)</f>
        <v>0</v>
      </c>
      <c r="AQ804" s="228">
        <f t="shared" si="850"/>
        <v>0</v>
      </c>
      <c r="AR804" s="228" cm="1">
        <f t="array" ref="AR804">IF(X804&gt;0, INDEX(Kat, $AN804, 4+AQ804), 0)</f>
        <v>0</v>
      </c>
      <c r="AS804" s="228" cm="1">
        <f t="array" ref="AS804">IF(X804&gt;0, INDEX(Kat, $AN804, 9+AQ804), 0)</f>
        <v>0</v>
      </c>
      <c r="AT804" s="246"/>
      <c r="AU804" s="262"/>
      <c r="AV804" s="262"/>
      <c r="AW804" s="263"/>
      <c r="AX804" s="263"/>
      <c r="AY804" s="263"/>
      <c r="AZ804" s="263"/>
      <c r="BA804" s="263"/>
      <c r="BB804" s="263"/>
      <c r="BC804" s="263"/>
      <c r="BD804" s="263"/>
      <c r="BE804" s="263"/>
      <c r="BF804" s="263"/>
      <c r="BG804" s="263"/>
      <c r="BH804" s="246"/>
      <c r="BI804" s="228" cm="1">
        <f t="array" ref="BI804">INDEX(Use, $AH804, 4)</f>
        <v>7</v>
      </c>
      <c r="BJ804" s="228">
        <f t="shared" si="826"/>
        <v>32</v>
      </c>
      <c r="BK804" s="228">
        <f t="shared" si="852"/>
        <v>13</v>
      </c>
      <c r="BL804" s="228">
        <f t="shared" si="853"/>
        <v>0</v>
      </c>
      <c r="BM804" s="233" cm="1">
        <f t="array" ref="BM804">L804/IF($M804&gt;0, INDEX($AY$22:$BE$76, $M804+20, $AH804), 1)</f>
        <v>0</v>
      </c>
      <c r="BN804" s="229">
        <f t="shared" si="827"/>
        <v>0</v>
      </c>
      <c r="BO804" s="228">
        <v>35</v>
      </c>
      <c r="BP804" s="229">
        <f t="shared" si="828"/>
        <v>48</v>
      </c>
      <c r="BQ804" s="234">
        <f t="shared" si="829"/>
        <v>3.0748170731707316</v>
      </c>
      <c r="BR804" s="234" cm="1">
        <f t="array" ref="BR804">$BM804 * SUMPRODUCT(INDEX($AV$76:$AX$81,,$AI804),INDEX($AY$76:$BE$81,,$AH804), N($AU$76:$AU$81&gt;$AM804)) / BQ804 / 1000</f>
        <v>0</v>
      </c>
      <c r="BS804" s="231">
        <f t="shared" si="854"/>
        <v>30</v>
      </c>
      <c r="BT804" s="229">
        <f t="shared" si="830"/>
        <v>43</v>
      </c>
      <c r="BU804" s="234">
        <f t="shared" si="831"/>
        <v>3.5018750000000001</v>
      </c>
      <c r="BV804" s="234" cm="1">
        <f t="array" ref="BV804">$BM804 * IF($AH804&lt;=2,
SUMPRODUCT(INDEX($AV$71:$AX$75,,$AI804), INDEX($AY$71:$BE$75,,$AH804), 1 / ($BF$71:$BF$75*BU804 + (1-$BF$71:$BF$75)*BQ804), N($AU$71:$AU$75&gt;$AM804)),
SUMPRODUCT(INDEX($AV$66:$AX$75,,$AI804), INDEX($AY$66:$BE$75,,$AH804), 1 / ($BG$66:$BG$75*BU804 + (1-$BG$66:$BG$75)*BQ804), N($AU$66:$AU$75&gt;$AM804))
) / 1000</f>
        <v>0</v>
      </c>
      <c r="BW804" s="231">
        <f t="shared" si="855"/>
        <v>25</v>
      </c>
      <c r="BX804" s="229">
        <f t="shared" si="832"/>
        <v>38</v>
      </c>
      <c r="BY804" s="234">
        <f t="shared" si="833"/>
        <v>4.0666935483870965</v>
      </c>
      <c r="BZ804" s="234" cm="1">
        <f t="array" ref="BZ804">$BM804 * IF($AH804&lt;=2,
SUMPRODUCT(INDEX($AV$66:$AX$70,,$AI804), INDEX($AY$66:$BE$70,,$AH804), 1 / ($BF$66:$BF$70*BY804 + (1-$BF$66:$BF$70)*BU804), N($AU$66:$AU$70&gt;$AM804)),
SUMPRODUCT(INDEX($AV$56:$AX$65,,$AI804), INDEX($AY$56:$BE$65,,$AH804), 1 / ($BG$56:$BG$65*BY804 + (1-$BG$56:$BG$65)*BU804), N($AU$56:$AU$65&gt;$AM804))
) / 1000</f>
        <v>0</v>
      </c>
      <c r="CA804" s="231">
        <f t="shared" si="856"/>
        <v>20</v>
      </c>
      <c r="CB804" s="229">
        <f t="shared" si="834"/>
        <v>33</v>
      </c>
      <c r="CC804" s="234">
        <f t="shared" si="835"/>
        <v>4.8487499999999999</v>
      </c>
      <c r="CD804" s="234" cm="1">
        <f t="array" ref="CD804">$BM804 * IF($AH804&lt;=2,
SUMPRODUCT(INDEX($AV$61:$AX$65,,$AI804), INDEX($AY$61:$BE$65,,$AH804), 1 / ($BF$61:$BF$65*CC804 + (1-$BF$61:$BF$65)*BY804), N($AU$61:$AU$65&gt;$AM804)),
SUMPRODUCT(INDEX($AV$46:$AX$55,,$AI804), INDEX($AY$46:$BE$55,,$AH804), 1 / ($BG$46:$BG$55*CC804 + (1-$BG$46:$BG$55)*BY804), N($AU$46:$AU$55&gt;$AM804))
) / 1000</f>
        <v>0</v>
      </c>
      <c r="CE804" s="234" cm="1">
        <f t="array" ref="CE804">$BM804 * IF($AH804&lt;=2,
SUMPRODUCT(INDEX($AV$22:$AX$60,,$AI804), INDEX($AY$22:$BE$60,,$AH804), 1 / ($BF$22:$BF$60*CC804), N($AU$22:$AU$60&gt;$AM804)),
SUMPRODUCT(INDEX($AV$22:$AX$45,,$AI804), INDEX($AY$22:$BE$45,,$AH804), 1 / ($BG$22:$BG$45*CC804), N($AU$22:$AU$45&gt;$AM804))
) / 1000</f>
        <v>0</v>
      </c>
      <c r="CF804" s="229">
        <f t="shared" si="836"/>
        <v>0</v>
      </c>
      <c r="CG804" s="246"/>
      <c r="CH804" s="229">
        <f t="shared" si="837"/>
        <v>0</v>
      </c>
      <c r="CI804" s="228">
        <v>35</v>
      </c>
      <c r="CJ804" s="229">
        <f t="shared" si="838"/>
        <v>48</v>
      </c>
      <c r="CK804" s="234">
        <f t="shared" si="839"/>
        <v>3.0748170731707316</v>
      </c>
      <c r="CL804" s="234" cm="1">
        <f t="array" ref="CL804">$BM804 * SUMPRODUCT(INDEX($AV$76:$AX$81,,$AI804),INDEX($AY$76:$BE$81,,$AH804), N($AU$76:$AU$81&gt;$AM804)) / CK804 / 1000</f>
        <v>0</v>
      </c>
      <c r="CM804" s="231">
        <f t="shared" si="857"/>
        <v>30</v>
      </c>
      <c r="CN804" s="229">
        <f t="shared" si="840"/>
        <v>43</v>
      </c>
      <c r="CO804" s="234">
        <f t="shared" si="841"/>
        <v>3.5018750000000001</v>
      </c>
      <c r="CP804" s="234" cm="1">
        <f t="array" ref="CP804">$BM804 * IF($AH804&lt;=2,
SUMPRODUCT(INDEX($AV$71:$AX$75,,$AI804), INDEX($AY$71:$BE$75,,$AH804), 1 / ($BF$71:$BF$75*CO804 + (1-$BF$71:$BF$75)*CK804), N($AU$71:$AU$75&gt;$AM804)),
SUMPRODUCT(INDEX($AV$66:$AX$75,,$AI804), INDEX($AY$66:$BE$75,,$AH804), 1 / ($BG$66:$BG$75*CO804 + (1-$BG$66:$BG$75)*CK804), N($AU$66:$AU$75&gt;$AM804))
) / 1000</f>
        <v>0</v>
      </c>
      <c r="CQ804" s="231">
        <f t="shared" si="858"/>
        <v>25</v>
      </c>
      <c r="CR804" s="229">
        <f t="shared" si="842"/>
        <v>38</v>
      </c>
      <c r="CS804" s="234">
        <f t="shared" si="843"/>
        <v>4.0666935483870965</v>
      </c>
      <c r="CT804" s="234" cm="1">
        <f t="array" ref="CT804">$BM804 * IF($AH804&lt;=2,
SUMPRODUCT(INDEX($AV$66:$AX$70,,$AI804), INDEX($AY$66:$BE$70,,$AH804), 1 / ($BF$66:$BF$70*CS804 + (1-$BF$66:$BF$70)*CO804), N($AU$66:$AU$70&gt;$AM804)),
SUMPRODUCT(INDEX($AV$56:$AX$65,,$AI804), INDEX($AY$56:$BE$65,,$AH804), 1 / ($BG$56:$BG$65*CS804 + (1-$BG$56:$BG$65)*CO804), N($AU$56:$AU$65&gt;$AM804))
) / 1000</f>
        <v>0</v>
      </c>
      <c r="CU804" s="231">
        <f t="shared" si="859"/>
        <v>20</v>
      </c>
      <c r="CV804" s="229">
        <f t="shared" si="844"/>
        <v>33</v>
      </c>
      <c r="CW804" s="234">
        <f t="shared" si="845"/>
        <v>4.8487499999999999</v>
      </c>
      <c r="CX804" s="234" cm="1">
        <f t="array" ref="CX804">$BM804 * IF($AH804&lt;=2,
SUMPRODUCT(INDEX($AV$61:$AX$65,,$AI804), INDEX($AY$61:$BE$65,,$AH804), 1 / ($BF$61:$BF$65*CW804 + (1-$BF$61:$BF$65)*CS804), N($AU$61:$AU$65&gt;$AM804)),
SUMPRODUCT(INDEX($AV$46:$AX$55,,$AI804), INDEX($AY$46:$BE$55,,$AH804), 1 / ($BG$46:$BG$55*CW804 + (1-$BG$46:$BG$55)*CS804), N($AU$46:$AU$55&gt;$AM804))
) / 1000</f>
        <v>0</v>
      </c>
      <c r="CY804" s="234" cm="1">
        <f t="array" ref="CY804">$BM804 * IF($AH804&lt;=2,
SUMPRODUCT(INDEX($AV$22:$AX$60,,$AI804), INDEX($AY$22:$BE$60,,$AH804), 1 / ($BF$22:$BF$60*CW804), N($AU$22:$AU$60&gt;$AM804)),
SUMPRODUCT(INDEX($AV$22:$AX$45,,$AI804), INDEX($AY$22:$BE$45,,$AH804), 1 / ($BG$22:$BG$45*CW804), N($AU$22:$AU$45&gt;$AM804))
) / 1000</f>
        <v>0</v>
      </c>
      <c r="CZ804" s="229">
        <f t="shared" si="846"/>
        <v>0</v>
      </c>
      <c r="DA804" s="246"/>
    </row>
    <row r="805" spans="1:105" s="75" customFormat="1" ht="14.25" customHeight="1" x14ac:dyDescent="0.2">
      <c r="A805" s="230" t="b">
        <f t="shared" si="851"/>
        <v>0</v>
      </c>
      <c r="B805" s="253">
        <v>784</v>
      </c>
      <c r="C805" s="266"/>
      <c r="D805" s="266"/>
      <c r="E805" s="254"/>
      <c r="F805" s="255" t="str">
        <f>IF(ISBLANK(E805), "", VLOOKUP(E805, Z!$A$2:$C$4127, 3, FALSE))</f>
        <v/>
      </c>
      <c r="G805" s="256"/>
      <c r="H805" s="256"/>
      <c r="I805" s="256"/>
      <c r="J805" s="257"/>
      <c r="K805" s="258"/>
      <c r="L805" s="267"/>
      <c r="M805" s="268"/>
      <c r="N805" s="259" t="str" cm="1">
        <f t="array" ref="N805">IF($L805&gt;0, INDEX(Clean,1+AK805,$D$1), "")</f>
        <v/>
      </c>
      <c r="O805" s="260"/>
      <c r="P805" s="260"/>
      <c r="Q805" s="261"/>
      <c r="R805" s="264">
        <f t="shared" si="822"/>
        <v>0</v>
      </c>
      <c r="S805" s="259" t="str" cm="1">
        <f t="array" ref="S805">IF($L805&gt;0, INDEX(Clean,1+AL805,$D$1), "")</f>
        <v/>
      </c>
      <c r="T805" s="260"/>
      <c r="U805" s="260"/>
      <c r="V805" s="261"/>
      <c r="W805" s="267"/>
      <c r="X805" s="267"/>
      <c r="Y805" s="257"/>
      <c r="Z805" s="264">
        <f t="shared" si="823"/>
        <v>0</v>
      </c>
      <c r="AA805" s="269"/>
      <c r="AB805" s="266"/>
      <c r="AC805" s="254"/>
      <c r="AD805" s="255" t="str">
        <f>IF(ISBLANK(AC805), "", VLOOKUP(AC805, Z!$A$2:$C$4127, 3, FALSE))</f>
        <v/>
      </c>
      <c r="AE805" s="270"/>
      <c r="AF805" s="265">
        <f t="shared" si="824"/>
        <v>0</v>
      </c>
      <c r="AG805" s="246"/>
      <c r="AH805" s="228">
        <f t="shared" si="847"/>
        <v>1</v>
      </c>
      <c r="AI805" s="228">
        <f t="shared" si="848"/>
        <v>1</v>
      </c>
      <c r="AJ805" s="228">
        <f t="shared" si="849"/>
        <v>0</v>
      </c>
      <c r="AK805" s="228">
        <v>0</v>
      </c>
      <c r="AL805" s="228">
        <v>0</v>
      </c>
      <c r="AM805" s="228">
        <f t="shared" si="825"/>
        <v>-100</v>
      </c>
      <c r="AN805" s="228" cm="1">
        <f t="array" ref="AN805">IF(ISBLANK(G805), 1, IFERROR(MATCH(G805, INDEX(Kat,,1), 0), IFERROR(MATCH(Kat, INDEX(Use,,2), 0), MATCH(Kat, INDEX(Use,,3), 0))))</f>
        <v>1</v>
      </c>
      <c r="AO805" s="246"/>
      <c r="AP805" s="228" cm="1">
        <f t="array" ref="AP805">IF(W805&gt;0, INDEX(Kat, AN805,4), 0)</f>
        <v>0</v>
      </c>
      <c r="AQ805" s="228">
        <f t="shared" si="850"/>
        <v>0</v>
      </c>
      <c r="AR805" s="228" cm="1">
        <f t="array" ref="AR805">IF(X805&gt;0, INDEX(Kat, $AN805, 4+AQ805), 0)</f>
        <v>0</v>
      </c>
      <c r="AS805" s="228" cm="1">
        <f t="array" ref="AS805">IF(X805&gt;0, INDEX(Kat, $AN805, 9+AQ805), 0)</f>
        <v>0</v>
      </c>
      <c r="AT805" s="246"/>
      <c r="AU805" s="262"/>
      <c r="AV805" s="262"/>
      <c r="AW805" s="263"/>
      <c r="AX805" s="263"/>
      <c r="AY805" s="263"/>
      <c r="AZ805" s="263"/>
      <c r="BA805" s="263"/>
      <c r="BB805" s="263"/>
      <c r="BC805" s="263"/>
      <c r="BD805" s="263"/>
      <c r="BE805" s="263"/>
      <c r="BF805" s="263"/>
      <c r="BG805" s="263"/>
      <c r="BH805" s="246"/>
      <c r="BI805" s="228" cm="1">
        <f t="array" ref="BI805">INDEX(Use, $AH805, 4)</f>
        <v>7</v>
      </c>
      <c r="BJ805" s="228">
        <f t="shared" si="826"/>
        <v>32</v>
      </c>
      <c r="BK805" s="228">
        <f t="shared" si="852"/>
        <v>13</v>
      </c>
      <c r="BL805" s="228">
        <f t="shared" si="853"/>
        <v>0</v>
      </c>
      <c r="BM805" s="233" cm="1">
        <f t="array" ref="BM805">L805/IF($M805&gt;0, INDEX($AY$22:$BE$76, $M805+20, $AH805), 1)</f>
        <v>0</v>
      </c>
      <c r="BN805" s="229">
        <f t="shared" si="827"/>
        <v>0</v>
      </c>
      <c r="BO805" s="228">
        <v>35</v>
      </c>
      <c r="BP805" s="229">
        <f t="shared" si="828"/>
        <v>48</v>
      </c>
      <c r="BQ805" s="234">
        <f t="shared" si="829"/>
        <v>3.0748170731707316</v>
      </c>
      <c r="BR805" s="234" cm="1">
        <f t="array" ref="BR805">$BM805 * SUMPRODUCT(INDEX($AV$76:$AX$81,,$AI805),INDEX($AY$76:$BE$81,,$AH805), N($AU$76:$AU$81&gt;$AM805)) / BQ805 / 1000</f>
        <v>0</v>
      </c>
      <c r="BS805" s="231">
        <f t="shared" si="854"/>
        <v>30</v>
      </c>
      <c r="BT805" s="229">
        <f t="shared" si="830"/>
        <v>43</v>
      </c>
      <c r="BU805" s="234">
        <f t="shared" si="831"/>
        <v>3.5018750000000001</v>
      </c>
      <c r="BV805" s="234" cm="1">
        <f t="array" ref="BV805">$BM805 * IF($AH805&lt;=2,
SUMPRODUCT(INDEX($AV$71:$AX$75,,$AI805), INDEX($AY$71:$BE$75,,$AH805), 1 / ($BF$71:$BF$75*BU805 + (1-$BF$71:$BF$75)*BQ805), N($AU$71:$AU$75&gt;$AM805)),
SUMPRODUCT(INDEX($AV$66:$AX$75,,$AI805), INDEX($AY$66:$BE$75,,$AH805), 1 / ($BG$66:$BG$75*BU805 + (1-$BG$66:$BG$75)*BQ805), N($AU$66:$AU$75&gt;$AM805))
) / 1000</f>
        <v>0</v>
      </c>
      <c r="BW805" s="231">
        <f t="shared" si="855"/>
        <v>25</v>
      </c>
      <c r="BX805" s="229">
        <f t="shared" si="832"/>
        <v>38</v>
      </c>
      <c r="BY805" s="234">
        <f t="shared" si="833"/>
        <v>4.0666935483870965</v>
      </c>
      <c r="BZ805" s="234" cm="1">
        <f t="array" ref="BZ805">$BM805 * IF($AH805&lt;=2,
SUMPRODUCT(INDEX($AV$66:$AX$70,,$AI805), INDEX($AY$66:$BE$70,,$AH805), 1 / ($BF$66:$BF$70*BY805 + (1-$BF$66:$BF$70)*BU805), N($AU$66:$AU$70&gt;$AM805)),
SUMPRODUCT(INDEX($AV$56:$AX$65,,$AI805), INDEX($AY$56:$BE$65,,$AH805), 1 / ($BG$56:$BG$65*BY805 + (1-$BG$56:$BG$65)*BU805), N($AU$56:$AU$65&gt;$AM805))
) / 1000</f>
        <v>0</v>
      </c>
      <c r="CA805" s="231">
        <f t="shared" si="856"/>
        <v>20</v>
      </c>
      <c r="CB805" s="229">
        <f t="shared" si="834"/>
        <v>33</v>
      </c>
      <c r="CC805" s="234">
        <f t="shared" si="835"/>
        <v>4.8487499999999999</v>
      </c>
      <c r="CD805" s="234" cm="1">
        <f t="array" ref="CD805">$BM805 * IF($AH805&lt;=2,
SUMPRODUCT(INDEX($AV$61:$AX$65,,$AI805), INDEX($AY$61:$BE$65,,$AH805), 1 / ($BF$61:$BF$65*CC805 + (1-$BF$61:$BF$65)*BY805), N($AU$61:$AU$65&gt;$AM805)),
SUMPRODUCT(INDEX($AV$46:$AX$55,,$AI805), INDEX($AY$46:$BE$55,,$AH805), 1 / ($BG$46:$BG$55*CC805 + (1-$BG$46:$BG$55)*BY805), N($AU$46:$AU$55&gt;$AM805))
) / 1000</f>
        <v>0</v>
      </c>
      <c r="CE805" s="234" cm="1">
        <f t="array" ref="CE805">$BM805 * IF($AH805&lt;=2,
SUMPRODUCT(INDEX($AV$22:$AX$60,,$AI805), INDEX($AY$22:$BE$60,,$AH805), 1 / ($BF$22:$BF$60*CC805), N($AU$22:$AU$60&gt;$AM805)),
SUMPRODUCT(INDEX($AV$22:$AX$45,,$AI805), INDEX($AY$22:$BE$45,,$AH805), 1 / ($BG$22:$BG$45*CC805), N($AU$22:$AU$45&gt;$AM805))
) / 1000</f>
        <v>0</v>
      </c>
      <c r="CF805" s="229">
        <f t="shared" si="836"/>
        <v>0</v>
      </c>
      <c r="CG805" s="246"/>
      <c r="CH805" s="229">
        <f t="shared" si="837"/>
        <v>0</v>
      </c>
      <c r="CI805" s="228">
        <v>35</v>
      </c>
      <c r="CJ805" s="229">
        <f t="shared" si="838"/>
        <v>48</v>
      </c>
      <c r="CK805" s="234">
        <f t="shared" si="839"/>
        <v>3.0748170731707316</v>
      </c>
      <c r="CL805" s="234" cm="1">
        <f t="array" ref="CL805">$BM805 * SUMPRODUCT(INDEX($AV$76:$AX$81,,$AI805),INDEX($AY$76:$BE$81,,$AH805), N($AU$76:$AU$81&gt;$AM805)) / CK805 / 1000</f>
        <v>0</v>
      </c>
      <c r="CM805" s="231">
        <f t="shared" si="857"/>
        <v>30</v>
      </c>
      <c r="CN805" s="229">
        <f t="shared" si="840"/>
        <v>43</v>
      </c>
      <c r="CO805" s="234">
        <f t="shared" si="841"/>
        <v>3.5018750000000001</v>
      </c>
      <c r="CP805" s="234" cm="1">
        <f t="array" ref="CP805">$BM805 * IF($AH805&lt;=2,
SUMPRODUCT(INDEX($AV$71:$AX$75,,$AI805), INDEX($AY$71:$BE$75,,$AH805), 1 / ($BF$71:$BF$75*CO805 + (1-$BF$71:$BF$75)*CK805), N($AU$71:$AU$75&gt;$AM805)),
SUMPRODUCT(INDEX($AV$66:$AX$75,,$AI805), INDEX($AY$66:$BE$75,,$AH805), 1 / ($BG$66:$BG$75*CO805 + (1-$BG$66:$BG$75)*CK805), N($AU$66:$AU$75&gt;$AM805))
) / 1000</f>
        <v>0</v>
      </c>
      <c r="CQ805" s="231">
        <f t="shared" si="858"/>
        <v>25</v>
      </c>
      <c r="CR805" s="229">
        <f t="shared" si="842"/>
        <v>38</v>
      </c>
      <c r="CS805" s="234">
        <f t="shared" si="843"/>
        <v>4.0666935483870965</v>
      </c>
      <c r="CT805" s="234" cm="1">
        <f t="array" ref="CT805">$BM805 * IF($AH805&lt;=2,
SUMPRODUCT(INDEX($AV$66:$AX$70,,$AI805), INDEX($AY$66:$BE$70,,$AH805), 1 / ($BF$66:$BF$70*CS805 + (1-$BF$66:$BF$70)*CO805), N($AU$66:$AU$70&gt;$AM805)),
SUMPRODUCT(INDEX($AV$56:$AX$65,,$AI805), INDEX($AY$56:$BE$65,,$AH805), 1 / ($BG$56:$BG$65*CS805 + (1-$BG$56:$BG$65)*CO805), N($AU$56:$AU$65&gt;$AM805))
) / 1000</f>
        <v>0</v>
      </c>
      <c r="CU805" s="231">
        <f t="shared" si="859"/>
        <v>20</v>
      </c>
      <c r="CV805" s="229">
        <f t="shared" si="844"/>
        <v>33</v>
      </c>
      <c r="CW805" s="234">
        <f t="shared" si="845"/>
        <v>4.8487499999999999</v>
      </c>
      <c r="CX805" s="234" cm="1">
        <f t="array" ref="CX805">$BM805 * IF($AH805&lt;=2,
SUMPRODUCT(INDEX($AV$61:$AX$65,,$AI805), INDEX($AY$61:$BE$65,,$AH805), 1 / ($BF$61:$BF$65*CW805 + (1-$BF$61:$BF$65)*CS805), N($AU$61:$AU$65&gt;$AM805)),
SUMPRODUCT(INDEX($AV$46:$AX$55,,$AI805), INDEX($AY$46:$BE$55,,$AH805), 1 / ($BG$46:$BG$55*CW805 + (1-$BG$46:$BG$55)*CS805), N($AU$46:$AU$55&gt;$AM805))
) / 1000</f>
        <v>0</v>
      </c>
      <c r="CY805" s="234" cm="1">
        <f t="array" ref="CY805">$BM805 * IF($AH805&lt;=2,
SUMPRODUCT(INDEX($AV$22:$AX$60,,$AI805), INDEX($AY$22:$BE$60,,$AH805), 1 / ($BF$22:$BF$60*CW805), N($AU$22:$AU$60&gt;$AM805)),
SUMPRODUCT(INDEX($AV$22:$AX$45,,$AI805), INDEX($AY$22:$BE$45,,$AH805), 1 / ($BG$22:$BG$45*CW805), N($AU$22:$AU$45&gt;$AM805))
) / 1000</f>
        <v>0</v>
      </c>
      <c r="CZ805" s="229">
        <f t="shared" si="846"/>
        <v>0</v>
      </c>
      <c r="DA805" s="246"/>
    </row>
    <row r="806" spans="1:105" s="75" customFormat="1" ht="14.25" customHeight="1" x14ac:dyDescent="0.2">
      <c r="A806" s="230" t="b">
        <f t="shared" si="851"/>
        <v>0</v>
      </c>
      <c r="B806" s="253">
        <v>785</v>
      </c>
      <c r="C806" s="266"/>
      <c r="D806" s="266"/>
      <c r="E806" s="254"/>
      <c r="F806" s="255" t="str">
        <f>IF(ISBLANK(E806), "", VLOOKUP(E806, Z!$A$2:$C$4127, 3, FALSE))</f>
        <v/>
      </c>
      <c r="G806" s="256"/>
      <c r="H806" s="256"/>
      <c r="I806" s="256"/>
      <c r="J806" s="257"/>
      <c r="K806" s="258"/>
      <c r="L806" s="267"/>
      <c r="M806" s="268"/>
      <c r="N806" s="259" t="str" cm="1">
        <f t="array" ref="N806">IF($L806&gt;0, INDEX(Clean,1+AK806,$D$1), "")</f>
        <v/>
      </c>
      <c r="O806" s="260"/>
      <c r="P806" s="260"/>
      <c r="Q806" s="261"/>
      <c r="R806" s="264">
        <f t="shared" si="822"/>
        <v>0</v>
      </c>
      <c r="S806" s="259" t="str" cm="1">
        <f t="array" ref="S806">IF($L806&gt;0, INDEX(Clean,1+AL806,$D$1), "")</f>
        <v/>
      </c>
      <c r="T806" s="260"/>
      <c r="U806" s="260"/>
      <c r="V806" s="261"/>
      <c r="W806" s="267"/>
      <c r="X806" s="267"/>
      <c r="Y806" s="257"/>
      <c r="Z806" s="264">
        <f t="shared" si="823"/>
        <v>0</v>
      </c>
      <c r="AA806" s="269"/>
      <c r="AB806" s="266"/>
      <c r="AC806" s="254"/>
      <c r="AD806" s="255" t="str">
        <f>IF(ISBLANK(AC806), "", VLOOKUP(AC806, Z!$A$2:$C$4127, 3, FALSE))</f>
        <v/>
      </c>
      <c r="AE806" s="270"/>
      <c r="AF806" s="265">
        <f t="shared" si="824"/>
        <v>0</v>
      </c>
      <c r="AG806" s="246"/>
      <c r="AH806" s="228">
        <f t="shared" si="847"/>
        <v>1</v>
      </c>
      <c r="AI806" s="228">
        <f t="shared" si="848"/>
        <v>1</v>
      </c>
      <c r="AJ806" s="228">
        <f t="shared" si="849"/>
        <v>0</v>
      </c>
      <c r="AK806" s="228">
        <v>0</v>
      </c>
      <c r="AL806" s="228">
        <v>0</v>
      </c>
      <c r="AM806" s="228">
        <f t="shared" si="825"/>
        <v>-100</v>
      </c>
      <c r="AN806" s="228" cm="1">
        <f t="array" ref="AN806">IF(ISBLANK(G806), 1, IFERROR(MATCH(G806, INDEX(Kat,,1), 0), IFERROR(MATCH(Kat, INDEX(Use,,2), 0), MATCH(Kat, INDEX(Use,,3), 0))))</f>
        <v>1</v>
      </c>
      <c r="AO806" s="246"/>
      <c r="AP806" s="228" cm="1">
        <f t="array" ref="AP806">IF(W806&gt;0, INDEX(Kat, AN806,4), 0)</f>
        <v>0</v>
      </c>
      <c r="AQ806" s="228">
        <f t="shared" si="850"/>
        <v>0</v>
      </c>
      <c r="AR806" s="228" cm="1">
        <f t="array" ref="AR806">IF(X806&gt;0, INDEX(Kat, $AN806, 4+AQ806), 0)</f>
        <v>0</v>
      </c>
      <c r="AS806" s="228" cm="1">
        <f t="array" ref="AS806">IF(X806&gt;0, INDEX(Kat, $AN806, 9+AQ806), 0)</f>
        <v>0</v>
      </c>
      <c r="AT806" s="246"/>
      <c r="AU806" s="262"/>
      <c r="AV806" s="262"/>
      <c r="AW806" s="263"/>
      <c r="AX806" s="263"/>
      <c r="AY806" s="263"/>
      <c r="AZ806" s="263"/>
      <c r="BA806" s="263"/>
      <c r="BB806" s="263"/>
      <c r="BC806" s="263"/>
      <c r="BD806" s="263"/>
      <c r="BE806" s="263"/>
      <c r="BF806" s="263"/>
      <c r="BG806" s="263"/>
      <c r="BH806" s="246"/>
      <c r="BI806" s="228" cm="1">
        <f t="array" ref="BI806">INDEX(Use, $AH806, 4)</f>
        <v>7</v>
      </c>
      <c r="BJ806" s="228">
        <f t="shared" si="826"/>
        <v>32</v>
      </c>
      <c r="BK806" s="228">
        <f t="shared" si="852"/>
        <v>13</v>
      </c>
      <c r="BL806" s="228">
        <f t="shared" si="853"/>
        <v>0</v>
      </c>
      <c r="BM806" s="233" cm="1">
        <f t="array" ref="BM806">L806/IF($M806&gt;0, INDEX($AY$22:$BE$76, $M806+20, $AH806), 1)</f>
        <v>0</v>
      </c>
      <c r="BN806" s="229">
        <f t="shared" si="827"/>
        <v>0</v>
      </c>
      <c r="BO806" s="228">
        <v>35</v>
      </c>
      <c r="BP806" s="229">
        <f t="shared" si="828"/>
        <v>48</v>
      </c>
      <c r="BQ806" s="234">
        <f t="shared" si="829"/>
        <v>3.0748170731707316</v>
      </c>
      <c r="BR806" s="234" cm="1">
        <f t="array" ref="BR806">$BM806 * SUMPRODUCT(INDEX($AV$76:$AX$81,,$AI806),INDEX($AY$76:$BE$81,,$AH806), N($AU$76:$AU$81&gt;$AM806)) / BQ806 / 1000</f>
        <v>0</v>
      </c>
      <c r="BS806" s="231">
        <f t="shared" si="854"/>
        <v>30</v>
      </c>
      <c r="BT806" s="229">
        <f t="shared" si="830"/>
        <v>43</v>
      </c>
      <c r="BU806" s="234">
        <f t="shared" si="831"/>
        <v>3.5018750000000001</v>
      </c>
      <c r="BV806" s="234" cm="1">
        <f t="array" ref="BV806">$BM806 * IF($AH806&lt;=2,
SUMPRODUCT(INDEX($AV$71:$AX$75,,$AI806), INDEX($AY$71:$BE$75,,$AH806), 1 / ($BF$71:$BF$75*BU806 + (1-$BF$71:$BF$75)*BQ806), N($AU$71:$AU$75&gt;$AM806)),
SUMPRODUCT(INDEX($AV$66:$AX$75,,$AI806), INDEX($AY$66:$BE$75,,$AH806), 1 / ($BG$66:$BG$75*BU806 + (1-$BG$66:$BG$75)*BQ806), N($AU$66:$AU$75&gt;$AM806))
) / 1000</f>
        <v>0</v>
      </c>
      <c r="BW806" s="231">
        <f t="shared" si="855"/>
        <v>25</v>
      </c>
      <c r="BX806" s="229">
        <f t="shared" si="832"/>
        <v>38</v>
      </c>
      <c r="BY806" s="234">
        <f t="shared" si="833"/>
        <v>4.0666935483870965</v>
      </c>
      <c r="BZ806" s="234" cm="1">
        <f t="array" ref="BZ806">$BM806 * IF($AH806&lt;=2,
SUMPRODUCT(INDEX($AV$66:$AX$70,,$AI806), INDEX($AY$66:$BE$70,,$AH806), 1 / ($BF$66:$BF$70*BY806 + (1-$BF$66:$BF$70)*BU806), N($AU$66:$AU$70&gt;$AM806)),
SUMPRODUCT(INDEX($AV$56:$AX$65,,$AI806), INDEX($AY$56:$BE$65,,$AH806), 1 / ($BG$56:$BG$65*BY806 + (1-$BG$56:$BG$65)*BU806), N($AU$56:$AU$65&gt;$AM806))
) / 1000</f>
        <v>0</v>
      </c>
      <c r="CA806" s="231">
        <f t="shared" si="856"/>
        <v>20</v>
      </c>
      <c r="CB806" s="229">
        <f t="shared" si="834"/>
        <v>33</v>
      </c>
      <c r="CC806" s="234">
        <f t="shared" si="835"/>
        <v>4.8487499999999999</v>
      </c>
      <c r="CD806" s="234" cm="1">
        <f t="array" ref="CD806">$BM806 * IF($AH806&lt;=2,
SUMPRODUCT(INDEX($AV$61:$AX$65,,$AI806), INDEX($AY$61:$BE$65,,$AH806), 1 / ($BF$61:$BF$65*CC806 + (1-$BF$61:$BF$65)*BY806), N($AU$61:$AU$65&gt;$AM806)),
SUMPRODUCT(INDEX($AV$46:$AX$55,,$AI806), INDEX($AY$46:$BE$55,,$AH806), 1 / ($BG$46:$BG$55*CC806 + (1-$BG$46:$BG$55)*BY806), N($AU$46:$AU$55&gt;$AM806))
) / 1000</f>
        <v>0</v>
      </c>
      <c r="CE806" s="234" cm="1">
        <f t="array" ref="CE806">$BM806 * IF($AH806&lt;=2,
SUMPRODUCT(INDEX($AV$22:$AX$60,,$AI806), INDEX($AY$22:$BE$60,,$AH806), 1 / ($BF$22:$BF$60*CC806), N($AU$22:$AU$60&gt;$AM806)),
SUMPRODUCT(INDEX($AV$22:$AX$45,,$AI806), INDEX($AY$22:$BE$45,,$AH806), 1 / ($BG$22:$BG$45*CC806), N($AU$22:$AU$45&gt;$AM806))
) / 1000</f>
        <v>0</v>
      </c>
      <c r="CF806" s="229">
        <f t="shared" si="836"/>
        <v>0</v>
      </c>
      <c r="CG806" s="246"/>
      <c r="CH806" s="229">
        <f t="shared" si="837"/>
        <v>0</v>
      </c>
      <c r="CI806" s="228">
        <v>35</v>
      </c>
      <c r="CJ806" s="229">
        <f t="shared" si="838"/>
        <v>48</v>
      </c>
      <c r="CK806" s="234">
        <f t="shared" si="839"/>
        <v>3.0748170731707316</v>
      </c>
      <c r="CL806" s="234" cm="1">
        <f t="array" ref="CL806">$BM806 * SUMPRODUCT(INDEX($AV$76:$AX$81,,$AI806),INDEX($AY$76:$BE$81,,$AH806), N($AU$76:$AU$81&gt;$AM806)) / CK806 / 1000</f>
        <v>0</v>
      </c>
      <c r="CM806" s="231">
        <f t="shared" si="857"/>
        <v>30</v>
      </c>
      <c r="CN806" s="229">
        <f t="shared" si="840"/>
        <v>43</v>
      </c>
      <c r="CO806" s="234">
        <f t="shared" si="841"/>
        <v>3.5018750000000001</v>
      </c>
      <c r="CP806" s="234" cm="1">
        <f t="array" ref="CP806">$BM806 * IF($AH806&lt;=2,
SUMPRODUCT(INDEX($AV$71:$AX$75,,$AI806), INDEX($AY$71:$BE$75,,$AH806), 1 / ($BF$71:$BF$75*CO806 + (1-$BF$71:$BF$75)*CK806), N($AU$71:$AU$75&gt;$AM806)),
SUMPRODUCT(INDEX($AV$66:$AX$75,,$AI806), INDEX($AY$66:$BE$75,,$AH806), 1 / ($BG$66:$BG$75*CO806 + (1-$BG$66:$BG$75)*CK806), N($AU$66:$AU$75&gt;$AM806))
) / 1000</f>
        <v>0</v>
      </c>
      <c r="CQ806" s="231">
        <f t="shared" si="858"/>
        <v>25</v>
      </c>
      <c r="CR806" s="229">
        <f t="shared" si="842"/>
        <v>38</v>
      </c>
      <c r="CS806" s="234">
        <f t="shared" si="843"/>
        <v>4.0666935483870965</v>
      </c>
      <c r="CT806" s="234" cm="1">
        <f t="array" ref="CT806">$BM806 * IF($AH806&lt;=2,
SUMPRODUCT(INDEX($AV$66:$AX$70,,$AI806), INDEX($AY$66:$BE$70,,$AH806), 1 / ($BF$66:$BF$70*CS806 + (1-$BF$66:$BF$70)*CO806), N($AU$66:$AU$70&gt;$AM806)),
SUMPRODUCT(INDEX($AV$56:$AX$65,,$AI806), INDEX($AY$56:$BE$65,,$AH806), 1 / ($BG$56:$BG$65*CS806 + (1-$BG$56:$BG$65)*CO806), N($AU$56:$AU$65&gt;$AM806))
) / 1000</f>
        <v>0</v>
      </c>
      <c r="CU806" s="231">
        <f t="shared" si="859"/>
        <v>20</v>
      </c>
      <c r="CV806" s="229">
        <f t="shared" si="844"/>
        <v>33</v>
      </c>
      <c r="CW806" s="234">
        <f t="shared" si="845"/>
        <v>4.8487499999999999</v>
      </c>
      <c r="CX806" s="234" cm="1">
        <f t="array" ref="CX806">$BM806 * IF($AH806&lt;=2,
SUMPRODUCT(INDEX($AV$61:$AX$65,,$AI806), INDEX($AY$61:$BE$65,,$AH806), 1 / ($BF$61:$BF$65*CW806 + (1-$BF$61:$BF$65)*CS806), N($AU$61:$AU$65&gt;$AM806)),
SUMPRODUCT(INDEX($AV$46:$AX$55,,$AI806), INDEX($AY$46:$BE$55,,$AH806), 1 / ($BG$46:$BG$55*CW806 + (1-$BG$46:$BG$55)*CS806), N($AU$46:$AU$55&gt;$AM806))
) / 1000</f>
        <v>0</v>
      </c>
      <c r="CY806" s="234" cm="1">
        <f t="array" ref="CY806">$BM806 * IF($AH806&lt;=2,
SUMPRODUCT(INDEX($AV$22:$AX$60,,$AI806), INDEX($AY$22:$BE$60,,$AH806), 1 / ($BF$22:$BF$60*CW806), N($AU$22:$AU$60&gt;$AM806)),
SUMPRODUCT(INDEX($AV$22:$AX$45,,$AI806), INDEX($AY$22:$BE$45,,$AH806), 1 / ($BG$22:$BG$45*CW806), N($AU$22:$AU$45&gt;$AM806))
) / 1000</f>
        <v>0</v>
      </c>
      <c r="CZ806" s="229">
        <f t="shared" si="846"/>
        <v>0</v>
      </c>
      <c r="DA806" s="246"/>
    </row>
    <row r="807" spans="1:105" s="75" customFormat="1" ht="14.25" customHeight="1" x14ac:dyDescent="0.2">
      <c r="A807" s="230" t="b">
        <f t="shared" si="851"/>
        <v>0</v>
      </c>
      <c r="B807" s="253">
        <v>786</v>
      </c>
      <c r="C807" s="266"/>
      <c r="D807" s="266"/>
      <c r="E807" s="254"/>
      <c r="F807" s="255" t="str">
        <f>IF(ISBLANK(E807), "", VLOOKUP(E807, Z!$A$2:$C$4127, 3, FALSE))</f>
        <v/>
      </c>
      <c r="G807" s="256"/>
      <c r="H807" s="256"/>
      <c r="I807" s="256"/>
      <c r="J807" s="257"/>
      <c r="K807" s="258"/>
      <c r="L807" s="267"/>
      <c r="M807" s="268"/>
      <c r="N807" s="259" t="str" cm="1">
        <f t="array" ref="N807">IF($L807&gt;0, INDEX(Clean,1+AK807,$D$1), "")</f>
        <v/>
      </c>
      <c r="O807" s="260"/>
      <c r="P807" s="260"/>
      <c r="Q807" s="261"/>
      <c r="R807" s="264">
        <f t="shared" si="822"/>
        <v>0</v>
      </c>
      <c r="S807" s="259" t="str" cm="1">
        <f t="array" ref="S807">IF($L807&gt;0, INDEX(Clean,1+AL807,$D$1), "")</f>
        <v/>
      </c>
      <c r="T807" s="260"/>
      <c r="U807" s="260"/>
      <c r="V807" s="261"/>
      <c r="W807" s="267"/>
      <c r="X807" s="267"/>
      <c r="Y807" s="257"/>
      <c r="Z807" s="264">
        <f t="shared" si="823"/>
        <v>0</v>
      </c>
      <c r="AA807" s="269"/>
      <c r="AB807" s="266"/>
      <c r="AC807" s="254"/>
      <c r="AD807" s="255" t="str">
        <f>IF(ISBLANK(AC807), "", VLOOKUP(AC807, Z!$A$2:$C$4127, 3, FALSE))</f>
        <v/>
      </c>
      <c r="AE807" s="270"/>
      <c r="AF807" s="265">
        <f t="shared" si="824"/>
        <v>0</v>
      </c>
      <c r="AG807" s="246"/>
      <c r="AH807" s="228">
        <f t="shared" si="847"/>
        <v>1</v>
      </c>
      <c r="AI807" s="228">
        <f t="shared" si="848"/>
        <v>1</v>
      </c>
      <c r="AJ807" s="228">
        <f t="shared" si="849"/>
        <v>0</v>
      </c>
      <c r="AK807" s="228">
        <v>0</v>
      </c>
      <c r="AL807" s="228">
        <v>0</v>
      </c>
      <c r="AM807" s="228">
        <f t="shared" si="825"/>
        <v>-100</v>
      </c>
      <c r="AN807" s="228" cm="1">
        <f t="array" ref="AN807">IF(ISBLANK(G807), 1, IFERROR(MATCH(G807, INDEX(Kat,,1), 0), IFERROR(MATCH(Kat, INDEX(Use,,2), 0), MATCH(Kat, INDEX(Use,,3), 0))))</f>
        <v>1</v>
      </c>
      <c r="AO807" s="246"/>
      <c r="AP807" s="228" cm="1">
        <f t="array" ref="AP807">IF(W807&gt;0, INDEX(Kat, AN807,4), 0)</f>
        <v>0</v>
      </c>
      <c r="AQ807" s="228">
        <f t="shared" si="850"/>
        <v>0</v>
      </c>
      <c r="AR807" s="228" cm="1">
        <f t="array" ref="AR807">IF(X807&gt;0, INDEX(Kat, $AN807, 4+AQ807), 0)</f>
        <v>0</v>
      </c>
      <c r="AS807" s="228" cm="1">
        <f t="array" ref="AS807">IF(X807&gt;0, INDEX(Kat, $AN807, 9+AQ807), 0)</f>
        <v>0</v>
      </c>
      <c r="AT807" s="246"/>
      <c r="AU807" s="262"/>
      <c r="AV807" s="262"/>
      <c r="AW807" s="263"/>
      <c r="AX807" s="263"/>
      <c r="AY807" s="263"/>
      <c r="AZ807" s="263"/>
      <c r="BA807" s="263"/>
      <c r="BB807" s="263"/>
      <c r="BC807" s="263"/>
      <c r="BD807" s="263"/>
      <c r="BE807" s="263"/>
      <c r="BF807" s="263"/>
      <c r="BG807" s="263"/>
      <c r="BH807" s="246"/>
      <c r="BI807" s="228" cm="1">
        <f t="array" ref="BI807">INDEX(Use, $AH807, 4)</f>
        <v>7</v>
      </c>
      <c r="BJ807" s="228">
        <f t="shared" si="826"/>
        <v>32</v>
      </c>
      <c r="BK807" s="228">
        <f t="shared" si="852"/>
        <v>13</v>
      </c>
      <c r="BL807" s="228">
        <f t="shared" si="853"/>
        <v>0</v>
      </c>
      <c r="BM807" s="233" cm="1">
        <f t="array" ref="BM807">L807/IF($M807&gt;0, INDEX($AY$22:$BE$76, $M807+20, $AH807), 1)</f>
        <v>0</v>
      </c>
      <c r="BN807" s="229">
        <f t="shared" si="827"/>
        <v>0</v>
      </c>
      <c r="BO807" s="228">
        <v>35</v>
      </c>
      <c r="BP807" s="229">
        <f t="shared" si="828"/>
        <v>48</v>
      </c>
      <c r="BQ807" s="234">
        <f t="shared" si="829"/>
        <v>3.0748170731707316</v>
      </c>
      <c r="BR807" s="234" cm="1">
        <f t="array" ref="BR807">$BM807 * SUMPRODUCT(INDEX($AV$76:$AX$81,,$AI807),INDEX($AY$76:$BE$81,,$AH807), N($AU$76:$AU$81&gt;$AM807)) / BQ807 / 1000</f>
        <v>0</v>
      </c>
      <c r="BS807" s="231">
        <f t="shared" si="854"/>
        <v>30</v>
      </c>
      <c r="BT807" s="229">
        <f t="shared" si="830"/>
        <v>43</v>
      </c>
      <c r="BU807" s="234">
        <f t="shared" si="831"/>
        <v>3.5018750000000001</v>
      </c>
      <c r="BV807" s="234" cm="1">
        <f t="array" ref="BV807">$BM807 * IF($AH807&lt;=2,
SUMPRODUCT(INDEX($AV$71:$AX$75,,$AI807), INDEX($AY$71:$BE$75,,$AH807), 1 / ($BF$71:$BF$75*BU807 + (1-$BF$71:$BF$75)*BQ807), N($AU$71:$AU$75&gt;$AM807)),
SUMPRODUCT(INDEX($AV$66:$AX$75,,$AI807), INDEX($AY$66:$BE$75,,$AH807), 1 / ($BG$66:$BG$75*BU807 + (1-$BG$66:$BG$75)*BQ807), N($AU$66:$AU$75&gt;$AM807))
) / 1000</f>
        <v>0</v>
      </c>
      <c r="BW807" s="231">
        <f t="shared" si="855"/>
        <v>25</v>
      </c>
      <c r="BX807" s="229">
        <f t="shared" si="832"/>
        <v>38</v>
      </c>
      <c r="BY807" s="234">
        <f t="shared" si="833"/>
        <v>4.0666935483870965</v>
      </c>
      <c r="BZ807" s="234" cm="1">
        <f t="array" ref="BZ807">$BM807 * IF($AH807&lt;=2,
SUMPRODUCT(INDEX($AV$66:$AX$70,,$AI807), INDEX($AY$66:$BE$70,,$AH807), 1 / ($BF$66:$BF$70*BY807 + (1-$BF$66:$BF$70)*BU807), N($AU$66:$AU$70&gt;$AM807)),
SUMPRODUCT(INDEX($AV$56:$AX$65,,$AI807), INDEX($AY$56:$BE$65,,$AH807), 1 / ($BG$56:$BG$65*BY807 + (1-$BG$56:$BG$65)*BU807), N($AU$56:$AU$65&gt;$AM807))
) / 1000</f>
        <v>0</v>
      </c>
      <c r="CA807" s="231">
        <f t="shared" si="856"/>
        <v>20</v>
      </c>
      <c r="CB807" s="229">
        <f t="shared" si="834"/>
        <v>33</v>
      </c>
      <c r="CC807" s="234">
        <f t="shared" si="835"/>
        <v>4.8487499999999999</v>
      </c>
      <c r="CD807" s="234" cm="1">
        <f t="array" ref="CD807">$BM807 * IF($AH807&lt;=2,
SUMPRODUCT(INDEX($AV$61:$AX$65,,$AI807), INDEX($AY$61:$BE$65,,$AH807), 1 / ($BF$61:$BF$65*CC807 + (1-$BF$61:$BF$65)*BY807), N($AU$61:$AU$65&gt;$AM807)),
SUMPRODUCT(INDEX($AV$46:$AX$55,,$AI807), INDEX($AY$46:$BE$55,,$AH807), 1 / ($BG$46:$BG$55*CC807 + (1-$BG$46:$BG$55)*BY807), N($AU$46:$AU$55&gt;$AM807))
) / 1000</f>
        <v>0</v>
      </c>
      <c r="CE807" s="234" cm="1">
        <f t="array" ref="CE807">$BM807 * IF($AH807&lt;=2,
SUMPRODUCT(INDEX($AV$22:$AX$60,,$AI807), INDEX($AY$22:$BE$60,,$AH807), 1 / ($BF$22:$BF$60*CC807), N($AU$22:$AU$60&gt;$AM807)),
SUMPRODUCT(INDEX($AV$22:$AX$45,,$AI807), INDEX($AY$22:$BE$45,,$AH807), 1 / ($BG$22:$BG$45*CC807), N($AU$22:$AU$45&gt;$AM807))
) / 1000</f>
        <v>0</v>
      </c>
      <c r="CF807" s="229">
        <f t="shared" si="836"/>
        <v>0</v>
      </c>
      <c r="CG807" s="246"/>
      <c r="CH807" s="229">
        <f t="shared" si="837"/>
        <v>0</v>
      </c>
      <c r="CI807" s="228">
        <v>35</v>
      </c>
      <c r="CJ807" s="229">
        <f t="shared" si="838"/>
        <v>48</v>
      </c>
      <c r="CK807" s="234">
        <f t="shared" si="839"/>
        <v>3.0748170731707316</v>
      </c>
      <c r="CL807" s="234" cm="1">
        <f t="array" ref="CL807">$BM807 * SUMPRODUCT(INDEX($AV$76:$AX$81,,$AI807),INDEX($AY$76:$BE$81,,$AH807), N($AU$76:$AU$81&gt;$AM807)) / CK807 / 1000</f>
        <v>0</v>
      </c>
      <c r="CM807" s="231">
        <f t="shared" si="857"/>
        <v>30</v>
      </c>
      <c r="CN807" s="229">
        <f t="shared" si="840"/>
        <v>43</v>
      </c>
      <c r="CO807" s="234">
        <f t="shared" si="841"/>
        <v>3.5018750000000001</v>
      </c>
      <c r="CP807" s="234" cm="1">
        <f t="array" ref="CP807">$BM807 * IF($AH807&lt;=2,
SUMPRODUCT(INDEX($AV$71:$AX$75,,$AI807), INDEX($AY$71:$BE$75,,$AH807), 1 / ($BF$71:$BF$75*CO807 + (1-$BF$71:$BF$75)*CK807), N($AU$71:$AU$75&gt;$AM807)),
SUMPRODUCT(INDEX($AV$66:$AX$75,,$AI807), INDEX($AY$66:$BE$75,,$AH807), 1 / ($BG$66:$BG$75*CO807 + (1-$BG$66:$BG$75)*CK807), N($AU$66:$AU$75&gt;$AM807))
) / 1000</f>
        <v>0</v>
      </c>
      <c r="CQ807" s="231">
        <f t="shared" si="858"/>
        <v>25</v>
      </c>
      <c r="CR807" s="229">
        <f t="shared" si="842"/>
        <v>38</v>
      </c>
      <c r="CS807" s="234">
        <f t="shared" si="843"/>
        <v>4.0666935483870965</v>
      </c>
      <c r="CT807" s="234" cm="1">
        <f t="array" ref="CT807">$BM807 * IF($AH807&lt;=2,
SUMPRODUCT(INDEX($AV$66:$AX$70,,$AI807), INDEX($AY$66:$BE$70,,$AH807), 1 / ($BF$66:$BF$70*CS807 + (1-$BF$66:$BF$70)*CO807), N($AU$66:$AU$70&gt;$AM807)),
SUMPRODUCT(INDEX($AV$56:$AX$65,,$AI807), INDEX($AY$56:$BE$65,,$AH807), 1 / ($BG$56:$BG$65*CS807 + (1-$BG$56:$BG$65)*CO807), N($AU$56:$AU$65&gt;$AM807))
) / 1000</f>
        <v>0</v>
      </c>
      <c r="CU807" s="231">
        <f t="shared" si="859"/>
        <v>20</v>
      </c>
      <c r="CV807" s="229">
        <f t="shared" si="844"/>
        <v>33</v>
      </c>
      <c r="CW807" s="234">
        <f t="shared" si="845"/>
        <v>4.8487499999999999</v>
      </c>
      <c r="CX807" s="234" cm="1">
        <f t="array" ref="CX807">$BM807 * IF($AH807&lt;=2,
SUMPRODUCT(INDEX($AV$61:$AX$65,,$AI807), INDEX($AY$61:$BE$65,,$AH807), 1 / ($BF$61:$BF$65*CW807 + (1-$BF$61:$BF$65)*CS807), N($AU$61:$AU$65&gt;$AM807)),
SUMPRODUCT(INDEX($AV$46:$AX$55,,$AI807), INDEX($AY$46:$BE$55,,$AH807), 1 / ($BG$46:$BG$55*CW807 + (1-$BG$46:$BG$55)*CS807), N($AU$46:$AU$55&gt;$AM807))
) / 1000</f>
        <v>0</v>
      </c>
      <c r="CY807" s="234" cm="1">
        <f t="array" ref="CY807">$BM807 * IF($AH807&lt;=2,
SUMPRODUCT(INDEX($AV$22:$AX$60,,$AI807), INDEX($AY$22:$BE$60,,$AH807), 1 / ($BF$22:$BF$60*CW807), N($AU$22:$AU$60&gt;$AM807)),
SUMPRODUCT(INDEX($AV$22:$AX$45,,$AI807), INDEX($AY$22:$BE$45,,$AH807), 1 / ($BG$22:$BG$45*CW807), N($AU$22:$AU$45&gt;$AM807))
) / 1000</f>
        <v>0</v>
      </c>
      <c r="CZ807" s="229">
        <f t="shared" si="846"/>
        <v>0</v>
      </c>
      <c r="DA807" s="246"/>
    </row>
    <row r="808" spans="1:105" s="75" customFormat="1" ht="14.25" customHeight="1" x14ac:dyDescent="0.2">
      <c r="A808" s="230" t="b">
        <f t="shared" si="851"/>
        <v>0</v>
      </c>
      <c r="B808" s="253">
        <v>787</v>
      </c>
      <c r="C808" s="266"/>
      <c r="D808" s="266"/>
      <c r="E808" s="254"/>
      <c r="F808" s="255" t="str">
        <f>IF(ISBLANK(E808), "", VLOOKUP(E808, Z!$A$2:$C$4127, 3, FALSE))</f>
        <v/>
      </c>
      <c r="G808" s="256"/>
      <c r="H808" s="256"/>
      <c r="I808" s="256"/>
      <c r="J808" s="257"/>
      <c r="K808" s="258"/>
      <c r="L808" s="267"/>
      <c r="M808" s="268"/>
      <c r="N808" s="259" t="str" cm="1">
        <f t="array" ref="N808">IF($L808&gt;0, INDEX(Clean,1+AK808,$D$1), "")</f>
        <v/>
      </c>
      <c r="O808" s="260"/>
      <c r="P808" s="260"/>
      <c r="Q808" s="261"/>
      <c r="R808" s="264">
        <f t="shared" si="822"/>
        <v>0</v>
      </c>
      <c r="S808" s="259" t="str" cm="1">
        <f t="array" ref="S808">IF($L808&gt;0, INDEX(Clean,1+AL808,$D$1), "")</f>
        <v/>
      </c>
      <c r="T808" s="260"/>
      <c r="U808" s="260"/>
      <c r="V808" s="261"/>
      <c r="W808" s="267"/>
      <c r="X808" s="267"/>
      <c r="Y808" s="257"/>
      <c r="Z808" s="264">
        <f t="shared" si="823"/>
        <v>0</v>
      </c>
      <c r="AA808" s="269"/>
      <c r="AB808" s="266"/>
      <c r="AC808" s="254"/>
      <c r="AD808" s="255" t="str">
        <f>IF(ISBLANK(AC808), "", VLOOKUP(AC808, Z!$A$2:$C$4127, 3, FALSE))</f>
        <v/>
      </c>
      <c r="AE808" s="270"/>
      <c r="AF808" s="265">
        <f t="shared" si="824"/>
        <v>0</v>
      </c>
      <c r="AG808" s="246"/>
      <c r="AH808" s="228">
        <f t="shared" si="847"/>
        <v>1</v>
      </c>
      <c r="AI808" s="228">
        <f t="shared" si="848"/>
        <v>1</v>
      </c>
      <c r="AJ808" s="228">
        <f t="shared" si="849"/>
        <v>0</v>
      </c>
      <c r="AK808" s="228">
        <v>0</v>
      </c>
      <c r="AL808" s="228">
        <v>0</v>
      </c>
      <c r="AM808" s="228">
        <f t="shared" si="825"/>
        <v>-100</v>
      </c>
      <c r="AN808" s="228" cm="1">
        <f t="array" ref="AN808">IF(ISBLANK(G808), 1, IFERROR(MATCH(G808, INDEX(Kat,,1), 0), IFERROR(MATCH(Kat, INDEX(Use,,2), 0), MATCH(Kat, INDEX(Use,,3), 0))))</f>
        <v>1</v>
      </c>
      <c r="AO808" s="246"/>
      <c r="AP808" s="228" cm="1">
        <f t="array" ref="AP808">IF(W808&gt;0, INDEX(Kat, AN808,4), 0)</f>
        <v>0</v>
      </c>
      <c r="AQ808" s="228">
        <f t="shared" si="850"/>
        <v>0</v>
      </c>
      <c r="AR808" s="228" cm="1">
        <f t="array" ref="AR808">IF(X808&gt;0, INDEX(Kat, $AN808, 4+AQ808), 0)</f>
        <v>0</v>
      </c>
      <c r="AS808" s="228" cm="1">
        <f t="array" ref="AS808">IF(X808&gt;0, INDEX(Kat, $AN808, 9+AQ808), 0)</f>
        <v>0</v>
      </c>
      <c r="AT808" s="246"/>
      <c r="AU808" s="262"/>
      <c r="AV808" s="262"/>
      <c r="AW808" s="263"/>
      <c r="AX808" s="263"/>
      <c r="AY808" s="263"/>
      <c r="AZ808" s="263"/>
      <c r="BA808" s="263"/>
      <c r="BB808" s="263"/>
      <c r="BC808" s="263"/>
      <c r="BD808" s="263"/>
      <c r="BE808" s="263"/>
      <c r="BF808" s="263"/>
      <c r="BG808" s="263"/>
      <c r="BH808" s="246"/>
      <c r="BI808" s="228" cm="1">
        <f t="array" ref="BI808">INDEX(Use, $AH808, 4)</f>
        <v>7</v>
      </c>
      <c r="BJ808" s="228">
        <f t="shared" si="826"/>
        <v>32</v>
      </c>
      <c r="BK808" s="228">
        <f t="shared" si="852"/>
        <v>13</v>
      </c>
      <c r="BL808" s="228">
        <f t="shared" si="853"/>
        <v>0</v>
      </c>
      <c r="BM808" s="233" cm="1">
        <f t="array" ref="BM808">L808/IF($M808&gt;0, INDEX($AY$22:$BE$76, $M808+20, $AH808), 1)</f>
        <v>0</v>
      </c>
      <c r="BN808" s="229">
        <f t="shared" si="827"/>
        <v>0</v>
      </c>
      <c r="BO808" s="228">
        <v>35</v>
      </c>
      <c r="BP808" s="229">
        <f t="shared" si="828"/>
        <v>48</v>
      </c>
      <c r="BQ808" s="234">
        <f t="shared" si="829"/>
        <v>3.0748170731707316</v>
      </c>
      <c r="BR808" s="234" cm="1">
        <f t="array" ref="BR808">$BM808 * SUMPRODUCT(INDEX($AV$76:$AX$81,,$AI808),INDEX($AY$76:$BE$81,,$AH808), N($AU$76:$AU$81&gt;$AM808)) / BQ808 / 1000</f>
        <v>0</v>
      </c>
      <c r="BS808" s="231">
        <f t="shared" si="854"/>
        <v>30</v>
      </c>
      <c r="BT808" s="229">
        <f t="shared" si="830"/>
        <v>43</v>
      </c>
      <c r="BU808" s="234">
        <f t="shared" si="831"/>
        <v>3.5018750000000001</v>
      </c>
      <c r="BV808" s="234" cm="1">
        <f t="array" ref="BV808">$BM808 * IF($AH808&lt;=2,
SUMPRODUCT(INDEX($AV$71:$AX$75,,$AI808), INDEX($AY$71:$BE$75,,$AH808), 1 / ($BF$71:$BF$75*BU808 + (1-$BF$71:$BF$75)*BQ808), N($AU$71:$AU$75&gt;$AM808)),
SUMPRODUCT(INDEX($AV$66:$AX$75,,$AI808), INDEX($AY$66:$BE$75,,$AH808), 1 / ($BG$66:$BG$75*BU808 + (1-$BG$66:$BG$75)*BQ808), N($AU$66:$AU$75&gt;$AM808))
) / 1000</f>
        <v>0</v>
      </c>
      <c r="BW808" s="231">
        <f t="shared" si="855"/>
        <v>25</v>
      </c>
      <c r="BX808" s="229">
        <f t="shared" si="832"/>
        <v>38</v>
      </c>
      <c r="BY808" s="234">
        <f t="shared" si="833"/>
        <v>4.0666935483870965</v>
      </c>
      <c r="BZ808" s="234" cm="1">
        <f t="array" ref="BZ808">$BM808 * IF($AH808&lt;=2,
SUMPRODUCT(INDEX($AV$66:$AX$70,,$AI808), INDEX($AY$66:$BE$70,,$AH808), 1 / ($BF$66:$BF$70*BY808 + (1-$BF$66:$BF$70)*BU808), N($AU$66:$AU$70&gt;$AM808)),
SUMPRODUCT(INDEX($AV$56:$AX$65,,$AI808), INDEX($AY$56:$BE$65,,$AH808), 1 / ($BG$56:$BG$65*BY808 + (1-$BG$56:$BG$65)*BU808), N($AU$56:$AU$65&gt;$AM808))
) / 1000</f>
        <v>0</v>
      </c>
      <c r="CA808" s="231">
        <f t="shared" si="856"/>
        <v>20</v>
      </c>
      <c r="CB808" s="229">
        <f t="shared" si="834"/>
        <v>33</v>
      </c>
      <c r="CC808" s="234">
        <f t="shared" si="835"/>
        <v>4.8487499999999999</v>
      </c>
      <c r="CD808" s="234" cm="1">
        <f t="array" ref="CD808">$BM808 * IF($AH808&lt;=2,
SUMPRODUCT(INDEX($AV$61:$AX$65,,$AI808), INDEX($AY$61:$BE$65,,$AH808), 1 / ($BF$61:$BF$65*CC808 + (1-$BF$61:$BF$65)*BY808), N($AU$61:$AU$65&gt;$AM808)),
SUMPRODUCT(INDEX($AV$46:$AX$55,,$AI808), INDEX($AY$46:$BE$55,,$AH808), 1 / ($BG$46:$BG$55*CC808 + (1-$BG$46:$BG$55)*BY808), N($AU$46:$AU$55&gt;$AM808))
) / 1000</f>
        <v>0</v>
      </c>
      <c r="CE808" s="234" cm="1">
        <f t="array" ref="CE808">$BM808 * IF($AH808&lt;=2,
SUMPRODUCT(INDEX($AV$22:$AX$60,,$AI808), INDEX($AY$22:$BE$60,,$AH808), 1 / ($BF$22:$BF$60*CC808), N($AU$22:$AU$60&gt;$AM808)),
SUMPRODUCT(INDEX($AV$22:$AX$45,,$AI808), INDEX($AY$22:$BE$45,,$AH808), 1 / ($BG$22:$BG$45*CC808), N($AU$22:$AU$45&gt;$AM808))
) / 1000</f>
        <v>0</v>
      </c>
      <c r="CF808" s="229">
        <f t="shared" si="836"/>
        <v>0</v>
      </c>
      <c r="CG808" s="246"/>
      <c r="CH808" s="229">
        <f t="shared" si="837"/>
        <v>0</v>
      </c>
      <c r="CI808" s="228">
        <v>35</v>
      </c>
      <c r="CJ808" s="229">
        <f t="shared" si="838"/>
        <v>48</v>
      </c>
      <c r="CK808" s="234">
        <f t="shared" si="839"/>
        <v>3.0748170731707316</v>
      </c>
      <c r="CL808" s="234" cm="1">
        <f t="array" ref="CL808">$BM808 * SUMPRODUCT(INDEX($AV$76:$AX$81,,$AI808),INDEX($AY$76:$BE$81,,$AH808), N($AU$76:$AU$81&gt;$AM808)) / CK808 / 1000</f>
        <v>0</v>
      </c>
      <c r="CM808" s="231">
        <f t="shared" si="857"/>
        <v>30</v>
      </c>
      <c r="CN808" s="229">
        <f t="shared" si="840"/>
        <v>43</v>
      </c>
      <c r="CO808" s="234">
        <f t="shared" si="841"/>
        <v>3.5018750000000001</v>
      </c>
      <c r="CP808" s="234" cm="1">
        <f t="array" ref="CP808">$BM808 * IF($AH808&lt;=2,
SUMPRODUCT(INDEX($AV$71:$AX$75,,$AI808), INDEX($AY$71:$BE$75,,$AH808), 1 / ($BF$71:$BF$75*CO808 + (1-$BF$71:$BF$75)*CK808), N($AU$71:$AU$75&gt;$AM808)),
SUMPRODUCT(INDEX($AV$66:$AX$75,,$AI808), INDEX($AY$66:$BE$75,,$AH808), 1 / ($BG$66:$BG$75*CO808 + (1-$BG$66:$BG$75)*CK808), N($AU$66:$AU$75&gt;$AM808))
) / 1000</f>
        <v>0</v>
      </c>
      <c r="CQ808" s="231">
        <f t="shared" si="858"/>
        <v>25</v>
      </c>
      <c r="CR808" s="229">
        <f t="shared" si="842"/>
        <v>38</v>
      </c>
      <c r="CS808" s="234">
        <f t="shared" si="843"/>
        <v>4.0666935483870965</v>
      </c>
      <c r="CT808" s="234" cm="1">
        <f t="array" ref="CT808">$BM808 * IF($AH808&lt;=2,
SUMPRODUCT(INDEX($AV$66:$AX$70,,$AI808), INDEX($AY$66:$BE$70,,$AH808), 1 / ($BF$66:$BF$70*CS808 + (1-$BF$66:$BF$70)*CO808), N($AU$66:$AU$70&gt;$AM808)),
SUMPRODUCT(INDEX($AV$56:$AX$65,,$AI808), INDEX($AY$56:$BE$65,,$AH808), 1 / ($BG$56:$BG$65*CS808 + (1-$BG$56:$BG$65)*CO808), N($AU$56:$AU$65&gt;$AM808))
) / 1000</f>
        <v>0</v>
      </c>
      <c r="CU808" s="231">
        <f t="shared" si="859"/>
        <v>20</v>
      </c>
      <c r="CV808" s="229">
        <f t="shared" si="844"/>
        <v>33</v>
      </c>
      <c r="CW808" s="234">
        <f t="shared" si="845"/>
        <v>4.8487499999999999</v>
      </c>
      <c r="CX808" s="234" cm="1">
        <f t="array" ref="CX808">$BM808 * IF($AH808&lt;=2,
SUMPRODUCT(INDEX($AV$61:$AX$65,,$AI808), INDEX($AY$61:$BE$65,,$AH808), 1 / ($BF$61:$BF$65*CW808 + (1-$BF$61:$BF$65)*CS808), N($AU$61:$AU$65&gt;$AM808)),
SUMPRODUCT(INDEX($AV$46:$AX$55,,$AI808), INDEX($AY$46:$BE$55,,$AH808), 1 / ($BG$46:$BG$55*CW808 + (1-$BG$46:$BG$55)*CS808), N($AU$46:$AU$55&gt;$AM808))
) / 1000</f>
        <v>0</v>
      </c>
      <c r="CY808" s="234" cm="1">
        <f t="array" ref="CY808">$BM808 * IF($AH808&lt;=2,
SUMPRODUCT(INDEX($AV$22:$AX$60,,$AI808), INDEX($AY$22:$BE$60,,$AH808), 1 / ($BF$22:$BF$60*CW808), N($AU$22:$AU$60&gt;$AM808)),
SUMPRODUCT(INDEX($AV$22:$AX$45,,$AI808), INDEX($AY$22:$BE$45,,$AH808), 1 / ($BG$22:$BG$45*CW808), N($AU$22:$AU$45&gt;$AM808))
) / 1000</f>
        <v>0</v>
      </c>
      <c r="CZ808" s="229">
        <f t="shared" si="846"/>
        <v>0</v>
      </c>
      <c r="DA808" s="246"/>
    </row>
    <row r="809" spans="1:105" s="75" customFormat="1" ht="14.25" customHeight="1" x14ac:dyDescent="0.2">
      <c r="A809" s="230" t="b">
        <f t="shared" si="851"/>
        <v>0</v>
      </c>
      <c r="B809" s="253">
        <v>788</v>
      </c>
      <c r="C809" s="266"/>
      <c r="D809" s="266"/>
      <c r="E809" s="254"/>
      <c r="F809" s="255" t="str">
        <f>IF(ISBLANK(E809), "", VLOOKUP(E809, Z!$A$2:$C$4127, 3, FALSE))</f>
        <v/>
      </c>
      <c r="G809" s="256"/>
      <c r="H809" s="256"/>
      <c r="I809" s="256"/>
      <c r="J809" s="257"/>
      <c r="K809" s="258"/>
      <c r="L809" s="267"/>
      <c r="M809" s="268"/>
      <c r="N809" s="259" t="str" cm="1">
        <f t="array" ref="N809">IF($L809&gt;0, INDEX(Clean,1+AK809,$D$1), "")</f>
        <v/>
      </c>
      <c r="O809" s="260"/>
      <c r="P809" s="260"/>
      <c r="Q809" s="261"/>
      <c r="R809" s="264">
        <f t="shared" si="822"/>
        <v>0</v>
      </c>
      <c r="S809" s="259" t="str" cm="1">
        <f t="array" ref="S809">IF($L809&gt;0, INDEX(Clean,1+AL809,$D$1), "")</f>
        <v/>
      </c>
      <c r="T809" s="260"/>
      <c r="U809" s="260"/>
      <c r="V809" s="261"/>
      <c r="W809" s="267"/>
      <c r="X809" s="267"/>
      <c r="Y809" s="257"/>
      <c r="Z809" s="264">
        <f t="shared" si="823"/>
        <v>0</v>
      </c>
      <c r="AA809" s="269"/>
      <c r="AB809" s="266"/>
      <c r="AC809" s="254"/>
      <c r="AD809" s="255" t="str">
        <f>IF(ISBLANK(AC809), "", VLOOKUP(AC809, Z!$A$2:$C$4127, 3, FALSE))</f>
        <v/>
      </c>
      <c r="AE809" s="270"/>
      <c r="AF809" s="265">
        <f t="shared" si="824"/>
        <v>0</v>
      </c>
      <c r="AG809" s="246"/>
      <c r="AH809" s="228">
        <f t="shared" si="847"/>
        <v>1</v>
      </c>
      <c r="AI809" s="228">
        <f t="shared" si="848"/>
        <v>1</v>
      </c>
      <c r="AJ809" s="228">
        <f t="shared" si="849"/>
        <v>0</v>
      </c>
      <c r="AK809" s="228">
        <v>0</v>
      </c>
      <c r="AL809" s="228">
        <v>0</v>
      </c>
      <c r="AM809" s="228">
        <f t="shared" si="825"/>
        <v>-100</v>
      </c>
      <c r="AN809" s="228" cm="1">
        <f t="array" ref="AN809">IF(ISBLANK(G809), 1, IFERROR(MATCH(G809, INDEX(Kat,,1), 0), IFERROR(MATCH(Kat, INDEX(Use,,2), 0), MATCH(Kat, INDEX(Use,,3), 0))))</f>
        <v>1</v>
      </c>
      <c r="AO809" s="246"/>
      <c r="AP809" s="228" cm="1">
        <f t="array" ref="AP809">IF(W809&gt;0, INDEX(Kat, AN809,4), 0)</f>
        <v>0</v>
      </c>
      <c r="AQ809" s="228">
        <f t="shared" si="850"/>
        <v>0</v>
      </c>
      <c r="AR809" s="228" cm="1">
        <f t="array" ref="AR809">IF(X809&gt;0, INDEX(Kat, $AN809, 4+AQ809), 0)</f>
        <v>0</v>
      </c>
      <c r="AS809" s="228" cm="1">
        <f t="array" ref="AS809">IF(X809&gt;0, INDEX(Kat, $AN809, 9+AQ809), 0)</f>
        <v>0</v>
      </c>
      <c r="AT809" s="246"/>
      <c r="AU809" s="262"/>
      <c r="AV809" s="262"/>
      <c r="AW809" s="263"/>
      <c r="AX809" s="263"/>
      <c r="AY809" s="263"/>
      <c r="AZ809" s="263"/>
      <c r="BA809" s="263"/>
      <c r="BB809" s="263"/>
      <c r="BC809" s="263"/>
      <c r="BD809" s="263"/>
      <c r="BE809" s="263"/>
      <c r="BF809" s="263"/>
      <c r="BG809" s="263"/>
      <c r="BH809" s="246"/>
      <c r="BI809" s="228" cm="1">
        <f t="array" ref="BI809">INDEX(Use, $AH809, 4)</f>
        <v>7</v>
      </c>
      <c r="BJ809" s="228">
        <f t="shared" si="826"/>
        <v>32</v>
      </c>
      <c r="BK809" s="228">
        <f t="shared" si="852"/>
        <v>13</v>
      </c>
      <c r="BL809" s="228">
        <f t="shared" si="853"/>
        <v>0</v>
      </c>
      <c r="BM809" s="233" cm="1">
        <f t="array" ref="BM809">L809/IF($M809&gt;0, INDEX($AY$22:$BE$76, $M809+20, $AH809), 1)</f>
        <v>0</v>
      </c>
      <c r="BN809" s="229">
        <f t="shared" si="827"/>
        <v>0</v>
      </c>
      <c r="BO809" s="228">
        <v>35</v>
      </c>
      <c r="BP809" s="229">
        <f t="shared" si="828"/>
        <v>48</v>
      </c>
      <c r="BQ809" s="234">
        <f t="shared" si="829"/>
        <v>3.0748170731707316</v>
      </c>
      <c r="BR809" s="234" cm="1">
        <f t="array" ref="BR809">$BM809 * SUMPRODUCT(INDEX($AV$76:$AX$81,,$AI809),INDEX($AY$76:$BE$81,,$AH809), N($AU$76:$AU$81&gt;$AM809)) / BQ809 / 1000</f>
        <v>0</v>
      </c>
      <c r="BS809" s="231">
        <f t="shared" si="854"/>
        <v>30</v>
      </c>
      <c r="BT809" s="229">
        <f t="shared" si="830"/>
        <v>43</v>
      </c>
      <c r="BU809" s="234">
        <f t="shared" si="831"/>
        <v>3.5018750000000001</v>
      </c>
      <c r="BV809" s="234" cm="1">
        <f t="array" ref="BV809">$BM809 * IF($AH809&lt;=2,
SUMPRODUCT(INDEX($AV$71:$AX$75,,$AI809), INDEX($AY$71:$BE$75,,$AH809), 1 / ($BF$71:$BF$75*BU809 + (1-$BF$71:$BF$75)*BQ809), N($AU$71:$AU$75&gt;$AM809)),
SUMPRODUCT(INDEX($AV$66:$AX$75,,$AI809), INDEX($AY$66:$BE$75,,$AH809), 1 / ($BG$66:$BG$75*BU809 + (1-$BG$66:$BG$75)*BQ809), N($AU$66:$AU$75&gt;$AM809))
) / 1000</f>
        <v>0</v>
      </c>
      <c r="BW809" s="231">
        <f t="shared" si="855"/>
        <v>25</v>
      </c>
      <c r="BX809" s="229">
        <f t="shared" si="832"/>
        <v>38</v>
      </c>
      <c r="BY809" s="234">
        <f t="shared" si="833"/>
        <v>4.0666935483870965</v>
      </c>
      <c r="BZ809" s="234" cm="1">
        <f t="array" ref="BZ809">$BM809 * IF($AH809&lt;=2,
SUMPRODUCT(INDEX($AV$66:$AX$70,,$AI809), INDEX($AY$66:$BE$70,,$AH809), 1 / ($BF$66:$BF$70*BY809 + (1-$BF$66:$BF$70)*BU809), N($AU$66:$AU$70&gt;$AM809)),
SUMPRODUCT(INDEX($AV$56:$AX$65,,$AI809), INDEX($AY$56:$BE$65,,$AH809), 1 / ($BG$56:$BG$65*BY809 + (1-$BG$56:$BG$65)*BU809), N($AU$56:$AU$65&gt;$AM809))
) / 1000</f>
        <v>0</v>
      </c>
      <c r="CA809" s="231">
        <f t="shared" si="856"/>
        <v>20</v>
      </c>
      <c r="CB809" s="229">
        <f t="shared" si="834"/>
        <v>33</v>
      </c>
      <c r="CC809" s="234">
        <f t="shared" si="835"/>
        <v>4.8487499999999999</v>
      </c>
      <c r="CD809" s="234" cm="1">
        <f t="array" ref="CD809">$BM809 * IF($AH809&lt;=2,
SUMPRODUCT(INDEX($AV$61:$AX$65,,$AI809), INDEX($AY$61:$BE$65,,$AH809), 1 / ($BF$61:$BF$65*CC809 + (1-$BF$61:$BF$65)*BY809), N($AU$61:$AU$65&gt;$AM809)),
SUMPRODUCT(INDEX($AV$46:$AX$55,,$AI809), INDEX($AY$46:$BE$55,,$AH809), 1 / ($BG$46:$BG$55*CC809 + (1-$BG$46:$BG$55)*BY809), N($AU$46:$AU$55&gt;$AM809))
) / 1000</f>
        <v>0</v>
      </c>
      <c r="CE809" s="234" cm="1">
        <f t="array" ref="CE809">$BM809 * IF($AH809&lt;=2,
SUMPRODUCT(INDEX($AV$22:$AX$60,,$AI809), INDEX($AY$22:$BE$60,,$AH809), 1 / ($BF$22:$BF$60*CC809), N($AU$22:$AU$60&gt;$AM809)),
SUMPRODUCT(INDEX($AV$22:$AX$45,,$AI809), INDEX($AY$22:$BE$45,,$AH809), 1 / ($BG$22:$BG$45*CC809), N($AU$22:$AU$45&gt;$AM809))
) / 1000</f>
        <v>0</v>
      </c>
      <c r="CF809" s="229">
        <f t="shared" si="836"/>
        <v>0</v>
      </c>
      <c r="CG809" s="246"/>
      <c r="CH809" s="229">
        <f t="shared" si="837"/>
        <v>0</v>
      </c>
      <c r="CI809" s="228">
        <v>35</v>
      </c>
      <c r="CJ809" s="229">
        <f t="shared" si="838"/>
        <v>48</v>
      </c>
      <c r="CK809" s="234">
        <f t="shared" si="839"/>
        <v>3.0748170731707316</v>
      </c>
      <c r="CL809" s="234" cm="1">
        <f t="array" ref="CL809">$BM809 * SUMPRODUCT(INDEX($AV$76:$AX$81,,$AI809),INDEX($AY$76:$BE$81,,$AH809), N($AU$76:$AU$81&gt;$AM809)) / CK809 / 1000</f>
        <v>0</v>
      </c>
      <c r="CM809" s="231">
        <f t="shared" si="857"/>
        <v>30</v>
      </c>
      <c r="CN809" s="229">
        <f t="shared" si="840"/>
        <v>43</v>
      </c>
      <c r="CO809" s="234">
        <f t="shared" si="841"/>
        <v>3.5018750000000001</v>
      </c>
      <c r="CP809" s="234" cm="1">
        <f t="array" ref="CP809">$BM809 * IF($AH809&lt;=2,
SUMPRODUCT(INDEX($AV$71:$AX$75,,$AI809), INDEX($AY$71:$BE$75,,$AH809), 1 / ($BF$71:$BF$75*CO809 + (1-$BF$71:$BF$75)*CK809), N($AU$71:$AU$75&gt;$AM809)),
SUMPRODUCT(INDEX($AV$66:$AX$75,,$AI809), INDEX($AY$66:$BE$75,,$AH809), 1 / ($BG$66:$BG$75*CO809 + (1-$BG$66:$BG$75)*CK809), N($AU$66:$AU$75&gt;$AM809))
) / 1000</f>
        <v>0</v>
      </c>
      <c r="CQ809" s="231">
        <f t="shared" si="858"/>
        <v>25</v>
      </c>
      <c r="CR809" s="229">
        <f t="shared" si="842"/>
        <v>38</v>
      </c>
      <c r="CS809" s="234">
        <f t="shared" si="843"/>
        <v>4.0666935483870965</v>
      </c>
      <c r="CT809" s="234" cm="1">
        <f t="array" ref="CT809">$BM809 * IF($AH809&lt;=2,
SUMPRODUCT(INDEX($AV$66:$AX$70,,$AI809), INDEX($AY$66:$BE$70,,$AH809), 1 / ($BF$66:$BF$70*CS809 + (1-$BF$66:$BF$70)*CO809), N($AU$66:$AU$70&gt;$AM809)),
SUMPRODUCT(INDEX($AV$56:$AX$65,,$AI809), INDEX($AY$56:$BE$65,,$AH809), 1 / ($BG$56:$BG$65*CS809 + (1-$BG$56:$BG$65)*CO809), N($AU$56:$AU$65&gt;$AM809))
) / 1000</f>
        <v>0</v>
      </c>
      <c r="CU809" s="231">
        <f t="shared" si="859"/>
        <v>20</v>
      </c>
      <c r="CV809" s="229">
        <f t="shared" si="844"/>
        <v>33</v>
      </c>
      <c r="CW809" s="234">
        <f t="shared" si="845"/>
        <v>4.8487499999999999</v>
      </c>
      <c r="CX809" s="234" cm="1">
        <f t="array" ref="CX809">$BM809 * IF($AH809&lt;=2,
SUMPRODUCT(INDEX($AV$61:$AX$65,,$AI809), INDEX($AY$61:$BE$65,,$AH809), 1 / ($BF$61:$BF$65*CW809 + (1-$BF$61:$BF$65)*CS809), N($AU$61:$AU$65&gt;$AM809)),
SUMPRODUCT(INDEX($AV$46:$AX$55,,$AI809), INDEX($AY$46:$BE$55,,$AH809), 1 / ($BG$46:$BG$55*CW809 + (1-$BG$46:$BG$55)*CS809), N($AU$46:$AU$55&gt;$AM809))
) / 1000</f>
        <v>0</v>
      </c>
      <c r="CY809" s="234" cm="1">
        <f t="array" ref="CY809">$BM809 * IF($AH809&lt;=2,
SUMPRODUCT(INDEX($AV$22:$AX$60,,$AI809), INDEX($AY$22:$BE$60,,$AH809), 1 / ($BF$22:$BF$60*CW809), N($AU$22:$AU$60&gt;$AM809)),
SUMPRODUCT(INDEX($AV$22:$AX$45,,$AI809), INDEX($AY$22:$BE$45,,$AH809), 1 / ($BG$22:$BG$45*CW809), N($AU$22:$AU$45&gt;$AM809))
) / 1000</f>
        <v>0</v>
      </c>
      <c r="CZ809" s="229">
        <f t="shared" si="846"/>
        <v>0</v>
      </c>
      <c r="DA809" s="246"/>
    </row>
    <row r="810" spans="1:105" s="75" customFormat="1" ht="14.25" customHeight="1" x14ac:dyDescent="0.2">
      <c r="A810" s="230" t="b">
        <f t="shared" si="851"/>
        <v>0</v>
      </c>
      <c r="B810" s="253">
        <v>789</v>
      </c>
      <c r="C810" s="266"/>
      <c r="D810" s="266"/>
      <c r="E810" s="254"/>
      <c r="F810" s="255" t="str">
        <f>IF(ISBLANK(E810), "", VLOOKUP(E810, Z!$A$2:$C$4127, 3, FALSE))</f>
        <v/>
      </c>
      <c r="G810" s="256"/>
      <c r="H810" s="256"/>
      <c r="I810" s="256"/>
      <c r="J810" s="257"/>
      <c r="K810" s="258"/>
      <c r="L810" s="267"/>
      <c r="M810" s="268"/>
      <c r="N810" s="259" t="str" cm="1">
        <f t="array" ref="N810">IF($L810&gt;0, INDEX(Clean,1+AK810,$D$1), "")</f>
        <v/>
      </c>
      <c r="O810" s="260"/>
      <c r="P810" s="260"/>
      <c r="Q810" s="261"/>
      <c r="R810" s="264">
        <f t="shared" si="822"/>
        <v>0</v>
      </c>
      <c r="S810" s="259" t="str" cm="1">
        <f t="array" ref="S810">IF($L810&gt;0, INDEX(Clean,1+AL810,$D$1), "")</f>
        <v/>
      </c>
      <c r="T810" s="260"/>
      <c r="U810" s="260"/>
      <c r="V810" s="261"/>
      <c r="W810" s="267"/>
      <c r="X810" s="267"/>
      <c r="Y810" s="257"/>
      <c r="Z810" s="264">
        <f t="shared" si="823"/>
        <v>0</v>
      </c>
      <c r="AA810" s="269"/>
      <c r="AB810" s="266"/>
      <c r="AC810" s="254"/>
      <c r="AD810" s="255" t="str">
        <f>IF(ISBLANK(AC810), "", VLOOKUP(AC810, Z!$A$2:$C$4127, 3, FALSE))</f>
        <v/>
      </c>
      <c r="AE810" s="270"/>
      <c r="AF810" s="265">
        <f t="shared" si="824"/>
        <v>0</v>
      </c>
      <c r="AG810" s="246"/>
      <c r="AH810" s="228">
        <f t="shared" si="847"/>
        <v>1</v>
      </c>
      <c r="AI810" s="228">
        <f t="shared" si="848"/>
        <v>1</v>
      </c>
      <c r="AJ810" s="228">
        <f t="shared" si="849"/>
        <v>0</v>
      </c>
      <c r="AK810" s="228">
        <v>0</v>
      </c>
      <c r="AL810" s="228">
        <v>0</v>
      </c>
      <c r="AM810" s="228">
        <f t="shared" si="825"/>
        <v>-100</v>
      </c>
      <c r="AN810" s="228" cm="1">
        <f t="array" ref="AN810">IF(ISBLANK(G810), 1, IFERROR(MATCH(G810, INDEX(Kat,,1), 0), IFERROR(MATCH(Kat, INDEX(Use,,2), 0), MATCH(Kat, INDEX(Use,,3), 0))))</f>
        <v>1</v>
      </c>
      <c r="AO810" s="246"/>
      <c r="AP810" s="228" cm="1">
        <f t="array" ref="AP810">IF(W810&gt;0, INDEX(Kat, AN810,4), 0)</f>
        <v>0</v>
      </c>
      <c r="AQ810" s="228">
        <f t="shared" si="850"/>
        <v>0</v>
      </c>
      <c r="AR810" s="228" cm="1">
        <f t="array" ref="AR810">IF(X810&gt;0, INDEX(Kat, $AN810, 4+AQ810), 0)</f>
        <v>0</v>
      </c>
      <c r="AS810" s="228" cm="1">
        <f t="array" ref="AS810">IF(X810&gt;0, INDEX(Kat, $AN810, 9+AQ810), 0)</f>
        <v>0</v>
      </c>
      <c r="AT810" s="246"/>
      <c r="AU810" s="262"/>
      <c r="AV810" s="262"/>
      <c r="AW810" s="263"/>
      <c r="AX810" s="263"/>
      <c r="AY810" s="263"/>
      <c r="AZ810" s="263"/>
      <c r="BA810" s="263"/>
      <c r="BB810" s="263"/>
      <c r="BC810" s="263"/>
      <c r="BD810" s="263"/>
      <c r="BE810" s="263"/>
      <c r="BF810" s="263"/>
      <c r="BG810" s="263"/>
      <c r="BH810" s="246"/>
      <c r="BI810" s="228" cm="1">
        <f t="array" ref="BI810">INDEX(Use, $AH810, 4)</f>
        <v>7</v>
      </c>
      <c r="BJ810" s="228">
        <f t="shared" si="826"/>
        <v>32</v>
      </c>
      <c r="BK810" s="228">
        <f t="shared" si="852"/>
        <v>13</v>
      </c>
      <c r="BL810" s="228">
        <f t="shared" si="853"/>
        <v>0</v>
      </c>
      <c r="BM810" s="233" cm="1">
        <f t="array" ref="BM810">L810/IF($M810&gt;0, INDEX($AY$22:$BE$76, $M810+20, $AH810), 1)</f>
        <v>0</v>
      </c>
      <c r="BN810" s="229">
        <f t="shared" si="827"/>
        <v>0</v>
      </c>
      <c r="BO810" s="228">
        <v>35</v>
      </c>
      <c r="BP810" s="229">
        <f t="shared" si="828"/>
        <v>48</v>
      </c>
      <c r="BQ810" s="234">
        <f t="shared" si="829"/>
        <v>3.0748170731707316</v>
      </c>
      <c r="BR810" s="234" cm="1">
        <f t="array" ref="BR810">$BM810 * SUMPRODUCT(INDEX($AV$76:$AX$81,,$AI810),INDEX($AY$76:$BE$81,,$AH810), N($AU$76:$AU$81&gt;$AM810)) / BQ810 / 1000</f>
        <v>0</v>
      </c>
      <c r="BS810" s="231">
        <f t="shared" si="854"/>
        <v>30</v>
      </c>
      <c r="BT810" s="229">
        <f t="shared" si="830"/>
        <v>43</v>
      </c>
      <c r="BU810" s="234">
        <f t="shared" si="831"/>
        <v>3.5018750000000001</v>
      </c>
      <c r="BV810" s="234" cm="1">
        <f t="array" ref="BV810">$BM810 * IF($AH810&lt;=2,
SUMPRODUCT(INDEX($AV$71:$AX$75,,$AI810), INDEX($AY$71:$BE$75,,$AH810), 1 / ($BF$71:$BF$75*BU810 + (1-$BF$71:$BF$75)*BQ810), N($AU$71:$AU$75&gt;$AM810)),
SUMPRODUCT(INDEX($AV$66:$AX$75,,$AI810), INDEX($AY$66:$BE$75,,$AH810), 1 / ($BG$66:$BG$75*BU810 + (1-$BG$66:$BG$75)*BQ810), N($AU$66:$AU$75&gt;$AM810))
) / 1000</f>
        <v>0</v>
      </c>
      <c r="BW810" s="231">
        <f t="shared" si="855"/>
        <v>25</v>
      </c>
      <c r="BX810" s="229">
        <f t="shared" si="832"/>
        <v>38</v>
      </c>
      <c r="BY810" s="234">
        <f t="shared" si="833"/>
        <v>4.0666935483870965</v>
      </c>
      <c r="BZ810" s="234" cm="1">
        <f t="array" ref="BZ810">$BM810 * IF($AH810&lt;=2,
SUMPRODUCT(INDEX($AV$66:$AX$70,,$AI810), INDEX($AY$66:$BE$70,,$AH810), 1 / ($BF$66:$BF$70*BY810 + (1-$BF$66:$BF$70)*BU810), N($AU$66:$AU$70&gt;$AM810)),
SUMPRODUCT(INDEX($AV$56:$AX$65,,$AI810), INDEX($AY$56:$BE$65,,$AH810), 1 / ($BG$56:$BG$65*BY810 + (1-$BG$56:$BG$65)*BU810), N($AU$56:$AU$65&gt;$AM810))
) / 1000</f>
        <v>0</v>
      </c>
      <c r="CA810" s="231">
        <f t="shared" si="856"/>
        <v>20</v>
      </c>
      <c r="CB810" s="229">
        <f t="shared" si="834"/>
        <v>33</v>
      </c>
      <c r="CC810" s="234">
        <f t="shared" si="835"/>
        <v>4.8487499999999999</v>
      </c>
      <c r="CD810" s="234" cm="1">
        <f t="array" ref="CD810">$BM810 * IF($AH810&lt;=2,
SUMPRODUCT(INDEX($AV$61:$AX$65,,$AI810), INDEX($AY$61:$BE$65,,$AH810), 1 / ($BF$61:$BF$65*CC810 + (1-$BF$61:$BF$65)*BY810), N($AU$61:$AU$65&gt;$AM810)),
SUMPRODUCT(INDEX($AV$46:$AX$55,,$AI810), INDEX($AY$46:$BE$55,,$AH810), 1 / ($BG$46:$BG$55*CC810 + (1-$BG$46:$BG$55)*BY810), N($AU$46:$AU$55&gt;$AM810))
) / 1000</f>
        <v>0</v>
      </c>
      <c r="CE810" s="234" cm="1">
        <f t="array" ref="CE810">$BM810 * IF($AH810&lt;=2,
SUMPRODUCT(INDEX($AV$22:$AX$60,,$AI810), INDEX($AY$22:$BE$60,,$AH810), 1 / ($BF$22:$BF$60*CC810), N($AU$22:$AU$60&gt;$AM810)),
SUMPRODUCT(INDEX($AV$22:$AX$45,,$AI810), INDEX($AY$22:$BE$45,,$AH810), 1 / ($BG$22:$BG$45*CC810), N($AU$22:$AU$45&gt;$AM810))
) / 1000</f>
        <v>0</v>
      </c>
      <c r="CF810" s="229">
        <f t="shared" si="836"/>
        <v>0</v>
      </c>
      <c r="CG810" s="246"/>
      <c r="CH810" s="229">
        <f t="shared" si="837"/>
        <v>0</v>
      </c>
      <c r="CI810" s="228">
        <v>35</v>
      </c>
      <c r="CJ810" s="229">
        <f t="shared" si="838"/>
        <v>48</v>
      </c>
      <c r="CK810" s="234">
        <f t="shared" si="839"/>
        <v>3.0748170731707316</v>
      </c>
      <c r="CL810" s="234" cm="1">
        <f t="array" ref="CL810">$BM810 * SUMPRODUCT(INDEX($AV$76:$AX$81,,$AI810),INDEX($AY$76:$BE$81,,$AH810), N($AU$76:$AU$81&gt;$AM810)) / CK810 / 1000</f>
        <v>0</v>
      </c>
      <c r="CM810" s="231">
        <f t="shared" si="857"/>
        <v>30</v>
      </c>
      <c r="CN810" s="229">
        <f t="shared" si="840"/>
        <v>43</v>
      </c>
      <c r="CO810" s="234">
        <f t="shared" si="841"/>
        <v>3.5018750000000001</v>
      </c>
      <c r="CP810" s="234" cm="1">
        <f t="array" ref="CP810">$BM810 * IF($AH810&lt;=2,
SUMPRODUCT(INDEX($AV$71:$AX$75,,$AI810), INDEX($AY$71:$BE$75,,$AH810), 1 / ($BF$71:$BF$75*CO810 + (1-$BF$71:$BF$75)*CK810), N($AU$71:$AU$75&gt;$AM810)),
SUMPRODUCT(INDEX($AV$66:$AX$75,,$AI810), INDEX($AY$66:$BE$75,,$AH810), 1 / ($BG$66:$BG$75*CO810 + (1-$BG$66:$BG$75)*CK810), N($AU$66:$AU$75&gt;$AM810))
) / 1000</f>
        <v>0</v>
      </c>
      <c r="CQ810" s="231">
        <f t="shared" si="858"/>
        <v>25</v>
      </c>
      <c r="CR810" s="229">
        <f t="shared" si="842"/>
        <v>38</v>
      </c>
      <c r="CS810" s="234">
        <f t="shared" si="843"/>
        <v>4.0666935483870965</v>
      </c>
      <c r="CT810" s="234" cm="1">
        <f t="array" ref="CT810">$BM810 * IF($AH810&lt;=2,
SUMPRODUCT(INDEX($AV$66:$AX$70,,$AI810), INDEX($AY$66:$BE$70,,$AH810), 1 / ($BF$66:$BF$70*CS810 + (1-$BF$66:$BF$70)*CO810), N($AU$66:$AU$70&gt;$AM810)),
SUMPRODUCT(INDEX($AV$56:$AX$65,,$AI810), INDEX($AY$56:$BE$65,,$AH810), 1 / ($BG$56:$BG$65*CS810 + (1-$BG$56:$BG$65)*CO810), N($AU$56:$AU$65&gt;$AM810))
) / 1000</f>
        <v>0</v>
      </c>
      <c r="CU810" s="231">
        <f t="shared" si="859"/>
        <v>20</v>
      </c>
      <c r="CV810" s="229">
        <f t="shared" si="844"/>
        <v>33</v>
      </c>
      <c r="CW810" s="234">
        <f t="shared" si="845"/>
        <v>4.8487499999999999</v>
      </c>
      <c r="CX810" s="234" cm="1">
        <f t="array" ref="CX810">$BM810 * IF($AH810&lt;=2,
SUMPRODUCT(INDEX($AV$61:$AX$65,,$AI810), INDEX($AY$61:$BE$65,,$AH810), 1 / ($BF$61:$BF$65*CW810 + (1-$BF$61:$BF$65)*CS810), N($AU$61:$AU$65&gt;$AM810)),
SUMPRODUCT(INDEX($AV$46:$AX$55,,$AI810), INDEX($AY$46:$BE$55,,$AH810), 1 / ($BG$46:$BG$55*CW810 + (1-$BG$46:$BG$55)*CS810), N($AU$46:$AU$55&gt;$AM810))
) / 1000</f>
        <v>0</v>
      </c>
      <c r="CY810" s="234" cm="1">
        <f t="array" ref="CY810">$BM810 * IF($AH810&lt;=2,
SUMPRODUCT(INDEX($AV$22:$AX$60,,$AI810), INDEX($AY$22:$BE$60,,$AH810), 1 / ($BF$22:$BF$60*CW810), N($AU$22:$AU$60&gt;$AM810)),
SUMPRODUCT(INDEX($AV$22:$AX$45,,$AI810), INDEX($AY$22:$BE$45,,$AH810), 1 / ($BG$22:$BG$45*CW810), N($AU$22:$AU$45&gt;$AM810))
) / 1000</f>
        <v>0</v>
      </c>
      <c r="CZ810" s="229">
        <f t="shared" si="846"/>
        <v>0</v>
      </c>
      <c r="DA810" s="246"/>
    </row>
    <row r="811" spans="1:105" s="75" customFormat="1" ht="14.25" customHeight="1" x14ac:dyDescent="0.2">
      <c r="A811" s="230" t="b">
        <f t="shared" si="851"/>
        <v>0</v>
      </c>
      <c r="B811" s="253">
        <v>790</v>
      </c>
      <c r="C811" s="266"/>
      <c r="D811" s="266"/>
      <c r="E811" s="254"/>
      <c r="F811" s="255" t="str">
        <f>IF(ISBLANK(E811), "", VLOOKUP(E811, Z!$A$2:$C$4127, 3, FALSE))</f>
        <v/>
      </c>
      <c r="G811" s="256"/>
      <c r="H811" s="256"/>
      <c r="I811" s="256"/>
      <c r="J811" s="257"/>
      <c r="K811" s="258"/>
      <c r="L811" s="267"/>
      <c r="M811" s="268"/>
      <c r="N811" s="259" t="str" cm="1">
        <f t="array" ref="N811">IF($L811&gt;0, INDEX(Clean,1+AK811,$D$1), "")</f>
        <v/>
      </c>
      <c r="O811" s="260"/>
      <c r="P811" s="260"/>
      <c r="Q811" s="261"/>
      <c r="R811" s="264">
        <f t="shared" si="822"/>
        <v>0</v>
      </c>
      <c r="S811" s="259" t="str" cm="1">
        <f t="array" ref="S811">IF($L811&gt;0, INDEX(Clean,1+AL811,$D$1), "")</f>
        <v/>
      </c>
      <c r="T811" s="260"/>
      <c r="U811" s="260"/>
      <c r="V811" s="261"/>
      <c r="W811" s="267"/>
      <c r="X811" s="267"/>
      <c r="Y811" s="257"/>
      <c r="Z811" s="264">
        <f t="shared" si="823"/>
        <v>0</v>
      </c>
      <c r="AA811" s="269"/>
      <c r="AB811" s="266"/>
      <c r="AC811" s="254"/>
      <c r="AD811" s="255" t="str">
        <f>IF(ISBLANK(AC811), "", VLOOKUP(AC811, Z!$A$2:$C$4127, 3, FALSE))</f>
        <v/>
      </c>
      <c r="AE811" s="270"/>
      <c r="AF811" s="265">
        <f t="shared" si="824"/>
        <v>0</v>
      </c>
      <c r="AG811" s="246"/>
      <c r="AH811" s="228">
        <f t="shared" si="847"/>
        <v>1</v>
      </c>
      <c r="AI811" s="228">
        <f t="shared" si="848"/>
        <v>1</v>
      </c>
      <c r="AJ811" s="228">
        <f t="shared" si="849"/>
        <v>0</v>
      </c>
      <c r="AK811" s="228">
        <v>0</v>
      </c>
      <c r="AL811" s="228">
        <v>0</v>
      </c>
      <c r="AM811" s="228">
        <f t="shared" si="825"/>
        <v>-100</v>
      </c>
      <c r="AN811" s="228" cm="1">
        <f t="array" ref="AN811">IF(ISBLANK(G811), 1, IFERROR(MATCH(G811, INDEX(Kat,,1), 0), IFERROR(MATCH(Kat, INDEX(Use,,2), 0), MATCH(Kat, INDEX(Use,,3), 0))))</f>
        <v>1</v>
      </c>
      <c r="AO811" s="246"/>
      <c r="AP811" s="228" cm="1">
        <f t="array" ref="AP811">IF(W811&gt;0, INDEX(Kat, AN811,4), 0)</f>
        <v>0</v>
      </c>
      <c r="AQ811" s="228">
        <f t="shared" si="850"/>
        <v>0</v>
      </c>
      <c r="AR811" s="228" cm="1">
        <f t="array" ref="AR811">IF(X811&gt;0, INDEX(Kat, $AN811, 4+AQ811), 0)</f>
        <v>0</v>
      </c>
      <c r="AS811" s="228" cm="1">
        <f t="array" ref="AS811">IF(X811&gt;0, INDEX(Kat, $AN811, 9+AQ811), 0)</f>
        <v>0</v>
      </c>
      <c r="AT811" s="246"/>
      <c r="AU811" s="262"/>
      <c r="AV811" s="262"/>
      <c r="AW811" s="263"/>
      <c r="AX811" s="263"/>
      <c r="AY811" s="263"/>
      <c r="AZ811" s="263"/>
      <c r="BA811" s="263"/>
      <c r="BB811" s="263"/>
      <c r="BC811" s="263"/>
      <c r="BD811" s="263"/>
      <c r="BE811" s="263"/>
      <c r="BF811" s="263"/>
      <c r="BG811" s="263"/>
      <c r="BH811" s="246"/>
      <c r="BI811" s="228" cm="1">
        <f t="array" ref="BI811">INDEX(Use, $AH811, 4)</f>
        <v>7</v>
      </c>
      <c r="BJ811" s="228">
        <f t="shared" si="826"/>
        <v>32</v>
      </c>
      <c r="BK811" s="228">
        <f t="shared" si="852"/>
        <v>13</v>
      </c>
      <c r="BL811" s="228">
        <f t="shared" si="853"/>
        <v>0</v>
      </c>
      <c r="BM811" s="233" cm="1">
        <f t="array" ref="BM811">L811/IF($M811&gt;0, INDEX($AY$22:$BE$76, $M811+20, $AH811), 1)</f>
        <v>0</v>
      </c>
      <c r="BN811" s="229">
        <f t="shared" si="827"/>
        <v>0</v>
      </c>
      <c r="BO811" s="228">
        <v>35</v>
      </c>
      <c r="BP811" s="229">
        <f t="shared" si="828"/>
        <v>48</v>
      </c>
      <c r="BQ811" s="234">
        <f t="shared" si="829"/>
        <v>3.0748170731707316</v>
      </c>
      <c r="BR811" s="234" cm="1">
        <f t="array" ref="BR811">$BM811 * SUMPRODUCT(INDEX($AV$76:$AX$81,,$AI811),INDEX($AY$76:$BE$81,,$AH811), N($AU$76:$AU$81&gt;$AM811)) / BQ811 / 1000</f>
        <v>0</v>
      </c>
      <c r="BS811" s="231">
        <f t="shared" si="854"/>
        <v>30</v>
      </c>
      <c r="BT811" s="229">
        <f t="shared" si="830"/>
        <v>43</v>
      </c>
      <c r="BU811" s="234">
        <f t="shared" si="831"/>
        <v>3.5018750000000001</v>
      </c>
      <c r="BV811" s="234" cm="1">
        <f t="array" ref="BV811">$BM811 * IF($AH811&lt;=2,
SUMPRODUCT(INDEX($AV$71:$AX$75,,$AI811), INDEX($AY$71:$BE$75,,$AH811), 1 / ($BF$71:$BF$75*BU811 + (1-$BF$71:$BF$75)*BQ811), N($AU$71:$AU$75&gt;$AM811)),
SUMPRODUCT(INDEX($AV$66:$AX$75,,$AI811), INDEX($AY$66:$BE$75,,$AH811), 1 / ($BG$66:$BG$75*BU811 + (1-$BG$66:$BG$75)*BQ811), N($AU$66:$AU$75&gt;$AM811))
) / 1000</f>
        <v>0</v>
      </c>
      <c r="BW811" s="231">
        <f t="shared" si="855"/>
        <v>25</v>
      </c>
      <c r="BX811" s="229">
        <f t="shared" si="832"/>
        <v>38</v>
      </c>
      <c r="BY811" s="234">
        <f t="shared" si="833"/>
        <v>4.0666935483870965</v>
      </c>
      <c r="BZ811" s="234" cm="1">
        <f t="array" ref="BZ811">$BM811 * IF($AH811&lt;=2,
SUMPRODUCT(INDEX($AV$66:$AX$70,,$AI811), INDEX($AY$66:$BE$70,,$AH811), 1 / ($BF$66:$BF$70*BY811 + (1-$BF$66:$BF$70)*BU811), N($AU$66:$AU$70&gt;$AM811)),
SUMPRODUCT(INDEX($AV$56:$AX$65,,$AI811), INDEX($AY$56:$BE$65,,$AH811), 1 / ($BG$56:$BG$65*BY811 + (1-$BG$56:$BG$65)*BU811), N($AU$56:$AU$65&gt;$AM811))
) / 1000</f>
        <v>0</v>
      </c>
      <c r="CA811" s="231">
        <f t="shared" si="856"/>
        <v>20</v>
      </c>
      <c r="CB811" s="229">
        <f t="shared" si="834"/>
        <v>33</v>
      </c>
      <c r="CC811" s="234">
        <f t="shared" si="835"/>
        <v>4.8487499999999999</v>
      </c>
      <c r="CD811" s="234" cm="1">
        <f t="array" ref="CD811">$BM811 * IF($AH811&lt;=2,
SUMPRODUCT(INDEX($AV$61:$AX$65,,$AI811), INDEX($AY$61:$BE$65,,$AH811), 1 / ($BF$61:$BF$65*CC811 + (1-$BF$61:$BF$65)*BY811), N($AU$61:$AU$65&gt;$AM811)),
SUMPRODUCT(INDEX($AV$46:$AX$55,,$AI811), INDEX($AY$46:$BE$55,,$AH811), 1 / ($BG$46:$BG$55*CC811 + (1-$BG$46:$BG$55)*BY811), N($AU$46:$AU$55&gt;$AM811))
) / 1000</f>
        <v>0</v>
      </c>
      <c r="CE811" s="234" cm="1">
        <f t="array" ref="CE811">$BM811 * IF($AH811&lt;=2,
SUMPRODUCT(INDEX($AV$22:$AX$60,,$AI811), INDEX($AY$22:$BE$60,,$AH811), 1 / ($BF$22:$BF$60*CC811), N($AU$22:$AU$60&gt;$AM811)),
SUMPRODUCT(INDEX($AV$22:$AX$45,,$AI811), INDEX($AY$22:$BE$45,,$AH811), 1 / ($BG$22:$BG$45*CC811), N($AU$22:$AU$45&gt;$AM811))
) / 1000</f>
        <v>0</v>
      </c>
      <c r="CF811" s="229">
        <f t="shared" si="836"/>
        <v>0</v>
      </c>
      <c r="CG811" s="246"/>
      <c r="CH811" s="229">
        <f t="shared" si="837"/>
        <v>0</v>
      </c>
      <c r="CI811" s="228">
        <v>35</v>
      </c>
      <c r="CJ811" s="229">
        <f t="shared" si="838"/>
        <v>48</v>
      </c>
      <c r="CK811" s="234">
        <f t="shared" si="839"/>
        <v>3.0748170731707316</v>
      </c>
      <c r="CL811" s="234" cm="1">
        <f t="array" ref="CL811">$BM811 * SUMPRODUCT(INDEX($AV$76:$AX$81,,$AI811),INDEX($AY$76:$BE$81,,$AH811), N($AU$76:$AU$81&gt;$AM811)) / CK811 / 1000</f>
        <v>0</v>
      </c>
      <c r="CM811" s="231">
        <f t="shared" si="857"/>
        <v>30</v>
      </c>
      <c r="CN811" s="229">
        <f t="shared" si="840"/>
        <v>43</v>
      </c>
      <c r="CO811" s="234">
        <f t="shared" si="841"/>
        <v>3.5018750000000001</v>
      </c>
      <c r="CP811" s="234" cm="1">
        <f t="array" ref="CP811">$BM811 * IF($AH811&lt;=2,
SUMPRODUCT(INDEX($AV$71:$AX$75,,$AI811), INDEX($AY$71:$BE$75,,$AH811), 1 / ($BF$71:$BF$75*CO811 + (1-$BF$71:$BF$75)*CK811), N($AU$71:$AU$75&gt;$AM811)),
SUMPRODUCT(INDEX($AV$66:$AX$75,,$AI811), INDEX($AY$66:$BE$75,,$AH811), 1 / ($BG$66:$BG$75*CO811 + (1-$BG$66:$BG$75)*CK811), N($AU$66:$AU$75&gt;$AM811))
) / 1000</f>
        <v>0</v>
      </c>
      <c r="CQ811" s="231">
        <f t="shared" si="858"/>
        <v>25</v>
      </c>
      <c r="CR811" s="229">
        <f t="shared" si="842"/>
        <v>38</v>
      </c>
      <c r="CS811" s="234">
        <f t="shared" si="843"/>
        <v>4.0666935483870965</v>
      </c>
      <c r="CT811" s="234" cm="1">
        <f t="array" ref="CT811">$BM811 * IF($AH811&lt;=2,
SUMPRODUCT(INDEX($AV$66:$AX$70,,$AI811), INDEX($AY$66:$BE$70,,$AH811), 1 / ($BF$66:$BF$70*CS811 + (1-$BF$66:$BF$70)*CO811), N($AU$66:$AU$70&gt;$AM811)),
SUMPRODUCT(INDEX($AV$56:$AX$65,,$AI811), INDEX($AY$56:$BE$65,,$AH811), 1 / ($BG$56:$BG$65*CS811 + (1-$BG$56:$BG$65)*CO811), N($AU$56:$AU$65&gt;$AM811))
) / 1000</f>
        <v>0</v>
      </c>
      <c r="CU811" s="231">
        <f t="shared" si="859"/>
        <v>20</v>
      </c>
      <c r="CV811" s="229">
        <f t="shared" si="844"/>
        <v>33</v>
      </c>
      <c r="CW811" s="234">
        <f t="shared" si="845"/>
        <v>4.8487499999999999</v>
      </c>
      <c r="CX811" s="234" cm="1">
        <f t="array" ref="CX811">$BM811 * IF($AH811&lt;=2,
SUMPRODUCT(INDEX($AV$61:$AX$65,,$AI811), INDEX($AY$61:$BE$65,,$AH811), 1 / ($BF$61:$BF$65*CW811 + (1-$BF$61:$BF$65)*CS811), N($AU$61:$AU$65&gt;$AM811)),
SUMPRODUCT(INDEX($AV$46:$AX$55,,$AI811), INDEX($AY$46:$BE$55,,$AH811), 1 / ($BG$46:$BG$55*CW811 + (1-$BG$46:$BG$55)*CS811), N($AU$46:$AU$55&gt;$AM811))
) / 1000</f>
        <v>0</v>
      </c>
      <c r="CY811" s="234" cm="1">
        <f t="array" ref="CY811">$BM811 * IF($AH811&lt;=2,
SUMPRODUCT(INDEX($AV$22:$AX$60,,$AI811), INDEX($AY$22:$BE$60,,$AH811), 1 / ($BF$22:$BF$60*CW811), N($AU$22:$AU$60&gt;$AM811)),
SUMPRODUCT(INDEX($AV$22:$AX$45,,$AI811), INDEX($AY$22:$BE$45,,$AH811), 1 / ($BG$22:$BG$45*CW811), N($AU$22:$AU$45&gt;$AM811))
) / 1000</f>
        <v>0</v>
      </c>
      <c r="CZ811" s="229">
        <f t="shared" si="846"/>
        <v>0</v>
      </c>
      <c r="DA811" s="246"/>
    </row>
    <row r="812" spans="1:105" s="75" customFormat="1" ht="14.25" customHeight="1" x14ac:dyDescent="0.2">
      <c r="A812" s="230" t="b">
        <f t="shared" si="851"/>
        <v>0</v>
      </c>
      <c r="B812" s="253">
        <v>791</v>
      </c>
      <c r="C812" s="266"/>
      <c r="D812" s="266"/>
      <c r="E812" s="254"/>
      <c r="F812" s="255" t="str">
        <f>IF(ISBLANK(E812), "", VLOOKUP(E812, Z!$A$2:$C$4127, 3, FALSE))</f>
        <v/>
      </c>
      <c r="G812" s="256"/>
      <c r="H812" s="256"/>
      <c r="I812" s="256"/>
      <c r="J812" s="257"/>
      <c r="K812" s="258"/>
      <c r="L812" s="267"/>
      <c r="M812" s="268"/>
      <c r="N812" s="259" t="str" cm="1">
        <f t="array" ref="N812">IF($L812&gt;0, INDEX(Clean,1+AK812,$D$1), "")</f>
        <v/>
      </c>
      <c r="O812" s="260"/>
      <c r="P812" s="260"/>
      <c r="Q812" s="261"/>
      <c r="R812" s="264">
        <f t="shared" si="822"/>
        <v>0</v>
      </c>
      <c r="S812" s="259" t="str" cm="1">
        <f t="array" ref="S812">IF($L812&gt;0, INDEX(Clean,1+AL812,$D$1), "")</f>
        <v/>
      </c>
      <c r="T812" s="260"/>
      <c r="U812" s="260"/>
      <c r="V812" s="261"/>
      <c r="W812" s="267"/>
      <c r="X812" s="267"/>
      <c r="Y812" s="257"/>
      <c r="Z812" s="264">
        <f t="shared" si="823"/>
        <v>0</v>
      </c>
      <c r="AA812" s="269"/>
      <c r="AB812" s="266"/>
      <c r="AC812" s="254"/>
      <c r="AD812" s="255" t="str">
        <f>IF(ISBLANK(AC812), "", VLOOKUP(AC812, Z!$A$2:$C$4127, 3, FALSE))</f>
        <v/>
      </c>
      <c r="AE812" s="270"/>
      <c r="AF812" s="265">
        <f t="shared" si="824"/>
        <v>0</v>
      </c>
      <c r="AG812" s="246"/>
      <c r="AH812" s="228">
        <f t="shared" si="847"/>
        <v>1</v>
      </c>
      <c r="AI812" s="228">
        <f t="shared" si="848"/>
        <v>1</v>
      </c>
      <c r="AJ812" s="228">
        <f t="shared" si="849"/>
        <v>0</v>
      </c>
      <c r="AK812" s="228">
        <v>0</v>
      </c>
      <c r="AL812" s="228">
        <v>0</v>
      </c>
      <c r="AM812" s="228">
        <f t="shared" si="825"/>
        <v>-100</v>
      </c>
      <c r="AN812" s="228" cm="1">
        <f t="array" ref="AN812">IF(ISBLANK(G812), 1, IFERROR(MATCH(G812, INDEX(Kat,,1), 0), IFERROR(MATCH(Kat, INDEX(Use,,2), 0), MATCH(Kat, INDEX(Use,,3), 0))))</f>
        <v>1</v>
      </c>
      <c r="AO812" s="246"/>
      <c r="AP812" s="228" cm="1">
        <f t="array" ref="AP812">IF(W812&gt;0, INDEX(Kat, AN812,4), 0)</f>
        <v>0</v>
      </c>
      <c r="AQ812" s="228">
        <f t="shared" si="850"/>
        <v>0</v>
      </c>
      <c r="AR812" s="228" cm="1">
        <f t="array" ref="AR812">IF(X812&gt;0, INDEX(Kat, $AN812, 4+AQ812), 0)</f>
        <v>0</v>
      </c>
      <c r="AS812" s="228" cm="1">
        <f t="array" ref="AS812">IF(X812&gt;0, INDEX(Kat, $AN812, 9+AQ812), 0)</f>
        <v>0</v>
      </c>
      <c r="AT812" s="246"/>
      <c r="AU812" s="262"/>
      <c r="AV812" s="262"/>
      <c r="AW812" s="263"/>
      <c r="AX812" s="263"/>
      <c r="AY812" s="263"/>
      <c r="AZ812" s="263"/>
      <c r="BA812" s="263"/>
      <c r="BB812" s="263"/>
      <c r="BC812" s="263"/>
      <c r="BD812" s="263"/>
      <c r="BE812" s="263"/>
      <c r="BF812" s="263"/>
      <c r="BG812" s="263"/>
      <c r="BH812" s="246"/>
      <c r="BI812" s="228" cm="1">
        <f t="array" ref="BI812">INDEX(Use, $AH812, 4)</f>
        <v>7</v>
      </c>
      <c r="BJ812" s="228">
        <f t="shared" si="826"/>
        <v>32</v>
      </c>
      <c r="BK812" s="228">
        <f t="shared" si="852"/>
        <v>13</v>
      </c>
      <c r="BL812" s="228">
        <f t="shared" si="853"/>
        <v>0</v>
      </c>
      <c r="BM812" s="233" cm="1">
        <f t="array" ref="BM812">L812/IF($M812&gt;0, INDEX($AY$22:$BE$76, $M812+20, $AH812), 1)</f>
        <v>0</v>
      </c>
      <c r="BN812" s="229">
        <f t="shared" si="827"/>
        <v>0</v>
      </c>
      <c r="BO812" s="228">
        <v>35</v>
      </c>
      <c r="BP812" s="229">
        <f t="shared" si="828"/>
        <v>48</v>
      </c>
      <c r="BQ812" s="234">
        <f t="shared" si="829"/>
        <v>3.0748170731707316</v>
      </c>
      <c r="BR812" s="234" cm="1">
        <f t="array" ref="BR812">$BM812 * SUMPRODUCT(INDEX($AV$76:$AX$81,,$AI812),INDEX($AY$76:$BE$81,,$AH812), N($AU$76:$AU$81&gt;$AM812)) / BQ812 / 1000</f>
        <v>0</v>
      </c>
      <c r="BS812" s="231">
        <f t="shared" si="854"/>
        <v>30</v>
      </c>
      <c r="BT812" s="229">
        <f t="shared" si="830"/>
        <v>43</v>
      </c>
      <c r="BU812" s="234">
        <f t="shared" si="831"/>
        <v>3.5018750000000001</v>
      </c>
      <c r="BV812" s="234" cm="1">
        <f t="array" ref="BV812">$BM812 * IF($AH812&lt;=2,
SUMPRODUCT(INDEX($AV$71:$AX$75,,$AI812), INDEX($AY$71:$BE$75,,$AH812), 1 / ($BF$71:$BF$75*BU812 + (1-$BF$71:$BF$75)*BQ812), N($AU$71:$AU$75&gt;$AM812)),
SUMPRODUCT(INDEX($AV$66:$AX$75,,$AI812), INDEX($AY$66:$BE$75,,$AH812), 1 / ($BG$66:$BG$75*BU812 + (1-$BG$66:$BG$75)*BQ812), N($AU$66:$AU$75&gt;$AM812))
) / 1000</f>
        <v>0</v>
      </c>
      <c r="BW812" s="231">
        <f t="shared" si="855"/>
        <v>25</v>
      </c>
      <c r="BX812" s="229">
        <f t="shared" si="832"/>
        <v>38</v>
      </c>
      <c r="BY812" s="234">
        <f t="shared" si="833"/>
        <v>4.0666935483870965</v>
      </c>
      <c r="BZ812" s="234" cm="1">
        <f t="array" ref="BZ812">$BM812 * IF($AH812&lt;=2,
SUMPRODUCT(INDEX($AV$66:$AX$70,,$AI812), INDEX($AY$66:$BE$70,,$AH812), 1 / ($BF$66:$BF$70*BY812 + (1-$BF$66:$BF$70)*BU812), N($AU$66:$AU$70&gt;$AM812)),
SUMPRODUCT(INDEX($AV$56:$AX$65,,$AI812), INDEX($AY$56:$BE$65,,$AH812), 1 / ($BG$56:$BG$65*BY812 + (1-$BG$56:$BG$65)*BU812), N($AU$56:$AU$65&gt;$AM812))
) / 1000</f>
        <v>0</v>
      </c>
      <c r="CA812" s="231">
        <f t="shared" si="856"/>
        <v>20</v>
      </c>
      <c r="CB812" s="229">
        <f t="shared" si="834"/>
        <v>33</v>
      </c>
      <c r="CC812" s="234">
        <f t="shared" si="835"/>
        <v>4.8487499999999999</v>
      </c>
      <c r="CD812" s="234" cm="1">
        <f t="array" ref="CD812">$BM812 * IF($AH812&lt;=2,
SUMPRODUCT(INDEX($AV$61:$AX$65,,$AI812), INDEX($AY$61:$BE$65,,$AH812), 1 / ($BF$61:$BF$65*CC812 + (1-$BF$61:$BF$65)*BY812), N($AU$61:$AU$65&gt;$AM812)),
SUMPRODUCT(INDEX($AV$46:$AX$55,,$AI812), INDEX($AY$46:$BE$55,,$AH812), 1 / ($BG$46:$BG$55*CC812 + (1-$BG$46:$BG$55)*BY812), N($AU$46:$AU$55&gt;$AM812))
) / 1000</f>
        <v>0</v>
      </c>
      <c r="CE812" s="234" cm="1">
        <f t="array" ref="CE812">$BM812 * IF($AH812&lt;=2,
SUMPRODUCT(INDEX($AV$22:$AX$60,,$AI812), INDEX($AY$22:$BE$60,,$AH812), 1 / ($BF$22:$BF$60*CC812), N($AU$22:$AU$60&gt;$AM812)),
SUMPRODUCT(INDEX($AV$22:$AX$45,,$AI812), INDEX($AY$22:$BE$45,,$AH812), 1 / ($BG$22:$BG$45*CC812), N($AU$22:$AU$45&gt;$AM812))
) / 1000</f>
        <v>0</v>
      </c>
      <c r="CF812" s="229">
        <f t="shared" si="836"/>
        <v>0</v>
      </c>
      <c r="CG812" s="246"/>
      <c r="CH812" s="229">
        <f t="shared" si="837"/>
        <v>0</v>
      </c>
      <c r="CI812" s="228">
        <v>35</v>
      </c>
      <c r="CJ812" s="229">
        <f t="shared" si="838"/>
        <v>48</v>
      </c>
      <c r="CK812" s="234">
        <f t="shared" si="839"/>
        <v>3.0748170731707316</v>
      </c>
      <c r="CL812" s="234" cm="1">
        <f t="array" ref="CL812">$BM812 * SUMPRODUCT(INDEX($AV$76:$AX$81,,$AI812),INDEX($AY$76:$BE$81,,$AH812), N($AU$76:$AU$81&gt;$AM812)) / CK812 / 1000</f>
        <v>0</v>
      </c>
      <c r="CM812" s="231">
        <f t="shared" si="857"/>
        <v>30</v>
      </c>
      <c r="CN812" s="229">
        <f t="shared" si="840"/>
        <v>43</v>
      </c>
      <c r="CO812" s="234">
        <f t="shared" si="841"/>
        <v>3.5018750000000001</v>
      </c>
      <c r="CP812" s="234" cm="1">
        <f t="array" ref="CP812">$BM812 * IF($AH812&lt;=2,
SUMPRODUCT(INDEX($AV$71:$AX$75,,$AI812), INDEX($AY$71:$BE$75,,$AH812), 1 / ($BF$71:$BF$75*CO812 + (1-$BF$71:$BF$75)*CK812), N($AU$71:$AU$75&gt;$AM812)),
SUMPRODUCT(INDEX($AV$66:$AX$75,,$AI812), INDEX($AY$66:$BE$75,,$AH812), 1 / ($BG$66:$BG$75*CO812 + (1-$BG$66:$BG$75)*CK812), N($AU$66:$AU$75&gt;$AM812))
) / 1000</f>
        <v>0</v>
      </c>
      <c r="CQ812" s="231">
        <f t="shared" si="858"/>
        <v>25</v>
      </c>
      <c r="CR812" s="229">
        <f t="shared" si="842"/>
        <v>38</v>
      </c>
      <c r="CS812" s="234">
        <f t="shared" si="843"/>
        <v>4.0666935483870965</v>
      </c>
      <c r="CT812" s="234" cm="1">
        <f t="array" ref="CT812">$BM812 * IF($AH812&lt;=2,
SUMPRODUCT(INDEX($AV$66:$AX$70,,$AI812), INDEX($AY$66:$BE$70,,$AH812), 1 / ($BF$66:$BF$70*CS812 + (1-$BF$66:$BF$70)*CO812), N($AU$66:$AU$70&gt;$AM812)),
SUMPRODUCT(INDEX($AV$56:$AX$65,,$AI812), INDEX($AY$56:$BE$65,,$AH812), 1 / ($BG$56:$BG$65*CS812 + (1-$BG$56:$BG$65)*CO812), N($AU$56:$AU$65&gt;$AM812))
) / 1000</f>
        <v>0</v>
      </c>
      <c r="CU812" s="231">
        <f t="shared" si="859"/>
        <v>20</v>
      </c>
      <c r="CV812" s="229">
        <f t="shared" si="844"/>
        <v>33</v>
      </c>
      <c r="CW812" s="234">
        <f t="shared" si="845"/>
        <v>4.8487499999999999</v>
      </c>
      <c r="CX812" s="234" cm="1">
        <f t="array" ref="CX812">$BM812 * IF($AH812&lt;=2,
SUMPRODUCT(INDEX($AV$61:$AX$65,,$AI812), INDEX($AY$61:$BE$65,,$AH812), 1 / ($BF$61:$BF$65*CW812 + (1-$BF$61:$BF$65)*CS812), N($AU$61:$AU$65&gt;$AM812)),
SUMPRODUCT(INDEX($AV$46:$AX$55,,$AI812), INDEX($AY$46:$BE$55,,$AH812), 1 / ($BG$46:$BG$55*CW812 + (1-$BG$46:$BG$55)*CS812), N($AU$46:$AU$55&gt;$AM812))
) / 1000</f>
        <v>0</v>
      </c>
      <c r="CY812" s="234" cm="1">
        <f t="array" ref="CY812">$BM812 * IF($AH812&lt;=2,
SUMPRODUCT(INDEX($AV$22:$AX$60,,$AI812), INDEX($AY$22:$BE$60,,$AH812), 1 / ($BF$22:$BF$60*CW812), N($AU$22:$AU$60&gt;$AM812)),
SUMPRODUCT(INDEX($AV$22:$AX$45,,$AI812), INDEX($AY$22:$BE$45,,$AH812), 1 / ($BG$22:$BG$45*CW812), N($AU$22:$AU$45&gt;$AM812))
) / 1000</f>
        <v>0</v>
      </c>
      <c r="CZ812" s="229">
        <f t="shared" si="846"/>
        <v>0</v>
      </c>
      <c r="DA812" s="246"/>
    </row>
    <row r="813" spans="1:105" s="75" customFormat="1" ht="14.25" customHeight="1" x14ac:dyDescent="0.2">
      <c r="A813" s="230" t="b">
        <f t="shared" si="851"/>
        <v>0</v>
      </c>
      <c r="B813" s="253">
        <v>792</v>
      </c>
      <c r="C813" s="266"/>
      <c r="D813" s="266"/>
      <c r="E813" s="254"/>
      <c r="F813" s="255" t="str">
        <f>IF(ISBLANK(E813), "", VLOOKUP(E813, Z!$A$2:$C$4127, 3, FALSE))</f>
        <v/>
      </c>
      <c r="G813" s="256"/>
      <c r="H813" s="256"/>
      <c r="I813" s="256"/>
      <c r="J813" s="257"/>
      <c r="K813" s="258"/>
      <c r="L813" s="267"/>
      <c r="M813" s="268"/>
      <c r="N813" s="259" t="str" cm="1">
        <f t="array" ref="N813">IF($L813&gt;0, INDEX(Clean,1+AK813,$D$1), "")</f>
        <v/>
      </c>
      <c r="O813" s="260"/>
      <c r="P813" s="260"/>
      <c r="Q813" s="261"/>
      <c r="R813" s="264">
        <f t="shared" si="822"/>
        <v>0</v>
      </c>
      <c r="S813" s="259" t="str" cm="1">
        <f t="array" ref="S813">IF($L813&gt;0, INDEX(Clean,1+AL813,$D$1), "")</f>
        <v/>
      </c>
      <c r="T813" s="260"/>
      <c r="U813" s="260"/>
      <c r="V813" s="261"/>
      <c r="W813" s="267"/>
      <c r="X813" s="267"/>
      <c r="Y813" s="257"/>
      <c r="Z813" s="264">
        <f t="shared" si="823"/>
        <v>0</v>
      </c>
      <c r="AA813" s="269"/>
      <c r="AB813" s="266"/>
      <c r="AC813" s="254"/>
      <c r="AD813" s="255" t="str">
        <f>IF(ISBLANK(AC813), "", VLOOKUP(AC813, Z!$A$2:$C$4127, 3, FALSE))</f>
        <v/>
      </c>
      <c r="AE813" s="270"/>
      <c r="AF813" s="265">
        <f t="shared" si="824"/>
        <v>0</v>
      </c>
      <c r="AG813" s="246"/>
      <c r="AH813" s="228">
        <f t="shared" si="847"/>
        <v>1</v>
      </c>
      <c r="AI813" s="228">
        <f t="shared" si="848"/>
        <v>1</v>
      </c>
      <c r="AJ813" s="228">
        <f t="shared" si="849"/>
        <v>0</v>
      </c>
      <c r="AK813" s="228">
        <v>0</v>
      </c>
      <c r="AL813" s="228">
        <v>0</v>
      </c>
      <c r="AM813" s="228">
        <f t="shared" si="825"/>
        <v>-100</v>
      </c>
      <c r="AN813" s="228" cm="1">
        <f t="array" ref="AN813">IF(ISBLANK(G813), 1, IFERROR(MATCH(G813, INDEX(Kat,,1), 0), IFERROR(MATCH(Kat, INDEX(Use,,2), 0), MATCH(Kat, INDEX(Use,,3), 0))))</f>
        <v>1</v>
      </c>
      <c r="AO813" s="246"/>
      <c r="AP813" s="228" cm="1">
        <f t="array" ref="AP813">IF(W813&gt;0, INDEX(Kat, AN813,4), 0)</f>
        <v>0</v>
      </c>
      <c r="AQ813" s="228">
        <f t="shared" si="850"/>
        <v>0</v>
      </c>
      <c r="AR813" s="228" cm="1">
        <f t="array" ref="AR813">IF(X813&gt;0, INDEX(Kat, $AN813, 4+AQ813), 0)</f>
        <v>0</v>
      </c>
      <c r="AS813" s="228" cm="1">
        <f t="array" ref="AS813">IF(X813&gt;0, INDEX(Kat, $AN813, 9+AQ813), 0)</f>
        <v>0</v>
      </c>
      <c r="AT813" s="246"/>
      <c r="AU813" s="262"/>
      <c r="AV813" s="262"/>
      <c r="AW813" s="263"/>
      <c r="AX813" s="263"/>
      <c r="AY813" s="263"/>
      <c r="AZ813" s="263"/>
      <c r="BA813" s="263"/>
      <c r="BB813" s="263"/>
      <c r="BC813" s="263"/>
      <c r="BD813" s="263"/>
      <c r="BE813" s="263"/>
      <c r="BF813" s="263"/>
      <c r="BG813" s="263"/>
      <c r="BH813" s="246"/>
      <c r="BI813" s="228" cm="1">
        <f t="array" ref="BI813">INDEX(Use, $AH813, 4)</f>
        <v>7</v>
      </c>
      <c r="BJ813" s="228">
        <f t="shared" si="826"/>
        <v>32</v>
      </c>
      <c r="BK813" s="228">
        <f t="shared" si="852"/>
        <v>13</v>
      </c>
      <c r="BL813" s="228">
        <f t="shared" si="853"/>
        <v>0</v>
      </c>
      <c r="BM813" s="233" cm="1">
        <f t="array" ref="BM813">L813/IF($M813&gt;0, INDEX($AY$22:$BE$76, $M813+20, $AH813), 1)</f>
        <v>0</v>
      </c>
      <c r="BN813" s="229">
        <f t="shared" si="827"/>
        <v>0</v>
      </c>
      <c r="BO813" s="228">
        <v>35</v>
      </c>
      <c r="BP813" s="229">
        <f t="shared" si="828"/>
        <v>48</v>
      </c>
      <c r="BQ813" s="234">
        <f t="shared" si="829"/>
        <v>3.0748170731707316</v>
      </c>
      <c r="BR813" s="234" cm="1">
        <f t="array" ref="BR813">$BM813 * SUMPRODUCT(INDEX($AV$76:$AX$81,,$AI813),INDEX($AY$76:$BE$81,,$AH813), N($AU$76:$AU$81&gt;$AM813)) / BQ813 / 1000</f>
        <v>0</v>
      </c>
      <c r="BS813" s="231">
        <f t="shared" si="854"/>
        <v>30</v>
      </c>
      <c r="BT813" s="229">
        <f t="shared" si="830"/>
        <v>43</v>
      </c>
      <c r="BU813" s="234">
        <f t="shared" si="831"/>
        <v>3.5018750000000001</v>
      </c>
      <c r="BV813" s="234" cm="1">
        <f t="array" ref="BV813">$BM813 * IF($AH813&lt;=2,
SUMPRODUCT(INDEX($AV$71:$AX$75,,$AI813), INDEX($AY$71:$BE$75,,$AH813), 1 / ($BF$71:$BF$75*BU813 + (1-$BF$71:$BF$75)*BQ813), N($AU$71:$AU$75&gt;$AM813)),
SUMPRODUCT(INDEX($AV$66:$AX$75,,$AI813), INDEX($AY$66:$BE$75,,$AH813), 1 / ($BG$66:$BG$75*BU813 + (1-$BG$66:$BG$75)*BQ813), N($AU$66:$AU$75&gt;$AM813))
) / 1000</f>
        <v>0</v>
      </c>
      <c r="BW813" s="231">
        <f t="shared" si="855"/>
        <v>25</v>
      </c>
      <c r="BX813" s="229">
        <f t="shared" si="832"/>
        <v>38</v>
      </c>
      <c r="BY813" s="234">
        <f t="shared" si="833"/>
        <v>4.0666935483870965</v>
      </c>
      <c r="BZ813" s="234" cm="1">
        <f t="array" ref="BZ813">$BM813 * IF($AH813&lt;=2,
SUMPRODUCT(INDEX($AV$66:$AX$70,,$AI813), INDEX($AY$66:$BE$70,,$AH813), 1 / ($BF$66:$BF$70*BY813 + (1-$BF$66:$BF$70)*BU813), N($AU$66:$AU$70&gt;$AM813)),
SUMPRODUCT(INDEX($AV$56:$AX$65,,$AI813), INDEX($AY$56:$BE$65,,$AH813), 1 / ($BG$56:$BG$65*BY813 + (1-$BG$56:$BG$65)*BU813), N($AU$56:$AU$65&gt;$AM813))
) / 1000</f>
        <v>0</v>
      </c>
      <c r="CA813" s="231">
        <f t="shared" si="856"/>
        <v>20</v>
      </c>
      <c r="CB813" s="229">
        <f t="shared" si="834"/>
        <v>33</v>
      </c>
      <c r="CC813" s="234">
        <f t="shared" si="835"/>
        <v>4.8487499999999999</v>
      </c>
      <c r="CD813" s="234" cm="1">
        <f t="array" ref="CD813">$BM813 * IF($AH813&lt;=2,
SUMPRODUCT(INDEX($AV$61:$AX$65,,$AI813), INDEX($AY$61:$BE$65,,$AH813), 1 / ($BF$61:$BF$65*CC813 + (1-$BF$61:$BF$65)*BY813), N($AU$61:$AU$65&gt;$AM813)),
SUMPRODUCT(INDEX($AV$46:$AX$55,,$AI813), INDEX($AY$46:$BE$55,,$AH813), 1 / ($BG$46:$BG$55*CC813 + (1-$BG$46:$BG$55)*BY813), N($AU$46:$AU$55&gt;$AM813))
) / 1000</f>
        <v>0</v>
      </c>
      <c r="CE813" s="234" cm="1">
        <f t="array" ref="CE813">$BM813 * IF($AH813&lt;=2,
SUMPRODUCT(INDEX($AV$22:$AX$60,,$AI813), INDEX($AY$22:$BE$60,,$AH813), 1 / ($BF$22:$BF$60*CC813), N($AU$22:$AU$60&gt;$AM813)),
SUMPRODUCT(INDEX($AV$22:$AX$45,,$AI813), INDEX($AY$22:$BE$45,,$AH813), 1 / ($BG$22:$BG$45*CC813), N($AU$22:$AU$45&gt;$AM813))
) / 1000</f>
        <v>0</v>
      </c>
      <c r="CF813" s="229">
        <f t="shared" si="836"/>
        <v>0</v>
      </c>
      <c r="CG813" s="246"/>
      <c r="CH813" s="229">
        <f t="shared" si="837"/>
        <v>0</v>
      </c>
      <c r="CI813" s="228">
        <v>35</v>
      </c>
      <c r="CJ813" s="229">
        <f t="shared" si="838"/>
        <v>48</v>
      </c>
      <c r="CK813" s="234">
        <f t="shared" si="839"/>
        <v>3.0748170731707316</v>
      </c>
      <c r="CL813" s="234" cm="1">
        <f t="array" ref="CL813">$BM813 * SUMPRODUCT(INDEX($AV$76:$AX$81,,$AI813),INDEX($AY$76:$BE$81,,$AH813), N($AU$76:$AU$81&gt;$AM813)) / CK813 / 1000</f>
        <v>0</v>
      </c>
      <c r="CM813" s="231">
        <f t="shared" si="857"/>
        <v>30</v>
      </c>
      <c r="CN813" s="229">
        <f t="shared" si="840"/>
        <v>43</v>
      </c>
      <c r="CO813" s="234">
        <f t="shared" si="841"/>
        <v>3.5018750000000001</v>
      </c>
      <c r="CP813" s="234" cm="1">
        <f t="array" ref="CP813">$BM813 * IF($AH813&lt;=2,
SUMPRODUCT(INDEX($AV$71:$AX$75,,$AI813), INDEX($AY$71:$BE$75,,$AH813), 1 / ($BF$71:$BF$75*CO813 + (1-$BF$71:$BF$75)*CK813), N($AU$71:$AU$75&gt;$AM813)),
SUMPRODUCT(INDEX($AV$66:$AX$75,,$AI813), INDEX($AY$66:$BE$75,,$AH813), 1 / ($BG$66:$BG$75*CO813 + (1-$BG$66:$BG$75)*CK813), N($AU$66:$AU$75&gt;$AM813))
) / 1000</f>
        <v>0</v>
      </c>
      <c r="CQ813" s="231">
        <f t="shared" si="858"/>
        <v>25</v>
      </c>
      <c r="CR813" s="229">
        <f t="shared" si="842"/>
        <v>38</v>
      </c>
      <c r="CS813" s="234">
        <f t="shared" si="843"/>
        <v>4.0666935483870965</v>
      </c>
      <c r="CT813" s="234" cm="1">
        <f t="array" ref="CT813">$BM813 * IF($AH813&lt;=2,
SUMPRODUCT(INDEX($AV$66:$AX$70,,$AI813), INDEX($AY$66:$BE$70,,$AH813), 1 / ($BF$66:$BF$70*CS813 + (1-$BF$66:$BF$70)*CO813), N($AU$66:$AU$70&gt;$AM813)),
SUMPRODUCT(INDEX($AV$56:$AX$65,,$AI813), INDEX($AY$56:$BE$65,,$AH813), 1 / ($BG$56:$BG$65*CS813 + (1-$BG$56:$BG$65)*CO813), N($AU$56:$AU$65&gt;$AM813))
) / 1000</f>
        <v>0</v>
      </c>
      <c r="CU813" s="231">
        <f t="shared" si="859"/>
        <v>20</v>
      </c>
      <c r="CV813" s="229">
        <f t="shared" si="844"/>
        <v>33</v>
      </c>
      <c r="CW813" s="234">
        <f t="shared" si="845"/>
        <v>4.8487499999999999</v>
      </c>
      <c r="CX813" s="234" cm="1">
        <f t="array" ref="CX813">$BM813 * IF($AH813&lt;=2,
SUMPRODUCT(INDEX($AV$61:$AX$65,,$AI813), INDEX($AY$61:$BE$65,,$AH813), 1 / ($BF$61:$BF$65*CW813 + (1-$BF$61:$BF$65)*CS813), N($AU$61:$AU$65&gt;$AM813)),
SUMPRODUCT(INDEX($AV$46:$AX$55,,$AI813), INDEX($AY$46:$BE$55,,$AH813), 1 / ($BG$46:$BG$55*CW813 + (1-$BG$46:$BG$55)*CS813), N($AU$46:$AU$55&gt;$AM813))
) / 1000</f>
        <v>0</v>
      </c>
      <c r="CY813" s="234" cm="1">
        <f t="array" ref="CY813">$BM813 * IF($AH813&lt;=2,
SUMPRODUCT(INDEX($AV$22:$AX$60,,$AI813), INDEX($AY$22:$BE$60,,$AH813), 1 / ($BF$22:$BF$60*CW813), N($AU$22:$AU$60&gt;$AM813)),
SUMPRODUCT(INDEX($AV$22:$AX$45,,$AI813), INDEX($AY$22:$BE$45,,$AH813), 1 / ($BG$22:$BG$45*CW813), N($AU$22:$AU$45&gt;$AM813))
) / 1000</f>
        <v>0</v>
      </c>
      <c r="CZ813" s="229">
        <f t="shared" si="846"/>
        <v>0</v>
      </c>
      <c r="DA813" s="246"/>
    </row>
    <row r="814" spans="1:105" s="75" customFormat="1" ht="14.25" customHeight="1" x14ac:dyDescent="0.2">
      <c r="A814" s="230" t="b">
        <f t="shared" si="851"/>
        <v>0</v>
      </c>
      <c r="B814" s="253">
        <v>793</v>
      </c>
      <c r="C814" s="266"/>
      <c r="D814" s="266"/>
      <c r="E814" s="254"/>
      <c r="F814" s="255" t="str">
        <f>IF(ISBLANK(E814), "", VLOOKUP(E814, Z!$A$2:$C$4127, 3, FALSE))</f>
        <v/>
      </c>
      <c r="G814" s="256"/>
      <c r="H814" s="256"/>
      <c r="I814" s="256"/>
      <c r="J814" s="257"/>
      <c r="K814" s="258"/>
      <c r="L814" s="267"/>
      <c r="M814" s="268"/>
      <c r="N814" s="259" t="str" cm="1">
        <f t="array" ref="N814">IF($L814&gt;0, INDEX(Clean,1+AK814,$D$1), "")</f>
        <v/>
      </c>
      <c r="O814" s="260"/>
      <c r="P814" s="260"/>
      <c r="Q814" s="261"/>
      <c r="R814" s="264">
        <f t="shared" si="822"/>
        <v>0</v>
      </c>
      <c r="S814" s="259" t="str" cm="1">
        <f t="array" ref="S814">IF($L814&gt;0, INDEX(Clean,1+AL814,$D$1), "")</f>
        <v/>
      </c>
      <c r="T814" s="260"/>
      <c r="U814" s="260"/>
      <c r="V814" s="261"/>
      <c r="W814" s="267"/>
      <c r="X814" s="267"/>
      <c r="Y814" s="257"/>
      <c r="Z814" s="264">
        <f t="shared" si="823"/>
        <v>0</v>
      </c>
      <c r="AA814" s="269"/>
      <c r="AB814" s="266"/>
      <c r="AC814" s="254"/>
      <c r="AD814" s="255" t="str">
        <f>IF(ISBLANK(AC814), "", VLOOKUP(AC814, Z!$A$2:$C$4127, 3, FALSE))</f>
        <v/>
      </c>
      <c r="AE814" s="270"/>
      <c r="AF814" s="265">
        <f t="shared" si="824"/>
        <v>0</v>
      </c>
      <c r="AG814" s="246"/>
      <c r="AH814" s="228">
        <f t="shared" si="847"/>
        <v>1</v>
      </c>
      <c r="AI814" s="228">
        <f t="shared" si="848"/>
        <v>1</v>
      </c>
      <c r="AJ814" s="228">
        <f t="shared" si="849"/>
        <v>0</v>
      </c>
      <c r="AK814" s="228">
        <v>0</v>
      </c>
      <c r="AL814" s="228">
        <v>0</v>
      </c>
      <c r="AM814" s="228">
        <f t="shared" si="825"/>
        <v>-100</v>
      </c>
      <c r="AN814" s="228" cm="1">
        <f t="array" ref="AN814">IF(ISBLANK(G814), 1, IFERROR(MATCH(G814, INDEX(Kat,,1), 0), IFERROR(MATCH(Kat, INDEX(Use,,2), 0), MATCH(Kat, INDEX(Use,,3), 0))))</f>
        <v>1</v>
      </c>
      <c r="AO814" s="246"/>
      <c r="AP814" s="228" cm="1">
        <f t="array" ref="AP814">IF(W814&gt;0, INDEX(Kat, AN814,4), 0)</f>
        <v>0</v>
      </c>
      <c r="AQ814" s="228">
        <f t="shared" si="850"/>
        <v>0</v>
      </c>
      <c r="AR814" s="228" cm="1">
        <f t="array" ref="AR814">IF(X814&gt;0, INDEX(Kat, $AN814, 4+AQ814), 0)</f>
        <v>0</v>
      </c>
      <c r="AS814" s="228" cm="1">
        <f t="array" ref="AS814">IF(X814&gt;0, INDEX(Kat, $AN814, 9+AQ814), 0)</f>
        <v>0</v>
      </c>
      <c r="AT814" s="246"/>
      <c r="AU814" s="262"/>
      <c r="AV814" s="262"/>
      <c r="AW814" s="263"/>
      <c r="AX814" s="263"/>
      <c r="AY814" s="263"/>
      <c r="AZ814" s="263"/>
      <c r="BA814" s="263"/>
      <c r="BB814" s="263"/>
      <c r="BC814" s="263"/>
      <c r="BD814" s="263"/>
      <c r="BE814" s="263"/>
      <c r="BF814" s="263"/>
      <c r="BG814" s="263"/>
      <c r="BH814" s="246"/>
      <c r="BI814" s="228" cm="1">
        <f t="array" ref="BI814">INDEX(Use, $AH814, 4)</f>
        <v>7</v>
      </c>
      <c r="BJ814" s="228">
        <f t="shared" si="826"/>
        <v>32</v>
      </c>
      <c r="BK814" s="228">
        <f t="shared" si="852"/>
        <v>13</v>
      </c>
      <c r="BL814" s="228">
        <f t="shared" si="853"/>
        <v>0</v>
      </c>
      <c r="BM814" s="233" cm="1">
        <f t="array" ref="BM814">L814/IF($M814&gt;0, INDEX($AY$22:$BE$76, $M814+20, $AH814), 1)</f>
        <v>0</v>
      </c>
      <c r="BN814" s="229">
        <f t="shared" si="827"/>
        <v>0</v>
      </c>
      <c r="BO814" s="228">
        <v>35</v>
      </c>
      <c r="BP814" s="229">
        <f t="shared" si="828"/>
        <v>48</v>
      </c>
      <c r="BQ814" s="234">
        <f t="shared" si="829"/>
        <v>3.0748170731707316</v>
      </c>
      <c r="BR814" s="234" cm="1">
        <f t="array" ref="BR814">$BM814 * SUMPRODUCT(INDEX($AV$76:$AX$81,,$AI814),INDEX($AY$76:$BE$81,,$AH814), N($AU$76:$AU$81&gt;$AM814)) / BQ814 / 1000</f>
        <v>0</v>
      </c>
      <c r="BS814" s="231">
        <f t="shared" si="854"/>
        <v>30</v>
      </c>
      <c r="BT814" s="229">
        <f t="shared" si="830"/>
        <v>43</v>
      </c>
      <c r="BU814" s="234">
        <f t="shared" si="831"/>
        <v>3.5018750000000001</v>
      </c>
      <c r="BV814" s="234" cm="1">
        <f t="array" ref="BV814">$BM814 * IF($AH814&lt;=2,
SUMPRODUCT(INDEX($AV$71:$AX$75,,$AI814), INDEX($AY$71:$BE$75,,$AH814), 1 / ($BF$71:$BF$75*BU814 + (1-$BF$71:$BF$75)*BQ814), N($AU$71:$AU$75&gt;$AM814)),
SUMPRODUCT(INDEX($AV$66:$AX$75,,$AI814), INDEX($AY$66:$BE$75,,$AH814), 1 / ($BG$66:$BG$75*BU814 + (1-$BG$66:$BG$75)*BQ814), N($AU$66:$AU$75&gt;$AM814))
) / 1000</f>
        <v>0</v>
      </c>
      <c r="BW814" s="231">
        <f t="shared" si="855"/>
        <v>25</v>
      </c>
      <c r="BX814" s="229">
        <f t="shared" si="832"/>
        <v>38</v>
      </c>
      <c r="BY814" s="234">
        <f t="shared" si="833"/>
        <v>4.0666935483870965</v>
      </c>
      <c r="BZ814" s="234" cm="1">
        <f t="array" ref="BZ814">$BM814 * IF($AH814&lt;=2,
SUMPRODUCT(INDEX($AV$66:$AX$70,,$AI814), INDEX($AY$66:$BE$70,,$AH814), 1 / ($BF$66:$BF$70*BY814 + (1-$BF$66:$BF$70)*BU814), N($AU$66:$AU$70&gt;$AM814)),
SUMPRODUCT(INDEX($AV$56:$AX$65,,$AI814), INDEX($AY$56:$BE$65,,$AH814), 1 / ($BG$56:$BG$65*BY814 + (1-$BG$56:$BG$65)*BU814), N($AU$56:$AU$65&gt;$AM814))
) / 1000</f>
        <v>0</v>
      </c>
      <c r="CA814" s="231">
        <f t="shared" si="856"/>
        <v>20</v>
      </c>
      <c r="CB814" s="229">
        <f t="shared" si="834"/>
        <v>33</v>
      </c>
      <c r="CC814" s="234">
        <f t="shared" si="835"/>
        <v>4.8487499999999999</v>
      </c>
      <c r="CD814" s="234" cm="1">
        <f t="array" ref="CD814">$BM814 * IF($AH814&lt;=2,
SUMPRODUCT(INDEX($AV$61:$AX$65,,$AI814), INDEX($AY$61:$BE$65,,$AH814), 1 / ($BF$61:$BF$65*CC814 + (1-$BF$61:$BF$65)*BY814), N($AU$61:$AU$65&gt;$AM814)),
SUMPRODUCT(INDEX($AV$46:$AX$55,,$AI814), INDEX($AY$46:$BE$55,,$AH814), 1 / ($BG$46:$BG$55*CC814 + (1-$BG$46:$BG$55)*BY814), N($AU$46:$AU$55&gt;$AM814))
) / 1000</f>
        <v>0</v>
      </c>
      <c r="CE814" s="234" cm="1">
        <f t="array" ref="CE814">$BM814 * IF($AH814&lt;=2,
SUMPRODUCT(INDEX($AV$22:$AX$60,,$AI814), INDEX($AY$22:$BE$60,,$AH814), 1 / ($BF$22:$BF$60*CC814), N($AU$22:$AU$60&gt;$AM814)),
SUMPRODUCT(INDEX($AV$22:$AX$45,,$AI814), INDEX($AY$22:$BE$45,,$AH814), 1 / ($BG$22:$BG$45*CC814), N($AU$22:$AU$45&gt;$AM814))
) / 1000</f>
        <v>0</v>
      </c>
      <c r="CF814" s="229">
        <f t="shared" si="836"/>
        <v>0</v>
      </c>
      <c r="CG814" s="246"/>
      <c r="CH814" s="229">
        <f t="shared" si="837"/>
        <v>0</v>
      </c>
      <c r="CI814" s="228">
        <v>35</v>
      </c>
      <c r="CJ814" s="229">
        <f t="shared" si="838"/>
        <v>48</v>
      </c>
      <c r="CK814" s="234">
        <f t="shared" si="839"/>
        <v>3.0748170731707316</v>
      </c>
      <c r="CL814" s="234" cm="1">
        <f t="array" ref="CL814">$BM814 * SUMPRODUCT(INDEX($AV$76:$AX$81,,$AI814),INDEX($AY$76:$BE$81,,$AH814), N($AU$76:$AU$81&gt;$AM814)) / CK814 / 1000</f>
        <v>0</v>
      </c>
      <c r="CM814" s="231">
        <f t="shared" si="857"/>
        <v>30</v>
      </c>
      <c r="CN814" s="229">
        <f t="shared" si="840"/>
        <v>43</v>
      </c>
      <c r="CO814" s="234">
        <f t="shared" si="841"/>
        <v>3.5018750000000001</v>
      </c>
      <c r="CP814" s="234" cm="1">
        <f t="array" ref="CP814">$BM814 * IF($AH814&lt;=2,
SUMPRODUCT(INDEX($AV$71:$AX$75,,$AI814), INDEX($AY$71:$BE$75,,$AH814), 1 / ($BF$71:$BF$75*CO814 + (1-$BF$71:$BF$75)*CK814), N($AU$71:$AU$75&gt;$AM814)),
SUMPRODUCT(INDEX($AV$66:$AX$75,,$AI814), INDEX($AY$66:$BE$75,,$AH814), 1 / ($BG$66:$BG$75*CO814 + (1-$BG$66:$BG$75)*CK814), N($AU$66:$AU$75&gt;$AM814))
) / 1000</f>
        <v>0</v>
      </c>
      <c r="CQ814" s="231">
        <f t="shared" si="858"/>
        <v>25</v>
      </c>
      <c r="CR814" s="229">
        <f t="shared" si="842"/>
        <v>38</v>
      </c>
      <c r="CS814" s="234">
        <f t="shared" si="843"/>
        <v>4.0666935483870965</v>
      </c>
      <c r="CT814" s="234" cm="1">
        <f t="array" ref="CT814">$BM814 * IF($AH814&lt;=2,
SUMPRODUCT(INDEX($AV$66:$AX$70,,$AI814), INDEX($AY$66:$BE$70,,$AH814), 1 / ($BF$66:$BF$70*CS814 + (1-$BF$66:$BF$70)*CO814), N($AU$66:$AU$70&gt;$AM814)),
SUMPRODUCT(INDEX($AV$56:$AX$65,,$AI814), INDEX($AY$56:$BE$65,,$AH814), 1 / ($BG$56:$BG$65*CS814 + (1-$BG$56:$BG$65)*CO814), N($AU$56:$AU$65&gt;$AM814))
) / 1000</f>
        <v>0</v>
      </c>
      <c r="CU814" s="231">
        <f t="shared" si="859"/>
        <v>20</v>
      </c>
      <c r="CV814" s="229">
        <f t="shared" si="844"/>
        <v>33</v>
      </c>
      <c r="CW814" s="234">
        <f t="shared" si="845"/>
        <v>4.8487499999999999</v>
      </c>
      <c r="CX814" s="234" cm="1">
        <f t="array" ref="CX814">$BM814 * IF($AH814&lt;=2,
SUMPRODUCT(INDEX($AV$61:$AX$65,,$AI814), INDEX($AY$61:$BE$65,,$AH814), 1 / ($BF$61:$BF$65*CW814 + (1-$BF$61:$BF$65)*CS814), N($AU$61:$AU$65&gt;$AM814)),
SUMPRODUCT(INDEX($AV$46:$AX$55,,$AI814), INDEX($AY$46:$BE$55,,$AH814), 1 / ($BG$46:$BG$55*CW814 + (1-$BG$46:$BG$55)*CS814), N($AU$46:$AU$55&gt;$AM814))
) / 1000</f>
        <v>0</v>
      </c>
      <c r="CY814" s="234" cm="1">
        <f t="array" ref="CY814">$BM814 * IF($AH814&lt;=2,
SUMPRODUCT(INDEX($AV$22:$AX$60,,$AI814), INDEX($AY$22:$BE$60,,$AH814), 1 / ($BF$22:$BF$60*CW814), N($AU$22:$AU$60&gt;$AM814)),
SUMPRODUCT(INDEX($AV$22:$AX$45,,$AI814), INDEX($AY$22:$BE$45,,$AH814), 1 / ($BG$22:$BG$45*CW814), N($AU$22:$AU$45&gt;$AM814))
) / 1000</f>
        <v>0</v>
      </c>
      <c r="CZ814" s="229">
        <f t="shared" si="846"/>
        <v>0</v>
      </c>
      <c r="DA814" s="246"/>
    </row>
    <row r="815" spans="1:105" s="75" customFormat="1" ht="14.25" customHeight="1" x14ac:dyDescent="0.2">
      <c r="A815" s="230" t="b">
        <f t="shared" si="851"/>
        <v>0</v>
      </c>
      <c r="B815" s="253">
        <v>794</v>
      </c>
      <c r="C815" s="266"/>
      <c r="D815" s="266"/>
      <c r="E815" s="254"/>
      <c r="F815" s="255" t="str">
        <f>IF(ISBLANK(E815), "", VLOOKUP(E815, Z!$A$2:$C$4127, 3, FALSE))</f>
        <v/>
      </c>
      <c r="G815" s="256"/>
      <c r="H815" s="256"/>
      <c r="I815" s="256"/>
      <c r="J815" s="257"/>
      <c r="K815" s="258"/>
      <c r="L815" s="267"/>
      <c r="M815" s="268"/>
      <c r="N815" s="259" t="str" cm="1">
        <f t="array" ref="N815">IF($L815&gt;0, INDEX(Clean,1+AK815,$D$1), "")</f>
        <v/>
      </c>
      <c r="O815" s="260"/>
      <c r="P815" s="260"/>
      <c r="Q815" s="261"/>
      <c r="R815" s="264">
        <f t="shared" si="822"/>
        <v>0</v>
      </c>
      <c r="S815" s="259" t="str" cm="1">
        <f t="array" ref="S815">IF($L815&gt;0, INDEX(Clean,1+AL815,$D$1), "")</f>
        <v/>
      </c>
      <c r="T815" s="260"/>
      <c r="U815" s="260"/>
      <c r="V815" s="261"/>
      <c r="W815" s="267"/>
      <c r="X815" s="267"/>
      <c r="Y815" s="257"/>
      <c r="Z815" s="264">
        <f t="shared" si="823"/>
        <v>0</v>
      </c>
      <c r="AA815" s="269"/>
      <c r="AB815" s="266"/>
      <c r="AC815" s="254"/>
      <c r="AD815" s="255" t="str">
        <f>IF(ISBLANK(AC815), "", VLOOKUP(AC815, Z!$A$2:$C$4127, 3, FALSE))</f>
        <v/>
      </c>
      <c r="AE815" s="270"/>
      <c r="AF815" s="265">
        <f t="shared" si="824"/>
        <v>0</v>
      </c>
      <c r="AG815" s="246"/>
      <c r="AH815" s="228">
        <f t="shared" si="847"/>
        <v>1</v>
      </c>
      <c r="AI815" s="228">
        <f t="shared" si="848"/>
        <v>1</v>
      </c>
      <c r="AJ815" s="228">
        <f t="shared" si="849"/>
        <v>0</v>
      </c>
      <c r="AK815" s="228">
        <v>0</v>
      </c>
      <c r="AL815" s="228">
        <v>0</v>
      </c>
      <c r="AM815" s="228">
        <f t="shared" si="825"/>
        <v>-100</v>
      </c>
      <c r="AN815" s="228" cm="1">
        <f t="array" ref="AN815">IF(ISBLANK(G815), 1, IFERROR(MATCH(G815, INDEX(Kat,,1), 0), IFERROR(MATCH(Kat, INDEX(Use,,2), 0), MATCH(Kat, INDEX(Use,,3), 0))))</f>
        <v>1</v>
      </c>
      <c r="AO815" s="246"/>
      <c r="AP815" s="228" cm="1">
        <f t="array" ref="AP815">IF(W815&gt;0, INDEX(Kat, AN815,4), 0)</f>
        <v>0</v>
      </c>
      <c r="AQ815" s="228">
        <f t="shared" si="850"/>
        <v>0</v>
      </c>
      <c r="AR815" s="228" cm="1">
        <f t="array" ref="AR815">IF(X815&gt;0, INDEX(Kat, $AN815, 4+AQ815), 0)</f>
        <v>0</v>
      </c>
      <c r="AS815" s="228" cm="1">
        <f t="array" ref="AS815">IF(X815&gt;0, INDEX(Kat, $AN815, 9+AQ815), 0)</f>
        <v>0</v>
      </c>
      <c r="AT815" s="246"/>
      <c r="AU815" s="262"/>
      <c r="AV815" s="262"/>
      <c r="AW815" s="263"/>
      <c r="AX815" s="263"/>
      <c r="AY815" s="263"/>
      <c r="AZ815" s="263"/>
      <c r="BA815" s="263"/>
      <c r="BB815" s="263"/>
      <c r="BC815" s="263"/>
      <c r="BD815" s="263"/>
      <c r="BE815" s="263"/>
      <c r="BF815" s="263"/>
      <c r="BG815" s="263"/>
      <c r="BH815" s="246"/>
      <c r="BI815" s="228" cm="1">
        <f t="array" ref="BI815">INDEX(Use, $AH815, 4)</f>
        <v>7</v>
      </c>
      <c r="BJ815" s="228">
        <f t="shared" si="826"/>
        <v>32</v>
      </c>
      <c r="BK815" s="228">
        <f t="shared" si="852"/>
        <v>13</v>
      </c>
      <c r="BL815" s="228">
        <f t="shared" si="853"/>
        <v>0</v>
      </c>
      <c r="BM815" s="233" cm="1">
        <f t="array" ref="BM815">L815/IF($M815&gt;0, INDEX($AY$22:$BE$76, $M815+20, $AH815), 1)</f>
        <v>0</v>
      </c>
      <c r="BN815" s="229">
        <f t="shared" si="827"/>
        <v>0</v>
      </c>
      <c r="BO815" s="228">
        <v>35</v>
      </c>
      <c r="BP815" s="229">
        <f t="shared" si="828"/>
        <v>48</v>
      </c>
      <c r="BQ815" s="234">
        <f t="shared" si="829"/>
        <v>3.0748170731707316</v>
      </c>
      <c r="BR815" s="234" cm="1">
        <f t="array" ref="BR815">$BM815 * SUMPRODUCT(INDEX($AV$76:$AX$81,,$AI815),INDEX($AY$76:$BE$81,,$AH815), N($AU$76:$AU$81&gt;$AM815)) / BQ815 / 1000</f>
        <v>0</v>
      </c>
      <c r="BS815" s="231">
        <f t="shared" si="854"/>
        <v>30</v>
      </c>
      <c r="BT815" s="229">
        <f t="shared" si="830"/>
        <v>43</v>
      </c>
      <c r="BU815" s="234">
        <f t="shared" si="831"/>
        <v>3.5018750000000001</v>
      </c>
      <c r="BV815" s="234" cm="1">
        <f t="array" ref="BV815">$BM815 * IF($AH815&lt;=2,
SUMPRODUCT(INDEX($AV$71:$AX$75,,$AI815), INDEX($AY$71:$BE$75,,$AH815), 1 / ($BF$71:$BF$75*BU815 + (1-$BF$71:$BF$75)*BQ815), N($AU$71:$AU$75&gt;$AM815)),
SUMPRODUCT(INDEX($AV$66:$AX$75,,$AI815), INDEX($AY$66:$BE$75,,$AH815), 1 / ($BG$66:$BG$75*BU815 + (1-$BG$66:$BG$75)*BQ815), N($AU$66:$AU$75&gt;$AM815))
) / 1000</f>
        <v>0</v>
      </c>
      <c r="BW815" s="231">
        <f t="shared" si="855"/>
        <v>25</v>
      </c>
      <c r="BX815" s="229">
        <f t="shared" si="832"/>
        <v>38</v>
      </c>
      <c r="BY815" s="234">
        <f t="shared" si="833"/>
        <v>4.0666935483870965</v>
      </c>
      <c r="BZ815" s="234" cm="1">
        <f t="array" ref="BZ815">$BM815 * IF($AH815&lt;=2,
SUMPRODUCT(INDEX($AV$66:$AX$70,,$AI815), INDEX($AY$66:$BE$70,,$AH815), 1 / ($BF$66:$BF$70*BY815 + (1-$BF$66:$BF$70)*BU815), N($AU$66:$AU$70&gt;$AM815)),
SUMPRODUCT(INDEX($AV$56:$AX$65,,$AI815), INDEX($AY$56:$BE$65,,$AH815), 1 / ($BG$56:$BG$65*BY815 + (1-$BG$56:$BG$65)*BU815), N($AU$56:$AU$65&gt;$AM815))
) / 1000</f>
        <v>0</v>
      </c>
      <c r="CA815" s="231">
        <f t="shared" si="856"/>
        <v>20</v>
      </c>
      <c r="CB815" s="229">
        <f t="shared" si="834"/>
        <v>33</v>
      </c>
      <c r="CC815" s="234">
        <f t="shared" si="835"/>
        <v>4.8487499999999999</v>
      </c>
      <c r="CD815" s="234" cm="1">
        <f t="array" ref="CD815">$BM815 * IF($AH815&lt;=2,
SUMPRODUCT(INDEX($AV$61:$AX$65,,$AI815), INDEX($AY$61:$BE$65,,$AH815), 1 / ($BF$61:$BF$65*CC815 + (1-$BF$61:$BF$65)*BY815), N($AU$61:$AU$65&gt;$AM815)),
SUMPRODUCT(INDEX($AV$46:$AX$55,,$AI815), INDEX($AY$46:$BE$55,,$AH815), 1 / ($BG$46:$BG$55*CC815 + (1-$BG$46:$BG$55)*BY815), N($AU$46:$AU$55&gt;$AM815))
) / 1000</f>
        <v>0</v>
      </c>
      <c r="CE815" s="234" cm="1">
        <f t="array" ref="CE815">$BM815 * IF($AH815&lt;=2,
SUMPRODUCT(INDEX($AV$22:$AX$60,,$AI815), INDEX($AY$22:$BE$60,,$AH815), 1 / ($BF$22:$BF$60*CC815), N($AU$22:$AU$60&gt;$AM815)),
SUMPRODUCT(INDEX($AV$22:$AX$45,,$AI815), INDEX($AY$22:$BE$45,,$AH815), 1 / ($BG$22:$BG$45*CC815), N($AU$22:$AU$45&gt;$AM815))
) / 1000</f>
        <v>0</v>
      </c>
      <c r="CF815" s="229">
        <f t="shared" si="836"/>
        <v>0</v>
      </c>
      <c r="CG815" s="246"/>
      <c r="CH815" s="229">
        <f t="shared" si="837"/>
        <v>0</v>
      </c>
      <c r="CI815" s="228">
        <v>35</v>
      </c>
      <c r="CJ815" s="229">
        <f t="shared" si="838"/>
        <v>48</v>
      </c>
      <c r="CK815" s="234">
        <f t="shared" si="839"/>
        <v>3.0748170731707316</v>
      </c>
      <c r="CL815" s="234" cm="1">
        <f t="array" ref="CL815">$BM815 * SUMPRODUCT(INDEX($AV$76:$AX$81,,$AI815),INDEX($AY$76:$BE$81,,$AH815), N($AU$76:$AU$81&gt;$AM815)) / CK815 / 1000</f>
        <v>0</v>
      </c>
      <c r="CM815" s="231">
        <f t="shared" si="857"/>
        <v>30</v>
      </c>
      <c r="CN815" s="229">
        <f t="shared" si="840"/>
        <v>43</v>
      </c>
      <c r="CO815" s="234">
        <f t="shared" si="841"/>
        <v>3.5018750000000001</v>
      </c>
      <c r="CP815" s="234" cm="1">
        <f t="array" ref="CP815">$BM815 * IF($AH815&lt;=2,
SUMPRODUCT(INDEX($AV$71:$AX$75,,$AI815), INDEX($AY$71:$BE$75,,$AH815), 1 / ($BF$71:$BF$75*CO815 + (1-$BF$71:$BF$75)*CK815), N($AU$71:$AU$75&gt;$AM815)),
SUMPRODUCT(INDEX($AV$66:$AX$75,,$AI815), INDEX($AY$66:$BE$75,,$AH815), 1 / ($BG$66:$BG$75*CO815 + (1-$BG$66:$BG$75)*CK815), N($AU$66:$AU$75&gt;$AM815))
) / 1000</f>
        <v>0</v>
      </c>
      <c r="CQ815" s="231">
        <f t="shared" si="858"/>
        <v>25</v>
      </c>
      <c r="CR815" s="229">
        <f t="shared" si="842"/>
        <v>38</v>
      </c>
      <c r="CS815" s="234">
        <f t="shared" si="843"/>
        <v>4.0666935483870965</v>
      </c>
      <c r="CT815" s="234" cm="1">
        <f t="array" ref="CT815">$BM815 * IF($AH815&lt;=2,
SUMPRODUCT(INDEX($AV$66:$AX$70,,$AI815), INDEX($AY$66:$BE$70,,$AH815), 1 / ($BF$66:$BF$70*CS815 + (1-$BF$66:$BF$70)*CO815), N($AU$66:$AU$70&gt;$AM815)),
SUMPRODUCT(INDEX($AV$56:$AX$65,,$AI815), INDEX($AY$56:$BE$65,,$AH815), 1 / ($BG$56:$BG$65*CS815 + (1-$BG$56:$BG$65)*CO815), N($AU$56:$AU$65&gt;$AM815))
) / 1000</f>
        <v>0</v>
      </c>
      <c r="CU815" s="231">
        <f t="shared" si="859"/>
        <v>20</v>
      </c>
      <c r="CV815" s="229">
        <f t="shared" si="844"/>
        <v>33</v>
      </c>
      <c r="CW815" s="234">
        <f t="shared" si="845"/>
        <v>4.8487499999999999</v>
      </c>
      <c r="CX815" s="234" cm="1">
        <f t="array" ref="CX815">$BM815 * IF($AH815&lt;=2,
SUMPRODUCT(INDEX($AV$61:$AX$65,,$AI815), INDEX($AY$61:$BE$65,,$AH815), 1 / ($BF$61:$BF$65*CW815 + (1-$BF$61:$BF$65)*CS815), N($AU$61:$AU$65&gt;$AM815)),
SUMPRODUCT(INDEX($AV$46:$AX$55,,$AI815), INDEX($AY$46:$BE$55,,$AH815), 1 / ($BG$46:$BG$55*CW815 + (1-$BG$46:$BG$55)*CS815), N($AU$46:$AU$55&gt;$AM815))
) / 1000</f>
        <v>0</v>
      </c>
      <c r="CY815" s="234" cm="1">
        <f t="array" ref="CY815">$BM815 * IF($AH815&lt;=2,
SUMPRODUCT(INDEX($AV$22:$AX$60,,$AI815), INDEX($AY$22:$BE$60,,$AH815), 1 / ($BF$22:$BF$60*CW815), N($AU$22:$AU$60&gt;$AM815)),
SUMPRODUCT(INDEX($AV$22:$AX$45,,$AI815), INDEX($AY$22:$BE$45,,$AH815), 1 / ($BG$22:$BG$45*CW815), N($AU$22:$AU$45&gt;$AM815))
) / 1000</f>
        <v>0</v>
      </c>
      <c r="CZ815" s="229">
        <f t="shared" si="846"/>
        <v>0</v>
      </c>
      <c r="DA815" s="246"/>
    </row>
    <row r="816" spans="1:105" s="75" customFormat="1" ht="14.25" customHeight="1" x14ac:dyDescent="0.2">
      <c r="A816" s="230" t="b">
        <f t="shared" si="851"/>
        <v>0</v>
      </c>
      <c r="B816" s="253">
        <v>795</v>
      </c>
      <c r="C816" s="266"/>
      <c r="D816" s="266"/>
      <c r="E816" s="254"/>
      <c r="F816" s="255" t="str">
        <f>IF(ISBLANK(E816), "", VLOOKUP(E816, Z!$A$2:$C$4127, 3, FALSE))</f>
        <v/>
      </c>
      <c r="G816" s="256"/>
      <c r="H816" s="256"/>
      <c r="I816" s="256"/>
      <c r="J816" s="257"/>
      <c r="K816" s="258"/>
      <c r="L816" s="267"/>
      <c r="M816" s="268"/>
      <c r="N816" s="259" t="str" cm="1">
        <f t="array" ref="N816">IF($L816&gt;0, INDEX(Clean,1+AK816,$D$1), "")</f>
        <v/>
      </c>
      <c r="O816" s="260"/>
      <c r="P816" s="260"/>
      <c r="Q816" s="261"/>
      <c r="R816" s="264">
        <f t="shared" si="822"/>
        <v>0</v>
      </c>
      <c r="S816" s="259" t="str" cm="1">
        <f t="array" ref="S816">IF($L816&gt;0, INDEX(Clean,1+AL816,$D$1), "")</f>
        <v/>
      </c>
      <c r="T816" s="260"/>
      <c r="U816" s="260"/>
      <c r="V816" s="261"/>
      <c r="W816" s="267"/>
      <c r="X816" s="267"/>
      <c r="Y816" s="257"/>
      <c r="Z816" s="264">
        <f t="shared" si="823"/>
        <v>0</v>
      </c>
      <c r="AA816" s="269"/>
      <c r="AB816" s="266"/>
      <c r="AC816" s="254"/>
      <c r="AD816" s="255" t="str">
        <f>IF(ISBLANK(AC816), "", VLOOKUP(AC816, Z!$A$2:$C$4127, 3, FALSE))</f>
        <v/>
      </c>
      <c r="AE816" s="270"/>
      <c r="AF816" s="265">
        <f t="shared" si="824"/>
        <v>0</v>
      </c>
      <c r="AG816" s="246"/>
      <c r="AH816" s="228">
        <f t="shared" si="847"/>
        <v>1</v>
      </c>
      <c r="AI816" s="228">
        <f t="shared" si="848"/>
        <v>1</v>
      </c>
      <c r="AJ816" s="228">
        <f t="shared" si="849"/>
        <v>0</v>
      </c>
      <c r="AK816" s="228">
        <v>0</v>
      </c>
      <c r="AL816" s="228">
        <v>0</v>
      </c>
      <c r="AM816" s="228">
        <f t="shared" si="825"/>
        <v>-100</v>
      </c>
      <c r="AN816" s="228" cm="1">
        <f t="array" ref="AN816">IF(ISBLANK(G816), 1, IFERROR(MATCH(G816, INDEX(Kat,,1), 0), IFERROR(MATCH(Kat, INDEX(Use,,2), 0), MATCH(Kat, INDEX(Use,,3), 0))))</f>
        <v>1</v>
      </c>
      <c r="AO816" s="246"/>
      <c r="AP816" s="228" cm="1">
        <f t="array" ref="AP816">IF(W816&gt;0, INDEX(Kat, AN816,4), 0)</f>
        <v>0</v>
      </c>
      <c r="AQ816" s="228">
        <f t="shared" si="850"/>
        <v>0</v>
      </c>
      <c r="AR816" s="228" cm="1">
        <f t="array" ref="AR816">IF(X816&gt;0, INDEX(Kat, $AN816, 4+AQ816), 0)</f>
        <v>0</v>
      </c>
      <c r="AS816" s="228" cm="1">
        <f t="array" ref="AS816">IF(X816&gt;0, INDEX(Kat, $AN816, 9+AQ816), 0)</f>
        <v>0</v>
      </c>
      <c r="AT816" s="246"/>
      <c r="AU816" s="262"/>
      <c r="AV816" s="262"/>
      <c r="AW816" s="263"/>
      <c r="AX816" s="263"/>
      <c r="AY816" s="263"/>
      <c r="AZ816" s="263"/>
      <c r="BA816" s="263"/>
      <c r="BB816" s="263"/>
      <c r="BC816" s="263"/>
      <c r="BD816" s="263"/>
      <c r="BE816" s="263"/>
      <c r="BF816" s="263"/>
      <c r="BG816" s="263"/>
      <c r="BH816" s="246"/>
      <c r="BI816" s="228" cm="1">
        <f t="array" ref="BI816">INDEX(Use, $AH816, 4)</f>
        <v>7</v>
      </c>
      <c r="BJ816" s="228">
        <f t="shared" si="826"/>
        <v>32</v>
      </c>
      <c r="BK816" s="228">
        <f t="shared" si="852"/>
        <v>13</v>
      </c>
      <c r="BL816" s="228">
        <f t="shared" si="853"/>
        <v>0</v>
      </c>
      <c r="BM816" s="233" cm="1">
        <f t="array" ref="BM816">L816/IF($M816&gt;0, INDEX($AY$22:$BE$76, $M816+20, $AH816), 1)</f>
        <v>0</v>
      </c>
      <c r="BN816" s="229">
        <f t="shared" si="827"/>
        <v>0</v>
      </c>
      <c r="BO816" s="228">
        <v>35</v>
      </c>
      <c r="BP816" s="229">
        <f t="shared" si="828"/>
        <v>48</v>
      </c>
      <c r="BQ816" s="234">
        <f t="shared" si="829"/>
        <v>3.0748170731707316</v>
      </c>
      <c r="BR816" s="234" cm="1">
        <f t="array" ref="BR816">$BM816 * SUMPRODUCT(INDEX($AV$76:$AX$81,,$AI816),INDEX($AY$76:$BE$81,,$AH816), N($AU$76:$AU$81&gt;$AM816)) / BQ816 / 1000</f>
        <v>0</v>
      </c>
      <c r="BS816" s="231">
        <f t="shared" si="854"/>
        <v>30</v>
      </c>
      <c r="BT816" s="229">
        <f t="shared" si="830"/>
        <v>43</v>
      </c>
      <c r="BU816" s="234">
        <f t="shared" si="831"/>
        <v>3.5018750000000001</v>
      </c>
      <c r="BV816" s="234" cm="1">
        <f t="array" ref="BV816">$BM816 * IF($AH816&lt;=2,
SUMPRODUCT(INDEX($AV$71:$AX$75,,$AI816), INDEX($AY$71:$BE$75,,$AH816), 1 / ($BF$71:$BF$75*BU816 + (1-$BF$71:$BF$75)*BQ816), N($AU$71:$AU$75&gt;$AM816)),
SUMPRODUCT(INDEX($AV$66:$AX$75,,$AI816), INDEX($AY$66:$BE$75,,$AH816), 1 / ($BG$66:$BG$75*BU816 + (1-$BG$66:$BG$75)*BQ816), N($AU$66:$AU$75&gt;$AM816))
) / 1000</f>
        <v>0</v>
      </c>
      <c r="BW816" s="231">
        <f t="shared" si="855"/>
        <v>25</v>
      </c>
      <c r="BX816" s="229">
        <f t="shared" si="832"/>
        <v>38</v>
      </c>
      <c r="BY816" s="234">
        <f t="shared" si="833"/>
        <v>4.0666935483870965</v>
      </c>
      <c r="BZ816" s="234" cm="1">
        <f t="array" ref="BZ816">$BM816 * IF($AH816&lt;=2,
SUMPRODUCT(INDEX($AV$66:$AX$70,,$AI816), INDEX($AY$66:$BE$70,,$AH816), 1 / ($BF$66:$BF$70*BY816 + (1-$BF$66:$BF$70)*BU816), N($AU$66:$AU$70&gt;$AM816)),
SUMPRODUCT(INDEX($AV$56:$AX$65,,$AI816), INDEX($AY$56:$BE$65,,$AH816), 1 / ($BG$56:$BG$65*BY816 + (1-$BG$56:$BG$65)*BU816), N($AU$56:$AU$65&gt;$AM816))
) / 1000</f>
        <v>0</v>
      </c>
      <c r="CA816" s="231">
        <f t="shared" si="856"/>
        <v>20</v>
      </c>
      <c r="CB816" s="229">
        <f t="shared" si="834"/>
        <v>33</v>
      </c>
      <c r="CC816" s="234">
        <f t="shared" si="835"/>
        <v>4.8487499999999999</v>
      </c>
      <c r="CD816" s="234" cm="1">
        <f t="array" ref="CD816">$BM816 * IF($AH816&lt;=2,
SUMPRODUCT(INDEX($AV$61:$AX$65,,$AI816), INDEX($AY$61:$BE$65,,$AH816), 1 / ($BF$61:$BF$65*CC816 + (1-$BF$61:$BF$65)*BY816), N($AU$61:$AU$65&gt;$AM816)),
SUMPRODUCT(INDEX($AV$46:$AX$55,,$AI816), INDEX($AY$46:$BE$55,,$AH816), 1 / ($BG$46:$BG$55*CC816 + (1-$BG$46:$BG$55)*BY816), N($AU$46:$AU$55&gt;$AM816))
) / 1000</f>
        <v>0</v>
      </c>
      <c r="CE816" s="234" cm="1">
        <f t="array" ref="CE816">$BM816 * IF($AH816&lt;=2,
SUMPRODUCT(INDEX($AV$22:$AX$60,,$AI816), INDEX($AY$22:$BE$60,,$AH816), 1 / ($BF$22:$BF$60*CC816), N($AU$22:$AU$60&gt;$AM816)),
SUMPRODUCT(INDEX($AV$22:$AX$45,,$AI816), INDEX($AY$22:$BE$45,,$AH816), 1 / ($BG$22:$BG$45*CC816), N($AU$22:$AU$45&gt;$AM816))
) / 1000</f>
        <v>0</v>
      </c>
      <c r="CF816" s="229">
        <f t="shared" si="836"/>
        <v>0</v>
      </c>
      <c r="CG816" s="246"/>
      <c r="CH816" s="229">
        <f t="shared" si="837"/>
        <v>0</v>
      </c>
      <c r="CI816" s="228">
        <v>35</v>
      </c>
      <c r="CJ816" s="229">
        <f t="shared" si="838"/>
        <v>48</v>
      </c>
      <c r="CK816" s="234">
        <f t="shared" si="839"/>
        <v>3.0748170731707316</v>
      </c>
      <c r="CL816" s="234" cm="1">
        <f t="array" ref="CL816">$BM816 * SUMPRODUCT(INDEX($AV$76:$AX$81,,$AI816),INDEX($AY$76:$BE$81,,$AH816), N($AU$76:$AU$81&gt;$AM816)) / CK816 / 1000</f>
        <v>0</v>
      </c>
      <c r="CM816" s="231">
        <f t="shared" si="857"/>
        <v>30</v>
      </c>
      <c r="CN816" s="229">
        <f t="shared" si="840"/>
        <v>43</v>
      </c>
      <c r="CO816" s="234">
        <f t="shared" si="841"/>
        <v>3.5018750000000001</v>
      </c>
      <c r="CP816" s="234" cm="1">
        <f t="array" ref="CP816">$BM816 * IF($AH816&lt;=2,
SUMPRODUCT(INDEX($AV$71:$AX$75,,$AI816), INDEX($AY$71:$BE$75,,$AH816), 1 / ($BF$71:$BF$75*CO816 + (1-$BF$71:$BF$75)*CK816), N($AU$71:$AU$75&gt;$AM816)),
SUMPRODUCT(INDEX($AV$66:$AX$75,,$AI816), INDEX($AY$66:$BE$75,,$AH816), 1 / ($BG$66:$BG$75*CO816 + (1-$BG$66:$BG$75)*CK816), N($AU$66:$AU$75&gt;$AM816))
) / 1000</f>
        <v>0</v>
      </c>
      <c r="CQ816" s="231">
        <f t="shared" si="858"/>
        <v>25</v>
      </c>
      <c r="CR816" s="229">
        <f t="shared" si="842"/>
        <v>38</v>
      </c>
      <c r="CS816" s="234">
        <f t="shared" si="843"/>
        <v>4.0666935483870965</v>
      </c>
      <c r="CT816" s="234" cm="1">
        <f t="array" ref="CT816">$BM816 * IF($AH816&lt;=2,
SUMPRODUCT(INDEX($AV$66:$AX$70,,$AI816), INDEX($AY$66:$BE$70,,$AH816), 1 / ($BF$66:$BF$70*CS816 + (1-$BF$66:$BF$70)*CO816), N($AU$66:$AU$70&gt;$AM816)),
SUMPRODUCT(INDEX($AV$56:$AX$65,,$AI816), INDEX($AY$56:$BE$65,,$AH816), 1 / ($BG$56:$BG$65*CS816 + (1-$BG$56:$BG$65)*CO816), N($AU$56:$AU$65&gt;$AM816))
) / 1000</f>
        <v>0</v>
      </c>
      <c r="CU816" s="231">
        <f t="shared" si="859"/>
        <v>20</v>
      </c>
      <c r="CV816" s="229">
        <f t="shared" si="844"/>
        <v>33</v>
      </c>
      <c r="CW816" s="234">
        <f t="shared" si="845"/>
        <v>4.8487499999999999</v>
      </c>
      <c r="CX816" s="234" cm="1">
        <f t="array" ref="CX816">$BM816 * IF($AH816&lt;=2,
SUMPRODUCT(INDEX($AV$61:$AX$65,,$AI816), INDEX($AY$61:$BE$65,,$AH816), 1 / ($BF$61:$BF$65*CW816 + (1-$BF$61:$BF$65)*CS816), N($AU$61:$AU$65&gt;$AM816)),
SUMPRODUCT(INDEX($AV$46:$AX$55,,$AI816), INDEX($AY$46:$BE$55,,$AH816), 1 / ($BG$46:$BG$55*CW816 + (1-$BG$46:$BG$55)*CS816), N($AU$46:$AU$55&gt;$AM816))
) / 1000</f>
        <v>0</v>
      </c>
      <c r="CY816" s="234" cm="1">
        <f t="array" ref="CY816">$BM816 * IF($AH816&lt;=2,
SUMPRODUCT(INDEX($AV$22:$AX$60,,$AI816), INDEX($AY$22:$BE$60,,$AH816), 1 / ($BF$22:$BF$60*CW816), N($AU$22:$AU$60&gt;$AM816)),
SUMPRODUCT(INDEX($AV$22:$AX$45,,$AI816), INDEX($AY$22:$BE$45,,$AH816), 1 / ($BG$22:$BG$45*CW816), N($AU$22:$AU$45&gt;$AM816))
) / 1000</f>
        <v>0</v>
      </c>
      <c r="CZ816" s="229">
        <f t="shared" si="846"/>
        <v>0</v>
      </c>
      <c r="DA816" s="246"/>
    </row>
    <row r="817" spans="1:105" s="75" customFormat="1" ht="14.25" customHeight="1" x14ac:dyDescent="0.2">
      <c r="A817" s="230" t="b">
        <f t="shared" si="851"/>
        <v>0</v>
      </c>
      <c r="B817" s="253">
        <v>796</v>
      </c>
      <c r="C817" s="266"/>
      <c r="D817" s="266"/>
      <c r="E817" s="254"/>
      <c r="F817" s="255" t="str">
        <f>IF(ISBLANK(E817), "", VLOOKUP(E817, Z!$A$2:$C$4127, 3, FALSE))</f>
        <v/>
      </c>
      <c r="G817" s="256"/>
      <c r="H817" s="256"/>
      <c r="I817" s="256"/>
      <c r="J817" s="257"/>
      <c r="K817" s="258"/>
      <c r="L817" s="267"/>
      <c r="M817" s="268"/>
      <c r="N817" s="259" t="str" cm="1">
        <f t="array" ref="N817">IF($L817&gt;0, INDEX(Clean,1+AK817,$D$1), "")</f>
        <v/>
      </c>
      <c r="O817" s="260"/>
      <c r="P817" s="260"/>
      <c r="Q817" s="261"/>
      <c r="R817" s="264">
        <f t="shared" si="822"/>
        <v>0</v>
      </c>
      <c r="S817" s="259" t="str" cm="1">
        <f t="array" ref="S817">IF($L817&gt;0, INDEX(Clean,1+AL817,$D$1), "")</f>
        <v/>
      </c>
      <c r="T817" s="260"/>
      <c r="U817" s="260"/>
      <c r="V817" s="261"/>
      <c r="W817" s="267"/>
      <c r="X817" s="267"/>
      <c r="Y817" s="257"/>
      <c r="Z817" s="264">
        <f t="shared" si="823"/>
        <v>0</v>
      </c>
      <c r="AA817" s="269"/>
      <c r="AB817" s="266"/>
      <c r="AC817" s="254"/>
      <c r="AD817" s="255" t="str">
        <f>IF(ISBLANK(AC817), "", VLOOKUP(AC817, Z!$A$2:$C$4127, 3, FALSE))</f>
        <v/>
      </c>
      <c r="AE817" s="270"/>
      <c r="AF817" s="265">
        <f t="shared" si="824"/>
        <v>0</v>
      </c>
      <c r="AG817" s="246"/>
      <c r="AH817" s="228">
        <f t="shared" si="847"/>
        <v>1</v>
      </c>
      <c r="AI817" s="228">
        <f t="shared" si="848"/>
        <v>1</v>
      </c>
      <c r="AJ817" s="228">
        <f t="shared" si="849"/>
        <v>0</v>
      </c>
      <c r="AK817" s="228">
        <v>0</v>
      </c>
      <c r="AL817" s="228">
        <v>0</v>
      </c>
      <c r="AM817" s="228">
        <f t="shared" si="825"/>
        <v>-100</v>
      </c>
      <c r="AN817" s="228" cm="1">
        <f t="array" ref="AN817">IF(ISBLANK(G817), 1, IFERROR(MATCH(G817, INDEX(Kat,,1), 0), IFERROR(MATCH(Kat, INDEX(Use,,2), 0), MATCH(Kat, INDEX(Use,,3), 0))))</f>
        <v>1</v>
      </c>
      <c r="AO817" s="246"/>
      <c r="AP817" s="228" cm="1">
        <f t="array" ref="AP817">IF(W817&gt;0, INDEX(Kat, AN817,4), 0)</f>
        <v>0</v>
      </c>
      <c r="AQ817" s="228">
        <f t="shared" si="850"/>
        <v>0</v>
      </c>
      <c r="AR817" s="228" cm="1">
        <f t="array" ref="AR817">IF(X817&gt;0, INDEX(Kat, $AN817, 4+AQ817), 0)</f>
        <v>0</v>
      </c>
      <c r="AS817" s="228" cm="1">
        <f t="array" ref="AS817">IF(X817&gt;0, INDEX(Kat, $AN817, 9+AQ817), 0)</f>
        <v>0</v>
      </c>
      <c r="AT817" s="246"/>
      <c r="AU817" s="262"/>
      <c r="AV817" s="262"/>
      <c r="AW817" s="263"/>
      <c r="AX817" s="263"/>
      <c r="AY817" s="263"/>
      <c r="AZ817" s="263"/>
      <c r="BA817" s="263"/>
      <c r="BB817" s="263"/>
      <c r="BC817" s="263"/>
      <c r="BD817" s="263"/>
      <c r="BE817" s="263"/>
      <c r="BF817" s="263"/>
      <c r="BG817" s="263"/>
      <c r="BH817" s="246"/>
      <c r="BI817" s="228" cm="1">
        <f t="array" ref="BI817">INDEX(Use, $AH817, 4)</f>
        <v>7</v>
      </c>
      <c r="BJ817" s="228">
        <f t="shared" si="826"/>
        <v>32</v>
      </c>
      <c r="BK817" s="228">
        <f t="shared" si="852"/>
        <v>13</v>
      </c>
      <c r="BL817" s="228">
        <f t="shared" si="853"/>
        <v>0</v>
      </c>
      <c r="BM817" s="233" cm="1">
        <f t="array" ref="BM817">L817/IF($M817&gt;0, INDEX($AY$22:$BE$76, $M817+20, $AH817), 1)</f>
        <v>0</v>
      </c>
      <c r="BN817" s="229">
        <f t="shared" si="827"/>
        <v>0</v>
      </c>
      <c r="BO817" s="228">
        <v>35</v>
      </c>
      <c r="BP817" s="229">
        <f t="shared" si="828"/>
        <v>48</v>
      </c>
      <c r="BQ817" s="234">
        <f t="shared" si="829"/>
        <v>3.0748170731707316</v>
      </c>
      <c r="BR817" s="234" cm="1">
        <f t="array" ref="BR817">$BM817 * SUMPRODUCT(INDEX($AV$76:$AX$81,,$AI817),INDEX($AY$76:$BE$81,,$AH817), N($AU$76:$AU$81&gt;$AM817)) / BQ817 / 1000</f>
        <v>0</v>
      </c>
      <c r="BS817" s="231">
        <f t="shared" si="854"/>
        <v>30</v>
      </c>
      <c r="BT817" s="229">
        <f t="shared" si="830"/>
        <v>43</v>
      </c>
      <c r="BU817" s="234">
        <f t="shared" si="831"/>
        <v>3.5018750000000001</v>
      </c>
      <c r="BV817" s="234" cm="1">
        <f t="array" ref="BV817">$BM817 * IF($AH817&lt;=2,
SUMPRODUCT(INDEX($AV$71:$AX$75,,$AI817), INDEX($AY$71:$BE$75,,$AH817), 1 / ($BF$71:$BF$75*BU817 + (1-$BF$71:$BF$75)*BQ817), N($AU$71:$AU$75&gt;$AM817)),
SUMPRODUCT(INDEX($AV$66:$AX$75,,$AI817), INDEX($AY$66:$BE$75,,$AH817), 1 / ($BG$66:$BG$75*BU817 + (1-$BG$66:$BG$75)*BQ817), N($AU$66:$AU$75&gt;$AM817))
) / 1000</f>
        <v>0</v>
      </c>
      <c r="BW817" s="231">
        <f t="shared" si="855"/>
        <v>25</v>
      </c>
      <c r="BX817" s="229">
        <f t="shared" si="832"/>
        <v>38</v>
      </c>
      <c r="BY817" s="234">
        <f t="shared" si="833"/>
        <v>4.0666935483870965</v>
      </c>
      <c r="BZ817" s="234" cm="1">
        <f t="array" ref="BZ817">$BM817 * IF($AH817&lt;=2,
SUMPRODUCT(INDEX($AV$66:$AX$70,,$AI817), INDEX($AY$66:$BE$70,,$AH817), 1 / ($BF$66:$BF$70*BY817 + (1-$BF$66:$BF$70)*BU817), N($AU$66:$AU$70&gt;$AM817)),
SUMPRODUCT(INDEX($AV$56:$AX$65,,$AI817), INDEX($AY$56:$BE$65,,$AH817), 1 / ($BG$56:$BG$65*BY817 + (1-$BG$56:$BG$65)*BU817), N($AU$56:$AU$65&gt;$AM817))
) / 1000</f>
        <v>0</v>
      </c>
      <c r="CA817" s="231">
        <f t="shared" si="856"/>
        <v>20</v>
      </c>
      <c r="CB817" s="229">
        <f t="shared" si="834"/>
        <v>33</v>
      </c>
      <c r="CC817" s="234">
        <f t="shared" si="835"/>
        <v>4.8487499999999999</v>
      </c>
      <c r="CD817" s="234" cm="1">
        <f t="array" ref="CD817">$BM817 * IF($AH817&lt;=2,
SUMPRODUCT(INDEX($AV$61:$AX$65,,$AI817), INDEX($AY$61:$BE$65,,$AH817), 1 / ($BF$61:$BF$65*CC817 + (1-$BF$61:$BF$65)*BY817), N($AU$61:$AU$65&gt;$AM817)),
SUMPRODUCT(INDEX($AV$46:$AX$55,,$AI817), INDEX($AY$46:$BE$55,,$AH817), 1 / ($BG$46:$BG$55*CC817 + (1-$BG$46:$BG$55)*BY817), N($AU$46:$AU$55&gt;$AM817))
) / 1000</f>
        <v>0</v>
      </c>
      <c r="CE817" s="234" cm="1">
        <f t="array" ref="CE817">$BM817 * IF($AH817&lt;=2,
SUMPRODUCT(INDEX($AV$22:$AX$60,,$AI817), INDEX($AY$22:$BE$60,,$AH817), 1 / ($BF$22:$BF$60*CC817), N($AU$22:$AU$60&gt;$AM817)),
SUMPRODUCT(INDEX($AV$22:$AX$45,,$AI817), INDEX($AY$22:$BE$45,,$AH817), 1 / ($BG$22:$BG$45*CC817), N($AU$22:$AU$45&gt;$AM817))
) / 1000</f>
        <v>0</v>
      </c>
      <c r="CF817" s="229">
        <f t="shared" si="836"/>
        <v>0</v>
      </c>
      <c r="CG817" s="246"/>
      <c r="CH817" s="229">
        <f t="shared" si="837"/>
        <v>0</v>
      </c>
      <c r="CI817" s="228">
        <v>35</v>
      </c>
      <c r="CJ817" s="229">
        <f t="shared" si="838"/>
        <v>48</v>
      </c>
      <c r="CK817" s="234">
        <f t="shared" si="839"/>
        <v>3.0748170731707316</v>
      </c>
      <c r="CL817" s="234" cm="1">
        <f t="array" ref="CL817">$BM817 * SUMPRODUCT(INDEX($AV$76:$AX$81,,$AI817),INDEX($AY$76:$BE$81,,$AH817), N($AU$76:$AU$81&gt;$AM817)) / CK817 / 1000</f>
        <v>0</v>
      </c>
      <c r="CM817" s="231">
        <f t="shared" si="857"/>
        <v>30</v>
      </c>
      <c r="CN817" s="229">
        <f t="shared" si="840"/>
        <v>43</v>
      </c>
      <c r="CO817" s="234">
        <f t="shared" si="841"/>
        <v>3.5018750000000001</v>
      </c>
      <c r="CP817" s="234" cm="1">
        <f t="array" ref="CP817">$BM817 * IF($AH817&lt;=2,
SUMPRODUCT(INDEX($AV$71:$AX$75,,$AI817), INDEX($AY$71:$BE$75,,$AH817), 1 / ($BF$71:$BF$75*CO817 + (1-$BF$71:$BF$75)*CK817), N($AU$71:$AU$75&gt;$AM817)),
SUMPRODUCT(INDEX($AV$66:$AX$75,,$AI817), INDEX($AY$66:$BE$75,,$AH817), 1 / ($BG$66:$BG$75*CO817 + (1-$BG$66:$BG$75)*CK817), N($AU$66:$AU$75&gt;$AM817))
) / 1000</f>
        <v>0</v>
      </c>
      <c r="CQ817" s="231">
        <f t="shared" si="858"/>
        <v>25</v>
      </c>
      <c r="CR817" s="229">
        <f t="shared" si="842"/>
        <v>38</v>
      </c>
      <c r="CS817" s="234">
        <f t="shared" si="843"/>
        <v>4.0666935483870965</v>
      </c>
      <c r="CT817" s="234" cm="1">
        <f t="array" ref="CT817">$BM817 * IF($AH817&lt;=2,
SUMPRODUCT(INDEX($AV$66:$AX$70,,$AI817), INDEX($AY$66:$BE$70,,$AH817), 1 / ($BF$66:$BF$70*CS817 + (1-$BF$66:$BF$70)*CO817), N($AU$66:$AU$70&gt;$AM817)),
SUMPRODUCT(INDEX($AV$56:$AX$65,,$AI817), INDEX($AY$56:$BE$65,,$AH817), 1 / ($BG$56:$BG$65*CS817 + (1-$BG$56:$BG$65)*CO817), N($AU$56:$AU$65&gt;$AM817))
) / 1000</f>
        <v>0</v>
      </c>
      <c r="CU817" s="231">
        <f t="shared" si="859"/>
        <v>20</v>
      </c>
      <c r="CV817" s="229">
        <f t="shared" si="844"/>
        <v>33</v>
      </c>
      <c r="CW817" s="234">
        <f t="shared" si="845"/>
        <v>4.8487499999999999</v>
      </c>
      <c r="CX817" s="234" cm="1">
        <f t="array" ref="CX817">$BM817 * IF($AH817&lt;=2,
SUMPRODUCT(INDEX($AV$61:$AX$65,,$AI817), INDEX($AY$61:$BE$65,,$AH817), 1 / ($BF$61:$BF$65*CW817 + (1-$BF$61:$BF$65)*CS817), N($AU$61:$AU$65&gt;$AM817)),
SUMPRODUCT(INDEX($AV$46:$AX$55,,$AI817), INDEX($AY$46:$BE$55,,$AH817), 1 / ($BG$46:$BG$55*CW817 + (1-$BG$46:$BG$55)*CS817), N($AU$46:$AU$55&gt;$AM817))
) / 1000</f>
        <v>0</v>
      </c>
      <c r="CY817" s="234" cm="1">
        <f t="array" ref="CY817">$BM817 * IF($AH817&lt;=2,
SUMPRODUCT(INDEX($AV$22:$AX$60,,$AI817), INDEX($AY$22:$BE$60,,$AH817), 1 / ($BF$22:$BF$60*CW817), N($AU$22:$AU$60&gt;$AM817)),
SUMPRODUCT(INDEX($AV$22:$AX$45,,$AI817), INDEX($AY$22:$BE$45,,$AH817), 1 / ($BG$22:$BG$45*CW817), N($AU$22:$AU$45&gt;$AM817))
) / 1000</f>
        <v>0</v>
      </c>
      <c r="CZ817" s="229">
        <f t="shared" si="846"/>
        <v>0</v>
      </c>
      <c r="DA817" s="246"/>
    </row>
    <row r="818" spans="1:105" s="75" customFormat="1" ht="14.25" customHeight="1" x14ac:dyDescent="0.2">
      <c r="A818" s="230" t="b">
        <f t="shared" si="851"/>
        <v>0</v>
      </c>
      <c r="B818" s="253">
        <v>797</v>
      </c>
      <c r="C818" s="266"/>
      <c r="D818" s="266"/>
      <c r="E818" s="254"/>
      <c r="F818" s="255" t="str">
        <f>IF(ISBLANK(E818), "", VLOOKUP(E818, Z!$A$2:$C$4127, 3, FALSE))</f>
        <v/>
      </c>
      <c r="G818" s="256"/>
      <c r="H818" s="256"/>
      <c r="I818" s="256"/>
      <c r="J818" s="257"/>
      <c r="K818" s="258"/>
      <c r="L818" s="267"/>
      <c r="M818" s="268"/>
      <c r="N818" s="259" t="str" cm="1">
        <f t="array" ref="N818">IF($L818&gt;0, INDEX(Clean,1+AK818,$D$1), "")</f>
        <v/>
      </c>
      <c r="O818" s="260"/>
      <c r="P818" s="260"/>
      <c r="Q818" s="261"/>
      <c r="R818" s="264">
        <f t="shared" si="822"/>
        <v>0</v>
      </c>
      <c r="S818" s="259" t="str" cm="1">
        <f t="array" ref="S818">IF($L818&gt;0, INDEX(Clean,1+AL818,$D$1), "")</f>
        <v/>
      </c>
      <c r="T818" s="260"/>
      <c r="U818" s="260"/>
      <c r="V818" s="261"/>
      <c r="W818" s="267"/>
      <c r="X818" s="267"/>
      <c r="Y818" s="257"/>
      <c r="Z818" s="264">
        <f t="shared" si="823"/>
        <v>0</v>
      </c>
      <c r="AA818" s="269"/>
      <c r="AB818" s="266"/>
      <c r="AC818" s="254"/>
      <c r="AD818" s="255" t="str">
        <f>IF(ISBLANK(AC818), "", VLOOKUP(AC818, Z!$A$2:$C$4127, 3, FALSE))</f>
        <v/>
      </c>
      <c r="AE818" s="270"/>
      <c r="AF818" s="265">
        <f t="shared" si="824"/>
        <v>0</v>
      </c>
      <c r="AG818" s="246"/>
      <c r="AH818" s="228">
        <f t="shared" si="847"/>
        <v>1</v>
      </c>
      <c r="AI818" s="228">
        <f t="shared" si="848"/>
        <v>1</v>
      </c>
      <c r="AJ818" s="228">
        <f t="shared" si="849"/>
        <v>0</v>
      </c>
      <c r="AK818" s="228">
        <v>0</v>
      </c>
      <c r="AL818" s="228">
        <v>0</v>
      </c>
      <c r="AM818" s="228">
        <f t="shared" si="825"/>
        <v>-100</v>
      </c>
      <c r="AN818" s="228" cm="1">
        <f t="array" ref="AN818">IF(ISBLANK(G818), 1, IFERROR(MATCH(G818, INDEX(Kat,,1), 0), IFERROR(MATCH(Kat, INDEX(Use,,2), 0), MATCH(Kat, INDEX(Use,,3), 0))))</f>
        <v>1</v>
      </c>
      <c r="AO818" s="246"/>
      <c r="AP818" s="228" cm="1">
        <f t="array" ref="AP818">IF(W818&gt;0, INDEX(Kat, AN818,4), 0)</f>
        <v>0</v>
      </c>
      <c r="AQ818" s="228">
        <f t="shared" si="850"/>
        <v>0</v>
      </c>
      <c r="AR818" s="228" cm="1">
        <f t="array" ref="AR818">IF(X818&gt;0, INDEX(Kat, $AN818, 4+AQ818), 0)</f>
        <v>0</v>
      </c>
      <c r="AS818" s="228" cm="1">
        <f t="array" ref="AS818">IF(X818&gt;0, INDEX(Kat, $AN818, 9+AQ818), 0)</f>
        <v>0</v>
      </c>
      <c r="AT818" s="246"/>
      <c r="AU818" s="262"/>
      <c r="AV818" s="262"/>
      <c r="AW818" s="263"/>
      <c r="AX818" s="263"/>
      <c r="AY818" s="263"/>
      <c r="AZ818" s="263"/>
      <c r="BA818" s="263"/>
      <c r="BB818" s="263"/>
      <c r="BC818" s="263"/>
      <c r="BD818" s="263"/>
      <c r="BE818" s="263"/>
      <c r="BF818" s="263"/>
      <c r="BG818" s="263"/>
      <c r="BH818" s="246"/>
      <c r="BI818" s="228" cm="1">
        <f t="array" ref="BI818">INDEX(Use, $AH818, 4)</f>
        <v>7</v>
      </c>
      <c r="BJ818" s="228">
        <f t="shared" si="826"/>
        <v>32</v>
      </c>
      <c r="BK818" s="228">
        <f t="shared" si="852"/>
        <v>13</v>
      </c>
      <c r="BL818" s="228">
        <f t="shared" si="853"/>
        <v>0</v>
      </c>
      <c r="BM818" s="233" cm="1">
        <f t="array" ref="BM818">L818/IF($M818&gt;0, INDEX($AY$22:$BE$76, $M818+20, $AH818), 1)</f>
        <v>0</v>
      </c>
      <c r="BN818" s="229">
        <f t="shared" si="827"/>
        <v>0</v>
      </c>
      <c r="BO818" s="228">
        <v>35</v>
      </c>
      <c r="BP818" s="229">
        <f t="shared" si="828"/>
        <v>48</v>
      </c>
      <c r="BQ818" s="234">
        <f t="shared" si="829"/>
        <v>3.0748170731707316</v>
      </c>
      <c r="BR818" s="234" cm="1">
        <f t="array" ref="BR818">$BM818 * SUMPRODUCT(INDEX($AV$76:$AX$81,,$AI818),INDEX($AY$76:$BE$81,,$AH818), N($AU$76:$AU$81&gt;$AM818)) / BQ818 / 1000</f>
        <v>0</v>
      </c>
      <c r="BS818" s="231">
        <f t="shared" si="854"/>
        <v>30</v>
      </c>
      <c r="BT818" s="229">
        <f t="shared" si="830"/>
        <v>43</v>
      </c>
      <c r="BU818" s="234">
        <f t="shared" si="831"/>
        <v>3.5018750000000001</v>
      </c>
      <c r="BV818" s="234" cm="1">
        <f t="array" ref="BV818">$BM818 * IF($AH818&lt;=2,
SUMPRODUCT(INDEX($AV$71:$AX$75,,$AI818), INDEX($AY$71:$BE$75,,$AH818), 1 / ($BF$71:$BF$75*BU818 + (1-$BF$71:$BF$75)*BQ818), N($AU$71:$AU$75&gt;$AM818)),
SUMPRODUCT(INDEX($AV$66:$AX$75,,$AI818), INDEX($AY$66:$BE$75,,$AH818), 1 / ($BG$66:$BG$75*BU818 + (1-$BG$66:$BG$75)*BQ818), N($AU$66:$AU$75&gt;$AM818))
) / 1000</f>
        <v>0</v>
      </c>
      <c r="BW818" s="231">
        <f t="shared" si="855"/>
        <v>25</v>
      </c>
      <c r="BX818" s="229">
        <f t="shared" si="832"/>
        <v>38</v>
      </c>
      <c r="BY818" s="234">
        <f t="shared" si="833"/>
        <v>4.0666935483870965</v>
      </c>
      <c r="BZ818" s="234" cm="1">
        <f t="array" ref="BZ818">$BM818 * IF($AH818&lt;=2,
SUMPRODUCT(INDEX($AV$66:$AX$70,,$AI818), INDEX($AY$66:$BE$70,,$AH818), 1 / ($BF$66:$BF$70*BY818 + (1-$BF$66:$BF$70)*BU818), N($AU$66:$AU$70&gt;$AM818)),
SUMPRODUCT(INDEX($AV$56:$AX$65,,$AI818), INDEX($AY$56:$BE$65,,$AH818), 1 / ($BG$56:$BG$65*BY818 + (1-$BG$56:$BG$65)*BU818), N($AU$56:$AU$65&gt;$AM818))
) / 1000</f>
        <v>0</v>
      </c>
      <c r="CA818" s="231">
        <f t="shared" si="856"/>
        <v>20</v>
      </c>
      <c r="CB818" s="229">
        <f t="shared" si="834"/>
        <v>33</v>
      </c>
      <c r="CC818" s="234">
        <f t="shared" si="835"/>
        <v>4.8487499999999999</v>
      </c>
      <c r="CD818" s="234" cm="1">
        <f t="array" ref="CD818">$BM818 * IF($AH818&lt;=2,
SUMPRODUCT(INDEX($AV$61:$AX$65,,$AI818), INDEX($AY$61:$BE$65,,$AH818), 1 / ($BF$61:$BF$65*CC818 + (1-$BF$61:$BF$65)*BY818), N($AU$61:$AU$65&gt;$AM818)),
SUMPRODUCT(INDEX($AV$46:$AX$55,,$AI818), INDEX($AY$46:$BE$55,,$AH818), 1 / ($BG$46:$BG$55*CC818 + (1-$BG$46:$BG$55)*BY818), N($AU$46:$AU$55&gt;$AM818))
) / 1000</f>
        <v>0</v>
      </c>
      <c r="CE818" s="234" cm="1">
        <f t="array" ref="CE818">$BM818 * IF($AH818&lt;=2,
SUMPRODUCT(INDEX($AV$22:$AX$60,,$AI818), INDEX($AY$22:$BE$60,,$AH818), 1 / ($BF$22:$BF$60*CC818), N($AU$22:$AU$60&gt;$AM818)),
SUMPRODUCT(INDEX($AV$22:$AX$45,,$AI818), INDEX($AY$22:$BE$45,,$AH818), 1 / ($BG$22:$BG$45*CC818), N($AU$22:$AU$45&gt;$AM818))
) / 1000</f>
        <v>0</v>
      </c>
      <c r="CF818" s="229">
        <f t="shared" si="836"/>
        <v>0</v>
      </c>
      <c r="CG818" s="246"/>
      <c r="CH818" s="229">
        <f t="shared" si="837"/>
        <v>0</v>
      </c>
      <c r="CI818" s="228">
        <v>35</v>
      </c>
      <c r="CJ818" s="229">
        <f t="shared" si="838"/>
        <v>48</v>
      </c>
      <c r="CK818" s="234">
        <f t="shared" si="839"/>
        <v>3.0748170731707316</v>
      </c>
      <c r="CL818" s="234" cm="1">
        <f t="array" ref="CL818">$BM818 * SUMPRODUCT(INDEX($AV$76:$AX$81,,$AI818),INDEX($AY$76:$BE$81,,$AH818), N($AU$76:$AU$81&gt;$AM818)) / CK818 / 1000</f>
        <v>0</v>
      </c>
      <c r="CM818" s="231">
        <f t="shared" si="857"/>
        <v>30</v>
      </c>
      <c r="CN818" s="229">
        <f t="shared" si="840"/>
        <v>43</v>
      </c>
      <c r="CO818" s="234">
        <f t="shared" si="841"/>
        <v>3.5018750000000001</v>
      </c>
      <c r="CP818" s="234" cm="1">
        <f t="array" ref="CP818">$BM818 * IF($AH818&lt;=2,
SUMPRODUCT(INDEX($AV$71:$AX$75,,$AI818), INDEX($AY$71:$BE$75,,$AH818), 1 / ($BF$71:$BF$75*CO818 + (1-$BF$71:$BF$75)*CK818), N($AU$71:$AU$75&gt;$AM818)),
SUMPRODUCT(INDEX($AV$66:$AX$75,,$AI818), INDEX($AY$66:$BE$75,,$AH818), 1 / ($BG$66:$BG$75*CO818 + (1-$BG$66:$BG$75)*CK818), N($AU$66:$AU$75&gt;$AM818))
) / 1000</f>
        <v>0</v>
      </c>
      <c r="CQ818" s="231">
        <f t="shared" si="858"/>
        <v>25</v>
      </c>
      <c r="CR818" s="229">
        <f t="shared" si="842"/>
        <v>38</v>
      </c>
      <c r="CS818" s="234">
        <f t="shared" si="843"/>
        <v>4.0666935483870965</v>
      </c>
      <c r="CT818" s="234" cm="1">
        <f t="array" ref="CT818">$BM818 * IF($AH818&lt;=2,
SUMPRODUCT(INDEX($AV$66:$AX$70,,$AI818), INDEX($AY$66:$BE$70,,$AH818), 1 / ($BF$66:$BF$70*CS818 + (1-$BF$66:$BF$70)*CO818), N($AU$66:$AU$70&gt;$AM818)),
SUMPRODUCT(INDEX($AV$56:$AX$65,,$AI818), INDEX($AY$56:$BE$65,,$AH818), 1 / ($BG$56:$BG$65*CS818 + (1-$BG$56:$BG$65)*CO818), N($AU$56:$AU$65&gt;$AM818))
) / 1000</f>
        <v>0</v>
      </c>
      <c r="CU818" s="231">
        <f t="shared" si="859"/>
        <v>20</v>
      </c>
      <c r="CV818" s="229">
        <f t="shared" si="844"/>
        <v>33</v>
      </c>
      <c r="CW818" s="234">
        <f t="shared" si="845"/>
        <v>4.8487499999999999</v>
      </c>
      <c r="CX818" s="234" cm="1">
        <f t="array" ref="CX818">$BM818 * IF($AH818&lt;=2,
SUMPRODUCT(INDEX($AV$61:$AX$65,,$AI818), INDEX($AY$61:$BE$65,,$AH818), 1 / ($BF$61:$BF$65*CW818 + (1-$BF$61:$BF$65)*CS818), N($AU$61:$AU$65&gt;$AM818)),
SUMPRODUCT(INDEX($AV$46:$AX$55,,$AI818), INDEX($AY$46:$BE$55,,$AH818), 1 / ($BG$46:$BG$55*CW818 + (1-$BG$46:$BG$55)*CS818), N($AU$46:$AU$55&gt;$AM818))
) / 1000</f>
        <v>0</v>
      </c>
      <c r="CY818" s="234" cm="1">
        <f t="array" ref="CY818">$BM818 * IF($AH818&lt;=2,
SUMPRODUCT(INDEX($AV$22:$AX$60,,$AI818), INDEX($AY$22:$BE$60,,$AH818), 1 / ($BF$22:$BF$60*CW818), N($AU$22:$AU$60&gt;$AM818)),
SUMPRODUCT(INDEX($AV$22:$AX$45,,$AI818), INDEX($AY$22:$BE$45,,$AH818), 1 / ($BG$22:$BG$45*CW818), N($AU$22:$AU$45&gt;$AM818))
) / 1000</f>
        <v>0</v>
      </c>
      <c r="CZ818" s="229">
        <f t="shared" si="846"/>
        <v>0</v>
      </c>
      <c r="DA818" s="246"/>
    </row>
    <row r="819" spans="1:105" s="75" customFormat="1" ht="14.25" customHeight="1" x14ac:dyDescent="0.2">
      <c r="A819" s="230" t="b">
        <f t="shared" si="851"/>
        <v>0</v>
      </c>
      <c r="B819" s="253">
        <v>798</v>
      </c>
      <c r="C819" s="266"/>
      <c r="D819" s="266"/>
      <c r="E819" s="254"/>
      <c r="F819" s="255" t="str">
        <f>IF(ISBLANK(E819), "", VLOOKUP(E819, Z!$A$2:$C$4127, 3, FALSE))</f>
        <v/>
      </c>
      <c r="G819" s="256"/>
      <c r="H819" s="256"/>
      <c r="I819" s="256"/>
      <c r="J819" s="257"/>
      <c r="K819" s="258"/>
      <c r="L819" s="267"/>
      <c r="M819" s="268"/>
      <c r="N819" s="259" t="str" cm="1">
        <f t="array" ref="N819">IF($L819&gt;0, INDEX(Clean,1+AK819,$D$1), "")</f>
        <v/>
      </c>
      <c r="O819" s="260"/>
      <c r="P819" s="260"/>
      <c r="Q819" s="261"/>
      <c r="R819" s="264">
        <f t="shared" si="822"/>
        <v>0</v>
      </c>
      <c r="S819" s="259" t="str" cm="1">
        <f t="array" ref="S819">IF($L819&gt;0, INDEX(Clean,1+AL819,$D$1), "")</f>
        <v/>
      </c>
      <c r="T819" s="260"/>
      <c r="U819" s="260"/>
      <c r="V819" s="261"/>
      <c r="W819" s="267"/>
      <c r="X819" s="267"/>
      <c r="Y819" s="257"/>
      <c r="Z819" s="264">
        <f t="shared" si="823"/>
        <v>0</v>
      </c>
      <c r="AA819" s="269"/>
      <c r="AB819" s="266"/>
      <c r="AC819" s="254"/>
      <c r="AD819" s="255" t="str">
        <f>IF(ISBLANK(AC819), "", VLOOKUP(AC819, Z!$A$2:$C$4127, 3, FALSE))</f>
        <v/>
      </c>
      <c r="AE819" s="270"/>
      <c r="AF819" s="265">
        <f t="shared" si="824"/>
        <v>0</v>
      </c>
      <c r="AG819" s="246"/>
      <c r="AH819" s="228">
        <f t="shared" si="847"/>
        <v>1</v>
      </c>
      <c r="AI819" s="228">
        <f t="shared" si="848"/>
        <v>1</v>
      </c>
      <c r="AJ819" s="228">
        <f t="shared" si="849"/>
        <v>0</v>
      </c>
      <c r="AK819" s="228">
        <v>0</v>
      </c>
      <c r="AL819" s="228">
        <v>0</v>
      </c>
      <c r="AM819" s="228">
        <f t="shared" si="825"/>
        <v>-100</v>
      </c>
      <c r="AN819" s="228" cm="1">
        <f t="array" ref="AN819">IF(ISBLANK(G819), 1, IFERROR(MATCH(G819, INDEX(Kat,,1), 0), IFERROR(MATCH(Kat, INDEX(Use,,2), 0), MATCH(Kat, INDEX(Use,,3), 0))))</f>
        <v>1</v>
      </c>
      <c r="AO819" s="246"/>
      <c r="AP819" s="228" cm="1">
        <f t="array" ref="AP819">IF(W819&gt;0, INDEX(Kat, AN819,4), 0)</f>
        <v>0</v>
      </c>
      <c r="AQ819" s="228">
        <f t="shared" si="850"/>
        <v>0</v>
      </c>
      <c r="AR819" s="228" cm="1">
        <f t="array" ref="AR819">IF(X819&gt;0, INDEX(Kat, $AN819, 4+AQ819), 0)</f>
        <v>0</v>
      </c>
      <c r="AS819" s="228" cm="1">
        <f t="array" ref="AS819">IF(X819&gt;0, INDEX(Kat, $AN819, 9+AQ819), 0)</f>
        <v>0</v>
      </c>
      <c r="AT819" s="246"/>
      <c r="AU819" s="262"/>
      <c r="AV819" s="262"/>
      <c r="AW819" s="263"/>
      <c r="AX819" s="263"/>
      <c r="AY819" s="263"/>
      <c r="AZ819" s="263"/>
      <c r="BA819" s="263"/>
      <c r="BB819" s="263"/>
      <c r="BC819" s="263"/>
      <c r="BD819" s="263"/>
      <c r="BE819" s="263"/>
      <c r="BF819" s="263"/>
      <c r="BG819" s="263"/>
      <c r="BH819" s="246"/>
      <c r="BI819" s="228" cm="1">
        <f t="array" ref="BI819">INDEX(Use, $AH819, 4)</f>
        <v>7</v>
      </c>
      <c r="BJ819" s="228">
        <f t="shared" si="826"/>
        <v>32</v>
      </c>
      <c r="BK819" s="228">
        <f t="shared" si="852"/>
        <v>13</v>
      </c>
      <c r="BL819" s="228">
        <f t="shared" si="853"/>
        <v>0</v>
      </c>
      <c r="BM819" s="233" cm="1">
        <f t="array" ref="BM819">L819/IF($M819&gt;0, INDEX($AY$22:$BE$76, $M819+20, $AH819), 1)</f>
        <v>0</v>
      </c>
      <c r="BN819" s="229">
        <f t="shared" si="827"/>
        <v>0</v>
      </c>
      <c r="BO819" s="228">
        <v>35</v>
      </c>
      <c r="BP819" s="229">
        <f t="shared" si="828"/>
        <v>48</v>
      </c>
      <c r="BQ819" s="234">
        <f t="shared" si="829"/>
        <v>3.0748170731707316</v>
      </c>
      <c r="BR819" s="234" cm="1">
        <f t="array" ref="BR819">$BM819 * SUMPRODUCT(INDEX($AV$76:$AX$81,,$AI819),INDEX($AY$76:$BE$81,,$AH819), N($AU$76:$AU$81&gt;$AM819)) / BQ819 / 1000</f>
        <v>0</v>
      </c>
      <c r="BS819" s="231">
        <f t="shared" si="854"/>
        <v>30</v>
      </c>
      <c r="BT819" s="229">
        <f t="shared" si="830"/>
        <v>43</v>
      </c>
      <c r="BU819" s="234">
        <f t="shared" si="831"/>
        <v>3.5018750000000001</v>
      </c>
      <c r="BV819" s="234" cm="1">
        <f t="array" ref="BV819">$BM819 * IF($AH819&lt;=2,
SUMPRODUCT(INDEX($AV$71:$AX$75,,$AI819), INDEX($AY$71:$BE$75,,$AH819), 1 / ($BF$71:$BF$75*BU819 + (1-$BF$71:$BF$75)*BQ819), N($AU$71:$AU$75&gt;$AM819)),
SUMPRODUCT(INDEX($AV$66:$AX$75,,$AI819), INDEX($AY$66:$BE$75,,$AH819), 1 / ($BG$66:$BG$75*BU819 + (1-$BG$66:$BG$75)*BQ819), N($AU$66:$AU$75&gt;$AM819))
) / 1000</f>
        <v>0</v>
      </c>
      <c r="BW819" s="231">
        <f t="shared" si="855"/>
        <v>25</v>
      </c>
      <c r="BX819" s="229">
        <f t="shared" si="832"/>
        <v>38</v>
      </c>
      <c r="BY819" s="234">
        <f t="shared" si="833"/>
        <v>4.0666935483870965</v>
      </c>
      <c r="BZ819" s="234" cm="1">
        <f t="array" ref="BZ819">$BM819 * IF($AH819&lt;=2,
SUMPRODUCT(INDEX($AV$66:$AX$70,,$AI819), INDEX($AY$66:$BE$70,,$AH819), 1 / ($BF$66:$BF$70*BY819 + (1-$BF$66:$BF$70)*BU819), N($AU$66:$AU$70&gt;$AM819)),
SUMPRODUCT(INDEX($AV$56:$AX$65,,$AI819), INDEX($AY$56:$BE$65,,$AH819), 1 / ($BG$56:$BG$65*BY819 + (1-$BG$56:$BG$65)*BU819), N($AU$56:$AU$65&gt;$AM819))
) / 1000</f>
        <v>0</v>
      </c>
      <c r="CA819" s="231">
        <f t="shared" si="856"/>
        <v>20</v>
      </c>
      <c r="CB819" s="229">
        <f t="shared" si="834"/>
        <v>33</v>
      </c>
      <c r="CC819" s="234">
        <f t="shared" si="835"/>
        <v>4.8487499999999999</v>
      </c>
      <c r="CD819" s="234" cm="1">
        <f t="array" ref="CD819">$BM819 * IF($AH819&lt;=2,
SUMPRODUCT(INDEX($AV$61:$AX$65,,$AI819), INDEX($AY$61:$BE$65,,$AH819), 1 / ($BF$61:$BF$65*CC819 + (1-$BF$61:$BF$65)*BY819), N($AU$61:$AU$65&gt;$AM819)),
SUMPRODUCT(INDEX($AV$46:$AX$55,,$AI819), INDEX($AY$46:$BE$55,,$AH819), 1 / ($BG$46:$BG$55*CC819 + (1-$BG$46:$BG$55)*BY819), N($AU$46:$AU$55&gt;$AM819))
) / 1000</f>
        <v>0</v>
      </c>
      <c r="CE819" s="234" cm="1">
        <f t="array" ref="CE819">$BM819 * IF($AH819&lt;=2,
SUMPRODUCT(INDEX($AV$22:$AX$60,,$AI819), INDEX($AY$22:$BE$60,,$AH819), 1 / ($BF$22:$BF$60*CC819), N($AU$22:$AU$60&gt;$AM819)),
SUMPRODUCT(INDEX($AV$22:$AX$45,,$AI819), INDEX($AY$22:$BE$45,,$AH819), 1 / ($BG$22:$BG$45*CC819), N($AU$22:$AU$45&gt;$AM819))
) / 1000</f>
        <v>0</v>
      </c>
      <c r="CF819" s="229">
        <f t="shared" si="836"/>
        <v>0</v>
      </c>
      <c r="CG819" s="246"/>
      <c r="CH819" s="229">
        <f t="shared" si="837"/>
        <v>0</v>
      </c>
      <c r="CI819" s="228">
        <v>35</v>
      </c>
      <c r="CJ819" s="229">
        <f t="shared" si="838"/>
        <v>48</v>
      </c>
      <c r="CK819" s="234">
        <f t="shared" si="839"/>
        <v>3.0748170731707316</v>
      </c>
      <c r="CL819" s="234" cm="1">
        <f t="array" ref="CL819">$BM819 * SUMPRODUCT(INDEX($AV$76:$AX$81,,$AI819),INDEX($AY$76:$BE$81,,$AH819), N($AU$76:$AU$81&gt;$AM819)) / CK819 / 1000</f>
        <v>0</v>
      </c>
      <c r="CM819" s="231">
        <f t="shared" si="857"/>
        <v>30</v>
      </c>
      <c r="CN819" s="229">
        <f t="shared" si="840"/>
        <v>43</v>
      </c>
      <c r="CO819" s="234">
        <f t="shared" si="841"/>
        <v>3.5018750000000001</v>
      </c>
      <c r="CP819" s="234" cm="1">
        <f t="array" ref="CP819">$BM819 * IF($AH819&lt;=2,
SUMPRODUCT(INDEX($AV$71:$AX$75,,$AI819), INDEX($AY$71:$BE$75,,$AH819), 1 / ($BF$71:$BF$75*CO819 + (1-$BF$71:$BF$75)*CK819), N($AU$71:$AU$75&gt;$AM819)),
SUMPRODUCT(INDEX($AV$66:$AX$75,,$AI819), INDEX($AY$66:$BE$75,,$AH819), 1 / ($BG$66:$BG$75*CO819 + (1-$BG$66:$BG$75)*CK819), N($AU$66:$AU$75&gt;$AM819))
) / 1000</f>
        <v>0</v>
      </c>
      <c r="CQ819" s="231">
        <f t="shared" si="858"/>
        <v>25</v>
      </c>
      <c r="CR819" s="229">
        <f t="shared" si="842"/>
        <v>38</v>
      </c>
      <c r="CS819" s="234">
        <f t="shared" si="843"/>
        <v>4.0666935483870965</v>
      </c>
      <c r="CT819" s="234" cm="1">
        <f t="array" ref="CT819">$BM819 * IF($AH819&lt;=2,
SUMPRODUCT(INDEX($AV$66:$AX$70,,$AI819), INDEX($AY$66:$BE$70,,$AH819), 1 / ($BF$66:$BF$70*CS819 + (1-$BF$66:$BF$70)*CO819), N($AU$66:$AU$70&gt;$AM819)),
SUMPRODUCT(INDEX($AV$56:$AX$65,,$AI819), INDEX($AY$56:$BE$65,,$AH819), 1 / ($BG$56:$BG$65*CS819 + (1-$BG$56:$BG$65)*CO819), N($AU$56:$AU$65&gt;$AM819))
) / 1000</f>
        <v>0</v>
      </c>
      <c r="CU819" s="231">
        <f t="shared" si="859"/>
        <v>20</v>
      </c>
      <c r="CV819" s="229">
        <f t="shared" si="844"/>
        <v>33</v>
      </c>
      <c r="CW819" s="234">
        <f t="shared" si="845"/>
        <v>4.8487499999999999</v>
      </c>
      <c r="CX819" s="234" cm="1">
        <f t="array" ref="CX819">$BM819 * IF($AH819&lt;=2,
SUMPRODUCT(INDEX($AV$61:$AX$65,,$AI819), INDEX($AY$61:$BE$65,,$AH819), 1 / ($BF$61:$BF$65*CW819 + (1-$BF$61:$BF$65)*CS819), N($AU$61:$AU$65&gt;$AM819)),
SUMPRODUCT(INDEX($AV$46:$AX$55,,$AI819), INDEX($AY$46:$BE$55,,$AH819), 1 / ($BG$46:$BG$55*CW819 + (1-$BG$46:$BG$55)*CS819), N($AU$46:$AU$55&gt;$AM819))
) / 1000</f>
        <v>0</v>
      </c>
      <c r="CY819" s="234" cm="1">
        <f t="array" ref="CY819">$BM819 * IF($AH819&lt;=2,
SUMPRODUCT(INDEX($AV$22:$AX$60,,$AI819), INDEX($AY$22:$BE$60,,$AH819), 1 / ($BF$22:$BF$60*CW819), N($AU$22:$AU$60&gt;$AM819)),
SUMPRODUCT(INDEX($AV$22:$AX$45,,$AI819), INDEX($AY$22:$BE$45,,$AH819), 1 / ($BG$22:$BG$45*CW819), N($AU$22:$AU$45&gt;$AM819))
) / 1000</f>
        <v>0</v>
      </c>
      <c r="CZ819" s="229">
        <f t="shared" si="846"/>
        <v>0</v>
      </c>
      <c r="DA819" s="246"/>
    </row>
    <row r="820" spans="1:105" s="75" customFormat="1" ht="14.25" customHeight="1" x14ac:dyDescent="0.2">
      <c r="A820" s="230" t="b">
        <f t="shared" si="851"/>
        <v>0</v>
      </c>
      <c r="B820" s="253">
        <v>799</v>
      </c>
      <c r="C820" s="266"/>
      <c r="D820" s="266"/>
      <c r="E820" s="254"/>
      <c r="F820" s="255" t="str">
        <f>IF(ISBLANK(E820), "", VLOOKUP(E820, Z!$A$2:$C$4127, 3, FALSE))</f>
        <v/>
      </c>
      <c r="G820" s="256"/>
      <c r="H820" s="256"/>
      <c r="I820" s="256"/>
      <c r="J820" s="257"/>
      <c r="K820" s="258"/>
      <c r="L820" s="267"/>
      <c r="M820" s="268"/>
      <c r="N820" s="259" t="str" cm="1">
        <f t="array" ref="N820">IF($L820&gt;0, INDEX(Clean,1+AK820,$D$1), "")</f>
        <v/>
      </c>
      <c r="O820" s="260"/>
      <c r="P820" s="260"/>
      <c r="Q820" s="261"/>
      <c r="R820" s="264">
        <f t="shared" si="822"/>
        <v>0</v>
      </c>
      <c r="S820" s="259" t="str" cm="1">
        <f t="array" ref="S820">IF($L820&gt;0, INDEX(Clean,1+AL820,$D$1), "")</f>
        <v/>
      </c>
      <c r="T820" s="260"/>
      <c r="U820" s="260"/>
      <c r="V820" s="261"/>
      <c r="W820" s="267"/>
      <c r="X820" s="267"/>
      <c r="Y820" s="257"/>
      <c r="Z820" s="264">
        <f t="shared" si="823"/>
        <v>0</v>
      </c>
      <c r="AA820" s="269"/>
      <c r="AB820" s="266"/>
      <c r="AC820" s="254"/>
      <c r="AD820" s="255" t="str">
        <f>IF(ISBLANK(AC820), "", VLOOKUP(AC820, Z!$A$2:$C$4127, 3, FALSE))</f>
        <v/>
      </c>
      <c r="AE820" s="270"/>
      <c r="AF820" s="265">
        <f t="shared" si="824"/>
        <v>0</v>
      </c>
      <c r="AG820" s="246"/>
      <c r="AH820" s="228">
        <f t="shared" si="847"/>
        <v>1</v>
      </c>
      <c r="AI820" s="228">
        <f t="shared" si="848"/>
        <v>1</v>
      </c>
      <c r="AJ820" s="228">
        <f t="shared" si="849"/>
        <v>0</v>
      </c>
      <c r="AK820" s="228">
        <v>0</v>
      </c>
      <c r="AL820" s="228">
        <v>0</v>
      </c>
      <c r="AM820" s="228">
        <f t="shared" si="825"/>
        <v>-100</v>
      </c>
      <c r="AN820" s="228" cm="1">
        <f t="array" ref="AN820">IF(ISBLANK(G820), 1, IFERROR(MATCH(G820, INDEX(Kat,,1), 0), IFERROR(MATCH(Kat, INDEX(Use,,2), 0), MATCH(Kat, INDEX(Use,,3), 0))))</f>
        <v>1</v>
      </c>
      <c r="AO820" s="246"/>
      <c r="AP820" s="228" cm="1">
        <f t="array" ref="AP820">IF(W820&gt;0, INDEX(Kat, AN820,4), 0)</f>
        <v>0</v>
      </c>
      <c r="AQ820" s="228">
        <f t="shared" si="850"/>
        <v>0</v>
      </c>
      <c r="AR820" s="228" cm="1">
        <f t="array" ref="AR820">IF(X820&gt;0, INDEX(Kat, $AN820, 4+AQ820), 0)</f>
        <v>0</v>
      </c>
      <c r="AS820" s="228" cm="1">
        <f t="array" ref="AS820">IF(X820&gt;0, INDEX(Kat, $AN820, 9+AQ820), 0)</f>
        <v>0</v>
      </c>
      <c r="AT820" s="246"/>
      <c r="AU820" s="262"/>
      <c r="AV820" s="262"/>
      <c r="AW820" s="263"/>
      <c r="AX820" s="263"/>
      <c r="AY820" s="263"/>
      <c r="AZ820" s="263"/>
      <c r="BA820" s="263"/>
      <c r="BB820" s="263"/>
      <c r="BC820" s="263"/>
      <c r="BD820" s="263"/>
      <c r="BE820" s="263"/>
      <c r="BF820" s="263"/>
      <c r="BG820" s="263"/>
      <c r="BH820" s="246"/>
      <c r="BI820" s="228" cm="1">
        <f t="array" ref="BI820">INDEX(Use, $AH820, 4)</f>
        <v>7</v>
      </c>
      <c r="BJ820" s="228">
        <f t="shared" si="826"/>
        <v>32</v>
      </c>
      <c r="BK820" s="228">
        <f t="shared" si="852"/>
        <v>13</v>
      </c>
      <c r="BL820" s="228">
        <f t="shared" si="853"/>
        <v>0</v>
      </c>
      <c r="BM820" s="233" cm="1">
        <f t="array" ref="BM820">L820/IF($M820&gt;0, INDEX($AY$22:$BE$76, $M820+20, $AH820), 1)</f>
        <v>0</v>
      </c>
      <c r="BN820" s="229">
        <f t="shared" si="827"/>
        <v>0</v>
      </c>
      <c r="BO820" s="228">
        <v>35</v>
      </c>
      <c r="BP820" s="229">
        <f t="shared" si="828"/>
        <v>48</v>
      </c>
      <c r="BQ820" s="234">
        <f t="shared" si="829"/>
        <v>3.0748170731707316</v>
      </c>
      <c r="BR820" s="234" cm="1">
        <f t="array" ref="BR820">$BM820 * SUMPRODUCT(INDEX($AV$76:$AX$81,,$AI820),INDEX($AY$76:$BE$81,,$AH820), N($AU$76:$AU$81&gt;$AM820)) / BQ820 / 1000</f>
        <v>0</v>
      </c>
      <c r="BS820" s="231">
        <f t="shared" si="854"/>
        <v>30</v>
      </c>
      <c r="BT820" s="229">
        <f t="shared" si="830"/>
        <v>43</v>
      </c>
      <c r="BU820" s="234">
        <f t="shared" si="831"/>
        <v>3.5018750000000001</v>
      </c>
      <c r="BV820" s="234" cm="1">
        <f t="array" ref="BV820">$BM820 * IF($AH820&lt;=2,
SUMPRODUCT(INDEX($AV$71:$AX$75,,$AI820), INDEX($AY$71:$BE$75,,$AH820), 1 / ($BF$71:$BF$75*BU820 + (1-$BF$71:$BF$75)*BQ820), N($AU$71:$AU$75&gt;$AM820)),
SUMPRODUCT(INDEX($AV$66:$AX$75,,$AI820), INDEX($AY$66:$BE$75,,$AH820), 1 / ($BG$66:$BG$75*BU820 + (1-$BG$66:$BG$75)*BQ820), N($AU$66:$AU$75&gt;$AM820))
) / 1000</f>
        <v>0</v>
      </c>
      <c r="BW820" s="231">
        <f t="shared" si="855"/>
        <v>25</v>
      </c>
      <c r="BX820" s="229">
        <f t="shared" si="832"/>
        <v>38</v>
      </c>
      <c r="BY820" s="234">
        <f t="shared" si="833"/>
        <v>4.0666935483870965</v>
      </c>
      <c r="BZ820" s="234" cm="1">
        <f t="array" ref="BZ820">$BM820 * IF($AH820&lt;=2,
SUMPRODUCT(INDEX($AV$66:$AX$70,,$AI820), INDEX($AY$66:$BE$70,,$AH820), 1 / ($BF$66:$BF$70*BY820 + (1-$BF$66:$BF$70)*BU820), N($AU$66:$AU$70&gt;$AM820)),
SUMPRODUCT(INDEX($AV$56:$AX$65,,$AI820), INDEX($AY$56:$BE$65,,$AH820), 1 / ($BG$56:$BG$65*BY820 + (1-$BG$56:$BG$65)*BU820), N($AU$56:$AU$65&gt;$AM820))
) / 1000</f>
        <v>0</v>
      </c>
      <c r="CA820" s="231">
        <f t="shared" si="856"/>
        <v>20</v>
      </c>
      <c r="CB820" s="229">
        <f t="shared" si="834"/>
        <v>33</v>
      </c>
      <c r="CC820" s="234">
        <f t="shared" si="835"/>
        <v>4.8487499999999999</v>
      </c>
      <c r="CD820" s="234" cm="1">
        <f t="array" ref="CD820">$BM820 * IF($AH820&lt;=2,
SUMPRODUCT(INDEX($AV$61:$AX$65,,$AI820), INDEX($AY$61:$BE$65,,$AH820), 1 / ($BF$61:$BF$65*CC820 + (1-$BF$61:$BF$65)*BY820), N($AU$61:$AU$65&gt;$AM820)),
SUMPRODUCT(INDEX($AV$46:$AX$55,,$AI820), INDEX($AY$46:$BE$55,,$AH820), 1 / ($BG$46:$BG$55*CC820 + (1-$BG$46:$BG$55)*BY820), N($AU$46:$AU$55&gt;$AM820))
) / 1000</f>
        <v>0</v>
      </c>
      <c r="CE820" s="234" cm="1">
        <f t="array" ref="CE820">$BM820 * IF($AH820&lt;=2,
SUMPRODUCT(INDEX($AV$22:$AX$60,,$AI820), INDEX($AY$22:$BE$60,,$AH820), 1 / ($BF$22:$BF$60*CC820), N($AU$22:$AU$60&gt;$AM820)),
SUMPRODUCT(INDEX($AV$22:$AX$45,,$AI820), INDEX($AY$22:$BE$45,,$AH820), 1 / ($BG$22:$BG$45*CC820), N($AU$22:$AU$45&gt;$AM820))
) / 1000</f>
        <v>0</v>
      </c>
      <c r="CF820" s="229">
        <f t="shared" si="836"/>
        <v>0</v>
      </c>
      <c r="CG820" s="246"/>
      <c r="CH820" s="229">
        <f t="shared" si="837"/>
        <v>0</v>
      </c>
      <c r="CI820" s="228">
        <v>35</v>
      </c>
      <c r="CJ820" s="229">
        <f t="shared" si="838"/>
        <v>48</v>
      </c>
      <c r="CK820" s="234">
        <f t="shared" si="839"/>
        <v>3.0748170731707316</v>
      </c>
      <c r="CL820" s="234" cm="1">
        <f t="array" ref="CL820">$BM820 * SUMPRODUCT(INDEX($AV$76:$AX$81,,$AI820),INDEX($AY$76:$BE$81,,$AH820), N($AU$76:$AU$81&gt;$AM820)) / CK820 / 1000</f>
        <v>0</v>
      </c>
      <c r="CM820" s="231">
        <f t="shared" si="857"/>
        <v>30</v>
      </c>
      <c r="CN820" s="229">
        <f t="shared" si="840"/>
        <v>43</v>
      </c>
      <c r="CO820" s="234">
        <f t="shared" si="841"/>
        <v>3.5018750000000001</v>
      </c>
      <c r="CP820" s="234" cm="1">
        <f t="array" ref="CP820">$BM820 * IF($AH820&lt;=2,
SUMPRODUCT(INDEX($AV$71:$AX$75,,$AI820), INDEX($AY$71:$BE$75,,$AH820), 1 / ($BF$71:$BF$75*CO820 + (1-$BF$71:$BF$75)*CK820), N($AU$71:$AU$75&gt;$AM820)),
SUMPRODUCT(INDEX($AV$66:$AX$75,,$AI820), INDEX($AY$66:$BE$75,,$AH820), 1 / ($BG$66:$BG$75*CO820 + (1-$BG$66:$BG$75)*CK820), N($AU$66:$AU$75&gt;$AM820))
) / 1000</f>
        <v>0</v>
      </c>
      <c r="CQ820" s="231">
        <f t="shared" si="858"/>
        <v>25</v>
      </c>
      <c r="CR820" s="229">
        <f t="shared" si="842"/>
        <v>38</v>
      </c>
      <c r="CS820" s="234">
        <f t="shared" si="843"/>
        <v>4.0666935483870965</v>
      </c>
      <c r="CT820" s="234" cm="1">
        <f t="array" ref="CT820">$BM820 * IF($AH820&lt;=2,
SUMPRODUCT(INDEX($AV$66:$AX$70,,$AI820), INDEX($AY$66:$BE$70,,$AH820), 1 / ($BF$66:$BF$70*CS820 + (1-$BF$66:$BF$70)*CO820), N($AU$66:$AU$70&gt;$AM820)),
SUMPRODUCT(INDEX($AV$56:$AX$65,,$AI820), INDEX($AY$56:$BE$65,,$AH820), 1 / ($BG$56:$BG$65*CS820 + (1-$BG$56:$BG$65)*CO820), N($AU$56:$AU$65&gt;$AM820))
) / 1000</f>
        <v>0</v>
      </c>
      <c r="CU820" s="231">
        <f t="shared" si="859"/>
        <v>20</v>
      </c>
      <c r="CV820" s="229">
        <f t="shared" si="844"/>
        <v>33</v>
      </c>
      <c r="CW820" s="234">
        <f t="shared" si="845"/>
        <v>4.8487499999999999</v>
      </c>
      <c r="CX820" s="234" cm="1">
        <f t="array" ref="CX820">$BM820 * IF($AH820&lt;=2,
SUMPRODUCT(INDEX($AV$61:$AX$65,,$AI820), INDEX($AY$61:$BE$65,,$AH820), 1 / ($BF$61:$BF$65*CW820 + (1-$BF$61:$BF$65)*CS820), N($AU$61:$AU$65&gt;$AM820)),
SUMPRODUCT(INDEX($AV$46:$AX$55,,$AI820), INDEX($AY$46:$BE$55,,$AH820), 1 / ($BG$46:$BG$55*CW820 + (1-$BG$46:$BG$55)*CS820), N($AU$46:$AU$55&gt;$AM820))
) / 1000</f>
        <v>0</v>
      </c>
      <c r="CY820" s="234" cm="1">
        <f t="array" ref="CY820">$BM820 * IF($AH820&lt;=2,
SUMPRODUCT(INDEX($AV$22:$AX$60,,$AI820), INDEX($AY$22:$BE$60,,$AH820), 1 / ($BF$22:$BF$60*CW820), N($AU$22:$AU$60&gt;$AM820)),
SUMPRODUCT(INDEX($AV$22:$AX$45,,$AI820), INDEX($AY$22:$BE$45,,$AH820), 1 / ($BG$22:$BG$45*CW820), N($AU$22:$AU$45&gt;$AM820))
) / 1000</f>
        <v>0</v>
      </c>
      <c r="CZ820" s="229">
        <f t="shared" si="846"/>
        <v>0</v>
      </c>
      <c r="DA820" s="246"/>
    </row>
    <row r="821" spans="1:105" s="75" customFormat="1" ht="14.25" customHeight="1" x14ac:dyDescent="0.2">
      <c r="A821" s="230" t="b">
        <f t="shared" si="851"/>
        <v>0</v>
      </c>
      <c r="B821" s="253">
        <v>800</v>
      </c>
      <c r="C821" s="266"/>
      <c r="D821" s="266"/>
      <c r="E821" s="254"/>
      <c r="F821" s="255" t="str">
        <f>IF(ISBLANK(E821), "", VLOOKUP(E821, Z!$A$2:$C$4127, 3, FALSE))</f>
        <v/>
      </c>
      <c r="G821" s="256"/>
      <c r="H821" s="256"/>
      <c r="I821" s="256"/>
      <c r="J821" s="257"/>
      <c r="K821" s="258"/>
      <c r="L821" s="267"/>
      <c r="M821" s="268"/>
      <c r="N821" s="259" t="str" cm="1">
        <f t="array" ref="N821">IF($L821&gt;0, INDEX(Clean,1+AK821,$D$1), "")</f>
        <v/>
      </c>
      <c r="O821" s="260"/>
      <c r="P821" s="260"/>
      <c r="Q821" s="261"/>
      <c r="R821" s="264">
        <f t="shared" si="822"/>
        <v>0</v>
      </c>
      <c r="S821" s="259" t="str" cm="1">
        <f t="array" ref="S821">IF($L821&gt;0, INDEX(Clean,1+AL821,$D$1), "")</f>
        <v/>
      </c>
      <c r="T821" s="260"/>
      <c r="U821" s="260"/>
      <c r="V821" s="261"/>
      <c r="W821" s="267"/>
      <c r="X821" s="267"/>
      <c r="Y821" s="257"/>
      <c r="Z821" s="264">
        <f t="shared" si="823"/>
        <v>0</v>
      </c>
      <c r="AA821" s="269"/>
      <c r="AB821" s="266"/>
      <c r="AC821" s="254"/>
      <c r="AD821" s="255" t="str">
        <f>IF(ISBLANK(AC821), "", VLOOKUP(AC821, Z!$A$2:$C$4127, 3, FALSE))</f>
        <v/>
      </c>
      <c r="AE821" s="270"/>
      <c r="AF821" s="265">
        <f t="shared" si="824"/>
        <v>0</v>
      </c>
      <c r="AG821" s="246"/>
      <c r="AH821" s="228">
        <f t="shared" si="847"/>
        <v>1</v>
      </c>
      <c r="AI821" s="228">
        <f t="shared" si="848"/>
        <v>1</v>
      </c>
      <c r="AJ821" s="228">
        <f t="shared" si="849"/>
        <v>0</v>
      </c>
      <c r="AK821" s="228">
        <v>0</v>
      </c>
      <c r="AL821" s="228">
        <v>0</v>
      </c>
      <c r="AM821" s="228">
        <f t="shared" si="825"/>
        <v>-100</v>
      </c>
      <c r="AN821" s="228" cm="1">
        <f t="array" ref="AN821">IF(ISBLANK(G821), 1, IFERROR(MATCH(G821, INDEX(Kat,,1), 0), IFERROR(MATCH(Kat, INDEX(Use,,2), 0), MATCH(Kat, INDEX(Use,,3), 0))))</f>
        <v>1</v>
      </c>
      <c r="AO821" s="246"/>
      <c r="AP821" s="228" cm="1">
        <f t="array" ref="AP821">IF(W821&gt;0, INDEX(Kat, AN821,4), 0)</f>
        <v>0</v>
      </c>
      <c r="AQ821" s="228">
        <f t="shared" si="850"/>
        <v>0</v>
      </c>
      <c r="AR821" s="228" cm="1">
        <f t="array" ref="AR821">IF(X821&gt;0, INDEX(Kat, $AN821, 4+AQ821), 0)</f>
        <v>0</v>
      </c>
      <c r="AS821" s="228" cm="1">
        <f t="array" ref="AS821">IF(X821&gt;0, INDEX(Kat, $AN821, 9+AQ821), 0)</f>
        <v>0</v>
      </c>
      <c r="AT821" s="246"/>
      <c r="AU821" s="262"/>
      <c r="AV821" s="262"/>
      <c r="AW821" s="263"/>
      <c r="AX821" s="263"/>
      <c r="AY821" s="263"/>
      <c r="AZ821" s="263"/>
      <c r="BA821" s="263"/>
      <c r="BB821" s="263"/>
      <c r="BC821" s="263"/>
      <c r="BD821" s="263"/>
      <c r="BE821" s="263"/>
      <c r="BF821" s="263"/>
      <c r="BG821" s="263"/>
      <c r="BH821" s="246"/>
      <c r="BI821" s="228" cm="1">
        <f t="array" ref="BI821">INDEX(Use, $AH821, 4)</f>
        <v>7</v>
      </c>
      <c r="BJ821" s="228">
        <f t="shared" si="826"/>
        <v>32</v>
      </c>
      <c r="BK821" s="228">
        <f t="shared" si="852"/>
        <v>13</v>
      </c>
      <c r="BL821" s="228">
        <f t="shared" si="853"/>
        <v>0</v>
      </c>
      <c r="BM821" s="233" cm="1">
        <f t="array" ref="BM821">L821/IF($M821&gt;0, INDEX($AY$22:$BE$76, $M821+20, $AH821), 1)</f>
        <v>0</v>
      </c>
      <c r="BN821" s="229">
        <f t="shared" si="827"/>
        <v>0</v>
      </c>
      <c r="BO821" s="228">
        <v>35</v>
      </c>
      <c r="BP821" s="229">
        <f t="shared" si="828"/>
        <v>48</v>
      </c>
      <c r="BQ821" s="234">
        <f t="shared" si="829"/>
        <v>3.0748170731707316</v>
      </c>
      <c r="BR821" s="234" cm="1">
        <f t="array" ref="BR821">$BM821 * SUMPRODUCT(INDEX($AV$76:$AX$81,,$AI821),INDEX($AY$76:$BE$81,,$AH821), N($AU$76:$AU$81&gt;$AM821)) / BQ821 / 1000</f>
        <v>0</v>
      </c>
      <c r="BS821" s="231">
        <f t="shared" si="854"/>
        <v>30</v>
      </c>
      <c r="BT821" s="229">
        <f t="shared" si="830"/>
        <v>43</v>
      </c>
      <c r="BU821" s="234">
        <f t="shared" si="831"/>
        <v>3.5018750000000001</v>
      </c>
      <c r="BV821" s="234" cm="1">
        <f t="array" ref="BV821">$BM821 * IF($AH821&lt;=2,
SUMPRODUCT(INDEX($AV$71:$AX$75,,$AI821), INDEX($AY$71:$BE$75,,$AH821), 1 / ($BF$71:$BF$75*BU821 + (1-$BF$71:$BF$75)*BQ821), N($AU$71:$AU$75&gt;$AM821)),
SUMPRODUCT(INDEX($AV$66:$AX$75,,$AI821), INDEX($AY$66:$BE$75,,$AH821), 1 / ($BG$66:$BG$75*BU821 + (1-$BG$66:$BG$75)*BQ821), N($AU$66:$AU$75&gt;$AM821))
) / 1000</f>
        <v>0</v>
      </c>
      <c r="BW821" s="231">
        <f t="shared" si="855"/>
        <v>25</v>
      </c>
      <c r="BX821" s="229">
        <f t="shared" si="832"/>
        <v>38</v>
      </c>
      <c r="BY821" s="234">
        <f t="shared" si="833"/>
        <v>4.0666935483870965</v>
      </c>
      <c r="BZ821" s="234" cm="1">
        <f t="array" ref="BZ821">$BM821 * IF($AH821&lt;=2,
SUMPRODUCT(INDEX($AV$66:$AX$70,,$AI821), INDEX($AY$66:$BE$70,,$AH821), 1 / ($BF$66:$BF$70*BY821 + (1-$BF$66:$BF$70)*BU821), N($AU$66:$AU$70&gt;$AM821)),
SUMPRODUCT(INDEX($AV$56:$AX$65,,$AI821), INDEX($AY$56:$BE$65,,$AH821), 1 / ($BG$56:$BG$65*BY821 + (1-$BG$56:$BG$65)*BU821), N($AU$56:$AU$65&gt;$AM821))
) / 1000</f>
        <v>0</v>
      </c>
      <c r="CA821" s="231">
        <f t="shared" si="856"/>
        <v>20</v>
      </c>
      <c r="CB821" s="229">
        <f t="shared" si="834"/>
        <v>33</v>
      </c>
      <c r="CC821" s="234">
        <f t="shared" si="835"/>
        <v>4.8487499999999999</v>
      </c>
      <c r="CD821" s="234" cm="1">
        <f t="array" ref="CD821">$BM821 * IF($AH821&lt;=2,
SUMPRODUCT(INDEX($AV$61:$AX$65,,$AI821), INDEX($AY$61:$BE$65,,$AH821), 1 / ($BF$61:$BF$65*CC821 + (1-$BF$61:$BF$65)*BY821), N($AU$61:$AU$65&gt;$AM821)),
SUMPRODUCT(INDEX($AV$46:$AX$55,,$AI821), INDEX($AY$46:$BE$55,,$AH821), 1 / ($BG$46:$BG$55*CC821 + (1-$BG$46:$BG$55)*BY821), N($AU$46:$AU$55&gt;$AM821))
) / 1000</f>
        <v>0</v>
      </c>
      <c r="CE821" s="234" cm="1">
        <f t="array" ref="CE821">$BM821 * IF($AH821&lt;=2,
SUMPRODUCT(INDEX($AV$22:$AX$60,,$AI821), INDEX($AY$22:$BE$60,,$AH821), 1 / ($BF$22:$BF$60*CC821), N($AU$22:$AU$60&gt;$AM821)),
SUMPRODUCT(INDEX($AV$22:$AX$45,,$AI821), INDEX($AY$22:$BE$45,,$AH821), 1 / ($BG$22:$BG$45*CC821), N($AU$22:$AU$45&gt;$AM821))
) / 1000</f>
        <v>0</v>
      </c>
      <c r="CF821" s="229">
        <f t="shared" si="836"/>
        <v>0</v>
      </c>
      <c r="CG821" s="246"/>
      <c r="CH821" s="229">
        <f t="shared" si="837"/>
        <v>0</v>
      </c>
      <c r="CI821" s="228">
        <v>35</v>
      </c>
      <c r="CJ821" s="229">
        <f t="shared" si="838"/>
        <v>48</v>
      </c>
      <c r="CK821" s="234">
        <f t="shared" si="839"/>
        <v>3.0748170731707316</v>
      </c>
      <c r="CL821" s="234" cm="1">
        <f t="array" ref="CL821">$BM821 * SUMPRODUCT(INDEX($AV$76:$AX$81,,$AI821),INDEX($AY$76:$BE$81,,$AH821), N($AU$76:$AU$81&gt;$AM821)) / CK821 / 1000</f>
        <v>0</v>
      </c>
      <c r="CM821" s="231">
        <f t="shared" si="857"/>
        <v>30</v>
      </c>
      <c r="CN821" s="229">
        <f t="shared" si="840"/>
        <v>43</v>
      </c>
      <c r="CO821" s="234">
        <f t="shared" si="841"/>
        <v>3.5018750000000001</v>
      </c>
      <c r="CP821" s="234" cm="1">
        <f t="array" ref="CP821">$BM821 * IF($AH821&lt;=2,
SUMPRODUCT(INDEX($AV$71:$AX$75,,$AI821), INDEX($AY$71:$BE$75,,$AH821), 1 / ($BF$71:$BF$75*CO821 + (1-$BF$71:$BF$75)*CK821), N($AU$71:$AU$75&gt;$AM821)),
SUMPRODUCT(INDEX($AV$66:$AX$75,,$AI821), INDEX($AY$66:$BE$75,,$AH821), 1 / ($BG$66:$BG$75*CO821 + (1-$BG$66:$BG$75)*CK821), N($AU$66:$AU$75&gt;$AM821))
) / 1000</f>
        <v>0</v>
      </c>
      <c r="CQ821" s="231">
        <f t="shared" si="858"/>
        <v>25</v>
      </c>
      <c r="CR821" s="229">
        <f t="shared" si="842"/>
        <v>38</v>
      </c>
      <c r="CS821" s="234">
        <f t="shared" si="843"/>
        <v>4.0666935483870965</v>
      </c>
      <c r="CT821" s="234" cm="1">
        <f t="array" ref="CT821">$BM821 * IF($AH821&lt;=2,
SUMPRODUCT(INDEX($AV$66:$AX$70,,$AI821), INDEX($AY$66:$BE$70,,$AH821), 1 / ($BF$66:$BF$70*CS821 + (1-$BF$66:$BF$70)*CO821), N($AU$66:$AU$70&gt;$AM821)),
SUMPRODUCT(INDEX($AV$56:$AX$65,,$AI821), INDEX($AY$56:$BE$65,,$AH821), 1 / ($BG$56:$BG$65*CS821 + (1-$BG$56:$BG$65)*CO821), N($AU$56:$AU$65&gt;$AM821))
) / 1000</f>
        <v>0</v>
      </c>
      <c r="CU821" s="231">
        <f t="shared" si="859"/>
        <v>20</v>
      </c>
      <c r="CV821" s="229">
        <f t="shared" si="844"/>
        <v>33</v>
      </c>
      <c r="CW821" s="234">
        <f t="shared" si="845"/>
        <v>4.8487499999999999</v>
      </c>
      <c r="CX821" s="234" cm="1">
        <f t="array" ref="CX821">$BM821 * IF($AH821&lt;=2,
SUMPRODUCT(INDEX($AV$61:$AX$65,,$AI821), INDEX($AY$61:$BE$65,,$AH821), 1 / ($BF$61:$BF$65*CW821 + (1-$BF$61:$BF$65)*CS821), N($AU$61:$AU$65&gt;$AM821)),
SUMPRODUCT(INDEX($AV$46:$AX$55,,$AI821), INDEX($AY$46:$BE$55,,$AH821), 1 / ($BG$46:$BG$55*CW821 + (1-$BG$46:$BG$55)*CS821), N($AU$46:$AU$55&gt;$AM821))
) / 1000</f>
        <v>0</v>
      </c>
      <c r="CY821" s="234" cm="1">
        <f t="array" ref="CY821">$BM821 * IF($AH821&lt;=2,
SUMPRODUCT(INDEX($AV$22:$AX$60,,$AI821), INDEX($AY$22:$BE$60,,$AH821), 1 / ($BF$22:$BF$60*CW821), N($AU$22:$AU$60&gt;$AM821)),
SUMPRODUCT(INDEX($AV$22:$AX$45,,$AI821), INDEX($AY$22:$BE$45,,$AH821), 1 / ($BG$22:$BG$45*CW821), N($AU$22:$AU$45&gt;$AM821))
) / 1000</f>
        <v>0</v>
      </c>
      <c r="CZ821" s="229">
        <f t="shared" si="846"/>
        <v>0</v>
      </c>
      <c r="DA821" s="246"/>
    </row>
    <row r="822" spans="1:105" s="75" customFormat="1" ht="14.25" customHeight="1" x14ac:dyDescent="0.2">
      <c r="A822" s="230" t="b">
        <f t="shared" si="851"/>
        <v>0</v>
      </c>
      <c r="B822" s="253">
        <v>801</v>
      </c>
      <c r="C822" s="266"/>
      <c r="D822" s="266"/>
      <c r="E822" s="254"/>
      <c r="F822" s="255" t="str">
        <f>IF(ISBLANK(E822), "", VLOOKUP(E822, Z!$A$2:$C$4127, 3, FALSE))</f>
        <v/>
      </c>
      <c r="G822" s="256"/>
      <c r="H822" s="256"/>
      <c r="I822" s="256"/>
      <c r="J822" s="257"/>
      <c r="K822" s="258"/>
      <c r="L822" s="267"/>
      <c r="M822" s="268"/>
      <c r="N822" s="259" t="str" cm="1">
        <f t="array" ref="N822">IF($L822&gt;0, INDEX(Clean,1+AK822,$D$1), "")</f>
        <v/>
      </c>
      <c r="O822" s="260"/>
      <c r="P822" s="260"/>
      <c r="Q822" s="261"/>
      <c r="R822" s="264">
        <f t="shared" si="822"/>
        <v>0</v>
      </c>
      <c r="S822" s="259" t="str" cm="1">
        <f t="array" ref="S822">IF($L822&gt;0, INDEX(Clean,1+AL822,$D$1), "")</f>
        <v/>
      </c>
      <c r="T822" s="260"/>
      <c r="U822" s="260"/>
      <c r="V822" s="261"/>
      <c r="W822" s="267"/>
      <c r="X822" s="267"/>
      <c r="Y822" s="257"/>
      <c r="Z822" s="264">
        <f t="shared" si="823"/>
        <v>0</v>
      </c>
      <c r="AA822" s="269"/>
      <c r="AB822" s="266"/>
      <c r="AC822" s="254"/>
      <c r="AD822" s="255" t="str">
        <f>IF(ISBLANK(AC822), "", VLOOKUP(AC822, Z!$A$2:$C$4127, 3, FALSE))</f>
        <v/>
      </c>
      <c r="AE822" s="270"/>
      <c r="AF822" s="265">
        <f t="shared" si="824"/>
        <v>0</v>
      </c>
      <c r="AG822" s="246"/>
      <c r="AH822" s="228">
        <f t="shared" si="847"/>
        <v>1</v>
      </c>
      <c r="AI822" s="228">
        <f t="shared" si="848"/>
        <v>1</v>
      </c>
      <c r="AJ822" s="228">
        <f t="shared" si="849"/>
        <v>0</v>
      </c>
      <c r="AK822" s="228">
        <v>0</v>
      </c>
      <c r="AL822" s="228">
        <v>0</v>
      </c>
      <c r="AM822" s="228">
        <f t="shared" si="825"/>
        <v>-100</v>
      </c>
      <c r="AN822" s="228" cm="1">
        <f t="array" ref="AN822">IF(ISBLANK(G822), 1, IFERROR(MATCH(G822, INDEX(Kat,,1), 0), IFERROR(MATCH(Kat, INDEX(Use,,2), 0), MATCH(Kat, INDEX(Use,,3), 0))))</f>
        <v>1</v>
      </c>
      <c r="AO822" s="246"/>
      <c r="AP822" s="228" cm="1">
        <f t="array" ref="AP822">IF(W822&gt;0, INDEX(Kat, AN822,4), 0)</f>
        <v>0</v>
      </c>
      <c r="AQ822" s="228">
        <f t="shared" si="850"/>
        <v>0</v>
      </c>
      <c r="AR822" s="228" cm="1">
        <f t="array" ref="AR822">IF(X822&gt;0, INDEX(Kat, $AN822, 4+AQ822), 0)</f>
        <v>0</v>
      </c>
      <c r="AS822" s="228" cm="1">
        <f t="array" ref="AS822">IF(X822&gt;0, INDEX(Kat, $AN822, 9+AQ822), 0)</f>
        <v>0</v>
      </c>
      <c r="AT822" s="246"/>
      <c r="AU822" s="262"/>
      <c r="AV822" s="262"/>
      <c r="AW822" s="263"/>
      <c r="AX822" s="263"/>
      <c r="AY822" s="263"/>
      <c r="AZ822" s="263"/>
      <c r="BA822" s="263"/>
      <c r="BB822" s="263"/>
      <c r="BC822" s="263"/>
      <c r="BD822" s="263"/>
      <c r="BE822" s="263"/>
      <c r="BF822" s="263"/>
      <c r="BG822" s="263"/>
      <c r="BH822" s="246"/>
      <c r="BI822" s="228" cm="1">
        <f t="array" ref="BI822">INDEX(Use, $AH822, 4)</f>
        <v>7</v>
      </c>
      <c r="BJ822" s="228">
        <f t="shared" si="826"/>
        <v>32</v>
      </c>
      <c r="BK822" s="228">
        <f t="shared" si="852"/>
        <v>13</v>
      </c>
      <c r="BL822" s="228">
        <f t="shared" si="853"/>
        <v>0</v>
      </c>
      <c r="BM822" s="233" cm="1">
        <f t="array" ref="BM822">L822/IF($M822&gt;0, INDEX($AY$22:$BE$76, $M822+20, $AH822), 1)</f>
        <v>0</v>
      </c>
      <c r="BN822" s="229">
        <f t="shared" si="827"/>
        <v>0</v>
      </c>
      <c r="BO822" s="228">
        <v>35</v>
      </c>
      <c r="BP822" s="229">
        <f t="shared" si="828"/>
        <v>48</v>
      </c>
      <c r="BQ822" s="234">
        <f t="shared" si="829"/>
        <v>3.0748170731707316</v>
      </c>
      <c r="BR822" s="234" cm="1">
        <f t="array" ref="BR822">$BM822 * SUMPRODUCT(INDEX($AV$76:$AX$81,,$AI822),INDEX($AY$76:$BE$81,,$AH822), N($AU$76:$AU$81&gt;$AM822)) / BQ822 / 1000</f>
        <v>0</v>
      </c>
      <c r="BS822" s="231">
        <f t="shared" si="854"/>
        <v>30</v>
      </c>
      <c r="BT822" s="229">
        <f t="shared" si="830"/>
        <v>43</v>
      </c>
      <c r="BU822" s="234">
        <f t="shared" si="831"/>
        <v>3.5018750000000001</v>
      </c>
      <c r="BV822" s="234" cm="1">
        <f t="array" ref="BV822">$BM822 * IF($AH822&lt;=2,
SUMPRODUCT(INDEX($AV$71:$AX$75,,$AI822), INDEX($AY$71:$BE$75,,$AH822), 1 / ($BF$71:$BF$75*BU822 + (1-$BF$71:$BF$75)*BQ822), N($AU$71:$AU$75&gt;$AM822)),
SUMPRODUCT(INDEX($AV$66:$AX$75,,$AI822), INDEX($AY$66:$BE$75,,$AH822), 1 / ($BG$66:$BG$75*BU822 + (1-$BG$66:$BG$75)*BQ822), N($AU$66:$AU$75&gt;$AM822))
) / 1000</f>
        <v>0</v>
      </c>
      <c r="BW822" s="231">
        <f t="shared" si="855"/>
        <v>25</v>
      </c>
      <c r="BX822" s="229">
        <f t="shared" si="832"/>
        <v>38</v>
      </c>
      <c r="BY822" s="234">
        <f t="shared" si="833"/>
        <v>4.0666935483870965</v>
      </c>
      <c r="BZ822" s="234" cm="1">
        <f t="array" ref="BZ822">$BM822 * IF($AH822&lt;=2,
SUMPRODUCT(INDEX($AV$66:$AX$70,,$AI822), INDEX($AY$66:$BE$70,,$AH822), 1 / ($BF$66:$BF$70*BY822 + (1-$BF$66:$BF$70)*BU822), N($AU$66:$AU$70&gt;$AM822)),
SUMPRODUCT(INDEX($AV$56:$AX$65,,$AI822), INDEX($AY$56:$BE$65,,$AH822), 1 / ($BG$56:$BG$65*BY822 + (1-$BG$56:$BG$65)*BU822), N($AU$56:$AU$65&gt;$AM822))
) / 1000</f>
        <v>0</v>
      </c>
      <c r="CA822" s="231">
        <f t="shared" si="856"/>
        <v>20</v>
      </c>
      <c r="CB822" s="229">
        <f t="shared" si="834"/>
        <v>33</v>
      </c>
      <c r="CC822" s="234">
        <f t="shared" si="835"/>
        <v>4.8487499999999999</v>
      </c>
      <c r="CD822" s="234" cm="1">
        <f t="array" ref="CD822">$BM822 * IF($AH822&lt;=2,
SUMPRODUCT(INDEX($AV$61:$AX$65,,$AI822), INDEX($AY$61:$BE$65,,$AH822), 1 / ($BF$61:$BF$65*CC822 + (1-$BF$61:$BF$65)*BY822), N($AU$61:$AU$65&gt;$AM822)),
SUMPRODUCT(INDEX($AV$46:$AX$55,,$AI822), INDEX($AY$46:$BE$55,,$AH822), 1 / ($BG$46:$BG$55*CC822 + (1-$BG$46:$BG$55)*BY822), N($AU$46:$AU$55&gt;$AM822))
) / 1000</f>
        <v>0</v>
      </c>
      <c r="CE822" s="234" cm="1">
        <f t="array" ref="CE822">$BM822 * IF($AH822&lt;=2,
SUMPRODUCT(INDEX($AV$22:$AX$60,,$AI822), INDEX($AY$22:$BE$60,,$AH822), 1 / ($BF$22:$BF$60*CC822), N($AU$22:$AU$60&gt;$AM822)),
SUMPRODUCT(INDEX($AV$22:$AX$45,,$AI822), INDEX($AY$22:$BE$45,,$AH822), 1 / ($BG$22:$BG$45*CC822), N($AU$22:$AU$45&gt;$AM822))
) / 1000</f>
        <v>0</v>
      </c>
      <c r="CF822" s="229">
        <f t="shared" si="836"/>
        <v>0</v>
      </c>
      <c r="CG822" s="246"/>
      <c r="CH822" s="229">
        <f t="shared" si="837"/>
        <v>0</v>
      </c>
      <c r="CI822" s="228">
        <v>35</v>
      </c>
      <c r="CJ822" s="229">
        <f t="shared" si="838"/>
        <v>48</v>
      </c>
      <c r="CK822" s="234">
        <f t="shared" si="839"/>
        <v>3.0748170731707316</v>
      </c>
      <c r="CL822" s="234" cm="1">
        <f t="array" ref="CL822">$BM822 * SUMPRODUCT(INDEX($AV$76:$AX$81,,$AI822),INDEX($AY$76:$BE$81,,$AH822), N($AU$76:$AU$81&gt;$AM822)) / CK822 / 1000</f>
        <v>0</v>
      </c>
      <c r="CM822" s="231">
        <f t="shared" si="857"/>
        <v>30</v>
      </c>
      <c r="CN822" s="229">
        <f t="shared" si="840"/>
        <v>43</v>
      </c>
      <c r="CO822" s="234">
        <f t="shared" si="841"/>
        <v>3.5018750000000001</v>
      </c>
      <c r="CP822" s="234" cm="1">
        <f t="array" ref="CP822">$BM822 * IF($AH822&lt;=2,
SUMPRODUCT(INDEX($AV$71:$AX$75,,$AI822), INDEX($AY$71:$BE$75,,$AH822), 1 / ($BF$71:$BF$75*CO822 + (1-$BF$71:$BF$75)*CK822), N($AU$71:$AU$75&gt;$AM822)),
SUMPRODUCT(INDEX($AV$66:$AX$75,,$AI822), INDEX($AY$66:$BE$75,,$AH822), 1 / ($BG$66:$BG$75*CO822 + (1-$BG$66:$BG$75)*CK822), N($AU$66:$AU$75&gt;$AM822))
) / 1000</f>
        <v>0</v>
      </c>
      <c r="CQ822" s="231">
        <f t="shared" si="858"/>
        <v>25</v>
      </c>
      <c r="CR822" s="229">
        <f t="shared" si="842"/>
        <v>38</v>
      </c>
      <c r="CS822" s="234">
        <f t="shared" si="843"/>
        <v>4.0666935483870965</v>
      </c>
      <c r="CT822" s="234" cm="1">
        <f t="array" ref="CT822">$BM822 * IF($AH822&lt;=2,
SUMPRODUCT(INDEX($AV$66:$AX$70,,$AI822), INDEX($AY$66:$BE$70,,$AH822), 1 / ($BF$66:$BF$70*CS822 + (1-$BF$66:$BF$70)*CO822), N($AU$66:$AU$70&gt;$AM822)),
SUMPRODUCT(INDEX($AV$56:$AX$65,,$AI822), INDEX($AY$56:$BE$65,,$AH822), 1 / ($BG$56:$BG$65*CS822 + (1-$BG$56:$BG$65)*CO822), N($AU$56:$AU$65&gt;$AM822))
) / 1000</f>
        <v>0</v>
      </c>
      <c r="CU822" s="231">
        <f t="shared" si="859"/>
        <v>20</v>
      </c>
      <c r="CV822" s="229">
        <f t="shared" si="844"/>
        <v>33</v>
      </c>
      <c r="CW822" s="234">
        <f t="shared" si="845"/>
        <v>4.8487499999999999</v>
      </c>
      <c r="CX822" s="234" cm="1">
        <f t="array" ref="CX822">$BM822 * IF($AH822&lt;=2,
SUMPRODUCT(INDEX($AV$61:$AX$65,,$AI822), INDEX($AY$61:$BE$65,,$AH822), 1 / ($BF$61:$BF$65*CW822 + (1-$BF$61:$BF$65)*CS822), N($AU$61:$AU$65&gt;$AM822)),
SUMPRODUCT(INDEX($AV$46:$AX$55,,$AI822), INDEX($AY$46:$BE$55,,$AH822), 1 / ($BG$46:$BG$55*CW822 + (1-$BG$46:$BG$55)*CS822), N($AU$46:$AU$55&gt;$AM822))
) / 1000</f>
        <v>0</v>
      </c>
      <c r="CY822" s="234" cm="1">
        <f t="array" ref="CY822">$BM822 * IF($AH822&lt;=2,
SUMPRODUCT(INDEX($AV$22:$AX$60,,$AI822), INDEX($AY$22:$BE$60,,$AH822), 1 / ($BF$22:$BF$60*CW822), N($AU$22:$AU$60&gt;$AM822)),
SUMPRODUCT(INDEX($AV$22:$AX$45,,$AI822), INDEX($AY$22:$BE$45,,$AH822), 1 / ($BG$22:$BG$45*CW822), N($AU$22:$AU$45&gt;$AM822))
) / 1000</f>
        <v>0</v>
      </c>
      <c r="CZ822" s="229">
        <f t="shared" si="846"/>
        <v>0</v>
      </c>
      <c r="DA822" s="246"/>
    </row>
    <row r="823" spans="1:105" s="75" customFormat="1" ht="14.25" customHeight="1" x14ac:dyDescent="0.2">
      <c r="A823" s="230" t="b">
        <f t="shared" si="851"/>
        <v>0</v>
      </c>
      <c r="B823" s="253">
        <v>802</v>
      </c>
      <c r="C823" s="266"/>
      <c r="D823" s="266"/>
      <c r="E823" s="254"/>
      <c r="F823" s="255" t="str">
        <f>IF(ISBLANK(E823), "", VLOOKUP(E823, Z!$A$2:$C$4127, 3, FALSE))</f>
        <v/>
      </c>
      <c r="G823" s="256"/>
      <c r="H823" s="256"/>
      <c r="I823" s="256"/>
      <c r="J823" s="257"/>
      <c r="K823" s="258"/>
      <c r="L823" s="267"/>
      <c r="M823" s="268"/>
      <c r="N823" s="259" t="str" cm="1">
        <f t="array" ref="N823">IF($L823&gt;0, INDEX(Clean,1+AK823,$D$1), "")</f>
        <v/>
      </c>
      <c r="O823" s="260"/>
      <c r="P823" s="260"/>
      <c r="Q823" s="261"/>
      <c r="R823" s="264">
        <f t="shared" si="822"/>
        <v>0</v>
      </c>
      <c r="S823" s="259" t="str" cm="1">
        <f t="array" ref="S823">IF($L823&gt;0, INDEX(Clean,1+AL823,$D$1), "")</f>
        <v/>
      </c>
      <c r="T823" s="260"/>
      <c r="U823" s="260"/>
      <c r="V823" s="261"/>
      <c r="W823" s="267"/>
      <c r="X823" s="267"/>
      <c r="Y823" s="257"/>
      <c r="Z823" s="264">
        <f t="shared" si="823"/>
        <v>0</v>
      </c>
      <c r="AA823" s="269"/>
      <c r="AB823" s="266"/>
      <c r="AC823" s="254"/>
      <c r="AD823" s="255" t="str">
        <f>IF(ISBLANK(AC823), "", VLOOKUP(AC823, Z!$A$2:$C$4127, 3, FALSE))</f>
        <v/>
      </c>
      <c r="AE823" s="270"/>
      <c r="AF823" s="265">
        <f t="shared" si="824"/>
        <v>0</v>
      </c>
      <c r="AG823" s="246"/>
      <c r="AH823" s="228">
        <f t="shared" si="847"/>
        <v>1</v>
      </c>
      <c r="AI823" s="228">
        <f t="shared" si="848"/>
        <v>1</v>
      </c>
      <c r="AJ823" s="228">
        <f t="shared" si="849"/>
        <v>0</v>
      </c>
      <c r="AK823" s="228">
        <v>0</v>
      </c>
      <c r="AL823" s="228">
        <v>0</v>
      </c>
      <c r="AM823" s="228">
        <f t="shared" si="825"/>
        <v>-100</v>
      </c>
      <c r="AN823" s="228" cm="1">
        <f t="array" ref="AN823">IF(ISBLANK(G823), 1, IFERROR(MATCH(G823, INDEX(Kat,,1), 0), IFERROR(MATCH(Kat, INDEX(Use,,2), 0), MATCH(Kat, INDEX(Use,,3), 0))))</f>
        <v>1</v>
      </c>
      <c r="AO823" s="246"/>
      <c r="AP823" s="228" cm="1">
        <f t="array" ref="AP823">IF(W823&gt;0, INDEX(Kat, AN823,4), 0)</f>
        <v>0</v>
      </c>
      <c r="AQ823" s="228">
        <f t="shared" si="850"/>
        <v>0</v>
      </c>
      <c r="AR823" s="228" cm="1">
        <f t="array" ref="AR823">IF(X823&gt;0, INDEX(Kat, $AN823, 4+AQ823), 0)</f>
        <v>0</v>
      </c>
      <c r="AS823" s="228" cm="1">
        <f t="array" ref="AS823">IF(X823&gt;0, INDEX(Kat, $AN823, 9+AQ823), 0)</f>
        <v>0</v>
      </c>
      <c r="AT823" s="246"/>
      <c r="AU823" s="262"/>
      <c r="AV823" s="262"/>
      <c r="AW823" s="263"/>
      <c r="AX823" s="263"/>
      <c r="AY823" s="263"/>
      <c r="AZ823" s="263"/>
      <c r="BA823" s="263"/>
      <c r="BB823" s="263"/>
      <c r="BC823" s="263"/>
      <c r="BD823" s="263"/>
      <c r="BE823" s="263"/>
      <c r="BF823" s="263"/>
      <c r="BG823" s="263"/>
      <c r="BH823" s="246"/>
      <c r="BI823" s="228" cm="1">
        <f t="array" ref="BI823">INDEX(Use, $AH823, 4)</f>
        <v>7</v>
      </c>
      <c r="BJ823" s="228">
        <f t="shared" si="826"/>
        <v>32</v>
      </c>
      <c r="BK823" s="228">
        <f t="shared" si="852"/>
        <v>13</v>
      </c>
      <c r="BL823" s="228">
        <f t="shared" si="853"/>
        <v>0</v>
      </c>
      <c r="BM823" s="233" cm="1">
        <f t="array" ref="BM823">L823/IF($M823&gt;0, INDEX($AY$22:$BE$76, $M823+20, $AH823), 1)</f>
        <v>0</v>
      </c>
      <c r="BN823" s="229">
        <f t="shared" si="827"/>
        <v>0</v>
      </c>
      <c r="BO823" s="228">
        <v>35</v>
      </c>
      <c r="BP823" s="229">
        <f t="shared" si="828"/>
        <v>48</v>
      </c>
      <c r="BQ823" s="234">
        <f t="shared" si="829"/>
        <v>3.0748170731707316</v>
      </c>
      <c r="BR823" s="234" cm="1">
        <f t="array" ref="BR823">$BM823 * SUMPRODUCT(INDEX($AV$76:$AX$81,,$AI823),INDEX($AY$76:$BE$81,,$AH823), N($AU$76:$AU$81&gt;$AM823)) / BQ823 / 1000</f>
        <v>0</v>
      </c>
      <c r="BS823" s="231">
        <f t="shared" si="854"/>
        <v>30</v>
      </c>
      <c r="BT823" s="229">
        <f t="shared" si="830"/>
        <v>43</v>
      </c>
      <c r="BU823" s="234">
        <f t="shared" si="831"/>
        <v>3.5018750000000001</v>
      </c>
      <c r="BV823" s="234" cm="1">
        <f t="array" ref="BV823">$BM823 * IF($AH823&lt;=2,
SUMPRODUCT(INDEX($AV$71:$AX$75,,$AI823), INDEX($AY$71:$BE$75,,$AH823), 1 / ($BF$71:$BF$75*BU823 + (1-$BF$71:$BF$75)*BQ823), N($AU$71:$AU$75&gt;$AM823)),
SUMPRODUCT(INDEX($AV$66:$AX$75,,$AI823), INDEX($AY$66:$BE$75,,$AH823), 1 / ($BG$66:$BG$75*BU823 + (1-$BG$66:$BG$75)*BQ823), N($AU$66:$AU$75&gt;$AM823))
) / 1000</f>
        <v>0</v>
      </c>
      <c r="BW823" s="231">
        <f t="shared" si="855"/>
        <v>25</v>
      </c>
      <c r="BX823" s="229">
        <f t="shared" si="832"/>
        <v>38</v>
      </c>
      <c r="BY823" s="234">
        <f t="shared" si="833"/>
        <v>4.0666935483870965</v>
      </c>
      <c r="BZ823" s="234" cm="1">
        <f t="array" ref="BZ823">$BM823 * IF($AH823&lt;=2,
SUMPRODUCT(INDEX($AV$66:$AX$70,,$AI823), INDEX($AY$66:$BE$70,,$AH823), 1 / ($BF$66:$BF$70*BY823 + (1-$BF$66:$BF$70)*BU823), N($AU$66:$AU$70&gt;$AM823)),
SUMPRODUCT(INDEX($AV$56:$AX$65,,$AI823), INDEX($AY$56:$BE$65,,$AH823), 1 / ($BG$56:$BG$65*BY823 + (1-$BG$56:$BG$65)*BU823), N($AU$56:$AU$65&gt;$AM823))
) / 1000</f>
        <v>0</v>
      </c>
      <c r="CA823" s="231">
        <f t="shared" si="856"/>
        <v>20</v>
      </c>
      <c r="CB823" s="229">
        <f t="shared" si="834"/>
        <v>33</v>
      </c>
      <c r="CC823" s="234">
        <f t="shared" si="835"/>
        <v>4.8487499999999999</v>
      </c>
      <c r="CD823" s="234" cm="1">
        <f t="array" ref="CD823">$BM823 * IF($AH823&lt;=2,
SUMPRODUCT(INDEX($AV$61:$AX$65,,$AI823), INDEX($AY$61:$BE$65,,$AH823), 1 / ($BF$61:$BF$65*CC823 + (1-$BF$61:$BF$65)*BY823), N($AU$61:$AU$65&gt;$AM823)),
SUMPRODUCT(INDEX($AV$46:$AX$55,,$AI823), INDEX($AY$46:$BE$55,,$AH823), 1 / ($BG$46:$BG$55*CC823 + (1-$BG$46:$BG$55)*BY823), N($AU$46:$AU$55&gt;$AM823))
) / 1000</f>
        <v>0</v>
      </c>
      <c r="CE823" s="234" cm="1">
        <f t="array" ref="CE823">$BM823 * IF($AH823&lt;=2,
SUMPRODUCT(INDEX($AV$22:$AX$60,,$AI823), INDEX($AY$22:$BE$60,,$AH823), 1 / ($BF$22:$BF$60*CC823), N($AU$22:$AU$60&gt;$AM823)),
SUMPRODUCT(INDEX($AV$22:$AX$45,,$AI823), INDEX($AY$22:$BE$45,,$AH823), 1 / ($BG$22:$BG$45*CC823), N($AU$22:$AU$45&gt;$AM823))
) / 1000</f>
        <v>0</v>
      </c>
      <c r="CF823" s="229">
        <f t="shared" si="836"/>
        <v>0</v>
      </c>
      <c r="CG823" s="246"/>
      <c r="CH823" s="229">
        <f t="shared" si="837"/>
        <v>0</v>
      </c>
      <c r="CI823" s="228">
        <v>35</v>
      </c>
      <c r="CJ823" s="229">
        <f t="shared" si="838"/>
        <v>48</v>
      </c>
      <c r="CK823" s="234">
        <f t="shared" si="839"/>
        <v>3.0748170731707316</v>
      </c>
      <c r="CL823" s="234" cm="1">
        <f t="array" ref="CL823">$BM823 * SUMPRODUCT(INDEX($AV$76:$AX$81,,$AI823),INDEX($AY$76:$BE$81,,$AH823), N($AU$76:$AU$81&gt;$AM823)) / CK823 / 1000</f>
        <v>0</v>
      </c>
      <c r="CM823" s="231">
        <f t="shared" si="857"/>
        <v>30</v>
      </c>
      <c r="CN823" s="229">
        <f t="shared" si="840"/>
        <v>43</v>
      </c>
      <c r="CO823" s="234">
        <f t="shared" si="841"/>
        <v>3.5018750000000001</v>
      </c>
      <c r="CP823" s="234" cm="1">
        <f t="array" ref="CP823">$BM823 * IF($AH823&lt;=2,
SUMPRODUCT(INDEX($AV$71:$AX$75,,$AI823), INDEX($AY$71:$BE$75,,$AH823), 1 / ($BF$71:$BF$75*CO823 + (1-$BF$71:$BF$75)*CK823), N($AU$71:$AU$75&gt;$AM823)),
SUMPRODUCT(INDEX($AV$66:$AX$75,,$AI823), INDEX($AY$66:$BE$75,,$AH823), 1 / ($BG$66:$BG$75*CO823 + (1-$BG$66:$BG$75)*CK823), N($AU$66:$AU$75&gt;$AM823))
) / 1000</f>
        <v>0</v>
      </c>
      <c r="CQ823" s="231">
        <f t="shared" si="858"/>
        <v>25</v>
      </c>
      <c r="CR823" s="229">
        <f t="shared" si="842"/>
        <v>38</v>
      </c>
      <c r="CS823" s="234">
        <f t="shared" si="843"/>
        <v>4.0666935483870965</v>
      </c>
      <c r="CT823" s="234" cm="1">
        <f t="array" ref="CT823">$BM823 * IF($AH823&lt;=2,
SUMPRODUCT(INDEX($AV$66:$AX$70,,$AI823), INDEX($AY$66:$BE$70,,$AH823), 1 / ($BF$66:$BF$70*CS823 + (1-$BF$66:$BF$70)*CO823), N($AU$66:$AU$70&gt;$AM823)),
SUMPRODUCT(INDEX($AV$56:$AX$65,,$AI823), INDEX($AY$56:$BE$65,,$AH823), 1 / ($BG$56:$BG$65*CS823 + (1-$BG$56:$BG$65)*CO823), N($AU$56:$AU$65&gt;$AM823))
) / 1000</f>
        <v>0</v>
      </c>
      <c r="CU823" s="231">
        <f t="shared" si="859"/>
        <v>20</v>
      </c>
      <c r="CV823" s="229">
        <f t="shared" si="844"/>
        <v>33</v>
      </c>
      <c r="CW823" s="234">
        <f t="shared" si="845"/>
        <v>4.8487499999999999</v>
      </c>
      <c r="CX823" s="234" cm="1">
        <f t="array" ref="CX823">$BM823 * IF($AH823&lt;=2,
SUMPRODUCT(INDEX($AV$61:$AX$65,,$AI823), INDEX($AY$61:$BE$65,,$AH823), 1 / ($BF$61:$BF$65*CW823 + (1-$BF$61:$BF$65)*CS823), N($AU$61:$AU$65&gt;$AM823)),
SUMPRODUCT(INDEX($AV$46:$AX$55,,$AI823), INDEX($AY$46:$BE$55,,$AH823), 1 / ($BG$46:$BG$55*CW823 + (1-$BG$46:$BG$55)*CS823), N($AU$46:$AU$55&gt;$AM823))
) / 1000</f>
        <v>0</v>
      </c>
      <c r="CY823" s="234" cm="1">
        <f t="array" ref="CY823">$BM823 * IF($AH823&lt;=2,
SUMPRODUCT(INDEX($AV$22:$AX$60,,$AI823), INDEX($AY$22:$BE$60,,$AH823), 1 / ($BF$22:$BF$60*CW823), N($AU$22:$AU$60&gt;$AM823)),
SUMPRODUCT(INDEX($AV$22:$AX$45,,$AI823), INDEX($AY$22:$BE$45,,$AH823), 1 / ($BG$22:$BG$45*CW823), N($AU$22:$AU$45&gt;$AM823))
) / 1000</f>
        <v>0</v>
      </c>
      <c r="CZ823" s="229">
        <f t="shared" si="846"/>
        <v>0</v>
      </c>
      <c r="DA823" s="246"/>
    </row>
    <row r="824" spans="1:105" s="75" customFormat="1" ht="14.25" customHeight="1" x14ac:dyDescent="0.2">
      <c r="A824" s="230" t="b">
        <f t="shared" si="851"/>
        <v>0</v>
      </c>
      <c r="B824" s="253">
        <v>803</v>
      </c>
      <c r="C824" s="266"/>
      <c r="D824" s="266"/>
      <c r="E824" s="254"/>
      <c r="F824" s="255" t="str">
        <f>IF(ISBLANK(E824), "", VLOOKUP(E824, Z!$A$2:$C$4127, 3, FALSE))</f>
        <v/>
      </c>
      <c r="G824" s="256"/>
      <c r="H824" s="256"/>
      <c r="I824" s="256"/>
      <c r="J824" s="257"/>
      <c r="K824" s="258"/>
      <c r="L824" s="267"/>
      <c r="M824" s="268"/>
      <c r="N824" s="259" t="str" cm="1">
        <f t="array" ref="N824">IF($L824&gt;0, INDEX(Clean,1+AK824,$D$1), "")</f>
        <v/>
      </c>
      <c r="O824" s="260"/>
      <c r="P824" s="260"/>
      <c r="Q824" s="261"/>
      <c r="R824" s="264">
        <f t="shared" si="822"/>
        <v>0</v>
      </c>
      <c r="S824" s="259" t="str" cm="1">
        <f t="array" ref="S824">IF($L824&gt;0, INDEX(Clean,1+AL824,$D$1), "")</f>
        <v/>
      </c>
      <c r="T824" s="260"/>
      <c r="U824" s="260"/>
      <c r="V824" s="261"/>
      <c r="W824" s="267"/>
      <c r="X824" s="267"/>
      <c r="Y824" s="257"/>
      <c r="Z824" s="264">
        <f t="shared" si="823"/>
        <v>0</v>
      </c>
      <c r="AA824" s="269"/>
      <c r="AB824" s="266"/>
      <c r="AC824" s="254"/>
      <c r="AD824" s="255" t="str">
        <f>IF(ISBLANK(AC824), "", VLOOKUP(AC824, Z!$A$2:$C$4127, 3, FALSE))</f>
        <v/>
      </c>
      <c r="AE824" s="270"/>
      <c r="AF824" s="265">
        <f t="shared" si="824"/>
        <v>0</v>
      </c>
      <c r="AG824" s="246"/>
      <c r="AH824" s="228">
        <f t="shared" si="847"/>
        <v>1</v>
      </c>
      <c r="AI824" s="228">
        <f t="shared" si="848"/>
        <v>1</v>
      </c>
      <c r="AJ824" s="228">
        <f t="shared" si="849"/>
        <v>0</v>
      </c>
      <c r="AK824" s="228">
        <v>0</v>
      </c>
      <c r="AL824" s="228">
        <v>0</v>
      </c>
      <c r="AM824" s="228">
        <f t="shared" si="825"/>
        <v>-100</v>
      </c>
      <c r="AN824" s="228" cm="1">
        <f t="array" ref="AN824">IF(ISBLANK(G824), 1, IFERROR(MATCH(G824, INDEX(Kat,,1), 0), IFERROR(MATCH(Kat, INDEX(Use,,2), 0), MATCH(Kat, INDEX(Use,,3), 0))))</f>
        <v>1</v>
      </c>
      <c r="AO824" s="246"/>
      <c r="AP824" s="228" cm="1">
        <f t="array" ref="AP824">IF(W824&gt;0, INDEX(Kat, AN824,4), 0)</f>
        <v>0</v>
      </c>
      <c r="AQ824" s="228">
        <f t="shared" si="850"/>
        <v>0</v>
      </c>
      <c r="AR824" s="228" cm="1">
        <f t="array" ref="AR824">IF(X824&gt;0, INDEX(Kat, $AN824, 4+AQ824), 0)</f>
        <v>0</v>
      </c>
      <c r="AS824" s="228" cm="1">
        <f t="array" ref="AS824">IF(X824&gt;0, INDEX(Kat, $AN824, 9+AQ824), 0)</f>
        <v>0</v>
      </c>
      <c r="AT824" s="246"/>
      <c r="AU824" s="262"/>
      <c r="AV824" s="262"/>
      <c r="AW824" s="263"/>
      <c r="AX824" s="263"/>
      <c r="AY824" s="263"/>
      <c r="AZ824" s="263"/>
      <c r="BA824" s="263"/>
      <c r="BB824" s="263"/>
      <c r="BC824" s="263"/>
      <c r="BD824" s="263"/>
      <c r="BE824" s="263"/>
      <c r="BF824" s="263"/>
      <c r="BG824" s="263"/>
      <c r="BH824" s="246"/>
      <c r="BI824" s="228" cm="1">
        <f t="array" ref="BI824">INDEX(Use, $AH824, 4)</f>
        <v>7</v>
      </c>
      <c r="BJ824" s="228">
        <f t="shared" si="826"/>
        <v>32</v>
      </c>
      <c r="BK824" s="228">
        <f t="shared" si="852"/>
        <v>13</v>
      </c>
      <c r="BL824" s="228">
        <f t="shared" si="853"/>
        <v>0</v>
      </c>
      <c r="BM824" s="233" cm="1">
        <f t="array" ref="BM824">L824/IF($M824&gt;0, INDEX($AY$22:$BE$76, $M824+20, $AH824), 1)</f>
        <v>0</v>
      </c>
      <c r="BN824" s="229">
        <f t="shared" si="827"/>
        <v>0</v>
      </c>
      <c r="BO824" s="228">
        <v>35</v>
      </c>
      <c r="BP824" s="229">
        <f t="shared" si="828"/>
        <v>48</v>
      </c>
      <c r="BQ824" s="234">
        <f t="shared" si="829"/>
        <v>3.0748170731707316</v>
      </c>
      <c r="BR824" s="234" cm="1">
        <f t="array" ref="BR824">$BM824 * SUMPRODUCT(INDEX($AV$76:$AX$81,,$AI824),INDEX($AY$76:$BE$81,,$AH824), N($AU$76:$AU$81&gt;$AM824)) / BQ824 / 1000</f>
        <v>0</v>
      </c>
      <c r="BS824" s="231">
        <f t="shared" si="854"/>
        <v>30</v>
      </c>
      <c r="BT824" s="229">
        <f t="shared" si="830"/>
        <v>43</v>
      </c>
      <c r="BU824" s="234">
        <f t="shared" si="831"/>
        <v>3.5018750000000001</v>
      </c>
      <c r="BV824" s="234" cm="1">
        <f t="array" ref="BV824">$BM824 * IF($AH824&lt;=2,
SUMPRODUCT(INDEX($AV$71:$AX$75,,$AI824), INDEX($AY$71:$BE$75,,$AH824), 1 / ($BF$71:$BF$75*BU824 + (1-$BF$71:$BF$75)*BQ824), N($AU$71:$AU$75&gt;$AM824)),
SUMPRODUCT(INDEX($AV$66:$AX$75,,$AI824), INDEX($AY$66:$BE$75,,$AH824), 1 / ($BG$66:$BG$75*BU824 + (1-$BG$66:$BG$75)*BQ824), N($AU$66:$AU$75&gt;$AM824))
) / 1000</f>
        <v>0</v>
      </c>
      <c r="BW824" s="231">
        <f t="shared" si="855"/>
        <v>25</v>
      </c>
      <c r="BX824" s="229">
        <f t="shared" si="832"/>
        <v>38</v>
      </c>
      <c r="BY824" s="234">
        <f t="shared" si="833"/>
        <v>4.0666935483870965</v>
      </c>
      <c r="BZ824" s="234" cm="1">
        <f t="array" ref="BZ824">$BM824 * IF($AH824&lt;=2,
SUMPRODUCT(INDEX($AV$66:$AX$70,,$AI824), INDEX($AY$66:$BE$70,,$AH824), 1 / ($BF$66:$BF$70*BY824 + (1-$BF$66:$BF$70)*BU824), N($AU$66:$AU$70&gt;$AM824)),
SUMPRODUCT(INDEX($AV$56:$AX$65,,$AI824), INDEX($AY$56:$BE$65,,$AH824), 1 / ($BG$56:$BG$65*BY824 + (1-$BG$56:$BG$65)*BU824), N($AU$56:$AU$65&gt;$AM824))
) / 1000</f>
        <v>0</v>
      </c>
      <c r="CA824" s="231">
        <f t="shared" si="856"/>
        <v>20</v>
      </c>
      <c r="CB824" s="229">
        <f t="shared" si="834"/>
        <v>33</v>
      </c>
      <c r="CC824" s="234">
        <f t="shared" si="835"/>
        <v>4.8487499999999999</v>
      </c>
      <c r="CD824" s="234" cm="1">
        <f t="array" ref="CD824">$BM824 * IF($AH824&lt;=2,
SUMPRODUCT(INDEX($AV$61:$AX$65,,$AI824), INDEX($AY$61:$BE$65,,$AH824), 1 / ($BF$61:$BF$65*CC824 + (1-$BF$61:$BF$65)*BY824), N($AU$61:$AU$65&gt;$AM824)),
SUMPRODUCT(INDEX($AV$46:$AX$55,,$AI824), INDEX($AY$46:$BE$55,,$AH824), 1 / ($BG$46:$BG$55*CC824 + (1-$BG$46:$BG$55)*BY824), N($AU$46:$AU$55&gt;$AM824))
) / 1000</f>
        <v>0</v>
      </c>
      <c r="CE824" s="234" cm="1">
        <f t="array" ref="CE824">$BM824 * IF($AH824&lt;=2,
SUMPRODUCT(INDEX($AV$22:$AX$60,,$AI824), INDEX($AY$22:$BE$60,,$AH824), 1 / ($BF$22:$BF$60*CC824), N($AU$22:$AU$60&gt;$AM824)),
SUMPRODUCT(INDEX($AV$22:$AX$45,,$AI824), INDEX($AY$22:$BE$45,,$AH824), 1 / ($BG$22:$BG$45*CC824), N($AU$22:$AU$45&gt;$AM824))
) / 1000</f>
        <v>0</v>
      </c>
      <c r="CF824" s="229">
        <f t="shared" si="836"/>
        <v>0</v>
      </c>
      <c r="CG824" s="246"/>
      <c r="CH824" s="229">
        <f t="shared" si="837"/>
        <v>0</v>
      </c>
      <c r="CI824" s="228">
        <v>35</v>
      </c>
      <c r="CJ824" s="229">
        <f t="shared" si="838"/>
        <v>48</v>
      </c>
      <c r="CK824" s="234">
        <f t="shared" si="839"/>
        <v>3.0748170731707316</v>
      </c>
      <c r="CL824" s="234" cm="1">
        <f t="array" ref="CL824">$BM824 * SUMPRODUCT(INDEX($AV$76:$AX$81,,$AI824),INDEX($AY$76:$BE$81,,$AH824), N($AU$76:$AU$81&gt;$AM824)) / CK824 / 1000</f>
        <v>0</v>
      </c>
      <c r="CM824" s="231">
        <f t="shared" si="857"/>
        <v>30</v>
      </c>
      <c r="CN824" s="229">
        <f t="shared" si="840"/>
        <v>43</v>
      </c>
      <c r="CO824" s="234">
        <f t="shared" si="841"/>
        <v>3.5018750000000001</v>
      </c>
      <c r="CP824" s="234" cm="1">
        <f t="array" ref="CP824">$BM824 * IF($AH824&lt;=2,
SUMPRODUCT(INDEX($AV$71:$AX$75,,$AI824), INDEX($AY$71:$BE$75,,$AH824), 1 / ($BF$71:$BF$75*CO824 + (1-$BF$71:$BF$75)*CK824), N($AU$71:$AU$75&gt;$AM824)),
SUMPRODUCT(INDEX($AV$66:$AX$75,,$AI824), INDEX($AY$66:$BE$75,,$AH824), 1 / ($BG$66:$BG$75*CO824 + (1-$BG$66:$BG$75)*CK824), N($AU$66:$AU$75&gt;$AM824))
) / 1000</f>
        <v>0</v>
      </c>
      <c r="CQ824" s="231">
        <f t="shared" si="858"/>
        <v>25</v>
      </c>
      <c r="CR824" s="229">
        <f t="shared" si="842"/>
        <v>38</v>
      </c>
      <c r="CS824" s="234">
        <f t="shared" si="843"/>
        <v>4.0666935483870965</v>
      </c>
      <c r="CT824" s="234" cm="1">
        <f t="array" ref="CT824">$BM824 * IF($AH824&lt;=2,
SUMPRODUCT(INDEX($AV$66:$AX$70,,$AI824), INDEX($AY$66:$BE$70,,$AH824), 1 / ($BF$66:$BF$70*CS824 + (1-$BF$66:$BF$70)*CO824), N($AU$66:$AU$70&gt;$AM824)),
SUMPRODUCT(INDEX($AV$56:$AX$65,,$AI824), INDEX($AY$56:$BE$65,,$AH824), 1 / ($BG$56:$BG$65*CS824 + (1-$BG$56:$BG$65)*CO824), N($AU$56:$AU$65&gt;$AM824))
) / 1000</f>
        <v>0</v>
      </c>
      <c r="CU824" s="231">
        <f t="shared" si="859"/>
        <v>20</v>
      </c>
      <c r="CV824" s="229">
        <f t="shared" si="844"/>
        <v>33</v>
      </c>
      <c r="CW824" s="234">
        <f t="shared" si="845"/>
        <v>4.8487499999999999</v>
      </c>
      <c r="CX824" s="234" cm="1">
        <f t="array" ref="CX824">$BM824 * IF($AH824&lt;=2,
SUMPRODUCT(INDEX($AV$61:$AX$65,,$AI824), INDEX($AY$61:$BE$65,,$AH824), 1 / ($BF$61:$BF$65*CW824 + (1-$BF$61:$BF$65)*CS824), N($AU$61:$AU$65&gt;$AM824)),
SUMPRODUCT(INDEX($AV$46:$AX$55,,$AI824), INDEX($AY$46:$BE$55,,$AH824), 1 / ($BG$46:$BG$55*CW824 + (1-$BG$46:$BG$55)*CS824), N($AU$46:$AU$55&gt;$AM824))
) / 1000</f>
        <v>0</v>
      </c>
      <c r="CY824" s="234" cm="1">
        <f t="array" ref="CY824">$BM824 * IF($AH824&lt;=2,
SUMPRODUCT(INDEX($AV$22:$AX$60,,$AI824), INDEX($AY$22:$BE$60,,$AH824), 1 / ($BF$22:$BF$60*CW824), N($AU$22:$AU$60&gt;$AM824)),
SUMPRODUCT(INDEX($AV$22:$AX$45,,$AI824), INDEX($AY$22:$BE$45,,$AH824), 1 / ($BG$22:$BG$45*CW824), N($AU$22:$AU$45&gt;$AM824))
) / 1000</f>
        <v>0</v>
      </c>
      <c r="CZ824" s="229">
        <f t="shared" si="846"/>
        <v>0</v>
      </c>
      <c r="DA824" s="246"/>
    </row>
    <row r="825" spans="1:105" s="75" customFormat="1" ht="14.25" customHeight="1" x14ac:dyDescent="0.2">
      <c r="A825" s="230" t="b">
        <f t="shared" si="851"/>
        <v>0</v>
      </c>
      <c r="B825" s="253">
        <v>804</v>
      </c>
      <c r="C825" s="266"/>
      <c r="D825" s="266"/>
      <c r="E825" s="254"/>
      <c r="F825" s="255" t="str">
        <f>IF(ISBLANK(E825), "", VLOOKUP(E825, Z!$A$2:$C$4127, 3, FALSE))</f>
        <v/>
      </c>
      <c r="G825" s="256"/>
      <c r="H825" s="256"/>
      <c r="I825" s="256"/>
      <c r="J825" s="257"/>
      <c r="K825" s="258"/>
      <c r="L825" s="267"/>
      <c r="M825" s="268"/>
      <c r="N825" s="259" t="str" cm="1">
        <f t="array" ref="N825">IF($L825&gt;0, INDEX(Clean,1+AK825,$D$1), "")</f>
        <v/>
      </c>
      <c r="O825" s="260"/>
      <c r="P825" s="260"/>
      <c r="Q825" s="261"/>
      <c r="R825" s="264">
        <f t="shared" si="822"/>
        <v>0</v>
      </c>
      <c r="S825" s="259" t="str" cm="1">
        <f t="array" ref="S825">IF($L825&gt;0, INDEX(Clean,1+AL825,$D$1), "")</f>
        <v/>
      </c>
      <c r="T825" s="260"/>
      <c r="U825" s="260"/>
      <c r="V825" s="261"/>
      <c r="W825" s="267"/>
      <c r="X825" s="267"/>
      <c r="Y825" s="257"/>
      <c r="Z825" s="264">
        <f t="shared" si="823"/>
        <v>0</v>
      </c>
      <c r="AA825" s="269"/>
      <c r="AB825" s="266"/>
      <c r="AC825" s="254"/>
      <c r="AD825" s="255" t="str">
        <f>IF(ISBLANK(AC825), "", VLOOKUP(AC825, Z!$A$2:$C$4127, 3, FALSE))</f>
        <v/>
      </c>
      <c r="AE825" s="270"/>
      <c r="AF825" s="265">
        <f t="shared" si="824"/>
        <v>0</v>
      </c>
      <c r="AG825" s="246"/>
      <c r="AH825" s="228">
        <f t="shared" si="847"/>
        <v>1</v>
      </c>
      <c r="AI825" s="228">
        <f t="shared" si="848"/>
        <v>1</v>
      </c>
      <c r="AJ825" s="228">
        <f t="shared" si="849"/>
        <v>0</v>
      </c>
      <c r="AK825" s="228">
        <v>0</v>
      </c>
      <c r="AL825" s="228">
        <v>0</v>
      </c>
      <c r="AM825" s="228">
        <f t="shared" si="825"/>
        <v>-100</v>
      </c>
      <c r="AN825" s="228" cm="1">
        <f t="array" ref="AN825">IF(ISBLANK(G825), 1, IFERROR(MATCH(G825, INDEX(Kat,,1), 0), IFERROR(MATCH(Kat, INDEX(Use,,2), 0), MATCH(Kat, INDEX(Use,,3), 0))))</f>
        <v>1</v>
      </c>
      <c r="AO825" s="246"/>
      <c r="AP825" s="228" cm="1">
        <f t="array" ref="AP825">IF(W825&gt;0, INDEX(Kat, AN825,4), 0)</f>
        <v>0</v>
      </c>
      <c r="AQ825" s="228">
        <f t="shared" si="850"/>
        <v>0</v>
      </c>
      <c r="AR825" s="228" cm="1">
        <f t="array" ref="AR825">IF(X825&gt;0, INDEX(Kat, $AN825, 4+AQ825), 0)</f>
        <v>0</v>
      </c>
      <c r="AS825" s="228" cm="1">
        <f t="array" ref="AS825">IF(X825&gt;0, INDEX(Kat, $AN825, 9+AQ825), 0)</f>
        <v>0</v>
      </c>
      <c r="AT825" s="246"/>
      <c r="AU825" s="262"/>
      <c r="AV825" s="262"/>
      <c r="AW825" s="263"/>
      <c r="AX825" s="263"/>
      <c r="AY825" s="263"/>
      <c r="AZ825" s="263"/>
      <c r="BA825" s="263"/>
      <c r="BB825" s="263"/>
      <c r="BC825" s="263"/>
      <c r="BD825" s="263"/>
      <c r="BE825" s="263"/>
      <c r="BF825" s="263"/>
      <c r="BG825" s="263"/>
      <c r="BH825" s="246"/>
      <c r="BI825" s="228" cm="1">
        <f t="array" ref="BI825">INDEX(Use, $AH825, 4)</f>
        <v>7</v>
      </c>
      <c r="BJ825" s="228">
        <f t="shared" si="826"/>
        <v>32</v>
      </c>
      <c r="BK825" s="228">
        <f t="shared" si="852"/>
        <v>13</v>
      </c>
      <c r="BL825" s="228">
        <f t="shared" si="853"/>
        <v>0</v>
      </c>
      <c r="BM825" s="233" cm="1">
        <f t="array" ref="BM825">L825/IF($M825&gt;0, INDEX($AY$22:$BE$76, $M825+20, $AH825), 1)</f>
        <v>0</v>
      </c>
      <c r="BN825" s="229">
        <f t="shared" si="827"/>
        <v>0</v>
      </c>
      <c r="BO825" s="228">
        <v>35</v>
      </c>
      <c r="BP825" s="229">
        <f t="shared" si="828"/>
        <v>48</v>
      </c>
      <c r="BQ825" s="234">
        <f t="shared" si="829"/>
        <v>3.0748170731707316</v>
      </c>
      <c r="BR825" s="234" cm="1">
        <f t="array" ref="BR825">$BM825 * SUMPRODUCT(INDEX($AV$76:$AX$81,,$AI825),INDEX($AY$76:$BE$81,,$AH825), N($AU$76:$AU$81&gt;$AM825)) / BQ825 / 1000</f>
        <v>0</v>
      </c>
      <c r="BS825" s="231">
        <f t="shared" si="854"/>
        <v>30</v>
      </c>
      <c r="BT825" s="229">
        <f t="shared" si="830"/>
        <v>43</v>
      </c>
      <c r="BU825" s="234">
        <f t="shared" si="831"/>
        <v>3.5018750000000001</v>
      </c>
      <c r="BV825" s="234" cm="1">
        <f t="array" ref="BV825">$BM825 * IF($AH825&lt;=2,
SUMPRODUCT(INDEX($AV$71:$AX$75,,$AI825), INDEX($AY$71:$BE$75,,$AH825), 1 / ($BF$71:$BF$75*BU825 + (1-$BF$71:$BF$75)*BQ825), N($AU$71:$AU$75&gt;$AM825)),
SUMPRODUCT(INDEX($AV$66:$AX$75,,$AI825), INDEX($AY$66:$BE$75,,$AH825), 1 / ($BG$66:$BG$75*BU825 + (1-$BG$66:$BG$75)*BQ825), N($AU$66:$AU$75&gt;$AM825))
) / 1000</f>
        <v>0</v>
      </c>
      <c r="BW825" s="231">
        <f t="shared" si="855"/>
        <v>25</v>
      </c>
      <c r="BX825" s="229">
        <f t="shared" si="832"/>
        <v>38</v>
      </c>
      <c r="BY825" s="234">
        <f t="shared" si="833"/>
        <v>4.0666935483870965</v>
      </c>
      <c r="BZ825" s="234" cm="1">
        <f t="array" ref="BZ825">$BM825 * IF($AH825&lt;=2,
SUMPRODUCT(INDEX($AV$66:$AX$70,,$AI825), INDEX($AY$66:$BE$70,,$AH825), 1 / ($BF$66:$BF$70*BY825 + (1-$BF$66:$BF$70)*BU825), N($AU$66:$AU$70&gt;$AM825)),
SUMPRODUCT(INDEX($AV$56:$AX$65,,$AI825), INDEX($AY$56:$BE$65,,$AH825), 1 / ($BG$56:$BG$65*BY825 + (1-$BG$56:$BG$65)*BU825), N($AU$56:$AU$65&gt;$AM825))
) / 1000</f>
        <v>0</v>
      </c>
      <c r="CA825" s="231">
        <f t="shared" si="856"/>
        <v>20</v>
      </c>
      <c r="CB825" s="229">
        <f t="shared" si="834"/>
        <v>33</v>
      </c>
      <c r="CC825" s="234">
        <f t="shared" si="835"/>
        <v>4.8487499999999999</v>
      </c>
      <c r="CD825" s="234" cm="1">
        <f t="array" ref="CD825">$BM825 * IF($AH825&lt;=2,
SUMPRODUCT(INDEX($AV$61:$AX$65,,$AI825), INDEX($AY$61:$BE$65,,$AH825), 1 / ($BF$61:$BF$65*CC825 + (1-$BF$61:$BF$65)*BY825), N($AU$61:$AU$65&gt;$AM825)),
SUMPRODUCT(INDEX($AV$46:$AX$55,,$AI825), INDEX($AY$46:$BE$55,,$AH825), 1 / ($BG$46:$BG$55*CC825 + (1-$BG$46:$BG$55)*BY825), N($AU$46:$AU$55&gt;$AM825))
) / 1000</f>
        <v>0</v>
      </c>
      <c r="CE825" s="234" cm="1">
        <f t="array" ref="CE825">$BM825 * IF($AH825&lt;=2,
SUMPRODUCT(INDEX($AV$22:$AX$60,,$AI825), INDEX($AY$22:$BE$60,,$AH825), 1 / ($BF$22:$BF$60*CC825), N($AU$22:$AU$60&gt;$AM825)),
SUMPRODUCT(INDEX($AV$22:$AX$45,,$AI825), INDEX($AY$22:$BE$45,,$AH825), 1 / ($BG$22:$BG$45*CC825), N($AU$22:$AU$45&gt;$AM825))
) / 1000</f>
        <v>0</v>
      </c>
      <c r="CF825" s="229">
        <f t="shared" si="836"/>
        <v>0</v>
      </c>
      <c r="CG825" s="246"/>
      <c r="CH825" s="229">
        <f t="shared" si="837"/>
        <v>0</v>
      </c>
      <c r="CI825" s="228">
        <v>35</v>
      </c>
      <c r="CJ825" s="229">
        <f t="shared" si="838"/>
        <v>48</v>
      </c>
      <c r="CK825" s="234">
        <f t="shared" si="839"/>
        <v>3.0748170731707316</v>
      </c>
      <c r="CL825" s="234" cm="1">
        <f t="array" ref="CL825">$BM825 * SUMPRODUCT(INDEX($AV$76:$AX$81,,$AI825),INDEX($AY$76:$BE$81,,$AH825), N($AU$76:$AU$81&gt;$AM825)) / CK825 / 1000</f>
        <v>0</v>
      </c>
      <c r="CM825" s="231">
        <f t="shared" si="857"/>
        <v>30</v>
      </c>
      <c r="CN825" s="229">
        <f t="shared" si="840"/>
        <v>43</v>
      </c>
      <c r="CO825" s="234">
        <f t="shared" si="841"/>
        <v>3.5018750000000001</v>
      </c>
      <c r="CP825" s="234" cm="1">
        <f t="array" ref="CP825">$BM825 * IF($AH825&lt;=2,
SUMPRODUCT(INDEX($AV$71:$AX$75,,$AI825), INDEX($AY$71:$BE$75,,$AH825), 1 / ($BF$71:$BF$75*CO825 + (1-$BF$71:$BF$75)*CK825), N($AU$71:$AU$75&gt;$AM825)),
SUMPRODUCT(INDEX($AV$66:$AX$75,,$AI825), INDEX($AY$66:$BE$75,,$AH825), 1 / ($BG$66:$BG$75*CO825 + (1-$BG$66:$BG$75)*CK825), N($AU$66:$AU$75&gt;$AM825))
) / 1000</f>
        <v>0</v>
      </c>
      <c r="CQ825" s="231">
        <f t="shared" si="858"/>
        <v>25</v>
      </c>
      <c r="CR825" s="229">
        <f t="shared" si="842"/>
        <v>38</v>
      </c>
      <c r="CS825" s="234">
        <f t="shared" si="843"/>
        <v>4.0666935483870965</v>
      </c>
      <c r="CT825" s="234" cm="1">
        <f t="array" ref="CT825">$BM825 * IF($AH825&lt;=2,
SUMPRODUCT(INDEX($AV$66:$AX$70,,$AI825), INDEX($AY$66:$BE$70,,$AH825), 1 / ($BF$66:$BF$70*CS825 + (1-$BF$66:$BF$70)*CO825), N($AU$66:$AU$70&gt;$AM825)),
SUMPRODUCT(INDEX($AV$56:$AX$65,,$AI825), INDEX($AY$56:$BE$65,,$AH825), 1 / ($BG$56:$BG$65*CS825 + (1-$BG$56:$BG$65)*CO825), N($AU$56:$AU$65&gt;$AM825))
) / 1000</f>
        <v>0</v>
      </c>
      <c r="CU825" s="231">
        <f t="shared" si="859"/>
        <v>20</v>
      </c>
      <c r="CV825" s="229">
        <f t="shared" si="844"/>
        <v>33</v>
      </c>
      <c r="CW825" s="234">
        <f t="shared" si="845"/>
        <v>4.8487499999999999</v>
      </c>
      <c r="CX825" s="234" cm="1">
        <f t="array" ref="CX825">$BM825 * IF($AH825&lt;=2,
SUMPRODUCT(INDEX($AV$61:$AX$65,,$AI825), INDEX($AY$61:$BE$65,,$AH825), 1 / ($BF$61:$BF$65*CW825 + (1-$BF$61:$BF$65)*CS825), N($AU$61:$AU$65&gt;$AM825)),
SUMPRODUCT(INDEX($AV$46:$AX$55,,$AI825), INDEX($AY$46:$BE$55,,$AH825), 1 / ($BG$46:$BG$55*CW825 + (1-$BG$46:$BG$55)*CS825), N($AU$46:$AU$55&gt;$AM825))
) / 1000</f>
        <v>0</v>
      </c>
      <c r="CY825" s="234" cm="1">
        <f t="array" ref="CY825">$BM825 * IF($AH825&lt;=2,
SUMPRODUCT(INDEX($AV$22:$AX$60,,$AI825), INDEX($AY$22:$BE$60,,$AH825), 1 / ($BF$22:$BF$60*CW825), N($AU$22:$AU$60&gt;$AM825)),
SUMPRODUCT(INDEX($AV$22:$AX$45,,$AI825), INDEX($AY$22:$BE$45,,$AH825), 1 / ($BG$22:$BG$45*CW825), N($AU$22:$AU$45&gt;$AM825))
) / 1000</f>
        <v>0</v>
      </c>
      <c r="CZ825" s="229">
        <f t="shared" si="846"/>
        <v>0</v>
      </c>
      <c r="DA825" s="246"/>
    </row>
    <row r="826" spans="1:105" s="75" customFormat="1" ht="14.25" customHeight="1" x14ac:dyDescent="0.2">
      <c r="A826" s="230" t="b">
        <f t="shared" si="851"/>
        <v>0</v>
      </c>
      <c r="B826" s="253">
        <v>805</v>
      </c>
      <c r="C826" s="266"/>
      <c r="D826" s="266"/>
      <c r="E826" s="254"/>
      <c r="F826" s="255" t="str">
        <f>IF(ISBLANK(E826), "", VLOOKUP(E826, Z!$A$2:$C$4127, 3, FALSE))</f>
        <v/>
      </c>
      <c r="G826" s="256"/>
      <c r="H826" s="256"/>
      <c r="I826" s="256"/>
      <c r="J826" s="257"/>
      <c r="K826" s="258"/>
      <c r="L826" s="267"/>
      <c r="M826" s="268"/>
      <c r="N826" s="259" t="str" cm="1">
        <f t="array" ref="N826">IF($L826&gt;0, INDEX(Clean,1+AK826,$D$1), "")</f>
        <v/>
      </c>
      <c r="O826" s="260"/>
      <c r="P826" s="260"/>
      <c r="Q826" s="261"/>
      <c r="R826" s="264">
        <f t="shared" ref="R826:R889" si="860">CF826*1000</f>
        <v>0</v>
      </c>
      <c r="S826" s="259" t="str" cm="1">
        <f t="array" ref="S826">IF($L826&gt;0, INDEX(Clean,1+AL826,$D$1), "")</f>
        <v/>
      </c>
      <c r="T826" s="260"/>
      <c r="U826" s="260"/>
      <c r="V826" s="261"/>
      <c r="W826" s="267"/>
      <c r="X826" s="267"/>
      <c r="Y826" s="257"/>
      <c r="Z826" s="264">
        <f t="shared" ref="Z826:Z889" si="861">(CZ826 - IF(W826&gt;0, CZ826*(W826/7)*AP826, 0) - IF(X826&gt;0, CZ826*(X826*AR826*AS826), 0))*1000</f>
        <v>0</v>
      </c>
      <c r="AA826" s="269"/>
      <c r="AB826" s="266"/>
      <c r="AC826" s="254"/>
      <c r="AD826" s="255" t="str">
        <f>IF(ISBLANK(AC826), "", VLOOKUP(AC826, Z!$A$2:$C$4127, 3, FALSE))</f>
        <v/>
      </c>
      <c r="AE826" s="270"/>
      <c r="AF826" s="265">
        <f t="shared" ref="AF826:AF889" si="862">0.75*AO$22*(R826-Z826)</f>
        <v>0</v>
      </c>
      <c r="AG826" s="246"/>
      <c r="AH826" s="228">
        <f t="shared" si="847"/>
        <v>1</v>
      </c>
      <c r="AI826" s="228">
        <f t="shared" si="848"/>
        <v>1</v>
      </c>
      <c r="AJ826" s="228">
        <f t="shared" si="849"/>
        <v>0</v>
      </c>
      <c r="AK826" s="228">
        <v>0</v>
      </c>
      <c r="AL826" s="228">
        <v>0</v>
      </c>
      <c r="AM826" s="228">
        <f t="shared" ref="AM826:AM889" si="863">IF(AND(K826="x", AH826=5), 11, IF(AND(K826="x", AH826=6), 19, -100))</f>
        <v>-100</v>
      </c>
      <c r="AN826" s="228" cm="1">
        <f t="array" ref="AN826">IF(ISBLANK(G826), 1, IFERROR(MATCH(G826, INDEX(Kat,,1), 0), IFERROR(MATCH(Kat, INDEX(Use,,2), 0), MATCH(Kat, INDEX(Use,,3), 0))))</f>
        <v>1</v>
      </c>
      <c r="AO826" s="246"/>
      <c r="AP826" s="228" cm="1">
        <f t="array" ref="AP826">IF(W826&gt;0, INDEX(Kat, AN826,4), 0)</f>
        <v>0</v>
      </c>
      <c r="AQ826" s="228">
        <f t="shared" si="850"/>
        <v>0</v>
      </c>
      <c r="AR826" s="228" cm="1">
        <f t="array" ref="AR826">IF(X826&gt;0, INDEX(Kat, $AN826, 4+AQ826), 0)</f>
        <v>0</v>
      </c>
      <c r="AS826" s="228" cm="1">
        <f t="array" ref="AS826">IF(X826&gt;0, INDEX(Kat, $AN826, 9+AQ826), 0)</f>
        <v>0</v>
      </c>
      <c r="AT826" s="246"/>
      <c r="AU826" s="262"/>
      <c r="AV826" s="262"/>
      <c r="AW826" s="263"/>
      <c r="AX826" s="263"/>
      <c r="AY826" s="263"/>
      <c r="AZ826" s="263"/>
      <c r="BA826" s="263"/>
      <c r="BB826" s="263"/>
      <c r="BC826" s="263"/>
      <c r="BD826" s="263"/>
      <c r="BE826" s="263"/>
      <c r="BF826" s="263"/>
      <c r="BG826" s="263"/>
      <c r="BH826" s="246"/>
      <c r="BI826" s="228" cm="1">
        <f t="array" ref="BI826">INDEX(Use, $AH826, 4)</f>
        <v>7</v>
      </c>
      <c r="BJ826" s="228">
        <f t="shared" ref="BJ826:BJ889" si="864">MAX(25, BI826+25)</f>
        <v>32</v>
      </c>
      <c r="BK826" s="228">
        <f t="shared" si="852"/>
        <v>13</v>
      </c>
      <c r="BL826" s="228">
        <f t="shared" si="853"/>
        <v>0</v>
      </c>
      <c r="BM826" s="233" cm="1">
        <f t="array" ref="BM826">L826/IF($M826&gt;0, INDEX($AY$22:$BE$76, $M826+20, $AH826), 1)</f>
        <v>0</v>
      </c>
      <c r="BN826" s="229">
        <f t="shared" ref="BN826:BN889" si="865">Q826 /  IF(AH826&lt;=2, 0.7 + 0.3 * (P826-20)/(35-20), 0.4 + 0.6 * (P826-5)/(35-5))</f>
        <v>0</v>
      </c>
      <c r="BO826" s="228">
        <v>35</v>
      </c>
      <c r="BP826" s="229">
        <f t="shared" ref="BP826:BP889" si="866">MAX($O826, MAX($BJ826, $BO826 + $BK826 + $BL826 + 0.35*$AK826*$BK826 + BN826))</f>
        <v>48</v>
      </c>
      <c r="BQ826" s="234">
        <f t="shared" ref="BQ826:BQ889" si="867">0.45*($BI826+273.15)/(BP826-$BI826)</f>
        <v>3.0748170731707316</v>
      </c>
      <c r="BR826" s="234" cm="1">
        <f t="array" ref="BR826">$BM826 * SUMPRODUCT(INDEX($AV$76:$AX$81,,$AI826),INDEX($AY$76:$BE$81,,$AH826), N($AU$76:$AU$81&gt;$AM826)) / BQ826 / 1000</f>
        <v>0</v>
      </c>
      <c r="BS826" s="231">
        <f t="shared" si="854"/>
        <v>30</v>
      </c>
      <c r="BT826" s="229">
        <f t="shared" ref="BT826:BT889" si="868">MAX($O826, MAX($BJ826, BS826 + $BK826 + $BL826 + IF($AH826&lt;=2, (BS826-20)/(35-20), 0.6+0.4*(BS826-5)/(35-5))*0.35*$AK826*$BK826) + IF($AH826&lt;=2,0.9,0.8)*$BN826)</f>
        <v>43</v>
      </c>
      <c r="BU826" s="234">
        <f t="shared" ref="BU826:BU889" si="869">0.45*($BI826+273.15)/(BT826-$BI826)</f>
        <v>3.5018750000000001</v>
      </c>
      <c r="BV826" s="234" cm="1">
        <f t="array" ref="BV826">$BM826 * IF($AH826&lt;=2,
SUMPRODUCT(INDEX($AV$71:$AX$75,,$AI826), INDEX($AY$71:$BE$75,,$AH826), 1 / ($BF$71:$BF$75*BU826 + (1-$BF$71:$BF$75)*BQ826), N($AU$71:$AU$75&gt;$AM826)),
SUMPRODUCT(INDEX($AV$66:$AX$75,,$AI826), INDEX($AY$66:$BE$75,,$AH826), 1 / ($BG$66:$BG$75*BU826 + (1-$BG$66:$BG$75)*BQ826), N($AU$66:$AU$75&gt;$AM826))
) / 1000</f>
        <v>0</v>
      </c>
      <c r="BW826" s="231">
        <f t="shared" si="855"/>
        <v>25</v>
      </c>
      <c r="BX826" s="229">
        <f t="shared" ref="BX826:BX889" si="870">MAX($O826, MAX($BJ826, BW826 + $BK826 + $BL826 + IF($AH826&lt;=2, (BW826-20)/(35-20), 0.6+0.4*(BW826-5)/(35-5))*0.35*$AK826*$BK826) + IF($AH826&lt;=2,0.8,0.6)*$BN826)</f>
        <v>38</v>
      </c>
      <c r="BY826" s="234">
        <f t="shared" ref="BY826:BY889" si="871">0.45*($BI826+273.15)/(BX826-$BI826)</f>
        <v>4.0666935483870965</v>
      </c>
      <c r="BZ826" s="234" cm="1">
        <f t="array" ref="BZ826">$BM826 * IF($AH826&lt;=2,
SUMPRODUCT(INDEX($AV$66:$AX$70,,$AI826), INDEX($AY$66:$BE$70,,$AH826), 1 / ($BF$66:$BF$70*BY826 + (1-$BF$66:$BF$70)*BU826), N($AU$66:$AU$70&gt;$AM826)),
SUMPRODUCT(INDEX($AV$56:$AX$65,,$AI826), INDEX($AY$56:$BE$65,,$AH826), 1 / ($BG$56:$BG$65*BY826 + (1-$BG$56:$BG$65)*BU826), N($AU$56:$AU$65&gt;$AM826))
) / 1000</f>
        <v>0</v>
      </c>
      <c r="CA826" s="231">
        <f t="shared" si="856"/>
        <v>20</v>
      </c>
      <c r="CB826" s="229">
        <f t="shared" ref="CB826:CB889" si="872">MAX($O826, MAX($BJ826, CA826 + $BK826 + $BL826 + IF($AH826&lt;=2, (CA826-20)/(35-20), 0.6+0.4*(CA826-5)/(35-5))*0.35*$AK826*$BK826) + IF($AH826&lt;=2,0.7,0.4)*$BN826)</f>
        <v>33</v>
      </c>
      <c r="CC826" s="234">
        <f t="shared" ref="CC826:CC889" si="873">0.45*($BI826+273.15)/(CB826-$BI826)</f>
        <v>4.8487499999999999</v>
      </c>
      <c r="CD826" s="234" cm="1">
        <f t="array" ref="CD826">$BM826 * IF($AH826&lt;=2,
SUMPRODUCT(INDEX($AV$61:$AX$65,,$AI826), INDEX($AY$61:$BE$65,,$AH826), 1 / ($BF$61:$BF$65*CC826 + (1-$BF$61:$BF$65)*BY826), N($AU$61:$AU$65&gt;$AM826)),
SUMPRODUCT(INDEX($AV$46:$AX$55,,$AI826), INDEX($AY$46:$BE$55,,$AH826), 1 / ($BG$46:$BG$55*CC826 + (1-$BG$46:$BG$55)*BY826), N($AU$46:$AU$55&gt;$AM826))
) / 1000</f>
        <v>0</v>
      </c>
      <c r="CE826" s="234" cm="1">
        <f t="array" ref="CE826">$BM826 * IF($AH826&lt;=2,
SUMPRODUCT(INDEX($AV$22:$AX$60,,$AI826), INDEX($AY$22:$BE$60,,$AH826), 1 / ($BF$22:$BF$60*CC826), N($AU$22:$AU$60&gt;$AM826)),
SUMPRODUCT(INDEX($AV$22:$AX$45,,$AI826), INDEX($AY$22:$BE$45,,$AH826), 1 / ($BG$22:$BG$45*CC826), N($AU$22:$AU$45&gt;$AM826))
) / 1000</f>
        <v>0</v>
      </c>
      <c r="CF826" s="229">
        <f t="shared" ref="CF826:CF889" si="874">BR826+BV826+BZ826+CD826+CE826</f>
        <v>0</v>
      </c>
      <c r="CG826" s="246"/>
      <c r="CH826" s="229">
        <f t="shared" ref="CH826:CH889" si="875">V826 /  IF(AH826&lt;=2, 0.7 + 0.3 * (U826-20)/(35-20), 0.4 + 0.6 * (U826-5)/(35-5))</f>
        <v>0</v>
      </c>
      <c r="CI826" s="228">
        <v>35</v>
      </c>
      <c r="CJ826" s="229">
        <f t="shared" ref="CJ826:CJ889" si="876">MAX($T826, MAX($BJ826, $BO826 + $BK826 + $BL826 + 0.35*$AL826*$BK826 + CH826))</f>
        <v>48</v>
      </c>
      <c r="CK826" s="234">
        <f t="shared" ref="CK826:CK889" si="877">0.45*($BI826+273.15)/(CJ826-$BI826)</f>
        <v>3.0748170731707316</v>
      </c>
      <c r="CL826" s="234" cm="1">
        <f t="array" ref="CL826">$BM826 * SUMPRODUCT(INDEX($AV$76:$AX$81,,$AI826),INDEX($AY$76:$BE$81,,$AH826), N($AU$76:$AU$81&gt;$AM826)) / CK826 / 1000</f>
        <v>0</v>
      </c>
      <c r="CM826" s="231">
        <f t="shared" si="857"/>
        <v>30</v>
      </c>
      <c r="CN826" s="229">
        <f t="shared" ref="CN826:CN889" si="878">MAX($T826, MAX($BJ826, CM826 + $BK826 + $BL826 + IF($AH826&lt;=2, (CM826-20)/(35-20), 0.6+0.4*(CM826-5)/(35-5))*0.35*$AL826*$BK826) + IF($AH826&lt;=2,0.9,0.8)*$CH826)</f>
        <v>43</v>
      </c>
      <c r="CO826" s="234">
        <f t="shared" ref="CO826:CO889" si="879">0.45*($BI826+273.15)/(CN826-$BI826)</f>
        <v>3.5018750000000001</v>
      </c>
      <c r="CP826" s="234" cm="1">
        <f t="array" ref="CP826">$BM826 * IF($AH826&lt;=2,
SUMPRODUCT(INDEX($AV$71:$AX$75,,$AI826), INDEX($AY$71:$BE$75,,$AH826), 1 / ($BF$71:$BF$75*CO826 + (1-$BF$71:$BF$75)*CK826), N($AU$71:$AU$75&gt;$AM826)),
SUMPRODUCT(INDEX($AV$66:$AX$75,,$AI826), INDEX($AY$66:$BE$75,,$AH826), 1 / ($BG$66:$BG$75*CO826 + (1-$BG$66:$BG$75)*CK826), N($AU$66:$AU$75&gt;$AM826))
) / 1000</f>
        <v>0</v>
      </c>
      <c r="CQ826" s="231">
        <f t="shared" si="858"/>
        <v>25</v>
      </c>
      <c r="CR826" s="229">
        <f t="shared" ref="CR826:CR889" si="880">MAX($T826, MAX($BJ826, CQ826 + $BK826 + $BL826 + IF($AH826&lt;=2, (CQ826-20)/(35-20), 0.6+0.4*(CQ826-5)/(35-5))*0.35*$AL826*$BK826) + IF($AH826&lt;=2,0.8,0.6)*$CH826)</f>
        <v>38</v>
      </c>
      <c r="CS826" s="234">
        <f t="shared" ref="CS826:CS889" si="881">0.45*($BI826+273.15)/(CR826-$BI826)</f>
        <v>4.0666935483870965</v>
      </c>
      <c r="CT826" s="234" cm="1">
        <f t="array" ref="CT826">$BM826 * IF($AH826&lt;=2,
SUMPRODUCT(INDEX($AV$66:$AX$70,,$AI826), INDEX($AY$66:$BE$70,,$AH826), 1 / ($BF$66:$BF$70*CS826 + (1-$BF$66:$BF$70)*CO826), N($AU$66:$AU$70&gt;$AM826)),
SUMPRODUCT(INDEX($AV$56:$AX$65,,$AI826), INDEX($AY$56:$BE$65,,$AH826), 1 / ($BG$56:$BG$65*CS826 + (1-$BG$56:$BG$65)*CO826), N($AU$56:$AU$65&gt;$AM826))
) / 1000</f>
        <v>0</v>
      </c>
      <c r="CU826" s="231">
        <f t="shared" si="859"/>
        <v>20</v>
      </c>
      <c r="CV826" s="229">
        <f t="shared" ref="CV826:CV889" si="882">MAX($T826, MAX($BJ826, CU826 + $BK826 + $BL826 + IF($AH826&lt;=2, (CU826-20)/(35-20), 0.6+0.4*(CU826-5)/(35-5))*0.35*$AL826*$BK826) + IF($AH826&lt;=2,0.7,0.4)*$CH826)</f>
        <v>33</v>
      </c>
      <c r="CW826" s="234">
        <f t="shared" ref="CW826:CW889" si="883">0.45*($BI826+273.15)/(CV826-$BI826)</f>
        <v>4.8487499999999999</v>
      </c>
      <c r="CX826" s="234" cm="1">
        <f t="array" ref="CX826">$BM826 * IF($AH826&lt;=2,
SUMPRODUCT(INDEX($AV$61:$AX$65,,$AI826), INDEX($AY$61:$BE$65,,$AH826), 1 / ($BF$61:$BF$65*CW826 + (1-$BF$61:$BF$65)*CS826), N($AU$61:$AU$65&gt;$AM826)),
SUMPRODUCT(INDEX($AV$46:$AX$55,,$AI826), INDEX($AY$46:$BE$55,,$AH826), 1 / ($BG$46:$BG$55*CW826 + (1-$BG$46:$BG$55)*CS826), N($AU$46:$AU$55&gt;$AM826))
) / 1000</f>
        <v>0</v>
      </c>
      <c r="CY826" s="234" cm="1">
        <f t="array" ref="CY826">$BM826 * IF($AH826&lt;=2,
SUMPRODUCT(INDEX($AV$22:$AX$60,,$AI826), INDEX($AY$22:$BE$60,,$AH826), 1 / ($BF$22:$BF$60*CW826), N($AU$22:$AU$60&gt;$AM826)),
SUMPRODUCT(INDEX($AV$22:$AX$45,,$AI826), INDEX($AY$22:$BE$45,,$AH826), 1 / ($BG$22:$BG$45*CW826), N($AU$22:$AU$45&gt;$AM826))
) / 1000</f>
        <v>0</v>
      </c>
      <c r="CZ826" s="229">
        <f t="shared" ref="CZ826:CZ889" si="884">CL826+CP826+CT826+CX826+CY826</f>
        <v>0</v>
      </c>
      <c r="DA826" s="246"/>
    </row>
    <row r="827" spans="1:105" s="75" customFormat="1" ht="14.25" customHeight="1" x14ac:dyDescent="0.2">
      <c r="A827" s="230" t="b">
        <f t="shared" si="851"/>
        <v>0</v>
      </c>
      <c r="B827" s="253">
        <v>806</v>
      </c>
      <c r="C827" s="266"/>
      <c r="D827" s="266"/>
      <c r="E827" s="254"/>
      <c r="F827" s="255" t="str">
        <f>IF(ISBLANK(E827), "", VLOOKUP(E827, Z!$A$2:$C$4127, 3, FALSE))</f>
        <v/>
      </c>
      <c r="G827" s="256"/>
      <c r="H827" s="256"/>
      <c r="I827" s="256"/>
      <c r="J827" s="257"/>
      <c r="K827" s="258"/>
      <c r="L827" s="267"/>
      <c r="M827" s="268"/>
      <c r="N827" s="259" t="str" cm="1">
        <f t="array" ref="N827">IF($L827&gt;0, INDEX(Clean,1+AK827,$D$1), "")</f>
        <v/>
      </c>
      <c r="O827" s="260"/>
      <c r="P827" s="260"/>
      <c r="Q827" s="261"/>
      <c r="R827" s="264">
        <f t="shared" si="860"/>
        <v>0</v>
      </c>
      <c r="S827" s="259" t="str" cm="1">
        <f t="array" ref="S827">IF($L827&gt;0, INDEX(Clean,1+AL827,$D$1), "")</f>
        <v/>
      </c>
      <c r="T827" s="260"/>
      <c r="U827" s="260"/>
      <c r="V827" s="261"/>
      <c r="W827" s="267"/>
      <c r="X827" s="267"/>
      <c r="Y827" s="257"/>
      <c r="Z827" s="264">
        <f t="shared" si="861"/>
        <v>0</v>
      </c>
      <c r="AA827" s="269"/>
      <c r="AB827" s="266"/>
      <c r="AC827" s="254"/>
      <c r="AD827" s="255" t="str">
        <f>IF(ISBLANK(AC827), "", VLOOKUP(AC827, Z!$A$2:$C$4127, 3, FALSE))</f>
        <v/>
      </c>
      <c r="AE827" s="270"/>
      <c r="AF827" s="265">
        <f t="shared" si="862"/>
        <v>0</v>
      </c>
      <c r="AG827" s="246"/>
      <c r="AH827" s="228">
        <f t="shared" ref="AH827:AH890" si="885">IF(ISBLANK(I827), 1, IFERROR(MATCH(I827, INDEX(Use,,1), 0), IFERROR(MATCH(I827, INDEX(Use,,2), 0), MATCH(I827, INDEX(Use,,3), 0))))</f>
        <v>1</v>
      </c>
      <c r="AI827" s="228">
        <f t="shared" ref="AI827:AI890" si="886">IF(ISBLANK(H827), 1, IFERROR(MATCH(H827, INDEX(Loc,,1), 0), IFERROR(MATCH(H827, INDEX(Loc,,2), 0), MATCH(H827, INDEX(Loc,,3), 0))))</f>
        <v>1</v>
      </c>
      <c r="AJ827" s="228">
        <f t="shared" ref="AJ827:AJ890" si="887">_xlfn.IFNA(IF(IFERROR(MATCH(J827, INDEX(Medium,,1), 0), IFERROR(MATCH(J827, INDEX(Medium,,2), 0), MATCH(J827, INDEX(Medium,,3), 0))) = 2, 1, 0), 0)</f>
        <v>0</v>
      </c>
      <c r="AK827" s="228">
        <v>0</v>
      </c>
      <c r="AL827" s="228">
        <v>0</v>
      </c>
      <c r="AM827" s="228">
        <f t="shared" si="863"/>
        <v>-100</v>
      </c>
      <c r="AN827" s="228" cm="1">
        <f t="array" ref="AN827">IF(ISBLANK(G827), 1, IFERROR(MATCH(G827, INDEX(Kat,,1), 0), IFERROR(MATCH(Kat, INDEX(Use,,2), 0), MATCH(Kat, INDEX(Use,,3), 0))))</f>
        <v>1</v>
      </c>
      <c r="AO827" s="246"/>
      <c r="AP827" s="228" cm="1">
        <f t="array" ref="AP827">IF(W827&gt;0, INDEX(Kat, AN827,4), 0)</f>
        <v>0</v>
      </c>
      <c r="AQ827" s="228">
        <f t="shared" ref="AQ827:AQ890" si="888">IF(ISBLANK(Y827), 0, IFERROR(MATCH(Y827, INDEX(Month,,1), 0), IFERROR(MATCH(Y827, INDEX(Month,,2), 0), MATCH(Y827, INDEX(Month,,3), 0))))</f>
        <v>0</v>
      </c>
      <c r="AR827" s="228" cm="1">
        <f t="array" ref="AR827">IF(X827&gt;0, INDEX(Kat, $AN827, 4+AQ827), 0)</f>
        <v>0</v>
      </c>
      <c r="AS827" s="228" cm="1">
        <f t="array" ref="AS827">IF(X827&gt;0, INDEX(Kat, $AN827, 9+AQ827), 0)</f>
        <v>0</v>
      </c>
      <c r="AT827" s="246"/>
      <c r="AU827" s="262"/>
      <c r="AV827" s="262"/>
      <c r="AW827" s="263"/>
      <c r="AX827" s="263"/>
      <c r="AY827" s="263"/>
      <c r="AZ827" s="263"/>
      <c r="BA827" s="263"/>
      <c r="BB827" s="263"/>
      <c r="BC827" s="263"/>
      <c r="BD827" s="263"/>
      <c r="BE827" s="263"/>
      <c r="BF827" s="263"/>
      <c r="BG827" s="263"/>
      <c r="BH827" s="246"/>
      <c r="BI827" s="228" cm="1">
        <f t="array" ref="BI827">INDEX(Use, $AH827, 4)</f>
        <v>7</v>
      </c>
      <c r="BJ827" s="228">
        <f t="shared" si="864"/>
        <v>32</v>
      </c>
      <c r="BK827" s="228">
        <f t="shared" si="852"/>
        <v>13</v>
      </c>
      <c r="BL827" s="228">
        <f t="shared" si="853"/>
        <v>0</v>
      </c>
      <c r="BM827" s="233" cm="1">
        <f t="array" ref="BM827">L827/IF($M827&gt;0, INDEX($AY$22:$BE$76, $M827+20, $AH827), 1)</f>
        <v>0</v>
      </c>
      <c r="BN827" s="229">
        <f t="shared" si="865"/>
        <v>0</v>
      </c>
      <c r="BO827" s="228">
        <v>35</v>
      </c>
      <c r="BP827" s="229">
        <f t="shared" si="866"/>
        <v>48</v>
      </c>
      <c r="BQ827" s="234">
        <f t="shared" si="867"/>
        <v>3.0748170731707316</v>
      </c>
      <c r="BR827" s="234" cm="1">
        <f t="array" ref="BR827">$BM827 * SUMPRODUCT(INDEX($AV$76:$AX$81,,$AI827),INDEX($AY$76:$BE$81,,$AH827), N($AU$76:$AU$81&gt;$AM827)) / BQ827 / 1000</f>
        <v>0</v>
      </c>
      <c r="BS827" s="231">
        <f t="shared" si="854"/>
        <v>30</v>
      </c>
      <c r="BT827" s="229">
        <f t="shared" si="868"/>
        <v>43</v>
      </c>
      <c r="BU827" s="234">
        <f t="shared" si="869"/>
        <v>3.5018750000000001</v>
      </c>
      <c r="BV827" s="234" cm="1">
        <f t="array" ref="BV827">$BM827 * IF($AH827&lt;=2,
SUMPRODUCT(INDEX($AV$71:$AX$75,,$AI827), INDEX($AY$71:$BE$75,,$AH827), 1 / ($BF$71:$BF$75*BU827 + (1-$BF$71:$BF$75)*BQ827), N($AU$71:$AU$75&gt;$AM827)),
SUMPRODUCT(INDEX($AV$66:$AX$75,,$AI827), INDEX($AY$66:$BE$75,,$AH827), 1 / ($BG$66:$BG$75*BU827 + (1-$BG$66:$BG$75)*BQ827), N($AU$66:$AU$75&gt;$AM827))
) / 1000</f>
        <v>0</v>
      </c>
      <c r="BW827" s="231">
        <f t="shared" si="855"/>
        <v>25</v>
      </c>
      <c r="BX827" s="229">
        <f t="shared" si="870"/>
        <v>38</v>
      </c>
      <c r="BY827" s="234">
        <f t="shared" si="871"/>
        <v>4.0666935483870965</v>
      </c>
      <c r="BZ827" s="234" cm="1">
        <f t="array" ref="BZ827">$BM827 * IF($AH827&lt;=2,
SUMPRODUCT(INDEX($AV$66:$AX$70,,$AI827), INDEX($AY$66:$BE$70,,$AH827), 1 / ($BF$66:$BF$70*BY827 + (1-$BF$66:$BF$70)*BU827), N($AU$66:$AU$70&gt;$AM827)),
SUMPRODUCT(INDEX($AV$56:$AX$65,,$AI827), INDEX($AY$56:$BE$65,,$AH827), 1 / ($BG$56:$BG$65*BY827 + (1-$BG$56:$BG$65)*BU827), N($AU$56:$AU$65&gt;$AM827))
) / 1000</f>
        <v>0</v>
      </c>
      <c r="CA827" s="231">
        <f t="shared" si="856"/>
        <v>20</v>
      </c>
      <c r="CB827" s="229">
        <f t="shared" si="872"/>
        <v>33</v>
      </c>
      <c r="CC827" s="234">
        <f t="shared" si="873"/>
        <v>4.8487499999999999</v>
      </c>
      <c r="CD827" s="234" cm="1">
        <f t="array" ref="CD827">$BM827 * IF($AH827&lt;=2,
SUMPRODUCT(INDEX($AV$61:$AX$65,,$AI827), INDEX($AY$61:$BE$65,,$AH827), 1 / ($BF$61:$BF$65*CC827 + (1-$BF$61:$BF$65)*BY827), N($AU$61:$AU$65&gt;$AM827)),
SUMPRODUCT(INDEX($AV$46:$AX$55,,$AI827), INDEX($AY$46:$BE$55,,$AH827), 1 / ($BG$46:$BG$55*CC827 + (1-$BG$46:$BG$55)*BY827), N($AU$46:$AU$55&gt;$AM827))
) / 1000</f>
        <v>0</v>
      </c>
      <c r="CE827" s="234" cm="1">
        <f t="array" ref="CE827">$BM827 * IF($AH827&lt;=2,
SUMPRODUCT(INDEX($AV$22:$AX$60,,$AI827), INDEX($AY$22:$BE$60,,$AH827), 1 / ($BF$22:$BF$60*CC827), N($AU$22:$AU$60&gt;$AM827)),
SUMPRODUCT(INDEX($AV$22:$AX$45,,$AI827), INDEX($AY$22:$BE$45,,$AH827), 1 / ($BG$22:$BG$45*CC827), N($AU$22:$AU$45&gt;$AM827))
) / 1000</f>
        <v>0</v>
      </c>
      <c r="CF827" s="229">
        <f t="shared" si="874"/>
        <v>0</v>
      </c>
      <c r="CG827" s="246"/>
      <c r="CH827" s="229">
        <f t="shared" si="875"/>
        <v>0</v>
      </c>
      <c r="CI827" s="228">
        <v>35</v>
      </c>
      <c r="CJ827" s="229">
        <f t="shared" si="876"/>
        <v>48</v>
      </c>
      <c r="CK827" s="234">
        <f t="shared" si="877"/>
        <v>3.0748170731707316</v>
      </c>
      <c r="CL827" s="234" cm="1">
        <f t="array" ref="CL827">$BM827 * SUMPRODUCT(INDEX($AV$76:$AX$81,,$AI827),INDEX($AY$76:$BE$81,,$AH827), N($AU$76:$AU$81&gt;$AM827)) / CK827 / 1000</f>
        <v>0</v>
      </c>
      <c r="CM827" s="231">
        <f t="shared" si="857"/>
        <v>30</v>
      </c>
      <c r="CN827" s="229">
        <f t="shared" si="878"/>
        <v>43</v>
      </c>
      <c r="CO827" s="234">
        <f t="shared" si="879"/>
        <v>3.5018750000000001</v>
      </c>
      <c r="CP827" s="234" cm="1">
        <f t="array" ref="CP827">$BM827 * IF($AH827&lt;=2,
SUMPRODUCT(INDEX($AV$71:$AX$75,,$AI827), INDEX($AY$71:$BE$75,,$AH827), 1 / ($BF$71:$BF$75*CO827 + (1-$BF$71:$BF$75)*CK827), N($AU$71:$AU$75&gt;$AM827)),
SUMPRODUCT(INDEX($AV$66:$AX$75,,$AI827), INDEX($AY$66:$BE$75,,$AH827), 1 / ($BG$66:$BG$75*CO827 + (1-$BG$66:$BG$75)*CK827), N($AU$66:$AU$75&gt;$AM827))
) / 1000</f>
        <v>0</v>
      </c>
      <c r="CQ827" s="231">
        <f t="shared" si="858"/>
        <v>25</v>
      </c>
      <c r="CR827" s="229">
        <f t="shared" si="880"/>
        <v>38</v>
      </c>
      <c r="CS827" s="234">
        <f t="shared" si="881"/>
        <v>4.0666935483870965</v>
      </c>
      <c r="CT827" s="234" cm="1">
        <f t="array" ref="CT827">$BM827 * IF($AH827&lt;=2,
SUMPRODUCT(INDEX($AV$66:$AX$70,,$AI827), INDEX($AY$66:$BE$70,,$AH827), 1 / ($BF$66:$BF$70*CS827 + (1-$BF$66:$BF$70)*CO827), N($AU$66:$AU$70&gt;$AM827)),
SUMPRODUCT(INDEX($AV$56:$AX$65,,$AI827), INDEX($AY$56:$BE$65,,$AH827), 1 / ($BG$56:$BG$65*CS827 + (1-$BG$56:$BG$65)*CO827), N($AU$56:$AU$65&gt;$AM827))
) / 1000</f>
        <v>0</v>
      </c>
      <c r="CU827" s="231">
        <f t="shared" si="859"/>
        <v>20</v>
      </c>
      <c r="CV827" s="229">
        <f t="shared" si="882"/>
        <v>33</v>
      </c>
      <c r="CW827" s="234">
        <f t="shared" si="883"/>
        <v>4.8487499999999999</v>
      </c>
      <c r="CX827" s="234" cm="1">
        <f t="array" ref="CX827">$BM827 * IF($AH827&lt;=2,
SUMPRODUCT(INDEX($AV$61:$AX$65,,$AI827), INDEX($AY$61:$BE$65,,$AH827), 1 / ($BF$61:$BF$65*CW827 + (1-$BF$61:$BF$65)*CS827), N($AU$61:$AU$65&gt;$AM827)),
SUMPRODUCT(INDEX($AV$46:$AX$55,,$AI827), INDEX($AY$46:$BE$55,,$AH827), 1 / ($BG$46:$BG$55*CW827 + (1-$BG$46:$BG$55)*CS827), N($AU$46:$AU$55&gt;$AM827))
) / 1000</f>
        <v>0</v>
      </c>
      <c r="CY827" s="234" cm="1">
        <f t="array" ref="CY827">$BM827 * IF($AH827&lt;=2,
SUMPRODUCT(INDEX($AV$22:$AX$60,,$AI827), INDEX($AY$22:$BE$60,,$AH827), 1 / ($BF$22:$BF$60*CW827), N($AU$22:$AU$60&gt;$AM827)),
SUMPRODUCT(INDEX($AV$22:$AX$45,,$AI827), INDEX($AY$22:$BE$45,,$AH827), 1 / ($BG$22:$BG$45*CW827), N($AU$22:$AU$45&gt;$AM827))
) / 1000</f>
        <v>0</v>
      </c>
      <c r="CZ827" s="229">
        <f t="shared" si="884"/>
        <v>0</v>
      </c>
      <c r="DA827" s="246"/>
    </row>
    <row r="828" spans="1:105" s="75" customFormat="1" ht="14.25" customHeight="1" x14ac:dyDescent="0.2">
      <c r="A828" s="230" t="b">
        <f t="shared" si="851"/>
        <v>0</v>
      </c>
      <c r="B828" s="253">
        <v>807</v>
      </c>
      <c r="C828" s="266"/>
      <c r="D828" s="266"/>
      <c r="E828" s="254"/>
      <c r="F828" s="255" t="str">
        <f>IF(ISBLANK(E828), "", VLOOKUP(E828, Z!$A$2:$C$4127, 3, FALSE))</f>
        <v/>
      </c>
      <c r="G828" s="256"/>
      <c r="H828" s="256"/>
      <c r="I828" s="256"/>
      <c r="J828" s="257"/>
      <c r="K828" s="258"/>
      <c r="L828" s="267"/>
      <c r="M828" s="268"/>
      <c r="N828" s="259" t="str" cm="1">
        <f t="array" ref="N828">IF($L828&gt;0, INDEX(Clean,1+AK828,$D$1), "")</f>
        <v/>
      </c>
      <c r="O828" s="260"/>
      <c r="P828" s="260"/>
      <c r="Q828" s="261"/>
      <c r="R828" s="264">
        <f t="shared" si="860"/>
        <v>0</v>
      </c>
      <c r="S828" s="259" t="str" cm="1">
        <f t="array" ref="S828">IF($L828&gt;0, INDEX(Clean,1+AL828,$D$1), "")</f>
        <v/>
      </c>
      <c r="T828" s="260"/>
      <c r="U828" s="260"/>
      <c r="V828" s="261"/>
      <c r="W828" s="267"/>
      <c r="X828" s="267"/>
      <c r="Y828" s="257"/>
      <c r="Z828" s="264">
        <f t="shared" si="861"/>
        <v>0</v>
      </c>
      <c r="AA828" s="269"/>
      <c r="AB828" s="266"/>
      <c r="AC828" s="254"/>
      <c r="AD828" s="255" t="str">
        <f>IF(ISBLANK(AC828), "", VLOOKUP(AC828, Z!$A$2:$C$4127, 3, FALSE))</f>
        <v/>
      </c>
      <c r="AE828" s="270"/>
      <c r="AF828" s="265">
        <f t="shared" si="862"/>
        <v>0</v>
      </c>
      <c r="AG828" s="246"/>
      <c r="AH828" s="228">
        <f t="shared" si="885"/>
        <v>1</v>
      </c>
      <c r="AI828" s="228">
        <f t="shared" si="886"/>
        <v>1</v>
      </c>
      <c r="AJ828" s="228">
        <f t="shared" si="887"/>
        <v>0</v>
      </c>
      <c r="AK828" s="228">
        <v>0</v>
      </c>
      <c r="AL828" s="228">
        <v>0</v>
      </c>
      <c r="AM828" s="228">
        <f t="shared" si="863"/>
        <v>-100</v>
      </c>
      <c r="AN828" s="228" cm="1">
        <f t="array" ref="AN828">IF(ISBLANK(G828), 1, IFERROR(MATCH(G828, INDEX(Kat,,1), 0), IFERROR(MATCH(Kat, INDEX(Use,,2), 0), MATCH(Kat, INDEX(Use,,3), 0))))</f>
        <v>1</v>
      </c>
      <c r="AO828" s="246"/>
      <c r="AP828" s="228" cm="1">
        <f t="array" ref="AP828">IF(W828&gt;0, INDEX(Kat, AN828,4), 0)</f>
        <v>0</v>
      </c>
      <c r="AQ828" s="228">
        <f t="shared" si="888"/>
        <v>0</v>
      </c>
      <c r="AR828" s="228" cm="1">
        <f t="array" ref="AR828">IF(X828&gt;0, INDEX(Kat, $AN828, 4+AQ828), 0)</f>
        <v>0</v>
      </c>
      <c r="AS828" s="228" cm="1">
        <f t="array" ref="AS828">IF(X828&gt;0, INDEX(Kat, $AN828, 9+AQ828), 0)</f>
        <v>0</v>
      </c>
      <c r="AT828" s="246"/>
      <c r="AU828" s="262"/>
      <c r="AV828" s="262"/>
      <c r="AW828" s="263"/>
      <c r="AX828" s="263"/>
      <c r="AY828" s="263"/>
      <c r="AZ828" s="263"/>
      <c r="BA828" s="263"/>
      <c r="BB828" s="263"/>
      <c r="BC828" s="263"/>
      <c r="BD828" s="263"/>
      <c r="BE828" s="263"/>
      <c r="BF828" s="263"/>
      <c r="BG828" s="263"/>
      <c r="BH828" s="246"/>
      <c r="BI828" s="228" cm="1">
        <f t="array" ref="BI828">INDEX(Use, $AH828, 4)</f>
        <v>7</v>
      </c>
      <c r="BJ828" s="228">
        <f t="shared" si="864"/>
        <v>32</v>
      </c>
      <c r="BK828" s="228">
        <f t="shared" si="852"/>
        <v>13</v>
      </c>
      <c r="BL828" s="228">
        <f t="shared" si="853"/>
        <v>0</v>
      </c>
      <c r="BM828" s="233" cm="1">
        <f t="array" ref="BM828">L828/IF($M828&gt;0, INDEX($AY$22:$BE$76, $M828+20, $AH828), 1)</f>
        <v>0</v>
      </c>
      <c r="BN828" s="229">
        <f t="shared" si="865"/>
        <v>0</v>
      </c>
      <c r="BO828" s="228">
        <v>35</v>
      </c>
      <c r="BP828" s="229">
        <f t="shared" si="866"/>
        <v>48</v>
      </c>
      <c r="BQ828" s="234">
        <f t="shared" si="867"/>
        <v>3.0748170731707316</v>
      </c>
      <c r="BR828" s="234" cm="1">
        <f t="array" ref="BR828">$BM828 * SUMPRODUCT(INDEX($AV$76:$AX$81,,$AI828),INDEX($AY$76:$BE$81,,$AH828), N($AU$76:$AU$81&gt;$AM828)) / BQ828 / 1000</f>
        <v>0</v>
      </c>
      <c r="BS828" s="231">
        <f t="shared" si="854"/>
        <v>30</v>
      </c>
      <c r="BT828" s="229">
        <f t="shared" si="868"/>
        <v>43</v>
      </c>
      <c r="BU828" s="234">
        <f t="shared" si="869"/>
        <v>3.5018750000000001</v>
      </c>
      <c r="BV828" s="234" cm="1">
        <f t="array" ref="BV828">$BM828 * IF($AH828&lt;=2,
SUMPRODUCT(INDEX($AV$71:$AX$75,,$AI828), INDEX($AY$71:$BE$75,,$AH828), 1 / ($BF$71:$BF$75*BU828 + (1-$BF$71:$BF$75)*BQ828), N($AU$71:$AU$75&gt;$AM828)),
SUMPRODUCT(INDEX($AV$66:$AX$75,,$AI828), INDEX($AY$66:$BE$75,,$AH828), 1 / ($BG$66:$BG$75*BU828 + (1-$BG$66:$BG$75)*BQ828), N($AU$66:$AU$75&gt;$AM828))
) / 1000</f>
        <v>0</v>
      </c>
      <c r="BW828" s="231">
        <f t="shared" si="855"/>
        <v>25</v>
      </c>
      <c r="BX828" s="229">
        <f t="shared" si="870"/>
        <v>38</v>
      </c>
      <c r="BY828" s="234">
        <f t="shared" si="871"/>
        <v>4.0666935483870965</v>
      </c>
      <c r="BZ828" s="234" cm="1">
        <f t="array" ref="BZ828">$BM828 * IF($AH828&lt;=2,
SUMPRODUCT(INDEX($AV$66:$AX$70,,$AI828), INDEX($AY$66:$BE$70,,$AH828), 1 / ($BF$66:$BF$70*BY828 + (1-$BF$66:$BF$70)*BU828), N($AU$66:$AU$70&gt;$AM828)),
SUMPRODUCT(INDEX($AV$56:$AX$65,,$AI828), INDEX($AY$56:$BE$65,,$AH828), 1 / ($BG$56:$BG$65*BY828 + (1-$BG$56:$BG$65)*BU828), N($AU$56:$AU$65&gt;$AM828))
) / 1000</f>
        <v>0</v>
      </c>
      <c r="CA828" s="231">
        <f t="shared" si="856"/>
        <v>20</v>
      </c>
      <c r="CB828" s="229">
        <f t="shared" si="872"/>
        <v>33</v>
      </c>
      <c r="CC828" s="234">
        <f t="shared" si="873"/>
        <v>4.8487499999999999</v>
      </c>
      <c r="CD828" s="234" cm="1">
        <f t="array" ref="CD828">$BM828 * IF($AH828&lt;=2,
SUMPRODUCT(INDEX($AV$61:$AX$65,,$AI828), INDEX($AY$61:$BE$65,,$AH828), 1 / ($BF$61:$BF$65*CC828 + (1-$BF$61:$BF$65)*BY828), N($AU$61:$AU$65&gt;$AM828)),
SUMPRODUCT(INDEX($AV$46:$AX$55,,$AI828), INDEX($AY$46:$BE$55,,$AH828), 1 / ($BG$46:$BG$55*CC828 + (1-$BG$46:$BG$55)*BY828), N($AU$46:$AU$55&gt;$AM828))
) / 1000</f>
        <v>0</v>
      </c>
      <c r="CE828" s="234" cm="1">
        <f t="array" ref="CE828">$BM828 * IF($AH828&lt;=2,
SUMPRODUCT(INDEX($AV$22:$AX$60,,$AI828), INDEX($AY$22:$BE$60,,$AH828), 1 / ($BF$22:$BF$60*CC828), N($AU$22:$AU$60&gt;$AM828)),
SUMPRODUCT(INDEX($AV$22:$AX$45,,$AI828), INDEX($AY$22:$BE$45,,$AH828), 1 / ($BG$22:$BG$45*CC828), N($AU$22:$AU$45&gt;$AM828))
) / 1000</f>
        <v>0</v>
      </c>
      <c r="CF828" s="229">
        <f t="shared" si="874"/>
        <v>0</v>
      </c>
      <c r="CG828" s="246"/>
      <c r="CH828" s="229">
        <f t="shared" si="875"/>
        <v>0</v>
      </c>
      <c r="CI828" s="228">
        <v>35</v>
      </c>
      <c r="CJ828" s="229">
        <f t="shared" si="876"/>
        <v>48</v>
      </c>
      <c r="CK828" s="234">
        <f t="shared" si="877"/>
        <v>3.0748170731707316</v>
      </c>
      <c r="CL828" s="234" cm="1">
        <f t="array" ref="CL828">$BM828 * SUMPRODUCT(INDEX($AV$76:$AX$81,,$AI828),INDEX($AY$76:$BE$81,,$AH828), N($AU$76:$AU$81&gt;$AM828)) / CK828 / 1000</f>
        <v>0</v>
      </c>
      <c r="CM828" s="231">
        <f t="shared" si="857"/>
        <v>30</v>
      </c>
      <c r="CN828" s="229">
        <f t="shared" si="878"/>
        <v>43</v>
      </c>
      <c r="CO828" s="234">
        <f t="shared" si="879"/>
        <v>3.5018750000000001</v>
      </c>
      <c r="CP828" s="234" cm="1">
        <f t="array" ref="CP828">$BM828 * IF($AH828&lt;=2,
SUMPRODUCT(INDEX($AV$71:$AX$75,,$AI828), INDEX($AY$71:$BE$75,,$AH828), 1 / ($BF$71:$BF$75*CO828 + (1-$BF$71:$BF$75)*CK828), N($AU$71:$AU$75&gt;$AM828)),
SUMPRODUCT(INDEX($AV$66:$AX$75,,$AI828), INDEX($AY$66:$BE$75,,$AH828), 1 / ($BG$66:$BG$75*CO828 + (1-$BG$66:$BG$75)*CK828), N($AU$66:$AU$75&gt;$AM828))
) / 1000</f>
        <v>0</v>
      </c>
      <c r="CQ828" s="231">
        <f t="shared" si="858"/>
        <v>25</v>
      </c>
      <c r="CR828" s="229">
        <f t="shared" si="880"/>
        <v>38</v>
      </c>
      <c r="CS828" s="234">
        <f t="shared" si="881"/>
        <v>4.0666935483870965</v>
      </c>
      <c r="CT828" s="234" cm="1">
        <f t="array" ref="CT828">$BM828 * IF($AH828&lt;=2,
SUMPRODUCT(INDEX($AV$66:$AX$70,,$AI828), INDEX($AY$66:$BE$70,,$AH828), 1 / ($BF$66:$BF$70*CS828 + (1-$BF$66:$BF$70)*CO828), N($AU$66:$AU$70&gt;$AM828)),
SUMPRODUCT(INDEX($AV$56:$AX$65,,$AI828), INDEX($AY$56:$BE$65,,$AH828), 1 / ($BG$56:$BG$65*CS828 + (1-$BG$56:$BG$65)*CO828), N($AU$56:$AU$65&gt;$AM828))
) / 1000</f>
        <v>0</v>
      </c>
      <c r="CU828" s="231">
        <f t="shared" si="859"/>
        <v>20</v>
      </c>
      <c r="CV828" s="229">
        <f t="shared" si="882"/>
        <v>33</v>
      </c>
      <c r="CW828" s="234">
        <f t="shared" si="883"/>
        <v>4.8487499999999999</v>
      </c>
      <c r="CX828" s="234" cm="1">
        <f t="array" ref="CX828">$BM828 * IF($AH828&lt;=2,
SUMPRODUCT(INDEX($AV$61:$AX$65,,$AI828), INDEX($AY$61:$BE$65,,$AH828), 1 / ($BF$61:$BF$65*CW828 + (1-$BF$61:$BF$65)*CS828), N($AU$61:$AU$65&gt;$AM828)),
SUMPRODUCT(INDEX($AV$46:$AX$55,,$AI828), INDEX($AY$46:$BE$55,,$AH828), 1 / ($BG$46:$BG$55*CW828 + (1-$BG$46:$BG$55)*CS828), N($AU$46:$AU$55&gt;$AM828))
) / 1000</f>
        <v>0</v>
      </c>
      <c r="CY828" s="234" cm="1">
        <f t="array" ref="CY828">$BM828 * IF($AH828&lt;=2,
SUMPRODUCT(INDEX($AV$22:$AX$60,,$AI828), INDEX($AY$22:$BE$60,,$AH828), 1 / ($BF$22:$BF$60*CW828), N($AU$22:$AU$60&gt;$AM828)),
SUMPRODUCT(INDEX($AV$22:$AX$45,,$AI828), INDEX($AY$22:$BE$45,,$AH828), 1 / ($BG$22:$BG$45*CW828), N($AU$22:$AU$45&gt;$AM828))
) / 1000</f>
        <v>0</v>
      </c>
      <c r="CZ828" s="229">
        <f t="shared" si="884"/>
        <v>0</v>
      </c>
      <c r="DA828" s="246"/>
    </row>
    <row r="829" spans="1:105" s="75" customFormat="1" ht="14.25" customHeight="1" x14ac:dyDescent="0.2">
      <c r="A829" s="230" t="b">
        <f t="shared" si="851"/>
        <v>0</v>
      </c>
      <c r="B829" s="253">
        <v>808</v>
      </c>
      <c r="C829" s="266"/>
      <c r="D829" s="266"/>
      <c r="E829" s="254"/>
      <c r="F829" s="255" t="str">
        <f>IF(ISBLANK(E829), "", VLOOKUP(E829, Z!$A$2:$C$4127, 3, FALSE))</f>
        <v/>
      </c>
      <c r="G829" s="256"/>
      <c r="H829" s="256"/>
      <c r="I829" s="256"/>
      <c r="J829" s="257"/>
      <c r="K829" s="258"/>
      <c r="L829" s="267"/>
      <c r="M829" s="268"/>
      <c r="N829" s="259" t="str" cm="1">
        <f t="array" ref="N829">IF($L829&gt;0, INDEX(Clean,1+AK829,$D$1), "")</f>
        <v/>
      </c>
      <c r="O829" s="260"/>
      <c r="P829" s="260"/>
      <c r="Q829" s="261"/>
      <c r="R829" s="264">
        <f t="shared" si="860"/>
        <v>0</v>
      </c>
      <c r="S829" s="259" t="str" cm="1">
        <f t="array" ref="S829">IF($L829&gt;0, INDEX(Clean,1+AL829,$D$1), "")</f>
        <v/>
      </c>
      <c r="T829" s="260"/>
      <c r="U829" s="260"/>
      <c r="V829" s="261"/>
      <c r="W829" s="267"/>
      <c r="X829" s="267"/>
      <c r="Y829" s="257"/>
      <c r="Z829" s="264">
        <f t="shared" si="861"/>
        <v>0</v>
      </c>
      <c r="AA829" s="269"/>
      <c r="AB829" s="266"/>
      <c r="AC829" s="254"/>
      <c r="AD829" s="255" t="str">
        <f>IF(ISBLANK(AC829), "", VLOOKUP(AC829, Z!$A$2:$C$4127, 3, FALSE))</f>
        <v/>
      </c>
      <c r="AE829" s="270"/>
      <c r="AF829" s="265">
        <f t="shared" si="862"/>
        <v>0</v>
      </c>
      <c r="AG829" s="246"/>
      <c r="AH829" s="228">
        <f t="shared" si="885"/>
        <v>1</v>
      </c>
      <c r="AI829" s="228">
        <f t="shared" si="886"/>
        <v>1</v>
      </c>
      <c r="AJ829" s="228">
        <f t="shared" si="887"/>
        <v>0</v>
      </c>
      <c r="AK829" s="228">
        <v>0</v>
      </c>
      <c r="AL829" s="228">
        <v>0</v>
      </c>
      <c r="AM829" s="228">
        <f t="shared" si="863"/>
        <v>-100</v>
      </c>
      <c r="AN829" s="228" cm="1">
        <f t="array" ref="AN829">IF(ISBLANK(G829), 1, IFERROR(MATCH(G829, INDEX(Kat,,1), 0), IFERROR(MATCH(Kat, INDEX(Use,,2), 0), MATCH(Kat, INDEX(Use,,3), 0))))</f>
        <v>1</v>
      </c>
      <c r="AO829" s="246"/>
      <c r="AP829" s="228" cm="1">
        <f t="array" ref="AP829">IF(W829&gt;0, INDEX(Kat, AN829,4), 0)</f>
        <v>0</v>
      </c>
      <c r="AQ829" s="228">
        <f t="shared" si="888"/>
        <v>0</v>
      </c>
      <c r="AR829" s="228" cm="1">
        <f t="array" ref="AR829">IF(X829&gt;0, INDEX(Kat, $AN829, 4+AQ829), 0)</f>
        <v>0</v>
      </c>
      <c r="AS829" s="228" cm="1">
        <f t="array" ref="AS829">IF(X829&gt;0, INDEX(Kat, $AN829, 9+AQ829), 0)</f>
        <v>0</v>
      </c>
      <c r="AT829" s="246"/>
      <c r="AU829" s="262"/>
      <c r="AV829" s="262"/>
      <c r="AW829" s="263"/>
      <c r="AX829" s="263"/>
      <c r="AY829" s="263"/>
      <c r="AZ829" s="263"/>
      <c r="BA829" s="263"/>
      <c r="BB829" s="263"/>
      <c r="BC829" s="263"/>
      <c r="BD829" s="263"/>
      <c r="BE829" s="263"/>
      <c r="BF829" s="263"/>
      <c r="BG829" s="263"/>
      <c r="BH829" s="246"/>
      <c r="BI829" s="228" cm="1">
        <f t="array" ref="BI829">INDEX(Use, $AH829, 4)</f>
        <v>7</v>
      </c>
      <c r="BJ829" s="228">
        <f t="shared" si="864"/>
        <v>32</v>
      </c>
      <c r="BK829" s="228">
        <f t="shared" si="852"/>
        <v>13</v>
      </c>
      <c r="BL829" s="228">
        <f t="shared" si="853"/>
        <v>0</v>
      </c>
      <c r="BM829" s="233" cm="1">
        <f t="array" ref="BM829">L829/IF($M829&gt;0, INDEX($AY$22:$BE$76, $M829+20, $AH829), 1)</f>
        <v>0</v>
      </c>
      <c r="BN829" s="229">
        <f t="shared" si="865"/>
        <v>0</v>
      </c>
      <c r="BO829" s="228">
        <v>35</v>
      </c>
      <c r="BP829" s="229">
        <f t="shared" si="866"/>
        <v>48</v>
      </c>
      <c r="BQ829" s="234">
        <f t="shared" si="867"/>
        <v>3.0748170731707316</v>
      </c>
      <c r="BR829" s="234" cm="1">
        <f t="array" ref="BR829">$BM829 * SUMPRODUCT(INDEX($AV$76:$AX$81,,$AI829),INDEX($AY$76:$BE$81,,$AH829), N($AU$76:$AU$81&gt;$AM829)) / BQ829 / 1000</f>
        <v>0</v>
      </c>
      <c r="BS829" s="231">
        <f t="shared" si="854"/>
        <v>30</v>
      </c>
      <c r="BT829" s="229">
        <f t="shared" si="868"/>
        <v>43</v>
      </c>
      <c r="BU829" s="234">
        <f t="shared" si="869"/>
        <v>3.5018750000000001</v>
      </c>
      <c r="BV829" s="234" cm="1">
        <f t="array" ref="BV829">$BM829 * IF($AH829&lt;=2,
SUMPRODUCT(INDEX($AV$71:$AX$75,,$AI829), INDEX($AY$71:$BE$75,,$AH829), 1 / ($BF$71:$BF$75*BU829 + (1-$BF$71:$BF$75)*BQ829), N($AU$71:$AU$75&gt;$AM829)),
SUMPRODUCT(INDEX($AV$66:$AX$75,,$AI829), INDEX($AY$66:$BE$75,,$AH829), 1 / ($BG$66:$BG$75*BU829 + (1-$BG$66:$BG$75)*BQ829), N($AU$66:$AU$75&gt;$AM829))
) / 1000</f>
        <v>0</v>
      </c>
      <c r="BW829" s="231">
        <f t="shared" si="855"/>
        <v>25</v>
      </c>
      <c r="BX829" s="229">
        <f t="shared" si="870"/>
        <v>38</v>
      </c>
      <c r="BY829" s="234">
        <f t="shared" si="871"/>
        <v>4.0666935483870965</v>
      </c>
      <c r="BZ829" s="234" cm="1">
        <f t="array" ref="BZ829">$BM829 * IF($AH829&lt;=2,
SUMPRODUCT(INDEX($AV$66:$AX$70,,$AI829), INDEX($AY$66:$BE$70,,$AH829), 1 / ($BF$66:$BF$70*BY829 + (1-$BF$66:$BF$70)*BU829), N($AU$66:$AU$70&gt;$AM829)),
SUMPRODUCT(INDEX($AV$56:$AX$65,,$AI829), INDEX($AY$56:$BE$65,,$AH829), 1 / ($BG$56:$BG$65*BY829 + (1-$BG$56:$BG$65)*BU829), N($AU$56:$AU$65&gt;$AM829))
) / 1000</f>
        <v>0</v>
      </c>
      <c r="CA829" s="231">
        <f t="shared" si="856"/>
        <v>20</v>
      </c>
      <c r="CB829" s="229">
        <f t="shared" si="872"/>
        <v>33</v>
      </c>
      <c r="CC829" s="234">
        <f t="shared" si="873"/>
        <v>4.8487499999999999</v>
      </c>
      <c r="CD829" s="234" cm="1">
        <f t="array" ref="CD829">$BM829 * IF($AH829&lt;=2,
SUMPRODUCT(INDEX($AV$61:$AX$65,,$AI829), INDEX($AY$61:$BE$65,,$AH829), 1 / ($BF$61:$BF$65*CC829 + (1-$BF$61:$BF$65)*BY829), N($AU$61:$AU$65&gt;$AM829)),
SUMPRODUCT(INDEX($AV$46:$AX$55,,$AI829), INDEX($AY$46:$BE$55,,$AH829), 1 / ($BG$46:$BG$55*CC829 + (1-$BG$46:$BG$55)*BY829), N($AU$46:$AU$55&gt;$AM829))
) / 1000</f>
        <v>0</v>
      </c>
      <c r="CE829" s="234" cm="1">
        <f t="array" ref="CE829">$BM829 * IF($AH829&lt;=2,
SUMPRODUCT(INDEX($AV$22:$AX$60,,$AI829), INDEX($AY$22:$BE$60,,$AH829), 1 / ($BF$22:$BF$60*CC829), N($AU$22:$AU$60&gt;$AM829)),
SUMPRODUCT(INDEX($AV$22:$AX$45,,$AI829), INDEX($AY$22:$BE$45,,$AH829), 1 / ($BG$22:$BG$45*CC829), N($AU$22:$AU$45&gt;$AM829))
) / 1000</f>
        <v>0</v>
      </c>
      <c r="CF829" s="229">
        <f t="shared" si="874"/>
        <v>0</v>
      </c>
      <c r="CG829" s="246"/>
      <c r="CH829" s="229">
        <f t="shared" si="875"/>
        <v>0</v>
      </c>
      <c r="CI829" s="228">
        <v>35</v>
      </c>
      <c r="CJ829" s="229">
        <f t="shared" si="876"/>
        <v>48</v>
      </c>
      <c r="CK829" s="234">
        <f t="shared" si="877"/>
        <v>3.0748170731707316</v>
      </c>
      <c r="CL829" s="234" cm="1">
        <f t="array" ref="CL829">$BM829 * SUMPRODUCT(INDEX($AV$76:$AX$81,,$AI829),INDEX($AY$76:$BE$81,,$AH829), N($AU$76:$AU$81&gt;$AM829)) / CK829 / 1000</f>
        <v>0</v>
      </c>
      <c r="CM829" s="231">
        <f t="shared" si="857"/>
        <v>30</v>
      </c>
      <c r="CN829" s="229">
        <f t="shared" si="878"/>
        <v>43</v>
      </c>
      <c r="CO829" s="234">
        <f t="shared" si="879"/>
        <v>3.5018750000000001</v>
      </c>
      <c r="CP829" s="234" cm="1">
        <f t="array" ref="CP829">$BM829 * IF($AH829&lt;=2,
SUMPRODUCT(INDEX($AV$71:$AX$75,,$AI829), INDEX($AY$71:$BE$75,,$AH829), 1 / ($BF$71:$BF$75*CO829 + (1-$BF$71:$BF$75)*CK829), N($AU$71:$AU$75&gt;$AM829)),
SUMPRODUCT(INDEX($AV$66:$AX$75,,$AI829), INDEX($AY$66:$BE$75,,$AH829), 1 / ($BG$66:$BG$75*CO829 + (1-$BG$66:$BG$75)*CK829), N($AU$66:$AU$75&gt;$AM829))
) / 1000</f>
        <v>0</v>
      </c>
      <c r="CQ829" s="231">
        <f t="shared" si="858"/>
        <v>25</v>
      </c>
      <c r="CR829" s="229">
        <f t="shared" si="880"/>
        <v>38</v>
      </c>
      <c r="CS829" s="234">
        <f t="shared" si="881"/>
        <v>4.0666935483870965</v>
      </c>
      <c r="CT829" s="234" cm="1">
        <f t="array" ref="CT829">$BM829 * IF($AH829&lt;=2,
SUMPRODUCT(INDEX($AV$66:$AX$70,,$AI829), INDEX($AY$66:$BE$70,,$AH829), 1 / ($BF$66:$BF$70*CS829 + (1-$BF$66:$BF$70)*CO829), N($AU$66:$AU$70&gt;$AM829)),
SUMPRODUCT(INDEX($AV$56:$AX$65,,$AI829), INDEX($AY$56:$BE$65,,$AH829), 1 / ($BG$56:$BG$65*CS829 + (1-$BG$56:$BG$65)*CO829), N($AU$56:$AU$65&gt;$AM829))
) / 1000</f>
        <v>0</v>
      </c>
      <c r="CU829" s="231">
        <f t="shared" si="859"/>
        <v>20</v>
      </c>
      <c r="CV829" s="229">
        <f t="shared" si="882"/>
        <v>33</v>
      </c>
      <c r="CW829" s="234">
        <f t="shared" si="883"/>
        <v>4.8487499999999999</v>
      </c>
      <c r="CX829" s="234" cm="1">
        <f t="array" ref="CX829">$BM829 * IF($AH829&lt;=2,
SUMPRODUCT(INDEX($AV$61:$AX$65,,$AI829), INDEX($AY$61:$BE$65,,$AH829), 1 / ($BF$61:$BF$65*CW829 + (1-$BF$61:$BF$65)*CS829), N($AU$61:$AU$65&gt;$AM829)),
SUMPRODUCT(INDEX($AV$46:$AX$55,,$AI829), INDEX($AY$46:$BE$55,,$AH829), 1 / ($BG$46:$BG$55*CW829 + (1-$BG$46:$BG$55)*CS829), N($AU$46:$AU$55&gt;$AM829))
) / 1000</f>
        <v>0</v>
      </c>
      <c r="CY829" s="234" cm="1">
        <f t="array" ref="CY829">$BM829 * IF($AH829&lt;=2,
SUMPRODUCT(INDEX($AV$22:$AX$60,,$AI829), INDEX($AY$22:$BE$60,,$AH829), 1 / ($BF$22:$BF$60*CW829), N($AU$22:$AU$60&gt;$AM829)),
SUMPRODUCT(INDEX($AV$22:$AX$45,,$AI829), INDEX($AY$22:$BE$45,,$AH829), 1 / ($BG$22:$BG$45*CW829), N($AU$22:$AU$45&gt;$AM829))
) / 1000</f>
        <v>0</v>
      </c>
      <c r="CZ829" s="229">
        <f t="shared" si="884"/>
        <v>0</v>
      </c>
      <c r="DA829" s="246"/>
    </row>
    <row r="830" spans="1:105" s="75" customFormat="1" ht="14.25" customHeight="1" x14ac:dyDescent="0.2">
      <c r="A830" s="230" t="b">
        <f t="shared" si="851"/>
        <v>0</v>
      </c>
      <c r="B830" s="253">
        <v>809</v>
      </c>
      <c r="C830" s="266"/>
      <c r="D830" s="266"/>
      <c r="E830" s="254"/>
      <c r="F830" s="255" t="str">
        <f>IF(ISBLANK(E830), "", VLOOKUP(E830, Z!$A$2:$C$4127, 3, FALSE))</f>
        <v/>
      </c>
      <c r="G830" s="256"/>
      <c r="H830" s="256"/>
      <c r="I830" s="256"/>
      <c r="J830" s="257"/>
      <c r="K830" s="258"/>
      <c r="L830" s="267"/>
      <c r="M830" s="268"/>
      <c r="N830" s="259" t="str" cm="1">
        <f t="array" ref="N830">IF($L830&gt;0, INDEX(Clean,1+AK830,$D$1), "")</f>
        <v/>
      </c>
      <c r="O830" s="260"/>
      <c r="P830" s="260"/>
      <c r="Q830" s="261"/>
      <c r="R830" s="264">
        <f t="shared" si="860"/>
        <v>0</v>
      </c>
      <c r="S830" s="259" t="str" cm="1">
        <f t="array" ref="S830">IF($L830&gt;0, INDEX(Clean,1+AL830,$D$1), "")</f>
        <v/>
      </c>
      <c r="T830" s="260"/>
      <c r="U830" s="260"/>
      <c r="V830" s="261"/>
      <c r="W830" s="267"/>
      <c r="X830" s="267"/>
      <c r="Y830" s="257"/>
      <c r="Z830" s="264">
        <f t="shared" si="861"/>
        <v>0</v>
      </c>
      <c r="AA830" s="269"/>
      <c r="AB830" s="266"/>
      <c r="AC830" s="254"/>
      <c r="AD830" s="255" t="str">
        <f>IF(ISBLANK(AC830), "", VLOOKUP(AC830, Z!$A$2:$C$4127, 3, FALSE))</f>
        <v/>
      </c>
      <c r="AE830" s="270"/>
      <c r="AF830" s="265">
        <f t="shared" si="862"/>
        <v>0</v>
      </c>
      <c r="AG830" s="246"/>
      <c r="AH830" s="228">
        <f t="shared" si="885"/>
        <v>1</v>
      </c>
      <c r="AI830" s="228">
        <f t="shared" si="886"/>
        <v>1</v>
      </c>
      <c r="AJ830" s="228">
        <f t="shared" si="887"/>
        <v>0</v>
      </c>
      <c r="AK830" s="228">
        <v>0</v>
      </c>
      <c r="AL830" s="228">
        <v>0</v>
      </c>
      <c r="AM830" s="228">
        <f t="shared" si="863"/>
        <v>-100</v>
      </c>
      <c r="AN830" s="228" cm="1">
        <f t="array" ref="AN830">IF(ISBLANK(G830), 1, IFERROR(MATCH(G830, INDEX(Kat,,1), 0), IFERROR(MATCH(Kat, INDEX(Use,,2), 0), MATCH(Kat, INDEX(Use,,3), 0))))</f>
        <v>1</v>
      </c>
      <c r="AO830" s="246"/>
      <c r="AP830" s="228" cm="1">
        <f t="array" ref="AP830">IF(W830&gt;0, INDEX(Kat, AN830,4), 0)</f>
        <v>0</v>
      </c>
      <c r="AQ830" s="228">
        <f t="shared" si="888"/>
        <v>0</v>
      </c>
      <c r="AR830" s="228" cm="1">
        <f t="array" ref="AR830">IF(X830&gt;0, INDEX(Kat, $AN830, 4+AQ830), 0)</f>
        <v>0</v>
      </c>
      <c r="AS830" s="228" cm="1">
        <f t="array" ref="AS830">IF(X830&gt;0, INDEX(Kat, $AN830, 9+AQ830), 0)</f>
        <v>0</v>
      </c>
      <c r="AT830" s="246"/>
      <c r="AU830" s="262"/>
      <c r="AV830" s="262"/>
      <c r="AW830" s="263"/>
      <c r="AX830" s="263"/>
      <c r="AY830" s="263"/>
      <c r="AZ830" s="263"/>
      <c r="BA830" s="263"/>
      <c r="BB830" s="263"/>
      <c r="BC830" s="263"/>
      <c r="BD830" s="263"/>
      <c r="BE830" s="263"/>
      <c r="BF830" s="263"/>
      <c r="BG830" s="263"/>
      <c r="BH830" s="246"/>
      <c r="BI830" s="228" cm="1">
        <f t="array" ref="BI830">INDEX(Use, $AH830, 4)</f>
        <v>7</v>
      </c>
      <c r="BJ830" s="228">
        <f t="shared" si="864"/>
        <v>32</v>
      </c>
      <c r="BK830" s="228">
        <f t="shared" si="852"/>
        <v>13</v>
      </c>
      <c r="BL830" s="228">
        <f t="shared" si="853"/>
        <v>0</v>
      </c>
      <c r="BM830" s="233" cm="1">
        <f t="array" ref="BM830">L830/IF($M830&gt;0, INDEX($AY$22:$BE$76, $M830+20, $AH830), 1)</f>
        <v>0</v>
      </c>
      <c r="BN830" s="229">
        <f t="shared" si="865"/>
        <v>0</v>
      </c>
      <c r="BO830" s="228">
        <v>35</v>
      </c>
      <c r="BP830" s="229">
        <f t="shared" si="866"/>
        <v>48</v>
      </c>
      <c r="BQ830" s="234">
        <f t="shared" si="867"/>
        <v>3.0748170731707316</v>
      </c>
      <c r="BR830" s="234" cm="1">
        <f t="array" ref="BR830">$BM830 * SUMPRODUCT(INDEX($AV$76:$AX$81,,$AI830),INDEX($AY$76:$BE$81,,$AH830), N($AU$76:$AU$81&gt;$AM830)) / BQ830 / 1000</f>
        <v>0</v>
      </c>
      <c r="BS830" s="231">
        <f t="shared" si="854"/>
        <v>30</v>
      </c>
      <c r="BT830" s="229">
        <f t="shared" si="868"/>
        <v>43</v>
      </c>
      <c r="BU830" s="234">
        <f t="shared" si="869"/>
        <v>3.5018750000000001</v>
      </c>
      <c r="BV830" s="234" cm="1">
        <f t="array" ref="BV830">$BM830 * IF($AH830&lt;=2,
SUMPRODUCT(INDEX($AV$71:$AX$75,,$AI830), INDEX($AY$71:$BE$75,,$AH830), 1 / ($BF$71:$BF$75*BU830 + (1-$BF$71:$BF$75)*BQ830), N($AU$71:$AU$75&gt;$AM830)),
SUMPRODUCT(INDEX($AV$66:$AX$75,,$AI830), INDEX($AY$66:$BE$75,,$AH830), 1 / ($BG$66:$BG$75*BU830 + (1-$BG$66:$BG$75)*BQ830), N($AU$66:$AU$75&gt;$AM830))
) / 1000</f>
        <v>0</v>
      </c>
      <c r="BW830" s="231">
        <f t="shared" si="855"/>
        <v>25</v>
      </c>
      <c r="BX830" s="229">
        <f t="shared" si="870"/>
        <v>38</v>
      </c>
      <c r="BY830" s="234">
        <f t="shared" si="871"/>
        <v>4.0666935483870965</v>
      </c>
      <c r="BZ830" s="234" cm="1">
        <f t="array" ref="BZ830">$BM830 * IF($AH830&lt;=2,
SUMPRODUCT(INDEX($AV$66:$AX$70,,$AI830), INDEX($AY$66:$BE$70,,$AH830), 1 / ($BF$66:$BF$70*BY830 + (1-$BF$66:$BF$70)*BU830), N($AU$66:$AU$70&gt;$AM830)),
SUMPRODUCT(INDEX($AV$56:$AX$65,,$AI830), INDEX($AY$56:$BE$65,,$AH830), 1 / ($BG$56:$BG$65*BY830 + (1-$BG$56:$BG$65)*BU830), N($AU$56:$AU$65&gt;$AM830))
) / 1000</f>
        <v>0</v>
      </c>
      <c r="CA830" s="231">
        <f t="shared" si="856"/>
        <v>20</v>
      </c>
      <c r="CB830" s="229">
        <f t="shared" si="872"/>
        <v>33</v>
      </c>
      <c r="CC830" s="234">
        <f t="shared" si="873"/>
        <v>4.8487499999999999</v>
      </c>
      <c r="CD830" s="234" cm="1">
        <f t="array" ref="CD830">$BM830 * IF($AH830&lt;=2,
SUMPRODUCT(INDEX($AV$61:$AX$65,,$AI830), INDEX($AY$61:$BE$65,,$AH830), 1 / ($BF$61:$BF$65*CC830 + (1-$BF$61:$BF$65)*BY830), N($AU$61:$AU$65&gt;$AM830)),
SUMPRODUCT(INDEX($AV$46:$AX$55,,$AI830), INDEX($AY$46:$BE$55,,$AH830), 1 / ($BG$46:$BG$55*CC830 + (1-$BG$46:$BG$55)*BY830), N($AU$46:$AU$55&gt;$AM830))
) / 1000</f>
        <v>0</v>
      </c>
      <c r="CE830" s="234" cm="1">
        <f t="array" ref="CE830">$BM830 * IF($AH830&lt;=2,
SUMPRODUCT(INDEX($AV$22:$AX$60,,$AI830), INDEX($AY$22:$BE$60,,$AH830), 1 / ($BF$22:$BF$60*CC830), N($AU$22:$AU$60&gt;$AM830)),
SUMPRODUCT(INDEX($AV$22:$AX$45,,$AI830), INDEX($AY$22:$BE$45,,$AH830), 1 / ($BG$22:$BG$45*CC830), N($AU$22:$AU$45&gt;$AM830))
) / 1000</f>
        <v>0</v>
      </c>
      <c r="CF830" s="229">
        <f t="shared" si="874"/>
        <v>0</v>
      </c>
      <c r="CG830" s="246"/>
      <c r="CH830" s="229">
        <f t="shared" si="875"/>
        <v>0</v>
      </c>
      <c r="CI830" s="228">
        <v>35</v>
      </c>
      <c r="CJ830" s="229">
        <f t="shared" si="876"/>
        <v>48</v>
      </c>
      <c r="CK830" s="234">
        <f t="shared" si="877"/>
        <v>3.0748170731707316</v>
      </c>
      <c r="CL830" s="234" cm="1">
        <f t="array" ref="CL830">$BM830 * SUMPRODUCT(INDEX($AV$76:$AX$81,,$AI830),INDEX($AY$76:$BE$81,,$AH830), N($AU$76:$AU$81&gt;$AM830)) / CK830 / 1000</f>
        <v>0</v>
      </c>
      <c r="CM830" s="231">
        <f t="shared" si="857"/>
        <v>30</v>
      </c>
      <c r="CN830" s="229">
        <f t="shared" si="878"/>
        <v>43</v>
      </c>
      <c r="CO830" s="234">
        <f t="shared" si="879"/>
        <v>3.5018750000000001</v>
      </c>
      <c r="CP830" s="234" cm="1">
        <f t="array" ref="CP830">$BM830 * IF($AH830&lt;=2,
SUMPRODUCT(INDEX($AV$71:$AX$75,,$AI830), INDEX($AY$71:$BE$75,,$AH830), 1 / ($BF$71:$BF$75*CO830 + (1-$BF$71:$BF$75)*CK830), N($AU$71:$AU$75&gt;$AM830)),
SUMPRODUCT(INDEX($AV$66:$AX$75,,$AI830), INDEX($AY$66:$BE$75,,$AH830), 1 / ($BG$66:$BG$75*CO830 + (1-$BG$66:$BG$75)*CK830), N($AU$66:$AU$75&gt;$AM830))
) / 1000</f>
        <v>0</v>
      </c>
      <c r="CQ830" s="231">
        <f t="shared" si="858"/>
        <v>25</v>
      </c>
      <c r="CR830" s="229">
        <f t="shared" si="880"/>
        <v>38</v>
      </c>
      <c r="CS830" s="234">
        <f t="shared" si="881"/>
        <v>4.0666935483870965</v>
      </c>
      <c r="CT830" s="234" cm="1">
        <f t="array" ref="CT830">$BM830 * IF($AH830&lt;=2,
SUMPRODUCT(INDEX($AV$66:$AX$70,,$AI830), INDEX($AY$66:$BE$70,,$AH830), 1 / ($BF$66:$BF$70*CS830 + (1-$BF$66:$BF$70)*CO830), N($AU$66:$AU$70&gt;$AM830)),
SUMPRODUCT(INDEX($AV$56:$AX$65,,$AI830), INDEX($AY$56:$BE$65,,$AH830), 1 / ($BG$56:$BG$65*CS830 + (1-$BG$56:$BG$65)*CO830), N($AU$56:$AU$65&gt;$AM830))
) / 1000</f>
        <v>0</v>
      </c>
      <c r="CU830" s="231">
        <f t="shared" si="859"/>
        <v>20</v>
      </c>
      <c r="CV830" s="229">
        <f t="shared" si="882"/>
        <v>33</v>
      </c>
      <c r="CW830" s="234">
        <f t="shared" si="883"/>
        <v>4.8487499999999999</v>
      </c>
      <c r="CX830" s="234" cm="1">
        <f t="array" ref="CX830">$BM830 * IF($AH830&lt;=2,
SUMPRODUCT(INDEX($AV$61:$AX$65,,$AI830), INDEX($AY$61:$BE$65,,$AH830), 1 / ($BF$61:$BF$65*CW830 + (1-$BF$61:$BF$65)*CS830), N($AU$61:$AU$65&gt;$AM830)),
SUMPRODUCT(INDEX($AV$46:$AX$55,,$AI830), INDEX($AY$46:$BE$55,,$AH830), 1 / ($BG$46:$BG$55*CW830 + (1-$BG$46:$BG$55)*CS830), N($AU$46:$AU$55&gt;$AM830))
) / 1000</f>
        <v>0</v>
      </c>
      <c r="CY830" s="234" cm="1">
        <f t="array" ref="CY830">$BM830 * IF($AH830&lt;=2,
SUMPRODUCT(INDEX($AV$22:$AX$60,,$AI830), INDEX($AY$22:$BE$60,,$AH830), 1 / ($BF$22:$BF$60*CW830), N($AU$22:$AU$60&gt;$AM830)),
SUMPRODUCT(INDEX($AV$22:$AX$45,,$AI830), INDEX($AY$22:$BE$45,,$AH830), 1 / ($BG$22:$BG$45*CW830), N($AU$22:$AU$45&gt;$AM830))
) / 1000</f>
        <v>0</v>
      </c>
      <c r="CZ830" s="229">
        <f t="shared" si="884"/>
        <v>0</v>
      </c>
      <c r="DA830" s="246"/>
    </row>
    <row r="831" spans="1:105" s="75" customFormat="1" ht="14.25" customHeight="1" x14ac:dyDescent="0.2">
      <c r="A831" s="230" t="b">
        <f t="shared" si="851"/>
        <v>0</v>
      </c>
      <c r="B831" s="253">
        <v>810</v>
      </c>
      <c r="C831" s="266"/>
      <c r="D831" s="266"/>
      <c r="E831" s="254"/>
      <c r="F831" s="255" t="str">
        <f>IF(ISBLANK(E831), "", VLOOKUP(E831, Z!$A$2:$C$4127, 3, FALSE))</f>
        <v/>
      </c>
      <c r="G831" s="256"/>
      <c r="H831" s="256"/>
      <c r="I831" s="256"/>
      <c r="J831" s="257"/>
      <c r="K831" s="258"/>
      <c r="L831" s="267"/>
      <c r="M831" s="268"/>
      <c r="N831" s="259" t="str" cm="1">
        <f t="array" ref="N831">IF($L831&gt;0, INDEX(Clean,1+AK831,$D$1), "")</f>
        <v/>
      </c>
      <c r="O831" s="260"/>
      <c r="P831" s="260"/>
      <c r="Q831" s="261"/>
      <c r="R831" s="264">
        <f t="shared" si="860"/>
        <v>0</v>
      </c>
      <c r="S831" s="259" t="str" cm="1">
        <f t="array" ref="S831">IF($L831&gt;0, INDEX(Clean,1+AL831,$D$1), "")</f>
        <v/>
      </c>
      <c r="T831" s="260"/>
      <c r="U831" s="260"/>
      <c r="V831" s="261"/>
      <c r="W831" s="267"/>
      <c r="X831" s="267"/>
      <c r="Y831" s="257"/>
      <c r="Z831" s="264">
        <f t="shared" si="861"/>
        <v>0</v>
      </c>
      <c r="AA831" s="269"/>
      <c r="AB831" s="266"/>
      <c r="AC831" s="254"/>
      <c r="AD831" s="255" t="str">
        <f>IF(ISBLANK(AC831), "", VLOOKUP(AC831, Z!$A$2:$C$4127, 3, FALSE))</f>
        <v/>
      </c>
      <c r="AE831" s="270"/>
      <c r="AF831" s="265">
        <f t="shared" si="862"/>
        <v>0</v>
      </c>
      <c r="AG831" s="246"/>
      <c r="AH831" s="228">
        <f t="shared" si="885"/>
        <v>1</v>
      </c>
      <c r="AI831" s="228">
        <f t="shared" si="886"/>
        <v>1</v>
      </c>
      <c r="AJ831" s="228">
        <f t="shared" si="887"/>
        <v>0</v>
      </c>
      <c r="AK831" s="228">
        <v>0</v>
      </c>
      <c r="AL831" s="228">
        <v>0</v>
      </c>
      <c r="AM831" s="228">
        <f t="shared" si="863"/>
        <v>-100</v>
      </c>
      <c r="AN831" s="228" cm="1">
        <f t="array" ref="AN831">IF(ISBLANK(G831), 1, IFERROR(MATCH(G831, INDEX(Kat,,1), 0), IFERROR(MATCH(Kat, INDEX(Use,,2), 0), MATCH(Kat, INDEX(Use,,3), 0))))</f>
        <v>1</v>
      </c>
      <c r="AO831" s="246"/>
      <c r="AP831" s="228" cm="1">
        <f t="array" ref="AP831">IF(W831&gt;0, INDEX(Kat, AN831,4), 0)</f>
        <v>0</v>
      </c>
      <c r="AQ831" s="228">
        <f t="shared" si="888"/>
        <v>0</v>
      </c>
      <c r="AR831" s="228" cm="1">
        <f t="array" ref="AR831">IF(X831&gt;0, INDEX(Kat, $AN831, 4+AQ831), 0)</f>
        <v>0</v>
      </c>
      <c r="AS831" s="228" cm="1">
        <f t="array" ref="AS831">IF(X831&gt;0, INDEX(Kat, $AN831, 9+AQ831), 0)</f>
        <v>0</v>
      </c>
      <c r="AT831" s="246"/>
      <c r="AU831" s="262"/>
      <c r="AV831" s="262"/>
      <c r="AW831" s="263"/>
      <c r="AX831" s="263"/>
      <c r="AY831" s="263"/>
      <c r="AZ831" s="263"/>
      <c r="BA831" s="263"/>
      <c r="BB831" s="263"/>
      <c r="BC831" s="263"/>
      <c r="BD831" s="263"/>
      <c r="BE831" s="263"/>
      <c r="BF831" s="263"/>
      <c r="BG831" s="263"/>
      <c r="BH831" s="246"/>
      <c r="BI831" s="228" cm="1">
        <f t="array" ref="BI831">INDEX(Use, $AH831, 4)</f>
        <v>7</v>
      </c>
      <c r="BJ831" s="228">
        <f t="shared" si="864"/>
        <v>32</v>
      </c>
      <c r="BK831" s="228">
        <f t="shared" si="852"/>
        <v>13</v>
      </c>
      <c r="BL831" s="228">
        <f t="shared" si="853"/>
        <v>0</v>
      </c>
      <c r="BM831" s="233" cm="1">
        <f t="array" ref="BM831">L831/IF($M831&gt;0, INDEX($AY$22:$BE$76, $M831+20, $AH831), 1)</f>
        <v>0</v>
      </c>
      <c r="BN831" s="229">
        <f t="shared" si="865"/>
        <v>0</v>
      </c>
      <c r="BO831" s="228">
        <v>35</v>
      </c>
      <c r="BP831" s="229">
        <f t="shared" si="866"/>
        <v>48</v>
      </c>
      <c r="BQ831" s="234">
        <f t="shared" si="867"/>
        <v>3.0748170731707316</v>
      </c>
      <c r="BR831" s="234" cm="1">
        <f t="array" ref="BR831">$BM831 * SUMPRODUCT(INDEX($AV$76:$AX$81,,$AI831),INDEX($AY$76:$BE$81,,$AH831), N($AU$76:$AU$81&gt;$AM831)) / BQ831 / 1000</f>
        <v>0</v>
      </c>
      <c r="BS831" s="231">
        <f t="shared" si="854"/>
        <v>30</v>
      </c>
      <c r="BT831" s="229">
        <f t="shared" si="868"/>
        <v>43</v>
      </c>
      <c r="BU831" s="234">
        <f t="shared" si="869"/>
        <v>3.5018750000000001</v>
      </c>
      <c r="BV831" s="234" cm="1">
        <f t="array" ref="BV831">$BM831 * IF($AH831&lt;=2,
SUMPRODUCT(INDEX($AV$71:$AX$75,,$AI831), INDEX($AY$71:$BE$75,,$AH831), 1 / ($BF$71:$BF$75*BU831 + (1-$BF$71:$BF$75)*BQ831), N($AU$71:$AU$75&gt;$AM831)),
SUMPRODUCT(INDEX($AV$66:$AX$75,,$AI831), INDEX($AY$66:$BE$75,,$AH831), 1 / ($BG$66:$BG$75*BU831 + (1-$BG$66:$BG$75)*BQ831), N($AU$66:$AU$75&gt;$AM831))
) / 1000</f>
        <v>0</v>
      </c>
      <c r="BW831" s="231">
        <f t="shared" si="855"/>
        <v>25</v>
      </c>
      <c r="BX831" s="229">
        <f t="shared" si="870"/>
        <v>38</v>
      </c>
      <c r="BY831" s="234">
        <f t="shared" si="871"/>
        <v>4.0666935483870965</v>
      </c>
      <c r="BZ831" s="234" cm="1">
        <f t="array" ref="BZ831">$BM831 * IF($AH831&lt;=2,
SUMPRODUCT(INDEX($AV$66:$AX$70,,$AI831), INDEX($AY$66:$BE$70,,$AH831), 1 / ($BF$66:$BF$70*BY831 + (1-$BF$66:$BF$70)*BU831), N($AU$66:$AU$70&gt;$AM831)),
SUMPRODUCT(INDEX($AV$56:$AX$65,,$AI831), INDEX($AY$56:$BE$65,,$AH831), 1 / ($BG$56:$BG$65*BY831 + (1-$BG$56:$BG$65)*BU831), N($AU$56:$AU$65&gt;$AM831))
) / 1000</f>
        <v>0</v>
      </c>
      <c r="CA831" s="231">
        <f t="shared" si="856"/>
        <v>20</v>
      </c>
      <c r="CB831" s="229">
        <f t="shared" si="872"/>
        <v>33</v>
      </c>
      <c r="CC831" s="234">
        <f t="shared" si="873"/>
        <v>4.8487499999999999</v>
      </c>
      <c r="CD831" s="234" cm="1">
        <f t="array" ref="CD831">$BM831 * IF($AH831&lt;=2,
SUMPRODUCT(INDEX($AV$61:$AX$65,,$AI831), INDEX($AY$61:$BE$65,,$AH831), 1 / ($BF$61:$BF$65*CC831 + (1-$BF$61:$BF$65)*BY831), N($AU$61:$AU$65&gt;$AM831)),
SUMPRODUCT(INDEX($AV$46:$AX$55,,$AI831), INDEX($AY$46:$BE$55,,$AH831), 1 / ($BG$46:$BG$55*CC831 + (1-$BG$46:$BG$55)*BY831), N($AU$46:$AU$55&gt;$AM831))
) / 1000</f>
        <v>0</v>
      </c>
      <c r="CE831" s="234" cm="1">
        <f t="array" ref="CE831">$BM831 * IF($AH831&lt;=2,
SUMPRODUCT(INDEX($AV$22:$AX$60,,$AI831), INDEX($AY$22:$BE$60,,$AH831), 1 / ($BF$22:$BF$60*CC831), N($AU$22:$AU$60&gt;$AM831)),
SUMPRODUCT(INDEX($AV$22:$AX$45,,$AI831), INDEX($AY$22:$BE$45,,$AH831), 1 / ($BG$22:$BG$45*CC831), N($AU$22:$AU$45&gt;$AM831))
) / 1000</f>
        <v>0</v>
      </c>
      <c r="CF831" s="229">
        <f t="shared" si="874"/>
        <v>0</v>
      </c>
      <c r="CG831" s="246"/>
      <c r="CH831" s="229">
        <f t="shared" si="875"/>
        <v>0</v>
      </c>
      <c r="CI831" s="228">
        <v>35</v>
      </c>
      <c r="CJ831" s="229">
        <f t="shared" si="876"/>
        <v>48</v>
      </c>
      <c r="CK831" s="234">
        <f t="shared" si="877"/>
        <v>3.0748170731707316</v>
      </c>
      <c r="CL831" s="234" cm="1">
        <f t="array" ref="CL831">$BM831 * SUMPRODUCT(INDEX($AV$76:$AX$81,,$AI831),INDEX($AY$76:$BE$81,,$AH831), N($AU$76:$AU$81&gt;$AM831)) / CK831 / 1000</f>
        <v>0</v>
      </c>
      <c r="CM831" s="231">
        <f t="shared" si="857"/>
        <v>30</v>
      </c>
      <c r="CN831" s="229">
        <f t="shared" si="878"/>
        <v>43</v>
      </c>
      <c r="CO831" s="234">
        <f t="shared" si="879"/>
        <v>3.5018750000000001</v>
      </c>
      <c r="CP831" s="234" cm="1">
        <f t="array" ref="CP831">$BM831 * IF($AH831&lt;=2,
SUMPRODUCT(INDEX($AV$71:$AX$75,,$AI831), INDEX($AY$71:$BE$75,,$AH831), 1 / ($BF$71:$BF$75*CO831 + (1-$BF$71:$BF$75)*CK831), N($AU$71:$AU$75&gt;$AM831)),
SUMPRODUCT(INDEX($AV$66:$AX$75,,$AI831), INDEX($AY$66:$BE$75,,$AH831), 1 / ($BG$66:$BG$75*CO831 + (1-$BG$66:$BG$75)*CK831), N($AU$66:$AU$75&gt;$AM831))
) / 1000</f>
        <v>0</v>
      </c>
      <c r="CQ831" s="231">
        <f t="shared" si="858"/>
        <v>25</v>
      </c>
      <c r="CR831" s="229">
        <f t="shared" si="880"/>
        <v>38</v>
      </c>
      <c r="CS831" s="234">
        <f t="shared" si="881"/>
        <v>4.0666935483870965</v>
      </c>
      <c r="CT831" s="234" cm="1">
        <f t="array" ref="CT831">$BM831 * IF($AH831&lt;=2,
SUMPRODUCT(INDEX($AV$66:$AX$70,,$AI831), INDEX($AY$66:$BE$70,,$AH831), 1 / ($BF$66:$BF$70*CS831 + (1-$BF$66:$BF$70)*CO831), N($AU$66:$AU$70&gt;$AM831)),
SUMPRODUCT(INDEX($AV$56:$AX$65,,$AI831), INDEX($AY$56:$BE$65,,$AH831), 1 / ($BG$56:$BG$65*CS831 + (1-$BG$56:$BG$65)*CO831), N($AU$56:$AU$65&gt;$AM831))
) / 1000</f>
        <v>0</v>
      </c>
      <c r="CU831" s="231">
        <f t="shared" si="859"/>
        <v>20</v>
      </c>
      <c r="CV831" s="229">
        <f t="shared" si="882"/>
        <v>33</v>
      </c>
      <c r="CW831" s="234">
        <f t="shared" si="883"/>
        <v>4.8487499999999999</v>
      </c>
      <c r="CX831" s="234" cm="1">
        <f t="array" ref="CX831">$BM831 * IF($AH831&lt;=2,
SUMPRODUCT(INDEX($AV$61:$AX$65,,$AI831), INDEX($AY$61:$BE$65,,$AH831), 1 / ($BF$61:$BF$65*CW831 + (1-$BF$61:$BF$65)*CS831), N($AU$61:$AU$65&gt;$AM831)),
SUMPRODUCT(INDEX($AV$46:$AX$55,,$AI831), INDEX($AY$46:$BE$55,,$AH831), 1 / ($BG$46:$BG$55*CW831 + (1-$BG$46:$BG$55)*CS831), N($AU$46:$AU$55&gt;$AM831))
) / 1000</f>
        <v>0</v>
      </c>
      <c r="CY831" s="234" cm="1">
        <f t="array" ref="CY831">$BM831 * IF($AH831&lt;=2,
SUMPRODUCT(INDEX($AV$22:$AX$60,,$AI831), INDEX($AY$22:$BE$60,,$AH831), 1 / ($BF$22:$BF$60*CW831), N($AU$22:$AU$60&gt;$AM831)),
SUMPRODUCT(INDEX($AV$22:$AX$45,,$AI831), INDEX($AY$22:$BE$45,,$AH831), 1 / ($BG$22:$BG$45*CW831), N($AU$22:$AU$45&gt;$AM831))
) / 1000</f>
        <v>0</v>
      </c>
      <c r="CZ831" s="229">
        <f t="shared" si="884"/>
        <v>0</v>
      </c>
      <c r="DA831" s="246"/>
    </row>
    <row r="832" spans="1:105" s="75" customFormat="1" ht="14.25" customHeight="1" x14ac:dyDescent="0.2">
      <c r="A832" s="230" t="b">
        <f t="shared" si="851"/>
        <v>0</v>
      </c>
      <c r="B832" s="253">
        <v>811</v>
      </c>
      <c r="C832" s="266"/>
      <c r="D832" s="266"/>
      <c r="E832" s="254"/>
      <c r="F832" s="255" t="str">
        <f>IF(ISBLANK(E832), "", VLOOKUP(E832, Z!$A$2:$C$4127, 3, FALSE))</f>
        <v/>
      </c>
      <c r="G832" s="256"/>
      <c r="H832" s="256"/>
      <c r="I832" s="256"/>
      <c r="J832" s="257"/>
      <c r="K832" s="258"/>
      <c r="L832" s="267"/>
      <c r="M832" s="268"/>
      <c r="N832" s="259" t="str" cm="1">
        <f t="array" ref="N832">IF($L832&gt;0, INDEX(Clean,1+AK832,$D$1), "")</f>
        <v/>
      </c>
      <c r="O832" s="260"/>
      <c r="P832" s="260"/>
      <c r="Q832" s="261"/>
      <c r="R832" s="264">
        <f t="shared" si="860"/>
        <v>0</v>
      </c>
      <c r="S832" s="259" t="str" cm="1">
        <f t="array" ref="S832">IF($L832&gt;0, INDEX(Clean,1+AL832,$D$1), "")</f>
        <v/>
      </c>
      <c r="T832" s="260"/>
      <c r="U832" s="260"/>
      <c r="V832" s="261"/>
      <c r="W832" s="267"/>
      <c r="X832" s="267"/>
      <c r="Y832" s="257"/>
      <c r="Z832" s="264">
        <f t="shared" si="861"/>
        <v>0</v>
      </c>
      <c r="AA832" s="269"/>
      <c r="AB832" s="266"/>
      <c r="AC832" s="254"/>
      <c r="AD832" s="255" t="str">
        <f>IF(ISBLANK(AC832), "", VLOOKUP(AC832, Z!$A$2:$C$4127, 3, FALSE))</f>
        <v/>
      </c>
      <c r="AE832" s="270"/>
      <c r="AF832" s="265">
        <f t="shared" si="862"/>
        <v>0</v>
      </c>
      <c r="AG832" s="246"/>
      <c r="AH832" s="228">
        <f t="shared" si="885"/>
        <v>1</v>
      </c>
      <c r="AI832" s="228">
        <f t="shared" si="886"/>
        <v>1</v>
      </c>
      <c r="AJ832" s="228">
        <f t="shared" si="887"/>
        <v>0</v>
      </c>
      <c r="AK832" s="228">
        <v>0</v>
      </c>
      <c r="AL832" s="228">
        <v>0</v>
      </c>
      <c r="AM832" s="228">
        <f t="shared" si="863"/>
        <v>-100</v>
      </c>
      <c r="AN832" s="228" cm="1">
        <f t="array" ref="AN832">IF(ISBLANK(G832), 1, IFERROR(MATCH(G832, INDEX(Kat,,1), 0), IFERROR(MATCH(Kat, INDEX(Use,,2), 0), MATCH(Kat, INDEX(Use,,3), 0))))</f>
        <v>1</v>
      </c>
      <c r="AO832" s="246"/>
      <c r="AP832" s="228" cm="1">
        <f t="array" ref="AP832">IF(W832&gt;0, INDEX(Kat, AN832,4), 0)</f>
        <v>0</v>
      </c>
      <c r="AQ832" s="228">
        <f t="shared" si="888"/>
        <v>0</v>
      </c>
      <c r="AR832" s="228" cm="1">
        <f t="array" ref="AR832">IF(X832&gt;0, INDEX(Kat, $AN832, 4+AQ832), 0)</f>
        <v>0</v>
      </c>
      <c r="AS832" s="228" cm="1">
        <f t="array" ref="AS832">IF(X832&gt;0, INDEX(Kat, $AN832, 9+AQ832), 0)</f>
        <v>0</v>
      </c>
      <c r="AT832" s="246"/>
      <c r="AU832" s="262"/>
      <c r="AV832" s="262"/>
      <c r="AW832" s="263"/>
      <c r="AX832" s="263"/>
      <c r="AY832" s="263"/>
      <c r="AZ832" s="263"/>
      <c r="BA832" s="263"/>
      <c r="BB832" s="263"/>
      <c r="BC832" s="263"/>
      <c r="BD832" s="263"/>
      <c r="BE832" s="263"/>
      <c r="BF832" s="263"/>
      <c r="BG832" s="263"/>
      <c r="BH832" s="246"/>
      <c r="BI832" s="228" cm="1">
        <f t="array" ref="BI832">INDEX(Use, $AH832, 4)</f>
        <v>7</v>
      </c>
      <c r="BJ832" s="228">
        <f t="shared" si="864"/>
        <v>32</v>
      </c>
      <c r="BK832" s="228">
        <f t="shared" si="852"/>
        <v>13</v>
      </c>
      <c r="BL832" s="228">
        <f t="shared" si="853"/>
        <v>0</v>
      </c>
      <c r="BM832" s="233" cm="1">
        <f t="array" ref="BM832">L832/IF($M832&gt;0, INDEX($AY$22:$BE$76, $M832+20, $AH832), 1)</f>
        <v>0</v>
      </c>
      <c r="BN832" s="229">
        <f t="shared" si="865"/>
        <v>0</v>
      </c>
      <c r="BO832" s="228">
        <v>35</v>
      </c>
      <c r="BP832" s="229">
        <f t="shared" si="866"/>
        <v>48</v>
      </c>
      <c r="BQ832" s="234">
        <f t="shared" si="867"/>
        <v>3.0748170731707316</v>
      </c>
      <c r="BR832" s="234" cm="1">
        <f t="array" ref="BR832">$BM832 * SUMPRODUCT(INDEX($AV$76:$AX$81,,$AI832),INDEX($AY$76:$BE$81,,$AH832), N($AU$76:$AU$81&gt;$AM832)) / BQ832 / 1000</f>
        <v>0</v>
      </c>
      <c r="BS832" s="231">
        <f t="shared" si="854"/>
        <v>30</v>
      </c>
      <c r="BT832" s="229">
        <f t="shared" si="868"/>
        <v>43</v>
      </c>
      <c r="BU832" s="234">
        <f t="shared" si="869"/>
        <v>3.5018750000000001</v>
      </c>
      <c r="BV832" s="234" cm="1">
        <f t="array" ref="BV832">$BM832 * IF($AH832&lt;=2,
SUMPRODUCT(INDEX($AV$71:$AX$75,,$AI832), INDEX($AY$71:$BE$75,,$AH832), 1 / ($BF$71:$BF$75*BU832 + (1-$BF$71:$BF$75)*BQ832), N($AU$71:$AU$75&gt;$AM832)),
SUMPRODUCT(INDEX($AV$66:$AX$75,,$AI832), INDEX($AY$66:$BE$75,,$AH832), 1 / ($BG$66:$BG$75*BU832 + (1-$BG$66:$BG$75)*BQ832), N($AU$66:$AU$75&gt;$AM832))
) / 1000</f>
        <v>0</v>
      </c>
      <c r="BW832" s="231">
        <f t="shared" si="855"/>
        <v>25</v>
      </c>
      <c r="BX832" s="229">
        <f t="shared" si="870"/>
        <v>38</v>
      </c>
      <c r="BY832" s="234">
        <f t="shared" si="871"/>
        <v>4.0666935483870965</v>
      </c>
      <c r="BZ832" s="234" cm="1">
        <f t="array" ref="BZ832">$BM832 * IF($AH832&lt;=2,
SUMPRODUCT(INDEX($AV$66:$AX$70,,$AI832), INDEX($AY$66:$BE$70,,$AH832), 1 / ($BF$66:$BF$70*BY832 + (1-$BF$66:$BF$70)*BU832), N($AU$66:$AU$70&gt;$AM832)),
SUMPRODUCT(INDEX($AV$56:$AX$65,,$AI832), INDEX($AY$56:$BE$65,,$AH832), 1 / ($BG$56:$BG$65*BY832 + (1-$BG$56:$BG$65)*BU832), N($AU$56:$AU$65&gt;$AM832))
) / 1000</f>
        <v>0</v>
      </c>
      <c r="CA832" s="231">
        <f t="shared" si="856"/>
        <v>20</v>
      </c>
      <c r="CB832" s="229">
        <f t="shared" si="872"/>
        <v>33</v>
      </c>
      <c r="CC832" s="234">
        <f t="shared" si="873"/>
        <v>4.8487499999999999</v>
      </c>
      <c r="CD832" s="234" cm="1">
        <f t="array" ref="CD832">$BM832 * IF($AH832&lt;=2,
SUMPRODUCT(INDEX($AV$61:$AX$65,,$AI832), INDEX($AY$61:$BE$65,,$AH832), 1 / ($BF$61:$BF$65*CC832 + (1-$BF$61:$BF$65)*BY832), N($AU$61:$AU$65&gt;$AM832)),
SUMPRODUCT(INDEX($AV$46:$AX$55,,$AI832), INDEX($AY$46:$BE$55,,$AH832), 1 / ($BG$46:$BG$55*CC832 + (1-$BG$46:$BG$55)*BY832), N($AU$46:$AU$55&gt;$AM832))
) / 1000</f>
        <v>0</v>
      </c>
      <c r="CE832" s="234" cm="1">
        <f t="array" ref="CE832">$BM832 * IF($AH832&lt;=2,
SUMPRODUCT(INDEX($AV$22:$AX$60,,$AI832), INDEX($AY$22:$BE$60,,$AH832), 1 / ($BF$22:$BF$60*CC832), N($AU$22:$AU$60&gt;$AM832)),
SUMPRODUCT(INDEX($AV$22:$AX$45,,$AI832), INDEX($AY$22:$BE$45,,$AH832), 1 / ($BG$22:$BG$45*CC832), N($AU$22:$AU$45&gt;$AM832))
) / 1000</f>
        <v>0</v>
      </c>
      <c r="CF832" s="229">
        <f t="shared" si="874"/>
        <v>0</v>
      </c>
      <c r="CG832" s="246"/>
      <c r="CH832" s="229">
        <f t="shared" si="875"/>
        <v>0</v>
      </c>
      <c r="CI832" s="228">
        <v>35</v>
      </c>
      <c r="CJ832" s="229">
        <f t="shared" si="876"/>
        <v>48</v>
      </c>
      <c r="CK832" s="234">
        <f t="shared" si="877"/>
        <v>3.0748170731707316</v>
      </c>
      <c r="CL832" s="234" cm="1">
        <f t="array" ref="CL832">$BM832 * SUMPRODUCT(INDEX($AV$76:$AX$81,,$AI832),INDEX($AY$76:$BE$81,,$AH832), N($AU$76:$AU$81&gt;$AM832)) / CK832 / 1000</f>
        <v>0</v>
      </c>
      <c r="CM832" s="231">
        <f t="shared" si="857"/>
        <v>30</v>
      </c>
      <c r="CN832" s="229">
        <f t="shared" si="878"/>
        <v>43</v>
      </c>
      <c r="CO832" s="234">
        <f t="shared" si="879"/>
        <v>3.5018750000000001</v>
      </c>
      <c r="CP832" s="234" cm="1">
        <f t="array" ref="CP832">$BM832 * IF($AH832&lt;=2,
SUMPRODUCT(INDEX($AV$71:$AX$75,,$AI832), INDEX($AY$71:$BE$75,,$AH832), 1 / ($BF$71:$BF$75*CO832 + (1-$BF$71:$BF$75)*CK832), N($AU$71:$AU$75&gt;$AM832)),
SUMPRODUCT(INDEX($AV$66:$AX$75,,$AI832), INDEX($AY$66:$BE$75,,$AH832), 1 / ($BG$66:$BG$75*CO832 + (1-$BG$66:$BG$75)*CK832), N($AU$66:$AU$75&gt;$AM832))
) / 1000</f>
        <v>0</v>
      </c>
      <c r="CQ832" s="231">
        <f t="shared" si="858"/>
        <v>25</v>
      </c>
      <c r="CR832" s="229">
        <f t="shared" si="880"/>
        <v>38</v>
      </c>
      <c r="CS832" s="234">
        <f t="shared" si="881"/>
        <v>4.0666935483870965</v>
      </c>
      <c r="CT832" s="234" cm="1">
        <f t="array" ref="CT832">$BM832 * IF($AH832&lt;=2,
SUMPRODUCT(INDEX($AV$66:$AX$70,,$AI832), INDEX($AY$66:$BE$70,,$AH832), 1 / ($BF$66:$BF$70*CS832 + (1-$BF$66:$BF$70)*CO832), N($AU$66:$AU$70&gt;$AM832)),
SUMPRODUCT(INDEX($AV$56:$AX$65,,$AI832), INDEX($AY$56:$BE$65,,$AH832), 1 / ($BG$56:$BG$65*CS832 + (1-$BG$56:$BG$65)*CO832), N($AU$56:$AU$65&gt;$AM832))
) / 1000</f>
        <v>0</v>
      </c>
      <c r="CU832" s="231">
        <f t="shared" si="859"/>
        <v>20</v>
      </c>
      <c r="CV832" s="229">
        <f t="shared" si="882"/>
        <v>33</v>
      </c>
      <c r="CW832" s="234">
        <f t="shared" si="883"/>
        <v>4.8487499999999999</v>
      </c>
      <c r="CX832" s="234" cm="1">
        <f t="array" ref="CX832">$BM832 * IF($AH832&lt;=2,
SUMPRODUCT(INDEX($AV$61:$AX$65,,$AI832), INDEX($AY$61:$BE$65,,$AH832), 1 / ($BF$61:$BF$65*CW832 + (1-$BF$61:$BF$65)*CS832), N($AU$61:$AU$65&gt;$AM832)),
SUMPRODUCT(INDEX($AV$46:$AX$55,,$AI832), INDEX($AY$46:$BE$55,,$AH832), 1 / ($BG$46:$BG$55*CW832 + (1-$BG$46:$BG$55)*CS832), N($AU$46:$AU$55&gt;$AM832))
) / 1000</f>
        <v>0</v>
      </c>
      <c r="CY832" s="234" cm="1">
        <f t="array" ref="CY832">$BM832 * IF($AH832&lt;=2,
SUMPRODUCT(INDEX($AV$22:$AX$60,,$AI832), INDEX($AY$22:$BE$60,,$AH832), 1 / ($BF$22:$BF$60*CW832), N($AU$22:$AU$60&gt;$AM832)),
SUMPRODUCT(INDEX($AV$22:$AX$45,,$AI832), INDEX($AY$22:$BE$45,,$AH832), 1 / ($BG$22:$BG$45*CW832), N($AU$22:$AU$45&gt;$AM832))
) / 1000</f>
        <v>0</v>
      </c>
      <c r="CZ832" s="229">
        <f t="shared" si="884"/>
        <v>0</v>
      </c>
      <c r="DA832" s="246"/>
    </row>
    <row r="833" spans="1:105" s="75" customFormat="1" ht="14.25" customHeight="1" x14ac:dyDescent="0.2">
      <c r="A833" s="230" t="b">
        <f t="shared" si="851"/>
        <v>0</v>
      </c>
      <c r="B833" s="253">
        <v>812</v>
      </c>
      <c r="C833" s="266"/>
      <c r="D833" s="266"/>
      <c r="E833" s="254"/>
      <c r="F833" s="255" t="str">
        <f>IF(ISBLANK(E833), "", VLOOKUP(E833, Z!$A$2:$C$4127, 3, FALSE))</f>
        <v/>
      </c>
      <c r="G833" s="256"/>
      <c r="H833" s="256"/>
      <c r="I833" s="256"/>
      <c r="J833" s="257"/>
      <c r="K833" s="258"/>
      <c r="L833" s="267"/>
      <c r="M833" s="268"/>
      <c r="N833" s="259" t="str" cm="1">
        <f t="array" ref="N833">IF($L833&gt;0, INDEX(Clean,1+AK833,$D$1), "")</f>
        <v/>
      </c>
      <c r="O833" s="260"/>
      <c r="P833" s="260"/>
      <c r="Q833" s="261"/>
      <c r="R833" s="264">
        <f t="shared" si="860"/>
        <v>0</v>
      </c>
      <c r="S833" s="259" t="str" cm="1">
        <f t="array" ref="S833">IF($L833&gt;0, INDEX(Clean,1+AL833,$D$1), "")</f>
        <v/>
      </c>
      <c r="T833" s="260"/>
      <c r="U833" s="260"/>
      <c r="V833" s="261"/>
      <c r="W833" s="267"/>
      <c r="X833" s="267"/>
      <c r="Y833" s="257"/>
      <c r="Z833" s="264">
        <f t="shared" si="861"/>
        <v>0</v>
      </c>
      <c r="AA833" s="269"/>
      <c r="AB833" s="266"/>
      <c r="AC833" s="254"/>
      <c r="AD833" s="255" t="str">
        <f>IF(ISBLANK(AC833), "", VLOOKUP(AC833, Z!$A$2:$C$4127, 3, FALSE))</f>
        <v/>
      </c>
      <c r="AE833" s="270"/>
      <c r="AF833" s="265">
        <f t="shared" si="862"/>
        <v>0</v>
      </c>
      <c r="AG833" s="246"/>
      <c r="AH833" s="228">
        <f t="shared" si="885"/>
        <v>1</v>
      </c>
      <c r="AI833" s="228">
        <f t="shared" si="886"/>
        <v>1</v>
      </c>
      <c r="AJ833" s="228">
        <f t="shared" si="887"/>
        <v>0</v>
      </c>
      <c r="AK833" s="228">
        <v>0</v>
      </c>
      <c r="AL833" s="228">
        <v>0</v>
      </c>
      <c r="AM833" s="228">
        <f t="shared" si="863"/>
        <v>-100</v>
      </c>
      <c r="AN833" s="228" cm="1">
        <f t="array" ref="AN833">IF(ISBLANK(G833), 1, IFERROR(MATCH(G833, INDEX(Kat,,1), 0), IFERROR(MATCH(Kat, INDEX(Use,,2), 0), MATCH(Kat, INDEX(Use,,3), 0))))</f>
        <v>1</v>
      </c>
      <c r="AO833" s="246"/>
      <c r="AP833" s="228" cm="1">
        <f t="array" ref="AP833">IF(W833&gt;0, INDEX(Kat, AN833,4), 0)</f>
        <v>0</v>
      </c>
      <c r="AQ833" s="228">
        <f t="shared" si="888"/>
        <v>0</v>
      </c>
      <c r="AR833" s="228" cm="1">
        <f t="array" ref="AR833">IF(X833&gt;0, INDEX(Kat, $AN833, 4+AQ833), 0)</f>
        <v>0</v>
      </c>
      <c r="AS833" s="228" cm="1">
        <f t="array" ref="AS833">IF(X833&gt;0, INDEX(Kat, $AN833, 9+AQ833), 0)</f>
        <v>0</v>
      </c>
      <c r="AT833" s="246"/>
      <c r="AU833" s="262"/>
      <c r="AV833" s="262"/>
      <c r="AW833" s="263"/>
      <c r="AX833" s="263"/>
      <c r="AY833" s="263"/>
      <c r="AZ833" s="263"/>
      <c r="BA833" s="263"/>
      <c r="BB833" s="263"/>
      <c r="BC833" s="263"/>
      <c r="BD833" s="263"/>
      <c r="BE833" s="263"/>
      <c r="BF833" s="263"/>
      <c r="BG833" s="263"/>
      <c r="BH833" s="246"/>
      <c r="BI833" s="228" cm="1">
        <f t="array" ref="BI833">INDEX(Use, $AH833, 4)</f>
        <v>7</v>
      </c>
      <c r="BJ833" s="228">
        <f t="shared" si="864"/>
        <v>32</v>
      </c>
      <c r="BK833" s="228">
        <f t="shared" si="852"/>
        <v>13</v>
      </c>
      <c r="BL833" s="228">
        <f t="shared" si="853"/>
        <v>0</v>
      </c>
      <c r="BM833" s="233" cm="1">
        <f t="array" ref="BM833">L833/IF($M833&gt;0, INDEX($AY$22:$BE$76, $M833+20, $AH833), 1)</f>
        <v>0</v>
      </c>
      <c r="BN833" s="229">
        <f t="shared" si="865"/>
        <v>0</v>
      </c>
      <c r="BO833" s="228">
        <v>35</v>
      </c>
      <c r="BP833" s="229">
        <f t="shared" si="866"/>
        <v>48</v>
      </c>
      <c r="BQ833" s="234">
        <f t="shared" si="867"/>
        <v>3.0748170731707316</v>
      </c>
      <c r="BR833" s="234" cm="1">
        <f t="array" ref="BR833">$BM833 * SUMPRODUCT(INDEX($AV$76:$AX$81,,$AI833),INDEX($AY$76:$BE$81,,$AH833), N($AU$76:$AU$81&gt;$AM833)) / BQ833 / 1000</f>
        <v>0</v>
      </c>
      <c r="BS833" s="231">
        <f t="shared" si="854"/>
        <v>30</v>
      </c>
      <c r="BT833" s="229">
        <f t="shared" si="868"/>
        <v>43</v>
      </c>
      <c r="BU833" s="234">
        <f t="shared" si="869"/>
        <v>3.5018750000000001</v>
      </c>
      <c r="BV833" s="234" cm="1">
        <f t="array" ref="BV833">$BM833 * IF($AH833&lt;=2,
SUMPRODUCT(INDEX($AV$71:$AX$75,,$AI833), INDEX($AY$71:$BE$75,,$AH833), 1 / ($BF$71:$BF$75*BU833 + (1-$BF$71:$BF$75)*BQ833), N($AU$71:$AU$75&gt;$AM833)),
SUMPRODUCT(INDEX($AV$66:$AX$75,,$AI833), INDEX($AY$66:$BE$75,,$AH833), 1 / ($BG$66:$BG$75*BU833 + (1-$BG$66:$BG$75)*BQ833), N($AU$66:$AU$75&gt;$AM833))
) / 1000</f>
        <v>0</v>
      </c>
      <c r="BW833" s="231">
        <f t="shared" si="855"/>
        <v>25</v>
      </c>
      <c r="BX833" s="229">
        <f t="shared" si="870"/>
        <v>38</v>
      </c>
      <c r="BY833" s="234">
        <f t="shared" si="871"/>
        <v>4.0666935483870965</v>
      </c>
      <c r="BZ833" s="234" cm="1">
        <f t="array" ref="BZ833">$BM833 * IF($AH833&lt;=2,
SUMPRODUCT(INDEX($AV$66:$AX$70,,$AI833), INDEX($AY$66:$BE$70,,$AH833), 1 / ($BF$66:$BF$70*BY833 + (1-$BF$66:$BF$70)*BU833), N($AU$66:$AU$70&gt;$AM833)),
SUMPRODUCT(INDEX($AV$56:$AX$65,,$AI833), INDEX($AY$56:$BE$65,,$AH833), 1 / ($BG$56:$BG$65*BY833 + (1-$BG$56:$BG$65)*BU833), N($AU$56:$AU$65&gt;$AM833))
) / 1000</f>
        <v>0</v>
      </c>
      <c r="CA833" s="231">
        <f t="shared" si="856"/>
        <v>20</v>
      </c>
      <c r="CB833" s="229">
        <f t="shared" si="872"/>
        <v>33</v>
      </c>
      <c r="CC833" s="234">
        <f t="shared" si="873"/>
        <v>4.8487499999999999</v>
      </c>
      <c r="CD833" s="234" cm="1">
        <f t="array" ref="CD833">$BM833 * IF($AH833&lt;=2,
SUMPRODUCT(INDEX($AV$61:$AX$65,,$AI833), INDEX($AY$61:$BE$65,,$AH833), 1 / ($BF$61:$BF$65*CC833 + (1-$BF$61:$BF$65)*BY833), N($AU$61:$AU$65&gt;$AM833)),
SUMPRODUCT(INDEX($AV$46:$AX$55,,$AI833), INDEX($AY$46:$BE$55,,$AH833), 1 / ($BG$46:$BG$55*CC833 + (1-$BG$46:$BG$55)*BY833), N($AU$46:$AU$55&gt;$AM833))
) / 1000</f>
        <v>0</v>
      </c>
      <c r="CE833" s="234" cm="1">
        <f t="array" ref="CE833">$BM833 * IF($AH833&lt;=2,
SUMPRODUCT(INDEX($AV$22:$AX$60,,$AI833), INDEX($AY$22:$BE$60,,$AH833), 1 / ($BF$22:$BF$60*CC833), N($AU$22:$AU$60&gt;$AM833)),
SUMPRODUCT(INDEX($AV$22:$AX$45,,$AI833), INDEX($AY$22:$BE$45,,$AH833), 1 / ($BG$22:$BG$45*CC833), N($AU$22:$AU$45&gt;$AM833))
) / 1000</f>
        <v>0</v>
      </c>
      <c r="CF833" s="229">
        <f t="shared" si="874"/>
        <v>0</v>
      </c>
      <c r="CG833" s="246"/>
      <c r="CH833" s="229">
        <f t="shared" si="875"/>
        <v>0</v>
      </c>
      <c r="CI833" s="228">
        <v>35</v>
      </c>
      <c r="CJ833" s="229">
        <f t="shared" si="876"/>
        <v>48</v>
      </c>
      <c r="CK833" s="234">
        <f t="shared" si="877"/>
        <v>3.0748170731707316</v>
      </c>
      <c r="CL833" s="234" cm="1">
        <f t="array" ref="CL833">$BM833 * SUMPRODUCT(INDEX($AV$76:$AX$81,,$AI833),INDEX($AY$76:$BE$81,,$AH833), N($AU$76:$AU$81&gt;$AM833)) / CK833 / 1000</f>
        <v>0</v>
      </c>
      <c r="CM833" s="231">
        <f t="shared" si="857"/>
        <v>30</v>
      </c>
      <c r="CN833" s="229">
        <f t="shared" si="878"/>
        <v>43</v>
      </c>
      <c r="CO833" s="234">
        <f t="shared" si="879"/>
        <v>3.5018750000000001</v>
      </c>
      <c r="CP833" s="234" cm="1">
        <f t="array" ref="CP833">$BM833 * IF($AH833&lt;=2,
SUMPRODUCT(INDEX($AV$71:$AX$75,,$AI833), INDEX($AY$71:$BE$75,,$AH833), 1 / ($BF$71:$BF$75*CO833 + (1-$BF$71:$BF$75)*CK833), N($AU$71:$AU$75&gt;$AM833)),
SUMPRODUCT(INDEX($AV$66:$AX$75,,$AI833), INDEX($AY$66:$BE$75,,$AH833), 1 / ($BG$66:$BG$75*CO833 + (1-$BG$66:$BG$75)*CK833), N($AU$66:$AU$75&gt;$AM833))
) / 1000</f>
        <v>0</v>
      </c>
      <c r="CQ833" s="231">
        <f t="shared" si="858"/>
        <v>25</v>
      </c>
      <c r="CR833" s="229">
        <f t="shared" si="880"/>
        <v>38</v>
      </c>
      <c r="CS833" s="234">
        <f t="shared" si="881"/>
        <v>4.0666935483870965</v>
      </c>
      <c r="CT833" s="234" cm="1">
        <f t="array" ref="CT833">$BM833 * IF($AH833&lt;=2,
SUMPRODUCT(INDEX($AV$66:$AX$70,,$AI833), INDEX($AY$66:$BE$70,,$AH833), 1 / ($BF$66:$BF$70*CS833 + (1-$BF$66:$BF$70)*CO833), N($AU$66:$AU$70&gt;$AM833)),
SUMPRODUCT(INDEX($AV$56:$AX$65,,$AI833), INDEX($AY$56:$BE$65,,$AH833), 1 / ($BG$56:$BG$65*CS833 + (1-$BG$56:$BG$65)*CO833), N($AU$56:$AU$65&gt;$AM833))
) / 1000</f>
        <v>0</v>
      </c>
      <c r="CU833" s="231">
        <f t="shared" si="859"/>
        <v>20</v>
      </c>
      <c r="CV833" s="229">
        <f t="shared" si="882"/>
        <v>33</v>
      </c>
      <c r="CW833" s="234">
        <f t="shared" si="883"/>
        <v>4.8487499999999999</v>
      </c>
      <c r="CX833" s="234" cm="1">
        <f t="array" ref="CX833">$BM833 * IF($AH833&lt;=2,
SUMPRODUCT(INDEX($AV$61:$AX$65,,$AI833), INDEX($AY$61:$BE$65,,$AH833), 1 / ($BF$61:$BF$65*CW833 + (1-$BF$61:$BF$65)*CS833), N($AU$61:$AU$65&gt;$AM833)),
SUMPRODUCT(INDEX($AV$46:$AX$55,,$AI833), INDEX($AY$46:$BE$55,,$AH833), 1 / ($BG$46:$BG$55*CW833 + (1-$BG$46:$BG$55)*CS833), N($AU$46:$AU$55&gt;$AM833))
) / 1000</f>
        <v>0</v>
      </c>
      <c r="CY833" s="234" cm="1">
        <f t="array" ref="CY833">$BM833 * IF($AH833&lt;=2,
SUMPRODUCT(INDEX($AV$22:$AX$60,,$AI833), INDEX($AY$22:$BE$60,,$AH833), 1 / ($BF$22:$BF$60*CW833), N($AU$22:$AU$60&gt;$AM833)),
SUMPRODUCT(INDEX($AV$22:$AX$45,,$AI833), INDEX($AY$22:$BE$45,,$AH833), 1 / ($BG$22:$BG$45*CW833), N($AU$22:$AU$45&gt;$AM833))
) / 1000</f>
        <v>0</v>
      </c>
      <c r="CZ833" s="229">
        <f t="shared" si="884"/>
        <v>0</v>
      </c>
      <c r="DA833" s="246"/>
    </row>
    <row r="834" spans="1:105" s="75" customFormat="1" ht="14.25" customHeight="1" x14ac:dyDescent="0.2">
      <c r="A834" s="230" t="b">
        <f t="shared" si="851"/>
        <v>0</v>
      </c>
      <c r="B834" s="253">
        <v>813</v>
      </c>
      <c r="C834" s="266"/>
      <c r="D834" s="266"/>
      <c r="E834" s="254"/>
      <c r="F834" s="255" t="str">
        <f>IF(ISBLANK(E834), "", VLOOKUP(E834, Z!$A$2:$C$4127, 3, FALSE))</f>
        <v/>
      </c>
      <c r="G834" s="256"/>
      <c r="H834" s="256"/>
      <c r="I834" s="256"/>
      <c r="J834" s="257"/>
      <c r="K834" s="258"/>
      <c r="L834" s="267"/>
      <c r="M834" s="268"/>
      <c r="N834" s="259" t="str" cm="1">
        <f t="array" ref="N834">IF($L834&gt;0, INDEX(Clean,1+AK834,$D$1), "")</f>
        <v/>
      </c>
      <c r="O834" s="260"/>
      <c r="P834" s="260"/>
      <c r="Q834" s="261"/>
      <c r="R834" s="264">
        <f t="shared" si="860"/>
        <v>0</v>
      </c>
      <c r="S834" s="259" t="str" cm="1">
        <f t="array" ref="S834">IF($L834&gt;0, INDEX(Clean,1+AL834,$D$1), "")</f>
        <v/>
      </c>
      <c r="T834" s="260"/>
      <c r="U834" s="260"/>
      <c r="V834" s="261"/>
      <c r="W834" s="267"/>
      <c r="X834" s="267"/>
      <c r="Y834" s="257"/>
      <c r="Z834" s="264">
        <f t="shared" si="861"/>
        <v>0</v>
      </c>
      <c r="AA834" s="269"/>
      <c r="AB834" s="266"/>
      <c r="AC834" s="254"/>
      <c r="AD834" s="255" t="str">
        <f>IF(ISBLANK(AC834), "", VLOOKUP(AC834, Z!$A$2:$C$4127, 3, FALSE))</f>
        <v/>
      </c>
      <c r="AE834" s="270"/>
      <c r="AF834" s="265">
        <f t="shared" si="862"/>
        <v>0</v>
      </c>
      <c r="AG834" s="246"/>
      <c r="AH834" s="228">
        <f t="shared" si="885"/>
        <v>1</v>
      </c>
      <c r="AI834" s="228">
        <f t="shared" si="886"/>
        <v>1</v>
      </c>
      <c r="AJ834" s="228">
        <f t="shared" si="887"/>
        <v>0</v>
      </c>
      <c r="AK834" s="228">
        <v>0</v>
      </c>
      <c r="AL834" s="228">
        <v>0</v>
      </c>
      <c r="AM834" s="228">
        <f t="shared" si="863"/>
        <v>-100</v>
      </c>
      <c r="AN834" s="228" cm="1">
        <f t="array" ref="AN834">IF(ISBLANK(G834), 1, IFERROR(MATCH(G834, INDEX(Kat,,1), 0), IFERROR(MATCH(Kat, INDEX(Use,,2), 0), MATCH(Kat, INDEX(Use,,3), 0))))</f>
        <v>1</v>
      </c>
      <c r="AO834" s="246"/>
      <c r="AP834" s="228" cm="1">
        <f t="array" ref="AP834">IF(W834&gt;0, INDEX(Kat, AN834,4), 0)</f>
        <v>0</v>
      </c>
      <c r="AQ834" s="228">
        <f t="shared" si="888"/>
        <v>0</v>
      </c>
      <c r="AR834" s="228" cm="1">
        <f t="array" ref="AR834">IF(X834&gt;0, INDEX(Kat, $AN834, 4+AQ834), 0)</f>
        <v>0</v>
      </c>
      <c r="AS834" s="228" cm="1">
        <f t="array" ref="AS834">IF(X834&gt;0, INDEX(Kat, $AN834, 9+AQ834), 0)</f>
        <v>0</v>
      </c>
      <c r="AT834" s="246"/>
      <c r="AU834" s="262"/>
      <c r="AV834" s="262"/>
      <c r="AW834" s="263"/>
      <c r="AX834" s="263"/>
      <c r="AY834" s="263"/>
      <c r="AZ834" s="263"/>
      <c r="BA834" s="263"/>
      <c r="BB834" s="263"/>
      <c r="BC834" s="263"/>
      <c r="BD834" s="263"/>
      <c r="BE834" s="263"/>
      <c r="BF834" s="263"/>
      <c r="BG834" s="263"/>
      <c r="BH834" s="246"/>
      <c r="BI834" s="228" cm="1">
        <f t="array" ref="BI834">INDEX(Use, $AH834, 4)</f>
        <v>7</v>
      </c>
      <c r="BJ834" s="228">
        <f t="shared" si="864"/>
        <v>32</v>
      </c>
      <c r="BK834" s="228">
        <f t="shared" si="852"/>
        <v>13</v>
      </c>
      <c r="BL834" s="228">
        <f t="shared" si="853"/>
        <v>0</v>
      </c>
      <c r="BM834" s="233" cm="1">
        <f t="array" ref="BM834">L834/IF($M834&gt;0, INDEX($AY$22:$BE$76, $M834+20, $AH834), 1)</f>
        <v>0</v>
      </c>
      <c r="BN834" s="229">
        <f t="shared" si="865"/>
        <v>0</v>
      </c>
      <c r="BO834" s="228">
        <v>35</v>
      </c>
      <c r="BP834" s="229">
        <f t="shared" si="866"/>
        <v>48</v>
      </c>
      <c r="BQ834" s="234">
        <f t="shared" si="867"/>
        <v>3.0748170731707316</v>
      </c>
      <c r="BR834" s="234" cm="1">
        <f t="array" ref="BR834">$BM834 * SUMPRODUCT(INDEX($AV$76:$AX$81,,$AI834),INDEX($AY$76:$BE$81,,$AH834), N($AU$76:$AU$81&gt;$AM834)) / BQ834 / 1000</f>
        <v>0</v>
      </c>
      <c r="BS834" s="231">
        <f t="shared" si="854"/>
        <v>30</v>
      </c>
      <c r="BT834" s="229">
        <f t="shared" si="868"/>
        <v>43</v>
      </c>
      <c r="BU834" s="234">
        <f t="shared" si="869"/>
        <v>3.5018750000000001</v>
      </c>
      <c r="BV834" s="234" cm="1">
        <f t="array" ref="BV834">$BM834 * IF($AH834&lt;=2,
SUMPRODUCT(INDEX($AV$71:$AX$75,,$AI834), INDEX($AY$71:$BE$75,,$AH834), 1 / ($BF$71:$BF$75*BU834 + (1-$BF$71:$BF$75)*BQ834), N($AU$71:$AU$75&gt;$AM834)),
SUMPRODUCT(INDEX($AV$66:$AX$75,,$AI834), INDEX($AY$66:$BE$75,,$AH834), 1 / ($BG$66:$BG$75*BU834 + (1-$BG$66:$BG$75)*BQ834), N($AU$66:$AU$75&gt;$AM834))
) / 1000</f>
        <v>0</v>
      </c>
      <c r="BW834" s="231">
        <f t="shared" si="855"/>
        <v>25</v>
      </c>
      <c r="BX834" s="229">
        <f t="shared" si="870"/>
        <v>38</v>
      </c>
      <c r="BY834" s="234">
        <f t="shared" si="871"/>
        <v>4.0666935483870965</v>
      </c>
      <c r="BZ834" s="234" cm="1">
        <f t="array" ref="BZ834">$BM834 * IF($AH834&lt;=2,
SUMPRODUCT(INDEX($AV$66:$AX$70,,$AI834), INDEX($AY$66:$BE$70,,$AH834), 1 / ($BF$66:$BF$70*BY834 + (1-$BF$66:$BF$70)*BU834), N($AU$66:$AU$70&gt;$AM834)),
SUMPRODUCT(INDEX($AV$56:$AX$65,,$AI834), INDEX($AY$56:$BE$65,,$AH834), 1 / ($BG$56:$BG$65*BY834 + (1-$BG$56:$BG$65)*BU834), N($AU$56:$AU$65&gt;$AM834))
) / 1000</f>
        <v>0</v>
      </c>
      <c r="CA834" s="231">
        <f t="shared" si="856"/>
        <v>20</v>
      </c>
      <c r="CB834" s="229">
        <f t="shared" si="872"/>
        <v>33</v>
      </c>
      <c r="CC834" s="234">
        <f t="shared" si="873"/>
        <v>4.8487499999999999</v>
      </c>
      <c r="CD834" s="234" cm="1">
        <f t="array" ref="CD834">$BM834 * IF($AH834&lt;=2,
SUMPRODUCT(INDEX($AV$61:$AX$65,,$AI834), INDEX($AY$61:$BE$65,,$AH834), 1 / ($BF$61:$BF$65*CC834 + (1-$BF$61:$BF$65)*BY834), N($AU$61:$AU$65&gt;$AM834)),
SUMPRODUCT(INDEX($AV$46:$AX$55,,$AI834), INDEX($AY$46:$BE$55,,$AH834), 1 / ($BG$46:$BG$55*CC834 + (1-$BG$46:$BG$55)*BY834), N($AU$46:$AU$55&gt;$AM834))
) / 1000</f>
        <v>0</v>
      </c>
      <c r="CE834" s="234" cm="1">
        <f t="array" ref="CE834">$BM834 * IF($AH834&lt;=2,
SUMPRODUCT(INDEX($AV$22:$AX$60,,$AI834), INDEX($AY$22:$BE$60,,$AH834), 1 / ($BF$22:$BF$60*CC834), N($AU$22:$AU$60&gt;$AM834)),
SUMPRODUCT(INDEX($AV$22:$AX$45,,$AI834), INDEX($AY$22:$BE$45,,$AH834), 1 / ($BG$22:$BG$45*CC834), N($AU$22:$AU$45&gt;$AM834))
) / 1000</f>
        <v>0</v>
      </c>
      <c r="CF834" s="229">
        <f t="shared" si="874"/>
        <v>0</v>
      </c>
      <c r="CG834" s="246"/>
      <c r="CH834" s="229">
        <f t="shared" si="875"/>
        <v>0</v>
      </c>
      <c r="CI834" s="228">
        <v>35</v>
      </c>
      <c r="CJ834" s="229">
        <f t="shared" si="876"/>
        <v>48</v>
      </c>
      <c r="CK834" s="234">
        <f t="shared" si="877"/>
        <v>3.0748170731707316</v>
      </c>
      <c r="CL834" s="234" cm="1">
        <f t="array" ref="CL834">$BM834 * SUMPRODUCT(INDEX($AV$76:$AX$81,,$AI834),INDEX($AY$76:$BE$81,,$AH834), N($AU$76:$AU$81&gt;$AM834)) / CK834 / 1000</f>
        <v>0</v>
      </c>
      <c r="CM834" s="231">
        <f t="shared" si="857"/>
        <v>30</v>
      </c>
      <c r="CN834" s="229">
        <f t="shared" si="878"/>
        <v>43</v>
      </c>
      <c r="CO834" s="234">
        <f t="shared" si="879"/>
        <v>3.5018750000000001</v>
      </c>
      <c r="CP834" s="234" cm="1">
        <f t="array" ref="CP834">$BM834 * IF($AH834&lt;=2,
SUMPRODUCT(INDEX($AV$71:$AX$75,,$AI834), INDEX($AY$71:$BE$75,,$AH834), 1 / ($BF$71:$BF$75*CO834 + (1-$BF$71:$BF$75)*CK834), N($AU$71:$AU$75&gt;$AM834)),
SUMPRODUCT(INDEX($AV$66:$AX$75,,$AI834), INDEX($AY$66:$BE$75,,$AH834), 1 / ($BG$66:$BG$75*CO834 + (1-$BG$66:$BG$75)*CK834), N($AU$66:$AU$75&gt;$AM834))
) / 1000</f>
        <v>0</v>
      </c>
      <c r="CQ834" s="231">
        <f t="shared" si="858"/>
        <v>25</v>
      </c>
      <c r="CR834" s="229">
        <f t="shared" si="880"/>
        <v>38</v>
      </c>
      <c r="CS834" s="234">
        <f t="shared" si="881"/>
        <v>4.0666935483870965</v>
      </c>
      <c r="CT834" s="234" cm="1">
        <f t="array" ref="CT834">$BM834 * IF($AH834&lt;=2,
SUMPRODUCT(INDEX($AV$66:$AX$70,,$AI834), INDEX($AY$66:$BE$70,,$AH834), 1 / ($BF$66:$BF$70*CS834 + (1-$BF$66:$BF$70)*CO834), N($AU$66:$AU$70&gt;$AM834)),
SUMPRODUCT(INDEX($AV$56:$AX$65,,$AI834), INDEX($AY$56:$BE$65,,$AH834), 1 / ($BG$56:$BG$65*CS834 + (1-$BG$56:$BG$65)*CO834), N($AU$56:$AU$65&gt;$AM834))
) / 1000</f>
        <v>0</v>
      </c>
      <c r="CU834" s="231">
        <f t="shared" si="859"/>
        <v>20</v>
      </c>
      <c r="CV834" s="229">
        <f t="shared" si="882"/>
        <v>33</v>
      </c>
      <c r="CW834" s="234">
        <f t="shared" si="883"/>
        <v>4.8487499999999999</v>
      </c>
      <c r="CX834" s="234" cm="1">
        <f t="array" ref="CX834">$BM834 * IF($AH834&lt;=2,
SUMPRODUCT(INDEX($AV$61:$AX$65,,$AI834), INDEX($AY$61:$BE$65,,$AH834), 1 / ($BF$61:$BF$65*CW834 + (1-$BF$61:$BF$65)*CS834), N($AU$61:$AU$65&gt;$AM834)),
SUMPRODUCT(INDEX($AV$46:$AX$55,,$AI834), INDEX($AY$46:$BE$55,,$AH834), 1 / ($BG$46:$BG$55*CW834 + (1-$BG$46:$BG$55)*CS834), N($AU$46:$AU$55&gt;$AM834))
) / 1000</f>
        <v>0</v>
      </c>
      <c r="CY834" s="234" cm="1">
        <f t="array" ref="CY834">$BM834 * IF($AH834&lt;=2,
SUMPRODUCT(INDEX($AV$22:$AX$60,,$AI834), INDEX($AY$22:$BE$60,,$AH834), 1 / ($BF$22:$BF$60*CW834), N($AU$22:$AU$60&gt;$AM834)),
SUMPRODUCT(INDEX($AV$22:$AX$45,,$AI834), INDEX($AY$22:$BE$45,,$AH834), 1 / ($BG$22:$BG$45*CW834), N($AU$22:$AU$45&gt;$AM834))
) / 1000</f>
        <v>0</v>
      </c>
      <c r="CZ834" s="229">
        <f t="shared" si="884"/>
        <v>0</v>
      </c>
      <c r="DA834" s="246"/>
    </row>
    <row r="835" spans="1:105" s="75" customFormat="1" ht="14.25" customHeight="1" x14ac:dyDescent="0.2">
      <c r="A835" s="230" t="b">
        <f t="shared" si="851"/>
        <v>0</v>
      </c>
      <c r="B835" s="253">
        <v>814</v>
      </c>
      <c r="C835" s="266"/>
      <c r="D835" s="266"/>
      <c r="E835" s="254"/>
      <c r="F835" s="255" t="str">
        <f>IF(ISBLANK(E835), "", VLOOKUP(E835, Z!$A$2:$C$4127, 3, FALSE))</f>
        <v/>
      </c>
      <c r="G835" s="256"/>
      <c r="H835" s="256"/>
      <c r="I835" s="256"/>
      <c r="J835" s="257"/>
      <c r="K835" s="258"/>
      <c r="L835" s="267"/>
      <c r="M835" s="268"/>
      <c r="N835" s="259" t="str" cm="1">
        <f t="array" ref="N835">IF($L835&gt;0, INDEX(Clean,1+AK835,$D$1), "")</f>
        <v/>
      </c>
      <c r="O835" s="260"/>
      <c r="P835" s="260"/>
      <c r="Q835" s="261"/>
      <c r="R835" s="264">
        <f t="shared" si="860"/>
        <v>0</v>
      </c>
      <c r="S835" s="259" t="str" cm="1">
        <f t="array" ref="S835">IF($L835&gt;0, INDEX(Clean,1+AL835,$D$1), "")</f>
        <v/>
      </c>
      <c r="T835" s="260"/>
      <c r="U835" s="260"/>
      <c r="V835" s="261"/>
      <c r="W835" s="267"/>
      <c r="X835" s="267"/>
      <c r="Y835" s="257"/>
      <c r="Z835" s="264">
        <f t="shared" si="861"/>
        <v>0</v>
      </c>
      <c r="AA835" s="269"/>
      <c r="AB835" s="266"/>
      <c r="AC835" s="254"/>
      <c r="AD835" s="255" t="str">
        <f>IF(ISBLANK(AC835), "", VLOOKUP(AC835, Z!$A$2:$C$4127, 3, FALSE))</f>
        <v/>
      </c>
      <c r="AE835" s="270"/>
      <c r="AF835" s="265">
        <f t="shared" si="862"/>
        <v>0</v>
      </c>
      <c r="AG835" s="246"/>
      <c r="AH835" s="228">
        <f t="shared" si="885"/>
        <v>1</v>
      </c>
      <c r="AI835" s="228">
        <f t="shared" si="886"/>
        <v>1</v>
      </c>
      <c r="AJ835" s="228">
        <f t="shared" si="887"/>
        <v>0</v>
      </c>
      <c r="AK835" s="228">
        <v>0</v>
      </c>
      <c r="AL835" s="228">
        <v>0</v>
      </c>
      <c r="AM835" s="228">
        <f t="shared" si="863"/>
        <v>-100</v>
      </c>
      <c r="AN835" s="228" cm="1">
        <f t="array" ref="AN835">IF(ISBLANK(G835), 1, IFERROR(MATCH(G835, INDEX(Kat,,1), 0), IFERROR(MATCH(Kat, INDEX(Use,,2), 0), MATCH(Kat, INDEX(Use,,3), 0))))</f>
        <v>1</v>
      </c>
      <c r="AO835" s="246"/>
      <c r="AP835" s="228" cm="1">
        <f t="array" ref="AP835">IF(W835&gt;0, INDEX(Kat, AN835,4), 0)</f>
        <v>0</v>
      </c>
      <c r="AQ835" s="228">
        <f t="shared" si="888"/>
        <v>0</v>
      </c>
      <c r="AR835" s="228" cm="1">
        <f t="array" ref="AR835">IF(X835&gt;0, INDEX(Kat, $AN835, 4+AQ835), 0)</f>
        <v>0</v>
      </c>
      <c r="AS835" s="228" cm="1">
        <f t="array" ref="AS835">IF(X835&gt;0, INDEX(Kat, $AN835, 9+AQ835), 0)</f>
        <v>0</v>
      </c>
      <c r="AT835" s="246"/>
      <c r="AU835" s="262"/>
      <c r="AV835" s="262"/>
      <c r="AW835" s="263"/>
      <c r="AX835" s="263"/>
      <c r="AY835" s="263"/>
      <c r="AZ835" s="263"/>
      <c r="BA835" s="263"/>
      <c r="BB835" s="263"/>
      <c r="BC835" s="263"/>
      <c r="BD835" s="263"/>
      <c r="BE835" s="263"/>
      <c r="BF835" s="263"/>
      <c r="BG835" s="263"/>
      <c r="BH835" s="246"/>
      <c r="BI835" s="228" cm="1">
        <f t="array" ref="BI835">INDEX(Use, $AH835, 4)</f>
        <v>7</v>
      </c>
      <c r="BJ835" s="228">
        <f t="shared" si="864"/>
        <v>32</v>
      </c>
      <c r="BK835" s="228">
        <f t="shared" si="852"/>
        <v>13</v>
      </c>
      <c r="BL835" s="228">
        <f t="shared" si="853"/>
        <v>0</v>
      </c>
      <c r="BM835" s="233" cm="1">
        <f t="array" ref="BM835">L835/IF($M835&gt;0, INDEX($AY$22:$BE$76, $M835+20, $AH835), 1)</f>
        <v>0</v>
      </c>
      <c r="BN835" s="229">
        <f t="shared" si="865"/>
        <v>0</v>
      </c>
      <c r="BO835" s="228">
        <v>35</v>
      </c>
      <c r="BP835" s="229">
        <f t="shared" si="866"/>
        <v>48</v>
      </c>
      <c r="BQ835" s="234">
        <f t="shared" si="867"/>
        <v>3.0748170731707316</v>
      </c>
      <c r="BR835" s="234" cm="1">
        <f t="array" ref="BR835">$BM835 * SUMPRODUCT(INDEX($AV$76:$AX$81,,$AI835),INDEX($AY$76:$BE$81,,$AH835), N($AU$76:$AU$81&gt;$AM835)) / BQ835 / 1000</f>
        <v>0</v>
      </c>
      <c r="BS835" s="231">
        <f t="shared" si="854"/>
        <v>30</v>
      </c>
      <c r="BT835" s="229">
        <f t="shared" si="868"/>
        <v>43</v>
      </c>
      <c r="BU835" s="234">
        <f t="shared" si="869"/>
        <v>3.5018750000000001</v>
      </c>
      <c r="BV835" s="234" cm="1">
        <f t="array" ref="BV835">$BM835 * IF($AH835&lt;=2,
SUMPRODUCT(INDEX($AV$71:$AX$75,,$AI835), INDEX($AY$71:$BE$75,,$AH835), 1 / ($BF$71:$BF$75*BU835 + (1-$BF$71:$BF$75)*BQ835), N($AU$71:$AU$75&gt;$AM835)),
SUMPRODUCT(INDEX($AV$66:$AX$75,,$AI835), INDEX($AY$66:$BE$75,,$AH835), 1 / ($BG$66:$BG$75*BU835 + (1-$BG$66:$BG$75)*BQ835), N($AU$66:$AU$75&gt;$AM835))
) / 1000</f>
        <v>0</v>
      </c>
      <c r="BW835" s="231">
        <f t="shared" si="855"/>
        <v>25</v>
      </c>
      <c r="BX835" s="229">
        <f t="shared" si="870"/>
        <v>38</v>
      </c>
      <c r="BY835" s="234">
        <f t="shared" si="871"/>
        <v>4.0666935483870965</v>
      </c>
      <c r="BZ835" s="234" cm="1">
        <f t="array" ref="BZ835">$BM835 * IF($AH835&lt;=2,
SUMPRODUCT(INDEX($AV$66:$AX$70,,$AI835), INDEX($AY$66:$BE$70,,$AH835), 1 / ($BF$66:$BF$70*BY835 + (1-$BF$66:$BF$70)*BU835), N($AU$66:$AU$70&gt;$AM835)),
SUMPRODUCT(INDEX($AV$56:$AX$65,,$AI835), INDEX($AY$56:$BE$65,,$AH835), 1 / ($BG$56:$BG$65*BY835 + (1-$BG$56:$BG$65)*BU835), N($AU$56:$AU$65&gt;$AM835))
) / 1000</f>
        <v>0</v>
      </c>
      <c r="CA835" s="231">
        <f t="shared" si="856"/>
        <v>20</v>
      </c>
      <c r="CB835" s="229">
        <f t="shared" si="872"/>
        <v>33</v>
      </c>
      <c r="CC835" s="234">
        <f t="shared" si="873"/>
        <v>4.8487499999999999</v>
      </c>
      <c r="CD835" s="234" cm="1">
        <f t="array" ref="CD835">$BM835 * IF($AH835&lt;=2,
SUMPRODUCT(INDEX($AV$61:$AX$65,,$AI835), INDEX($AY$61:$BE$65,,$AH835), 1 / ($BF$61:$BF$65*CC835 + (1-$BF$61:$BF$65)*BY835), N($AU$61:$AU$65&gt;$AM835)),
SUMPRODUCT(INDEX($AV$46:$AX$55,,$AI835), INDEX($AY$46:$BE$55,,$AH835), 1 / ($BG$46:$BG$55*CC835 + (1-$BG$46:$BG$55)*BY835), N($AU$46:$AU$55&gt;$AM835))
) / 1000</f>
        <v>0</v>
      </c>
      <c r="CE835" s="234" cm="1">
        <f t="array" ref="CE835">$BM835 * IF($AH835&lt;=2,
SUMPRODUCT(INDEX($AV$22:$AX$60,,$AI835), INDEX($AY$22:$BE$60,,$AH835), 1 / ($BF$22:$BF$60*CC835), N($AU$22:$AU$60&gt;$AM835)),
SUMPRODUCT(INDEX($AV$22:$AX$45,,$AI835), INDEX($AY$22:$BE$45,,$AH835), 1 / ($BG$22:$BG$45*CC835), N($AU$22:$AU$45&gt;$AM835))
) / 1000</f>
        <v>0</v>
      </c>
      <c r="CF835" s="229">
        <f t="shared" si="874"/>
        <v>0</v>
      </c>
      <c r="CG835" s="246"/>
      <c r="CH835" s="229">
        <f t="shared" si="875"/>
        <v>0</v>
      </c>
      <c r="CI835" s="228">
        <v>35</v>
      </c>
      <c r="CJ835" s="229">
        <f t="shared" si="876"/>
        <v>48</v>
      </c>
      <c r="CK835" s="234">
        <f t="shared" si="877"/>
        <v>3.0748170731707316</v>
      </c>
      <c r="CL835" s="234" cm="1">
        <f t="array" ref="CL835">$BM835 * SUMPRODUCT(INDEX($AV$76:$AX$81,,$AI835),INDEX($AY$76:$BE$81,,$AH835), N($AU$76:$AU$81&gt;$AM835)) / CK835 / 1000</f>
        <v>0</v>
      </c>
      <c r="CM835" s="231">
        <f t="shared" si="857"/>
        <v>30</v>
      </c>
      <c r="CN835" s="229">
        <f t="shared" si="878"/>
        <v>43</v>
      </c>
      <c r="CO835" s="234">
        <f t="shared" si="879"/>
        <v>3.5018750000000001</v>
      </c>
      <c r="CP835" s="234" cm="1">
        <f t="array" ref="CP835">$BM835 * IF($AH835&lt;=2,
SUMPRODUCT(INDEX($AV$71:$AX$75,,$AI835), INDEX($AY$71:$BE$75,,$AH835), 1 / ($BF$71:$BF$75*CO835 + (1-$BF$71:$BF$75)*CK835), N($AU$71:$AU$75&gt;$AM835)),
SUMPRODUCT(INDEX($AV$66:$AX$75,,$AI835), INDEX($AY$66:$BE$75,,$AH835), 1 / ($BG$66:$BG$75*CO835 + (1-$BG$66:$BG$75)*CK835), N($AU$66:$AU$75&gt;$AM835))
) / 1000</f>
        <v>0</v>
      </c>
      <c r="CQ835" s="231">
        <f t="shared" si="858"/>
        <v>25</v>
      </c>
      <c r="CR835" s="229">
        <f t="shared" si="880"/>
        <v>38</v>
      </c>
      <c r="CS835" s="234">
        <f t="shared" si="881"/>
        <v>4.0666935483870965</v>
      </c>
      <c r="CT835" s="234" cm="1">
        <f t="array" ref="CT835">$BM835 * IF($AH835&lt;=2,
SUMPRODUCT(INDEX($AV$66:$AX$70,,$AI835), INDEX($AY$66:$BE$70,,$AH835), 1 / ($BF$66:$BF$70*CS835 + (1-$BF$66:$BF$70)*CO835), N($AU$66:$AU$70&gt;$AM835)),
SUMPRODUCT(INDEX($AV$56:$AX$65,,$AI835), INDEX($AY$56:$BE$65,,$AH835), 1 / ($BG$56:$BG$65*CS835 + (1-$BG$56:$BG$65)*CO835), N($AU$56:$AU$65&gt;$AM835))
) / 1000</f>
        <v>0</v>
      </c>
      <c r="CU835" s="231">
        <f t="shared" si="859"/>
        <v>20</v>
      </c>
      <c r="CV835" s="229">
        <f t="shared" si="882"/>
        <v>33</v>
      </c>
      <c r="CW835" s="234">
        <f t="shared" si="883"/>
        <v>4.8487499999999999</v>
      </c>
      <c r="CX835" s="234" cm="1">
        <f t="array" ref="CX835">$BM835 * IF($AH835&lt;=2,
SUMPRODUCT(INDEX($AV$61:$AX$65,,$AI835), INDEX($AY$61:$BE$65,,$AH835), 1 / ($BF$61:$BF$65*CW835 + (1-$BF$61:$BF$65)*CS835), N($AU$61:$AU$65&gt;$AM835)),
SUMPRODUCT(INDEX($AV$46:$AX$55,,$AI835), INDEX($AY$46:$BE$55,,$AH835), 1 / ($BG$46:$BG$55*CW835 + (1-$BG$46:$BG$55)*CS835), N($AU$46:$AU$55&gt;$AM835))
) / 1000</f>
        <v>0</v>
      </c>
      <c r="CY835" s="234" cm="1">
        <f t="array" ref="CY835">$BM835 * IF($AH835&lt;=2,
SUMPRODUCT(INDEX($AV$22:$AX$60,,$AI835), INDEX($AY$22:$BE$60,,$AH835), 1 / ($BF$22:$BF$60*CW835), N($AU$22:$AU$60&gt;$AM835)),
SUMPRODUCT(INDEX($AV$22:$AX$45,,$AI835), INDEX($AY$22:$BE$45,,$AH835), 1 / ($BG$22:$BG$45*CW835), N($AU$22:$AU$45&gt;$AM835))
) / 1000</f>
        <v>0</v>
      </c>
      <c r="CZ835" s="229">
        <f t="shared" si="884"/>
        <v>0</v>
      </c>
      <c r="DA835" s="246"/>
    </row>
    <row r="836" spans="1:105" s="75" customFormat="1" ht="14.25" customHeight="1" x14ac:dyDescent="0.2">
      <c r="A836" s="230" t="b">
        <f t="shared" si="851"/>
        <v>0</v>
      </c>
      <c r="B836" s="253">
        <v>815</v>
      </c>
      <c r="C836" s="266"/>
      <c r="D836" s="266"/>
      <c r="E836" s="254"/>
      <c r="F836" s="255" t="str">
        <f>IF(ISBLANK(E836), "", VLOOKUP(E836, Z!$A$2:$C$4127, 3, FALSE))</f>
        <v/>
      </c>
      <c r="G836" s="256"/>
      <c r="H836" s="256"/>
      <c r="I836" s="256"/>
      <c r="J836" s="257"/>
      <c r="K836" s="258"/>
      <c r="L836" s="267"/>
      <c r="M836" s="268"/>
      <c r="N836" s="259" t="str" cm="1">
        <f t="array" ref="N836">IF($L836&gt;0, INDEX(Clean,1+AK836,$D$1), "")</f>
        <v/>
      </c>
      <c r="O836" s="260"/>
      <c r="P836" s="260"/>
      <c r="Q836" s="261"/>
      <c r="R836" s="264">
        <f t="shared" si="860"/>
        <v>0</v>
      </c>
      <c r="S836" s="259" t="str" cm="1">
        <f t="array" ref="S836">IF($L836&gt;0, INDEX(Clean,1+AL836,$D$1), "")</f>
        <v/>
      </c>
      <c r="T836" s="260"/>
      <c r="U836" s="260"/>
      <c r="V836" s="261"/>
      <c r="W836" s="267"/>
      <c r="X836" s="267"/>
      <c r="Y836" s="257"/>
      <c r="Z836" s="264">
        <f t="shared" si="861"/>
        <v>0</v>
      </c>
      <c r="AA836" s="269"/>
      <c r="AB836" s="266"/>
      <c r="AC836" s="254"/>
      <c r="AD836" s="255" t="str">
        <f>IF(ISBLANK(AC836), "", VLOOKUP(AC836, Z!$A$2:$C$4127, 3, FALSE))</f>
        <v/>
      </c>
      <c r="AE836" s="270"/>
      <c r="AF836" s="265">
        <f t="shared" si="862"/>
        <v>0</v>
      </c>
      <c r="AG836" s="246"/>
      <c r="AH836" s="228">
        <f t="shared" si="885"/>
        <v>1</v>
      </c>
      <c r="AI836" s="228">
        <f t="shared" si="886"/>
        <v>1</v>
      </c>
      <c r="AJ836" s="228">
        <f t="shared" si="887"/>
        <v>0</v>
      </c>
      <c r="AK836" s="228">
        <v>0</v>
      </c>
      <c r="AL836" s="228">
        <v>0</v>
      </c>
      <c r="AM836" s="228">
        <f t="shared" si="863"/>
        <v>-100</v>
      </c>
      <c r="AN836" s="228" cm="1">
        <f t="array" ref="AN836">IF(ISBLANK(G836), 1, IFERROR(MATCH(G836, INDEX(Kat,,1), 0), IFERROR(MATCH(Kat, INDEX(Use,,2), 0), MATCH(Kat, INDEX(Use,,3), 0))))</f>
        <v>1</v>
      </c>
      <c r="AO836" s="246"/>
      <c r="AP836" s="228" cm="1">
        <f t="array" ref="AP836">IF(W836&gt;0, INDEX(Kat, AN836,4), 0)</f>
        <v>0</v>
      </c>
      <c r="AQ836" s="228">
        <f t="shared" si="888"/>
        <v>0</v>
      </c>
      <c r="AR836" s="228" cm="1">
        <f t="array" ref="AR836">IF(X836&gt;0, INDEX(Kat, $AN836, 4+AQ836), 0)</f>
        <v>0</v>
      </c>
      <c r="AS836" s="228" cm="1">
        <f t="array" ref="AS836">IF(X836&gt;0, INDEX(Kat, $AN836, 9+AQ836), 0)</f>
        <v>0</v>
      </c>
      <c r="AT836" s="246"/>
      <c r="AU836" s="262"/>
      <c r="AV836" s="262"/>
      <c r="AW836" s="263"/>
      <c r="AX836" s="263"/>
      <c r="AY836" s="263"/>
      <c r="AZ836" s="263"/>
      <c r="BA836" s="263"/>
      <c r="BB836" s="263"/>
      <c r="BC836" s="263"/>
      <c r="BD836" s="263"/>
      <c r="BE836" s="263"/>
      <c r="BF836" s="263"/>
      <c r="BG836" s="263"/>
      <c r="BH836" s="246"/>
      <c r="BI836" s="228" cm="1">
        <f t="array" ref="BI836">INDEX(Use, $AH836, 4)</f>
        <v>7</v>
      </c>
      <c r="BJ836" s="228">
        <f t="shared" si="864"/>
        <v>32</v>
      </c>
      <c r="BK836" s="228">
        <f t="shared" si="852"/>
        <v>13</v>
      </c>
      <c r="BL836" s="228">
        <f t="shared" si="853"/>
        <v>0</v>
      </c>
      <c r="BM836" s="233" cm="1">
        <f t="array" ref="BM836">L836/IF($M836&gt;0, INDEX($AY$22:$BE$76, $M836+20, $AH836), 1)</f>
        <v>0</v>
      </c>
      <c r="BN836" s="229">
        <f t="shared" si="865"/>
        <v>0</v>
      </c>
      <c r="BO836" s="228">
        <v>35</v>
      </c>
      <c r="BP836" s="229">
        <f t="shared" si="866"/>
        <v>48</v>
      </c>
      <c r="BQ836" s="234">
        <f t="shared" si="867"/>
        <v>3.0748170731707316</v>
      </c>
      <c r="BR836" s="234" cm="1">
        <f t="array" ref="BR836">$BM836 * SUMPRODUCT(INDEX($AV$76:$AX$81,,$AI836),INDEX($AY$76:$BE$81,,$AH836), N($AU$76:$AU$81&gt;$AM836)) / BQ836 / 1000</f>
        <v>0</v>
      </c>
      <c r="BS836" s="231">
        <f t="shared" si="854"/>
        <v>30</v>
      </c>
      <c r="BT836" s="229">
        <f t="shared" si="868"/>
        <v>43</v>
      </c>
      <c r="BU836" s="234">
        <f t="shared" si="869"/>
        <v>3.5018750000000001</v>
      </c>
      <c r="BV836" s="234" cm="1">
        <f t="array" ref="BV836">$BM836 * IF($AH836&lt;=2,
SUMPRODUCT(INDEX($AV$71:$AX$75,,$AI836), INDEX($AY$71:$BE$75,,$AH836), 1 / ($BF$71:$BF$75*BU836 + (1-$BF$71:$BF$75)*BQ836), N($AU$71:$AU$75&gt;$AM836)),
SUMPRODUCT(INDEX($AV$66:$AX$75,,$AI836), INDEX($AY$66:$BE$75,,$AH836), 1 / ($BG$66:$BG$75*BU836 + (1-$BG$66:$BG$75)*BQ836), N($AU$66:$AU$75&gt;$AM836))
) / 1000</f>
        <v>0</v>
      </c>
      <c r="BW836" s="231">
        <f t="shared" si="855"/>
        <v>25</v>
      </c>
      <c r="BX836" s="229">
        <f t="shared" si="870"/>
        <v>38</v>
      </c>
      <c r="BY836" s="234">
        <f t="shared" si="871"/>
        <v>4.0666935483870965</v>
      </c>
      <c r="BZ836" s="234" cm="1">
        <f t="array" ref="BZ836">$BM836 * IF($AH836&lt;=2,
SUMPRODUCT(INDEX($AV$66:$AX$70,,$AI836), INDEX($AY$66:$BE$70,,$AH836), 1 / ($BF$66:$BF$70*BY836 + (1-$BF$66:$BF$70)*BU836), N($AU$66:$AU$70&gt;$AM836)),
SUMPRODUCT(INDEX($AV$56:$AX$65,,$AI836), INDEX($AY$56:$BE$65,,$AH836), 1 / ($BG$56:$BG$65*BY836 + (1-$BG$56:$BG$65)*BU836), N($AU$56:$AU$65&gt;$AM836))
) / 1000</f>
        <v>0</v>
      </c>
      <c r="CA836" s="231">
        <f t="shared" si="856"/>
        <v>20</v>
      </c>
      <c r="CB836" s="229">
        <f t="shared" si="872"/>
        <v>33</v>
      </c>
      <c r="CC836" s="234">
        <f t="shared" si="873"/>
        <v>4.8487499999999999</v>
      </c>
      <c r="CD836" s="234" cm="1">
        <f t="array" ref="CD836">$BM836 * IF($AH836&lt;=2,
SUMPRODUCT(INDEX($AV$61:$AX$65,,$AI836), INDEX($AY$61:$BE$65,,$AH836), 1 / ($BF$61:$BF$65*CC836 + (1-$BF$61:$BF$65)*BY836), N($AU$61:$AU$65&gt;$AM836)),
SUMPRODUCT(INDEX($AV$46:$AX$55,,$AI836), INDEX($AY$46:$BE$55,,$AH836), 1 / ($BG$46:$BG$55*CC836 + (1-$BG$46:$BG$55)*BY836), N($AU$46:$AU$55&gt;$AM836))
) / 1000</f>
        <v>0</v>
      </c>
      <c r="CE836" s="234" cm="1">
        <f t="array" ref="CE836">$BM836 * IF($AH836&lt;=2,
SUMPRODUCT(INDEX($AV$22:$AX$60,,$AI836), INDEX($AY$22:$BE$60,,$AH836), 1 / ($BF$22:$BF$60*CC836), N($AU$22:$AU$60&gt;$AM836)),
SUMPRODUCT(INDEX($AV$22:$AX$45,,$AI836), INDEX($AY$22:$BE$45,,$AH836), 1 / ($BG$22:$BG$45*CC836), N($AU$22:$AU$45&gt;$AM836))
) / 1000</f>
        <v>0</v>
      </c>
      <c r="CF836" s="229">
        <f t="shared" si="874"/>
        <v>0</v>
      </c>
      <c r="CG836" s="246"/>
      <c r="CH836" s="229">
        <f t="shared" si="875"/>
        <v>0</v>
      </c>
      <c r="CI836" s="228">
        <v>35</v>
      </c>
      <c r="CJ836" s="229">
        <f t="shared" si="876"/>
        <v>48</v>
      </c>
      <c r="CK836" s="234">
        <f t="shared" si="877"/>
        <v>3.0748170731707316</v>
      </c>
      <c r="CL836" s="234" cm="1">
        <f t="array" ref="CL836">$BM836 * SUMPRODUCT(INDEX($AV$76:$AX$81,,$AI836),INDEX($AY$76:$BE$81,,$AH836), N($AU$76:$AU$81&gt;$AM836)) / CK836 / 1000</f>
        <v>0</v>
      </c>
      <c r="CM836" s="231">
        <f t="shared" si="857"/>
        <v>30</v>
      </c>
      <c r="CN836" s="229">
        <f t="shared" si="878"/>
        <v>43</v>
      </c>
      <c r="CO836" s="234">
        <f t="shared" si="879"/>
        <v>3.5018750000000001</v>
      </c>
      <c r="CP836" s="234" cm="1">
        <f t="array" ref="CP836">$BM836 * IF($AH836&lt;=2,
SUMPRODUCT(INDEX($AV$71:$AX$75,,$AI836), INDEX($AY$71:$BE$75,,$AH836), 1 / ($BF$71:$BF$75*CO836 + (1-$BF$71:$BF$75)*CK836), N($AU$71:$AU$75&gt;$AM836)),
SUMPRODUCT(INDEX($AV$66:$AX$75,,$AI836), INDEX($AY$66:$BE$75,,$AH836), 1 / ($BG$66:$BG$75*CO836 + (1-$BG$66:$BG$75)*CK836), N($AU$66:$AU$75&gt;$AM836))
) / 1000</f>
        <v>0</v>
      </c>
      <c r="CQ836" s="231">
        <f t="shared" si="858"/>
        <v>25</v>
      </c>
      <c r="CR836" s="229">
        <f t="shared" si="880"/>
        <v>38</v>
      </c>
      <c r="CS836" s="234">
        <f t="shared" si="881"/>
        <v>4.0666935483870965</v>
      </c>
      <c r="CT836" s="234" cm="1">
        <f t="array" ref="CT836">$BM836 * IF($AH836&lt;=2,
SUMPRODUCT(INDEX($AV$66:$AX$70,,$AI836), INDEX($AY$66:$BE$70,,$AH836), 1 / ($BF$66:$BF$70*CS836 + (1-$BF$66:$BF$70)*CO836), N($AU$66:$AU$70&gt;$AM836)),
SUMPRODUCT(INDEX($AV$56:$AX$65,,$AI836), INDEX($AY$56:$BE$65,,$AH836), 1 / ($BG$56:$BG$65*CS836 + (1-$BG$56:$BG$65)*CO836), N($AU$56:$AU$65&gt;$AM836))
) / 1000</f>
        <v>0</v>
      </c>
      <c r="CU836" s="231">
        <f t="shared" si="859"/>
        <v>20</v>
      </c>
      <c r="CV836" s="229">
        <f t="shared" si="882"/>
        <v>33</v>
      </c>
      <c r="CW836" s="234">
        <f t="shared" si="883"/>
        <v>4.8487499999999999</v>
      </c>
      <c r="CX836" s="234" cm="1">
        <f t="array" ref="CX836">$BM836 * IF($AH836&lt;=2,
SUMPRODUCT(INDEX($AV$61:$AX$65,,$AI836), INDEX($AY$61:$BE$65,,$AH836), 1 / ($BF$61:$BF$65*CW836 + (1-$BF$61:$BF$65)*CS836), N($AU$61:$AU$65&gt;$AM836)),
SUMPRODUCT(INDEX($AV$46:$AX$55,,$AI836), INDEX($AY$46:$BE$55,,$AH836), 1 / ($BG$46:$BG$55*CW836 + (1-$BG$46:$BG$55)*CS836), N($AU$46:$AU$55&gt;$AM836))
) / 1000</f>
        <v>0</v>
      </c>
      <c r="CY836" s="234" cm="1">
        <f t="array" ref="CY836">$BM836 * IF($AH836&lt;=2,
SUMPRODUCT(INDEX($AV$22:$AX$60,,$AI836), INDEX($AY$22:$BE$60,,$AH836), 1 / ($BF$22:$BF$60*CW836), N($AU$22:$AU$60&gt;$AM836)),
SUMPRODUCT(INDEX($AV$22:$AX$45,,$AI836), INDEX($AY$22:$BE$45,,$AH836), 1 / ($BG$22:$BG$45*CW836), N($AU$22:$AU$45&gt;$AM836))
) / 1000</f>
        <v>0</v>
      </c>
      <c r="CZ836" s="229">
        <f t="shared" si="884"/>
        <v>0</v>
      </c>
      <c r="DA836" s="246"/>
    </row>
    <row r="837" spans="1:105" s="75" customFormat="1" ht="14.25" customHeight="1" x14ac:dyDescent="0.2">
      <c r="A837" s="230" t="b">
        <f t="shared" si="851"/>
        <v>0</v>
      </c>
      <c r="B837" s="253">
        <v>816</v>
      </c>
      <c r="C837" s="266"/>
      <c r="D837" s="266"/>
      <c r="E837" s="254"/>
      <c r="F837" s="255" t="str">
        <f>IF(ISBLANK(E837), "", VLOOKUP(E837, Z!$A$2:$C$4127, 3, FALSE))</f>
        <v/>
      </c>
      <c r="G837" s="256"/>
      <c r="H837" s="256"/>
      <c r="I837" s="256"/>
      <c r="J837" s="257"/>
      <c r="K837" s="258"/>
      <c r="L837" s="267"/>
      <c r="M837" s="268"/>
      <c r="N837" s="259" t="str" cm="1">
        <f t="array" ref="N837">IF($L837&gt;0, INDEX(Clean,1+AK837,$D$1), "")</f>
        <v/>
      </c>
      <c r="O837" s="260"/>
      <c r="P837" s="260"/>
      <c r="Q837" s="261"/>
      <c r="R837" s="264">
        <f t="shared" si="860"/>
        <v>0</v>
      </c>
      <c r="S837" s="259" t="str" cm="1">
        <f t="array" ref="S837">IF($L837&gt;0, INDEX(Clean,1+AL837,$D$1), "")</f>
        <v/>
      </c>
      <c r="T837" s="260"/>
      <c r="U837" s="260"/>
      <c r="V837" s="261"/>
      <c r="W837" s="267"/>
      <c r="X837" s="267"/>
      <c r="Y837" s="257"/>
      <c r="Z837" s="264">
        <f t="shared" si="861"/>
        <v>0</v>
      </c>
      <c r="AA837" s="269"/>
      <c r="AB837" s="266"/>
      <c r="AC837" s="254"/>
      <c r="AD837" s="255" t="str">
        <f>IF(ISBLANK(AC837), "", VLOOKUP(AC837, Z!$A$2:$C$4127, 3, FALSE))</f>
        <v/>
      </c>
      <c r="AE837" s="270"/>
      <c r="AF837" s="265">
        <f t="shared" si="862"/>
        <v>0</v>
      </c>
      <c r="AG837" s="246"/>
      <c r="AH837" s="228">
        <f t="shared" si="885"/>
        <v>1</v>
      </c>
      <c r="AI837" s="228">
        <f t="shared" si="886"/>
        <v>1</v>
      </c>
      <c r="AJ837" s="228">
        <f t="shared" si="887"/>
        <v>0</v>
      </c>
      <c r="AK837" s="228">
        <v>0</v>
      </c>
      <c r="AL837" s="228">
        <v>0</v>
      </c>
      <c r="AM837" s="228">
        <f t="shared" si="863"/>
        <v>-100</v>
      </c>
      <c r="AN837" s="228" cm="1">
        <f t="array" ref="AN837">IF(ISBLANK(G837), 1, IFERROR(MATCH(G837, INDEX(Kat,,1), 0), IFERROR(MATCH(Kat, INDEX(Use,,2), 0), MATCH(Kat, INDEX(Use,,3), 0))))</f>
        <v>1</v>
      </c>
      <c r="AO837" s="246"/>
      <c r="AP837" s="228" cm="1">
        <f t="array" ref="AP837">IF(W837&gt;0, INDEX(Kat, AN837,4), 0)</f>
        <v>0</v>
      </c>
      <c r="AQ837" s="228">
        <f t="shared" si="888"/>
        <v>0</v>
      </c>
      <c r="AR837" s="228" cm="1">
        <f t="array" ref="AR837">IF(X837&gt;0, INDEX(Kat, $AN837, 4+AQ837), 0)</f>
        <v>0</v>
      </c>
      <c r="AS837" s="228" cm="1">
        <f t="array" ref="AS837">IF(X837&gt;0, INDEX(Kat, $AN837, 9+AQ837), 0)</f>
        <v>0</v>
      </c>
      <c r="AT837" s="246"/>
      <c r="AU837" s="262"/>
      <c r="AV837" s="262"/>
      <c r="AW837" s="263"/>
      <c r="AX837" s="263"/>
      <c r="AY837" s="263"/>
      <c r="AZ837" s="263"/>
      <c r="BA837" s="263"/>
      <c r="BB837" s="263"/>
      <c r="BC837" s="263"/>
      <c r="BD837" s="263"/>
      <c r="BE837" s="263"/>
      <c r="BF837" s="263"/>
      <c r="BG837" s="263"/>
      <c r="BH837" s="246"/>
      <c r="BI837" s="228" cm="1">
        <f t="array" ref="BI837">INDEX(Use, $AH837, 4)</f>
        <v>7</v>
      </c>
      <c r="BJ837" s="228">
        <f t="shared" si="864"/>
        <v>32</v>
      </c>
      <c r="BK837" s="228">
        <f t="shared" si="852"/>
        <v>13</v>
      </c>
      <c r="BL837" s="228">
        <f t="shared" si="853"/>
        <v>0</v>
      </c>
      <c r="BM837" s="233" cm="1">
        <f t="array" ref="BM837">L837/IF($M837&gt;0, INDEX($AY$22:$BE$76, $M837+20, $AH837), 1)</f>
        <v>0</v>
      </c>
      <c r="BN837" s="229">
        <f t="shared" si="865"/>
        <v>0</v>
      </c>
      <c r="BO837" s="228">
        <v>35</v>
      </c>
      <c r="BP837" s="229">
        <f t="shared" si="866"/>
        <v>48</v>
      </c>
      <c r="BQ837" s="234">
        <f t="shared" si="867"/>
        <v>3.0748170731707316</v>
      </c>
      <c r="BR837" s="234" cm="1">
        <f t="array" ref="BR837">$BM837 * SUMPRODUCT(INDEX($AV$76:$AX$81,,$AI837),INDEX($AY$76:$BE$81,,$AH837), N($AU$76:$AU$81&gt;$AM837)) / BQ837 / 1000</f>
        <v>0</v>
      </c>
      <c r="BS837" s="231">
        <f t="shared" si="854"/>
        <v>30</v>
      </c>
      <c r="BT837" s="229">
        <f t="shared" si="868"/>
        <v>43</v>
      </c>
      <c r="BU837" s="234">
        <f t="shared" si="869"/>
        <v>3.5018750000000001</v>
      </c>
      <c r="BV837" s="234" cm="1">
        <f t="array" ref="BV837">$BM837 * IF($AH837&lt;=2,
SUMPRODUCT(INDEX($AV$71:$AX$75,,$AI837), INDEX($AY$71:$BE$75,,$AH837), 1 / ($BF$71:$BF$75*BU837 + (1-$BF$71:$BF$75)*BQ837), N($AU$71:$AU$75&gt;$AM837)),
SUMPRODUCT(INDEX($AV$66:$AX$75,,$AI837), INDEX($AY$66:$BE$75,,$AH837), 1 / ($BG$66:$BG$75*BU837 + (1-$BG$66:$BG$75)*BQ837), N($AU$66:$AU$75&gt;$AM837))
) / 1000</f>
        <v>0</v>
      </c>
      <c r="BW837" s="231">
        <f t="shared" si="855"/>
        <v>25</v>
      </c>
      <c r="BX837" s="229">
        <f t="shared" si="870"/>
        <v>38</v>
      </c>
      <c r="BY837" s="234">
        <f t="shared" si="871"/>
        <v>4.0666935483870965</v>
      </c>
      <c r="BZ837" s="234" cm="1">
        <f t="array" ref="BZ837">$BM837 * IF($AH837&lt;=2,
SUMPRODUCT(INDEX($AV$66:$AX$70,,$AI837), INDEX($AY$66:$BE$70,,$AH837), 1 / ($BF$66:$BF$70*BY837 + (1-$BF$66:$BF$70)*BU837), N($AU$66:$AU$70&gt;$AM837)),
SUMPRODUCT(INDEX($AV$56:$AX$65,,$AI837), INDEX($AY$56:$BE$65,,$AH837), 1 / ($BG$56:$BG$65*BY837 + (1-$BG$56:$BG$65)*BU837), N($AU$56:$AU$65&gt;$AM837))
) / 1000</f>
        <v>0</v>
      </c>
      <c r="CA837" s="231">
        <f t="shared" si="856"/>
        <v>20</v>
      </c>
      <c r="CB837" s="229">
        <f t="shared" si="872"/>
        <v>33</v>
      </c>
      <c r="CC837" s="234">
        <f t="shared" si="873"/>
        <v>4.8487499999999999</v>
      </c>
      <c r="CD837" s="234" cm="1">
        <f t="array" ref="CD837">$BM837 * IF($AH837&lt;=2,
SUMPRODUCT(INDEX($AV$61:$AX$65,,$AI837), INDEX($AY$61:$BE$65,,$AH837), 1 / ($BF$61:$BF$65*CC837 + (1-$BF$61:$BF$65)*BY837), N($AU$61:$AU$65&gt;$AM837)),
SUMPRODUCT(INDEX($AV$46:$AX$55,,$AI837), INDEX($AY$46:$BE$55,,$AH837), 1 / ($BG$46:$BG$55*CC837 + (1-$BG$46:$BG$55)*BY837), N($AU$46:$AU$55&gt;$AM837))
) / 1000</f>
        <v>0</v>
      </c>
      <c r="CE837" s="234" cm="1">
        <f t="array" ref="CE837">$BM837 * IF($AH837&lt;=2,
SUMPRODUCT(INDEX($AV$22:$AX$60,,$AI837), INDEX($AY$22:$BE$60,,$AH837), 1 / ($BF$22:$BF$60*CC837), N($AU$22:$AU$60&gt;$AM837)),
SUMPRODUCT(INDEX($AV$22:$AX$45,,$AI837), INDEX($AY$22:$BE$45,,$AH837), 1 / ($BG$22:$BG$45*CC837), N($AU$22:$AU$45&gt;$AM837))
) / 1000</f>
        <v>0</v>
      </c>
      <c r="CF837" s="229">
        <f t="shared" si="874"/>
        <v>0</v>
      </c>
      <c r="CG837" s="246"/>
      <c r="CH837" s="229">
        <f t="shared" si="875"/>
        <v>0</v>
      </c>
      <c r="CI837" s="228">
        <v>35</v>
      </c>
      <c r="CJ837" s="229">
        <f t="shared" si="876"/>
        <v>48</v>
      </c>
      <c r="CK837" s="234">
        <f t="shared" si="877"/>
        <v>3.0748170731707316</v>
      </c>
      <c r="CL837" s="234" cm="1">
        <f t="array" ref="CL837">$BM837 * SUMPRODUCT(INDEX($AV$76:$AX$81,,$AI837),INDEX($AY$76:$BE$81,,$AH837), N($AU$76:$AU$81&gt;$AM837)) / CK837 / 1000</f>
        <v>0</v>
      </c>
      <c r="CM837" s="231">
        <f t="shared" si="857"/>
        <v>30</v>
      </c>
      <c r="CN837" s="229">
        <f t="shared" si="878"/>
        <v>43</v>
      </c>
      <c r="CO837" s="234">
        <f t="shared" si="879"/>
        <v>3.5018750000000001</v>
      </c>
      <c r="CP837" s="234" cm="1">
        <f t="array" ref="CP837">$BM837 * IF($AH837&lt;=2,
SUMPRODUCT(INDEX($AV$71:$AX$75,,$AI837), INDEX($AY$71:$BE$75,,$AH837), 1 / ($BF$71:$BF$75*CO837 + (1-$BF$71:$BF$75)*CK837), N($AU$71:$AU$75&gt;$AM837)),
SUMPRODUCT(INDEX($AV$66:$AX$75,,$AI837), INDEX($AY$66:$BE$75,,$AH837), 1 / ($BG$66:$BG$75*CO837 + (1-$BG$66:$BG$75)*CK837), N($AU$66:$AU$75&gt;$AM837))
) / 1000</f>
        <v>0</v>
      </c>
      <c r="CQ837" s="231">
        <f t="shared" si="858"/>
        <v>25</v>
      </c>
      <c r="CR837" s="229">
        <f t="shared" si="880"/>
        <v>38</v>
      </c>
      <c r="CS837" s="234">
        <f t="shared" si="881"/>
        <v>4.0666935483870965</v>
      </c>
      <c r="CT837" s="234" cm="1">
        <f t="array" ref="CT837">$BM837 * IF($AH837&lt;=2,
SUMPRODUCT(INDEX($AV$66:$AX$70,,$AI837), INDEX($AY$66:$BE$70,,$AH837), 1 / ($BF$66:$BF$70*CS837 + (1-$BF$66:$BF$70)*CO837), N($AU$66:$AU$70&gt;$AM837)),
SUMPRODUCT(INDEX($AV$56:$AX$65,,$AI837), INDEX($AY$56:$BE$65,,$AH837), 1 / ($BG$56:$BG$65*CS837 + (1-$BG$56:$BG$65)*CO837), N($AU$56:$AU$65&gt;$AM837))
) / 1000</f>
        <v>0</v>
      </c>
      <c r="CU837" s="231">
        <f t="shared" si="859"/>
        <v>20</v>
      </c>
      <c r="CV837" s="229">
        <f t="shared" si="882"/>
        <v>33</v>
      </c>
      <c r="CW837" s="234">
        <f t="shared" si="883"/>
        <v>4.8487499999999999</v>
      </c>
      <c r="CX837" s="234" cm="1">
        <f t="array" ref="CX837">$BM837 * IF($AH837&lt;=2,
SUMPRODUCT(INDEX($AV$61:$AX$65,,$AI837), INDEX($AY$61:$BE$65,,$AH837), 1 / ($BF$61:$BF$65*CW837 + (1-$BF$61:$BF$65)*CS837), N($AU$61:$AU$65&gt;$AM837)),
SUMPRODUCT(INDEX($AV$46:$AX$55,,$AI837), INDEX($AY$46:$BE$55,,$AH837), 1 / ($BG$46:$BG$55*CW837 + (1-$BG$46:$BG$55)*CS837), N($AU$46:$AU$55&gt;$AM837))
) / 1000</f>
        <v>0</v>
      </c>
      <c r="CY837" s="234" cm="1">
        <f t="array" ref="CY837">$BM837 * IF($AH837&lt;=2,
SUMPRODUCT(INDEX($AV$22:$AX$60,,$AI837), INDEX($AY$22:$BE$60,,$AH837), 1 / ($BF$22:$BF$60*CW837), N($AU$22:$AU$60&gt;$AM837)),
SUMPRODUCT(INDEX($AV$22:$AX$45,,$AI837), INDEX($AY$22:$BE$45,,$AH837), 1 / ($BG$22:$BG$45*CW837), N($AU$22:$AU$45&gt;$AM837))
) / 1000</f>
        <v>0</v>
      </c>
      <c r="CZ837" s="229">
        <f t="shared" si="884"/>
        <v>0</v>
      </c>
      <c r="DA837" s="246"/>
    </row>
    <row r="838" spans="1:105" s="75" customFormat="1" ht="14.25" customHeight="1" x14ac:dyDescent="0.2">
      <c r="A838" s="230" t="b">
        <f t="shared" si="851"/>
        <v>0</v>
      </c>
      <c r="B838" s="253">
        <v>817</v>
      </c>
      <c r="C838" s="266"/>
      <c r="D838" s="266"/>
      <c r="E838" s="254"/>
      <c r="F838" s="255" t="str">
        <f>IF(ISBLANK(E838), "", VLOOKUP(E838, Z!$A$2:$C$4127, 3, FALSE))</f>
        <v/>
      </c>
      <c r="G838" s="256"/>
      <c r="H838" s="256"/>
      <c r="I838" s="256"/>
      <c r="J838" s="257"/>
      <c r="K838" s="258"/>
      <c r="L838" s="267"/>
      <c r="M838" s="268"/>
      <c r="N838" s="259" t="str" cm="1">
        <f t="array" ref="N838">IF($L838&gt;0, INDEX(Clean,1+AK838,$D$1), "")</f>
        <v/>
      </c>
      <c r="O838" s="260"/>
      <c r="P838" s="260"/>
      <c r="Q838" s="261"/>
      <c r="R838" s="264">
        <f t="shared" si="860"/>
        <v>0</v>
      </c>
      <c r="S838" s="259" t="str" cm="1">
        <f t="array" ref="S838">IF($L838&gt;0, INDEX(Clean,1+AL838,$D$1), "")</f>
        <v/>
      </c>
      <c r="T838" s="260"/>
      <c r="U838" s="260"/>
      <c r="V838" s="261"/>
      <c r="W838" s="267"/>
      <c r="X838" s="267"/>
      <c r="Y838" s="257"/>
      <c r="Z838" s="264">
        <f t="shared" si="861"/>
        <v>0</v>
      </c>
      <c r="AA838" s="269"/>
      <c r="AB838" s="266"/>
      <c r="AC838" s="254"/>
      <c r="AD838" s="255" t="str">
        <f>IF(ISBLANK(AC838), "", VLOOKUP(AC838, Z!$A$2:$C$4127, 3, FALSE))</f>
        <v/>
      </c>
      <c r="AE838" s="270"/>
      <c r="AF838" s="265">
        <f t="shared" si="862"/>
        <v>0</v>
      </c>
      <c r="AG838" s="246"/>
      <c r="AH838" s="228">
        <f t="shared" si="885"/>
        <v>1</v>
      </c>
      <c r="AI838" s="228">
        <f t="shared" si="886"/>
        <v>1</v>
      </c>
      <c r="AJ838" s="228">
        <f t="shared" si="887"/>
        <v>0</v>
      </c>
      <c r="AK838" s="228">
        <v>0</v>
      </c>
      <c r="AL838" s="228">
        <v>0</v>
      </c>
      <c r="AM838" s="228">
        <f t="shared" si="863"/>
        <v>-100</v>
      </c>
      <c r="AN838" s="228" cm="1">
        <f t="array" ref="AN838">IF(ISBLANK(G838), 1, IFERROR(MATCH(G838, INDEX(Kat,,1), 0), IFERROR(MATCH(Kat, INDEX(Use,,2), 0), MATCH(Kat, INDEX(Use,,3), 0))))</f>
        <v>1</v>
      </c>
      <c r="AO838" s="246"/>
      <c r="AP838" s="228" cm="1">
        <f t="array" ref="AP838">IF(W838&gt;0, INDEX(Kat, AN838,4), 0)</f>
        <v>0</v>
      </c>
      <c r="AQ838" s="228">
        <f t="shared" si="888"/>
        <v>0</v>
      </c>
      <c r="AR838" s="228" cm="1">
        <f t="array" ref="AR838">IF(X838&gt;0, INDEX(Kat, $AN838, 4+AQ838), 0)</f>
        <v>0</v>
      </c>
      <c r="AS838" s="228" cm="1">
        <f t="array" ref="AS838">IF(X838&gt;0, INDEX(Kat, $AN838, 9+AQ838), 0)</f>
        <v>0</v>
      </c>
      <c r="AT838" s="246"/>
      <c r="AU838" s="262"/>
      <c r="AV838" s="262"/>
      <c r="AW838" s="263"/>
      <c r="AX838" s="263"/>
      <c r="AY838" s="263"/>
      <c r="AZ838" s="263"/>
      <c r="BA838" s="263"/>
      <c r="BB838" s="263"/>
      <c r="BC838" s="263"/>
      <c r="BD838" s="263"/>
      <c r="BE838" s="263"/>
      <c r="BF838" s="263"/>
      <c r="BG838" s="263"/>
      <c r="BH838" s="246"/>
      <c r="BI838" s="228" cm="1">
        <f t="array" ref="BI838">INDEX(Use, $AH838, 4)</f>
        <v>7</v>
      </c>
      <c r="BJ838" s="228">
        <f t="shared" si="864"/>
        <v>32</v>
      </c>
      <c r="BK838" s="228">
        <f t="shared" si="852"/>
        <v>13</v>
      </c>
      <c r="BL838" s="228">
        <f t="shared" si="853"/>
        <v>0</v>
      </c>
      <c r="BM838" s="233" cm="1">
        <f t="array" ref="BM838">L838/IF($M838&gt;0, INDEX($AY$22:$BE$76, $M838+20, $AH838), 1)</f>
        <v>0</v>
      </c>
      <c r="BN838" s="229">
        <f t="shared" si="865"/>
        <v>0</v>
      </c>
      <c r="BO838" s="228">
        <v>35</v>
      </c>
      <c r="BP838" s="229">
        <f t="shared" si="866"/>
        <v>48</v>
      </c>
      <c r="BQ838" s="234">
        <f t="shared" si="867"/>
        <v>3.0748170731707316</v>
      </c>
      <c r="BR838" s="234" cm="1">
        <f t="array" ref="BR838">$BM838 * SUMPRODUCT(INDEX($AV$76:$AX$81,,$AI838),INDEX($AY$76:$BE$81,,$AH838), N($AU$76:$AU$81&gt;$AM838)) / BQ838 / 1000</f>
        <v>0</v>
      </c>
      <c r="BS838" s="231">
        <f t="shared" si="854"/>
        <v>30</v>
      </c>
      <c r="BT838" s="229">
        <f t="shared" si="868"/>
        <v>43</v>
      </c>
      <c r="BU838" s="234">
        <f t="shared" si="869"/>
        <v>3.5018750000000001</v>
      </c>
      <c r="BV838" s="234" cm="1">
        <f t="array" ref="BV838">$BM838 * IF($AH838&lt;=2,
SUMPRODUCT(INDEX($AV$71:$AX$75,,$AI838), INDEX($AY$71:$BE$75,,$AH838), 1 / ($BF$71:$BF$75*BU838 + (1-$BF$71:$BF$75)*BQ838), N($AU$71:$AU$75&gt;$AM838)),
SUMPRODUCT(INDEX($AV$66:$AX$75,,$AI838), INDEX($AY$66:$BE$75,,$AH838), 1 / ($BG$66:$BG$75*BU838 + (1-$BG$66:$BG$75)*BQ838), N($AU$66:$AU$75&gt;$AM838))
) / 1000</f>
        <v>0</v>
      </c>
      <c r="BW838" s="231">
        <f t="shared" si="855"/>
        <v>25</v>
      </c>
      <c r="BX838" s="229">
        <f t="shared" si="870"/>
        <v>38</v>
      </c>
      <c r="BY838" s="234">
        <f t="shared" si="871"/>
        <v>4.0666935483870965</v>
      </c>
      <c r="BZ838" s="234" cm="1">
        <f t="array" ref="BZ838">$BM838 * IF($AH838&lt;=2,
SUMPRODUCT(INDEX($AV$66:$AX$70,,$AI838), INDEX($AY$66:$BE$70,,$AH838), 1 / ($BF$66:$BF$70*BY838 + (1-$BF$66:$BF$70)*BU838), N($AU$66:$AU$70&gt;$AM838)),
SUMPRODUCT(INDEX($AV$56:$AX$65,,$AI838), INDEX($AY$56:$BE$65,,$AH838), 1 / ($BG$56:$BG$65*BY838 + (1-$BG$56:$BG$65)*BU838), N($AU$56:$AU$65&gt;$AM838))
) / 1000</f>
        <v>0</v>
      </c>
      <c r="CA838" s="231">
        <f t="shared" si="856"/>
        <v>20</v>
      </c>
      <c r="CB838" s="229">
        <f t="shared" si="872"/>
        <v>33</v>
      </c>
      <c r="CC838" s="234">
        <f t="shared" si="873"/>
        <v>4.8487499999999999</v>
      </c>
      <c r="CD838" s="234" cm="1">
        <f t="array" ref="CD838">$BM838 * IF($AH838&lt;=2,
SUMPRODUCT(INDEX($AV$61:$AX$65,,$AI838), INDEX($AY$61:$BE$65,,$AH838), 1 / ($BF$61:$BF$65*CC838 + (1-$BF$61:$BF$65)*BY838), N($AU$61:$AU$65&gt;$AM838)),
SUMPRODUCT(INDEX($AV$46:$AX$55,,$AI838), INDEX($AY$46:$BE$55,,$AH838), 1 / ($BG$46:$BG$55*CC838 + (1-$BG$46:$BG$55)*BY838), N($AU$46:$AU$55&gt;$AM838))
) / 1000</f>
        <v>0</v>
      </c>
      <c r="CE838" s="234" cm="1">
        <f t="array" ref="CE838">$BM838 * IF($AH838&lt;=2,
SUMPRODUCT(INDEX($AV$22:$AX$60,,$AI838), INDEX($AY$22:$BE$60,,$AH838), 1 / ($BF$22:$BF$60*CC838), N($AU$22:$AU$60&gt;$AM838)),
SUMPRODUCT(INDEX($AV$22:$AX$45,,$AI838), INDEX($AY$22:$BE$45,,$AH838), 1 / ($BG$22:$BG$45*CC838), N($AU$22:$AU$45&gt;$AM838))
) / 1000</f>
        <v>0</v>
      </c>
      <c r="CF838" s="229">
        <f t="shared" si="874"/>
        <v>0</v>
      </c>
      <c r="CG838" s="246"/>
      <c r="CH838" s="229">
        <f t="shared" si="875"/>
        <v>0</v>
      </c>
      <c r="CI838" s="228">
        <v>35</v>
      </c>
      <c r="CJ838" s="229">
        <f t="shared" si="876"/>
        <v>48</v>
      </c>
      <c r="CK838" s="234">
        <f t="shared" si="877"/>
        <v>3.0748170731707316</v>
      </c>
      <c r="CL838" s="234" cm="1">
        <f t="array" ref="CL838">$BM838 * SUMPRODUCT(INDEX($AV$76:$AX$81,,$AI838),INDEX($AY$76:$BE$81,,$AH838), N($AU$76:$AU$81&gt;$AM838)) / CK838 / 1000</f>
        <v>0</v>
      </c>
      <c r="CM838" s="231">
        <f t="shared" si="857"/>
        <v>30</v>
      </c>
      <c r="CN838" s="229">
        <f t="shared" si="878"/>
        <v>43</v>
      </c>
      <c r="CO838" s="234">
        <f t="shared" si="879"/>
        <v>3.5018750000000001</v>
      </c>
      <c r="CP838" s="234" cm="1">
        <f t="array" ref="CP838">$BM838 * IF($AH838&lt;=2,
SUMPRODUCT(INDEX($AV$71:$AX$75,,$AI838), INDEX($AY$71:$BE$75,,$AH838), 1 / ($BF$71:$BF$75*CO838 + (1-$BF$71:$BF$75)*CK838), N($AU$71:$AU$75&gt;$AM838)),
SUMPRODUCT(INDEX($AV$66:$AX$75,,$AI838), INDEX($AY$66:$BE$75,,$AH838), 1 / ($BG$66:$BG$75*CO838 + (1-$BG$66:$BG$75)*CK838), N($AU$66:$AU$75&gt;$AM838))
) / 1000</f>
        <v>0</v>
      </c>
      <c r="CQ838" s="231">
        <f t="shared" si="858"/>
        <v>25</v>
      </c>
      <c r="CR838" s="229">
        <f t="shared" si="880"/>
        <v>38</v>
      </c>
      <c r="CS838" s="234">
        <f t="shared" si="881"/>
        <v>4.0666935483870965</v>
      </c>
      <c r="CT838" s="234" cm="1">
        <f t="array" ref="CT838">$BM838 * IF($AH838&lt;=2,
SUMPRODUCT(INDEX($AV$66:$AX$70,,$AI838), INDEX($AY$66:$BE$70,,$AH838), 1 / ($BF$66:$BF$70*CS838 + (1-$BF$66:$BF$70)*CO838), N($AU$66:$AU$70&gt;$AM838)),
SUMPRODUCT(INDEX($AV$56:$AX$65,,$AI838), INDEX($AY$56:$BE$65,,$AH838), 1 / ($BG$56:$BG$65*CS838 + (1-$BG$56:$BG$65)*CO838), N($AU$56:$AU$65&gt;$AM838))
) / 1000</f>
        <v>0</v>
      </c>
      <c r="CU838" s="231">
        <f t="shared" si="859"/>
        <v>20</v>
      </c>
      <c r="CV838" s="229">
        <f t="shared" si="882"/>
        <v>33</v>
      </c>
      <c r="CW838" s="234">
        <f t="shared" si="883"/>
        <v>4.8487499999999999</v>
      </c>
      <c r="CX838" s="234" cm="1">
        <f t="array" ref="CX838">$BM838 * IF($AH838&lt;=2,
SUMPRODUCT(INDEX($AV$61:$AX$65,,$AI838), INDEX($AY$61:$BE$65,,$AH838), 1 / ($BF$61:$BF$65*CW838 + (1-$BF$61:$BF$65)*CS838), N($AU$61:$AU$65&gt;$AM838)),
SUMPRODUCT(INDEX($AV$46:$AX$55,,$AI838), INDEX($AY$46:$BE$55,,$AH838), 1 / ($BG$46:$BG$55*CW838 + (1-$BG$46:$BG$55)*CS838), N($AU$46:$AU$55&gt;$AM838))
) / 1000</f>
        <v>0</v>
      </c>
      <c r="CY838" s="234" cm="1">
        <f t="array" ref="CY838">$BM838 * IF($AH838&lt;=2,
SUMPRODUCT(INDEX($AV$22:$AX$60,,$AI838), INDEX($AY$22:$BE$60,,$AH838), 1 / ($BF$22:$BF$60*CW838), N($AU$22:$AU$60&gt;$AM838)),
SUMPRODUCT(INDEX($AV$22:$AX$45,,$AI838), INDEX($AY$22:$BE$45,,$AH838), 1 / ($BG$22:$BG$45*CW838), N($AU$22:$AU$45&gt;$AM838))
) / 1000</f>
        <v>0</v>
      </c>
      <c r="CZ838" s="229">
        <f t="shared" si="884"/>
        <v>0</v>
      </c>
      <c r="DA838" s="246"/>
    </row>
    <row r="839" spans="1:105" s="75" customFormat="1" ht="14.25" customHeight="1" x14ac:dyDescent="0.2">
      <c r="A839" s="230" t="b">
        <f t="shared" si="851"/>
        <v>0</v>
      </c>
      <c r="B839" s="253">
        <v>818</v>
      </c>
      <c r="C839" s="266"/>
      <c r="D839" s="266"/>
      <c r="E839" s="254"/>
      <c r="F839" s="255" t="str">
        <f>IF(ISBLANK(E839), "", VLOOKUP(E839, Z!$A$2:$C$4127, 3, FALSE))</f>
        <v/>
      </c>
      <c r="G839" s="256"/>
      <c r="H839" s="256"/>
      <c r="I839" s="256"/>
      <c r="J839" s="257"/>
      <c r="K839" s="258"/>
      <c r="L839" s="267"/>
      <c r="M839" s="268"/>
      <c r="N839" s="259" t="str" cm="1">
        <f t="array" ref="N839">IF($L839&gt;0, INDEX(Clean,1+AK839,$D$1), "")</f>
        <v/>
      </c>
      <c r="O839" s="260"/>
      <c r="P839" s="260"/>
      <c r="Q839" s="261"/>
      <c r="R839" s="264">
        <f t="shared" si="860"/>
        <v>0</v>
      </c>
      <c r="S839" s="259" t="str" cm="1">
        <f t="array" ref="S839">IF($L839&gt;0, INDEX(Clean,1+AL839,$D$1), "")</f>
        <v/>
      </c>
      <c r="T839" s="260"/>
      <c r="U839" s="260"/>
      <c r="V839" s="261"/>
      <c r="W839" s="267"/>
      <c r="X839" s="267"/>
      <c r="Y839" s="257"/>
      <c r="Z839" s="264">
        <f t="shared" si="861"/>
        <v>0</v>
      </c>
      <c r="AA839" s="269"/>
      <c r="AB839" s="266"/>
      <c r="AC839" s="254"/>
      <c r="AD839" s="255" t="str">
        <f>IF(ISBLANK(AC839), "", VLOOKUP(AC839, Z!$A$2:$C$4127, 3, FALSE))</f>
        <v/>
      </c>
      <c r="AE839" s="270"/>
      <c r="AF839" s="265">
        <f t="shared" si="862"/>
        <v>0</v>
      </c>
      <c r="AG839" s="246"/>
      <c r="AH839" s="228">
        <f t="shared" si="885"/>
        <v>1</v>
      </c>
      <c r="AI839" s="228">
        <f t="shared" si="886"/>
        <v>1</v>
      </c>
      <c r="AJ839" s="228">
        <f t="shared" si="887"/>
        <v>0</v>
      </c>
      <c r="AK839" s="228">
        <v>0</v>
      </c>
      <c r="AL839" s="228">
        <v>0</v>
      </c>
      <c r="AM839" s="228">
        <f t="shared" si="863"/>
        <v>-100</v>
      </c>
      <c r="AN839" s="228" cm="1">
        <f t="array" ref="AN839">IF(ISBLANK(G839), 1, IFERROR(MATCH(G839, INDEX(Kat,,1), 0), IFERROR(MATCH(Kat, INDEX(Use,,2), 0), MATCH(Kat, INDEX(Use,,3), 0))))</f>
        <v>1</v>
      </c>
      <c r="AO839" s="246"/>
      <c r="AP839" s="228" cm="1">
        <f t="array" ref="AP839">IF(W839&gt;0, INDEX(Kat, AN839,4), 0)</f>
        <v>0</v>
      </c>
      <c r="AQ839" s="228">
        <f t="shared" si="888"/>
        <v>0</v>
      </c>
      <c r="AR839" s="228" cm="1">
        <f t="array" ref="AR839">IF(X839&gt;0, INDEX(Kat, $AN839, 4+AQ839), 0)</f>
        <v>0</v>
      </c>
      <c r="AS839" s="228" cm="1">
        <f t="array" ref="AS839">IF(X839&gt;0, INDEX(Kat, $AN839, 9+AQ839), 0)</f>
        <v>0</v>
      </c>
      <c r="AT839" s="246"/>
      <c r="AU839" s="262"/>
      <c r="AV839" s="262"/>
      <c r="AW839" s="263"/>
      <c r="AX839" s="263"/>
      <c r="AY839" s="263"/>
      <c r="AZ839" s="263"/>
      <c r="BA839" s="263"/>
      <c r="BB839" s="263"/>
      <c r="BC839" s="263"/>
      <c r="BD839" s="263"/>
      <c r="BE839" s="263"/>
      <c r="BF839" s="263"/>
      <c r="BG839" s="263"/>
      <c r="BH839" s="246"/>
      <c r="BI839" s="228" cm="1">
        <f t="array" ref="BI839">INDEX(Use, $AH839, 4)</f>
        <v>7</v>
      </c>
      <c r="BJ839" s="228">
        <f t="shared" si="864"/>
        <v>32</v>
      </c>
      <c r="BK839" s="228">
        <f t="shared" si="852"/>
        <v>13</v>
      </c>
      <c r="BL839" s="228">
        <f t="shared" si="853"/>
        <v>0</v>
      </c>
      <c r="BM839" s="233" cm="1">
        <f t="array" ref="BM839">L839/IF($M839&gt;0, INDEX($AY$22:$BE$76, $M839+20, $AH839), 1)</f>
        <v>0</v>
      </c>
      <c r="BN839" s="229">
        <f t="shared" si="865"/>
        <v>0</v>
      </c>
      <c r="BO839" s="228">
        <v>35</v>
      </c>
      <c r="BP839" s="229">
        <f t="shared" si="866"/>
        <v>48</v>
      </c>
      <c r="BQ839" s="234">
        <f t="shared" si="867"/>
        <v>3.0748170731707316</v>
      </c>
      <c r="BR839" s="234" cm="1">
        <f t="array" ref="BR839">$BM839 * SUMPRODUCT(INDEX($AV$76:$AX$81,,$AI839),INDEX($AY$76:$BE$81,,$AH839), N($AU$76:$AU$81&gt;$AM839)) / BQ839 / 1000</f>
        <v>0</v>
      </c>
      <c r="BS839" s="231">
        <f t="shared" si="854"/>
        <v>30</v>
      </c>
      <c r="BT839" s="229">
        <f t="shared" si="868"/>
        <v>43</v>
      </c>
      <c r="BU839" s="234">
        <f t="shared" si="869"/>
        <v>3.5018750000000001</v>
      </c>
      <c r="BV839" s="234" cm="1">
        <f t="array" ref="BV839">$BM839 * IF($AH839&lt;=2,
SUMPRODUCT(INDEX($AV$71:$AX$75,,$AI839), INDEX($AY$71:$BE$75,,$AH839), 1 / ($BF$71:$BF$75*BU839 + (1-$BF$71:$BF$75)*BQ839), N($AU$71:$AU$75&gt;$AM839)),
SUMPRODUCT(INDEX($AV$66:$AX$75,,$AI839), INDEX($AY$66:$BE$75,,$AH839), 1 / ($BG$66:$BG$75*BU839 + (1-$BG$66:$BG$75)*BQ839), N($AU$66:$AU$75&gt;$AM839))
) / 1000</f>
        <v>0</v>
      </c>
      <c r="BW839" s="231">
        <f t="shared" si="855"/>
        <v>25</v>
      </c>
      <c r="BX839" s="229">
        <f t="shared" si="870"/>
        <v>38</v>
      </c>
      <c r="BY839" s="234">
        <f t="shared" si="871"/>
        <v>4.0666935483870965</v>
      </c>
      <c r="BZ839" s="234" cm="1">
        <f t="array" ref="BZ839">$BM839 * IF($AH839&lt;=2,
SUMPRODUCT(INDEX($AV$66:$AX$70,,$AI839), INDEX($AY$66:$BE$70,,$AH839), 1 / ($BF$66:$BF$70*BY839 + (1-$BF$66:$BF$70)*BU839), N($AU$66:$AU$70&gt;$AM839)),
SUMPRODUCT(INDEX($AV$56:$AX$65,,$AI839), INDEX($AY$56:$BE$65,,$AH839), 1 / ($BG$56:$BG$65*BY839 + (1-$BG$56:$BG$65)*BU839), N($AU$56:$AU$65&gt;$AM839))
) / 1000</f>
        <v>0</v>
      </c>
      <c r="CA839" s="231">
        <f t="shared" si="856"/>
        <v>20</v>
      </c>
      <c r="CB839" s="229">
        <f t="shared" si="872"/>
        <v>33</v>
      </c>
      <c r="CC839" s="234">
        <f t="shared" si="873"/>
        <v>4.8487499999999999</v>
      </c>
      <c r="CD839" s="234" cm="1">
        <f t="array" ref="CD839">$BM839 * IF($AH839&lt;=2,
SUMPRODUCT(INDEX($AV$61:$AX$65,,$AI839), INDEX($AY$61:$BE$65,,$AH839), 1 / ($BF$61:$BF$65*CC839 + (1-$BF$61:$BF$65)*BY839), N($AU$61:$AU$65&gt;$AM839)),
SUMPRODUCT(INDEX($AV$46:$AX$55,,$AI839), INDEX($AY$46:$BE$55,,$AH839), 1 / ($BG$46:$BG$55*CC839 + (1-$BG$46:$BG$55)*BY839), N($AU$46:$AU$55&gt;$AM839))
) / 1000</f>
        <v>0</v>
      </c>
      <c r="CE839" s="234" cm="1">
        <f t="array" ref="CE839">$BM839 * IF($AH839&lt;=2,
SUMPRODUCT(INDEX($AV$22:$AX$60,,$AI839), INDEX($AY$22:$BE$60,,$AH839), 1 / ($BF$22:$BF$60*CC839), N($AU$22:$AU$60&gt;$AM839)),
SUMPRODUCT(INDEX($AV$22:$AX$45,,$AI839), INDEX($AY$22:$BE$45,,$AH839), 1 / ($BG$22:$BG$45*CC839), N($AU$22:$AU$45&gt;$AM839))
) / 1000</f>
        <v>0</v>
      </c>
      <c r="CF839" s="229">
        <f t="shared" si="874"/>
        <v>0</v>
      </c>
      <c r="CG839" s="246"/>
      <c r="CH839" s="229">
        <f t="shared" si="875"/>
        <v>0</v>
      </c>
      <c r="CI839" s="228">
        <v>35</v>
      </c>
      <c r="CJ839" s="229">
        <f t="shared" si="876"/>
        <v>48</v>
      </c>
      <c r="CK839" s="234">
        <f t="shared" si="877"/>
        <v>3.0748170731707316</v>
      </c>
      <c r="CL839" s="234" cm="1">
        <f t="array" ref="CL839">$BM839 * SUMPRODUCT(INDEX($AV$76:$AX$81,,$AI839),INDEX($AY$76:$BE$81,,$AH839), N($AU$76:$AU$81&gt;$AM839)) / CK839 / 1000</f>
        <v>0</v>
      </c>
      <c r="CM839" s="231">
        <f t="shared" si="857"/>
        <v>30</v>
      </c>
      <c r="CN839" s="229">
        <f t="shared" si="878"/>
        <v>43</v>
      </c>
      <c r="CO839" s="234">
        <f t="shared" si="879"/>
        <v>3.5018750000000001</v>
      </c>
      <c r="CP839" s="234" cm="1">
        <f t="array" ref="CP839">$BM839 * IF($AH839&lt;=2,
SUMPRODUCT(INDEX($AV$71:$AX$75,,$AI839), INDEX($AY$71:$BE$75,,$AH839), 1 / ($BF$71:$BF$75*CO839 + (1-$BF$71:$BF$75)*CK839), N($AU$71:$AU$75&gt;$AM839)),
SUMPRODUCT(INDEX($AV$66:$AX$75,,$AI839), INDEX($AY$66:$BE$75,,$AH839), 1 / ($BG$66:$BG$75*CO839 + (1-$BG$66:$BG$75)*CK839), N($AU$66:$AU$75&gt;$AM839))
) / 1000</f>
        <v>0</v>
      </c>
      <c r="CQ839" s="231">
        <f t="shared" si="858"/>
        <v>25</v>
      </c>
      <c r="CR839" s="229">
        <f t="shared" si="880"/>
        <v>38</v>
      </c>
      <c r="CS839" s="234">
        <f t="shared" si="881"/>
        <v>4.0666935483870965</v>
      </c>
      <c r="CT839" s="234" cm="1">
        <f t="array" ref="CT839">$BM839 * IF($AH839&lt;=2,
SUMPRODUCT(INDEX($AV$66:$AX$70,,$AI839), INDEX($AY$66:$BE$70,,$AH839), 1 / ($BF$66:$BF$70*CS839 + (1-$BF$66:$BF$70)*CO839), N($AU$66:$AU$70&gt;$AM839)),
SUMPRODUCT(INDEX($AV$56:$AX$65,,$AI839), INDEX($AY$56:$BE$65,,$AH839), 1 / ($BG$56:$BG$65*CS839 + (1-$BG$56:$BG$65)*CO839), N($AU$56:$AU$65&gt;$AM839))
) / 1000</f>
        <v>0</v>
      </c>
      <c r="CU839" s="231">
        <f t="shared" si="859"/>
        <v>20</v>
      </c>
      <c r="CV839" s="229">
        <f t="shared" si="882"/>
        <v>33</v>
      </c>
      <c r="CW839" s="234">
        <f t="shared" si="883"/>
        <v>4.8487499999999999</v>
      </c>
      <c r="CX839" s="234" cm="1">
        <f t="array" ref="CX839">$BM839 * IF($AH839&lt;=2,
SUMPRODUCT(INDEX($AV$61:$AX$65,,$AI839), INDEX($AY$61:$BE$65,,$AH839), 1 / ($BF$61:$BF$65*CW839 + (1-$BF$61:$BF$65)*CS839), N($AU$61:$AU$65&gt;$AM839)),
SUMPRODUCT(INDEX($AV$46:$AX$55,,$AI839), INDEX($AY$46:$BE$55,,$AH839), 1 / ($BG$46:$BG$55*CW839 + (1-$BG$46:$BG$55)*CS839), N($AU$46:$AU$55&gt;$AM839))
) / 1000</f>
        <v>0</v>
      </c>
      <c r="CY839" s="234" cm="1">
        <f t="array" ref="CY839">$BM839 * IF($AH839&lt;=2,
SUMPRODUCT(INDEX($AV$22:$AX$60,,$AI839), INDEX($AY$22:$BE$60,,$AH839), 1 / ($BF$22:$BF$60*CW839), N($AU$22:$AU$60&gt;$AM839)),
SUMPRODUCT(INDEX($AV$22:$AX$45,,$AI839), INDEX($AY$22:$BE$45,,$AH839), 1 / ($BG$22:$BG$45*CW839), N($AU$22:$AU$45&gt;$AM839))
) / 1000</f>
        <v>0</v>
      </c>
      <c r="CZ839" s="229">
        <f t="shared" si="884"/>
        <v>0</v>
      </c>
      <c r="DA839" s="246"/>
    </row>
    <row r="840" spans="1:105" s="75" customFormat="1" ht="14.25" customHeight="1" x14ac:dyDescent="0.2">
      <c r="A840" s="230" t="b">
        <f t="shared" si="851"/>
        <v>0</v>
      </c>
      <c r="B840" s="253">
        <v>819</v>
      </c>
      <c r="C840" s="266"/>
      <c r="D840" s="266"/>
      <c r="E840" s="254"/>
      <c r="F840" s="255" t="str">
        <f>IF(ISBLANK(E840), "", VLOOKUP(E840, Z!$A$2:$C$4127, 3, FALSE))</f>
        <v/>
      </c>
      <c r="G840" s="256"/>
      <c r="H840" s="256"/>
      <c r="I840" s="256"/>
      <c r="J840" s="257"/>
      <c r="K840" s="258"/>
      <c r="L840" s="267"/>
      <c r="M840" s="268"/>
      <c r="N840" s="259" t="str" cm="1">
        <f t="array" ref="N840">IF($L840&gt;0, INDEX(Clean,1+AK840,$D$1), "")</f>
        <v/>
      </c>
      <c r="O840" s="260"/>
      <c r="P840" s="260"/>
      <c r="Q840" s="261"/>
      <c r="R840" s="264">
        <f t="shared" si="860"/>
        <v>0</v>
      </c>
      <c r="S840" s="259" t="str" cm="1">
        <f t="array" ref="S840">IF($L840&gt;0, INDEX(Clean,1+AL840,$D$1), "")</f>
        <v/>
      </c>
      <c r="T840" s="260"/>
      <c r="U840" s="260"/>
      <c r="V840" s="261"/>
      <c r="W840" s="267"/>
      <c r="X840" s="267"/>
      <c r="Y840" s="257"/>
      <c r="Z840" s="264">
        <f t="shared" si="861"/>
        <v>0</v>
      </c>
      <c r="AA840" s="269"/>
      <c r="AB840" s="266"/>
      <c r="AC840" s="254"/>
      <c r="AD840" s="255" t="str">
        <f>IF(ISBLANK(AC840), "", VLOOKUP(AC840, Z!$A$2:$C$4127, 3, FALSE))</f>
        <v/>
      </c>
      <c r="AE840" s="270"/>
      <c r="AF840" s="265">
        <f t="shared" si="862"/>
        <v>0</v>
      </c>
      <c r="AG840" s="246"/>
      <c r="AH840" s="228">
        <f t="shared" si="885"/>
        <v>1</v>
      </c>
      <c r="AI840" s="228">
        <f t="shared" si="886"/>
        <v>1</v>
      </c>
      <c r="AJ840" s="228">
        <f t="shared" si="887"/>
        <v>0</v>
      </c>
      <c r="AK840" s="228">
        <v>0</v>
      </c>
      <c r="AL840" s="228">
        <v>0</v>
      </c>
      <c r="AM840" s="228">
        <f t="shared" si="863"/>
        <v>-100</v>
      </c>
      <c r="AN840" s="228" cm="1">
        <f t="array" ref="AN840">IF(ISBLANK(G840), 1, IFERROR(MATCH(G840, INDEX(Kat,,1), 0), IFERROR(MATCH(Kat, INDEX(Use,,2), 0), MATCH(Kat, INDEX(Use,,3), 0))))</f>
        <v>1</v>
      </c>
      <c r="AO840" s="246"/>
      <c r="AP840" s="228" cm="1">
        <f t="array" ref="AP840">IF(W840&gt;0, INDEX(Kat, AN840,4), 0)</f>
        <v>0</v>
      </c>
      <c r="AQ840" s="228">
        <f t="shared" si="888"/>
        <v>0</v>
      </c>
      <c r="AR840" s="228" cm="1">
        <f t="array" ref="AR840">IF(X840&gt;0, INDEX(Kat, $AN840, 4+AQ840), 0)</f>
        <v>0</v>
      </c>
      <c r="AS840" s="228" cm="1">
        <f t="array" ref="AS840">IF(X840&gt;0, INDEX(Kat, $AN840, 9+AQ840), 0)</f>
        <v>0</v>
      </c>
      <c r="AT840" s="246"/>
      <c r="AU840" s="262"/>
      <c r="AV840" s="262"/>
      <c r="AW840" s="263"/>
      <c r="AX840" s="263"/>
      <c r="AY840" s="263"/>
      <c r="AZ840" s="263"/>
      <c r="BA840" s="263"/>
      <c r="BB840" s="263"/>
      <c r="BC840" s="263"/>
      <c r="BD840" s="263"/>
      <c r="BE840" s="263"/>
      <c r="BF840" s="263"/>
      <c r="BG840" s="263"/>
      <c r="BH840" s="246"/>
      <c r="BI840" s="228" cm="1">
        <f t="array" ref="BI840">INDEX(Use, $AH840, 4)</f>
        <v>7</v>
      </c>
      <c r="BJ840" s="228">
        <f t="shared" si="864"/>
        <v>32</v>
      </c>
      <c r="BK840" s="228">
        <f t="shared" si="852"/>
        <v>13</v>
      </c>
      <c r="BL840" s="228">
        <f t="shared" si="853"/>
        <v>0</v>
      </c>
      <c r="BM840" s="233" cm="1">
        <f t="array" ref="BM840">L840/IF($M840&gt;0, INDEX($AY$22:$BE$76, $M840+20, $AH840), 1)</f>
        <v>0</v>
      </c>
      <c r="BN840" s="229">
        <f t="shared" si="865"/>
        <v>0</v>
      </c>
      <c r="BO840" s="228">
        <v>35</v>
      </c>
      <c r="BP840" s="229">
        <f t="shared" si="866"/>
        <v>48</v>
      </c>
      <c r="BQ840" s="234">
        <f t="shared" si="867"/>
        <v>3.0748170731707316</v>
      </c>
      <c r="BR840" s="234" cm="1">
        <f t="array" ref="BR840">$BM840 * SUMPRODUCT(INDEX($AV$76:$AX$81,,$AI840),INDEX($AY$76:$BE$81,,$AH840), N($AU$76:$AU$81&gt;$AM840)) / BQ840 / 1000</f>
        <v>0</v>
      </c>
      <c r="BS840" s="231">
        <f t="shared" si="854"/>
        <v>30</v>
      </c>
      <c r="BT840" s="229">
        <f t="shared" si="868"/>
        <v>43</v>
      </c>
      <c r="BU840" s="234">
        <f t="shared" si="869"/>
        <v>3.5018750000000001</v>
      </c>
      <c r="BV840" s="234" cm="1">
        <f t="array" ref="BV840">$BM840 * IF($AH840&lt;=2,
SUMPRODUCT(INDEX($AV$71:$AX$75,,$AI840), INDEX($AY$71:$BE$75,,$AH840), 1 / ($BF$71:$BF$75*BU840 + (1-$BF$71:$BF$75)*BQ840), N($AU$71:$AU$75&gt;$AM840)),
SUMPRODUCT(INDEX($AV$66:$AX$75,,$AI840), INDEX($AY$66:$BE$75,,$AH840), 1 / ($BG$66:$BG$75*BU840 + (1-$BG$66:$BG$75)*BQ840), N($AU$66:$AU$75&gt;$AM840))
) / 1000</f>
        <v>0</v>
      </c>
      <c r="BW840" s="231">
        <f t="shared" si="855"/>
        <v>25</v>
      </c>
      <c r="BX840" s="229">
        <f t="shared" si="870"/>
        <v>38</v>
      </c>
      <c r="BY840" s="234">
        <f t="shared" si="871"/>
        <v>4.0666935483870965</v>
      </c>
      <c r="BZ840" s="234" cm="1">
        <f t="array" ref="BZ840">$BM840 * IF($AH840&lt;=2,
SUMPRODUCT(INDEX($AV$66:$AX$70,,$AI840), INDEX($AY$66:$BE$70,,$AH840), 1 / ($BF$66:$BF$70*BY840 + (1-$BF$66:$BF$70)*BU840), N($AU$66:$AU$70&gt;$AM840)),
SUMPRODUCT(INDEX($AV$56:$AX$65,,$AI840), INDEX($AY$56:$BE$65,,$AH840), 1 / ($BG$56:$BG$65*BY840 + (1-$BG$56:$BG$65)*BU840), N($AU$56:$AU$65&gt;$AM840))
) / 1000</f>
        <v>0</v>
      </c>
      <c r="CA840" s="231">
        <f t="shared" si="856"/>
        <v>20</v>
      </c>
      <c r="CB840" s="229">
        <f t="shared" si="872"/>
        <v>33</v>
      </c>
      <c r="CC840" s="234">
        <f t="shared" si="873"/>
        <v>4.8487499999999999</v>
      </c>
      <c r="CD840" s="234" cm="1">
        <f t="array" ref="CD840">$BM840 * IF($AH840&lt;=2,
SUMPRODUCT(INDEX($AV$61:$AX$65,,$AI840), INDEX($AY$61:$BE$65,,$AH840), 1 / ($BF$61:$BF$65*CC840 + (1-$BF$61:$BF$65)*BY840), N($AU$61:$AU$65&gt;$AM840)),
SUMPRODUCT(INDEX($AV$46:$AX$55,,$AI840), INDEX($AY$46:$BE$55,,$AH840), 1 / ($BG$46:$BG$55*CC840 + (1-$BG$46:$BG$55)*BY840), N($AU$46:$AU$55&gt;$AM840))
) / 1000</f>
        <v>0</v>
      </c>
      <c r="CE840" s="234" cm="1">
        <f t="array" ref="CE840">$BM840 * IF($AH840&lt;=2,
SUMPRODUCT(INDEX($AV$22:$AX$60,,$AI840), INDEX($AY$22:$BE$60,,$AH840), 1 / ($BF$22:$BF$60*CC840), N($AU$22:$AU$60&gt;$AM840)),
SUMPRODUCT(INDEX($AV$22:$AX$45,,$AI840), INDEX($AY$22:$BE$45,,$AH840), 1 / ($BG$22:$BG$45*CC840), N($AU$22:$AU$45&gt;$AM840))
) / 1000</f>
        <v>0</v>
      </c>
      <c r="CF840" s="229">
        <f t="shared" si="874"/>
        <v>0</v>
      </c>
      <c r="CG840" s="246"/>
      <c r="CH840" s="229">
        <f t="shared" si="875"/>
        <v>0</v>
      </c>
      <c r="CI840" s="228">
        <v>35</v>
      </c>
      <c r="CJ840" s="229">
        <f t="shared" si="876"/>
        <v>48</v>
      </c>
      <c r="CK840" s="234">
        <f t="shared" si="877"/>
        <v>3.0748170731707316</v>
      </c>
      <c r="CL840" s="234" cm="1">
        <f t="array" ref="CL840">$BM840 * SUMPRODUCT(INDEX($AV$76:$AX$81,,$AI840),INDEX($AY$76:$BE$81,,$AH840), N($AU$76:$AU$81&gt;$AM840)) / CK840 / 1000</f>
        <v>0</v>
      </c>
      <c r="CM840" s="231">
        <f t="shared" si="857"/>
        <v>30</v>
      </c>
      <c r="CN840" s="229">
        <f t="shared" si="878"/>
        <v>43</v>
      </c>
      <c r="CO840" s="234">
        <f t="shared" si="879"/>
        <v>3.5018750000000001</v>
      </c>
      <c r="CP840" s="234" cm="1">
        <f t="array" ref="CP840">$BM840 * IF($AH840&lt;=2,
SUMPRODUCT(INDEX($AV$71:$AX$75,,$AI840), INDEX($AY$71:$BE$75,,$AH840), 1 / ($BF$71:$BF$75*CO840 + (1-$BF$71:$BF$75)*CK840), N($AU$71:$AU$75&gt;$AM840)),
SUMPRODUCT(INDEX($AV$66:$AX$75,,$AI840), INDEX($AY$66:$BE$75,,$AH840), 1 / ($BG$66:$BG$75*CO840 + (1-$BG$66:$BG$75)*CK840), N($AU$66:$AU$75&gt;$AM840))
) / 1000</f>
        <v>0</v>
      </c>
      <c r="CQ840" s="231">
        <f t="shared" si="858"/>
        <v>25</v>
      </c>
      <c r="CR840" s="229">
        <f t="shared" si="880"/>
        <v>38</v>
      </c>
      <c r="CS840" s="234">
        <f t="shared" si="881"/>
        <v>4.0666935483870965</v>
      </c>
      <c r="CT840" s="234" cm="1">
        <f t="array" ref="CT840">$BM840 * IF($AH840&lt;=2,
SUMPRODUCT(INDEX($AV$66:$AX$70,,$AI840), INDEX($AY$66:$BE$70,,$AH840), 1 / ($BF$66:$BF$70*CS840 + (1-$BF$66:$BF$70)*CO840), N($AU$66:$AU$70&gt;$AM840)),
SUMPRODUCT(INDEX($AV$56:$AX$65,,$AI840), INDEX($AY$56:$BE$65,,$AH840), 1 / ($BG$56:$BG$65*CS840 + (1-$BG$56:$BG$65)*CO840), N($AU$56:$AU$65&gt;$AM840))
) / 1000</f>
        <v>0</v>
      </c>
      <c r="CU840" s="231">
        <f t="shared" si="859"/>
        <v>20</v>
      </c>
      <c r="CV840" s="229">
        <f t="shared" si="882"/>
        <v>33</v>
      </c>
      <c r="CW840" s="234">
        <f t="shared" si="883"/>
        <v>4.8487499999999999</v>
      </c>
      <c r="CX840" s="234" cm="1">
        <f t="array" ref="CX840">$BM840 * IF($AH840&lt;=2,
SUMPRODUCT(INDEX($AV$61:$AX$65,,$AI840), INDEX($AY$61:$BE$65,,$AH840), 1 / ($BF$61:$BF$65*CW840 + (1-$BF$61:$BF$65)*CS840), N($AU$61:$AU$65&gt;$AM840)),
SUMPRODUCT(INDEX($AV$46:$AX$55,,$AI840), INDEX($AY$46:$BE$55,,$AH840), 1 / ($BG$46:$BG$55*CW840 + (1-$BG$46:$BG$55)*CS840), N($AU$46:$AU$55&gt;$AM840))
) / 1000</f>
        <v>0</v>
      </c>
      <c r="CY840" s="234" cm="1">
        <f t="array" ref="CY840">$BM840 * IF($AH840&lt;=2,
SUMPRODUCT(INDEX($AV$22:$AX$60,,$AI840), INDEX($AY$22:$BE$60,,$AH840), 1 / ($BF$22:$BF$60*CW840), N($AU$22:$AU$60&gt;$AM840)),
SUMPRODUCT(INDEX($AV$22:$AX$45,,$AI840), INDEX($AY$22:$BE$45,,$AH840), 1 / ($BG$22:$BG$45*CW840), N($AU$22:$AU$45&gt;$AM840))
) / 1000</f>
        <v>0</v>
      </c>
      <c r="CZ840" s="229">
        <f t="shared" si="884"/>
        <v>0</v>
      </c>
      <c r="DA840" s="246"/>
    </row>
    <row r="841" spans="1:105" s="75" customFormat="1" ht="14.25" customHeight="1" x14ac:dyDescent="0.2">
      <c r="A841" s="230" t="b">
        <f t="shared" si="851"/>
        <v>0</v>
      </c>
      <c r="B841" s="253">
        <v>820</v>
      </c>
      <c r="C841" s="266"/>
      <c r="D841" s="266"/>
      <c r="E841" s="254"/>
      <c r="F841" s="255" t="str">
        <f>IF(ISBLANK(E841), "", VLOOKUP(E841, Z!$A$2:$C$4127, 3, FALSE))</f>
        <v/>
      </c>
      <c r="G841" s="256"/>
      <c r="H841" s="256"/>
      <c r="I841" s="256"/>
      <c r="J841" s="257"/>
      <c r="K841" s="258"/>
      <c r="L841" s="267"/>
      <c r="M841" s="268"/>
      <c r="N841" s="259" t="str" cm="1">
        <f t="array" ref="N841">IF($L841&gt;0, INDEX(Clean,1+AK841,$D$1), "")</f>
        <v/>
      </c>
      <c r="O841" s="260"/>
      <c r="P841" s="260"/>
      <c r="Q841" s="261"/>
      <c r="R841" s="264">
        <f t="shared" si="860"/>
        <v>0</v>
      </c>
      <c r="S841" s="259" t="str" cm="1">
        <f t="array" ref="S841">IF($L841&gt;0, INDEX(Clean,1+AL841,$D$1), "")</f>
        <v/>
      </c>
      <c r="T841" s="260"/>
      <c r="U841" s="260"/>
      <c r="V841" s="261"/>
      <c r="W841" s="267"/>
      <c r="X841" s="267"/>
      <c r="Y841" s="257"/>
      <c r="Z841" s="264">
        <f t="shared" si="861"/>
        <v>0</v>
      </c>
      <c r="AA841" s="269"/>
      <c r="AB841" s="266"/>
      <c r="AC841" s="254"/>
      <c r="AD841" s="255" t="str">
        <f>IF(ISBLANK(AC841), "", VLOOKUP(AC841, Z!$A$2:$C$4127, 3, FALSE))</f>
        <v/>
      </c>
      <c r="AE841" s="270"/>
      <c r="AF841" s="265">
        <f t="shared" si="862"/>
        <v>0</v>
      </c>
      <c r="AG841" s="246"/>
      <c r="AH841" s="228">
        <f t="shared" si="885"/>
        <v>1</v>
      </c>
      <c r="AI841" s="228">
        <f t="shared" si="886"/>
        <v>1</v>
      </c>
      <c r="AJ841" s="228">
        <f t="shared" si="887"/>
        <v>0</v>
      </c>
      <c r="AK841" s="228">
        <v>0</v>
      </c>
      <c r="AL841" s="228">
        <v>0</v>
      </c>
      <c r="AM841" s="228">
        <f t="shared" si="863"/>
        <v>-100</v>
      </c>
      <c r="AN841" s="228" cm="1">
        <f t="array" ref="AN841">IF(ISBLANK(G841), 1, IFERROR(MATCH(G841, INDEX(Kat,,1), 0), IFERROR(MATCH(Kat, INDEX(Use,,2), 0), MATCH(Kat, INDEX(Use,,3), 0))))</f>
        <v>1</v>
      </c>
      <c r="AO841" s="246"/>
      <c r="AP841" s="228" cm="1">
        <f t="array" ref="AP841">IF(W841&gt;0, INDEX(Kat, AN841,4), 0)</f>
        <v>0</v>
      </c>
      <c r="AQ841" s="228">
        <f t="shared" si="888"/>
        <v>0</v>
      </c>
      <c r="AR841" s="228" cm="1">
        <f t="array" ref="AR841">IF(X841&gt;0, INDEX(Kat, $AN841, 4+AQ841), 0)</f>
        <v>0</v>
      </c>
      <c r="AS841" s="228" cm="1">
        <f t="array" ref="AS841">IF(X841&gt;0, INDEX(Kat, $AN841, 9+AQ841), 0)</f>
        <v>0</v>
      </c>
      <c r="AT841" s="246"/>
      <c r="AU841" s="262"/>
      <c r="AV841" s="262"/>
      <c r="AW841" s="263"/>
      <c r="AX841" s="263"/>
      <c r="AY841" s="263"/>
      <c r="AZ841" s="263"/>
      <c r="BA841" s="263"/>
      <c r="BB841" s="263"/>
      <c r="BC841" s="263"/>
      <c r="BD841" s="263"/>
      <c r="BE841" s="263"/>
      <c r="BF841" s="263"/>
      <c r="BG841" s="263"/>
      <c r="BH841" s="246"/>
      <c r="BI841" s="228" cm="1">
        <f t="array" ref="BI841">INDEX(Use, $AH841, 4)</f>
        <v>7</v>
      </c>
      <c r="BJ841" s="228">
        <f t="shared" si="864"/>
        <v>32</v>
      </c>
      <c r="BK841" s="228">
        <f t="shared" si="852"/>
        <v>13</v>
      </c>
      <c r="BL841" s="228">
        <f t="shared" si="853"/>
        <v>0</v>
      </c>
      <c r="BM841" s="233" cm="1">
        <f t="array" ref="BM841">L841/IF($M841&gt;0, INDEX($AY$22:$BE$76, $M841+20, $AH841), 1)</f>
        <v>0</v>
      </c>
      <c r="BN841" s="229">
        <f t="shared" si="865"/>
        <v>0</v>
      </c>
      <c r="BO841" s="228">
        <v>35</v>
      </c>
      <c r="BP841" s="229">
        <f t="shared" si="866"/>
        <v>48</v>
      </c>
      <c r="BQ841" s="234">
        <f t="shared" si="867"/>
        <v>3.0748170731707316</v>
      </c>
      <c r="BR841" s="234" cm="1">
        <f t="array" ref="BR841">$BM841 * SUMPRODUCT(INDEX($AV$76:$AX$81,,$AI841),INDEX($AY$76:$BE$81,,$AH841), N($AU$76:$AU$81&gt;$AM841)) / BQ841 / 1000</f>
        <v>0</v>
      </c>
      <c r="BS841" s="231">
        <f t="shared" si="854"/>
        <v>30</v>
      </c>
      <c r="BT841" s="229">
        <f t="shared" si="868"/>
        <v>43</v>
      </c>
      <c r="BU841" s="234">
        <f t="shared" si="869"/>
        <v>3.5018750000000001</v>
      </c>
      <c r="BV841" s="234" cm="1">
        <f t="array" ref="BV841">$BM841 * IF($AH841&lt;=2,
SUMPRODUCT(INDEX($AV$71:$AX$75,,$AI841), INDEX($AY$71:$BE$75,,$AH841), 1 / ($BF$71:$BF$75*BU841 + (1-$BF$71:$BF$75)*BQ841), N($AU$71:$AU$75&gt;$AM841)),
SUMPRODUCT(INDEX($AV$66:$AX$75,,$AI841), INDEX($AY$66:$BE$75,,$AH841), 1 / ($BG$66:$BG$75*BU841 + (1-$BG$66:$BG$75)*BQ841), N($AU$66:$AU$75&gt;$AM841))
) / 1000</f>
        <v>0</v>
      </c>
      <c r="BW841" s="231">
        <f t="shared" si="855"/>
        <v>25</v>
      </c>
      <c r="BX841" s="229">
        <f t="shared" si="870"/>
        <v>38</v>
      </c>
      <c r="BY841" s="234">
        <f t="shared" si="871"/>
        <v>4.0666935483870965</v>
      </c>
      <c r="BZ841" s="234" cm="1">
        <f t="array" ref="BZ841">$BM841 * IF($AH841&lt;=2,
SUMPRODUCT(INDEX($AV$66:$AX$70,,$AI841), INDEX($AY$66:$BE$70,,$AH841), 1 / ($BF$66:$BF$70*BY841 + (1-$BF$66:$BF$70)*BU841), N($AU$66:$AU$70&gt;$AM841)),
SUMPRODUCT(INDEX($AV$56:$AX$65,,$AI841), INDEX($AY$56:$BE$65,,$AH841), 1 / ($BG$56:$BG$65*BY841 + (1-$BG$56:$BG$65)*BU841), N($AU$56:$AU$65&gt;$AM841))
) / 1000</f>
        <v>0</v>
      </c>
      <c r="CA841" s="231">
        <f t="shared" si="856"/>
        <v>20</v>
      </c>
      <c r="CB841" s="229">
        <f t="shared" si="872"/>
        <v>33</v>
      </c>
      <c r="CC841" s="234">
        <f t="shared" si="873"/>
        <v>4.8487499999999999</v>
      </c>
      <c r="CD841" s="234" cm="1">
        <f t="array" ref="CD841">$BM841 * IF($AH841&lt;=2,
SUMPRODUCT(INDEX($AV$61:$AX$65,,$AI841), INDEX($AY$61:$BE$65,,$AH841), 1 / ($BF$61:$BF$65*CC841 + (1-$BF$61:$BF$65)*BY841), N($AU$61:$AU$65&gt;$AM841)),
SUMPRODUCT(INDEX($AV$46:$AX$55,,$AI841), INDEX($AY$46:$BE$55,,$AH841), 1 / ($BG$46:$BG$55*CC841 + (1-$BG$46:$BG$55)*BY841), N($AU$46:$AU$55&gt;$AM841))
) / 1000</f>
        <v>0</v>
      </c>
      <c r="CE841" s="234" cm="1">
        <f t="array" ref="CE841">$BM841 * IF($AH841&lt;=2,
SUMPRODUCT(INDEX($AV$22:$AX$60,,$AI841), INDEX($AY$22:$BE$60,,$AH841), 1 / ($BF$22:$BF$60*CC841), N($AU$22:$AU$60&gt;$AM841)),
SUMPRODUCT(INDEX($AV$22:$AX$45,,$AI841), INDEX($AY$22:$BE$45,,$AH841), 1 / ($BG$22:$BG$45*CC841), N($AU$22:$AU$45&gt;$AM841))
) / 1000</f>
        <v>0</v>
      </c>
      <c r="CF841" s="229">
        <f t="shared" si="874"/>
        <v>0</v>
      </c>
      <c r="CG841" s="246"/>
      <c r="CH841" s="229">
        <f t="shared" si="875"/>
        <v>0</v>
      </c>
      <c r="CI841" s="228">
        <v>35</v>
      </c>
      <c r="CJ841" s="229">
        <f t="shared" si="876"/>
        <v>48</v>
      </c>
      <c r="CK841" s="234">
        <f t="shared" si="877"/>
        <v>3.0748170731707316</v>
      </c>
      <c r="CL841" s="234" cm="1">
        <f t="array" ref="CL841">$BM841 * SUMPRODUCT(INDEX($AV$76:$AX$81,,$AI841),INDEX($AY$76:$BE$81,,$AH841), N($AU$76:$AU$81&gt;$AM841)) / CK841 / 1000</f>
        <v>0</v>
      </c>
      <c r="CM841" s="231">
        <f t="shared" si="857"/>
        <v>30</v>
      </c>
      <c r="CN841" s="229">
        <f t="shared" si="878"/>
        <v>43</v>
      </c>
      <c r="CO841" s="234">
        <f t="shared" si="879"/>
        <v>3.5018750000000001</v>
      </c>
      <c r="CP841" s="234" cm="1">
        <f t="array" ref="CP841">$BM841 * IF($AH841&lt;=2,
SUMPRODUCT(INDEX($AV$71:$AX$75,,$AI841), INDEX($AY$71:$BE$75,,$AH841), 1 / ($BF$71:$BF$75*CO841 + (1-$BF$71:$BF$75)*CK841), N($AU$71:$AU$75&gt;$AM841)),
SUMPRODUCT(INDEX($AV$66:$AX$75,,$AI841), INDEX($AY$66:$BE$75,,$AH841), 1 / ($BG$66:$BG$75*CO841 + (1-$BG$66:$BG$75)*CK841), N($AU$66:$AU$75&gt;$AM841))
) / 1000</f>
        <v>0</v>
      </c>
      <c r="CQ841" s="231">
        <f t="shared" si="858"/>
        <v>25</v>
      </c>
      <c r="CR841" s="229">
        <f t="shared" si="880"/>
        <v>38</v>
      </c>
      <c r="CS841" s="234">
        <f t="shared" si="881"/>
        <v>4.0666935483870965</v>
      </c>
      <c r="CT841" s="234" cm="1">
        <f t="array" ref="CT841">$BM841 * IF($AH841&lt;=2,
SUMPRODUCT(INDEX($AV$66:$AX$70,,$AI841), INDEX($AY$66:$BE$70,,$AH841), 1 / ($BF$66:$BF$70*CS841 + (1-$BF$66:$BF$70)*CO841), N($AU$66:$AU$70&gt;$AM841)),
SUMPRODUCT(INDEX($AV$56:$AX$65,,$AI841), INDEX($AY$56:$BE$65,,$AH841), 1 / ($BG$56:$BG$65*CS841 + (1-$BG$56:$BG$65)*CO841), N($AU$56:$AU$65&gt;$AM841))
) / 1000</f>
        <v>0</v>
      </c>
      <c r="CU841" s="231">
        <f t="shared" si="859"/>
        <v>20</v>
      </c>
      <c r="CV841" s="229">
        <f t="shared" si="882"/>
        <v>33</v>
      </c>
      <c r="CW841" s="234">
        <f t="shared" si="883"/>
        <v>4.8487499999999999</v>
      </c>
      <c r="CX841" s="234" cm="1">
        <f t="array" ref="CX841">$BM841 * IF($AH841&lt;=2,
SUMPRODUCT(INDEX($AV$61:$AX$65,,$AI841), INDEX($AY$61:$BE$65,,$AH841), 1 / ($BF$61:$BF$65*CW841 + (1-$BF$61:$BF$65)*CS841), N($AU$61:$AU$65&gt;$AM841)),
SUMPRODUCT(INDEX($AV$46:$AX$55,,$AI841), INDEX($AY$46:$BE$55,,$AH841), 1 / ($BG$46:$BG$55*CW841 + (1-$BG$46:$BG$55)*CS841), N($AU$46:$AU$55&gt;$AM841))
) / 1000</f>
        <v>0</v>
      </c>
      <c r="CY841" s="234" cm="1">
        <f t="array" ref="CY841">$BM841 * IF($AH841&lt;=2,
SUMPRODUCT(INDEX($AV$22:$AX$60,,$AI841), INDEX($AY$22:$BE$60,,$AH841), 1 / ($BF$22:$BF$60*CW841), N($AU$22:$AU$60&gt;$AM841)),
SUMPRODUCT(INDEX($AV$22:$AX$45,,$AI841), INDEX($AY$22:$BE$45,,$AH841), 1 / ($BG$22:$BG$45*CW841), N($AU$22:$AU$45&gt;$AM841))
) / 1000</f>
        <v>0</v>
      </c>
      <c r="CZ841" s="229">
        <f t="shared" si="884"/>
        <v>0</v>
      </c>
      <c r="DA841" s="246"/>
    </row>
    <row r="842" spans="1:105" s="75" customFormat="1" ht="14.25" customHeight="1" x14ac:dyDescent="0.2">
      <c r="A842" s="230" t="b">
        <f t="shared" si="851"/>
        <v>0</v>
      </c>
      <c r="B842" s="253">
        <v>821</v>
      </c>
      <c r="C842" s="266"/>
      <c r="D842" s="266"/>
      <c r="E842" s="254"/>
      <c r="F842" s="255" t="str">
        <f>IF(ISBLANK(E842), "", VLOOKUP(E842, Z!$A$2:$C$4127, 3, FALSE))</f>
        <v/>
      </c>
      <c r="G842" s="256"/>
      <c r="H842" s="256"/>
      <c r="I842" s="256"/>
      <c r="J842" s="257"/>
      <c r="K842" s="258"/>
      <c r="L842" s="267"/>
      <c r="M842" s="268"/>
      <c r="N842" s="259" t="str" cm="1">
        <f t="array" ref="N842">IF($L842&gt;0, INDEX(Clean,1+AK842,$D$1), "")</f>
        <v/>
      </c>
      <c r="O842" s="260"/>
      <c r="P842" s="260"/>
      <c r="Q842" s="261"/>
      <c r="R842" s="264">
        <f t="shared" si="860"/>
        <v>0</v>
      </c>
      <c r="S842" s="259" t="str" cm="1">
        <f t="array" ref="S842">IF($L842&gt;0, INDEX(Clean,1+AL842,$D$1), "")</f>
        <v/>
      </c>
      <c r="T842" s="260"/>
      <c r="U842" s="260"/>
      <c r="V842" s="261"/>
      <c r="W842" s="267"/>
      <c r="X842" s="267"/>
      <c r="Y842" s="257"/>
      <c r="Z842" s="264">
        <f t="shared" si="861"/>
        <v>0</v>
      </c>
      <c r="AA842" s="269"/>
      <c r="AB842" s="266"/>
      <c r="AC842" s="254"/>
      <c r="AD842" s="255" t="str">
        <f>IF(ISBLANK(AC842), "", VLOOKUP(AC842, Z!$A$2:$C$4127, 3, FALSE))</f>
        <v/>
      </c>
      <c r="AE842" s="270"/>
      <c r="AF842" s="265">
        <f t="shared" si="862"/>
        <v>0</v>
      </c>
      <c r="AG842" s="246"/>
      <c r="AH842" s="228">
        <f t="shared" si="885"/>
        <v>1</v>
      </c>
      <c r="AI842" s="228">
        <f t="shared" si="886"/>
        <v>1</v>
      </c>
      <c r="AJ842" s="228">
        <f t="shared" si="887"/>
        <v>0</v>
      </c>
      <c r="AK842" s="228">
        <v>0</v>
      </c>
      <c r="AL842" s="228">
        <v>0</v>
      </c>
      <c r="AM842" s="228">
        <f t="shared" si="863"/>
        <v>-100</v>
      </c>
      <c r="AN842" s="228" cm="1">
        <f t="array" ref="AN842">IF(ISBLANK(G842), 1, IFERROR(MATCH(G842, INDEX(Kat,,1), 0), IFERROR(MATCH(Kat, INDEX(Use,,2), 0), MATCH(Kat, INDEX(Use,,3), 0))))</f>
        <v>1</v>
      </c>
      <c r="AO842" s="246"/>
      <c r="AP842" s="228" cm="1">
        <f t="array" ref="AP842">IF(W842&gt;0, INDEX(Kat, AN842,4), 0)</f>
        <v>0</v>
      </c>
      <c r="AQ842" s="228">
        <f t="shared" si="888"/>
        <v>0</v>
      </c>
      <c r="AR842" s="228" cm="1">
        <f t="array" ref="AR842">IF(X842&gt;0, INDEX(Kat, $AN842, 4+AQ842), 0)</f>
        <v>0</v>
      </c>
      <c r="AS842" s="228" cm="1">
        <f t="array" ref="AS842">IF(X842&gt;0, INDEX(Kat, $AN842, 9+AQ842), 0)</f>
        <v>0</v>
      </c>
      <c r="AT842" s="246"/>
      <c r="AU842" s="262"/>
      <c r="AV842" s="262"/>
      <c r="AW842" s="263"/>
      <c r="AX842" s="263"/>
      <c r="AY842" s="263"/>
      <c r="AZ842" s="263"/>
      <c r="BA842" s="263"/>
      <c r="BB842" s="263"/>
      <c r="BC842" s="263"/>
      <c r="BD842" s="263"/>
      <c r="BE842" s="263"/>
      <c r="BF842" s="263"/>
      <c r="BG842" s="263"/>
      <c r="BH842" s="246"/>
      <c r="BI842" s="228" cm="1">
        <f t="array" ref="BI842">INDEX(Use, $AH842, 4)</f>
        <v>7</v>
      </c>
      <c r="BJ842" s="228">
        <f t="shared" si="864"/>
        <v>32</v>
      </c>
      <c r="BK842" s="228">
        <f t="shared" si="852"/>
        <v>13</v>
      </c>
      <c r="BL842" s="228">
        <f t="shared" si="853"/>
        <v>0</v>
      </c>
      <c r="BM842" s="233" cm="1">
        <f t="array" ref="BM842">L842/IF($M842&gt;0, INDEX($AY$22:$BE$76, $M842+20, $AH842), 1)</f>
        <v>0</v>
      </c>
      <c r="BN842" s="229">
        <f t="shared" si="865"/>
        <v>0</v>
      </c>
      <c r="BO842" s="228">
        <v>35</v>
      </c>
      <c r="BP842" s="229">
        <f t="shared" si="866"/>
        <v>48</v>
      </c>
      <c r="BQ842" s="234">
        <f t="shared" si="867"/>
        <v>3.0748170731707316</v>
      </c>
      <c r="BR842" s="234" cm="1">
        <f t="array" ref="BR842">$BM842 * SUMPRODUCT(INDEX($AV$76:$AX$81,,$AI842),INDEX($AY$76:$BE$81,,$AH842), N($AU$76:$AU$81&gt;$AM842)) / BQ842 / 1000</f>
        <v>0</v>
      </c>
      <c r="BS842" s="231">
        <f t="shared" si="854"/>
        <v>30</v>
      </c>
      <c r="BT842" s="229">
        <f t="shared" si="868"/>
        <v>43</v>
      </c>
      <c r="BU842" s="234">
        <f t="shared" si="869"/>
        <v>3.5018750000000001</v>
      </c>
      <c r="BV842" s="234" cm="1">
        <f t="array" ref="BV842">$BM842 * IF($AH842&lt;=2,
SUMPRODUCT(INDEX($AV$71:$AX$75,,$AI842), INDEX($AY$71:$BE$75,,$AH842), 1 / ($BF$71:$BF$75*BU842 + (1-$BF$71:$BF$75)*BQ842), N($AU$71:$AU$75&gt;$AM842)),
SUMPRODUCT(INDEX($AV$66:$AX$75,,$AI842), INDEX($AY$66:$BE$75,,$AH842), 1 / ($BG$66:$BG$75*BU842 + (1-$BG$66:$BG$75)*BQ842), N($AU$66:$AU$75&gt;$AM842))
) / 1000</f>
        <v>0</v>
      </c>
      <c r="BW842" s="231">
        <f t="shared" si="855"/>
        <v>25</v>
      </c>
      <c r="BX842" s="229">
        <f t="shared" si="870"/>
        <v>38</v>
      </c>
      <c r="BY842" s="234">
        <f t="shared" si="871"/>
        <v>4.0666935483870965</v>
      </c>
      <c r="BZ842" s="234" cm="1">
        <f t="array" ref="BZ842">$BM842 * IF($AH842&lt;=2,
SUMPRODUCT(INDEX($AV$66:$AX$70,,$AI842), INDEX($AY$66:$BE$70,,$AH842), 1 / ($BF$66:$BF$70*BY842 + (1-$BF$66:$BF$70)*BU842), N($AU$66:$AU$70&gt;$AM842)),
SUMPRODUCT(INDEX($AV$56:$AX$65,,$AI842), INDEX($AY$56:$BE$65,,$AH842), 1 / ($BG$56:$BG$65*BY842 + (1-$BG$56:$BG$65)*BU842), N($AU$56:$AU$65&gt;$AM842))
) / 1000</f>
        <v>0</v>
      </c>
      <c r="CA842" s="231">
        <f t="shared" si="856"/>
        <v>20</v>
      </c>
      <c r="CB842" s="229">
        <f t="shared" si="872"/>
        <v>33</v>
      </c>
      <c r="CC842" s="234">
        <f t="shared" si="873"/>
        <v>4.8487499999999999</v>
      </c>
      <c r="CD842" s="234" cm="1">
        <f t="array" ref="CD842">$BM842 * IF($AH842&lt;=2,
SUMPRODUCT(INDEX($AV$61:$AX$65,,$AI842), INDEX($AY$61:$BE$65,,$AH842), 1 / ($BF$61:$BF$65*CC842 + (1-$BF$61:$BF$65)*BY842), N($AU$61:$AU$65&gt;$AM842)),
SUMPRODUCT(INDEX($AV$46:$AX$55,,$AI842), INDEX($AY$46:$BE$55,,$AH842), 1 / ($BG$46:$BG$55*CC842 + (1-$BG$46:$BG$55)*BY842), N($AU$46:$AU$55&gt;$AM842))
) / 1000</f>
        <v>0</v>
      </c>
      <c r="CE842" s="234" cm="1">
        <f t="array" ref="CE842">$BM842 * IF($AH842&lt;=2,
SUMPRODUCT(INDEX($AV$22:$AX$60,,$AI842), INDEX($AY$22:$BE$60,,$AH842), 1 / ($BF$22:$BF$60*CC842), N($AU$22:$AU$60&gt;$AM842)),
SUMPRODUCT(INDEX($AV$22:$AX$45,,$AI842), INDEX($AY$22:$BE$45,,$AH842), 1 / ($BG$22:$BG$45*CC842), N($AU$22:$AU$45&gt;$AM842))
) / 1000</f>
        <v>0</v>
      </c>
      <c r="CF842" s="229">
        <f t="shared" si="874"/>
        <v>0</v>
      </c>
      <c r="CG842" s="246"/>
      <c r="CH842" s="229">
        <f t="shared" si="875"/>
        <v>0</v>
      </c>
      <c r="CI842" s="228">
        <v>35</v>
      </c>
      <c r="CJ842" s="229">
        <f t="shared" si="876"/>
        <v>48</v>
      </c>
      <c r="CK842" s="234">
        <f t="shared" si="877"/>
        <v>3.0748170731707316</v>
      </c>
      <c r="CL842" s="234" cm="1">
        <f t="array" ref="CL842">$BM842 * SUMPRODUCT(INDEX($AV$76:$AX$81,,$AI842),INDEX($AY$76:$BE$81,,$AH842), N($AU$76:$AU$81&gt;$AM842)) / CK842 / 1000</f>
        <v>0</v>
      </c>
      <c r="CM842" s="231">
        <f t="shared" si="857"/>
        <v>30</v>
      </c>
      <c r="CN842" s="229">
        <f t="shared" si="878"/>
        <v>43</v>
      </c>
      <c r="CO842" s="234">
        <f t="shared" si="879"/>
        <v>3.5018750000000001</v>
      </c>
      <c r="CP842" s="234" cm="1">
        <f t="array" ref="CP842">$BM842 * IF($AH842&lt;=2,
SUMPRODUCT(INDEX($AV$71:$AX$75,,$AI842), INDEX($AY$71:$BE$75,,$AH842), 1 / ($BF$71:$BF$75*CO842 + (1-$BF$71:$BF$75)*CK842), N($AU$71:$AU$75&gt;$AM842)),
SUMPRODUCT(INDEX($AV$66:$AX$75,,$AI842), INDEX($AY$66:$BE$75,,$AH842), 1 / ($BG$66:$BG$75*CO842 + (1-$BG$66:$BG$75)*CK842), N($AU$66:$AU$75&gt;$AM842))
) / 1000</f>
        <v>0</v>
      </c>
      <c r="CQ842" s="231">
        <f t="shared" si="858"/>
        <v>25</v>
      </c>
      <c r="CR842" s="229">
        <f t="shared" si="880"/>
        <v>38</v>
      </c>
      <c r="CS842" s="234">
        <f t="shared" si="881"/>
        <v>4.0666935483870965</v>
      </c>
      <c r="CT842" s="234" cm="1">
        <f t="array" ref="CT842">$BM842 * IF($AH842&lt;=2,
SUMPRODUCT(INDEX($AV$66:$AX$70,,$AI842), INDEX($AY$66:$BE$70,,$AH842), 1 / ($BF$66:$BF$70*CS842 + (1-$BF$66:$BF$70)*CO842), N($AU$66:$AU$70&gt;$AM842)),
SUMPRODUCT(INDEX($AV$56:$AX$65,,$AI842), INDEX($AY$56:$BE$65,,$AH842), 1 / ($BG$56:$BG$65*CS842 + (1-$BG$56:$BG$65)*CO842), N($AU$56:$AU$65&gt;$AM842))
) / 1000</f>
        <v>0</v>
      </c>
      <c r="CU842" s="231">
        <f t="shared" si="859"/>
        <v>20</v>
      </c>
      <c r="CV842" s="229">
        <f t="shared" si="882"/>
        <v>33</v>
      </c>
      <c r="CW842" s="234">
        <f t="shared" si="883"/>
        <v>4.8487499999999999</v>
      </c>
      <c r="CX842" s="234" cm="1">
        <f t="array" ref="CX842">$BM842 * IF($AH842&lt;=2,
SUMPRODUCT(INDEX($AV$61:$AX$65,,$AI842), INDEX($AY$61:$BE$65,,$AH842), 1 / ($BF$61:$BF$65*CW842 + (1-$BF$61:$BF$65)*CS842), N($AU$61:$AU$65&gt;$AM842)),
SUMPRODUCT(INDEX($AV$46:$AX$55,,$AI842), INDEX($AY$46:$BE$55,,$AH842), 1 / ($BG$46:$BG$55*CW842 + (1-$BG$46:$BG$55)*CS842), N($AU$46:$AU$55&gt;$AM842))
) / 1000</f>
        <v>0</v>
      </c>
      <c r="CY842" s="234" cm="1">
        <f t="array" ref="CY842">$BM842 * IF($AH842&lt;=2,
SUMPRODUCT(INDEX($AV$22:$AX$60,,$AI842), INDEX($AY$22:$BE$60,,$AH842), 1 / ($BF$22:$BF$60*CW842), N($AU$22:$AU$60&gt;$AM842)),
SUMPRODUCT(INDEX($AV$22:$AX$45,,$AI842), INDEX($AY$22:$BE$45,,$AH842), 1 / ($BG$22:$BG$45*CW842), N($AU$22:$AU$45&gt;$AM842))
) / 1000</f>
        <v>0</v>
      </c>
      <c r="CZ842" s="229">
        <f t="shared" si="884"/>
        <v>0</v>
      </c>
      <c r="DA842" s="246"/>
    </row>
    <row r="843" spans="1:105" s="75" customFormat="1" ht="14.25" customHeight="1" x14ac:dyDescent="0.2">
      <c r="A843" s="230" t="b">
        <f t="shared" si="851"/>
        <v>0</v>
      </c>
      <c r="B843" s="253">
        <v>822</v>
      </c>
      <c r="C843" s="266"/>
      <c r="D843" s="266"/>
      <c r="E843" s="254"/>
      <c r="F843" s="255" t="str">
        <f>IF(ISBLANK(E843), "", VLOOKUP(E843, Z!$A$2:$C$4127, 3, FALSE))</f>
        <v/>
      </c>
      <c r="G843" s="256"/>
      <c r="H843" s="256"/>
      <c r="I843" s="256"/>
      <c r="J843" s="257"/>
      <c r="K843" s="258"/>
      <c r="L843" s="267"/>
      <c r="M843" s="268"/>
      <c r="N843" s="259" t="str" cm="1">
        <f t="array" ref="N843">IF($L843&gt;0, INDEX(Clean,1+AK843,$D$1), "")</f>
        <v/>
      </c>
      <c r="O843" s="260"/>
      <c r="P843" s="260"/>
      <c r="Q843" s="261"/>
      <c r="R843" s="264">
        <f t="shared" si="860"/>
        <v>0</v>
      </c>
      <c r="S843" s="259" t="str" cm="1">
        <f t="array" ref="S843">IF($L843&gt;0, INDEX(Clean,1+AL843,$D$1), "")</f>
        <v/>
      </c>
      <c r="T843" s="260"/>
      <c r="U843" s="260"/>
      <c r="V843" s="261"/>
      <c r="W843" s="267"/>
      <c r="X843" s="267"/>
      <c r="Y843" s="257"/>
      <c r="Z843" s="264">
        <f t="shared" si="861"/>
        <v>0</v>
      </c>
      <c r="AA843" s="269"/>
      <c r="AB843" s="266"/>
      <c r="AC843" s="254"/>
      <c r="AD843" s="255" t="str">
        <f>IF(ISBLANK(AC843), "", VLOOKUP(AC843, Z!$A$2:$C$4127, 3, FALSE))</f>
        <v/>
      </c>
      <c r="AE843" s="270"/>
      <c r="AF843" s="265">
        <f t="shared" si="862"/>
        <v>0</v>
      </c>
      <c r="AG843" s="246"/>
      <c r="AH843" s="228">
        <f t="shared" si="885"/>
        <v>1</v>
      </c>
      <c r="AI843" s="228">
        <f t="shared" si="886"/>
        <v>1</v>
      </c>
      <c r="AJ843" s="228">
        <f t="shared" si="887"/>
        <v>0</v>
      </c>
      <c r="AK843" s="228">
        <v>0</v>
      </c>
      <c r="AL843" s="228">
        <v>0</v>
      </c>
      <c r="AM843" s="228">
        <f t="shared" si="863"/>
        <v>-100</v>
      </c>
      <c r="AN843" s="228" cm="1">
        <f t="array" ref="AN843">IF(ISBLANK(G843), 1, IFERROR(MATCH(G843, INDEX(Kat,,1), 0), IFERROR(MATCH(Kat, INDEX(Use,,2), 0), MATCH(Kat, INDEX(Use,,3), 0))))</f>
        <v>1</v>
      </c>
      <c r="AO843" s="246"/>
      <c r="AP843" s="228" cm="1">
        <f t="array" ref="AP843">IF(W843&gt;0, INDEX(Kat, AN843,4), 0)</f>
        <v>0</v>
      </c>
      <c r="AQ843" s="228">
        <f t="shared" si="888"/>
        <v>0</v>
      </c>
      <c r="AR843" s="228" cm="1">
        <f t="array" ref="AR843">IF(X843&gt;0, INDEX(Kat, $AN843, 4+AQ843), 0)</f>
        <v>0</v>
      </c>
      <c r="AS843" s="228" cm="1">
        <f t="array" ref="AS843">IF(X843&gt;0, INDEX(Kat, $AN843, 9+AQ843), 0)</f>
        <v>0</v>
      </c>
      <c r="AT843" s="246"/>
      <c r="AU843" s="262"/>
      <c r="AV843" s="262"/>
      <c r="AW843" s="263"/>
      <c r="AX843" s="263"/>
      <c r="AY843" s="263"/>
      <c r="AZ843" s="263"/>
      <c r="BA843" s="263"/>
      <c r="BB843" s="263"/>
      <c r="BC843" s="263"/>
      <c r="BD843" s="263"/>
      <c r="BE843" s="263"/>
      <c r="BF843" s="263"/>
      <c r="BG843" s="263"/>
      <c r="BH843" s="246"/>
      <c r="BI843" s="228" cm="1">
        <f t="array" ref="BI843">INDEX(Use, $AH843, 4)</f>
        <v>7</v>
      </c>
      <c r="BJ843" s="228">
        <f t="shared" si="864"/>
        <v>32</v>
      </c>
      <c r="BK843" s="228">
        <f t="shared" si="852"/>
        <v>13</v>
      </c>
      <c r="BL843" s="228">
        <f t="shared" si="853"/>
        <v>0</v>
      </c>
      <c r="BM843" s="233" cm="1">
        <f t="array" ref="BM843">L843/IF($M843&gt;0, INDEX($AY$22:$BE$76, $M843+20, $AH843), 1)</f>
        <v>0</v>
      </c>
      <c r="BN843" s="229">
        <f t="shared" si="865"/>
        <v>0</v>
      </c>
      <c r="BO843" s="228">
        <v>35</v>
      </c>
      <c r="BP843" s="229">
        <f t="shared" si="866"/>
        <v>48</v>
      </c>
      <c r="BQ843" s="234">
        <f t="shared" si="867"/>
        <v>3.0748170731707316</v>
      </c>
      <c r="BR843" s="234" cm="1">
        <f t="array" ref="BR843">$BM843 * SUMPRODUCT(INDEX($AV$76:$AX$81,,$AI843),INDEX($AY$76:$BE$81,,$AH843), N($AU$76:$AU$81&gt;$AM843)) / BQ843 / 1000</f>
        <v>0</v>
      </c>
      <c r="BS843" s="231">
        <f t="shared" si="854"/>
        <v>30</v>
      </c>
      <c r="BT843" s="229">
        <f t="shared" si="868"/>
        <v>43</v>
      </c>
      <c r="BU843" s="234">
        <f t="shared" si="869"/>
        <v>3.5018750000000001</v>
      </c>
      <c r="BV843" s="234" cm="1">
        <f t="array" ref="BV843">$BM843 * IF($AH843&lt;=2,
SUMPRODUCT(INDEX($AV$71:$AX$75,,$AI843), INDEX($AY$71:$BE$75,,$AH843), 1 / ($BF$71:$BF$75*BU843 + (1-$BF$71:$BF$75)*BQ843), N($AU$71:$AU$75&gt;$AM843)),
SUMPRODUCT(INDEX($AV$66:$AX$75,,$AI843), INDEX($AY$66:$BE$75,,$AH843), 1 / ($BG$66:$BG$75*BU843 + (1-$BG$66:$BG$75)*BQ843), N($AU$66:$AU$75&gt;$AM843))
) / 1000</f>
        <v>0</v>
      </c>
      <c r="BW843" s="231">
        <f t="shared" si="855"/>
        <v>25</v>
      </c>
      <c r="BX843" s="229">
        <f t="shared" si="870"/>
        <v>38</v>
      </c>
      <c r="BY843" s="234">
        <f t="shared" si="871"/>
        <v>4.0666935483870965</v>
      </c>
      <c r="BZ843" s="234" cm="1">
        <f t="array" ref="BZ843">$BM843 * IF($AH843&lt;=2,
SUMPRODUCT(INDEX($AV$66:$AX$70,,$AI843), INDEX($AY$66:$BE$70,,$AH843), 1 / ($BF$66:$BF$70*BY843 + (1-$BF$66:$BF$70)*BU843), N($AU$66:$AU$70&gt;$AM843)),
SUMPRODUCT(INDEX($AV$56:$AX$65,,$AI843), INDEX($AY$56:$BE$65,,$AH843), 1 / ($BG$56:$BG$65*BY843 + (1-$BG$56:$BG$65)*BU843), N($AU$56:$AU$65&gt;$AM843))
) / 1000</f>
        <v>0</v>
      </c>
      <c r="CA843" s="231">
        <f t="shared" si="856"/>
        <v>20</v>
      </c>
      <c r="CB843" s="229">
        <f t="shared" si="872"/>
        <v>33</v>
      </c>
      <c r="CC843" s="234">
        <f t="shared" si="873"/>
        <v>4.8487499999999999</v>
      </c>
      <c r="CD843" s="234" cm="1">
        <f t="array" ref="CD843">$BM843 * IF($AH843&lt;=2,
SUMPRODUCT(INDEX($AV$61:$AX$65,,$AI843), INDEX($AY$61:$BE$65,,$AH843), 1 / ($BF$61:$BF$65*CC843 + (1-$BF$61:$BF$65)*BY843), N($AU$61:$AU$65&gt;$AM843)),
SUMPRODUCT(INDEX($AV$46:$AX$55,,$AI843), INDEX($AY$46:$BE$55,,$AH843), 1 / ($BG$46:$BG$55*CC843 + (1-$BG$46:$BG$55)*BY843), N($AU$46:$AU$55&gt;$AM843))
) / 1000</f>
        <v>0</v>
      </c>
      <c r="CE843" s="234" cm="1">
        <f t="array" ref="CE843">$BM843 * IF($AH843&lt;=2,
SUMPRODUCT(INDEX($AV$22:$AX$60,,$AI843), INDEX($AY$22:$BE$60,,$AH843), 1 / ($BF$22:$BF$60*CC843), N($AU$22:$AU$60&gt;$AM843)),
SUMPRODUCT(INDEX($AV$22:$AX$45,,$AI843), INDEX($AY$22:$BE$45,,$AH843), 1 / ($BG$22:$BG$45*CC843), N($AU$22:$AU$45&gt;$AM843))
) / 1000</f>
        <v>0</v>
      </c>
      <c r="CF843" s="229">
        <f t="shared" si="874"/>
        <v>0</v>
      </c>
      <c r="CG843" s="246"/>
      <c r="CH843" s="229">
        <f t="shared" si="875"/>
        <v>0</v>
      </c>
      <c r="CI843" s="228">
        <v>35</v>
      </c>
      <c r="CJ843" s="229">
        <f t="shared" si="876"/>
        <v>48</v>
      </c>
      <c r="CK843" s="234">
        <f t="shared" si="877"/>
        <v>3.0748170731707316</v>
      </c>
      <c r="CL843" s="234" cm="1">
        <f t="array" ref="CL843">$BM843 * SUMPRODUCT(INDEX($AV$76:$AX$81,,$AI843),INDEX($AY$76:$BE$81,,$AH843), N($AU$76:$AU$81&gt;$AM843)) / CK843 / 1000</f>
        <v>0</v>
      </c>
      <c r="CM843" s="231">
        <f t="shared" si="857"/>
        <v>30</v>
      </c>
      <c r="CN843" s="229">
        <f t="shared" si="878"/>
        <v>43</v>
      </c>
      <c r="CO843" s="234">
        <f t="shared" si="879"/>
        <v>3.5018750000000001</v>
      </c>
      <c r="CP843" s="234" cm="1">
        <f t="array" ref="CP843">$BM843 * IF($AH843&lt;=2,
SUMPRODUCT(INDEX($AV$71:$AX$75,,$AI843), INDEX($AY$71:$BE$75,,$AH843), 1 / ($BF$71:$BF$75*CO843 + (1-$BF$71:$BF$75)*CK843), N($AU$71:$AU$75&gt;$AM843)),
SUMPRODUCT(INDEX($AV$66:$AX$75,,$AI843), INDEX($AY$66:$BE$75,,$AH843), 1 / ($BG$66:$BG$75*CO843 + (1-$BG$66:$BG$75)*CK843), N($AU$66:$AU$75&gt;$AM843))
) / 1000</f>
        <v>0</v>
      </c>
      <c r="CQ843" s="231">
        <f t="shared" si="858"/>
        <v>25</v>
      </c>
      <c r="CR843" s="229">
        <f t="shared" si="880"/>
        <v>38</v>
      </c>
      <c r="CS843" s="234">
        <f t="shared" si="881"/>
        <v>4.0666935483870965</v>
      </c>
      <c r="CT843" s="234" cm="1">
        <f t="array" ref="CT843">$BM843 * IF($AH843&lt;=2,
SUMPRODUCT(INDEX($AV$66:$AX$70,,$AI843), INDEX($AY$66:$BE$70,,$AH843), 1 / ($BF$66:$BF$70*CS843 + (1-$BF$66:$BF$70)*CO843), N($AU$66:$AU$70&gt;$AM843)),
SUMPRODUCT(INDEX($AV$56:$AX$65,,$AI843), INDEX($AY$56:$BE$65,,$AH843), 1 / ($BG$56:$BG$65*CS843 + (1-$BG$56:$BG$65)*CO843), N($AU$56:$AU$65&gt;$AM843))
) / 1000</f>
        <v>0</v>
      </c>
      <c r="CU843" s="231">
        <f t="shared" si="859"/>
        <v>20</v>
      </c>
      <c r="CV843" s="229">
        <f t="shared" si="882"/>
        <v>33</v>
      </c>
      <c r="CW843" s="234">
        <f t="shared" si="883"/>
        <v>4.8487499999999999</v>
      </c>
      <c r="CX843" s="234" cm="1">
        <f t="array" ref="CX843">$BM843 * IF($AH843&lt;=2,
SUMPRODUCT(INDEX($AV$61:$AX$65,,$AI843), INDEX($AY$61:$BE$65,,$AH843), 1 / ($BF$61:$BF$65*CW843 + (1-$BF$61:$BF$65)*CS843), N($AU$61:$AU$65&gt;$AM843)),
SUMPRODUCT(INDEX($AV$46:$AX$55,,$AI843), INDEX($AY$46:$BE$55,,$AH843), 1 / ($BG$46:$BG$55*CW843 + (1-$BG$46:$BG$55)*CS843), N($AU$46:$AU$55&gt;$AM843))
) / 1000</f>
        <v>0</v>
      </c>
      <c r="CY843" s="234" cm="1">
        <f t="array" ref="CY843">$BM843 * IF($AH843&lt;=2,
SUMPRODUCT(INDEX($AV$22:$AX$60,,$AI843), INDEX($AY$22:$BE$60,,$AH843), 1 / ($BF$22:$BF$60*CW843), N($AU$22:$AU$60&gt;$AM843)),
SUMPRODUCT(INDEX($AV$22:$AX$45,,$AI843), INDEX($AY$22:$BE$45,,$AH843), 1 / ($BG$22:$BG$45*CW843), N($AU$22:$AU$45&gt;$AM843))
) / 1000</f>
        <v>0</v>
      </c>
      <c r="CZ843" s="229">
        <f t="shared" si="884"/>
        <v>0</v>
      </c>
      <c r="DA843" s="246"/>
    </row>
    <row r="844" spans="1:105" s="75" customFormat="1" ht="14.25" customHeight="1" x14ac:dyDescent="0.2">
      <c r="A844" s="230" t="b">
        <f t="shared" si="851"/>
        <v>0</v>
      </c>
      <c r="B844" s="253">
        <v>823</v>
      </c>
      <c r="C844" s="266"/>
      <c r="D844" s="266"/>
      <c r="E844" s="254"/>
      <c r="F844" s="255" t="str">
        <f>IF(ISBLANK(E844), "", VLOOKUP(E844, Z!$A$2:$C$4127, 3, FALSE))</f>
        <v/>
      </c>
      <c r="G844" s="256"/>
      <c r="H844" s="256"/>
      <c r="I844" s="256"/>
      <c r="J844" s="257"/>
      <c r="K844" s="258"/>
      <c r="L844" s="267"/>
      <c r="M844" s="268"/>
      <c r="N844" s="259" t="str" cm="1">
        <f t="array" ref="N844">IF($L844&gt;0, INDEX(Clean,1+AK844,$D$1), "")</f>
        <v/>
      </c>
      <c r="O844" s="260"/>
      <c r="P844" s="260"/>
      <c r="Q844" s="261"/>
      <c r="R844" s="264">
        <f t="shared" si="860"/>
        <v>0</v>
      </c>
      <c r="S844" s="259" t="str" cm="1">
        <f t="array" ref="S844">IF($L844&gt;0, INDEX(Clean,1+AL844,$D$1), "")</f>
        <v/>
      </c>
      <c r="T844" s="260"/>
      <c r="U844" s="260"/>
      <c r="V844" s="261"/>
      <c r="W844" s="267"/>
      <c r="X844" s="267"/>
      <c r="Y844" s="257"/>
      <c r="Z844" s="264">
        <f t="shared" si="861"/>
        <v>0</v>
      </c>
      <c r="AA844" s="269"/>
      <c r="AB844" s="266"/>
      <c r="AC844" s="254"/>
      <c r="AD844" s="255" t="str">
        <f>IF(ISBLANK(AC844), "", VLOOKUP(AC844, Z!$A$2:$C$4127, 3, FALSE))</f>
        <v/>
      </c>
      <c r="AE844" s="270"/>
      <c r="AF844" s="265">
        <f t="shared" si="862"/>
        <v>0</v>
      </c>
      <c r="AG844" s="246"/>
      <c r="AH844" s="228">
        <f t="shared" si="885"/>
        <v>1</v>
      </c>
      <c r="AI844" s="228">
        <f t="shared" si="886"/>
        <v>1</v>
      </c>
      <c r="AJ844" s="228">
        <f t="shared" si="887"/>
        <v>0</v>
      </c>
      <c r="AK844" s="228">
        <v>0</v>
      </c>
      <c r="AL844" s="228">
        <v>0</v>
      </c>
      <c r="AM844" s="228">
        <f t="shared" si="863"/>
        <v>-100</v>
      </c>
      <c r="AN844" s="228" cm="1">
        <f t="array" ref="AN844">IF(ISBLANK(G844), 1, IFERROR(MATCH(G844, INDEX(Kat,,1), 0), IFERROR(MATCH(Kat, INDEX(Use,,2), 0), MATCH(Kat, INDEX(Use,,3), 0))))</f>
        <v>1</v>
      </c>
      <c r="AO844" s="246"/>
      <c r="AP844" s="228" cm="1">
        <f t="array" ref="AP844">IF(W844&gt;0, INDEX(Kat, AN844,4), 0)</f>
        <v>0</v>
      </c>
      <c r="AQ844" s="228">
        <f t="shared" si="888"/>
        <v>0</v>
      </c>
      <c r="AR844" s="228" cm="1">
        <f t="array" ref="AR844">IF(X844&gt;0, INDEX(Kat, $AN844, 4+AQ844), 0)</f>
        <v>0</v>
      </c>
      <c r="AS844" s="228" cm="1">
        <f t="array" ref="AS844">IF(X844&gt;0, INDEX(Kat, $AN844, 9+AQ844), 0)</f>
        <v>0</v>
      </c>
      <c r="AT844" s="246"/>
      <c r="AU844" s="262"/>
      <c r="AV844" s="262"/>
      <c r="AW844" s="263"/>
      <c r="AX844" s="263"/>
      <c r="AY844" s="263"/>
      <c r="AZ844" s="263"/>
      <c r="BA844" s="263"/>
      <c r="BB844" s="263"/>
      <c r="BC844" s="263"/>
      <c r="BD844" s="263"/>
      <c r="BE844" s="263"/>
      <c r="BF844" s="263"/>
      <c r="BG844" s="263"/>
      <c r="BH844" s="246"/>
      <c r="BI844" s="228" cm="1">
        <f t="array" ref="BI844">INDEX(Use, $AH844, 4)</f>
        <v>7</v>
      </c>
      <c r="BJ844" s="228">
        <f t="shared" si="864"/>
        <v>32</v>
      </c>
      <c r="BK844" s="228">
        <f t="shared" si="852"/>
        <v>13</v>
      </c>
      <c r="BL844" s="228">
        <f t="shared" si="853"/>
        <v>0</v>
      </c>
      <c r="BM844" s="233" cm="1">
        <f t="array" ref="BM844">L844/IF($M844&gt;0, INDEX($AY$22:$BE$76, $M844+20, $AH844), 1)</f>
        <v>0</v>
      </c>
      <c r="BN844" s="229">
        <f t="shared" si="865"/>
        <v>0</v>
      </c>
      <c r="BO844" s="228">
        <v>35</v>
      </c>
      <c r="BP844" s="229">
        <f t="shared" si="866"/>
        <v>48</v>
      </c>
      <c r="BQ844" s="234">
        <f t="shared" si="867"/>
        <v>3.0748170731707316</v>
      </c>
      <c r="BR844" s="234" cm="1">
        <f t="array" ref="BR844">$BM844 * SUMPRODUCT(INDEX($AV$76:$AX$81,,$AI844),INDEX($AY$76:$BE$81,,$AH844), N($AU$76:$AU$81&gt;$AM844)) / BQ844 / 1000</f>
        <v>0</v>
      </c>
      <c r="BS844" s="231">
        <f t="shared" si="854"/>
        <v>30</v>
      </c>
      <c r="BT844" s="229">
        <f t="shared" si="868"/>
        <v>43</v>
      </c>
      <c r="BU844" s="234">
        <f t="shared" si="869"/>
        <v>3.5018750000000001</v>
      </c>
      <c r="BV844" s="234" cm="1">
        <f t="array" ref="BV844">$BM844 * IF($AH844&lt;=2,
SUMPRODUCT(INDEX($AV$71:$AX$75,,$AI844), INDEX($AY$71:$BE$75,,$AH844), 1 / ($BF$71:$BF$75*BU844 + (1-$BF$71:$BF$75)*BQ844), N($AU$71:$AU$75&gt;$AM844)),
SUMPRODUCT(INDEX($AV$66:$AX$75,,$AI844), INDEX($AY$66:$BE$75,,$AH844), 1 / ($BG$66:$BG$75*BU844 + (1-$BG$66:$BG$75)*BQ844), N($AU$66:$AU$75&gt;$AM844))
) / 1000</f>
        <v>0</v>
      </c>
      <c r="BW844" s="231">
        <f t="shared" si="855"/>
        <v>25</v>
      </c>
      <c r="BX844" s="229">
        <f t="shared" si="870"/>
        <v>38</v>
      </c>
      <c r="BY844" s="234">
        <f t="shared" si="871"/>
        <v>4.0666935483870965</v>
      </c>
      <c r="BZ844" s="234" cm="1">
        <f t="array" ref="BZ844">$BM844 * IF($AH844&lt;=2,
SUMPRODUCT(INDEX($AV$66:$AX$70,,$AI844), INDEX($AY$66:$BE$70,,$AH844), 1 / ($BF$66:$BF$70*BY844 + (1-$BF$66:$BF$70)*BU844), N($AU$66:$AU$70&gt;$AM844)),
SUMPRODUCT(INDEX($AV$56:$AX$65,,$AI844), INDEX($AY$56:$BE$65,,$AH844), 1 / ($BG$56:$BG$65*BY844 + (1-$BG$56:$BG$65)*BU844), N($AU$56:$AU$65&gt;$AM844))
) / 1000</f>
        <v>0</v>
      </c>
      <c r="CA844" s="231">
        <f t="shared" si="856"/>
        <v>20</v>
      </c>
      <c r="CB844" s="229">
        <f t="shared" si="872"/>
        <v>33</v>
      </c>
      <c r="CC844" s="234">
        <f t="shared" si="873"/>
        <v>4.8487499999999999</v>
      </c>
      <c r="CD844" s="234" cm="1">
        <f t="array" ref="CD844">$BM844 * IF($AH844&lt;=2,
SUMPRODUCT(INDEX($AV$61:$AX$65,,$AI844), INDEX($AY$61:$BE$65,,$AH844), 1 / ($BF$61:$BF$65*CC844 + (1-$BF$61:$BF$65)*BY844), N($AU$61:$AU$65&gt;$AM844)),
SUMPRODUCT(INDEX($AV$46:$AX$55,,$AI844), INDEX($AY$46:$BE$55,,$AH844), 1 / ($BG$46:$BG$55*CC844 + (1-$BG$46:$BG$55)*BY844), N($AU$46:$AU$55&gt;$AM844))
) / 1000</f>
        <v>0</v>
      </c>
      <c r="CE844" s="234" cm="1">
        <f t="array" ref="CE844">$BM844 * IF($AH844&lt;=2,
SUMPRODUCT(INDEX($AV$22:$AX$60,,$AI844), INDEX($AY$22:$BE$60,,$AH844), 1 / ($BF$22:$BF$60*CC844), N($AU$22:$AU$60&gt;$AM844)),
SUMPRODUCT(INDEX($AV$22:$AX$45,,$AI844), INDEX($AY$22:$BE$45,,$AH844), 1 / ($BG$22:$BG$45*CC844), N($AU$22:$AU$45&gt;$AM844))
) / 1000</f>
        <v>0</v>
      </c>
      <c r="CF844" s="229">
        <f t="shared" si="874"/>
        <v>0</v>
      </c>
      <c r="CG844" s="246"/>
      <c r="CH844" s="229">
        <f t="shared" si="875"/>
        <v>0</v>
      </c>
      <c r="CI844" s="228">
        <v>35</v>
      </c>
      <c r="CJ844" s="229">
        <f t="shared" si="876"/>
        <v>48</v>
      </c>
      <c r="CK844" s="234">
        <f t="shared" si="877"/>
        <v>3.0748170731707316</v>
      </c>
      <c r="CL844" s="234" cm="1">
        <f t="array" ref="CL844">$BM844 * SUMPRODUCT(INDEX($AV$76:$AX$81,,$AI844),INDEX($AY$76:$BE$81,,$AH844), N($AU$76:$AU$81&gt;$AM844)) / CK844 / 1000</f>
        <v>0</v>
      </c>
      <c r="CM844" s="231">
        <f t="shared" si="857"/>
        <v>30</v>
      </c>
      <c r="CN844" s="229">
        <f t="shared" si="878"/>
        <v>43</v>
      </c>
      <c r="CO844" s="234">
        <f t="shared" si="879"/>
        <v>3.5018750000000001</v>
      </c>
      <c r="CP844" s="234" cm="1">
        <f t="array" ref="CP844">$BM844 * IF($AH844&lt;=2,
SUMPRODUCT(INDEX($AV$71:$AX$75,,$AI844), INDEX($AY$71:$BE$75,,$AH844), 1 / ($BF$71:$BF$75*CO844 + (1-$BF$71:$BF$75)*CK844), N($AU$71:$AU$75&gt;$AM844)),
SUMPRODUCT(INDEX($AV$66:$AX$75,,$AI844), INDEX($AY$66:$BE$75,,$AH844), 1 / ($BG$66:$BG$75*CO844 + (1-$BG$66:$BG$75)*CK844), N($AU$66:$AU$75&gt;$AM844))
) / 1000</f>
        <v>0</v>
      </c>
      <c r="CQ844" s="231">
        <f t="shared" si="858"/>
        <v>25</v>
      </c>
      <c r="CR844" s="229">
        <f t="shared" si="880"/>
        <v>38</v>
      </c>
      <c r="CS844" s="234">
        <f t="shared" si="881"/>
        <v>4.0666935483870965</v>
      </c>
      <c r="CT844" s="234" cm="1">
        <f t="array" ref="CT844">$BM844 * IF($AH844&lt;=2,
SUMPRODUCT(INDEX($AV$66:$AX$70,,$AI844), INDEX($AY$66:$BE$70,,$AH844), 1 / ($BF$66:$BF$70*CS844 + (1-$BF$66:$BF$70)*CO844), N($AU$66:$AU$70&gt;$AM844)),
SUMPRODUCT(INDEX($AV$56:$AX$65,,$AI844), INDEX($AY$56:$BE$65,,$AH844), 1 / ($BG$56:$BG$65*CS844 + (1-$BG$56:$BG$65)*CO844), N($AU$56:$AU$65&gt;$AM844))
) / 1000</f>
        <v>0</v>
      </c>
      <c r="CU844" s="231">
        <f t="shared" si="859"/>
        <v>20</v>
      </c>
      <c r="CV844" s="229">
        <f t="shared" si="882"/>
        <v>33</v>
      </c>
      <c r="CW844" s="234">
        <f t="shared" si="883"/>
        <v>4.8487499999999999</v>
      </c>
      <c r="CX844" s="234" cm="1">
        <f t="array" ref="CX844">$BM844 * IF($AH844&lt;=2,
SUMPRODUCT(INDEX($AV$61:$AX$65,,$AI844), INDEX($AY$61:$BE$65,,$AH844), 1 / ($BF$61:$BF$65*CW844 + (1-$BF$61:$BF$65)*CS844), N($AU$61:$AU$65&gt;$AM844)),
SUMPRODUCT(INDEX($AV$46:$AX$55,,$AI844), INDEX($AY$46:$BE$55,,$AH844), 1 / ($BG$46:$BG$55*CW844 + (1-$BG$46:$BG$55)*CS844), N($AU$46:$AU$55&gt;$AM844))
) / 1000</f>
        <v>0</v>
      </c>
      <c r="CY844" s="234" cm="1">
        <f t="array" ref="CY844">$BM844 * IF($AH844&lt;=2,
SUMPRODUCT(INDEX($AV$22:$AX$60,,$AI844), INDEX($AY$22:$BE$60,,$AH844), 1 / ($BF$22:$BF$60*CW844), N($AU$22:$AU$60&gt;$AM844)),
SUMPRODUCT(INDEX($AV$22:$AX$45,,$AI844), INDEX($AY$22:$BE$45,,$AH844), 1 / ($BG$22:$BG$45*CW844), N($AU$22:$AU$45&gt;$AM844))
) / 1000</f>
        <v>0</v>
      </c>
      <c r="CZ844" s="229">
        <f t="shared" si="884"/>
        <v>0</v>
      </c>
      <c r="DA844" s="246"/>
    </row>
    <row r="845" spans="1:105" s="75" customFormat="1" ht="14.25" customHeight="1" x14ac:dyDescent="0.2">
      <c r="A845" s="230" t="b">
        <f t="shared" si="851"/>
        <v>0</v>
      </c>
      <c r="B845" s="253">
        <v>824</v>
      </c>
      <c r="C845" s="266"/>
      <c r="D845" s="266"/>
      <c r="E845" s="254"/>
      <c r="F845" s="255" t="str">
        <f>IF(ISBLANK(E845), "", VLOOKUP(E845, Z!$A$2:$C$4127, 3, FALSE))</f>
        <v/>
      </c>
      <c r="G845" s="256"/>
      <c r="H845" s="256"/>
      <c r="I845" s="256"/>
      <c r="J845" s="257"/>
      <c r="K845" s="258"/>
      <c r="L845" s="267"/>
      <c r="M845" s="268"/>
      <c r="N845" s="259" t="str" cm="1">
        <f t="array" ref="N845">IF($L845&gt;0, INDEX(Clean,1+AK845,$D$1), "")</f>
        <v/>
      </c>
      <c r="O845" s="260"/>
      <c r="P845" s="260"/>
      <c r="Q845" s="261"/>
      <c r="R845" s="264">
        <f t="shared" si="860"/>
        <v>0</v>
      </c>
      <c r="S845" s="259" t="str" cm="1">
        <f t="array" ref="S845">IF($L845&gt;0, INDEX(Clean,1+AL845,$D$1), "")</f>
        <v/>
      </c>
      <c r="T845" s="260"/>
      <c r="U845" s="260"/>
      <c r="V845" s="261"/>
      <c r="W845" s="267"/>
      <c r="X845" s="267"/>
      <c r="Y845" s="257"/>
      <c r="Z845" s="264">
        <f t="shared" si="861"/>
        <v>0</v>
      </c>
      <c r="AA845" s="269"/>
      <c r="AB845" s="266"/>
      <c r="AC845" s="254"/>
      <c r="AD845" s="255" t="str">
        <f>IF(ISBLANK(AC845), "", VLOOKUP(AC845, Z!$A$2:$C$4127, 3, FALSE))</f>
        <v/>
      </c>
      <c r="AE845" s="270"/>
      <c r="AF845" s="265">
        <f t="shared" si="862"/>
        <v>0</v>
      </c>
      <c r="AG845" s="246"/>
      <c r="AH845" s="228">
        <f t="shared" si="885"/>
        <v>1</v>
      </c>
      <c r="AI845" s="228">
        <f t="shared" si="886"/>
        <v>1</v>
      </c>
      <c r="AJ845" s="228">
        <f t="shared" si="887"/>
        <v>0</v>
      </c>
      <c r="AK845" s="228">
        <v>0</v>
      </c>
      <c r="AL845" s="228">
        <v>0</v>
      </c>
      <c r="AM845" s="228">
        <f t="shared" si="863"/>
        <v>-100</v>
      </c>
      <c r="AN845" s="228" cm="1">
        <f t="array" ref="AN845">IF(ISBLANK(G845), 1, IFERROR(MATCH(G845, INDEX(Kat,,1), 0), IFERROR(MATCH(Kat, INDEX(Use,,2), 0), MATCH(Kat, INDEX(Use,,3), 0))))</f>
        <v>1</v>
      </c>
      <c r="AO845" s="246"/>
      <c r="AP845" s="228" cm="1">
        <f t="array" ref="AP845">IF(W845&gt;0, INDEX(Kat, AN845,4), 0)</f>
        <v>0</v>
      </c>
      <c r="AQ845" s="228">
        <f t="shared" si="888"/>
        <v>0</v>
      </c>
      <c r="AR845" s="228" cm="1">
        <f t="array" ref="AR845">IF(X845&gt;0, INDEX(Kat, $AN845, 4+AQ845), 0)</f>
        <v>0</v>
      </c>
      <c r="AS845" s="228" cm="1">
        <f t="array" ref="AS845">IF(X845&gt;0, INDEX(Kat, $AN845, 9+AQ845), 0)</f>
        <v>0</v>
      </c>
      <c r="AT845" s="246"/>
      <c r="AU845" s="262"/>
      <c r="AV845" s="262"/>
      <c r="AW845" s="263"/>
      <c r="AX845" s="263"/>
      <c r="AY845" s="263"/>
      <c r="AZ845" s="263"/>
      <c r="BA845" s="263"/>
      <c r="BB845" s="263"/>
      <c r="BC845" s="263"/>
      <c r="BD845" s="263"/>
      <c r="BE845" s="263"/>
      <c r="BF845" s="263"/>
      <c r="BG845" s="263"/>
      <c r="BH845" s="246"/>
      <c r="BI845" s="228" cm="1">
        <f t="array" ref="BI845">INDEX(Use, $AH845, 4)</f>
        <v>7</v>
      </c>
      <c r="BJ845" s="228">
        <f t="shared" si="864"/>
        <v>32</v>
      </c>
      <c r="BK845" s="228">
        <f t="shared" si="852"/>
        <v>13</v>
      </c>
      <c r="BL845" s="228">
        <f t="shared" si="853"/>
        <v>0</v>
      </c>
      <c r="BM845" s="233" cm="1">
        <f t="array" ref="BM845">L845/IF($M845&gt;0, INDEX($AY$22:$BE$76, $M845+20, $AH845), 1)</f>
        <v>0</v>
      </c>
      <c r="BN845" s="229">
        <f t="shared" si="865"/>
        <v>0</v>
      </c>
      <c r="BO845" s="228">
        <v>35</v>
      </c>
      <c r="BP845" s="229">
        <f t="shared" si="866"/>
        <v>48</v>
      </c>
      <c r="BQ845" s="234">
        <f t="shared" si="867"/>
        <v>3.0748170731707316</v>
      </c>
      <c r="BR845" s="234" cm="1">
        <f t="array" ref="BR845">$BM845 * SUMPRODUCT(INDEX($AV$76:$AX$81,,$AI845),INDEX($AY$76:$BE$81,,$AH845), N($AU$76:$AU$81&gt;$AM845)) / BQ845 / 1000</f>
        <v>0</v>
      </c>
      <c r="BS845" s="231">
        <f t="shared" si="854"/>
        <v>30</v>
      </c>
      <c r="BT845" s="229">
        <f t="shared" si="868"/>
        <v>43</v>
      </c>
      <c r="BU845" s="234">
        <f t="shared" si="869"/>
        <v>3.5018750000000001</v>
      </c>
      <c r="BV845" s="234" cm="1">
        <f t="array" ref="BV845">$BM845 * IF($AH845&lt;=2,
SUMPRODUCT(INDEX($AV$71:$AX$75,,$AI845), INDEX($AY$71:$BE$75,,$AH845), 1 / ($BF$71:$BF$75*BU845 + (1-$BF$71:$BF$75)*BQ845), N($AU$71:$AU$75&gt;$AM845)),
SUMPRODUCT(INDEX($AV$66:$AX$75,,$AI845), INDEX($AY$66:$BE$75,,$AH845), 1 / ($BG$66:$BG$75*BU845 + (1-$BG$66:$BG$75)*BQ845), N($AU$66:$AU$75&gt;$AM845))
) / 1000</f>
        <v>0</v>
      </c>
      <c r="BW845" s="231">
        <f t="shared" si="855"/>
        <v>25</v>
      </c>
      <c r="BX845" s="229">
        <f t="shared" si="870"/>
        <v>38</v>
      </c>
      <c r="BY845" s="234">
        <f t="shared" si="871"/>
        <v>4.0666935483870965</v>
      </c>
      <c r="BZ845" s="234" cm="1">
        <f t="array" ref="BZ845">$BM845 * IF($AH845&lt;=2,
SUMPRODUCT(INDEX($AV$66:$AX$70,,$AI845), INDEX($AY$66:$BE$70,,$AH845), 1 / ($BF$66:$BF$70*BY845 + (1-$BF$66:$BF$70)*BU845), N($AU$66:$AU$70&gt;$AM845)),
SUMPRODUCT(INDEX($AV$56:$AX$65,,$AI845), INDEX($AY$56:$BE$65,,$AH845), 1 / ($BG$56:$BG$65*BY845 + (1-$BG$56:$BG$65)*BU845), N($AU$56:$AU$65&gt;$AM845))
) / 1000</f>
        <v>0</v>
      </c>
      <c r="CA845" s="231">
        <f t="shared" si="856"/>
        <v>20</v>
      </c>
      <c r="CB845" s="229">
        <f t="shared" si="872"/>
        <v>33</v>
      </c>
      <c r="CC845" s="234">
        <f t="shared" si="873"/>
        <v>4.8487499999999999</v>
      </c>
      <c r="CD845" s="234" cm="1">
        <f t="array" ref="CD845">$BM845 * IF($AH845&lt;=2,
SUMPRODUCT(INDEX($AV$61:$AX$65,,$AI845), INDEX($AY$61:$BE$65,,$AH845), 1 / ($BF$61:$BF$65*CC845 + (1-$BF$61:$BF$65)*BY845), N($AU$61:$AU$65&gt;$AM845)),
SUMPRODUCT(INDEX($AV$46:$AX$55,,$AI845), INDEX($AY$46:$BE$55,,$AH845), 1 / ($BG$46:$BG$55*CC845 + (1-$BG$46:$BG$55)*BY845), N($AU$46:$AU$55&gt;$AM845))
) / 1000</f>
        <v>0</v>
      </c>
      <c r="CE845" s="234" cm="1">
        <f t="array" ref="CE845">$BM845 * IF($AH845&lt;=2,
SUMPRODUCT(INDEX($AV$22:$AX$60,,$AI845), INDEX($AY$22:$BE$60,,$AH845), 1 / ($BF$22:$BF$60*CC845), N($AU$22:$AU$60&gt;$AM845)),
SUMPRODUCT(INDEX($AV$22:$AX$45,,$AI845), INDEX($AY$22:$BE$45,,$AH845), 1 / ($BG$22:$BG$45*CC845), N($AU$22:$AU$45&gt;$AM845))
) / 1000</f>
        <v>0</v>
      </c>
      <c r="CF845" s="229">
        <f t="shared" si="874"/>
        <v>0</v>
      </c>
      <c r="CG845" s="246"/>
      <c r="CH845" s="229">
        <f t="shared" si="875"/>
        <v>0</v>
      </c>
      <c r="CI845" s="228">
        <v>35</v>
      </c>
      <c r="CJ845" s="229">
        <f t="shared" si="876"/>
        <v>48</v>
      </c>
      <c r="CK845" s="234">
        <f t="shared" si="877"/>
        <v>3.0748170731707316</v>
      </c>
      <c r="CL845" s="234" cm="1">
        <f t="array" ref="CL845">$BM845 * SUMPRODUCT(INDEX($AV$76:$AX$81,,$AI845),INDEX($AY$76:$BE$81,,$AH845), N($AU$76:$AU$81&gt;$AM845)) / CK845 / 1000</f>
        <v>0</v>
      </c>
      <c r="CM845" s="231">
        <f t="shared" si="857"/>
        <v>30</v>
      </c>
      <c r="CN845" s="229">
        <f t="shared" si="878"/>
        <v>43</v>
      </c>
      <c r="CO845" s="234">
        <f t="shared" si="879"/>
        <v>3.5018750000000001</v>
      </c>
      <c r="CP845" s="234" cm="1">
        <f t="array" ref="CP845">$BM845 * IF($AH845&lt;=2,
SUMPRODUCT(INDEX($AV$71:$AX$75,,$AI845), INDEX($AY$71:$BE$75,,$AH845), 1 / ($BF$71:$BF$75*CO845 + (1-$BF$71:$BF$75)*CK845), N($AU$71:$AU$75&gt;$AM845)),
SUMPRODUCT(INDEX($AV$66:$AX$75,,$AI845), INDEX($AY$66:$BE$75,,$AH845), 1 / ($BG$66:$BG$75*CO845 + (1-$BG$66:$BG$75)*CK845), N($AU$66:$AU$75&gt;$AM845))
) / 1000</f>
        <v>0</v>
      </c>
      <c r="CQ845" s="231">
        <f t="shared" si="858"/>
        <v>25</v>
      </c>
      <c r="CR845" s="229">
        <f t="shared" si="880"/>
        <v>38</v>
      </c>
      <c r="CS845" s="234">
        <f t="shared" si="881"/>
        <v>4.0666935483870965</v>
      </c>
      <c r="CT845" s="234" cm="1">
        <f t="array" ref="CT845">$BM845 * IF($AH845&lt;=2,
SUMPRODUCT(INDEX($AV$66:$AX$70,,$AI845), INDEX($AY$66:$BE$70,,$AH845), 1 / ($BF$66:$BF$70*CS845 + (1-$BF$66:$BF$70)*CO845), N($AU$66:$AU$70&gt;$AM845)),
SUMPRODUCT(INDEX($AV$56:$AX$65,,$AI845), INDEX($AY$56:$BE$65,,$AH845), 1 / ($BG$56:$BG$65*CS845 + (1-$BG$56:$BG$65)*CO845), N($AU$56:$AU$65&gt;$AM845))
) / 1000</f>
        <v>0</v>
      </c>
      <c r="CU845" s="231">
        <f t="shared" si="859"/>
        <v>20</v>
      </c>
      <c r="CV845" s="229">
        <f t="shared" si="882"/>
        <v>33</v>
      </c>
      <c r="CW845" s="234">
        <f t="shared" si="883"/>
        <v>4.8487499999999999</v>
      </c>
      <c r="CX845" s="234" cm="1">
        <f t="array" ref="CX845">$BM845 * IF($AH845&lt;=2,
SUMPRODUCT(INDEX($AV$61:$AX$65,,$AI845), INDEX($AY$61:$BE$65,,$AH845), 1 / ($BF$61:$BF$65*CW845 + (1-$BF$61:$BF$65)*CS845), N($AU$61:$AU$65&gt;$AM845)),
SUMPRODUCT(INDEX($AV$46:$AX$55,,$AI845), INDEX($AY$46:$BE$55,,$AH845), 1 / ($BG$46:$BG$55*CW845 + (1-$BG$46:$BG$55)*CS845), N($AU$46:$AU$55&gt;$AM845))
) / 1000</f>
        <v>0</v>
      </c>
      <c r="CY845" s="234" cm="1">
        <f t="array" ref="CY845">$BM845 * IF($AH845&lt;=2,
SUMPRODUCT(INDEX($AV$22:$AX$60,,$AI845), INDEX($AY$22:$BE$60,,$AH845), 1 / ($BF$22:$BF$60*CW845), N($AU$22:$AU$60&gt;$AM845)),
SUMPRODUCT(INDEX($AV$22:$AX$45,,$AI845), INDEX($AY$22:$BE$45,,$AH845), 1 / ($BG$22:$BG$45*CW845), N($AU$22:$AU$45&gt;$AM845))
) / 1000</f>
        <v>0</v>
      </c>
      <c r="CZ845" s="229">
        <f t="shared" si="884"/>
        <v>0</v>
      </c>
      <c r="DA845" s="246"/>
    </row>
    <row r="846" spans="1:105" s="75" customFormat="1" ht="14.25" customHeight="1" x14ac:dyDescent="0.2">
      <c r="A846" s="230" t="b">
        <f t="shared" si="851"/>
        <v>0</v>
      </c>
      <c r="B846" s="253">
        <v>825</v>
      </c>
      <c r="C846" s="266"/>
      <c r="D846" s="266"/>
      <c r="E846" s="254"/>
      <c r="F846" s="255" t="str">
        <f>IF(ISBLANK(E846), "", VLOOKUP(E846, Z!$A$2:$C$4127, 3, FALSE))</f>
        <v/>
      </c>
      <c r="G846" s="256"/>
      <c r="H846" s="256"/>
      <c r="I846" s="256"/>
      <c r="J846" s="257"/>
      <c r="K846" s="258"/>
      <c r="L846" s="267"/>
      <c r="M846" s="268"/>
      <c r="N846" s="259" t="str" cm="1">
        <f t="array" ref="N846">IF($L846&gt;0, INDEX(Clean,1+AK846,$D$1), "")</f>
        <v/>
      </c>
      <c r="O846" s="260"/>
      <c r="P846" s="260"/>
      <c r="Q846" s="261"/>
      <c r="R846" s="264">
        <f t="shared" si="860"/>
        <v>0</v>
      </c>
      <c r="S846" s="259" t="str" cm="1">
        <f t="array" ref="S846">IF($L846&gt;0, INDEX(Clean,1+AL846,$D$1), "")</f>
        <v/>
      </c>
      <c r="T846" s="260"/>
      <c r="U846" s="260"/>
      <c r="V846" s="261"/>
      <c r="W846" s="267"/>
      <c r="X846" s="267"/>
      <c r="Y846" s="257"/>
      <c r="Z846" s="264">
        <f t="shared" si="861"/>
        <v>0</v>
      </c>
      <c r="AA846" s="269"/>
      <c r="AB846" s="266"/>
      <c r="AC846" s="254"/>
      <c r="AD846" s="255" t="str">
        <f>IF(ISBLANK(AC846), "", VLOOKUP(AC846, Z!$A$2:$C$4127, 3, FALSE))</f>
        <v/>
      </c>
      <c r="AE846" s="270"/>
      <c r="AF846" s="265">
        <f t="shared" si="862"/>
        <v>0</v>
      </c>
      <c r="AG846" s="246"/>
      <c r="AH846" s="228">
        <f t="shared" si="885"/>
        <v>1</v>
      </c>
      <c r="AI846" s="228">
        <f t="shared" si="886"/>
        <v>1</v>
      </c>
      <c r="AJ846" s="228">
        <f t="shared" si="887"/>
        <v>0</v>
      </c>
      <c r="AK846" s="228">
        <v>0</v>
      </c>
      <c r="AL846" s="228">
        <v>0</v>
      </c>
      <c r="AM846" s="228">
        <f t="shared" si="863"/>
        <v>-100</v>
      </c>
      <c r="AN846" s="228" cm="1">
        <f t="array" ref="AN846">IF(ISBLANK(G846), 1, IFERROR(MATCH(G846, INDEX(Kat,,1), 0), IFERROR(MATCH(Kat, INDEX(Use,,2), 0), MATCH(Kat, INDEX(Use,,3), 0))))</f>
        <v>1</v>
      </c>
      <c r="AO846" s="246"/>
      <c r="AP846" s="228" cm="1">
        <f t="array" ref="AP846">IF(W846&gt;0, INDEX(Kat, AN846,4), 0)</f>
        <v>0</v>
      </c>
      <c r="AQ846" s="228">
        <f t="shared" si="888"/>
        <v>0</v>
      </c>
      <c r="AR846" s="228" cm="1">
        <f t="array" ref="AR846">IF(X846&gt;0, INDEX(Kat, $AN846, 4+AQ846), 0)</f>
        <v>0</v>
      </c>
      <c r="AS846" s="228" cm="1">
        <f t="array" ref="AS846">IF(X846&gt;0, INDEX(Kat, $AN846, 9+AQ846), 0)</f>
        <v>0</v>
      </c>
      <c r="AT846" s="246"/>
      <c r="AU846" s="262"/>
      <c r="AV846" s="262"/>
      <c r="AW846" s="263"/>
      <c r="AX846" s="263"/>
      <c r="AY846" s="263"/>
      <c r="AZ846" s="263"/>
      <c r="BA846" s="263"/>
      <c r="BB846" s="263"/>
      <c r="BC846" s="263"/>
      <c r="BD846" s="263"/>
      <c r="BE846" s="263"/>
      <c r="BF846" s="263"/>
      <c r="BG846" s="263"/>
      <c r="BH846" s="246"/>
      <c r="BI846" s="228" cm="1">
        <f t="array" ref="BI846">INDEX(Use, $AH846, 4)</f>
        <v>7</v>
      </c>
      <c r="BJ846" s="228">
        <f t="shared" si="864"/>
        <v>32</v>
      </c>
      <c r="BK846" s="228">
        <f t="shared" si="852"/>
        <v>13</v>
      </c>
      <c r="BL846" s="228">
        <f t="shared" si="853"/>
        <v>0</v>
      </c>
      <c r="BM846" s="233" cm="1">
        <f t="array" ref="BM846">L846/IF($M846&gt;0, INDEX($AY$22:$BE$76, $M846+20, $AH846), 1)</f>
        <v>0</v>
      </c>
      <c r="BN846" s="229">
        <f t="shared" si="865"/>
        <v>0</v>
      </c>
      <c r="BO846" s="228">
        <v>35</v>
      </c>
      <c r="BP846" s="229">
        <f t="shared" si="866"/>
        <v>48</v>
      </c>
      <c r="BQ846" s="234">
        <f t="shared" si="867"/>
        <v>3.0748170731707316</v>
      </c>
      <c r="BR846" s="234" cm="1">
        <f t="array" ref="BR846">$BM846 * SUMPRODUCT(INDEX($AV$76:$AX$81,,$AI846),INDEX($AY$76:$BE$81,,$AH846), N($AU$76:$AU$81&gt;$AM846)) / BQ846 / 1000</f>
        <v>0</v>
      </c>
      <c r="BS846" s="231">
        <f t="shared" si="854"/>
        <v>30</v>
      </c>
      <c r="BT846" s="229">
        <f t="shared" si="868"/>
        <v>43</v>
      </c>
      <c r="BU846" s="234">
        <f t="shared" si="869"/>
        <v>3.5018750000000001</v>
      </c>
      <c r="BV846" s="234" cm="1">
        <f t="array" ref="BV846">$BM846 * IF($AH846&lt;=2,
SUMPRODUCT(INDEX($AV$71:$AX$75,,$AI846), INDEX($AY$71:$BE$75,,$AH846), 1 / ($BF$71:$BF$75*BU846 + (1-$BF$71:$BF$75)*BQ846), N($AU$71:$AU$75&gt;$AM846)),
SUMPRODUCT(INDEX($AV$66:$AX$75,,$AI846), INDEX($AY$66:$BE$75,,$AH846), 1 / ($BG$66:$BG$75*BU846 + (1-$BG$66:$BG$75)*BQ846), N($AU$66:$AU$75&gt;$AM846))
) / 1000</f>
        <v>0</v>
      </c>
      <c r="BW846" s="231">
        <f t="shared" si="855"/>
        <v>25</v>
      </c>
      <c r="BX846" s="229">
        <f t="shared" si="870"/>
        <v>38</v>
      </c>
      <c r="BY846" s="234">
        <f t="shared" si="871"/>
        <v>4.0666935483870965</v>
      </c>
      <c r="BZ846" s="234" cm="1">
        <f t="array" ref="BZ846">$BM846 * IF($AH846&lt;=2,
SUMPRODUCT(INDEX($AV$66:$AX$70,,$AI846), INDEX($AY$66:$BE$70,,$AH846), 1 / ($BF$66:$BF$70*BY846 + (1-$BF$66:$BF$70)*BU846), N($AU$66:$AU$70&gt;$AM846)),
SUMPRODUCT(INDEX($AV$56:$AX$65,,$AI846), INDEX($AY$56:$BE$65,,$AH846), 1 / ($BG$56:$BG$65*BY846 + (1-$BG$56:$BG$65)*BU846), N($AU$56:$AU$65&gt;$AM846))
) / 1000</f>
        <v>0</v>
      </c>
      <c r="CA846" s="231">
        <f t="shared" si="856"/>
        <v>20</v>
      </c>
      <c r="CB846" s="229">
        <f t="shared" si="872"/>
        <v>33</v>
      </c>
      <c r="CC846" s="234">
        <f t="shared" si="873"/>
        <v>4.8487499999999999</v>
      </c>
      <c r="CD846" s="234" cm="1">
        <f t="array" ref="CD846">$BM846 * IF($AH846&lt;=2,
SUMPRODUCT(INDEX($AV$61:$AX$65,,$AI846), INDEX($AY$61:$BE$65,,$AH846), 1 / ($BF$61:$BF$65*CC846 + (1-$BF$61:$BF$65)*BY846), N($AU$61:$AU$65&gt;$AM846)),
SUMPRODUCT(INDEX($AV$46:$AX$55,,$AI846), INDEX($AY$46:$BE$55,,$AH846), 1 / ($BG$46:$BG$55*CC846 + (1-$BG$46:$BG$55)*BY846), N($AU$46:$AU$55&gt;$AM846))
) / 1000</f>
        <v>0</v>
      </c>
      <c r="CE846" s="234" cm="1">
        <f t="array" ref="CE846">$BM846 * IF($AH846&lt;=2,
SUMPRODUCT(INDEX($AV$22:$AX$60,,$AI846), INDEX($AY$22:$BE$60,,$AH846), 1 / ($BF$22:$BF$60*CC846), N($AU$22:$AU$60&gt;$AM846)),
SUMPRODUCT(INDEX($AV$22:$AX$45,,$AI846), INDEX($AY$22:$BE$45,,$AH846), 1 / ($BG$22:$BG$45*CC846), N($AU$22:$AU$45&gt;$AM846))
) / 1000</f>
        <v>0</v>
      </c>
      <c r="CF846" s="229">
        <f t="shared" si="874"/>
        <v>0</v>
      </c>
      <c r="CG846" s="246"/>
      <c r="CH846" s="229">
        <f t="shared" si="875"/>
        <v>0</v>
      </c>
      <c r="CI846" s="228">
        <v>35</v>
      </c>
      <c r="CJ846" s="229">
        <f t="shared" si="876"/>
        <v>48</v>
      </c>
      <c r="CK846" s="234">
        <f t="shared" si="877"/>
        <v>3.0748170731707316</v>
      </c>
      <c r="CL846" s="234" cm="1">
        <f t="array" ref="CL846">$BM846 * SUMPRODUCT(INDEX($AV$76:$AX$81,,$AI846),INDEX($AY$76:$BE$81,,$AH846), N($AU$76:$AU$81&gt;$AM846)) / CK846 / 1000</f>
        <v>0</v>
      </c>
      <c r="CM846" s="231">
        <f t="shared" si="857"/>
        <v>30</v>
      </c>
      <c r="CN846" s="229">
        <f t="shared" si="878"/>
        <v>43</v>
      </c>
      <c r="CO846" s="234">
        <f t="shared" si="879"/>
        <v>3.5018750000000001</v>
      </c>
      <c r="CP846" s="234" cm="1">
        <f t="array" ref="CP846">$BM846 * IF($AH846&lt;=2,
SUMPRODUCT(INDEX($AV$71:$AX$75,,$AI846), INDEX($AY$71:$BE$75,,$AH846), 1 / ($BF$71:$BF$75*CO846 + (1-$BF$71:$BF$75)*CK846), N($AU$71:$AU$75&gt;$AM846)),
SUMPRODUCT(INDEX($AV$66:$AX$75,,$AI846), INDEX($AY$66:$BE$75,,$AH846), 1 / ($BG$66:$BG$75*CO846 + (1-$BG$66:$BG$75)*CK846), N($AU$66:$AU$75&gt;$AM846))
) / 1000</f>
        <v>0</v>
      </c>
      <c r="CQ846" s="231">
        <f t="shared" si="858"/>
        <v>25</v>
      </c>
      <c r="CR846" s="229">
        <f t="shared" si="880"/>
        <v>38</v>
      </c>
      <c r="CS846" s="234">
        <f t="shared" si="881"/>
        <v>4.0666935483870965</v>
      </c>
      <c r="CT846" s="234" cm="1">
        <f t="array" ref="CT846">$BM846 * IF($AH846&lt;=2,
SUMPRODUCT(INDEX($AV$66:$AX$70,,$AI846), INDEX($AY$66:$BE$70,,$AH846), 1 / ($BF$66:$BF$70*CS846 + (1-$BF$66:$BF$70)*CO846), N($AU$66:$AU$70&gt;$AM846)),
SUMPRODUCT(INDEX($AV$56:$AX$65,,$AI846), INDEX($AY$56:$BE$65,,$AH846), 1 / ($BG$56:$BG$65*CS846 + (1-$BG$56:$BG$65)*CO846), N($AU$56:$AU$65&gt;$AM846))
) / 1000</f>
        <v>0</v>
      </c>
      <c r="CU846" s="231">
        <f t="shared" si="859"/>
        <v>20</v>
      </c>
      <c r="CV846" s="229">
        <f t="shared" si="882"/>
        <v>33</v>
      </c>
      <c r="CW846" s="234">
        <f t="shared" si="883"/>
        <v>4.8487499999999999</v>
      </c>
      <c r="CX846" s="234" cm="1">
        <f t="array" ref="CX846">$BM846 * IF($AH846&lt;=2,
SUMPRODUCT(INDEX($AV$61:$AX$65,,$AI846), INDEX($AY$61:$BE$65,,$AH846), 1 / ($BF$61:$BF$65*CW846 + (1-$BF$61:$BF$65)*CS846), N($AU$61:$AU$65&gt;$AM846)),
SUMPRODUCT(INDEX($AV$46:$AX$55,,$AI846), INDEX($AY$46:$BE$55,,$AH846), 1 / ($BG$46:$BG$55*CW846 + (1-$BG$46:$BG$55)*CS846), N($AU$46:$AU$55&gt;$AM846))
) / 1000</f>
        <v>0</v>
      </c>
      <c r="CY846" s="234" cm="1">
        <f t="array" ref="CY846">$BM846 * IF($AH846&lt;=2,
SUMPRODUCT(INDEX($AV$22:$AX$60,,$AI846), INDEX($AY$22:$BE$60,,$AH846), 1 / ($BF$22:$BF$60*CW846), N($AU$22:$AU$60&gt;$AM846)),
SUMPRODUCT(INDEX($AV$22:$AX$45,,$AI846), INDEX($AY$22:$BE$45,,$AH846), 1 / ($BG$22:$BG$45*CW846), N($AU$22:$AU$45&gt;$AM846))
) / 1000</f>
        <v>0</v>
      </c>
      <c r="CZ846" s="229">
        <f t="shared" si="884"/>
        <v>0</v>
      </c>
      <c r="DA846" s="246"/>
    </row>
    <row r="847" spans="1:105" s="75" customFormat="1" ht="14.25" customHeight="1" x14ac:dyDescent="0.2">
      <c r="A847" s="230" t="b">
        <f t="shared" si="851"/>
        <v>0</v>
      </c>
      <c r="B847" s="253">
        <v>826</v>
      </c>
      <c r="C847" s="266"/>
      <c r="D847" s="266"/>
      <c r="E847" s="254"/>
      <c r="F847" s="255" t="str">
        <f>IF(ISBLANK(E847), "", VLOOKUP(E847, Z!$A$2:$C$4127, 3, FALSE))</f>
        <v/>
      </c>
      <c r="G847" s="256"/>
      <c r="H847" s="256"/>
      <c r="I847" s="256"/>
      <c r="J847" s="257"/>
      <c r="K847" s="258"/>
      <c r="L847" s="267"/>
      <c r="M847" s="268"/>
      <c r="N847" s="259" t="str" cm="1">
        <f t="array" ref="N847">IF($L847&gt;0, INDEX(Clean,1+AK847,$D$1), "")</f>
        <v/>
      </c>
      <c r="O847" s="260"/>
      <c r="P847" s="260"/>
      <c r="Q847" s="261"/>
      <c r="R847" s="264">
        <f t="shared" si="860"/>
        <v>0</v>
      </c>
      <c r="S847" s="259" t="str" cm="1">
        <f t="array" ref="S847">IF($L847&gt;0, INDEX(Clean,1+AL847,$D$1), "")</f>
        <v/>
      </c>
      <c r="T847" s="260"/>
      <c r="U847" s="260"/>
      <c r="V847" s="261"/>
      <c r="W847" s="267"/>
      <c r="X847" s="267"/>
      <c r="Y847" s="257"/>
      <c r="Z847" s="264">
        <f t="shared" si="861"/>
        <v>0</v>
      </c>
      <c r="AA847" s="269"/>
      <c r="AB847" s="266"/>
      <c r="AC847" s="254"/>
      <c r="AD847" s="255" t="str">
        <f>IF(ISBLANK(AC847), "", VLOOKUP(AC847, Z!$A$2:$C$4127, 3, FALSE))</f>
        <v/>
      </c>
      <c r="AE847" s="270"/>
      <c r="AF847" s="265">
        <f t="shared" si="862"/>
        <v>0</v>
      </c>
      <c r="AG847" s="246"/>
      <c r="AH847" s="228">
        <f t="shared" si="885"/>
        <v>1</v>
      </c>
      <c r="AI847" s="228">
        <f t="shared" si="886"/>
        <v>1</v>
      </c>
      <c r="AJ847" s="228">
        <f t="shared" si="887"/>
        <v>0</v>
      </c>
      <c r="AK847" s="228">
        <v>0</v>
      </c>
      <c r="AL847" s="228">
        <v>0</v>
      </c>
      <c r="AM847" s="228">
        <f t="shared" si="863"/>
        <v>-100</v>
      </c>
      <c r="AN847" s="228" cm="1">
        <f t="array" ref="AN847">IF(ISBLANK(G847), 1, IFERROR(MATCH(G847, INDEX(Kat,,1), 0), IFERROR(MATCH(Kat, INDEX(Use,,2), 0), MATCH(Kat, INDEX(Use,,3), 0))))</f>
        <v>1</v>
      </c>
      <c r="AO847" s="246"/>
      <c r="AP847" s="228" cm="1">
        <f t="array" ref="AP847">IF(W847&gt;0, INDEX(Kat, AN847,4), 0)</f>
        <v>0</v>
      </c>
      <c r="AQ847" s="228">
        <f t="shared" si="888"/>
        <v>0</v>
      </c>
      <c r="AR847" s="228" cm="1">
        <f t="array" ref="AR847">IF(X847&gt;0, INDEX(Kat, $AN847, 4+AQ847), 0)</f>
        <v>0</v>
      </c>
      <c r="AS847" s="228" cm="1">
        <f t="array" ref="AS847">IF(X847&gt;0, INDEX(Kat, $AN847, 9+AQ847), 0)</f>
        <v>0</v>
      </c>
      <c r="AT847" s="246"/>
      <c r="AU847" s="262"/>
      <c r="AV847" s="262"/>
      <c r="AW847" s="263"/>
      <c r="AX847" s="263"/>
      <c r="AY847" s="263"/>
      <c r="AZ847" s="263"/>
      <c r="BA847" s="263"/>
      <c r="BB847" s="263"/>
      <c r="BC847" s="263"/>
      <c r="BD847" s="263"/>
      <c r="BE847" s="263"/>
      <c r="BF847" s="263"/>
      <c r="BG847" s="263"/>
      <c r="BH847" s="246"/>
      <c r="BI847" s="228" cm="1">
        <f t="array" ref="BI847">INDEX(Use, $AH847, 4)</f>
        <v>7</v>
      </c>
      <c r="BJ847" s="228">
        <f t="shared" si="864"/>
        <v>32</v>
      </c>
      <c r="BK847" s="228">
        <f t="shared" si="852"/>
        <v>13</v>
      </c>
      <c r="BL847" s="228">
        <f t="shared" si="853"/>
        <v>0</v>
      </c>
      <c r="BM847" s="233" cm="1">
        <f t="array" ref="BM847">L847/IF($M847&gt;0, INDEX($AY$22:$BE$76, $M847+20, $AH847), 1)</f>
        <v>0</v>
      </c>
      <c r="BN847" s="229">
        <f t="shared" si="865"/>
        <v>0</v>
      </c>
      <c r="BO847" s="228">
        <v>35</v>
      </c>
      <c r="BP847" s="229">
        <f t="shared" si="866"/>
        <v>48</v>
      </c>
      <c r="BQ847" s="234">
        <f t="shared" si="867"/>
        <v>3.0748170731707316</v>
      </c>
      <c r="BR847" s="234" cm="1">
        <f t="array" ref="BR847">$BM847 * SUMPRODUCT(INDEX($AV$76:$AX$81,,$AI847),INDEX($AY$76:$BE$81,,$AH847), N($AU$76:$AU$81&gt;$AM847)) / BQ847 / 1000</f>
        <v>0</v>
      </c>
      <c r="BS847" s="231">
        <f t="shared" si="854"/>
        <v>30</v>
      </c>
      <c r="BT847" s="229">
        <f t="shared" si="868"/>
        <v>43</v>
      </c>
      <c r="BU847" s="234">
        <f t="shared" si="869"/>
        <v>3.5018750000000001</v>
      </c>
      <c r="BV847" s="234" cm="1">
        <f t="array" ref="BV847">$BM847 * IF($AH847&lt;=2,
SUMPRODUCT(INDEX($AV$71:$AX$75,,$AI847), INDEX($AY$71:$BE$75,,$AH847), 1 / ($BF$71:$BF$75*BU847 + (1-$BF$71:$BF$75)*BQ847), N($AU$71:$AU$75&gt;$AM847)),
SUMPRODUCT(INDEX($AV$66:$AX$75,,$AI847), INDEX($AY$66:$BE$75,,$AH847), 1 / ($BG$66:$BG$75*BU847 + (1-$BG$66:$BG$75)*BQ847), N($AU$66:$AU$75&gt;$AM847))
) / 1000</f>
        <v>0</v>
      </c>
      <c r="BW847" s="231">
        <f t="shared" si="855"/>
        <v>25</v>
      </c>
      <c r="BX847" s="229">
        <f t="shared" si="870"/>
        <v>38</v>
      </c>
      <c r="BY847" s="234">
        <f t="shared" si="871"/>
        <v>4.0666935483870965</v>
      </c>
      <c r="BZ847" s="234" cm="1">
        <f t="array" ref="BZ847">$BM847 * IF($AH847&lt;=2,
SUMPRODUCT(INDEX($AV$66:$AX$70,,$AI847), INDEX($AY$66:$BE$70,,$AH847), 1 / ($BF$66:$BF$70*BY847 + (1-$BF$66:$BF$70)*BU847), N($AU$66:$AU$70&gt;$AM847)),
SUMPRODUCT(INDEX($AV$56:$AX$65,,$AI847), INDEX($AY$56:$BE$65,,$AH847), 1 / ($BG$56:$BG$65*BY847 + (1-$BG$56:$BG$65)*BU847), N($AU$56:$AU$65&gt;$AM847))
) / 1000</f>
        <v>0</v>
      </c>
      <c r="CA847" s="231">
        <f t="shared" si="856"/>
        <v>20</v>
      </c>
      <c r="CB847" s="229">
        <f t="shared" si="872"/>
        <v>33</v>
      </c>
      <c r="CC847" s="234">
        <f t="shared" si="873"/>
        <v>4.8487499999999999</v>
      </c>
      <c r="CD847" s="234" cm="1">
        <f t="array" ref="CD847">$BM847 * IF($AH847&lt;=2,
SUMPRODUCT(INDEX($AV$61:$AX$65,,$AI847), INDEX($AY$61:$BE$65,,$AH847), 1 / ($BF$61:$BF$65*CC847 + (1-$BF$61:$BF$65)*BY847), N($AU$61:$AU$65&gt;$AM847)),
SUMPRODUCT(INDEX($AV$46:$AX$55,,$AI847), INDEX($AY$46:$BE$55,,$AH847), 1 / ($BG$46:$BG$55*CC847 + (1-$BG$46:$BG$55)*BY847), N($AU$46:$AU$55&gt;$AM847))
) / 1000</f>
        <v>0</v>
      </c>
      <c r="CE847" s="234" cm="1">
        <f t="array" ref="CE847">$BM847 * IF($AH847&lt;=2,
SUMPRODUCT(INDEX($AV$22:$AX$60,,$AI847), INDEX($AY$22:$BE$60,,$AH847), 1 / ($BF$22:$BF$60*CC847), N($AU$22:$AU$60&gt;$AM847)),
SUMPRODUCT(INDEX($AV$22:$AX$45,,$AI847), INDEX($AY$22:$BE$45,,$AH847), 1 / ($BG$22:$BG$45*CC847), N($AU$22:$AU$45&gt;$AM847))
) / 1000</f>
        <v>0</v>
      </c>
      <c r="CF847" s="229">
        <f t="shared" si="874"/>
        <v>0</v>
      </c>
      <c r="CG847" s="246"/>
      <c r="CH847" s="229">
        <f t="shared" si="875"/>
        <v>0</v>
      </c>
      <c r="CI847" s="228">
        <v>35</v>
      </c>
      <c r="CJ847" s="229">
        <f t="shared" si="876"/>
        <v>48</v>
      </c>
      <c r="CK847" s="234">
        <f t="shared" si="877"/>
        <v>3.0748170731707316</v>
      </c>
      <c r="CL847" s="234" cm="1">
        <f t="array" ref="CL847">$BM847 * SUMPRODUCT(INDEX($AV$76:$AX$81,,$AI847),INDEX($AY$76:$BE$81,,$AH847), N($AU$76:$AU$81&gt;$AM847)) / CK847 / 1000</f>
        <v>0</v>
      </c>
      <c r="CM847" s="231">
        <f t="shared" si="857"/>
        <v>30</v>
      </c>
      <c r="CN847" s="229">
        <f t="shared" si="878"/>
        <v>43</v>
      </c>
      <c r="CO847" s="234">
        <f t="shared" si="879"/>
        <v>3.5018750000000001</v>
      </c>
      <c r="CP847" s="234" cm="1">
        <f t="array" ref="CP847">$BM847 * IF($AH847&lt;=2,
SUMPRODUCT(INDEX($AV$71:$AX$75,,$AI847), INDEX($AY$71:$BE$75,,$AH847), 1 / ($BF$71:$BF$75*CO847 + (1-$BF$71:$BF$75)*CK847), N($AU$71:$AU$75&gt;$AM847)),
SUMPRODUCT(INDEX($AV$66:$AX$75,,$AI847), INDEX($AY$66:$BE$75,,$AH847), 1 / ($BG$66:$BG$75*CO847 + (1-$BG$66:$BG$75)*CK847), N($AU$66:$AU$75&gt;$AM847))
) / 1000</f>
        <v>0</v>
      </c>
      <c r="CQ847" s="231">
        <f t="shared" si="858"/>
        <v>25</v>
      </c>
      <c r="CR847" s="229">
        <f t="shared" si="880"/>
        <v>38</v>
      </c>
      <c r="CS847" s="234">
        <f t="shared" si="881"/>
        <v>4.0666935483870965</v>
      </c>
      <c r="CT847" s="234" cm="1">
        <f t="array" ref="CT847">$BM847 * IF($AH847&lt;=2,
SUMPRODUCT(INDEX($AV$66:$AX$70,,$AI847), INDEX($AY$66:$BE$70,,$AH847), 1 / ($BF$66:$BF$70*CS847 + (1-$BF$66:$BF$70)*CO847), N($AU$66:$AU$70&gt;$AM847)),
SUMPRODUCT(INDEX($AV$56:$AX$65,,$AI847), INDEX($AY$56:$BE$65,,$AH847), 1 / ($BG$56:$BG$65*CS847 + (1-$BG$56:$BG$65)*CO847), N($AU$56:$AU$65&gt;$AM847))
) / 1000</f>
        <v>0</v>
      </c>
      <c r="CU847" s="231">
        <f t="shared" si="859"/>
        <v>20</v>
      </c>
      <c r="CV847" s="229">
        <f t="shared" si="882"/>
        <v>33</v>
      </c>
      <c r="CW847" s="234">
        <f t="shared" si="883"/>
        <v>4.8487499999999999</v>
      </c>
      <c r="CX847" s="234" cm="1">
        <f t="array" ref="CX847">$BM847 * IF($AH847&lt;=2,
SUMPRODUCT(INDEX($AV$61:$AX$65,,$AI847), INDEX($AY$61:$BE$65,,$AH847), 1 / ($BF$61:$BF$65*CW847 + (1-$BF$61:$BF$65)*CS847), N($AU$61:$AU$65&gt;$AM847)),
SUMPRODUCT(INDEX($AV$46:$AX$55,,$AI847), INDEX($AY$46:$BE$55,,$AH847), 1 / ($BG$46:$BG$55*CW847 + (1-$BG$46:$BG$55)*CS847), N($AU$46:$AU$55&gt;$AM847))
) / 1000</f>
        <v>0</v>
      </c>
      <c r="CY847" s="234" cm="1">
        <f t="array" ref="CY847">$BM847 * IF($AH847&lt;=2,
SUMPRODUCT(INDEX($AV$22:$AX$60,,$AI847), INDEX($AY$22:$BE$60,,$AH847), 1 / ($BF$22:$BF$60*CW847), N($AU$22:$AU$60&gt;$AM847)),
SUMPRODUCT(INDEX($AV$22:$AX$45,,$AI847), INDEX($AY$22:$BE$45,,$AH847), 1 / ($BG$22:$BG$45*CW847), N($AU$22:$AU$45&gt;$AM847))
) / 1000</f>
        <v>0</v>
      </c>
      <c r="CZ847" s="229">
        <f t="shared" si="884"/>
        <v>0</v>
      </c>
      <c r="DA847" s="246"/>
    </row>
    <row r="848" spans="1:105" s="75" customFormat="1" ht="14.25" customHeight="1" x14ac:dyDescent="0.2">
      <c r="A848" s="230" t="b">
        <f t="shared" si="851"/>
        <v>0</v>
      </c>
      <c r="B848" s="253">
        <v>827</v>
      </c>
      <c r="C848" s="266"/>
      <c r="D848" s="266"/>
      <c r="E848" s="254"/>
      <c r="F848" s="255" t="str">
        <f>IF(ISBLANK(E848), "", VLOOKUP(E848, Z!$A$2:$C$4127, 3, FALSE))</f>
        <v/>
      </c>
      <c r="G848" s="256"/>
      <c r="H848" s="256"/>
      <c r="I848" s="256"/>
      <c r="J848" s="257"/>
      <c r="K848" s="258"/>
      <c r="L848" s="267"/>
      <c r="M848" s="268"/>
      <c r="N848" s="259" t="str" cm="1">
        <f t="array" ref="N848">IF($L848&gt;0, INDEX(Clean,1+AK848,$D$1), "")</f>
        <v/>
      </c>
      <c r="O848" s="260"/>
      <c r="P848" s="260"/>
      <c r="Q848" s="261"/>
      <c r="R848" s="264">
        <f t="shared" si="860"/>
        <v>0</v>
      </c>
      <c r="S848" s="259" t="str" cm="1">
        <f t="array" ref="S848">IF($L848&gt;0, INDEX(Clean,1+AL848,$D$1), "")</f>
        <v/>
      </c>
      <c r="T848" s="260"/>
      <c r="U848" s="260"/>
      <c r="V848" s="261"/>
      <c r="W848" s="267"/>
      <c r="X848" s="267"/>
      <c r="Y848" s="257"/>
      <c r="Z848" s="264">
        <f t="shared" si="861"/>
        <v>0</v>
      </c>
      <c r="AA848" s="269"/>
      <c r="AB848" s="266"/>
      <c r="AC848" s="254"/>
      <c r="AD848" s="255" t="str">
        <f>IF(ISBLANK(AC848), "", VLOOKUP(AC848, Z!$A$2:$C$4127, 3, FALSE))</f>
        <v/>
      </c>
      <c r="AE848" s="270"/>
      <c r="AF848" s="265">
        <f t="shared" si="862"/>
        <v>0</v>
      </c>
      <c r="AG848" s="246"/>
      <c r="AH848" s="228">
        <f t="shared" si="885"/>
        <v>1</v>
      </c>
      <c r="AI848" s="228">
        <f t="shared" si="886"/>
        <v>1</v>
      </c>
      <c r="AJ848" s="228">
        <f t="shared" si="887"/>
        <v>0</v>
      </c>
      <c r="AK848" s="228">
        <v>0</v>
      </c>
      <c r="AL848" s="228">
        <v>0</v>
      </c>
      <c r="AM848" s="228">
        <f t="shared" si="863"/>
        <v>-100</v>
      </c>
      <c r="AN848" s="228" cm="1">
        <f t="array" ref="AN848">IF(ISBLANK(G848), 1, IFERROR(MATCH(G848, INDEX(Kat,,1), 0), IFERROR(MATCH(Kat, INDEX(Use,,2), 0), MATCH(Kat, INDEX(Use,,3), 0))))</f>
        <v>1</v>
      </c>
      <c r="AO848" s="246"/>
      <c r="AP848" s="228" cm="1">
        <f t="array" ref="AP848">IF(W848&gt;0, INDEX(Kat, AN848,4), 0)</f>
        <v>0</v>
      </c>
      <c r="AQ848" s="228">
        <f t="shared" si="888"/>
        <v>0</v>
      </c>
      <c r="AR848" s="228" cm="1">
        <f t="array" ref="AR848">IF(X848&gt;0, INDEX(Kat, $AN848, 4+AQ848), 0)</f>
        <v>0</v>
      </c>
      <c r="AS848" s="228" cm="1">
        <f t="array" ref="AS848">IF(X848&gt;0, INDEX(Kat, $AN848, 9+AQ848), 0)</f>
        <v>0</v>
      </c>
      <c r="AT848" s="246"/>
      <c r="AU848" s="262"/>
      <c r="AV848" s="262"/>
      <c r="AW848" s="263"/>
      <c r="AX848" s="263"/>
      <c r="AY848" s="263"/>
      <c r="AZ848" s="263"/>
      <c r="BA848" s="263"/>
      <c r="BB848" s="263"/>
      <c r="BC848" s="263"/>
      <c r="BD848" s="263"/>
      <c r="BE848" s="263"/>
      <c r="BF848" s="263"/>
      <c r="BG848" s="263"/>
      <c r="BH848" s="246"/>
      <c r="BI848" s="228" cm="1">
        <f t="array" ref="BI848">INDEX(Use, $AH848, 4)</f>
        <v>7</v>
      </c>
      <c r="BJ848" s="228">
        <f t="shared" si="864"/>
        <v>32</v>
      </c>
      <c r="BK848" s="228">
        <f t="shared" si="852"/>
        <v>13</v>
      </c>
      <c r="BL848" s="228">
        <f t="shared" si="853"/>
        <v>0</v>
      </c>
      <c r="BM848" s="233" cm="1">
        <f t="array" ref="BM848">L848/IF($M848&gt;0, INDEX($AY$22:$BE$76, $M848+20, $AH848), 1)</f>
        <v>0</v>
      </c>
      <c r="BN848" s="229">
        <f t="shared" si="865"/>
        <v>0</v>
      </c>
      <c r="BO848" s="228">
        <v>35</v>
      </c>
      <c r="BP848" s="229">
        <f t="shared" si="866"/>
        <v>48</v>
      </c>
      <c r="BQ848" s="234">
        <f t="shared" si="867"/>
        <v>3.0748170731707316</v>
      </c>
      <c r="BR848" s="234" cm="1">
        <f t="array" ref="BR848">$BM848 * SUMPRODUCT(INDEX($AV$76:$AX$81,,$AI848),INDEX($AY$76:$BE$81,,$AH848), N($AU$76:$AU$81&gt;$AM848)) / BQ848 / 1000</f>
        <v>0</v>
      </c>
      <c r="BS848" s="231">
        <f t="shared" si="854"/>
        <v>30</v>
      </c>
      <c r="BT848" s="229">
        <f t="shared" si="868"/>
        <v>43</v>
      </c>
      <c r="BU848" s="234">
        <f t="shared" si="869"/>
        <v>3.5018750000000001</v>
      </c>
      <c r="BV848" s="234" cm="1">
        <f t="array" ref="BV848">$BM848 * IF($AH848&lt;=2,
SUMPRODUCT(INDEX($AV$71:$AX$75,,$AI848), INDEX($AY$71:$BE$75,,$AH848), 1 / ($BF$71:$BF$75*BU848 + (1-$BF$71:$BF$75)*BQ848), N($AU$71:$AU$75&gt;$AM848)),
SUMPRODUCT(INDEX($AV$66:$AX$75,,$AI848), INDEX($AY$66:$BE$75,,$AH848), 1 / ($BG$66:$BG$75*BU848 + (1-$BG$66:$BG$75)*BQ848), N($AU$66:$AU$75&gt;$AM848))
) / 1000</f>
        <v>0</v>
      </c>
      <c r="BW848" s="231">
        <f t="shared" si="855"/>
        <v>25</v>
      </c>
      <c r="BX848" s="229">
        <f t="shared" si="870"/>
        <v>38</v>
      </c>
      <c r="BY848" s="234">
        <f t="shared" si="871"/>
        <v>4.0666935483870965</v>
      </c>
      <c r="BZ848" s="234" cm="1">
        <f t="array" ref="BZ848">$BM848 * IF($AH848&lt;=2,
SUMPRODUCT(INDEX($AV$66:$AX$70,,$AI848), INDEX($AY$66:$BE$70,,$AH848), 1 / ($BF$66:$BF$70*BY848 + (1-$BF$66:$BF$70)*BU848), N($AU$66:$AU$70&gt;$AM848)),
SUMPRODUCT(INDEX($AV$56:$AX$65,,$AI848), INDEX($AY$56:$BE$65,,$AH848), 1 / ($BG$56:$BG$65*BY848 + (1-$BG$56:$BG$65)*BU848), N($AU$56:$AU$65&gt;$AM848))
) / 1000</f>
        <v>0</v>
      </c>
      <c r="CA848" s="231">
        <f t="shared" si="856"/>
        <v>20</v>
      </c>
      <c r="CB848" s="229">
        <f t="shared" si="872"/>
        <v>33</v>
      </c>
      <c r="CC848" s="234">
        <f t="shared" si="873"/>
        <v>4.8487499999999999</v>
      </c>
      <c r="CD848" s="234" cm="1">
        <f t="array" ref="CD848">$BM848 * IF($AH848&lt;=2,
SUMPRODUCT(INDEX($AV$61:$AX$65,,$AI848), INDEX($AY$61:$BE$65,,$AH848), 1 / ($BF$61:$BF$65*CC848 + (1-$BF$61:$BF$65)*BY848), N($AU$61:$AU$65&gt;$AM848)),
SUMPRODUCT(INDEX($AV$46:$AX$55,,$AI848), INDEX($AY$46:$BE$55,,$AH848), 1 / ($BG$46:$BG$55*CC848 + (1-$BG$46:$BG$55)*BY848), N($AU$46:$AU$55&gt;$AM848))
) / 1000</f>
        <v>0</v>
      </c>
      <c r="CE848" s="234" cm="1">
        <f t="array" ref="CE848">$BM848 * IF($AH848&lt;=2,
SUMPRODUCT(INDEX($AV$22:$AX$60,,$AI848), INDEX($AY$22:$BE$60,,$AH848), 1 / ($BF$22:$BF$60*CC848), N($AU$22:$AU$60&gt;$AM848)),
SUMPRODUCT(INDEX($AV$22:$AX$45,,$AI848), INDEX($AY$22:$BE$45,,$AH848), 1 / ($BG$22:$BG$45*CC848), N($AU$22:$AU$45&gt;$AM848))
) / 1000</f>
        <v>0</v>
      </c>
      <c r="CF848" s="229">
        <f t="shared" si="874"/>
        <v>0</v>
      </c>
      <c r="CG848" s="246"/>
      <c r="CH848" s="229">
        <f t="shared" si="875"/>
        <v>0</v>
      </c>
      <c r="CI848" s="228">
        <v>35</v>
      </c>
      <c r="CJ848" s="229">
        <f t="shared" si="876"/>
        <v>48</v>
      </c>
      <c r="CK848" s="234">
        <f t="shared" si="877"/>
        <v>3.0748170731707316</v>
      </c>
      <c r="CL848" s="234" cm="1">
        <f t="array" ref="CL848">$BM848 * SUMPRODUCT(INDEX($AV$76:$AX$81,,$AI848),INDEX($AY$76:$BE$81,,$AH848), N($AU$76:$AU$81&gt;$AM848)) / CK848 / 1000</f>
        <v>0</v>
      </c>
      <c r="CM848" s="231">
        <f t="shared" si="857"/>
        <v>30</v>
      </c>
      <c r="CN848" s="229">
        <f t="shared" si="878"/>
        <v>43</v>
      </c>
      <c r="CO848" s="234">
        <f t="shared" si="879"/>
        <v>3.5018750000000001</v>
      </c>
      <c r="CP848" s="234" cm="1">
        <f t="array" ref="CP848">$BM848 * IF($AH848&lt;=2,
SUMPRODUCT(INDEX($AV$71:$AX$75,,$AI848), INDEX($AY$71:$BE$75,,$AH848), 1 / ($BF$71:$BF$75*CO848 + (1-$BF$71:$BF$75)*CK848), N($AU$71:$AU$75&gt;$AM848)),
SUMPRODUCT(INDEX($AV$66:$AX$75,,$AI848), INDEX($AY$66:$BE$75,,$AH848), 1 / ($BG$66:$BG$75*CO848 + (1-$BG$66:$BG$75)*CK848), N($AU$66:$AU$75&gt;$AM848))
) / 1000</f>
        <v>0</v>
      </c>
      <c r="CQ848" s="231">
        <f t="shared" si="858"/>
        <v>25</v>
      </c>
      <c r="CR848" s="229">
        <f t="shared" si="880"/>
        <v>38</v>
      </c>
      <c r="CS848" s="234">
        <f t="shared" si="881"/>
        <v>4.0666935483870965</v>
      </c>
      <c r="CT848" s="234" cm="1">
        <f t="array" ref="CT848">$BM848 * IF($AH848&lt;=2,
SUMPRODUCT(INDEX($AV$66:$AX$70,,$AI848), INDEX($AY$66:$BE$70,,$AH848), 1 / ($BF$66:$BF$70*CS848 + (1-$BF$66:$BF$70)*CO848), N($AU$66:$AU$70&gt;$AM848)),
SUMPRODUCT(INDEX($AV$56:$AX$65,,$AI848), INDEX($AY$56:$BE$65,,$AH848), 1 / ($BG$56:$BG$65*CS848 + (1-$BG$56:$BG$65)*CO848), N($AU$56:$AU$65&gt;$AM848))
) / 1000</f>
        <v>0</v>
      </c>
      <c r="CU848" s="231">
        <f t="shared" si="859"/>
        <v>20</v>
      </c>
      <c r="CV848" s="229">
        <f t="shared" si="882"/>
        <v>33</v>
      </c>
      <c r="CW848" s="234">
        <f t="shared" si="883"/>
        <v>4.8487499999999999</v>
      </c>
      <c r="CX848" s="234" cm="1">
        <f t="array" ref="CX848">$BM848 * IF($AH848&lt;=2,
SUMPRODUCT(INDEX($AV$61:$AX$65,,$AI848), INDEX($AY$61:$BE$65,,$AH848), 1 / ($BF$61:$BF$65*CW848 + (1-$BF$61:$BF$65)*CS848), N($AU$61:$AU$65&gt;$AM848)),
SUMPRODUCT(INDEX($AV$46:$AX$55,,$AI848), INDEX($AY$46:$BE$55,,$AH848), 1 / ($BG$46:$BG$55*CW848 + (1-$BG$46:$BG$55)*CS848), N($AU$46:$AU$55&gt;$AM848))
) / 1000</f>
        <v>0</v>
      </c>
      <c r="CY848" s="234" cm="1">
        <f t="array" ref="CY848">$BM848 * IF($AH848&lt;=2,
SUMPRODUCT(INDEX($AV$22:$AX$60,,$AI848), INDEX($AY$22:$BE$60,,$AH848), 1 / ($BF$22:$BF$60*CW848), N($AU$22:$AU$60&gt;$AM848)),
SUMPRODUCT(INDEX($AV$22:$AX$45,,$AI848), INDEX($AY$22:$BE$45,,$AH848), 1 / ($BG$22:$BG$45*CW848), N($AU$22:$AU$45&gt;$AM848))
) / 1000</f>
        <v>0</v>
      </c>
      <c r="CZ848" s="229">
        <f t="shared" si="884"/>
        <v>0</v>
      </c>
      <c r="DA848" s="246"/>
    </row>
    <row r="849" spans="1:105" s="75" customFormat="1" ht="14.25" customHeight="1" x14ac:dyDescent="0.2">
      <c r="A849" s="230" t="b">
        <f t="shared" si="851"/>
        <v>0</v>
      </c>
      <c r="B849" s="253">
        <v>828</v>
      </c>
      <c r="C849" s="266"/>
      <c r="D849" s="266"/>
      <c r="E849" s="254"/>
      <c r="F849" s="255" t="str">
        <f>IF(ISBLANK(E849), "", VLOOKUP(E849, Z!$A$2:$C$4127, 3, FALSE))</f>
        <v/>
      </c>
      <c r="G849" s="256"/>
      <c r="H849" s="256"/>
      <c r="I849" s="256"/>
      <c r="J849" s="257"/>
      <c r="K849" s="258"/>
      <c r="L849" s="267"/>
      <c r="M849" s="268"/>
      <c r="N849" s="259" t="str" cm="1">
        <f t="array" ref="N849">IF($L849&gt;0, INDEX(Clean,1+AK849,$D$1), "")</f>
        <v/>
      </c>
      <c r="O849" s="260"/>
      <c r="P849" s="260"/>
      <c r="Q849" s="261"/>
      <c r="R849" s="264">
        <f t="shared" si="860"/>
        <v>0</v>
      </c>
      <c r="S849" s="259" t="str" cm="1">
        <f t="array" ref="S849">IF($L849&gt;0, INDEX(Clean,1+AL849,$D$1), "")</f>
        <v/>
      </c>
      <c r="T849" s="260"/>
      <c r="U849" s="260"/>
      <c r="V849" s="261"/>
      <c r="W849" s="267"/>
      <c r="X849" s="267"/>
      <c r="Y849" s="257"/>
      <c r="Z849" s="264">
        <f t="shared" si="861"/>
        <v>0</v>
      </c>
      <c r="AA849" s="269"/>
      <c r="AB849" s="266"/>
      <c r="AC849" s="254"/>
      <c r="AD849" s="255" t="str">
        <f>IF(ISBLANK(AC849), "", VLOOKUP(AC849, Z!$A$2:$C$4127, 3, FALSE))</f>
        <v/>
      </c>
      <c r="AE849" s="270"/>
      <c r="AF849" s="265">
        <f t="shared" si="862"/>
        <v>0</v>
      </c>
      <c r="AG849" s="246"/>
      <c r="AH849" s="228">
        <f t="shared" si="885"/>
        <v>1</v>
      </c>
      <c r="AI849" s="228">
        <f t="shared" si="886"/>
        <v>1</v>
      </c>
      <c r="AJ849" s="228">
        <f t="shared" si="887"/>
        <v>0</v>
      </c>
      <c r="AK849" s="228">
        <v>0</v>
      </c>
      <c r="AL849" s="228">
        <v>0</v>
      </c>
      <c r="AM849" s="228">
        <f t="shared" si="863"/>
        <v>-100</v>
      </c>
      <c r="AN849" s="228" cm="1">
        <f t="array" ref="AN849">IF(ISBLANK(G849), 1, IFERROR(MATCH(G849, INDEX(Kat,,1), 0), IFERROR(MATCH(Kat, INDEX(Use,,2), 0), MATCH(Kat, INDEX(Use,,3), 0))))</f>
        <v>1</v>
      </c>
      <c r="AO849" s="246"/>
      <c r="AP849" s="228" cm="1">
        <f t="array" ref="AP849">IF(W849&gt;0, INDEX(Kat, AN849,4), 0)</f>
        <v>0</v>
      </c>
      <c r="AQ849" s="228">
        <f t="shared" si="888"/>
        <v>0</v>
      </c>
      <c r="AR849" s="228" cm="1">
        <f t="array" ref="AR849">IF(X849&gt;0, INDEX(Kat, $AN849, 4+AQ849), 0)</f>
        <v>0</v>
      </c>
      <c r="AS849" s="228" cm="1">
        <f t="array" ref="AS849">IF(X849&gt;0, INDEX(Kat, $AN849, 9+AQ849), 0)</f>
        <v>0</v>
      </c>
      <c r="AT849" s="246"/>
      <c r="AU849" s="262"/>
      <c r="AV849" s="262"/>
      <c r="AW849" s="263"/>
      <c r="AX849" s="263"/>
      <c r="AY849" s="263"/>
      <c r="AZ849" s="263"/>
      <c r="BA849" s="263"/>
      <c r="BB849" s="263"/>
      <c r="BC849" s="263"/>
      <c r="BD849" s="263"/>
      <c r="BE849" s="263"/>
      <c r="BF849" s="263"/>
      <c r="BG849" s="263"/>
      <c r="BH849" s="246"/>
      <c r="BI849" s="228" cm="1">
        <f t="array" ref="BI849">INDEX(Use, $AH849, 4)</f>
        <v>7</v>
      </c>
      <c r="BJ849" s="228">
        <f t="shared" si="864"/>
        <v>32</v>
      </c>
      <c r="BK849" s="228">
        <f t="shared" si="852"/>
        <v>13</v>
      </c>
      <c r="BL849" s="228">
        <f t="shared" si="853"/>
        <v>0</v>
      </c>
      <c r="BM849" s="233" cm="1">
        <f t="array" ref="BM849">L849/IF($M849&gt;0, INDEX($AY$22:$BE$76, $M849+20, $AH849), 1)</f>
        <v>0</v>
      </c>
      <c r="BN849" s="229">
        <f t="shared" si="865"/>
        <v>0</v>
      </c>
      <c r="BO849" s="228">
        <v>35</v>
      </c>
      <c r="BP849" s="229">
        <f t="shared" si="866"/>
        <v>48</v>
      </c>
      <c r="BQ849" s="234">
        <f t="shared" si="867"/>
        <v>3.0748170731707316</v>
      </c>
      <c r="BR849" s="234" cm="1">
        <f t="array" ref="BR849">$BM849 * SUMPRODUCT(INDEX($AV$76:$AX$81,,$AI849),INDEX($AY$76:$BE$81,,$AH849), N($AU$76:$AU$81&gt;$AM849)) / BQ849 / 1000</f>
        <v>0</v>
      </c>
      <c r="BS849" s="231">
        <f t="shared" si="854"/>
        <v>30</v>
      </c>
      <c r="BT849" s="229">
        <f t="shared" si="868"/>
        <v>43</v>
      </c>
      <c r="BU849" s="234">
        <f t="shared" si="869"/>
        <v>3.5018750000000001</v>
      </c>
      <c r="BV849" s="234" cm="1">
        <f t="array" ref="BV849">$BM849 * IF($AH849&lt;=2,
SUMPRODUCT(INDEX($AV$71:$AX$75,,$AI849), INDEX($AY$71:$BE$75,,$AH849), 1 / ($BF$71:$BF$75*BU849 + (1-$BF$71:$BF$75)*BQ849), N($AU$71:$AU$75&gt;$AM849)),
SUMPRODUCT(INDEX($AV$66:$AX$75,,$AI849), INDEX($AY$66:$BE$75,,$AH849), 1 / ($BG$66:$BG$75*BU849 + (1-$BG$66:$BG$75)*BQ849), N($AU$66:$AU$75&gt;$AM849))
) / 1000</f>
        <v>0</v>
      </c>
      <c r="BW849" s="231">
        <f t="shared" si="855"/>
        <v>25</v>
      </c>
      <c r="BX849" s="229">
        <f t="shared" si="870"/>
        <v>38</v>
      </c>
      <c r="BY849" s="234">
        <f t="shared" si="871"/>
        <v>4.0666935483870965</v>
      </c>
      <c r="BZ849" s="234" cm="1">
        <f t="array" ref="BZ849">$BM849 * IF($AH849&lt;=2,
SUMPRODUCT(INDEX($AV$66:$AX$70,,$AI849), INDEX($AY$66:$BE$70,,$AH849), 1 / ($BF$66:$BF$70*BY849 + (1-$BF$66:$BF$70)*BU849), N($AU$66:$AU$70&gt;$AM849)),
SUMPRODUCT(INDEX($AV$56:$AX$65,,$AI849), INDEX($AY$56:$BE$65,,$AH849), 1 / ($BG$56:$BG$65*BY849 + (1-$BG$56:$BG$65)*BU849), N($AU$56:$AU$65&gt;$AM849))
) / 1000</f>
        <v>0</v>
      </c>
      <c r="CA849" s="231">
        <f t="shared" si="856"/>
        <v>20</v>
      </c>
      <c r="CB849" s="229">
        <f t="shared" si="872"/>
        <v>33</v>
      </c>
      <c r="CC849" s="234">
        <f t="shared" si="873"/>
        <v>4.8487499999999999</v>
      </c>
      <c r="CD849" s="234" cm="1">
        <f t="array" ref="CD849">$BM849 * IF($AH849&lt;=2,
SUMPRODUCT(INDEX($AV$61:$AX$65,,$AI849), INDEX($AY$61:$BE$65,,$AH849), 1 / ($BF$61:$BF$65*CC849 + (1-$BF$61:$BF$65)*BY849), N($AU$61:$AU$65&gt;$AM849)),
SUMPRODUCT(INDEX($AV$46:$AX$55,,$AI849), INDEX($AY$46:$BE$55,,$AH849), 1 / ($BG$46:$BG$55*CC849 + (1-$BG$46:$BG$55)*BY849), N($AU$46:$AU$55&gt;$AM849))
) / 1000</f>
        <v>0</v>
      </c>
      <c r="CE849" s="234" cm="1">
        <f t="array" ref="CE849">$BM849 * IF($AH849&lt;=2,
SUMPRODUCT(INDEX($AV$22:$AX$60,,$AI849), INDEX($AY$22:$BE$60,,$AH849), 1 / ($BF$22:$BF$60*CC849), N($AU$22:$AU$60&gt;$AM849)),
SUMPRODUCT(INDEX($AV$22:$AX$45,,$AI849), INDEX($AY$22:$BE$45,,$AH849), 1 / ($BG$22:$BG$45*CC849), N($AU$22:$AU$45&gt;$AM849))
) / 1000</f>
        <v>0</v>
      </c>
      <c r="CF849" s="229">
        <f t="shared" si="874"/>
        <v>0</v>
      </c>
      <c r="CG849" s="246"/>
      <c r="CH849" s="229">
        <f t="shared" si="875"/>
        <v>0</v>
      </c>
      <c r="CI849" s="228">
        <v>35</v>
      </c>
      <c r="CJ849" s="229">
        <f t="shared" si="876"/>
        <v>48</v>
      </c>
      <c r="CK849" s="234">
        <f t="shared" si="877"/>
        <v>3.0748170731707316</v>
      </c>
      <c r="CL849" s="234" cm="1">
        <f t="array" ref="CL849">$BM849 * SUMPRODUCT(INDEX($AV$76:$AX$81,,$AI849),INDEX($AY$76:$BE$81,,$AH849), N($AU$76:$AU$81&gt;$AM849)) / CK849 / 1000</f>
        <v>0</v>
      </c>
      <c r="CM849" s="231">
        <f t="shared" si="857"/>
        <v>30</v>
      </c>
      <c r="CN849" s="229">
        <f t="shared" si="878"/>
        <v>43</v>
      </c>
      <c r="CO849" s="234">
        <f t="shared" si="879"/>
        <v>3.5018750000000001</v>
      </c>
      <c r="CP849" s="234" cm="1">
        <f t="array" ref="CP849">$BM849 * IF($AH849&lt;=2,
SUMPRODUCT(INDEX($AV$71:$AX$75,,$AI849), INDEX($AY$71:$BE$75,,$AH849), 1 / ($BF$71:$BF$75*CO849 + (1-$BF$71:$BF$75)*CK849), N($AU$71:$AU$75&gt;$AM849)),
SUMPRODUCT(INDEX($AV$66:$AX$75,,$AI849), INDEX($AY$66:$BE$75,,$AH849), 1 / ($BG$66:$BG$75*CO849 + (1-$BG$66:$BG$75)*CK849), N($AU$66:$AU$75&gt;$AM849))
) / 1000</f>
        <v>0</v>
      </c>
      <c r="CQ849" s="231">
        <f t="shared" si="858"/>
        <v>25</v>
      </c>
      <c r="CR849" s="229">
        <f t="shared" si="880"/>
        <v>38</v>
      </c>
      <c r="CS849" s="234">
        <f t="shared" si="881"/>
        <v>4.0666935483870965</v>
      </c>
      <c r="CT849" s="234" cm="1">
        <f t="array" ref="CT849">$BM849 * IF($AH849&lt;=2,
SUMPRODUCT(INDEX($AV$66:$AX$70,,$AI849), INDEX($AY$66:$BE$70,,$AH849), 1 / ($BF$66:$BF$70*CS849 + (1-$BF$66:$BF$70)*CO849), N($AU$66:$AU$70&gt;$AM849)),
SUMPRODUCT(INDEX($AV$56:$AX$65,,$AI849), INDEX($AY$56:$BE$65,,$AH849), 1 / ($BG$56:$BG$65*CS849 + (1-$BG$56:$BG$65)*CO849), N($AU$56:$AU$65&gt;$AM849))
) / 1000</f>
        <v>0</v>
      </c>
      <c r="CU849" s="231">
        <f t="shared" si="859"/>
        <v>20</v>
      </c>
      <c r="CV849" s="229">
        <f t="shared" si="882"/>
        <v>33</v>
      </c>
      <c r="CW849" s="234">
        <f t="shared" si="883"/>
        <v>4.8487499999999999</v>
      </c>
      <c r="CX849" s="234" cm="1">
        <f t="array" ref="CX849">$BM849 * IF($AH849&lt;=2,
SUMPRODUCT(INDEX($AV$61:$AX$65,,$AI849), INDEX($AY$61:$BE$65,,$AH849), 1 / ($BF$61:$BF$65*CW849 + (1-$BF$61:$BF$65)*CS849), N($AU$61:$AU$65&gt;$AM849)),
SUMPRODUCT(INDEX($AV$46:$AX$55,,$AI849), INDEX($AY$46:$BE$55,,$AH849), 1 / ($BG$46:$BG$55*CW849 + (1-$BG$46:$BG$55)*CS849), N($AU$46:$AU$55&gt;$AM849))
) / 1000</f>
        <v>0</v>
      </c>
      <c r="CY849" s="234" cm="1">
        <f t="array" ref="CY849">$BM849 * IF($AH849&lt;=2,
SUMPRODUCT(INDEX($AV$22:$AX$60,,$AI849), INDEX($AY$22:$BE$60,,$AH849), 1 / ($BF$22:$BF$60*CW849), N($AU$22:$AU$60&gt;$AM849)),
SUMPRODUCT(INDEX($AV$22:$AX$45,,$AI849), INDEX($AY$22:$BE$45,,$AH849), 1 / ($BG$22:$BG$45*CW849), N($AU$22:$AU$45&gt;$AM849))
) / 1000</f>
        <v>0</v>
      </c>
      <c r="CZ849" s="229">
        <f t="shared" si="884"/>
        <v>0</v>
      </c>
      <c r="DA849" s="246"/>
    </row>
    <row r="850" spans="1:105" s="75" customFormat="1" ht="14.25" customHeight="1" x14ac:dyDescent="0.2">
      <c r="A850" s="230" t="b">
        <f t="shared" si="851"/>
        <v>0</v>
      </c>
      <c r="B850" s="253">
        <v>829</v>
      </c>
      <c r="C850" s="266"/>
      <c r="D850" s="266"/>
      <c r="E850" s="254"/>
      <c r="F850" s="255" t="str">
        <f>IF(ISBLANK(E850), "", VLOOKUP(E850, Z!$A$2:$C$4127, 3, FALSE))</f>
        <v/>
      </c>
      <c r="G850" s="256"/>
      <c r="H850" s="256"/>
      <c r="I850" s="256"/>
      <c r="J850" s="257"/>
      <c r="K850" s="258"/>
      <c r="L850" s="267"/>
      <c r="M850" s="268"/>
      <c r="N850" s="259" t="str" cm="1">
        <f t="array" ref="N850">IF($L850&gt;0, INDEX(Clean,1+AK850,$D$1), "")</f>
        <v/>
      </c>
      <c r="O850" s="260"/>
      <c r="P850" s="260"/>
      <c r="Q850" s="261"/>
      <c r="R850" s="264">
        <f t="shared" si="860"/>
        <v>0</v>
      </c>
      <c r="S850" s="259" t="str" cm="1">
        <f t="array" ref="S850">IF($L850&gt;0, INDEX(Clean,1+AL850,$D$1), "")</f>
        <v/>
      </c>
      <c r="T850" s="260"/>
      <c r="U850" s="260"/>
      <c r="V850" s="261"/>
      <c r="W850" s="267"/>
      <c r="X850" s="267"/>
      <c r="Y850" s="257"/>
      <c r="Z850" s="264">
        <f t="shared" si="861"/>
        <v>0</v>
      </c>
      <c r="AA850" s="269"/>
      <c r="AB850" s="266"/>
      <c r="AC850" s="254"/>
      <c r="AD850" s="255" t="str">
        <f>IF(ISBLANK(AC850), "", VLOOKUP(AC850, Z!$A$2:$C$4127, 3, FALSE))</f>
        <v/>
      </c>
      <c r="AE850" s="270"/>
      <c r="AF850" s="265">
        <f t="shared" si="862"/>
        <v>0</v>
      </c>
      <c r="AG850" s="246"/>
      <c r="AH850" s="228">
        <f t="shared" si="885"/>
        <v>1</v>
      </c>
      <c r="AI850" s="228">
        <f t="shared" si="886"/>
        <v>1</v>
      </c>
      <c r="AJ850" s="228">
        <f t="shared" si="887"/>
        <v>0</v>
      </c>
      <c r="AK850" s="228">
        <v>0</v>
      </c>
      <c r="AL850" s="228">
        <v>0</v>
      </c>
      <c r="AM850" s="228">
        <f t="shared" si="863"/>
        <v>-100</v>
      </c>
      <c r="AN850" s="228" cm="1">
        <f t="array" ref="AN850">IF(ISBLANK(G850), 1, IFERROR(MATCH(G850, INDEX(Kat,,1), 0), IFERROR(MATCH(Kat, INDEX(Use,,2), 0), MATCH(Kat, INDEX(Use,,3), 0))))</f>
        <v>1</v>
      </c>
      <c r="AO850" s="246"/>
      <c r="AP850" s="228" cm="1">
        <f t="array" ref="AP850">IF(W850&gt;0, INDEX(Kat, AN850,4), 0)</f>
        <v>0</v>
      </c>
      <c r="AQ850" s="228">
        <f t="shared" si="888"/>
        <v>0</v>
      </c>
      <c r="AR850" s="228" cm="1">
        <f t="array" ref="AR850">IF(X850&gt;0, INDEX(Kat, $AN850, 4+AQ850), 0)</f>
        <v>0</v>
      </c>
      <c r="AS850" s="228" cm="1">
        <f t="array" ref="AS850">IF(X850&gt;0, INDEX(Kat, $AN850, 9+AQ850), 0)</f>
        <v>0</v>
      </c>
      <c r="AT850" s="246"/>
      <c r="AU850" s="262"/>
      <c r="AV850" s="262"/>
      <c r="AW850" s="263"/>
      <c r="AX850" s="263"/>
      <c r="AY850" s="263"/>
      <c r="AZ850" s="263"/>
      <c r="BA850" s="263"/>
      <c r="BB850" s="263"/>
      <c r="BC850" s="263"/>
      <c r="BD850" s="263"/>
      <c r="BE850" s="263"/>
      <c r="BF850" s="263"/>
      <c r="BG850" s="263"/>
      <c r="BH850" s="246"/>
      <c r="BI850" s="228" cm="1">
        <f t="array" ref="BI850">INDEX(Use, $AH850, 4)</f>
        <v>7</v>
      </c>
      <c r="BJ850" s="228">
        <f t="shared" si="864"/>
        <v>32</v>
      </c>
      <c r="BK850" s="228">
        <f t="shared" si="852"/>
        <v>13</v>
      </c>
      <c r="BL850" s="228">
        <f t="shared" si="853"/>
        <v>0</v>
      </c>
      <c r="BM850" s="233" cm="1">
        <f t="array" ref="BM850">L850/IF($M850&gt;0, INDEX($AY$22:$BE$76, $M850+20, $AH850), 1)</f>
        <v>0</v>
      </c>
      <c r="BN850" s="229">
        <f t="shared" si="865"/>
        <v>0</v>
      </c>
      <c r="BO850" s="228">
        <v>35</v>
      </c>
      <c r="BP850" s="229">
        <f t="shared" si="866"/>
        <v>48</v>
      </c>
      <c r="BQ850" s="234">
        <f t="shared" si="867"/>
        <v>3.0748170731707316</v>
      </c>
      <c r="BR850" s="234" cm="1">
        <f t="array" ref="BR850">$BM850 * SUMPRODUCT(INDEX($AV$76:$AX$81,,$AI850),INDEX($AY$76:$BE$81,,$AH850), N($AU$76:$AU$81&gt;$AM850)) / BQ850 / 1000</f>
        <v>0</v>
      </c>
      <c r="BS850" s="231">
        <f t="shared" si="854"/>
        <v>30</v>
      </c>
      <c r="BT850" s="229">
        <f t="shared" si="868"/>
        <v>43</v>
      </c>
      <c r="BU850" s="234">
        <f t="shared" si="869"/>
        <v>3.5018750000000001</v>
      </c>
      <c r="BV850" s="234" cm="1">
        <f t="array" ref="BV850">$BM850 * IF($AH850&lt;=2,
SUMPRODUCT(INDEX($AV$71:$AX$75,,$AI850), INDEX($AY$71:$BE$75,,$AH850), 1 / ($BF$71:$BF$75*BU850 + (1-$BF$71:$BF$75)*BQ850), N($AU$71:$AU$75&gt;$AM850)),
SUMPRODUCT(INDEX($AV$66:$AX$75,,$AI850), INDEX($AY$66:$BE$75,,$AH850), 1 / ($BG$66:$BG$75*BU850 + (1-$BG$66:$BG$75)*BQ850), N($AU$66:$AU$75&gt;$AM850))
) / 1000</f>
        <v>0</v>
      </c>
      <c r="BW850" s="231">
        <f t="shared" si="855"/>
        <v>25</v>
      </c>
      <c r="BX850" s="229">
        <f t="shared" si="870"/>
        <v>38</v>
      </c>
      <c r="BY850" s="234">
        <f t="shared" si="871"/>
        <v>4.0666935483870965</v>
      </c>
      <c r="BZ850" s="234" cm="1">
        <f t="array" ref="BZ850">$BM850 * IF($AH850&lt;=2,
SUMPRODUCT(INDEX($AV$66:$AX$70,,$AI850), INDEX($AY$66:$BE$70,,$AH850), 1 / ($BF$66:$BF$70*BY850 + (1-$BF$66:$BF$70)*BU850), N($AU$66:$AU$70&gt;$AM850)),
SUMPRODUCT(INDEX($AV$56:$AX$65,,$AI850), INDEX($AY$56:$BE$65,,$AH850), 1 / ($BG$56:$BG$65*BY850 + (1-$BG$56:$BG$65)*BU850), N($AU$56:$AU$65&gt;$AM850))
) / 1000</f>
        <v>0</v>
      </c>
      <c r="CA850" s="231">
        <f t="shared" si="856"/>
        <v>20</v>
      </c>
      <c r="CB850" s="229">
        <f t="shared" si="872"/>
        <v>33</v>
      </c>
      <c r="CC850" s="234">
        <f t="shared" si="873"/>
        <v>4.8487499999999999</v>
      </c>
      <c r="CD850" s="234" cm="1">
        <f t="array" ref="CD850">$BM850 * IF($AH850&lt;=2,
SUMPRODUCT(INDEX($AV$61:$AX$65,,$AI850), INDEX($AY$61:$BE$65,,$AH850), 1 / ($BF$61:$BF$65*CC850 + (1-$BF$61:$BF$65)*BY850), N($AU$61:$AU$65&gt;$AM850)),
SUMPRODUCT(INDEX($AV$46:$AX$55,,$AI850), INDEX($AY$46:$BE$55,,$AH850), 1 / ($BG$46:$BG$55*CC850 + (1-$BG$46:$BG$55)*BY850), N($AU$46:$AU$55&gt;$AM850))
) / 1000</f>
        <v>0</v>
      </c>
      <c r="CE850" s="234" cm="1">
        <f t="array" ref="CE850">$BM850 * IF($AH850&lt;=2,
SUMPRODUCT(INDEX($AV$22:$AX$60,,$AI850), INDEX($AY$22:$BE$60,,$AH850), 1 / ($BF$22:$BF$60*CC850), N($AU$22:$AU$60&gt;$AM850)),
SUMPRODUCT(INDEX($AV$22:$AX$45,,$AI850), INDEX($AY$22:$BE$45,,$AH850), 1 / ($BG$22:$BG$45*CC850), N($AU$22:$AU$45&gt;$AM850))
) / 1000</f>
        <v>0</v>
      </c>
      <c r="CF850" s="229">
        <f t="shared" si="874"/>
        <v>0</v>
      </c>
      <c r="CG850" s="246"/>
      <c r="CH850" s="229">
        <f t="shared" si="875"/>
        <v>0</v>
      </c>
      <c r="CI850" s="228">
        <v>35</v>
      </c>
      <c r="CJ850" s="229">
        <f t="shared" si="876"/>
        <v>48</v>
      </c>
      <c r="CK850" s="234">
        <f t="shared" si="877"/>
        <v>3.0748170731707316</v>
      </c>
      <c r="CL850" s="234" cm="1">
        <f t="array" ref="CL850">$BM850 * SUMPRODUCT(INDEX($AV$76:$AX$81,,$AI850),INDEX($AY$76:$BE$81,,$AH850), N($AU$76:$AU$81&gt;$AM850)) / CK850 / 1000</f>
        <v>0</v>
      </c>
      <c r="CM850" s="231">
        <f t="shared" si="857"/>
        <v>30</v>
      </c>
      <c r="CN850" s="229">
        <f t="shared" si="878"/>
        <v>43</v>
      </c>
      <c r="CO850" s="234">
        <f t="shared" si="879"/>
        <v>3.5018750000000001</v>
      </c>
      <c r="CP850" s="234" cm="1">
        <f t="array" ref="CP850">$BM850 * IF($AH850&lt;=2,
SUMPRODUCT(INDEX($AV$71:$AX$75,,$AI850), INDEX($AY$71:$BE$75,,$AH850), 1 / ($BF$71:$BF$75*CO850 + (1-$BF$71:$BF$75)*CK850), N($AU$71:$AU$75&gt;$AM850)),
SUMPRODUCT(INDEX($AV$66:$AX$75,,$AI850), INDEX($AY$66:$BE$75,,$AH850), 1 / ($BG$66:$BG$75*CO850 + (1-$BG$66:$BG$75)*CK850), N($AU$66:$AU$75&gt;$AM850))
) / 1000</f>
        <v>0</v>
      </c>
      <c r="CQ850" s="231">
        <f t="shared" si="858"/>
        <v>25</v>
      </c>
      <c r="CR850" s="229">
        <f t="shared" si="880"/>
        <v>38</v>
      </c>
      <c r="CS850" s="234">
        <f t="shared" si="881"/>
        <v>4.0666935483870965</v>
      </c>
      <c r="CT850" s="234" cm="1">
        <f t="array" ref="CT850">$BM850 * IF($AH850&lt;=2,
SUMPRODUCT(INDEX($AV$66:$AX$70,,$AI850), INDEX($AY$66:$BE$70,,$AH850), 1 / ($BF$66:$BF$70*CS850 + (1-$BF$66:$BF$70)*CO850), N($AU$66:$AU$70&gt;$AM850)),
SUMPRODUCT(INDEX($AV$56:$AX$65,,$AI850), INDEX($AY$56:$BE$65,,$AH850), 1 / ($BG$56:$BG$65*CS850 + (1-$BG$56:$BG$65)*CO850), N($AU$56:$AU$65&gt;$AM850))
) / 1000</f>
        <v>0</v>
      </c>
      <c r="CU850" s="231">
        <f t="shared" si="859"/>
        <v>20</v>
      </c>
      <c r="CV850" s="229">
        <f t="shared" si="882"/>
        <v>33</v>
      </c>
      <c r="CW850" s="234">
        <f t="shared" si="883"/>
        <v>4.8487499999999999</v>
      </c>
      <c r="CX850" s="234" cm="1">
        <f t="array" ref="CX850">$BM850 * IF($AH850&lt;=2,
SUMPRODUCT(INDEX($AV$61:$AX$65,,$AI850), INDEX($AY$61:$BE$65,,$AH850), 1 / ($BF$61:$BF$65*CW850 + (1-$BF$61:$BF$65)*CS850), N($AU$61:$AU$65&gt;$AM850)),
SUMPRODUCT(INDEX($AV$46:$AX$55,,$AI850), INDEX($AY$46:$BE$55,,$AH850), 1 / ($BG$46:$BG$55*CW850 + (1-$BG$46:$BG$55)*CS850), N($AU$46:$AU$55&gt;$AM850))
) / 1000</f>
        <v>0</v>
      </c>
      <c r="CY850" s="234" cm="1">
        <f t="array" ref="CY850">$BM850 * IF($AH850&lt;=2,
SUMPRODUCT(INDEX($AV$22:$AX$60,,$AI850), INDEX($AY$22:$BE$60,,$AH850), 1 / ($BF$22:$BF$60*CW850), N($AU$22:$AU$60&gt;$AM850)),
SUMPRODUCT(INDEX($AV$22:$AX$45,,$AI850), INDEX($AY$22:$BE$45,,$AH850), 1 / ($BG$22:$BG$45*CW850), N($AU$22:$AU$45&gt;$AM850))
) / 1000</f>
        <v>0</v>
      </c>
      <c r="CZ850" s="229">
        <f t="shared" si="884"/>
        <v>0</v>
      </c>
      <c r="DA850" s="246"/>
    </row>
    <row r="851" spans="1:105" s="75" customFormat="1" ht="14.25" customHeight="1" x14ac:dyDescent="0.2">
      <c r="A851" s="230" t="b">
        <f t="shared" si="851"/>
        <v>0</v>
      </c>
      <c r="B851" s="253">
        <v>830</v>
      </c>
      <c r="C851" s="266"/>
      <c r="D851" s="266"/>
      <c r="E851" s="254"/>
      <c r="F851" s="255" t="str">
        <f>IF(ISBLANK(E851), "", VLOOKUP(E851, Z!$A$2:$C$4127, 3, FALSE))</f>
        <v/>
      </c>
      <c r="G851" s="256"/>
      <c r="H851" s="256"/>
      <c r="I851" s="256"/>
      <c r="J851" s="257"/>
      <c r="K851" s="258"/>
      <c r="L851" s="267"/>
      <c r="M851" s="268"/>
      <c r="N851" s="259" t="str" cm="1">
        <f t="array" ref="N851">IF($L851&gt;0, INDEX(Clean,1+AK851,$D$1), "")</f>
        <v/>
      </c>
      <c r="O851" s="260"/>
      <c r="P851" s="260"/>
      <c r="Q851" s="261"/>
      <c r="R851" s="264">
        <f t="shared" si="860"/>
        <v>0</v>
      </c>
      <c r="S851" s="259" t="str" cm="1">
        <f t="array" ref="S851">IF($L851&gt;0, INDEX(Clean,1+AL851,$D$1), "")</f>
        <v/>
      </c>
      <c r="T851" s="260"/>
      <c r="U851" s="260"/>
      <c r="V851" s="261"/>
      <c r="W851" s="267"/>
      <c r="X851" s="267"/>
      <c r="Y851" s="257"/>
      <c r="Z851" s="264">
        <f t="shared" si="861"/>
        <v>0</v>
      </c>
      <c r="AA851" s="269"/>
      <c r="AB851" s="266"/>
      <c r="AC851" s="254"/>
      <c r="AD851" s="255" t="str">
        <f>IF(ISBLANK(AC851), "", VLOOKUP(AC851, Z!$A$2:$C$4127, 3, FALSE))</f>
        <v/>
      </c>
      <c r="AE851" s="270"/>
      <c r="AF851" s="265">
        <f t="shared" si="862"/>
        <v>0</v>
      </c>
      <c r="AG851" s="246"/>
      <c r="AH851" s="228">
        <f t="shared" si="885"/>
        <v>1</v>
      </c>
      <c r="AI851" s="228">
        <f t="shared" si="886"/>
        <v>1</v>
      </c>
      <c r="AJ851" s="228">
        <f t="shared" si="887"/>
        <v>0</v>
      </c>
      <c r="AK851" s="228">
        <v>0</v>
      </c>
      <c r="AL851" s="228">
        <v>0</v>
      </c>
      <c r="AM851" s="228">
        <f t="shared" si="863"/>
        <v>-100</v>
      </c>
      <c r="AN851" s="228" cm="1">
        <f t="array" ref="AN851">IF(ISBLANK(G851), 1, IFERROR(MATCH(G851, INDEX(Kat,,1), 0), IFERROR(MATCH(Kat, INDEX(Use,,2), 0), MATCH(Kat, INDEX(Use,,3), 0))))</f>
        <v>1</v>
      </c>
      <c r="AO851" s="246"/>
      <c r="AP851" s="228" cm="1">
        <f t="array" ref="AP851">IF(W851&gt;0, INDEX(Kat, AN851,4), 0)</f>
        <v>0</v>
      </c>
      <c r="AQ851" s="228">
        <f t="shared" si="888"/>
        <v>0</v>
      </c>
      <c r="AR851" s="228" cm="1">
        <f t="array" ref="AR851">IF(X851&gt;0, INDEX(Kat, $AN851, 4+AQ851), 0)</f>
        <v>0</v>
      </c>
      <c r="AS851" s="228" cm="1">
        <f t="array" ref="AS851">IF(X851&gt;0, INDEX(Kat, $AN851, 9+AQ851), 0)</f>
        <v>0</v>
      </c>
      <c r="AT851" s="246"/>
      <c r="AU851" s="262"/>
      <c r="AV851" s="262"/>
      <c r="AW851" s="263"/>
      <c r="AX851" s="263"/>
      <c r="AY851" s="263"/>
      <c r="AZ851" s="263"/>
      <c r="BA851" s="263"/>
      <c r="BB851" s="263"/>
      <c r="BC851" s="263"/>
      <c r="BD851" s="263"/>
      <c r="BE851" s="263"/>
      <c r="BF851" s="263"/>
      <c r="BG851" s="263"/>
      <c r="BH851" s="246"/>
      <c r="BI851" s="228" cm="1">
        <f t="array" ref="BI851">INDEX(Use, $AH851, 4)</f>
        <v>7</v>
      </c>
      <c r="BJ851" s="228">
        <f t="shared" si="864"/>
        <v>32</v>
      </c>
      <c r="BK851" s="228">
        <f t="shared" si="852"/>
        <v>13</v>
      </c>
      <c r="BL851" s="228">
        <f t="shared" si="853"/>
        <v>0</v>
      </c>
      <c r="BM851" s="233" cm="1">
        <f t="array" ref="BM851">L851/IF($M851&gt;0, INDEX($AY$22:$BE$76, $M851+20, $AH851), 1)</f>
        <v>0</v>
      </c>
      <c r="BN851" s="229">
        <f t="shared" si="865"/>
        <v>0</v>
      </c>
      <c r="BO851" s="228">
        <v>35</v>
      </c>
      <c r="BP851" s="229">
        <f t="shared" si="866"/>
        <v>48</v>
      </c>
      <c r="BQ851" s="234">
        <f t="shared" si="867"/>
        <v>3.0748170731707316</v>
      </c>
      <c r="BR851" s="234" cm="1">
        <f t="array" ref="BR851">$BM851 * SUMPRODUCT(INDEX($AV$76:$AX$81,,$AI851),INDEX($AY$76:$BE$81,,$AH851), N($AU$76:$AU$81&gt;$AM851)) / BQ851 / 1000</f>
        <v>0</v>
      </c>
      <c r="BS851" s="231">
        <f t="shared" si="854"/>
        <v>30</v>
      </c>
      <c r="BT851" s="229">
        <f t="shared" si="868"/>
        <v>43</v>
      </c>
      <c r="BU851" s="234">
        <f t="shared" si="869"/>
        <v>3.5018750000000001</v>
      </c>
      <c r="BV851" s="234" cm="1">
        <f t="array" ref="BV851">$BM851 * IF($AH851&lt;=2,
SUMPRODUCT(INDEX($AV$71:$AX$75,,$AI851), INDEX($AY$71:$BE$75,,$AH851), 1 / ($BF$71:$BF$75*BU851 + (1-$BF$71:$BF$75)*BQ851), N($AU$71:$AU$75&gt;$AM851)),
SUMPRODUCT(INDEX($AV$66:$AX$75,,$AI851), INDEX($AY$66:$BE$75,,$AH851), 1 / ($BG$66:$BG$75*BU851 + (1-$BG$66:$BG$75)*BQ851), N($AU$66:$AU$75&gt;$AM851))
) / 1000</f>
        <v>0</v>
      </c>
      <c r="BW851" s="231">
        <f t="shared" si="855"/>
        <v>25</v>
      </c>
      <c r="BX851" s="229">
        <f t="shared" si="870"/>
        <v>38</v>
      </c>
      <c r="BY851" s="234">
        <f t="shared" si="871"/>
        <v>4.0666935483870965</v>
      </c>
      <c r="BZ851" s="234" cm="1">
        <f t="array" ref="BZ851">$BM851 * IF($AH851&lt;=2,
SUMPRODUCT(INDEX($AV$66:$AX$70,,$AI851), INDEX($AY$66:$BE$70,,$AH851), 1 / ($BF$66:$BF$70*BY851 + (1-$BF$66:$BF$70)*BU851), N($AU$66:$AU$70&gt;$AM851)),
SUMPRODUCT(INDEX($AV$56:$AX$65,,$AI851), INDEX($AY$56:$BE$65,,$AH851), 1 / ($BG$56:$BG$65*BY851 + (1-$BG$56:$BG$65)*BU851), N($AU$56:$AU$65&gt;$AM851))
) / 1000</f>
        <v>0</v>
      </c>
      <c r="CA851" s="231">
        <f t="shared" si="856"/>
        <v>20</v>
      </c>
      <c r="CB851" s="229">
        <f t="shared" si="872"/>
        <v>33</v>
      </c>
      <c r="CC851" s="234">
        <f t="shared" si="873"/>
        <v>4.8487499999999999</v>
      </c>
      <c r="CD851" s="234" cm="1">
        <f t="array" ref="CD851">$BM851 * IF($AH851&lt;=2,
SUMPRODUCT(INDEX($AV$61:$AX$65,,$AI851), INDEX($AY$61:$BE$65,,$AH851), 1 / ($BF$61:$BF$65*CC851 + (1-$BF$61:$BF$65)*BY851), N($AU$61:$AU$65&gt;$AM851)),
SUMPRODUCT(INDEX($AV$46:$AX$55,,$AI851), INDEX($AY$46:$BE$55,,$AH851), 1 / ($BG$46:$BG$55*CC851 + (1-$BG$46:$BG$55)*BY851), N($AU$46:$AU$55&gt;$AM851))
) / 1000</f>
        <v>0</v>
      </c>
      <c r="CE851" s="234" cm="1">
        <f t="array" ref="CE851">$BM851 * IF($AH851&lt;=2,
SUMPRODUCT(INDEX($AV$22:$AX$60,,$AI851), INDEX($AY$22:$BE$60,,$AH851), 1 / ($BF$22:$BF$60*CC851), N($AU$22:$AU$60&gt;$AM851)),
SUMPRODUCT(INDEX($AV$22:$AX$45,,$AI851), INDEX($AY$22:$BE$45,,$AH851), 1 / ($BG$22:$BG$45*CC851), N($AU$22:$AU$45&gt;$AM851))
) / 1000</f>
        <v>0</v>
      </c>
      <c r="CF851" s="229">
        <f t="shared" si="874"/>
        <v>0</v>
      </c>
      <c r="CG851" s="246"/>
      <c r="CH851" s="229">
        <f t="shared" si="875"/>
        <v>0</v>
      </c>
      <c r="CI851" s="228">
        <v>35</v>
      </c>
      <c r="CJ851" s="229">
        <f t="shared" si="876"/>
        <v>48</v>
      </c>
      <c r="CK851" s="234">
        <f t="shared" si="877"/>
        <v>3.0748170731707316</v>
      </c>
      <c r="CL851" s="234" cm="1">
        <f t="array" ref="CL851">$BM851 * SUMPRODUCT(INDEX($AV$76:$AX$81,,$AI851),INDEX($AY$76:$BE$81,,$AH851), N($AU$76:$AU$81&gt;$AM851)) / CK851 / 1000</f>
        <v>0</v>
      </c>
      <c r="CM851" s="231">
        <f t="shared" si="857"/>
        <v>30</v>
      </c>
      <c r="CN851" s="229">
        <f t="shared" si="878"/>
        <v>43</v>
      </c>
      <c r="CO851" s="234">
        <f t="shared" si="879"/>
        <v>3.5018750000000001</v>
      </c>
      <c r="CP851" s="234" cm="1">
        <f t="array" ref="CP851">$BM851 * IF($AH851&lt;=2,
SUMPRODUCT(INDEX($AV$71:$AX$75,,$AI851), INDEX($AY$71:$BE$75,,$AH851), 1 / ($BF$71:$BF$75*CO851 + (1-$BF$71:$BF$75)*CK851), N($AU$71:$AU$75&gt;$AM851)),
SUMPRODUCT(INDEX($AV$66:$AX$75,,$AI851), INDEX($AY$66:$BE$75,,$AH851), 1 / ($BG$66:$BG$75*CO851 + (1-$BG$66:$BG$75)*CK851), N($AU$66:$AU$75&gt;$AM851))
) / 1000</f>
        <v>0</v>
      </c>
      <c r="CQ851" s="231">
        <f t="shared" si="858"/>
        <v>25</v>
      </c>
      <c r="CR851" s="229">
        <f t="shared" si="880"/>
        <v>38</v>
      </c>
      <c r="CS851" s="234">
        <f t="shared" si="881"/>
        <v>4.0666935483870965</v>
      </c>
      <c r="CT851" s="234" cm="1">
        <f t="array" ref="CT851">$BM851 * IF($AH851&lt;=2,
SUMPRODUCT(INDEX($AV$66:$AX$70,,$AI851), INDEX($AY$66:$BE$70,,$AH851), 1 / ($BF$66:$BF$70*CS851 + (1-$BF$66:$BF$70)*CO851), N($AU$66:$AU$70&gt;$AM851)),
SUMPRODUCT(INDEX($AV$56:$AX$65,,$AI851), INDEX($AY$56:$BE$65,,$AH851), 1 / ($BG$56:$BG$65*CS851 + (1-$BG$56:$BG$65)*CO851), N($AU$56:$AU$65&gt;$AM851))
) / 1000</f>
        <v>0</v>
      </c>
      <c r="CU851" s="231">
        <f t="shared" si="859"/>
        <v>20</v>
      </c>
      <c r="CV851" s="229">
        <f t="shared" si="882"/>
        <v>33</v>
      </c>
      <c r="CW851" s="234">
        <f t="shared" si="883"/>
        <v>4.8487499999999999</v>
      </c>
      <c r="CX851" s="234" cm="1">
        <f t="array" ref="CX851">$BM851 * IF($AH851&lt;=2,
SUMPRODUCT(INDEX($AV$61:$AX$65,,$AI851), INDEX($AY$61:$BE$65,,$AH851), 1 / ($BF$61:$BF$65*CW851 + (1-$BF$61:$BF$65)*CS851), N($AU$61:$AU$65&gt;$AM851)),
SUMPRODUCT(INDEX($AV$46:$AX$55,,$AI851), INDEX($AY$46:$BE$55,,$AH851), 1 / ($BG$46:$BG$55*CW851 + (1-$BG$46:$BG$55)*CS851), N($AU$46:$AU$55&gt;$AM851))
) / 1000</f>
        <v>0</v>
      </c>
      <c r="CY851" s="234" cm="1">
        <f t="array" ref="CY851">$BM851 * IF($AH851&lt;=2,
SUMPRODUCT(INDEX($AV$22:$AX$60,,$AI851), INDEX($AY$22:$BE$60,,$AH851), 1 / ($BF$22:$BF$60*CW851), N($AU$22:$AU$60&gt;$AM851)),
SUMPRODUCT(INDEX($AV$22:$AX$45,,$AI851), INDEX($AY$22:$BE$45,,$AH851), 1 / ($BG$22:$BG$45*CW851), N($AU$22:$AU$45&gt;$AM851))
) / 1000</f>
        <v>0</v>
      </c>
      <c r="CZ851" s="229">
        <f t="shared" si="884"/>
        <v>0</v>
      </c>
      <c r="DA851" s="246"/>
    </row>
    <row r="852" spans="1:105" s="75" customFormat="1" ht="14.25" customHeight="1" x14ac:dyDescent="0.2">
      <c r="A852" s="230" t="b">
        <f t="shared" si="851"/>
        <v>0</v>
      </c>
      <c r="B852" s="253">
        <v>831</v>
      </c>
      <c r="C852" s="266"/>
      <c r="D852" s="266"/>
      <c r="E852" s="254"/>
      <c r="F852" s="255" t="str">
        <f>IF(ISBLANK(E852), "", VLOOKUP(E852, Z!$A$2:$C$4127, 3, FALSE))</f>
        <v/>
      </c>
      <c r="G852" s="256"/>
      <c r="H852" s="256"/>
      <c r="I852" s="256"/>
      <c r="J852" s="257"/>
      <c r="K852" s="258"/>
      <c r="L852" s="267"/>
      <c r="M852" s="268"/>
      <c r="N852" s="259" t="str" cm="1">
        <f t="array" ref="N852">IF($L852&gt;0, INDEX(Clean,1+AK852,$D$1), "")</f>
        <v/>
      </c>
      <c r="O852" s="260"/>
      <c r="P852" s="260"/>
      <c r="Q852" s="261"/>
      <c r="R852" s="264">
        <f t="shared" si="860"/>
        <v>0</v>
      </c>
      <c r="S852" s="259" t="str" cm="1">
        <f t="array" ref="S852">IF($L852&gt;0, INDEX(Clean,1+AL852,$D$1), "")</f>
        <v/>
      </c>
      <c r="T852" s="260"/>
      <c r="U852" s="260"/>
      <c r="V852" s="261"/>
      <c r="W852" s="267"/>
      <c r="X852" s="267"/>
      <c r="Y852" s="257"/>
      <c r="Z852" s="264">
        <f t="shared" si="861"/>
        <v>0</v>
      </c>
      <c r="AA852" s="269"/>
      <c r="AB852" s="266"/>
      <c r="AC852" s="254"/>
      <c r="AD852" s="255" t="str">
        <f>IF(ISBLANK(AC852), "", VLOOKUP(AC852, Z!$A$2:$C$4127, 3, FALSE))</f>
        <v/>
      </c>
      <c r="AE852" s="270"/>
      <c r="AF852" s="265">
        <f t="shared" si="862"/>
        <v>0</v>
      </c>
      <c r="AG852" s="246"/>
      <c r="AH852" s="228">
        <f t="shared" si="885"/>
        <v>1</v>
      </c>
      <c r="AI852" s="228">
        <f t="shared" si="886"/>
        <v>1</v>
      </c>
      <c r="AJ852" s="228">
        <f t="shared" si="887"/>
        <v>0</v>
      </c>
      <c r="AK852" s="228">
        <v>0</v>
      </c>
      <c r="AL852" s="228">
        <v>0</v>
      </c>
      <c r="AM852" s="228">
        <f t="shared" si="863"/>
        <v>-100</v>
      </c>
      <c r="AN852" s="228" cm="1">
        <f t="array" ref="AN852">IF(ISBLANK(G852), 1, IFERROR(MATCH(G852, INDEX(Kat,,1), 0), IFERROR(MATCH(Kat, INDEX(Use,,2), 0), MATCH(Kat, INDEX(Use,,3), 0))))</f>
        <v>1</v>
      </c>
      <c r="AO852" s="246"/>
      <c r="AP852" s="228" cm="1">
        <f t="array" ref="AP852">IF(W852&gt;0, INDEX(Kat, AN852,4), 0)</f>
        <v>0</v>
      </c>
      <c r="AQ852" s="228">
        <f t="shared" si="888"/>
        <v>0</v>
      </c>
      <c r="AR852" s="228" cm="1">
        <f t="array" ref="AR852">IF(X852&gt;0, INDEX(Kat, $AN852, 4+AQ852), 0)</f>
        <v>0</v>
      </c>
      <c r="AS852" s="228" cm="1">
        <f t="array" ref="AS852">IF(X852&gt;0, INDEX(Kat, $AN852, 9+AQ852), 0)</f>
        <v>0</v>
      </c>
      <c r="AT852" s="246"/>
      <c r="AU852" s="262"/>
      <c r="AV852" s="262"/>
      <c r="AW852" s="263"/>
      <c r="AX852" s="263"/>
      <c r="AY852" s="263"/>
      <c r="AZ852" s="263"/>
      <c r="BA852" s="263"/>
      <c r="BB852" s="263"/>
      <c r="BC852" s="263"/>
      <c r="BD852" s="263"/>
      <c r="BE852" s="263"/>
      <c r="BF852" s="263"/>
      <c r="BG852" s="263"/>
      <c r="BH852" s="246"/>
      <c r="BI852" s="228" cm="1">
        <f t="array" ref="BI852">INDEX(Use, $AH852, 4)</f>
        <v>7</v>
      </c>
      <c r="BJ852" s="228">
        <f t="shared" si="864"/>
        <v>32</v>
      </c>
      <c r="BK852" s="228">
        <f t="shared" si="852"/>
        <v>13</v>
      </c>
      <c r="BL852" s="228">
        <f t="shared" si="853"/>
        <v>0</v>
      </c>
      <c r="BM852" s="233" cm="1">
        <f t="array" ref="BM852">L852/IF($M852&gt;0, INDEX($AY$22:$BE$76, $M852+20, $AH852), 1)</f>
        <v>0</v>
      </c>
      <c r="BN852" s="229">
        <f t="shared" si="865"/>
        <v>0</v>
      </c>
      <c r="BO852" s="228">
        <v>35</v>
      </c>
      <c r="BP852" s="229">
        <f t="shared" si="866"/>
        <v>48</v>
      </c>
      <c r="BQ852" s="234">
        <f t="shared" si="867"/>
        <v>3.0748170731707316</v>
      </c>
      <c r="BR852" s="234" cm="1">
        <f t="array" ref="BR852">$BM852 * SUMPRODUCT(INDEX($AV$76:$AX$81,,$AI852),INDEX($AY$76:$BE$81,,$AH852), N($AU$76:$AU$81&gt;$AM852)) / BQ852 / 1000</f>
        <v>0</v>
      </c>
      <c r="BS852" s="231">
        <f t="shared" si="854"/>
        <v>30</v>
      </c>
      <c r="BT852" s="229">
        <f t="shared" si="868"/>
        <v>43</v>
      </c>
      <c r="BU852" s="234">
        <f t="shared" si="869"/>
        <v>3.5018750000000001</v>
      </c>
      <c r="BV852" s="234" cm="1">
        <f t="array" ref="BV852">$BM852 * IF($AH852&lt;=2,
SUMPRODUCT(INDEX($AV$71:$AX$75,,$AI852), INDEX($AY$71:$BE$75,,$AH852), 1 / ($BF$71:$BF$75*BU852 + (1-$BF$71:$BF$75)*BQ852), N($AU$71:$AU$75&gt;$AM852)),
SUMPRODUCT(INDEX($AV$66:$AX$75,,$AI852), INDEX($AY$66:$BE$75,,$AH852), 1 / ($BG$66:$BG$75*BU852 + (1-$BG$66:$BG$75)*BQ852), N($AU$66:$AU$75&gt;$AM852))
) / 1000</f>
        <v>0</v>
      </c>
      <c r="BW852" s="231">
        <f t="shared" si="855"/>
        <v>25</v>
      </c>
      <c r="BX852" s="229">
        <f t="shared" si="870"/>
        <v>38</v>
      </c>
      <c r="BY852" s="234">
        <f t="shared" si="871"/>
        <v>4.0666935483870965</v>
      </c>
      <c r="BZ852" s="234" cm="1">
        <f t="array" ref="BZ852">$BM852 * IF($AH852&lt;=2,
SUMPRODUCT(INDEX($AV$66:$AX$70,,$AI852), INDEX($AY$66:$BE$70,,$AH852), 1 / ($BF$66:$BF$70*BY852 + (1-$BF$66:$BF$70)*BU852), N($AU$66:$AU$70&gt;$AM852)),
SUMPRODUCT(INDEX($AV$56:$AX$65,,$AI852), INDEX($AY$56:$BE$65,,$AH852), 1 / ($BG$56:$BG$65*BY852 + (1-$BG$56:$BG$65)*BU852), N($AU$56:$AU$65&gt;$AM852))
) / 1000</f>
        <v>0</v>
      </c>
      <c r="CA852" s="231">
        <f t="shared" si="856"/>
        <v>20</v>
      </c>
      <c r="CB852" s="229">
        <f t="shared" si="872"/>
        <v>33</v>
      </c>
      <c r="CC852" s="234">
        <f t="shared" si="873"/>
        <v>4.8487499999999999</v>
      </c>
      <c r="CD852" s="234" cm="1">
        <f t="array" ref="CD852">$BM852 * IF($AH852&lt;=2,
SUMPRODUCT(INDEX($AV$61:$AX$65,,$AI852), INDEX($AY$61:$BE$65,,$AH852), 1 / ($BF$61:$BF$65*CC852 + (1-$BF$61:$BF$65)*BY852), N($AU$61:$AU$65&gt;$AM852)),
SUMPRODUCT(INDEX($AV$46:$AX$55,,$AI852), INDEX($AY$46:$BE$55,,$AH852), 1 / ($BG$46:$BG$55*CC852 + (1-$BG$46:$BG$55)*BY852), N($AU$46:$AU$55&gt;$AM852))
) / 1000</f>
        <v>0</v>
      </c>
      <c r="CE852" s="234" cm="1">
        <f t="array" ref="CE852">$BM852 * IF($AH852&lt;=2,
SUMPRODUCT(INDEX($AV$22:$AX$60,,$AI852), INDEX($AY$22:$BE$60,,$AH852), 1 / ($BF$22:$BF$60*CC852), N($AU$22:$AU$60&gt;$AM852)),
SUMPRODUCT(INDEX($AV$22:$AX$45,,$AI852), INDEX($AY$22:$BE$45,,$AH852), 1 / ($BG$22:$BG$45*CC852), N($AU$22:$AU$45&gt;$AM852))
) / 1000</f>
        <v>0</v>
      </c>
      <c r="CF852" s="229">
        <f t="shared" si="874"/>
        <v>0</v>
      </c>
      <c r="CG852" s="246"/>
      <c r="CH852" s="229">
        <f t="shared" si="875"/>
        <v>0</v>
      </c>
      <c r="CI852" s="228">
        <v>35</v>
      </c>
      <c r="CJ852" s="229">
        <f t="shared" si="876"/>
        <v>48</v>
      </c>
      <c r="CK852" s="234">
        <f t="shared" si="877"/>
        <v>3.0748170731707316</v>
      </c>
      <c r="CL852" s="234" cm="1">
        <f t="array" ref="CL852">$BM852 * SUMPRODUCT(INDEX($AV$76:$AX$81,,$AI852),INDEX($AY$76:$BE$81,,$AH852), N($AU$76:$AU$81&gt;$AM852)) / CK852 / 1000</f>
        <v>0</v>
      </c>
      <c r="CM852" s="231">
        <f t="shared" si="857"/>
        <v>30</v>
      </c>
      <c r="CN852" s="229">
        <f t="shared" si="878"/>
        <v>43</v>
      </c>
      <c r="CO852" s="234">
        <f t="shared" si="879"/>
        <v>3.5018750000000001</v>
      </c>
      <c r="CP852" s="234" cm="1">
        <f t="array" ref="CP852">$BM852 * IF($AH852&lt;=2,
SUMPRODUCT(INDEX($AV$71:$AX$75,,$AI852), INDEX($AY$71:$BE$75,,$AH852), 1 / ($BF$71:$BF$75*CO852 + (1-$BF$71:$BF$75)*CK852), N($AU$71:$AU$75&gt;$AM852)),
SUMPRODUCT(INDEX($AV$66:$AX$75,,$AI852), INDEX($AY$66:$BE$75,,$AH852), 1 / ($BG$66:$BG$75*CO852 + (1-$BG$66:$BG$75)*CK852), N($AU$66:$AU$75&gt;$AM852))
) / 1000</f>
        <v>0</v>
      </c>
      <c r="CQ852" s="231">
        <f t="shared" si="858"/>
        <v>25</v>
      </c>
      <c r="CR852" s="229">
        <f t="shared" si="880"/>
        <v>38</v>
      </c>
      <c r="CS852" s="234">
        <f t="shared" si="881"/>
        <v>4.0666935483870965</v>
      </c>
      <c r="CT852" s="234" cm="1">
        <f t="array" ref="CT852">$BM852 * IF($AH852&lt;=2,
SUMPRODUCT(INDEX($AV$66:$AX$70,,$AI852), INDEX($AY$66:$BE$70,,$AH852), 1 / ($BF$66:$BF$70*CS852 + (1-$BF$66:$BF$70)*CO852), N($AU$66:$AU$70&gt;$AM852)),
SUMPRODUCT(INDEX($AV$56:$AX$65,,$AI852), INDEX($AY$56:$BE$65,,$AH852), 1 / ($BG$56:$BG$65*CS852 + (1-$BG$56:$BG$65)*CO852), N($AU$56:$AU$65&gt;$AM852))
) / 1000</f>
        <v>0</v>
      </c>
      <c r="CU852" s="231">
        <f t="shared" si="859"/>
        <v>20</v>
      </c>
      <c r="CV852" s="229">
        <f t="shared" si="882"/>
        <v>33</v>
      </c>
      <c r="CW852" s="234">
        <f t="shared" si="883"/>
        <v>4.8487499999999999</v>
      </c>
      <c r="CX852" s="234" cm="1">
        <f t="array" ref="CX852">$BM852 * IF($AH852&lt;=2,
SUMPRODUCT(INDEX($AV$61:$AX$65,,$AI852), INDEX($AY$61:$BE$65,,$AH852), 1 / ($BF$61:$BF$65*CW852 + (1-$BF$61:$BF$65)*CS852), N($AU$61:$AU$65&gt;$AM852)),
SUMPRODUCT(INDEX($AV$46:$AX$55,,$AI852), INDEX($AY$46:$BE$55,,$AH852), 1 / ($BG$46:$BG$55*CW852 + (1-$BG$46:$BG$55)*CS852), N($AU$46:$AU$55&gt;$AM852))
) / 1000</f>
        <v>0</v>
      </c>
      <c r="CY852" s="234" cm="1">
        <f t="array" ref="CY852">$BM852 * IF($AH852&lt;=2,
SUMPRODUCT(INDEX($AV$22:$AX$60,,$AI852), INDEX($AY$22:$BE$60,,$AH852), 1 / ($BF$22:$BF$60*CW852), N($AU$22:$AU$60&gt;$AM852)),
SUMPRODUCT(INDEX($AV$22:$AX$45,,$AI852), INDEX($AY$22:$BE$45,,$AH852), 1 / ($BG$22:$BG$45*CW852), N($AU$22:$AU$45&gt;$AM852))
) / 1000</f>
        <v>0</v>
      </c>
      <c r="CZ852" s="229">
        <f t="shared" si="884"/>
        <v>0</v>
      </c>
      <c r="DA852" s="246"/>
    </row>
    <row r="853" spans="1:105" s="75" customFormat="1" ht="14.25" customHeight="1" x14ac:dyDescent="0.2">
      <c r="A853" s="230" t="b">
        <f t="shared" ref="A853:A916" si="889">IF(OR(AND($L853&gt;80, $AH853=1), AND($L853&gt;40, $AH853=3), AND($L853&gt;30, $AH853=4),), TRUE, FALSE)</f>
        <v>0</v>
      </c>
      <c r="B853" s="253">
        <v>832</v>
      </c>
      <c r="C853" s="266"/>
      <c r="D853" s="266"/>
      <c r="E853" s="254"/>
      <c r="F853" s="255" t="str">
        <f>IF(ISBLANK(E853), "", VLOOKUP(E853, Z!$A$2:$C$4127, 3, FALSE))</f>
        <v/>
      </c>
      <c r="G853" s="256"/>
      <c r="H853" s="256"/>
      <c r="I853" s="256"/>
      <c r="J853" s="257"/>
      <c r="K853" s="258"/>
      <c r="L853" s="267"/>
      <c r="M853" s="268"/>
      <c r="N853" s="259" t="str" cm="1">
        <f t="array" ref="N853">IF($L853&gt;0, INDEX(Clean,1+AK853,$D$1), "")</f>
        <v/>
      </c>
      <c r="O853" s="260"/>
      <c r="P853" s="260"/>
      <c r="Q853" s="261"/>
      <c r="R853" s="264">
        <f t="shared" si="860"/>
        <v>0</v>
      </c>
      <c r="S853" s="259" t="str" cm="1">
        <f t="array" ref="S853">IF($L853&gt;0, INDEX(Clean,1+AL853,$D$1), "")</f>
        <v/>
      </c>
      <c r="T853" s="260"/>
      <c r="U853" s="260"/>
      <c r="V853" s="261"/>
      <c r="W853" s="267"/>
      <c r="X853" s="267"/>
      <c r="Y853" s="257"/>
      <c r="Z853" s="264">
        <f t="shared" si="861"/>
        <v>0</v>
      </c>
      <c r="AA853" s="269"/>
      <c r="AB853" s="266"/>
      <c r="AC853" s="254"/>
      <c r="AD853" s="255" t="str">
        <f>IF(ISBLANK(AC853), "", VLOOKUP(AC853, Z!$A$2:$C$4127, 3, FALSE))</f>
        <v/>
      </c>
      <c r="AE853" s="270"/>
      <c r="AF853" s="265">
        <f t="shared" si="862"/>
        <v>0</v>
      </c>
      <c r="AG853" s="246"/>
      <c r="AH853" s="228">
        <f t="shared" si="885"/>
        <v>1</v>
      </c>
      <c r="AI853" s="228">
        <f t="shared" si="886"/>
        <v>1</v>
      </c>
      <c r="AJ853" s="228">
        <f t="shared" si="887"/>
        <v>0</v>
      </c>
      <c r="AK853" s="228">
        <v>0</v>
      </c>
      <c r="AL853" s="228">
        <v>0</v>
      </c>
      <c r="AM853" s="228">
        <f t="shared" si="863"/>
        <v>-100</v>
      </c>
      <c r="AN853" s="228" cm="1">
        <f t="array" ref="AN853">IF(ISBLANK(G853), 1, IFERROR(MATCH(G853, INDEX(Kat,,1), 0), IFERROR(MATCH(Kat, INDEX(Use,,2), 0), MATCH(Kat, INDEX(Use,,3), 0))))</f>
        <v>1</v>
      </c>
      <c r="AO853" s="246"/>
      <c r="AP853" s="228" cm="1">
        <f t="array" ref="AP853">IF(W853&gt;0, INDEX(Kat, AN853,4), 0)</f>
        <v>0</v>
      </c>
      <c r="AQ853" s="228">
        <f t="shared" si="888"/>
        <v>0</v>
      </c>
      <c r="AR853" s="228" cm="1">
        <f t="array" ref="AR853">IF(X853&gt;0, INDEX(Kat, $AN853, 4+AQ853), 0)</f>
        <v>0</v>
      </c>
      <c r="AS853" s="228" cm="1">
        <f t="array" ref="AS853">IF(X853&gt;0, INDEX(Kat, $AN853, 9+AQ853), 0)</f>
        <v>0</v>
      </c>
      <c r="AT853" s="246"/>
      <c r="AU853" s="262"/>
      <c r="AV853" s="262"/>
      <c r="AW853" s="263"/>
      <c r="AX853" s="263"/>
      <c r="AY853" s="263"/>
      <c r="AZ853" s="263"/>
      <c r="BA853" s="263"/>
      <c r="BB853" s="263"/>
      <c r="BC853" s="263"/>
      <c r="BD853" s="263"/>
      <c r="BE853" s="263"/>
      <c r="BF853" s="263"/>
      <c r="BG853" s="263"/>
      <c r="BH853" s="246"/>
      <c r="BI853" s="228" cm="1">
        <f t="array" ref="BI853">INDEX(Use, $AH853, 4)</f>
        <v>7</v>
      </c>
      <c r="BJ853" s="228">
        <f t="shared" si="864"/>
        <v>32</v>
      </c>
      <c r="BK853" s="228">
        <f t="shared" si="852"/>
        <v>13</v>
      </c>
      <c r="BL853" s="228">
        <f t="shared" si="853"/>
        <v>0</v>
      </c>
      <c r="BM853" s="233" cm="1">
        <f t="array" ref="BM853">L853/IF($M853&gt;0, INDEX($AY$22:$BE$76, $M853+20, $AH853), 1)</f>
        <v>0</v>
      </c>
      <c r="BN853" s="229">
        <f t="shared" si="865"/>
        <v>0</v>
      </c>
      <c r="BO853" s="228">
        <v>35</v>
      </c>
      <c r="BP853" s="229">
        <f t="shared" si="866"/>
        <v>48</v>
      </c>
      <c r="BQ853" s="234">
        <f t="shared" si="867"/>
        <v>3.0748170731707316</v>
      </c>
      <c r="BR853" s="234" cm="1">
        <f t="array" ref="BR853">$BM853 * SUMPRODUCT(INDEX($AV$76:$AX$81,,$AI853),INDEX($AY$76:$BE$81,,$AH853), N($AU$76:$AU$81&gt;$AM853)) / BQ853 / 1000</f>
        <v>0</v>
      </c>
      <c r="BS853" s="231">
        <f t="shared" si="854"/>
        <v>30</v>
      </c>
      <c r="BT853" s="229">
        <f t="shared" si="868"/>
        <v>43</v>
      </c>
      <c r="BU853" s="234">
        <f t="shared" si="869"/>
        <v>3.5018750000000001</v>
      </c>
      <c r="BV853" s="234" cm="1">
        <f t="array" ref="BV853">$BM853 * IF($AH853&lt;=2,
SUMPRODUCT(INDEX($AV$71:$AX$75,,$AI853), INDEX($AY$71:$BE$75,,$AH853), 1 / ($BF$71:$BF$75*BU853 + (1-$BF$71:$BF$75)*BQ853), N($AU$71:$AU$75&gt;$AM853)),
SUMPRODUCT(INDEX($AV$66:$AX$75,,$AI853), INDEX($AY$66:$BE$75,,$AH853), 1 / ($BG$66:$BG$75*BU853 + (1-$BG$66:$BG$75)*BQ853), N($AU$66:$AU$75&gt;$AM853))
) / 1000</f>
        <v>0</v>
      </c>
      <c r="BW853" s="231">
        <f t="shared" si="855"/>
        <v>25</v>
      </c>
      <c r="BX853" s="229">
        <f t="shared" si="870"/>
        <v>38</v>
      </c>
      <c r="BY853" s="234">
        <f t="shared" si="871"/>
        <v>4.0666935483870965</v>
      </c>
      <c r="BZ853" s="234" cm="1">
        <f t="array" ref="BZ853">$BM853 * IF($AH853&lt;=2,
SUMPRODUCT(INDEX($AV$66:$AX$70,,$AI853), INDEX($AY$66:$BE$70,,$AH853), 1 / ($BF$66:$BF$70*BY853 + (1-$BF$66:$BF$70)*BU853), N($AU$66:$AU$70&gt;$AM853)),
SUMPRODUCT(INDEX($AV$56:$AX$65,,$AI853), INDEX($AY$56:$BE$65,,$AH853), 1 / ($BG$56:$BG$65*BY853 + (1-$BG$56:$BG$65)*BU853), N($AU$56:$AU$65&gt;$AM853))
) / 1000</f>
        <v>0</v>
      </c>
      <c r="CA853" s="231">
        <f t="shared" si="856"/>
        <v>20</v>
      </c>
      <c r="CB853" s="229">
        <f t="shared" si="872"/>
        <v>33</v>
      </c>
      <c r="CC853" s="234">
        <f t="shared" si="873"/>
        <v>4.8487499999999999</v>
      </c>
      <c r="CD853" s="234" cm="1">
        <f t="array" ref="CD853">$BM853 * IF($AH853&lt;=2,
SUMPRODUCT(INDEX($AV$61:$AX$65,,$AI853), INDEX($AY$61:$BE$65,,$AH853), 1 / ($BF$61:$BF$65*CC853 + (1-$BF$61:$BF$65)*BY853), N($AU$61:$AU$65&gt;$AM853)),
SUMPRODUCT(INDEX($AV$46:$AX$55,,$AI853), INDEX($AY$46:$BE$55,,$AH853), 1 / ($BG$46:$BG$55*CC853 + (1-$BG$46:$BG$55)*BY853), N($AU$46:$AU$55&gt;$AM853))
) / 1000</f>
        <v>0</v>
      </c>
      <c r="CE853" s="234" cm="1">
        <f t="array" ref="CE853">$BM853 * IF($AH853&lt;=2,
SUMPRODUCT(INDEX($AV$22:$AX$60,,$AI853), INDEX($AY$22:$BE$60,,$AH853), 1 / ($BF$22:$BF$60*CC853), N($AU$22:$AU$60&gt;$AM853)),
SUMPRODUCT(INDEX($AV$22:$AX$45,,$AI853), INDEX($AY$22:$BE$45,,$AH853), 1 / ($BG$22:$BG$45*CC853), N($AU$22:$AU$45&gt;$AM853))
) / 1000</f>
        <v>0</v>
      </c>
      <c r="CF853" s="229">
        <f t="shared" si="874"/>
        <v>0</v>
      </c>
      <c r="CG853" s="246"/>
      <c r="CH853" s="229">
        <f t="shared" si="875"/>
        <v>0</v>
      </c>
      <c r="CI853" s="228">
        <v>35</v>
      </c>
      <c r="CJ853" s="229">
        <f t="shared" si="876"/>
        <v>48</v>
      </c>
      <c r="CK853" s="234">
        <f t="shared" si="877"/>
        <v>3.0748170731707316</v>
      </c>
      <c r="CL853" s="234" cm="1">
        <f t="array" ref="CL853">$BM853 * SUMPRODUCT(INDEX($AV$76:$AX$81,,$AI853),INDEX($AY$76:$BE$81,,$AH853), N($AU$76:$AU$81&gt;$AM853)) / CK853 / 1000</f>
        <v>0</v>
      </c>
      <c r="CM853" s="231">
        <f t="shared" si="857"/>
        <v>30</v>
      </c>
      <c r="CN853" s="229">
        <f t="shared" si="878"/>
        <v>43</v>
      </c>
      <c r="CO853" s="234">
        <f t="shared" si="879"/>
        <v>3.5018750000000001</v>
      </c>
      <c r="CP853" s="234" cm="1">
        <f t="array" ref="CP853">$BM853 * IF($AH853&lt;=2,
SUMPRODUCT(INDEX($AV$71:$AX$75,,$AI853), INDEX($AY$71:$BE$75,,$AH853), 1 / ($BF$71:$BF$75*CO853 + (1-$BF$71:$BF$75)*CK853), N($AU$71:$AU$75&gt;$AM853)),
SUMPRODUCT(INDEX($AV$66:$AX$75,,$AI853), INDEX($AY$66:$BE$75,,$AH853), 1 / ($BG$66:$BG$75*CO853 + (1-$BG$66:$BG$75)*CK853), N($AU$66:$AU$75&gt;$AM853))
) / 1000</f>
        <v>0</v>
      </c>
      <c r="CQ853" s="231">
        <f t="shared" si="858"/>
        <v>25</v>
      </c>
      <c r="CR853" s="229">
        <f t="shared" si="880"/>
        <v>38</v>
      </c>
      <c r="CS853" s="234">
        <f t="shared" si="881"/>
        <v>4.0666935483870965</v>
      </c>
      <c r="CT853" s="234" cm="1">
        <f t="array" ref="CT853">$BM853 * IF($AH853&lt;=2,
SUMPRODUCT(INDEX($AV$66:$AX$70,,$AI853), INDEX($AY$66:$BE$70,,$AH853), 1 / ($BF$66:$BF$70*CS853 + (1-$BF$66:$BF$70)*CO853), N($AU$66:$AU$70&gt;$AM853)),
SUMPRODUCT(INDEX($AV$56:$AX$65,,$AI853), INDEX($AY$56:$BE$65,,$AH853), 1 / ($BG$56:$BG$65*CS853 + (1-$BG$56:$BG$65)*CO853), N($AU$56:$AU$65&gt;$AM853))
) / 1000</f>
        <v>0</v>
      </c>
      <c r="CU853" s="231">
        <f t="shared" si="859"/>
        <v>20</v>
      </c>
      <c r="CV853" s="229">
        <f t="shared" si="882"/>
        <v>33</v>
      </c>
      <c r="CW853" s="234">
        <f t="shared" si="883"/>
        <v>4.8487499999999999</v>
      </c>
      <c r="CX853" s="234" cm="1">
        <f t="array" ref="CX853">$BM853 * IF($AH853&lt;=2,
SUMPRODUCT(INDEX($AV$61:$AX$65,,$AI853), INDEX($AY$61:$BE$65,,$AH853), 1 / ($BF$61:$BF$65*CW853 + (1-$BF$61:$BF$65)*CS853), N($AU$61:$AU$65&gt;$AM853)),
SUMPRODUCT(INDEX($AV$46:$AX$55,,$AI853), INDEX($AY$46:$BE$55,,$AH853), 1 / ($BG$46:$BG$55*CW853 + (1-$BG$46:$BG$55)*CS853), N($AU$46:$AU$55&gt;$AM853))
) / 1000</f>
        <v>0</v>
      </c>
      <c r="CY853" s="234" cm="1">
        <f t="array" ref="CY853">$BM853 * IF($AH853&lt;=2,
SUMPRODUCT(INDEX($AV$22:$AX$60,,$AI853), INDEX($AY$22:$BE$60,,$AH853), 1 / ($BF$22:$BF$60*CW853), N($AU$22:$AU$60&gt;$AM853)),
SUMPRODUCT(INDEX($AV$22:$AX$45,,$AI853), INDEX($AY$22:$BE$45,,$AH853), 1 / ($BG$22:$BG$45*CW853), N($AU$22:$AU$45&gt;$AM853))
) / 1000</f>
        <v>0</v>
      </c>
      <c r="CZ853" s="229">
        <f t="shared" si="884"/>
        <v>0</v>
      </c>
      <c r="DA853" s="246"/>
    </row>
    <row r="854" spans="1:105" s="75" customFormat="1" ht="14.25" customHeight="1" x14ac:dyDescent="0.2">
      <c r="A854" s="230" t="b">
        <f t="shared" si="889"/>
        <v>0</v>
      </c>
      <c r="B854" s="253">
        <v>833</v>
      </c>
      <c r="C854" s="266"/>
      <c r="D854" s="266"/>
      <c r="E854" s="254"/>
      <c r="F854" s="255" t="str">
        <f>IF(ISBLANK(E854), "", VLOOKUP(E854, Z!$A$2:$C$4127, 3, FALSE))</f>
        <v/>
      </c>
      <c r="G854" s="256"/>
      <c r="H854" s="256"/>
      <c r="I854" s="256"/>
      <c r="J854" s="257"/>
      <c r="K854" s="258"/>
      <c r="L854" s="267"/>
      <c r="M854" s="268"/>
      <c r="N854" s="259" t="str" cm="1">
        <f t="array" ref="N854">IF($L854&gt;0, INDEX(Clean,1+AK854,$D$1), "")</f>
        <v/>
      </c>
      <c r="O854" s="260"/>
      <c r="P854" s="260"/>
      <c r="Q854" s="261"/>
      <c r="R854" s="264">
        <f t="shared" si="860"/>
        <v>0</v>
      </c>
      <c r="S854" s="259" t="str" cm="1">
        <f t="array" ref="S854">IF($L854&gt;0, INDEX(Clean,1+AL854,$D$1), "")</f>
        <v/>
      </c>
      <c r="T854" s="260"/>
      <c r="U854" s="260"/>
      <c r="V854" s="261"/>
      <c r="W854" s="267"/>
      <c r="X854" s="267"/>
      <c r="Y854" s="257"/>
      <c r="Z854" s="264">
        <f t="shared" si="861"/>
        <v>0</v>
      </c>
      <c r="AA854" s="269"/>
      <c r="AB854" s="266"/>
      <c r="AC854" s="254"/>
      <c r="AD854" s="255" t="str">
        <f>IF(ISBLANK(AC854), "", VLOOKUP(AC854, Z!$A$2:$C$4127, 3, FALSE))</f>
        <v/>
      </c>
      <c r="AE854" s="270"/>
      <c r="AF854" s="265">
        <f t="shared" si="862"/>
        <v>0</v>
      </c>
      <c r="AG854" s="246"/>
      <c r="AH854" s="228">
        <f t="shared" si="885"/>
        <v>1</v>
      </c>
      <c r="AI854" s="228">
        <f t="shared" si="886"/>
        <v>1</v>
      </c>
      <c r="AJ854" s="228">
        <f t="shared" si="887"/>
        <v>0</v>
      </c>
      <c r="AK854" s="228">
        <v>0</v>
      </c>
      <c r="AL854" s="228">
        <v>0</v>
      </c>
      <c r="AM854" s="228">
        <f t="shared" si="863"/>
        <v>-100</v>
      </c>
      <c r="AN854" s="228" cm="1">
        <f t="array" ref="AN854">IF(ISBLANK(G854), 1, IFERROR(MATCH(G854, INDEX(Kat,,1), 0), IFERROR(MATCH(Kat, INDEX(Use,,2), 0), MATCH(Kat, INDEX(Use,,3), 0))))</f>
        <v>1</v>
      </c>
      <c r="AO854" s="246"/>
      <c r="AP854" s="228" cm="1">
        <f t="array" ref="AP854">IF(W854&gt;0, INDEX(Kat, AN854,4), 0)</f>
        <v>0</v>
      </c>
      <c r="AQ854" s="228">
        <f t="shared" si="888"/>
        <v>0</v>
      </c>
      <c r="AR854" s="228" cm="1">
        <f t="array" ref="AR854">IF(X854&gt;0, INDEX(Kat, $AN854, 4+AQ854), 0)</f>
        <v>0</v>
      </c>
      <c r="AS854" s="228" cm="1">
        <f t="array" ref="AS854">IF(X854&gt;0, INDEX(Kat, $AN854, 9+AQ854), 0)</f>
        <v>0</v>
      </c>
      <c r="AT854" s="246"/>
      <c r="AU854" s="262"/>
      <c r="AV854" s="262"/>
      <c r="AW854" s="263"/>
      <c r="AX854" s="263"/>
      <c r="AY854" s="263"/>
      <c r="AZ854" s="263"/>
      <c r="BA854" s="263"/>
      <c r="BB854" s="263"/>
      <c r="BC854" s="263"/>
      <c r="BD854" s="263"/>
      <c r="BE854" s="263"/>
      <c r="BF854" s="263"/>
      <c r="BG854" s="263"/>
      <c r="BH854" s="246"/>
      <c r="BI854" s="228" cm="1">
        <f t="array" ref="BI854">INDEX(Use, $AH854, 4)</f>
        <v>7</v>
      </c>
      <c r="BJ854" s="228">
        <f t="shared" si="864"/>
        <v>32</v>
      </c>
      <c r="BK854" s="228">
        <f t="shared" ref="BK854:BK917" si="890">IF($AJ854=1, 6, IF($AH854=4, 10, 13))</f>
        <v>13</v>
      </c>
      <c r="BL854" s="228">
        <f t="shared" ref="BL854:BL917" si="891">IF($AJ854=1, 9, 0)</f>
        <v>0</v>
      </c>
      <c r="BM854" s="233" cm="1">
        <f t="array" ref="BM854">L854/IF($M854&gt;0, INDEX($AY$22:$BE$76, $M854+20, $AH854), 1)</f>
        <v>0</v>
      </c>
      <c r="BN854" s="229">
        <f t="shared" si="865"/>
        <v>0</v>
      </c>
      <c r="BO854" s="228">
        <v>35</v>
      </c>
      <c r="BP854" s="229">
        <f t="shared" si="866"/>
        <v>48</v>
      </c>
      <c r="BQ854" s="234">
        <f t="shared" si="867"/>
        <v>3.0748170731707316</v>
      </c>
      <c r="BR854" s="234" cm="1">
        <f t="array" ref="BR854">$BM854 * SUMPRODUCT(INDEX($AV$76:$AX$81,,$AI854),INDEX($AY$76:$BE$81,,$AH854), N($AU$76:$AU$81&gt;$AM854)) / BQ854 / 1000</f>
        <v>0</v>
      </c>
      <c r="BS854" s="231">
        <f t="shared" ref="BS854:BS917" si="892">IF($AH854&lt;=2, 30, 25)</f>
        <v>30</v>
      </c>
      <c r="BT854" s="229">
        <f t="shared" si="868"/>
        <v>43</v>
      </c>
      <c r="BU854" s="234">
        <f t="shared" si="869"/>
        <v>3.5018750000000001</v>
      </c>
      <c r="BV854" s="234" cm="1">
        <f t="array" ref="BV854">$BM854 * IF($AH854&lt;=2,
SUMPRODUCT(INDEX($AV$71:$AX$75,,$AI854), INDEX($AY$71:$BE$75,,$AH854), 1 / ($BF$71:$BF$75*BU854 + (1-$BF$71:$BF$75)*BQ854), N($AU$71:$AU$75&gt;$AM854)),
SUMPRODUCT(INDEX($AV$66:$AX$75,,$AI854), INDEX($AY$66:$BE$75,,$AH854), 1 / ($BG$66:$BG$75*BU854 + (1-$BG$66:$BG$75)*BQ854), N($AU$66:$AU$75&gt;$AM854))
) / 1000</f>
        <v>0</v>
      </c>
      <c r="BW854" s="231">
        <f t="shared" ref="BW854:BW917" si="893">IF($AH854&lt;=2, 25, 15)</f>
        <v>25</v>
      </c>
      <c r="BX854" s="229">
        <f t="shared" si="870"/>
        <v>38</v>
      </c>
      <c r="BY854" s="234">
        <f t="shared" si="871"/>
        <v>4.0666935483870965</v>
      </c>
      <c r="BZ854" s="234" cm="1">
        <f t="array" ref="BZ854">$BM854 * IF($AH854&lt;=2,
SUMPRODUCT(INDEX($AV$66:$AX$70,,$AI854), INDEX($AY$66:$BE$70,,$AH854), 1 / ($BF$66:$BF$70*BY854 + (1-$BF$66:$BF$70)*BU854), N($AU$66:$AU$70&gt;$AM854)),
SUMPRODUCT(INDEX($AV$56:$AX$65,,$AI854), INDEX($AY$56:$BE$65,,$AH854), 1 / ($BG$56:$BG$65*BY854 + (1-$BG$56:$BG$65)*BU854), N($AU$56:$AU$65&gt;$AM854))
) / 1000</f>
        <v>0</v>
      </c>
      <c r="CA854" s="231">
        <f t="shared" ref="CA854:CA917" si="894">IF($AH854&lt;=2, 20, 5)</f>
        <v>20</v>
      </c>
      <c r="CB854" s="229">
        <f t="shared" si="872"/>
        <v>33</v>
      </c>
      <c r="CC854" s="234">
        <f t="shared" si="873"/>
        <v>4.8487499999999999</v>
      </c>
      <c r="CD854" s="234" cm="1">
        <f t="array" ref="CD854">$BM854 * IF($AH854&lt;=2,
SUMPRODUCT(INDEX($AV$61:$AX$65,,$AI854), INDEX($AY$61:$BE$65,,$AH854), 1 / ($BF$61:$BF$65*CC854 + (1-$BF$61:$BF$65)*BY854), N($AU$61:$AU$65&gt;$AM854)),
SUMPRODUCT(INDEX($AV$46:$AX$55,,$AI854), INDEX($AY$46:$BE$55,,$AH854), 1 / ($BG$46:$BG$55*CC854 + (1-$BG$46:$BG$55)*BY854), N($AU$46:$AU$55&gt;$AM854))
) / 1000</f>
        <v>0</v>
      </c>
      <c r="CE854" s="234" cm="1">
        <f t="array" ref="CE854">$BM854 * IF($AH854&lt;=2,
SUMPRODUCT(INDEX($AV$22:$AX$60,,$AI854), INDEX($AY$22:$BE$60,,$AH854), 1 / ($BF$22:$BF$60*CC854), N($AU$22:$AU$60&gt;$AM854)),
SUMPRODUCT(INDEX($AV$22:$AX$45,,$AI854), INDEX($AY$22:$BE$45,,$AH854), 1 / ($BG$22:$BG$45*CC854), N($AU$22:$AU$45&gt;$AM854))
) / 1000</f>
        <v>0</v>
      </c>
      <c r="CF854" s="229">
        <f t="shared" si="874"/>
        <v>0</v>
      </c>
      <c r="CG854" s="246"/>
      <c r="CH854" s="229">
        <f t="shared" si="875"/>
        <v>0</v>
      </c>
      <c r="CI854" s="228">
        <v>35</v>
      </c>
      <c r="CJ854" s="229">
        <f t="shared" si="876"/>
        <v>48</v>
      </c>
      <c r="CK854" s="234">
        <f t="shared" si="877"/>
        <v>3.0748170731707316</v>
      </c>
      <c r="CL854" s="234" cm="1">
        <f t="array" ref="CL854">$BM854 * SUMPRODUCT(INDEX($AV$76:$AX$81,,$AI854),INDEX($AY$76:$BE$81,,$AH854), N($AU$76:$AU$81&gt;$AM854)) / CK854 / 1000</f>
        <v>0</v>
      </c>
      <c r="CM854" s="231">
        <f t="shared" ref="CM854:CM917" si="895">IF($AH854&lt;=2, 30, 25)</f>
        <v>30</v>
      </c>
      <c r="CN854" s="229">
        <f t="shared" si="878"/>
        <v>43</v>
      </c>
      <c r="CO854" s="234">
        <f t="shared" si="879"/>
        <v>3.5018750000000001</v>
      </c>
      <c r="CP854" s="234" cm="1">
        <f t="array" ref="CP854">$BM854 * IF($AH854&lt;=2,
SUMPRODUCT(INDEX($AV$71:$AX$75,,$AI854), INDEX($AY$71:$BE$75,,$AH854), 1 / ($BF$71:$BF$75*CO854 + (1-$BF$71:$BF$75)*CK854), N($AU$71:$AU$75&gt;$AM854)),
SUMPRODUCT(INDEX($AV$66:$AX$75,,$AI854), INDEX($AY$66:$BE$75,,$AH854), 1 / ($BG$66:$BG$75*CO854 + (1-$BG$66:$BG$75)*CK854), N($AU$66:$AU$75&gt;$AM854))
) / 1000</f>
        <v>0</v>
      </c>
      <c r="CQ854" s="231">
        <f t="shared" ref="CQ854:CQ917" si="896">IF($AH854&lt;=2, 25, 15)</f>
        <v>25</v>
      </c>
      <c r="CR854" s="229">
        <f t="shared" si="880"/>
        <v>38</v>
      </c>
      <c r="CS854" s="234">
        <f t="shared" si="881"/>
        <v>4.0666935483870965</v>
      </c>
      <c r="CT854" s="234" cm="1">
        <f t="array" ref="CT854">$BM854 * IF($AH854&lt;=2,
SUMPRODUCT(INDEX($AV$66:$AX$70,,$AI854), INDEX($AY$66:$BE$70,,$AH854), 1 / ($BF$66:$BF$70*CS854 + (1-$BF$66:$BF$70)*CO854), N($AU$66:$AU$70&gt;$AM854)),
SUMPRODUCT(INDEX($AV$56:$AX$65,,$AI854), INDEX($AY$56:$BE$65,,$AH854), 1 / ($BG$56:$BG$65*CS854 + (1-$BG$56:$BG$65)*CO854), N($AU$56:$AU$65&gt;$AM854))
) / 1000</f>
        <v>0</v>
      </c>
      <c r="CU854" s="231">
        <f t="shared" ref="CU854:CU917" si="897">IF($AH854&lt;=2, 20, 5)</f>
        <v>20</v>
      </c>
      <c r="CV854" s="229">
        <f t="shared" si="882"/>
        <v>33</v>
      </c>
      <c r="CW854" s="234">
        <f t="shared" si="883"/>
        <v>4.8487499999999999</v>
      </c>
      <c r="CX854" s="234" cm="1">
        <f t="array" ref="CX854">$BM854 * IF($AH854&lt;=2,
SUMPRODUCT(INDEX($AV$61:$AX$65,,$AI854), INDEX($AY$61:$BE$65,,$AH854), 1 / ($BF$61:$BF$65*CW854 + (1-$BF$61:$BF$65)*CS854), N($AU$61:$AU$65&gt;$AM854)),
SUMPRODUCT(INDEX($AV$46:$AX$55,,$AI854), INDEX($AY$46:$BE$55,,$AH854), 1 / ($BG$46:$BG$55*CW854 + (1-$BG$46:$BG$55)*CS854), N($AU$46:$AU$55&gt;$AM854))
) / 1000</f>
        <v>0</v>
      </c>
      <c r="CY854" s="234" cm="1">
        <f t="array" ref="CY854">$BM854 * IF($AH854&lt;=2,
SUMPRODUCT(INDEX($AV$22:$AX$60,,$AI854), INDEX($AY$22:$BE$60,,$AH854), 1 / ($BF$22:$BF$60*CW854), N($AU$22:$AU$60&gt;$AM854)),
SUMPRODUCT(INDEX($AV$22:$AX$45,,$AI854), INDEX($AY$22:$BE$45,,$AH854), 1 / ($BG$22:$BG$45*CW854), N($AU$22:$AU$45&gt;$AM854))
) / 1000</f>
        <v>0</v>
      </c>
      <c r="CZ854" s="229">
        <f t="shared" si="884"/>
        <v>0</v>
      </c>
      <c r="DA854" s="246"/>
    </row>
    <row r="855" spans="1:105" s="75" customFormat="1" ht="14.25" customHeight="1" x14ac:dyDescent="0.2">
      <c r="A855" s="230" t="b">
        <f t="shared" si="889"/>
        <v>0</v>
      </c>
      <c r="B855" s="253">
        <v>834</v>
      </c>
      <c r="C855" s="266"/>
      <c r="D855" s="266"/>
      <c r="E855" s="254"/>
      <c r="F855" s="255" t="str">
        <f>IF(ISBLANK(E855), "", VLOOKUP(E855, Z!$A$2:$C$4127, 3, FALSE))</f>
        <v/>
      </c>
      <c r="G855" s="256"/>
      <c r="H855" s="256"/>
      <c r="I855" s="256"/>
      <c r="J855" s="257"/>
      <c r="K855" s="258"/>
      <c r="L855" s="267"/>
      <c r="M855" s="268"/>
      <c r="N855" s="259" t="str" cm="1">
        <f t="array" ref="N855">IF($L855&gt;0, INDEX(Clean,1+AK855,$D$1), "")</f>
        <v/>
      </c>
      <c r="O855" s="260"/>
      <c r="P855" s="260"/>
      <c r="Q855" s="261"/>
      <c r="R855" s="264">
        <f t="shared" si="860"/>
        <v>0</v>
      </c>
      <c r="S855" s="259" t="str" cm="1">
        <f t="array" ref="S855">IF($L855&gt;0, INDEX(Clean,1+AL855,$D$1), "")</f>
        <v/>
      </c>
      <c r="T855" s="260"/>
      <c r="U855" s="260"/>
      <c r="V855" s="261"/>
      <c r="W855" s="267"/>
      <c r="X855" s="267"/>
      <c r="Y855" s="257"/>
      <c r="Z855" s="264">
        <f t="shared" si="861"/>
        <v>0</v>
      </c>
      <c r="AA855" s="269"/>
      <c r="AB855" s="266"/>
      <c r="AC855" s="254"/>
      <c r="AD855" s="255" t="str">
        <f>IF(ISBLANK(AC855), "", VLOOKUP(AC855, Z!$A$2:$C$4127, 3, FALSE))</f>
        <v/>
      </c>
      <c r="AE855" s="270"/>
      <c r="AF855" s="265">
        <f t="shared" si="862"/>
        <v>0</v>
      </c>
      <c r="AG855" s="246"/>
      <c r="AH855" s="228">
        <f t="shared" si="885"/>
        <v>1</v>
      </c>
      <c r="AI855" s="228">
        <f t="shared" si="886"/>
        <v>1</v>
      </c>
      <c r="AJ855" s="228">
        <f t="shared" si="887"/>
        <v>0</v>
      </c>
      <c r="AK855" s="228">
        <v>0</v>
      </c>
      <c r="AL855" s="228">
        <v>0</v>
      </c>
      <c r="AM855" s="228">
        <f t="shared" si="863"/>
        <v>-100</v>
      </c>
      <c r="AN855" s="228" cm="1">
        <f t="array" ref="AN855">IF(ISBLANK(G855), 1, IFERROR(MATCH(G855, INDEX(Kat,,1), 0), IFERROR(MATCH(Kat, INDEX(Use,,2), 0), MATCH(Kat, INDEX(Use,,3), 0))))</f>
        <v>1</v>
      </c>
      <c r="AO855" s="246"/>
      <c r="AP855" s="228" cm="1">
        <f t="array" ref="AP855">IF(W855&gt;0, INDEX(Kat, AN855,4), 0)</f>
        <v>0</v>
      </c>
      <c r="AQ855" s="228">
        <f t="shared" si="888"/>
        <v>0</v>
      </c>
      <c r="AR855" s="228" cm="1">
        <f t="array" ref="AR855">IF(X855&gt;0, INDEX(Kat, $AN855, 4+AQ855), 0)</f>
        <v>0</v>
      </c>
      <c r="AS855" s="228" cm="1">
        <f t="array" ref="AS855">IF(X855&gt;0, INDEX(Kat, $AN855, 9+AQ855), 0)</f>
        <v>0</v>
      </c>
      <c r="AT855" s="246"/>
      <c r="AU855" s="262"/>
      <c r="AV855" s="262"/>
      <c r="AW855" s="263"/>
      <c r="AX855" s="263"/>
      <c r="AY855" s="263"/>
      <c r="AZ855" s="263"/>
      <c r="BA855" s="263"/>
      <c r="BB855" s="263"/>
      <c r="BC855" s="263"/>
      <c r="BD855" s="263"/>
      <c r="BE855" s="263"/>
      <c r="BF855" s="263"/>
      <c r="BG855" s="263"/>
      <c r="BH855" s="246"/>
      <c r="BI855" s="228" cm="1">
        <f t="array" ref="BI855">INDEX(Use, $AH855, 4)</f>
        <v>7</v>
      </c>
      <c r="BJ855" s="228">
        <f t="shared" si="864"/>
        <v>32</v>
      </c>
      <c r="BK855" s="228">
        <f t="shared" si="890"/>
        <v>13</v>
      </c>
      <c r="BL855" s="228">
        <f t="shared" si="891"/>
        <v>0</v>
      </c>
      <c r="BM855" s="233" cm="1">
        <f t="array" ref="BM855">L855/IF($M855&gt;0, INDEX($AY$22:$BE$76, $M855+20, $AH855), 1)</f>
        <v>0</v>
      </c>
      <c r="BN855" s="229">
        <f t="shared" si="865"/>
        <v>0</v>
      </c>
      <c r="BO855" s="228">
        <v>35</v>
      </c>
      <c r="BP855" s="229">
        <f t="shared" si="866"/>
        <v>48</v>
      </c>
      <c r="BQ855" s="234">
        <f t="shared" si="867"/>
        <v>3.0748170731707316</v>
      </c>
      <c r="BR855" s="234" cm="1">
        <f t="array" ref="BR855">$BM855 * SUMPRODUCT(INDEX($AV$76:$AX$81,,$AI855),INDEX($AY$76:$BE$81,,$AH855), N($AU$76:$AU$81&gt;$AM855)) / BQ855 / 1000</f>
        <v>0</v>
      </c>
      <c r="BS855" s="231">
        <f t="shared" si="892"/>
        <v>30</v>
      </c>
      <c r="BT855" s="229">
        <f t="shared" si="868"/>
        <v>43</v>
      </c>
      <c r="BU855" s="234">
        <f t="shared" si="869"/>
        <v>3.5018750000000001</v>
      </c>
      <c r="BV855" s="234" cm="1">
        <f t="array" ref="BV855">$BM855 * IF($AH855&lt;=2,
SUMPRODUCT(INDEX($AV$71:$AX$75,,$AI855), INDEX($AY$71:$BE$75,,$AH855), 1 / ($BF$71:$BF$75*BU855 + (1-$BF$71:$BF$75)*BQ855), N($AU$71:$AU$75&gt;$AM855)),
SUMPRODUCT(INDEX($AV$66:$AX$75,,$AI855), INDEX($AY$66:$BE$75,,$AH855), 1 / ($BG$66:$BG$75*BU855 + (1-$BG$66:$BG$75)*BQ855), N($AU$66:$AU$75&gt;$AM855))
) / 1000</f>
        <v>0</v>
      </c>
      <c r="BW855" s="231">
        <f t="shared" si="893"/>
        <v>25</v>
      </c>
      <c r="BX855" s="229">
        <f t="shared" si="870"/>
        <v>38</v>
      </c>
      <c r="BY855" s="234">
        <f t="shared" si="871"/>
        <v>4.0666935483870965</v>
      </c>
      <c r="BZ855" s="234" cm="1">
        <f t="array" ref="BZ855">$BM855 * IF($AH855&lt;=2,
SUMPRODUCT(INDEX($AV$66:$AX$70,,$AI855), INDEX($AY$66:$BE$70,,$AH855), 1 / ($BF$66:$BF$70*BY855 + (1-$BF$66:$BF$70)*BU855), N($AU$66:$AU$70&gt;$AM855)),
SUMPRODUCT(INDEX($AV$56:$AX$65,,$AI855), INDEX($AY$56:$BE$65,,$AH855), 1 / ($BG$56:$BG$65*BY855 + (1-$BG$56:$BG$65)*BU855), N($AU$56:$AU$65&gt;$AM855))
) / 1000</f>
        <v>0</v>
      </c>
      <c r="CA855" s="231">
        <f t="shared" si="894"/>
        <v>20</v>
      </c>
      <c r="CB855" s="229">
        <f t="shared" si="872"/>
        <v>33</v>
      </c>
      <c r="CC855" s="234">
        <f t="shared" si="873"/>
        <v>4.8487499999999999</v>
      </c>
      <c r="CD855" s="234" cm="1">
        <f t="array" ref="CD855">$BM855 * IF($AH855&lt;=2,
SUMPRODUCT(INDEX($AV$61:$AX$65,,$AI855), INDEX($AY$61:$BE$65,,$AH855), 1 / ($BF$61:$BF$65*CC855 + (1-$BF$61:$BF$65)*BY855), N($AU$61:$AU$65&gt;$AM855)),
SUMPRODUCT(INDEX($AV$46:$AX$55,,$AI855), INDEX($AY$46:$BE$55,,$AH855), 1 / ($BG$46:$BG$55*CC855 + (1-$BG$46:$BG$55)*BY855), N($AU$46:$AU$55&gt;$AM855))
) / 1000</f>
        <v>0</v>
      </c>
      <c r="CE855" s="234" cm="1">
        <f t="array" ref="CE855">$BM855 * IF($AH855&lt;=2,
SUMPRODUCT(INDEX($AV$22:$AX$60,,$AI855), INDEX($AY$22:$BE$60,,$AH855), 1 / ($BF$22:$BF$60*CC855), N($AU$22:$AU$60&gt;$AM855)),
SUMPRODUCT(INDEX($AV$22:$AX$45,,$AI855), INDEX($AY$22:$BE$45,,$AH855), 1 / ($BG$22:$BG$45*CC855), N($AU$22:$AU$45&gt;$AM855))
) / 1000</f>
        <v>0</v>
      </c>
      <c r="CF855" s="229">
        <f t="shared" si="874"/>
        <v>0</v>
      </c>
      <c r="CG855" s="246"/>
      <c r="CH855" s="229">
        <f t="shared" si="875"/>
        <v>0</v>
      </c>
      <c r="CI855" s="228">
        <v>35</v>
      </c>
      <c r="CJ855" s="229">
        <f t="shared" si="876"/>
        <v>48</v>
      </c>
      <c r="CK855" s="234">
        <f t="shared" si="877"/>
        <v>3.0748170731707316</v>
      </c>
      <c r="CL855" s="234" cm="1">
        <f t="array" ref="CL855">$BM855 * SUMPRODUCT(INDEX($AV$76:$AX$81,,$AI855),INDEX($AY$76:$BE$81,,$AH855), N($AU$76:$AU$81&gt;$AM855)) / CK855 / 1000</f>
        <v>0</v>
      </c>
      <c r="CM855" s="231">
        <f t="shared" si="895"/>
        <v>30</v>
      </c>
      <c r="CN855" s="229">
        <f t="shared" si="878"/>
        <v>43</v>
      </c>
      <c r="CO855" s="234">
        <f t="shared" si="879"/>
        <v>3.5018750000000001</v>
      </c>
      <c r="CP855" s="234" cm="1">
        <f t="array" ref="CP855">$BM855 * IF($AH855&lt;=2,
SUMPRODUCT(INDEX($AV$71:$AX$75,,$AI855), INDEX($AY$71:$BE$75,,$AH855), 1 / ($BF$71:$BF$75*CO855 + (1-$BF$71:$BF$75)*CK855), N($AU$71:$AU$75&gt;$AM855)),
SUMPRODUCT(INDEX($AV$66:$AX$75,,$AI855), INDEX($AY$66:$BE$75,,$AH855), 1 / ($BG$66:$BG$75*CO855 + (1-$BG$66:$BG$75)*CK855), N($AU$66:$AU$75&gt;$AM855))
) / 1000</f>
        <v>0</v>
      </c>
      <c r="CQ855" s="231">
        <f t="shared" si="896"/>
        <v>25</v>
      </c>
      <c r="CR855" s="229">
        <f t="shared" si="880"/>
        <v>38</v>
      </c>
      <c r="CS855" s="234">
        <f t="shared" si="881"/>
        <v>4.0666935483870965</v>
      </c>
      <c r="CT855" s="234" cm="1">
        <f t="array" ref="CT855">$BM855 * IF($AH855&lt;=2,
SUMPRODUCT(INDEX($AV$66:$AX$70,,$AI855), INDEX($AY$66:$BE$70,,$AH855), 1 / ($BF$66:$BF$70*CS855 + (1-$BF$66:$BF$70)*CO855), N($AU$66:$AU$70&gt;$AM855)),
SUMPRODUCT(INDEX($AV$56:$AX$65,,$AI855), INDEX($AY$56:$BE$65,,$AH855), 1 / ($BG$56:$BG$65*CS855 + (1-$BG$56:$BG$65)*CO855), N($AU$56:$AU$65&gt;$AM855))
) / 1000</f>
        <v>0</v>
      </c>
      <c r="CU855" s="231">
        <f t="shared" si="897"/>
        <v>20</v>
      </c>
      <c r="CV855" s="229">
        <f t="shared" si="882"/>
        <v>33</v>
      </c>
      <c r="CW855" s="234">
        <f t="shared" si="883"/>
        <v>4.8487499999999999</v>
      </c>
      <c r="CX855" s="234" cm="1">
        <f t="array" ref="CX855">$BM855 * IF($AH855&lt;=2,
SUMPRODUCT(INDEX($AV$61:$AX$65,,$AI855), INDEX($AY$61:$BE$65,,$AH855), 1 / ($BF$61:$BF$65*CW855 + (1-$BF$61:$BF$65)*CS855), N($AU$61:$AU$65&gt;$AM855)),
SUMPRODUCT(INDEX($AV$46:$AX$55,,$AI855), INDEX($AY$46:$BE$55,,$AH855), 1 / ($BG$46:$BG$55*CW855 + (1-$BG$46:$BG$55)*CS855), N($AU$46:$AU$55&gt;$AM855))
) / 1000</f>
        <v>0</v>
      </c>
      <c r="CY855" s="234" cm="1">
        <f t="array" ref="CY855">$BM855 * IF($AH855&lt;=2,
SUMPRODUCT(INDEX($AV$22:$AX$60,,$AI855), INDEX($AY$22:$BE$60,,$AH855), 1 / ($BF$22:$BF$60*CW855), N($AU$22:$AU$60&gt;$AM855)),
SUMPRODUCT(INDEX($AV$22:$AX$45,,$AI855), INDEX($AY$22:$BE$45,,$AH855), 1 / ($BG$22:$BG$45*CW855), N($AU$22:$AU$45&gt;$AM855))
) / 1000</f>
        <v>0</v>
      </c>
      <c r="CZ855" s="229">
        <f t="shared" si="884"/>
        <v>0</v>
      </c>
      <c r="DA855" s="246"/>
    </row>
    <row r="856" spans="1:105" s="75" customFormat="1" ht="14.25" customHeight="1" x14ac:dyDescent="0.2">
      <c r="A856" s="230" t="b">
        <f t="shared" si="889"/>
        <v>0</v>
      </c>
      <c r="B856" s="253">
        <v>835</v>
      </c>
      <c r="C856" s="266"/>
      <c r="D856" s="266"/>
      <c r="E856" s="254"/>
      <c r="F856" s="255" t="str">
        <f>IF(ISBLANK(E856), "", VLOOKUP(E856, Z!$A$2:$C$4127, 3, FALSE))</f>
        <v/>
      </c>
      <c r="G856" s="256"/>
      <c r="H856" s="256"/>
      <c r="I856" s="256"/>
      <c r="J856" s="257"/>
      <c r="K856" s="258"/>
      <c r="L856" s="267"/>
      <c r="M856" s="268"/>
      <c r="N856" s="259" t="str" cm="1">
        <f t="array" ref="N856">IF($L856&gt;0, INDEX(Clean,1+AK856,$D$1), "")</f>
        <v/>
      </c>
      <c r="O856" s="260"/>
      <c r="P856" s="260"/>
      <c r="Q856" s="261"/>
      <c r="R856" s="264">
        <f t="shared" si="860"/>
        <v>0</v>
      </c>
      <c r="S856" s="259" t="str" cm="1">
        <f t="array" ref="S856">IF($L856&gt;0, INDEX(Clean,1+AL856,$D$1), "")</f>
        <v/>
      </c>
      <c r="T856" s="260"/>
      <c r="U856" s="260"/>
      <c r="V856" s="261"/>
      <c r="W856" s="267"/>
      <c r="X856" s="267"/>
      <c r="Y856" s="257"/>
      <c r="Z856" s="264">
        <f t="shared" si="861"/>
        <v>0</v>
      </c>
      <c r="AA856" s="269"/>
      <c r="AB856" s="266"/>
      <c r="AC856" s="254"/>
      <c r="AD856" s="255" t="str">
        <f>IF(ISBLANK(AC856), "", VLOOKUP(AC856, Z!$A$2:$C$4127, 3, FALSE))</f>
        <v/>
      </c>
      <c r="AE856" s="270"/>
      <c r="AF856" s="265">
        <f t="shared" si="862"/>
        <v>0</v>
      </c>
      <c r="AG856" s="246"/>
      <c r="AH856" s="228">
        <f t="shared" si="885"/>
        <v>1</v>
      </c>
      <c r="AI856" s="228">
        <f t="shared" si="886"/>
        <v>1</v>
      </c>
      <c r="AJ856" s="228">
        <f t="shared" si="887"/>
        <v>0</v>
      </c>
      <c r="AK856" s="228">
        <v>0</v>
      </c>
      <c r="AL856" s="228">
        <v>0</v>
      </c>
      <c r="AM856" s="228">
        <f t="shared" si="863"/>
        <v>-100</v>
      </c>
      <c r="AN856" s="228" cm="1">
        <f t="array" ref="AN856">IF(ISBLANK(G856), 1, IFERROR(MATCH(G856, INDEX(Kat,,1), 0), IFERROR(MATCH(Kat, INDEX(Use,,2), 0), MATCH(Kat, INDEX(Use,,3), 0))))</f>
        <v>1</v>
      </c>
      <c r="AO856" s="246"/>
      <c r="AP856" s="228" cm="1">
        <f t="array" ref="AP856">IF(W856&gt;0, INDEX(Kat, AN856,4), 0)</f>
        <v>0</v>
      </c>
      <c r="AQ856" s="228">
        <f t="shared" si="888"/>
        <v>0</v>
      </c>
      <c r="AR856" s="228" cm="1">
        <f t="array" ref="AR856">IF(X856&gt;0, INDEX(Kat, $AN856, 4+AQ856), 0)</f>
        <v>0</v>
      </c>
      <c r="AS856" s="228" cm="1">
        <f t="array" ref="AS856">IF(X856&gt;0, INDEX(Kat, $AN856, 9+AQ856), 0)</f>
        <v>0</v>
      </c>
      <c r="AT856" s="246"/>
      <c r="AU856" s="262"/>
      <c r="AV856" s="262"/>
      <c r="AW856" s="263"/>
      <c r="AX856" s="263"/>
      <c r="AY856" s="263"/>
      <c r="AZ856" s="263"/>
      <c r="BA856" s="263"/>
      <c r="BB856" s="263"/>
      <c r="BC856" s="263"/>
      <c r="BD856" s="263"/>
      <c r="BE856" s="263"/>
      <c r="BF856" s="263"/>
      <c r="BG856" s="263"/>
      <c r="BH856" s="246"/>
      <c r="BI856" s="228" cm="1">
        <f t="array" ref="BI856">INDEX(Use, $AH856, 4)</f>
        <v>7</v>
      </c>
      <c r="BJ856" s="228">
        <f t="shared" si="864"/>
        <v>32</v>
      </c>
      <c r="BK856" s="228">
        <f t="shared" si="890"/>
        <v>13</v>
      </c>
      <c r="BL856" s="228">
        <f t="shared" si="891"/>
        <v>0</v>
      </c>
      <c r="BM856" s="233" cm="1">
        <f t="array" ref="BM856">L856/IF($M856&gt;0, INDEX($AY$22:$BE$76, $M856+20, $AH856), 1)</f>
        <v>0</v>
      </c>
      <c r="BN856" s="229">
        <f t="shared" si="865"/>
        <v>0</v>
      </c>
      <c r="BO856" s="228">
        <v>35</v>
      </c>
      <c r="BP856" s="229">
        <f t="shared" si="866"/>
        <v>48</v>
      </c>
      <c r="BQ856" s="234">
        <f t="shared" si="867"/>
        <v>3.0748170731707316</v>
      </c>
      <c r="BR856" s="234" cm="1">
        <f t="array" ref="BR856">$BM856 * SUMPRODUCT(INDEX($AV$76:$AX$81,,$AI856),INDEX($AY$76:$BE$81,,$AH856), N($AU$76:$AU$81&gt;$AM856)) / BQ856 / 1000</f>
        <v>0</v>
      </c>
      <c r="BS856" s="231">
        <f t="shared" si="892"/>
        <v>30</v>
      </c>
      <c r="BT856" s="229">
        <f t="shared" si="868"/>
        <v>43</v>
      </c>
      <c r="BU856" s="234">
        <f t="shared" si="869"/>
        <v>3.5018750000000001</v>
      </c>
      <c r="BV856" s="234" cm="1">
        <f t="array" ref="BV856">$BM856 * IF($AH856&lt;=2,
SUMPRODUCT(INDEX($AV$71:$AX$75,,$AI856), INDEX($AY$71:$BE$75,,$AH856), 1 / ($BF$71:$BF$75*BU856 + (1-$BF$71:$BF$75)*BQ856), N($AU$71:$AU$75&gt;$AM856)),
SUMPRODUCT(INDEX($AV$66:$AX$75,,$AI856), INDEX($AY$66:$BE$75,,$AH856), 1 / ($BG$66:$BG$75*BU856 + (1-$BG$66:$BG$75)*BQ856), N($AU$66:$AU$75&gt;$AM856))
) / 1000</f>
        <v>0</v>
      </c>
      <c r="BW856" s="231">
        <f t="shared" si="893"/>
        <v>25</v>
      </c>
      <c r="BX856" s="229">
        <f t="shared" si="870"/>
        <v>38</v>
      </c>
      <c r="BY856" s="234">
        <f t="shared" si="871"/>
        <v>4.0666935483870965</v>
      </c>
      <c r="BZ856" s="234" cm="1">
        <f t="array" ref="BZ856">$BM856 * IF($AH856&lt;=2,
SUMPRODUCT(INDEX($AV$66:$AX$70,,$AI856), INDEX($AY$66:$BE$70,,$AH856), 1 / ($BF$66:$BF$70*BY856 + (1-$BF$66:$BF$70)*BU856), N($AU$66:$AU$70&gt;$AM856)),
SUMPRODUCT(INDEX($AV$56:$AX$65,,$AI856), INDEX($AY$56:$BE$65,,$AH856), 1 / ($BG$56:$BG$65*BY856 + (1-$BG$56:$BG$65)*BU856), N($AU$56:$AU$65&gt;$AM856))
) / 1000</f>
        <v>0</v>
      </c>
      <c r="CA856" s="231">
        <f t="shared" si="894"/>
        <v>20</v>
      </c>
      <c r="CB856" s="229">
        <f t="shared" si="872"/>
        <v>33</v>
      </c>
      <c r="CC856" s="234">
        <f t="shared" si="873"/>
        <v>4.8487499999999999</v>
      </c>
      <c r="CD856" s="234" cm="1">
        <f t="array" ref="CD856">$BM856 * IF($AH856&lt;=2,
SUMPRODUCT(INDEX($AV$61:$AX$65,,$AI856), INDEX($AY$61:$BE$65,,$AH856), 1 / ($BF$61:$BF$65*CC856 + (1-$BF$61:$BF$65)*BY856), N($AU$61:$AU$65&gt;$AM856)),
SUMPRODUCT(INDEX($AV$46:$AX$55,,$AI856), INDEX($AY$46:$BE$55,,$AH856), 1 / ($BG$46:$BG$55*CC856 + (1-$BG$46:$BG$55)*BY856), N($AU$46:$AU$55&gt;$AM856))
) / 1000</f>
        <v>0</v>
      </c>
      <c r="CE856" s="234" cm="1">
        <f t="array" ref="CE856">$BM856 * IF($AH856&lt;=2,
SUMPRODUCT(INDEX($AV$22:$AX$60,,$AI856), INDEX($AY$22:$BE$60,,$AH856), 1 / ($BF$22:$BF$60*CC856), N($AU$22:$AU$60&gt;$AM856)),
SUMPRODUCT(INDEX($AV$22:$AX$45,,$AI856), INDEX($AY$22:$BE$45,,$AH856), 1 / ($BG$22:$BG$45*CC856), N($AU$22:$AU$45&gt;$AM856))
) / 1000</f>
        <v>0</v>
      </c>
      <c r="CF856" s="229">
        <f t="shared" si="874"/>
        <v>0</v>
      </c>
      <c r="CG856" s="246"/>
      <c r="CH856" s="229">
        <f t="shared" si="875"/>
        <v>0</v>
      </c>
      <c r="CI856" s="228">
        <v>35</v>
      </c>
      <c r="CJ856" s="229">
        <f t="shared" si="876"/>
        <v>48</v>
      </c>
      <c r="CK856" s="234">
        <f t="shared" si="877"/>
        <v>3.0748170731707316</v>
      </c>
      <c r="CL856" s="234" cm="1">
        <f t="array" ref="CL856">$BM856 * SUMPRODUCT(INDEX($AV$76:$AX$81,,$AI856),INDEX($AY$76:$BE$81,,$AH856), N($AU$76:$AU$81&gt;$AM856)) / CK856 / 1000</f>
        <v>0</v>
      </c>
      <c r="CM856" s="231">
        <f t="shared" si="895"/>
        <v>30</v>
      </c>
      <c r="CN856" s="229">
        <f t="shared" si="878"/>
        <v>43</v>
      </c>
      <c r="CO856" s="234">
        <f t="shared" si="879"/>
        <v>3.5018750000000001</v>
      </c>
      <c r="CP856" s="234" cm="1">
        <f t="array" ref="CP856">$BM856 * IF($AH856&lt;=2,
SUMPRODUCT(INDEX($AV$71:$AX$75,,$AI856), INDEX($AY$71:$BE$75,,$AH856), 1 / ($BF$71:$BF$75*CO856 + (1-$BF$71:$BF$75)*CK856), N($AU$71:$AU$75&gt;$AM856)),
SUMPRODUCT(INDEX($AV$66:$AX$75,,$AI856), INDEX($AY$66:$BE$75,,$AH856), 1 / ($BG$66:$BG$75*CO856 + (1-$BG$66:$BG$75)*CK856), N($AU$66:$AU$75&gt;$AM856))
) / 1000</f>
        <v>0</v>
      </c>
      <c r="CQ856" s="231">
        <f t="shared" si="896"/>
        <v>25</v>
      </c>
      <c r="CR856" s="229">
        <f t="shared" si="880"/>
        <v>38</v>
      </c>
      <c r="CS856" s="234">
        <f t="shared" si="881"/>
        <v>4.0666935483870965</v>
      </c>
      <c r="CT856" s="234" cm="1">
        <f t="array" ref="CT856">$BM856 * IF($AH856&lt;=2,
SUMPRODUCT(INDEX($AV$66:$AX$70,,$AI856), INDEX($AY$66:$BE$70,,$AH856), 1 / ($BF$66:$BF$70*CS856 + (1-$BF$66:$BF$70)*CO856), N($AU$66:$AU$70&gt;$AM856)),
SUMPRODUCT(INDEX($AV$56:$AX$65,,$AI856), INDEX($AY$56:$BE$65,,$AH856), 1 / ($BG$56:$BG$65*CS856 + (1-$BG$56:$BG$65)*CO856), N($AU$56:$AU$65&gt;$AM856))
) / 1000</f>
        <v>0</v>
      </c>
      <c r="CU856" s="231">
        <f t="shared" si="897"/>
        <v>20</v>
      </c>
      <c r="CV856" s="229">
        <f t="shared" si="882"/>
        <v>33</v>
      </c>
      <c r="CW856" s="234">
        <f t="shared" si="883"/>
        <v>4.8487499999999999</v>
      </c>
      <c r="CX856" s="234" cm="1">
        <f t="array" ref="CX856">$BM856 * IF($AH856&lt;=2,
SUMPRODUCT(INDEX($AV$61:$AX$65,,$AI856), INDEX($AY$61:$BE$65,,$AH856), 1 / ($BF$61:$BF$65*CW856 + (1-$BF$61:$BF$65)*CS856), N($AU$61:$AU$65&gt;$AM856)),
SUMPRODUCT(INDEX($AV$46:$AX$55,,$AI856), INDEX($AY$46:$BE$55,,$AH856), 1 / ($BG$46:$BG$55*CW856 + (1-$BG$46:$BG$55)*CS856), N($AU$46:$AU$55&gt;$AM856))
) / 1000</f>
        <v>0</v>
      </c>
      <c r="CY856" s="234" cm="1">
        <f t="array" ref="CY856">$BM856 * IF($AH856&lt;=2,
SUMPRODUCT(INDEX($AV$22:$AX$60,,$AI856), INDEX($AY$22:$BE$60,,$AH856), 1 / ($BF$22:$BF$60*CW856), N($AU$22:$AU$60&gt;$AM856)),
SUMPRODUCT(INDEX($AV$22:$AX$45,,$AI856), INDEX($AY$22:$BE$45,,$AH856), 1 / ($BG$22:$BG$45*CW856), N($AU$22:$AU$45&gt;$AM856))
) / 1000</f>
        <v>0</v>
      </c>
      <c r="CZ856" s="229">
        <f t="shared" si="884"/>
        <v>0</v>
      </c>
      <c r="DA856" s="246"/>
    </row>
    <row r="857" spans="1:105" s="75" customFormat="1" ht="14.25" customHeight="1" x14ac:dyDescent="0.2">
      <c r="A857" s="230" t="b">
        <f t="shared" si="889"/>
        <v>0</v>
      </c>
      <c r="B857" s="253">
        <v>836</v>
      </c>
      <c r="C857" s="266"/>
      <c r="D857" s="266"/>
      <c r="E857" s="254"/>
      <c r="F857" s="255" t="str">
        <f>IF(ISBLANK(E857), "", VLOOKUP(E857, Z!$A$2:$C$4127, 3, FALSE))</f>
        <v/>
      </c>
      <c r="G857" s="256"/>
      <c r="H857" s="256"/>
      <c r="I857" s="256"/>
      <c r="J857" s="257"/>
      <c r="K857" s="258"/>
      <c r="L857" s="267"/>
      <c r="M857" s="268"/>
      <c r="N857" s="259" t="str" cm="1">
        <f t="array" ref="N857">IF($L857&gt;0, INDEX(Clean,1+AK857,$D$1), "")</f>
        <v/>
      </c>
      <c r="O857" s="260"/>
      <c r="P857" s="260"/>
      <c r="Q857" s="261"/>
      <c r="R857" s="264">
        <f t="shared" si="860"/>
        <v>0</v>
      </c>
      <c r="S857" s="259" t="str" cm="1">
        <f t="array" ref="S857">IF($L857&gt;0, INDEX(Clean,1+AL857,$D$1), "")</f>
        <v/>
      </c>
      <c r="T857" s="260"/>
      <c r="U857" s="260"/>
      <c r="V857" s="261"/>
      <c r="W857" s="267"/>
      <c r="X857" s="267"/>
      <c r="Y857" s="257"/>
      <c r="Z857" s="264">
        <f t="shared" si="861"/>
        <v>0</v>
      </c>
      <c r="AA857" s="269"/>
      <c r="AB857" s="266"/>
      <c r="AC857" s="254"/>
      <c r="AD857" s="255" t="str">
        <f>IF(ISBLANK(AC857), "", VLOOKUP(AC857, Z!$A$2:$C$4127, 3, FALSE))</f>
        <v/>
      </c>
      <c r="AE857" s="270"/>
      <c r="AF857" s="265">
        <f t="shared" si="862"/>
        <v>0</v>
      </c>
      <c r="AG857" s="246"/>
      <c r="AH857" s="228">
        <f t="shared" si="885"/>
        <v>1</v>
      </c>
      <c r="AI857" s="228">
        <f t="shared" si="886"/>
        <v>1</v>
      </c>
      <c r="AJ857" s="228">
        <f t="shared" si="887"/>
        <v>0</v>
      </c>
      <c r="AK857" s="228">
        <v>0</v>
      </c>
      <c r="AL857" s="228">
        <v>0</v>
      </c>
      <c r="AM857" s="228">
        <f t="shared" si="863"/>
        <v>-100</v>
      </c>
      <c r="AN857" s="228" cm="1">
        <f t="array" ref="AN857">IF(ISBLANK(G857), 1, IFERROR(MATCH(G857, INDEX(Kat,,1), 0), IFERROR(MATCH(Kat, INDEX(Use,,2), 0), MATCH(Kat, INDEX(Use,,3), 0))))</f>
        <v>1</v>
      </c>
      <c r="AO857" s="246"/>
      <c r="AP857" s="228" cm="1">
        <f t="array" ref="AP857">IF(W857&gt;0, INDEX(Kat, AN857,4), 0)</f>
        <v>0</v>
      </c>
      <c r="AQ857" s="228">
        <f t="shared" si="888"/>
        <v>0</v>
      </c>
      <c r="AR857" s="228" cm="1">
        <f t="array" ref="AR857">IF(X857&gt;0, INDEX(Kat, $AN857, 4+AQ857), 0)</f>
        <v>0</v>
      </c>
      <c r="AS857" s="228" cm="1">
        <f t="array" ref="AS857">IF(X857&gt;0, INDEX(Kat, $AN857, 9+AQ857), 0)</f>
        <v>0</v>
      </c>
      <c r="AT857" s="246"/>
      <c r="AU857" s="262"/>
      <c r="AV857" s="262"/>
      <c r="AW857" s="263"/>
      <c r="AX857" s="263"/>
      <c r="AY857" s="263"/>
      <c r="AZ857" s="263"/>
      <c r="BA857" s="263"/>
      <c r="BB857" s="263"/>
      <c r="BC857" s="263"/>
      <c r="BD857" s="263"/>
      <c r="BE857" s="263"/>
      <c r="BF857" s="263"/>
      <c r="BG857" s="263"/>
      <c r="BH857" s="246"/>
      <c r="BI857" s="228" cm="1">
        <f t="array" ref="BI857">INDEX(Use, $AH857, 4)</f>
        <v>7</v>
      </c>
      <c r="BJ857" s="228">
        <f t="shared" si="864"/>
        <v>32</v>
      </c>
      <c r="BK857" s="228">
        <f t="shared" si="890"/>
        <v>13</v>
      </c>
      <c r="BL857" s="228">
        <f t="shared" si="891"/>
        <v>0</v>
      </c>
      <c r="BM857" s="233" cm="1">
        <f t="array" ref="BM857">L857/IF($M857&gt;0, INDEX($AY$22:$BE$76, $M857+20, $AH857), 1)</f>
        <v>0</v>
      </c>
      <c r="BN857" s="229">
        <f t="shared" si="865"/>
        <v>0</v>
      </c>
      <c r="BO857" s="228">
        <v>35</v>
      </c>
      <c r="BP857" s="229">
        <f t="shared" si="866"/>
        <v>48</v>
      </c>
      <c r="BQ857" s="234">
        <f t="shared" si="867"/>
        <v>3.0748170731707316</v>
      </c>
      <c r="BR857" s="234" cm="1">
        <f t="array" ref="BR857">$BM857 * SUMPRODUCT(INDEX($AV$76:$AX$81,,$AI857),INDEX($AY$76:$BE$81,,$AH857), N($AU$76:$AU$81&gt;$AM857)) / BQ857 / 1000</f>
        <v>0</v>
      </c>
      <c r="BS857" s="231">
        <f t="shared" si="892"/>
        <v>30</v>
      </c>
      <c r="BT857" s="229">
        <f t="shared" si="868"/>
        <v>43</v>
      </c>
      <c r="BU857" s="234">
        <f t="shared" si="869"/>
        <v>3.5018750000000001</v>
      </c>
      <c r="BV857" s="234" cm="1">
        <f t="array" ref="BV857">$BM857 * IF($AH857&lt;=2,
SUMPRODUCT(INDEX($AV$71:$AX$75,,$AI857), INDEX($AY$71:$BE$75,,$AH857), 1 / ($BF$71:$BF$75*BU857 + (1-$BF$71:$BF$75)*BQ857), N($AU$71:$AU$75&gt;$AM857)),
SUMPRODUCT(INDEX($AV$66:$AX$75,,$AI857), INDEX($AY$66:$BE$75,,$AH857), 1 / ($BG$66:$BG$75*BU857 + (1-$BG$66:$BG$75)*BQ857), N($AU$66:$AU$75&gt;$AM857))
) / 1000</f>
        <v>0</v>
      </c>
      <c r="BW857" s="231">
        <f t="shared" si="893"/>
        <v>25</v>
      </c>
      <c r="BX857" s="229">
        <f t="shared" si="870"/>
        <v>38</v>
      </c>
      <c r="BY857" s="234">
        <f t="shared" si="871"/>
        <v>4.0666935483870965</v>
      </c>
      <c r="BZ857" s="234" cm="1">
        <f t="array" ref="BZ857">$BM857 * IF($AH857&lt;=2,
SUMPRODUCT(INDEX($AV$66:$AX$70,,$AI857), INDEX($AY$66:$BE$70,,$AH857), 1 / ($BF$66:$BF$70*BY857 + (1-$BF$66:$BF$70)*BU857), N($AU$66:$AU$70&gt;$AM857)),
SUMPRODUCT(INDEX($AV$56:$AX$65,,$AI857), INDEX($AY$56:$BE$65,,$AH857), 1 / ($BG$56:$BG$65*BY857 + (1-$BG$56:$BG$65)*BU857), N($AU$56:$AU$65&gt;$AM857))
) / 1000</f>
        <v>0</v>
      </c>
      <c r="CA857" s="231">
        <f t="shared" si="894"/>
        <v>20</v>
      </c>
      <c r="CB857" s="229">
        <f t="shared" si="872"/>
        <v>33</v>
      </c>
      <c r="CC857" s="234">
        <f t="shared" si="873"/>
        <v>4.8487499999999999</v>
      </c>
      <c r="CD857" s="234" cm="1">
        <f t="array" ref="CD857">$BM857 * IF($AH857&lt;=2,
SUMPRODUCT(INDEX($AV$61:$AX$65,,$AI857), INDEX($AY$61:$BE$65,,$AH857), 1 / ($BF$61:$BF$65*CC857 + (1-$BF$61:$BF$65)*BY857), N($AU$61:$AU$65&gt;$AM857)),
SUMPRODUCT(INDEX($AV$46:$AX$55,,$AI857), INDEX($AY$46:$BE$55,,$AH857), 1 / ($BG$46:$BG$55*CC857 + (1-$BG$46:$BG$55)*BY857), N($AU$46:$AU$55&gt;$AM857))
) / 1000</f>
        <v>0</v>
      </c>
      <c r="CE857" s="234" cm="1">
        <f t="array" ref="CE857">$BM857 * IF($AH857&lt;=2,
SUMPRODUCT(INDEX($AV$22:$AX$60,,$AI857), INDEX($AY$22:$BE$60,,$AH857), 1 / ($BF$22:$BF$60*CC857), N($AU$22:$AU$60&gt;$AM857)),
SUMPRODUCT(INDEX($AV$22:$AX$45,,$AI857), INDEX($AY$22:$BE$45,,$AH857), 1 / ($BG$22:$BG$45*CC857), N($AU$22:$AU$45&gt;$AM857))
) / 1000</f>
        <v>0</v>
      </c>
      <c r="CF857" s="229">
        <f t="shared" si="874"/>
        <v>0</v>
      </c>
      <c r="CG857" s="246"/>
      <c r="CH857" s="229">
        <f t="shared" si="875"/>
        <v>0</v>
      </c>
      <c r="CI857" s="228">
        <v>35</v>
      </c>
      <c r="CJ857" s="229">
        <f t="shared" si="876"/>
        <v>48</v>
      </c>
      <c r="CK857" s="234">
        <f t="shared" si="877"/>
        <v>3.0748170731707316</v>
      </c>
      <c r="CL857" s="234" cm="1">
        <f t="array" ref="CL857">$BM857 * SUMPRODUCT(INDEX($AV$76:$AX$81,,$AI857),INDEX($AY$76:$BE$81,,$AH857), N($AU$76:$AU$81&gt;$AM857)) / CK857 / 1000</f>
        <v>0</v>
      </c>
      <c r="CM857" s="231">
        <f t="shared" si="895"/>
        <v>30</v>
      </c>
      <c r="CN857" s="229">
        <f t="shared" si="878"/>
        <v>43</v>
      </c>
      <c r="CO857" s="234">
        <f t="shared" si="879"/>
        <v>3.5018750000000001</v>
      </c>
      <c r="CP857" s="234" cm="1">
        <f t="array" ref="CP857">$BM857 * IF($AH857&lt;=2,
SUMPRODUCT(INDEX($AV$71:$AX$75,,$AI857), INDEX($AY$71:$BE$75,,$AH857), 1 / ($BF$71:$BF$75*CO857 + (1-$BF$71:$BF$75)*CK857), N($AU$71:$AU$75&gt;$AM857)),
SUMPRODUCT(INDEX($AV$66:$AX$75,,$AI857), INDEX($AY$66:$BE$75,,$AH857), 1 / ($BG$66:$BG$75*CO857 + (1-$BG$66:$BG$75)*CK857), N($AU$66:$AU$75&gt;$AM857))
) / 1000</f>
        <v>0</v>
      </c>
      <c r="CQ857" s="231">
        <f t="shared" si="896"/>
        <v>25</v>
      </c>
      <c r="CR857" s="229">
        <f t="shared" si="880"/>
        <v>38</v>
      </c>
      <c r="CS857" s="234">
        <f t="shared" si="881"/>
        <v>4.0666935483870965</v>
      </c>
      <c r="CT857" s="234" cm="1">
        <f t="array" ref="CT857">$BM857 * IF($AH857&lt;=2,
SUMPRODUCT(INDEX($AV$66:$AX$70,,$AI857), INDEX($AY$66:$BE$70,,$AH857), 1 / ($BF$66:$BF$70*CS857 + (1-$BF$66:$BF$70)*CO857), N($AU$66:$AU$70&gt;$AM857)),
SUMPRODUCT(INDEX($AV$56:$AX$65,,$AI857), INDEX($AY$56:$BE$65,,$AH857), 1 / ($BG$56:$BG$65*CS857 + (1-$BG$56:$BG$65)*CO857), N($AU$56:$AU$65&gt;$AM857))
) / 1000</f>
        <v>0</v>
      </c>
      <c r="CU857" s="231">
        <f t="shared" si="897"/>
        <v>20</v>
      </c>
      <c r="CV857" s="229">
        <f t="shared" si="882"/>
        <v>33</v>
      </c>
      <c r="CW857" s="234">
        <f t="shared" si="883"/>
        <v>4.8487499999999999</v>
      </c>
      <c r="CX857" s="234" cm="1">
        <f t="array" ref="CX857">$BM857 * IF($AH857&lt;=2,
SUMPRODUCT(INDEX($AV$61:$AX$65,,$AI857), INDEX($AY$61:$BE$65,,$AH857), 1 / ($BF$61:$BF$65*CW857 + (1-$BF$61:$BF$65)*CS857), N($AU$61:$AU$65&gt;$AM857)),
SUMPRODUCT(INDEX($AV$46:$AX$55,,$AI857), INDEX($AY$46:$BE$55,,$AH857), 1 / ($BG$46:$BG$55*CW857 + (1-$BG$46:$BG$55)*CS857), N($AU$46:$AU$55&gt;$AM857))
) / 1000</f>
        <v>0</v>
      </c>
      <c r="CY857" s="234" cm="1">
        <f t="array" ref="CY857">$BM857 * IF($AH857&lt;=2,
SUMPRODUCT(INDEX($AV$22:$AX$60,,$AI857), INDEX($AY$22:$BE$60,,$AH857), 1 / ($BF$22:$BF$60*CW857), N($AU$22:$AU$60&gt;$AM857)),
SUMPRODUCT(INDEX($AV$22:$AX$45,,$AI857), INDEX($AY$22:$BE$45,,$AH857), 1 / ($BG$22:$BG$45*CW857), N($AU$22:$AU$45&gt;$AM857))
) / 1000</f>
        <v>0</v>
      </c>
      <c r="CZ857" s="229">
        <f t="shared" si="884"/>
        <v>0</v>
      </c>
      <c r="DA857" s="246"/>
    </row>
    <row r="858" spans="1:105" s="75" customFormat="1" ht="14.25" customHeight="1" x14ac:dyDescent="0.2">
      <c r="A858" s="230" t="b">
        <f t="shared" si="889"/>
        <v>0</v>
      </c>
      <c r="B858" s="253">
        <v>837</v>
      </c>
      <c r="C858" s="266"/>
      <c r="D858" s="266"/>
      <c r="E858" s="254"/>
      <c r="F858" s="255" t="str">
        <f>IF(ISBLANK(E858), "", VLOOKUP(E858, Z!$A$2:$C$4127, 3, FALSE))</f>
        <v/>
      </c>
      <c r="G858" s="256"/>
      <c r="H858" s="256"/>
      <c r="I858" s="256"/>
      <c r="J858" s="257"/>
      <c r="K858" s="258"/>
      <c r="L858" s="267"/>
      <c r="M858" s="268"/>
      <c r="N858" s="259" t="str" cm="1">
        <f t="array" ref="N858">IF($L858&gt;0, INDEX(Clean,1+AK858,$D$1), "")</f>
        <v/>
      </c>
      <c r="O858" s="260"/>
      <c r="P858" s="260"/>
      <c r="Q858" s="261"/>
      <c r="R858" s="264">
        <f t="shared" si="860"/>
        <v>0</v>
      </c>
      <c r="S858" s="259" t="str" cm="1">
        <f t="array" ref="S858">IF($L858&gt;0, INDEX(Clean,1+AL858,$D$1), "")</f>
        <v/>
      </c>
      <c r="T858" s="260"/>
      <c r="U858" s="260"/>
      <c r="V858" s="261"/>
      <c r="W858" s="267"/>
      <c r="X858" s="267"/>
      <c r="Y858" s="257"/>
      <c r="Z858" s="264">
        <f t="shared" si="861"/>
        <v>0</v>
      </c>
      <c r="AA858" s="269"/>
      <c r="AB858" s="266"/>
      <c r="AC858" s="254"/>
      <c r="AD858" s="255" t="str">
        <f>IF(ISBLANK(AC858), "", VLOOKUP(AC858, Z!$A$2:$C$4127, 3, FALSE))</f>
        <v/>
      </c>
      <c r="AE858" s="270"/>
      <c r="AF858" s="265">
        <f t="shared" si="862"/>
        <v>0</v>
      </c>
      <c r="AG858" s="246"/>
      <c r="AH858" s="228">
        <f t="shared" si="885"/>
        <v>1</v>
      </c>
      <c r="AI858" s="228">
        <f t="shared" si="886"/>
        <v>1</v>
      </c>
      <c r="AJ858" s="228">
        <f t="shared" si="887"/>
        <v>0</v>
      </c>
      <c r="AK858" s="228">
        <v>0</v>
      </c>
      <c r="AL858" s="228">
        <v>0</v>
      </c>
      <c r="AM858" s="228">
        <f t="shared" si="863"/>
        <v>-100</v>
      </c>
      <c r="AN858" s="228" cm="1">
        <f t="array" ref="AN858">IF(ISBLANK(G858), 1, IFERROR(MATCH(G858, INDEX(Kat,,1), 0), IFERROR(MATCH(Kat, INDEX(Use,,2), 0), MATCH(Kat, INDEX(Use,,3), 0))))</f>
        <v>1</v>
      </c>
      <c r="AO858" s="246"/>
      <c r="AP858" s="228" cm="1">
        <f t="array" ref="AP858">IF(W858&gt;0, INDEX(Kat, AN858,4), 0)</f>
        <v>0</v>
      </c>
      <c r="AQ858" s="228">
        <f t="shared" si="888"/>
        <v>0</v>
      </c>
      <c r="AR858" s="228" cm="1">
        <f t="array" ref="AR858">IF(X858&gt;0, INDEX(Kat, $AN858, 4+AQ858), 0)</f>
        <v>0</v>
      </c>
      <c r="AS858" s="228" cm="1">
        <f t="array" ref="AS858">IF(X858&gt;0, INDEX(Kat, $AN858, 9+AQ858), 0)</f>
        <v>0</v>
      </c>
      <c r="AT858" s="246"/>
      <c r="AU858" s="262"/>
      <c r="AV858" s="262"/>
      <c r="AW858" s="263"/>
      <c r="AX858" s="263"/>
      <c r="AY858" s="263"/>
      <c r="AZ858" s="263"/>
      <c r="BA858" s="263"/>
      <c r="BB858" s="263"/>
      <c r="BC858" s="263"/>
      <c r="BD858" s="263"/>
      <c r="BE858" s="263"/>
      <c r="BF858" s="263"/>
      <c r="BG858" s="263"/>
      <c r="BH858" s="246"/>
      <c r="BI858" s="228" cm="1">
        <f t="array" ref="BI858">INDEX(Use, $AH858, 4)</f>
        <v>7</v>
      </c>
      <c r="BJ858" s="228">
        <f t="shared" si="864"/>
        <v>32</v>
      </c>
      <c r="BK858" s="228">
        <f t="shared" si="890"/>
        <v>13</v>
      </c>
      <c r="BL858" s="228">
        <f t="shared" si="891"/>
        <v>0</v>
      </c>
      <c r="BM858" s="233" cm="1">
        <f t="array" ref="BM858">L858/IF($M858&gt;0, INDEX($AY$22:$BE$76, $M858+20, $AH858), 1)</f>
        <v>0</v>
      </c>
      <c r="BN858" s="229">
        <f t="shared" si="865"/>
        <v>0</v>
      </c>
      <c r="BO858" s="228">
        <v>35</v>
      </c>
      <c r="BP858" s="229">
        <f t="shared" si="866"/>
        <v>48</v>
      </c>
      <c r="BQ858" s="234">
        <f t="shared" si="867"/>
        <v>3.0748170731707316</v>
      </c>
      <c r="BR858" s="234" cm="1">
        <f t="array" ref="BR858">$BM858 * SUMPRODUCT(INDEX($AV$76:$AX$81,,$AI858),INDEX($AY$76:$BE$81,,$AH858), N($AU$76:$AU$81&gt;$AM858)) / BQ858 / 1000</f>
        <v>0</v>
      </c>
      <c r="BS858" s="231">
        <f t="shared" si="892"/>
        <v>30</v>
      </c>
      <c r="BT858" s="229">
        <f t="shared" si="868"/>
        <v>43</v>
      </c>
      <c r="BU858" s="234">
        <f t="shared" si="869"/>
        <v>3.5018750000000001</v>
      </c>
      <c r="BV858" s="234" cm="1">
        <f t="array" ref="BV858">$BM858 * IF($AH858&lt;=2,
SUMPRODUCT(INDEX($AV$71:$AX$75,,$AI858), INDEX($AY$71:$BE$75,,$AH858), 1 / ($BF$71:$BF$75*BU858 + (1-$BF$71:$BF$75)*BQ858), N($AU$71:$AU$75&gt;$AM858)),
SUMPRODUCT(INDEX($AV$66:$AX$75,,$AI858), INDEX($AY$66:$BE$75,,$AH858), 1 / ($BG$66:$BG$75*BU858 + (1-$BG$66:$BG$75)*BQ858), N($AU$66:$AU$75&gt;$AM858))
) / 1000</f>
        <v>0</v>
      </c>
      <c r="BW858" s="231">
        <f t="shared" si="893"/>
        <v>25</v>
      </c>
      <c r="BX858" s="229">
        <f t="shared" si="870"/>
        <v>38</v>
      </c>
      <c r="BY858" s="234">
        <f t="shared" si="871"/>
        <v>4.0666935483870965</v>
      </c>
      <c r="BZ858" s="234" cm="1">
        <f t="array" ref="BZ858">$BM858 * IF($AH858&lt;=2,
SUMPRODUCT(INDEX($AV$66:$AX$70,,$AI858), INDEX($AY$66:$BE$70,,$AH858), 1 / ($BF$66:$BF$70*BY858 + (1-$BF$66:$BF$70)*BU858), N($AU$66:$AU$70&gt;$AM858)),
SUMPRODUCT(INDEX($AV$56:$AX$65,,$AI858), INDEX($AY$56:$BE$65,,$AH858), 1 / ($BG$56:$BG$65*BY858 + (1-$BG$56:$BG$65)*BU858), N($AU$56:$AU$65&gt;$AM858))
) / 1000</f>
        <v>0</v>
      </c>
      <c r="CA858" s="231">
        <f t="shared" si="894"/>
        <v>20</v>
      </c>
      <c r="CB858" s="229">
        <f t="shared" si="872"/>
        <v>33</v>
      </c>
      <c r="CC858" s="234">
        <f t="shared" si="873"/>
        <v>4.8487499999999999</v>
      </c>
      <c r="CD858" s="234" cm="1">
        <f t="array" ref="CD858">$BM858 * IF($AH858&lt;=2,
SUMPRODUCT(INDEX($AV$61:$AX$65,,$AI858), INDEX($AY$61:$BE$65,,$AH858), 1 / ($BF$61:$BF$65*CC858 + (1-$BF$61:$BF$65)*BY858), N($AU$61:$AU$65&gt;$AM858)),
SUMPRODUCT(INDEX($AV$46:$AX$55,,$AI858), INDEX($AY$46:$BE$55,,$AH858), 1 / ($BG$46:$BG$55*CC858 + (1-$BG$46:$BG$55)*BY858), N($AU$46:$AU$55&gt;$AM858))
) / 1000</f>
        <v>0</v>
      </c>
      <c r="CE858" s="234" cm="1">
        <f t="array" ref="CE858">$BM858 * IF($AH858&lt;=2,
SUMPRODUCT(INDEX($AV$22:$AX$60,,$AI858), INDEX($AY$22:$BE$60,,$AH858), 1 / ($BF$22:$BF$60*CC858), N($AU$22:$AU$60&gt;$AM858)),
SUMPRODUCT(INDEX($AV$22:$AX$45,,$AI858), INDEX($AY$22:$BE$45,,$AH858), 1 / ($BG$22:$BG$45*CC858), N($AU$22:$AU$45&gt;$AM858))
) / 1000</f>
        <v>0</v>
      </c>
      <c r="CF858" s="229">
        <f t="shared" si="874"/>
        <v>0</v>
      </c>
      <c r="CG858" s="246"/>
      <c r="CH858" s="229">
        <f t="shared" si="875"/>
        <v>0</v>
      </c>
      <c r="CI858" s="228">
        <v>35</v>
      </c>
      <c r="CJ858" s="229">
        <f t="shared" si="876"/>
        <v>48</v>
      </c>
      <c r="CK858" s="234">
        <f t="shared" si="877"/>
        <v>3.0748170731707316</v>
      </c>
      <c r="CL858" s="234" cm="1">
        <f t="array" ref="CL858">$BM858 * SUMPRODUCT(INDEX($AV$76:$AX$81,,$AI858),INDEX($AY$76:$BE$81,,$AH858), N($AU$76:$AU$81&gt;$AM858)) / CK858 / 1000</f>
        <v>0</v>
      </c>
      <c r="CM858" s="231">
        <f t="shared" si="895"/>
        <v>30</v>
      </c>
      <c r="CN858" s="229">
        <f t="shared" si="878"/>
        <v>43</v>
      </c>
      <c r="CO858" s="234">
        <f t="shared" si="879"/>
        <v>3.5018750000000001</v>
      </c>
      <c r="CP858" s="234" cm="1">
        <f t="array" ref="CP858">$BM858 * IF($AH858&lt;=2,
SUMPRODUCT(INDEX($AV$71:$AX$75,,$AI858), INDEX($AY$71:$BE$75,,$AH858), 1 / ($BF$71:$BF$75*CO858 + (1-$BF$71:$BF$75)*CK858), N($AU$71:$AU$75&gt;$AM858)),
SUMPRODUCT(INDEX($AV$66:$AX$75,,$AI858), INDEX($AY$66:$BE$75,,$AH858), 1 / ($BG$66:$BG$75*CO858 + (1-$BG$66:$BG$75)*CK858), N($AU$66:$AU$75&gt;$AM858))
) / 1000</f>
        <v>0</v>
      </c>
      <c r="CQ858" s="231">
        <f t="shared" si="896"/>
        <v>25</v>
      </c>
      <c r="CR858" s="229">
        <f t="shared" si="880"/>
        <v>38</v>
      </c>
      <c r="CS858" s="234">
        <f t="shared" si="881"/>
        <v>4.0666935483870965</v>
      </c>
      <c r="CT858" s="234" cm="1">
        <f t="array" ref="CT858">$BM858 * IF($AH858&lt;=2,
SUMPRODUCT(INDEX($AV$66:$AX$70,,$AI858), INDEX($AY$66:$BE$70,,$AH858), 1 / ($BF$66:$BF$70*CS858 + (1-$BF$66:$BF$70)*CO858), N($AU$66:$AU$70&gt;$AM858)),
SUMPRODUCT(INDEX($AV$56:$AX$65,,$AI858), INDEX($AY$56:$BE$65,,$AH858), 1 / ($BG$56:$BG$65*CS858 + (1-$BG$56:$BG$65)*CO858), N($AU$56:$AU$65&gt;$AM858))
) / 1000</f>
        <v>0</v>
      </c>
      <c r="CU858" s="231">
        <f t="shared" si="897"/>
        <v>20</v>
      </c>
      <c r="CV858" s="229">
        <f t="shared" si="882"/>
        <v>33</v>
      </c>
      <c r="CW858" s="234">
        <f t="shared" si="883"/>
        <v>4.8487499999999999</v>
      </c>
      <c r="CX858" s="234" cm="1">
        <f t="array" ref="CX858">$BM858 * IF($AH858&lt;=2,
SUMPRODUCT(INDEX($AV$61:$AX$65,,$AI858), INDEX($AY$61:$BE$65,,$AH858), 1 / ($BF$61:$BF$65*CW858 + (1-$BF$61:$BF$65)*CS858), N($AU$61:$AU$65&gt;$AM858)),
SUMPRODUCT(INDEX($AV$46:$AX$55,,$AI858), INDEX($AY$46:$BE$55,,$AH858), 1 / ($BG$46:$BG$55*CW858 + (1-$BG$46:$BG$55)*CS858), N($AU$46:$AU$55&gt;$AM858))
) / 1000</f>
        <v>0</v>
      </c>
      <c r="CY858" s="234" cm="1">
        <f t="array" ref="CY858">$BM858 * IF($AH858&lt;=2,
SUMPRODUCT(INDEX($AV$22:$AX$60,,$AI858), INDEX($AY$22:$BE$60,,$AH858), 1 / ($BF$22:$BF$60*CW858), N($AU$22:$AU$60&gt;$AM858)),
SUMPRODUCT(INDEX($AV$22:$AX$45,,$AI858), INDEX($AY$22:$BE$45,,$AH858), 1 / ($BG$22:$BG$45*CW858), N($AU$22:$AU$45&gt;$AM858))
) / 1000</f>
        <v>0</v>
      </c>
      <c r="CZ858" s="229">
        <f t="shared" si="884"/>
        <v>0</v>
      </c>
      <c r="DA858" s="246"/>
    </row>
    <row r="859" spans="1:105" s="75" customFormat="1" ht="14.25" customHeight="1" x14ac:dyDescent="0.2">
      <c r="A859" s="230" t="b">
        <f t="shared" si="889"/>
        <v>0</v>
      </c>
      <c r="B859" s="253">
        <v>838</v>
      </c>
      <c r="C859" s="266"/>
      <c r="D859" s="266"/>
      <c r="E859" s="254"/>
      <c r="F859" s="255" t="str">
        <f>IF(ISBLANK(E859), "", VLOOKUP(E859, Z!$A$2:$C$4127, 3, FALSE))</f>
        <v/>
      </c>
      <c r="G859" s="256"/>
      <c r="H859" s="256"/>
      <c r="I859" s="256"/>
      <c r="J859" s="257"/>
      <c r="K859" s="258"/>
      <c r="L859" s="267"/>
      <c r="M859" s="268"/>
      <c r="N859" s="259" t="str" cm="1">
        <f t="array" ref="N859">IF($L859&gt;0, INDEX(Clean,1+AK859,$D$1), "")</f>
        <v/>
      </c>
      <c r="O859" s="260"/>
      <c r="P859" s="260"/>
      <c r="Q859" s="261"/>
      <c r="R859" s="264">
        <f t="shared" si="860"/>
        <v>0</v>
      </c>
      <c r="S859" s="259" t="str" cm="1">
        <f t="array" ref="S859">IF($L859&gt;0, INDEX(Clean,1+AL859,$D$1), "")</f>
        <v/>
      </c>
      <c r="T859" s="260"/>
      <c r="U859" s="260"/>
      <c r="V859" s="261"/>
      <c r="W859" s="267"/>
      <c r="X859" s="267"/>
      <c r="Y859" s="257"/>
      <c r="Z859" s="264">
        <f t="shared" si="861"/>
        <v>0</v>
      </c>
      <c r="AA859" s="269"/>
      <c r="AB859" s="266"/>
      <c r="AC859" s="254"/>
      <c r="AD859" s="255" t="str">
        <f>IF(ISBLANK(AC859), "", VLOOKUP(AC859, Z!$A$2:$C$4127, 3, FALSE))</f>
        <v/>
      </c>
      <c r="AE859" s="270"/>
      <c r="AF859" s="265">
        <f t="shared" si="862"/>
        <v>0</v>
      </c>
      <c r="AG859" s="246"/>
      <c r="AH859" s="228">
        <f t="shared" si="885"/>
        <v>1</v>
      </c>
      <c r="AI859" s="228">
        <f t="shared" si="886"/>
        <v>1</v>
      </c>
      <c r="AJ859" s="228">
        <f t="shared" si="887"/>
        <v>0</v>
      </c>
      <c r="AK859" s="228">
        <v>0</v>
      </c>
      <c r="AL859" s="228">
        <v>0</v>
      </c>
      <c r="AM859" s="228">
        <f t="shared" si="863"/>
        <v>-100</v>
      </c>
      <c r="AN859" s="228" cm="1">
        <f t="array" ref="AN859">IF(ISBLANK(G859), 1, IFERROR(MATCH(G859, INDEX(Kat,,1), 0), IFERROR(MATCH(Kat, INDEX(Use,,2), 0), MATCH(Kat, INDEX(Use,,3), 0))))</f>
        <v>1</v>
      </c>
      <c r="AO859" s="246"/>
      <c r="AP859" s="228" cm="1">
        <f t="array" ref="AP859">IF(W859&gt;0, INDEX(Kat, AN859,4), 0)</f>
        <v>0</v>
      </c>
      <c r="AQ859" s="228">
        <f t="shared" si="888"/>
        <v>0</v>
      </c>
      <c r="AR859" s="228" cm="1">
        <f t="array" ref="AR859">IF(X859&gt;0, INDEX(Kat, $AN859, 4+AQ859), 0)</f>
        <v>0</v>
      </c>
      <c r="AS859" s="228" cm="1">
        <f t="array" ref="AS859">IF(X859&gt;0, INDEX(Kat, $AN859, 9+AQ859), 0)</f>
        <v>0</v>
      </c>
      <c r="AT859" s="246"/>
      <c r="AU859" s="262"/>
      <c r="AV859" s="262"/>
      <c r="AW859" s="263"/>
      <c r="AX859" s="263"/>
      <c r="AY859" s="263"/>
      <c r="AZ859" s="263"/>
      <c r="BA859" s="263"/>
      <c r="BB859" s="263"/>
      <c r="BC859" s="263"/>
      <c r="BD859" s="263"/>
      <c r="BE859" s="263"/>
      <c r="BF859" s="263"/>
      <c r="BG859" s="263"/>
      <c r="BH859" s="246"/>
      <c r="BI859" s="228" cm="1">
        <f t="array" ref="BI859">INDEX(Use, $AH859, 4)</f>
        <v>7</v>
      </c>
      <c r="BJ859" s="228">
        <f t="shared" si="864"/>
        <v>32</v>
      </c>
      <c r="BK859" s="228">
        <f t="shared" si="890"/>
        <v>13</v>
      </c>
      <c r="BL859" s="228">
        <f t="shared" si="891"/>
        <v>0</v>
      </c>
      <c r="BM859" s="233" cm="1">
        <f t="array" ref="BM859">L859/IF($M859&gt;0, INDEX($AY$22:$BE$76, $M859+20, $AH859), 1)</f>
        <v>0</v>
      </c>
      <c r="BN859" s="229">
        <f t="shared" si="865"/>
        <v>0</v>
      </c>
      <c r="BO859" s="228">
        <v>35</v>
      </c>
      <c r="BP859" s="229">
        <f t="shared" si="866"/>
        <v>48</v>
      </c>
      <c r="BQ859" s="234">
        <f t="shared" si="867"/>
        <v>3.0748170731707316</v>
      </c>
      <c r="BR859" s="234" cm="1">
        <f t="array" ref="BR859">$BM859 * SUMPRODUCT(INDEX($AV$76:$AX$81,,$AI859),INDEX($AY$76:$BE$81,,$AH859), N($AU$76:$AU$81&gt;$AM859)) / BQ859 / 1000</f>
        <v>0</v>
      </c>
      <c r="BS859" s="231">
        <f t="shared" si="892"/>
        <v>30</v>
      </c>
      <c r="BT859" s="229">
        <f t="shared" si="868"/>
        <v>43</v>
      </c>
      <c r="BU859" s="234">
        <f t="shared" si="869"/>
        <v>3.5018750000000001</v>
      </c>
      <c r="BV859" s="234" cm="1">
        <f t="array" ref="BV859">$BM859 * IF($AH859&lt;=2,
SUMPRODUCT(INDEX($AV$71:$AX$75,,$AI859), INDEX($AY$71:$BE$75,,$AH859), 1 / ($BF$71:$BF$75*BU859 + (1-$BF$71:$BF$75)*BQ859), N($AU$71:$AU$75&gt;$AM859)),
SUMPRODUCT(INDEX($AV$66:$AX$75,,$AI859), INDEX($AY$66:$BE$75,,$AH859), 1 / ($BG$66:$BG$75*BU859 + (1-$BG$66:$BG$75)*BQ859), N($AU$66:$AU$75&gt;$AM859))
) / 1000</f>
        <v>0</v>
      </c>
      <c r="BW859" s="231">
        <f t="shared" si="893"/>
        <v>25</v>
      </c>
      <c r="BX859" s="229">
        <f t="shared" si="870"/>
        <v>38</v>
      </c>
      <c r="BY859" s="234">
        <f t="shared" si="871"/>
        <v>4.0666935483870965</v>
      </c>
      <c r="BZ859" s="234" cm="1">
        <f t="array" ref="BZ859">$BM859 * IF($AH859&lt;=2,
SUMPRODUCT(INDEX($AV$66:$AX$70,,$AI859), INDEX($AY$66:$BE$70,,$AH859), 1 / ($BF$66:$BF$70*BY859 + (1-$BF$66:$BF$70)*BU859), N($AU$66:$AU$70&gt;$AM859)),
SUMPRODUCT(INDEX($AV$56:$AX$65,,$AI859), INDEX($AY$56:$BE$65,,$AH859), 1 / ($BG$56:$BG$65*BY859 + (1-$BG$56:$BG$65)*BU859), N($AU$56:$AU$65&gt;$AM859))
) / 1000</f>
        <v>0</v>
      </c>
      <c r="CA859" s="231">
        <f t="shared" si="894"/>
        <v>20</v>
      </c>
      <c r="CB859" s="229">
        <f t="shared" si="872"/>
        <v>33</v>
      </c>
      <c r="CC859" s="234">
        <f t="shared" si="873"/>
        <v>4.8487499999999999</v>
      </c>
      <c r="CD859" s="234" cm="1">
        <f t="array" ref="CD859">$BM859 * IF($AH859&lt;=2,
SUMPRODUCT(INDEX($AV$61:$AX$65,,$AI859), INDEX($AY$61:$BE$65,,$AH859), 1 / ($BF$61:$BF$65*CC859 + (1-$BF$61:$BF$65)*BY859), N($AU$61:$AU$65&gt;$AM859)),
SUMPRODUCT(INDEX($AV$46:$AX$55,,$AI859), INDEX($AY$46:$BE$55,,$AH859), 1 / ($BG$46:$BG$55*CC859 + (1-$BG$46:$BG$55)*BY859), N($AU$46:$AU$55&gt;$AM859))
) / 1000</f>
        <v>0</v>
      </c>
      <c r="CE859" s="234" cm="1">
        <f t="array" ref="CE859">$BM859 * IF($AH859&lt;=2,
SUMPRODUCT(INDEX($AV$22:$AX$60,,$AI859), INDEX($AY$22:$BE$60,,$AH859), 1 / ($BF$22:$BF$60*CC859), N($AU$22:$AU$60&gt;$AM859)),
SUMPRODUCT(INDEX($AV$22:$AX$45,,$AI859), INDEX($AY$22:$BE$45,,$AH859), 1 / ($BG$22:$BG$45*CC859), N($AU$22:$AU$45&gt;$AM859))
) / 1000</f>
        <v>0</v>
      </c>
      <c r="CF859" s="229">
        <f t="shared" si="874"/>
        <v>0</v>
      </c>
      <c r="CG859" s="246"/>
      <c r="CH859" s="229">
        <f t="shared" si="875"/>
        <v>0</v>
      </c>
      <c r="CI859" s="228">
        <v>35</v>
      </c>
      <c r="CJ859" s="229">
        <f t="shared" si="876"/>
        <v>48</v>
      </c>
      <c r="CK859" s="234">
        <f t="shared" si="877"/>
        <v>3.0748170731707316</v>
      </c>
      <c r="CL859" s="234" cm="1">
        <f t="array" ref="CL859">$BM859 * SUMPRODUCT(INDEX($AV$76:$AX$81,,$AI859),INDEX($AY$76:$BE$81,,$AH859), N($AU$76:$AU$81&gt;$AM859)) / CK859 / 1000</f>
        <v>0</v>
      </c>
      <c r="CM859" s="231">
        <f t="shared" si="895"/>
        <v>30</v>
      </c>
      <c r="CN859" s="229">
        <f t="shared" si="878"/>
        <v>43</v>
      </c>
      <c r="CO859" s="234">
        <f t="shared" si="879"/>
        <v>3.5018750000000001</v>
      </c>
      <c r="CP859" s="234" cm="1">
        <f t="array" ref="CP859">$BM859 * IF($AH859&lt;=2,
SUMPRODUCT(INDEX($AV$71:$AX$75,,$AI859), INDEX($AY$71:$BE$75,,$AH859), 1 / ($BF$71:$BF$75*CO859 + (1-$BF$71:$BF$75)*CK859), N($AU$71:$AU$75&gt;$AM859)),
SUMPRODUCT(INDEX($AV$66:$AX$75,,$AI859), INDEX($AY$66:$BE$75,,$AH859), 1 / ($BG$66:$BG$75*CO859 + (1-$BG$66:$BG$75)*CK859), N($AU$66:$AU$75&gt;$AM859))
) / 1000</f>
        <v>0</v>
      </c>
      <c r="CQ859" s="231">
        <f t="shared" si="896"/>
        <v>25</v>
      </c>
      <c r="CR859" s="229">
        <f t="shared" si="880"/>
        <v>38</v>
      </c>
      <c r="CS859" s="234">
        <f t="shared" si="881"/>
        <v>4.0666935483870965</v>
      </c>
      <c r="CT859" s="234" cm="1">
        <f t="array" ref="CT859">$BM859 * IF($AH859&lt;=2,
SUMPRODUCT(INDEX($AV$66:$AX$70,,$AI859), INDEX($AY$66:$BE$70,,$AH859), 1 / ($BF$66:$BF$70*CS859 + (1-$BF$66:$BF$70)*CO859), N($AU$66:$AU$70&gt;$AM859)),
SUMPRODUCT(INDEX($AV$56:$AX$65,,$AI859), INDEX($AY$56:$BE$65,,$AH859), 1 / ($BG$56:$BG$65*CS859 + (1-$BG$56:$BG$65)*CO859), N($AU$56:$AU$65&gt;$AM859))
) / 1000</f>
        <v>0</v>
      </c>
      <c r="CU859" s="231">
        <f t="shared" si="897"/>
        <v>20</v>
      </c>
      <c r="CV859" s="229">
        <f t="shared" si="882"/>
        <v>33</v>
      </c>
      <c r="CW859" s="234">
        <f t="shared" si="883"/>
        <v>4.8487499999999999</v>
      </c>
      <c r="CX859" s="234" cm="1">
        <f t="array" ref="CX859">$BM859 * IF($AH859&lt;=2,
SUMPRODUCT(INDEX($AV$61:$AX$65,,$AI859), INDEX($AY$61:$BE$65,,$AH859), 1 / ($BF$61:$BF$65*CW859 + (1-$BF$61:$BF$65)*CS859), N($AU$61:$AU$65&gt;$AM859)),
SUMPRODUCT(INDEX($AV$46:$AX$55,,$AI859), INDEX($AY$46:$BE$55,,$AH859), 1 / ($BG$46:$BG$55*CW859 + (1-$BG$46:$BG$55)*CS859), N($AU$46:$AU$55&gt;$AM859))
) / 1000</f>
        <v>0</v>
      </c>
      <c r="CY859" s="234" cm="1">
        <f t="array" ref="CY859">$BM859 * IF($AH859&lt;=2,
SUMPRODUCT(INDEX($AV$22:$AX$60,,$AI859), INDEX($AY$22:$BE$60,,$AH859), 1 / ($BF$22:$BF$60*CW859), N($AU$22:$AU$60&gt;$AM859)),
SUMPRODUCT(INDEX($AV$22:$AX$45,,$AI859), INDEX($AY$22:$BE$45,,$AH859), 1 / ($BG$22:$BG$45*CW859), N($AU$22:$AU$45&gt;$AM859))
) / 1000</f>
        <v>0</v>
      </c>
      <c r="CZ859" s="229">
        <f t="shared" si="884"/>
        <v>0</v>
      </c>
      <c r="DA859" s="246"/>
    </row>
    <row r="860" spans="1:105" s="75" customFormat="1" ht="14.25" customHeight="1" x14ac:dyDescent="0.2">
      <c r="A860" s="230" t="b">
        <f t="shared" si="889"/>
        <v>0</v>
      </c>
      <c r="B860" s="253">
        <v>839</v>
      </c>
      <c r="C860" s="266"/>
      <c r="D860" s="266"/>
      <c r="E860" s="254"/>
      <c r="F860" s="255" t="str">
        <f>IF(ISBLANK(E860), "", VLOOKUP(E860, Z!$A$2:$C$4127, 3, FALSE))</f>
        <v/>
      </c>
      <c r="G860" s="256"/>
      <c r="H860" s="256"/>
      <c r="I860" s="256"/>
      <c r="J860" s="257"/>
      <c r="K860" s="258"/>
      <c r="L860" s="267"/>
      <c r="M860" s="268"/>
      <c r="N860" s="259" t="str" cm="1">
        <f t="array" ref="N860">IF($L860&gt;0, INDEX(Clean,1+AK860,$D$1), "")</f>
        <v/>
      </c>
      <c r="O860" s="260"/>
      <c r="P860" s="260"/>
      <c r="Q860" s="261"/>
      <c r="R860" s="264">
        <f t="shared" si="860"/>
        <v>0</v>
      </c>
      <c r="S860" s="259" t="str" cm="1">
        <f t="array" ref="S860">IF($L860&gt;0, INDEX(Clean,1+AL860,$D$1), "")</f>
        <v/>
      </c>
      <c r="T860" s="260"/>
      <c r="U860" s="260"/>
      <c r="V860" s="261"/>
      <c r="W860" s="267"/>
      <c r="X860" s="267"/>
      <c r="Y860" s="257"/>
      <c r="Z860" s="264">
        <f t="shared" si="861"/>
        <v>0</v>
      </c>
      <c r="AA860" s="269"/>
      <c r="AB860" s="266"/>
      <c r="AC860" s="254"/>
      <c r="AD860" s="255" t="str">
        <f>IF(ISBLANK(AC860), "", VLOOKUP(AC860, Z!$A$2:$C$4127, 3, FALSE))</f>
        <v/>
      </c>
      <c r="AE860" s="270"/>
      <c r="AF860" s="265">
        <f t="shared" si="862"/>
        <v>0</v>
      </c>
      <c r="AG860" s="246"/>
      <c r="AH860" s="228">
        <f t="shared" si="885"/>
        <v>1</v>
      </c>
      <c r="AI860" s="228">
        <f t="shared" si="886"/>
        <v>1</v>
      </c>
      <c r="AJ860" s="228">
        <f t="shared" si="887"/>
        <v>0</v>
      </c>
      <c r="AK860" s="228">
        <v>0</v>
      </c>
      <c r="AL860" s="228">
        <v>0</v>
      </c>
      <c r="AM860" s="228">
        <f t="shared" si="863"/>
        <v>-100</v>
      </c>
      <c r="AN860" s="228" cm="1">
        <f t="array" ref="AN860">IF(ISBLANK(G860), 1, IFERROR(MATCH(G860, INDEX(Kat,,1), 0), IFERROR(MATCH(Kat, INDEX(Use,,2), 0), MATCH(Kat, INDEX(Use,,3), 0))))</f>
        <v>1</v>
      </c>
      <c r="AO860" s="246"/>
      <c r="AP860" s="228" cm="1">
        <f t="array" ref="AP860">IF(W860&gt;0, INDEX(Kat, AN860,4), 0)</f>
        <v>0</v>
      </c>
      <c r="AQ860" s="228">
        <f t="shared" si="888"/>
        <v>0</v>
      </c>
      <c r="AR860" s="228" cm="1">
        <f t="array" ref="AR860">IF(X860&gt;0, INDEX(Kat, $AN860, 4+AQ860), 0)</f>
        <v>0</v>
      </c>
      <c r="AS860" s="228" cm="1">
        <f t="array" ref="AS860">IF(X860&gt;0, INDEX(Kat, $AN860, 9+AQ860), 0)</f>
        <v>0</v>
      </c>
      <c r="AT860" s="246"/>
      <c r="AU860" s="262"/>
      <c r="AV860" s="262"/>
      <c r="AW860" s="263"/>
      <c r="AX860" s="263"/>
      <c r="AY860" s="263"/>
      <c r="AZ860" s="263"/>
      <c r="BA860" s="263"/>
      <c r="BB860" s="263"/>
      <c r="BC860" s="263"/>
      <c r="BD860" s="263"/>
      <c r="BE860" s="263"/>
      <c r="BF860" s="263"/>
      <c r="BG860" s="263"/>
      <c r="BH860" s="246"/>
      <c r="BI860" s="228" cm="1">
        <f t="array" ref="BI860">INDEX(Use, $AH860, 4)</f>
        <v>7</v>
      </c>
      <c r="BJ860" s="228">
        <f t="shared" si="864"/>
        <v>32</v>
      </c>
      <c r="BK860" s="228">
        <f t="shared" si="890"/>
        <v>13</v>
      </c>
      <c r="BL860" s="228">
        <f t="shared" si="891"/>
        <v>0</v>
      </c>
      <c r="BM860" s="233" cm="1">
        <f t="array" ref="BM860">L860/IF($M860&gt;0, INDEX($AY$22:$BE$76, $M860+20, $AH860), 1)</f>
        <v>0</v>
      </c>
      <c r="BN860" s="229">
        <f t="shared" si="865"/>
        <v>0</v>
      </c>
      <c r="BO860" s="228">
        <v>35</v>
      </c>
      <c r="BP860" s="229">
        <f t="shared" si="866"/>
        <v>48</v>
      </c>
      <c r="BQ860" s="234">
        <f t="shared" si="867"/>
        <v>3.0748170731707316</v>
      </c>
      <c r="BR860" s="234" cm="1">
        <f t="array" ref="BR860">$BM860 * SUMPRODUCT(INDEX($AV$76:$AX$81,,$AI860),INDEX($AY$76:$BE$81,,$AH860), N($AU$76:$AU$81&gt;$AM860)) / BQ860 / 1000</f>
        <v>0</v>
      </c>
      <c r="BS860" s="231">
        <f t="shared" si="892"/>
        <v>30</v>
      </c>
      <c r="BT860" s="229">
        <f t="shared" si="868"/>
        <v>43</v>
      </c>
      <c r="BU860" s="234">
        <f t="shared" si="869"/>
        <v>3.5018750000000001</v>
      </c>
      <c r="BV860" s="234" cm="1">
        <f t="array" ref="BV860">$BM860 * IF($AH860&lt;=2,
SUMPRODUCT(INDEX($AV$71:$AX$75,,$AI860), INDEX($AY$71:$BE$75,,$AH860), 1 / ($BF$71:$BF$75*BU860 + (1-$BF$71:$BF$75)*BQ860), N($AU$71:$AU$75&gt;$AM860)),
SUMPRODUCT(INDEX($AV$66:$AX$75,,$AI860), INDEX($AY$66:$BE$75,,$AH860), 1 / ($BG$66:$BG$75*BU860 + (1-$BG$66:$BG$75)*BQ860), N($AU$66:$AU$75&gt;$AM860))
) / 1000</f>
        <v>0</v>
      </c>
      <c r="BW860" s="231">
        <f t="shared" si="893"/>
        <v>25</v>
      </c>
      <c r="BX860" s="229">
        <f t="shared" si="870"/>
        <v>38</v>
      </c>
      <c r="BY860" s="234">
        <f t="shared" si="871"/>
        <v>4.0666935483870965</v>
      </c>
      <c r="BZ860" s="234" cm="1">
        <f t="array" ref="BZ860">$BM860 * IF($AH860&lt;=2,
SUMPRODUCT(INDEX($AV$66:$AX$70,,$AI860), INDEX($AY$66:$BE$70,,$AH860), 1 / ($BF$66:$BF$70*BY860 + (1-$BF$66:$BF$70)*BU860), N($AU$66:$AU$70&gt;$AM860)),
SUMPRODUCT(INDEX($AV$56:$AX$65,,$AI860), INDEX($AY$56:$BE$65,,$AH860), 1 / ($BG$56:$BG$65*BY860 + (1-$BG$56:$BG$65)*BU860), N($AU$56:$AU$65&gt;$AM860))
) / 1000</f>
        <v>0</v>
      </c>
      <c r="CA860" s="231">
        <f t="shared" si="894"/>
        <v>20</v>
      </c>
      <c r="CB860" s="229">
        <f t="shared" si="872"/>
        <v>33</v>
      </c>
      <c r="CC860" s="234">
        <f t="shared" si="873"/>
        <v>4.8487499999999999</v>
      </c>
      <c r="CD860" s="234" cm="1">
        <f t="array" ref="CD860">$BM860 * IF($AH860&lt;=2,
SUMPRODUCT(INDEX($AV$61:$AX$65,,$AI860), INDEX($AY$61:$BE$65,,$AH860), 1 / ($BF$61:$BF$65*CC860 + (1-$BF$61:$BF$65)*BY860), N($AU$61:$AU$65&gt;$AM860)),
SUMPRODUCT(INDEX($AV$46:$AX$55,,$AI860), INDEX($AY$46:$BE$55,,$AH860), 1 / ($BG$46:$BG$55*CC860 + (1-$BG$46:$BG$55)*BY860), N($AU$46:$AU$55&gt;$AM860))
) / 1000</f>
        <v>0</v>
      </c>
      <c r="CE860" s="234" cm="1">
        <f t="array" ref="CE860">$BM860 * IF($AH860&lt;=2,
SUMPRODUCT(INDEX($AV$22:$AX$60,,$AI860), INDEX($AY$22:$BE$60,,$AH860), 1 / ($BF$22:$BF$60*CC860), N($AU$22:$AU$60&gt;$AM860)),
SUMPRODUCT(INDEX($AV$22:$AX$45,,$AI860), INDEX($AY$22:$BE$45,,$AH860), 1 / ($BG$22:$BG$45*CC860), N($AU$22:$AU$45&gt;$AM860))
) / 1000</f>
        <v>0</v>
      </c>
      <c r="CF860" s="229">
        <f t="shared" si="874"/>
        <v>0</v>
      </c>
      <c r="CG860" s="246"/>
      <c r="CH860" s="229">
        <f t="shared" si="875"/>
        <v>0</v>
      </c>
      <c r="CI860" s="228">
        <v>35</v>
      </c>
      <c r="CJ860" s="229">
        <f t="shared" si="876"/>
        <v>48</v>
      </c>
      <c r="CK860" s="234">
        <f t="shared" si="877"/>
        <v>3.0748170731707316</v>
      </c>
      <c r="CL860" s="234" cm="1">
        <f t="array" ref="CL860">$BM860 * SUMPRODUCT(INDEX($AV$76:$AX$81,,$AI860),INDEX($AY$76:$BE$81,,$AH860), N($AU$76:$AU$81&gt;$AM860)) / CK860 / 1000</f>
        <v>0</v>
      </c>
      <c r="CM860" s="231">
        <f t="shared" si="895"/>
        <v>30</v>
      </c>
      <c r="CN860" s="229">
        <f t="shared" si="878"/>
        <v>43</v>
      </c>
      <c r="CO860" s="234">
        <f t="shared" si="879"/>
        <v>3.5018750000000001</v>
      </c>
      <c r="CP860" s="234" cm="1">
        <f t="array" ref="CP860">$BM860 * IF($AH860&lt;=2,
SUMPRODUCT(INDEX($AV$71:$AX$75,,$AI860), INDEX($AY$71:$BE$75,,$AH860), 1 / ($BF$71:$BF$75*CO860 + (1-$BF$71:$BF$75)*CK860), N($AU$71:$AU$75&gt;$AM860)),
SUMPRODUCT(INDEX($AV$66:$AX$75,,$AI860), INDEX($AY$66:$BE$75,,$AH860), 1 / ($BG$66:$BG$75*CO860 + (1-$BG$66:$BG$75)*CK860), N($AU$66:$AU$75&gt;$AM860))
) / 1000</f>
        <v>0</v>
      </c>
      <c r="CQ860" s="231">
        <f t="shared" si="896"/>
        <v>25</v>
      </c>
      <c r="CR860" s="229">
        <f t="shared" si="880"/>
        <v>38</v>
      </c>
      <c r="CS860" s="234">
        <f t="shared" si="881"/>
        <v>4.0666935483870965</v>
      </c>
      <c r="CT860" s="234" cm="1">
        <f t="array" ref="CT860">$BM860 * IF($AH860&lt;=2,
SUMPRODUCT(INDEX($AV$66:$AX$70,,$AI860), INDEX($AY$66:$BE$70,,$AH860), 1 / ($BF$66:$BF$70*CS860 + (1-$BF$66:$BF$70)*CO860), N($AU$66:$AU$70&gt;$AM860)),
SUMPRODUCT(INDEX($AV$56:$AX$65,,$AI860), INDEX($AY$56:$BE$65,,$AH860), 1 / ($BG$56:$BG$65*CS860 + (1-$BG$56:$BG$65)*CO860), N($AU$56:$AU$65&gt;$AM860))
) / 1000</f>
        <v>0</v>
      </c>
      <c r="CU860" s="231">
        <f t="shared" si="897"/>
        <v>20</v>
      </c>
      <c r="CV860" s="229">
        <f t="shared" si="882"/>
        <v>33</v>
      </c>
      <c r="CW860" s="234">
        <f t="shared" si="883"/>
        <v>4.8487499999999999</v>
      </c>
      <c r="CX860" s="234" cm="1">
        <f t="array" ref="CX860">$BM860 * IF($AH860&lt;=2,
SUMPRODUCT(INDEX($AV$61:$AX$65,,$AI860), INDEX($AY$61:$BE$65,,$AH860), 1 / ($BF$61:$BF$65*CW860 + (1-$BF$61:$BF$65)*CS860), N($AU$61:$AU$65&gt;$AM860)),
SUMPRODUCT(INDEX($AV$46:$AX$55,,$AI860), INDEX($AY$46:$BE$55,,$AH860), 1 / ($BG$46:$BG$55*CW860 + (1-$BG$46:$BG$55)*CS860), N($AU$46:$AU$55&gt;$AM860))
) / 1000</f>
        <v>0</v>
      </c>
      <c r="CY860" s="234" cm="1">
        <f t="array" ref="CY860">$BM860 * IF($AH860&lt;=2,
SUMPRODUCT(INDEX($AV$22:$AX$60,,$AI860), INDEX($AY$22:$BE$60,,$AH860), 1 / ($BF$22:$BF$60*CW860), N($AU$22:$AU$60&gt;$AM860)),
SUMPRODUCT(INDEX($AV$22:$AX$45,,$AI860), INDEX($AY$22:$BE$45,,$AH860), 1 / ($BG$22:$BG$45*CW860), N($AU$22:$AU$45&gt;$AM860))
) / 1000</f>
        <v>0</v>
      </c>
      <c r="CZ860" s="229">
        <f t="shared" si="884"/>
        <v>0</v>
      </c>
      <c r="DA860" s="246"/>
    </row>
    <row r="861" spans="1:105" s="75" customFormat="1" ht="14.25" customHeight="1" x14ac:dyDescent="0.2">
      <c r="A861" s="230" t="b">
        <f t="shared" si="889"/>
        <v>0</v>
      </c>
      <c r="B861" s="253">
        <v>840</v>
      </c>
      <c r="C861" s="266"/>
      <c r="D861" s="266"/>
      <c r="E861" s="254"/>
      <c r="F861" s="255" t="str">
        <f>IF(ISBLANK(E861), "", VLOOKUP(E861, Z!$A$2:$C$4127, 3, FALSE))</f>
        <v/>
      </c>
      <c r="G861" s="256"/>
      <c r="H861" s="256"/>
      <c r="I861" s="256"/>
      <c r="J861" s="257"/>
      <c r="K861" s="258"/>
      <c r="L861" s="267"/>
      <c r="M861" s="268"/>
      <c r="N861" s="259" t="str" cm="1">
        <f t="array" ref="N861">IF($L861&gt;0, INDEX(Clean,1+AK861,$D$1), "")</f>
        <v/>
      </c>
      <c r="O861" s="260"/>
      <c r="P861" s="260"/>
      <c r="Q861" s="261"/>
      <c r="R861" s="264">
        <f t="shared" si="860"/>
        <v>0</v>
      </c>
      <c r="S861" s="259" t="str" cm="1">
        <f t="array" ref="S861">IF($L861&gt;0, INDEX(Clean,1+AL861,$D$1), "")</f>
        <v/>
      </c>
      <c r="T861" s="260"/>
      <c r="U861" s="260"/>
      <c r="V861" s="261"/>
      <c r="W861" s="267"/>
      <c r="X861" s="267"/>
      <c r="Y861" s="257"/>
      <c r="Z861" s="264">
        <f t="shared" si="861"/>
        <v>0</v>
      </c>
      <c r="AA861" s="269"/>
      <c r="AB861" s="266"/>
      <c r="AC861" s="254"/>
      <c r="AD861" s="255" t="str">
        <f>IF(ISBLANK(AC861), "", VLOOKUP(AC861, Z!$A$2:$C$4127, 3, FALSE))</f>
        <v/>
      </c>
      <c r="AE861" s="270"/>
      <c r="AF861" s="265">
        <f t="shared" si="862"/>
        <v>0</v>
      </c>
      <c r="AG861" s="246"/>
      <c r="AH861" s="228">
        <f t="shared" si="885"/>
        <v>1</v>
      </c>
      <c r="AI861" s="228">
        <f t="shared" si="886"/>
        <v>1</v>
      </c>
      <c r="AJ861" s="228">
        <f t="shared" si="887"/>
        <v>0</v>
      </c>
      <c r="AK861" s="228">
        <v>0</v>
      </c>
      <c r="AL861" s="228">
        <v>0</v>
      </c>
      <c r="AM861" s="228">
        <f t="shared" si="863"/>
        <v>-100</v>
      </c>
      <c r="AN861" s="228" cm="1">
        <f t="array" ref="AN861">IF(ISBLANK(G861), 1, IFERROR(MATCH(G861, INDEX(Kat,,1), 0), IFERROR(MATCH(Kat, INDEX(Use,,2), 0), MATCH(Kat, INDEX(Use,,3), 0))))</f>
        <v>1</v>
      </c>
      <c r="AO861" s="246"/>
      <c r="AP861" s="228" cm="1">
        <f t="array" ref="AP861">IF(W861&gt;0, INDEX(Kat, AN861,4), 0)</f>
        <v>0</v>
      </c>
      <c r="AQ861" s="228">
        <f t="shared" si="888"/>
        <v>0</v>
      </c>
      <c r="AR861" s="228" cm="1">
        <f t="array" ref="AR861">IF(X861&gt;0, INDEX(Kat, $AN861, 4+AQ861), 0)</f>
        <v>0</v>
      </c>
      <c r="AS861" s="228" cm="1">
        <f t="array" ref="AS861">IF(X861&gt;0, INDEX(Kat, $AN861, 9+AQ861), 0)</f>
        <v>0</v>
      </c>
      <c r="AT861" s="246"/>
      <c r="AU861" s="262"/>
      <c r="AV861" s="262"/>
      <c r="AW861" s="263"/>
      <c r="AX861" s="263"/>
      <c r="AY861" s="263"/>
      <c r="AZ861" s="263"/>
      <c r="BA861" s="263"/>
      <c r="BB861" s="263"/>
      <c r="BC861" s="263"/>
      <c r="BD861" s="263"/>
      <c r="BE861" s="263"/>
      <c r="BF861" s="263"/>
      <c r="BG861" s="263"/>
      <c r="BH861" s="246"/>
      <c r="BI861" s="228" cm="1">
        <f t="array" ref="BI861">INDEX(Use, $AH861, 4)</f>
        <v>7</v>
      </c>
      <c r="BJ861" s="228">
        <f t="shared" si="864"/>
        <v>32</v>
      </c>
      <c r="BK861" s="228">
        <f t="shared" si="890"/>
        <v>13</v>
      </c>
      <c r="BL861" s="228">
        <f t="shared" si="891"/>
        <v>0</v>
      </c>
      <c r="BM861" s="233" cm="1">
        <f t="array" ref="BM861">L861/IF($M861&gt;0, INDEX($AY$22:$BE$76, $M861+20, $AH861), 1)</f>
        <v>0</v>
      </c>
      <c r="BN861" s="229">
        <f t="shared" si="865"/>
        <v>0</v>
      </c>
      <c r="BO861" s="228">
        <v>35</v>
      </c>
      <c r="BP861" s="229">
        <f t="shared" si="866"/>
        <v>48</v>
      </c>
      <c r="BQ861" s="234">
        <f t="shared" si="867"/>
        <v>3.0748170731707316</v>
      </c>
      <c r="BR861" s="234" cm="1">
        <f t="array" ref="BR861">$BM861 * SUMPRODUCT(INDEX($AV$76:$AX$81,,$AI861),INDEX($AY$76:$BE$81,,$AH861), N($AU$76:$AU$81&gt;$AM861)) / BQ861 / 1000</f>
        <v>0</v>
      </c>
      <c r="BS861" s="231">
        <f t="shared" si="892"/>
        <v>30</v>
      </c>
      <c r="BT861" s="229">
        <f t="shared" si="868"/>
        <v>43</v>
      </c>
      <c r="BU861" s="234">
        <f t="shared" si="869"/>
        <v>3.5018750000000001</v>
      </c>
      <c r="BV861" s="234" cm="1">
        <f t="array" ref="BV861">$BM861 * IF($AH861&lt;=2,
SUMPRODUCT(INDEX($AV$71:$AX$75,,$AI861), INDEX($AY$71:$BE$75,,$AH861), 1 / ($BF$71:$BF$75*BU861 + (1-$BF$71:$BF$75)*BQ861), N($AU$71:$AU$75&gt;$AM861)),
SUMPRODUCT(INDEX($AV$66:$AX$75,,$AI861), INDEX($AY$66:$BE$75,,$AH861), 1 / ($BG$66:$BG$75*BU861 + (1-$BG$66:$BG$75)*BQ861), N($AU$66:$AU$75&gt;$AM861))
) / 1000</f>
        <v>0</v>
      </c>
      <c r="BW861" s="231">
        <f t="shared" si="893"/>
        <v>25</v>
      </c>
      <c r="BX861" s="229">
        <f t="shared" si="870"/>
        <v>38</v>
      </c>
      <c r="BY861" s="234">
        <f t="shared" si="871"/>
        <v>4.0666935483870965</v>
      </c>
      <c r="BZ861" s="234" cm="1">
        <f t="array" ref="BZ861">$BM861 * IF($AH861&lt;=2,
SUMPRODUCT(INDEX($AV$66:$AX$70,,$AI861), INDEX($AY$66:$BE$70,,$AH861), 1 / ($BF$66:$BF$70*BY861 + (1-$BF$66:$BF$70)*BU861), N($AU$66:$AU$70&gt;$AM861)),
SUMPRODUCT(INDEX($AV$56:$AX$65,,$AI861), INDEX($AY$56:$BE$65,,$AH861), 1 / ($BG$56:$BG$65*BY861 + (1-$BG$56:$BG$65)*BU861), N($AU$56:$AU$65&gt;$AM861))
) / 1000</f>
        <v>0</v>
      </c>
      <c r="CA861" s="231">
        <f t="shared" si="894"/>
        <v>20</v>
      </c>
      <c r="CB861" s="229">
        <f t="shared" si="872"/>
        <v>33</v>
      </c>
      <c r="CC861" s="234">
        <f t="shared" si="873"/>
        <v>4.8487499999999999</v>
      </c>
      <c r="CD861" s="234" cm="1">
        <f t="array" ref="CD861">$BM861 * IF($AH861&lt;=2,
SUMPRODUCT(INDEX($AV$61:$AX$65,,$AI861), INDEX($AY$61:$BE$65,,$AH861), 1 / ($BF$61:$BF$65*CC861 + (1-$BF$61:$BF$65)*BY861), N($AU$61:$AU$65&gt;$AM861)),
SUMPRODUCT(INDEX($AV$46:$AX$55,,$AI861), INDEX($AY$46:$BE$55,,$AH861), 1 / ($BG$46:$BG$55*CC861 + (1-$BG$46:$BG$55)*BY861), N($AU$46:$AU$55&gt;$AM861))
) / 1000</f>
        <v>0</v>
      </c>
      <c r="CE861" s="234" cm="1">
        <f t="array" ref="CE861">$BM861 * IF($AH861&lt;=2,
SUMPRODUCT(INDEX($AV$22:$AX$60,,$AI861), INDEX($AY$22:$BE$60,,$AH861), 1 / ($BF$22:$BF$60*CC861), N($AU$22:$AU$60&gt;$AM861)),
SUMPRODUCT(INDEX($AV$22:$AX$45,,$AI861), INDEX($AY$22:$BE$45,,$AH861), 1 / ($BG$22:$BG$45*CC861), N($AU$22:$AU$45&gt;$AM861))
) / 1000</f>
        <v>0</v>
      </c>
      <c r="CF861" s="229">
        <f t="shared" si="874"/>
        <v>0</v>
      </c>
      <c r="CG861" s="246"/>
      <c r="CH861" s="229">
        <f t="shared" si="875"/>
        <v>0</v>
      </c>
      <c r="CI861" s="228">
        <v>35</v>
      </c>
      <c r="CJ861" s="229">
        <f t="shared" si="876"/>
        <v>48</v>
      </c>
      <c r="CK861" s="234">
        <f t="shared" si="877"/>
        <v>3.0748170731707316</v>
      </c>
      <c r="CL861" s="234" cm="1">
        <f t="array" ref="CL861">$BM861 * SUMPRODUCT(INDEX($AV$76:$AX$81,,$AI861),INDEX($AY$76:$BE$81,,$AH861), N($AU$76:$AU$81&gt;$AM861)) / CK861 / 1000</f>
        <v>0</v>
      </c>
      <c r="CM861" s="231">
        <f t="shared" si="895"/>
        <v>30</v>
      </c>
      <c r="CN861" s="229">
        <f t="shared" si="878"/>
        <v>43</v>
      </c>
      <c r="CO861" s="234">
        <f t="shared" si="879"/>
        <v>3.5018750000000001</v>
      </c>
      <c r="CP861" s="234" cm="1">
        <f t="array" ref="CP861">$BM861 * IF($AH861&lt;=2,
SUMPRODUCT(INDEX($AV$71:$AX$75,,$AI861), INDEX($AY$71:$BE$75,,$AH861), 1 / ($BF$71:$BF$75*CO861 + (1-$BF$71:$BF$75)*CK861), N($AU$71:$AU$75&gt;$AM861)),
SUMPRODUCT(INDEX($AV$66:$AX$75,,$AI861), INDEX($AY$66:$BE$75,,$AH861), 1 / ($BG$66:$BG$75*CO861 + (1-$BG$66:$BG$75)*CK861), N($AU$66:$AU$75&gt;$AM861))
) / 1000</f>
        <v>0</v>
      </c>
      <c r="CQ861" s="231">
        <f t="shared" si="896"/>
        <v>25</v>
      </c>
      <c r="CR861" s="229">
        <f t="shared" si="880"/>
        <v>38</v>
      </c>
      <c r="CS861" s="234">
        <f t="shared" si="881"/>
        <v>4.0666935483870965</v>
      </c>
      <c r="CT861" s="234" cm="1">
        <f t="array" ref="CT861">$BM861 * IF($AH861&lt;=2,
SUMPRODUCT(INDEX($AV$66:$AX$70,,$AI861), INDEX($AY$66:$BE$70,,$AH861), 1 / ($BF$66:$BF$70*CS861 + (1-$BF$66:$BF$70)*CO861), N($AU$66:$AU$70&gt;$AM861)),
SUMPRODUCT(INDEX($AV$56:$AX$65,,$AI861), INDEX($AY$56:$BE$65,,$AH861), 1 / ($BG$56:$BG$65*CS861 + (1-$BG$56:$BG$65)*CO861), N($AU$56:$AU$65&gt;$AM861))
) / 1000</f>
        <v>0</v>
      </c>
      <c r="CU861" s="231">
        <f t="shared" si="897"/>
        <v>20</v>
      </c>
      <c r="CV861" s="229">
        <f t="shared" si="882"/>
        <v>33</v>
      </c>
      <c r="CW861" s="234">
        <f t="shared" si="883"/>
        <v>4.8487499999999999</v>
      </c>
      <c r="CX861" s="234" cm="1">
        <f t="array" ref="CX861">$BM861 * IF($AH861&lt;=2,
SUMPRODUCT(INDEX($AV$61:$AX$65,,$AI861), INDEX($AY$61:$BE$65,,$AH861), 1 / ($BF$61:$BF$65*CW861 + (1-$BF$61:$BF$65)*CS861), N($AU$61:$AU$65&gt;$AM861)),
SUMPRODUCT(INDEX($AV$46:$AX$55,,$AI861), INDEX($AY$46:$BE$55,,$AH861), 1 / ($BG$46:$BG$55*CW861 + (1-$BG$46:$BG$55)*CS861), N($AU$46:$AU$55&gt;$AM861))
) / 1000</f>
        <v>0</v>
      </c>
      <c r="CY861" s="234" cm="1">
        <f t="array" ref="CY861">$BM861 * IF($AH861&lt;=2,
SUMPRODUCT(INDEX($AV$22:$AX$60,,$AI861), INDEX($AY$22:$BE$60,,$AH861), 1 / ($BF$22:$BF$60*CW861), N($AU$22:$AU$60&gt;$AM861)),
SUMPRODUCT(INDEX($AV$22:$AX$45,,$AI861), INDEX($AY$22:$BE$45,,$AH861), 1 / ($BG$22:$BG$45*CW861), N($AU$22:$AU$45&gt;$AM861))
) / 1000</f>
        <v>0</v>
      </c>
      <c r="CZ861" s="229">
        <f t="shared" si="884"/>
        <v>0</v>
      </c>
      <c r="DA861" s="246"/>
    </row>
    <row r="862" spans="1:105" s="75" customFormat="1" ht="14.25" customHeight="1" x14ac:dyDescent="0.2">
      <c r="A862" s="230" t="b">
        <f t="shared" si="889"/>
        <v>0</v>
      </c>
      <c r="B862" s="253">
        <v>841</v>
      </c>
      <c r="C862" s="266"/>
      <c r="D862" s="266"/>
      <c r="E862" s="254"/>
      <c r="F862" s="255" t="str">
        <f>IF(ISBLANK(E862), "", VLOOKUP(E862, Z!$A$2:$C$4127, 3, FALSE))</f>
        <v/>
      </c>
      <c r="G862" s="256"/>
      <c r="H862" s="256"/>
      <c r="I862" s="256"/>
      <c r="J862" s="257"/>
      <c r="K862" s="258"/>
      <c r="L862" s="267"/>
      <c r="M862" s="268"/>
      <c r="N862" s="259" t="str" cm="1">
        <f t="array" ref="N862">IF($L862&gt;0, INDEX(Clean,1+AK862,$D$1), "")</f>
        <v/>
      </c>
      <c r="O862" s="260"/>
      <c r="P862" s="260"/>
      <c r="Q862" s="261"/>
      <c r="R862" s="264">
        <f t="shared" si="860"/>
        <v>0</v>
      </c>
      <c r="S862" s="259" t="str" cm="1">
        <f t="array" ref="S862">IF($L862&gt;0, INDEX(Clean,1+AL862,$D$1), "")</f>
        <v/>
      </c>
      <c r="T862" s="260"/>
      <c r="U862" s="260"/>
      <c r="V862" s="261"/>
      <c r="W862" s="267"/>
      <c r="X862" s="267"/>
      <c r="Y862" s="257"/>
      <c r="Z862" s="264">
        <f t="shared" si="861"/>
        <v>0</v>
      </c>
      <c r="AA862" s="269"/>
      <c r="AB862" s="266"/>
      <c r="AC862" s="254"/>
      <c r="AD862" s="255" t="str">
        <f>IF(ISBLANK(AC862), "", VLOOKUP(AC862, Z!$A$2:$C$4127, 3, FALSE))</f>
        <v/>
      </c>
      <c r="AE862" s="270"/>
      <c r="AF862" s="265">
        <f t="shared" si="862"/>
        <v>0</v>
      </c>
      <c r="AG862" s="246"/>
      <c r="AH862" s="228">
        <f t="shared" si="885"/>
        <v>1</v>
      </c>
      <c r="AI862" s="228">
        <f t="shared" si="886"/>
        <v>1</v>
      </c>
      <c r="AJ862" s="228">
        <f t="shared" si="887"/>
        <v>0</v>
      </c>
      <c r="AK862" s="228">
        <v>0</v>
      </c>
      <c r="AL862" s="228">
        <v>0</v>
      </c>
      <c r="AM862" s="228">
        <f t="shared" si="863"/>
        <v>-100</v>
      </c>
      <c r="AN862" s="228" cm="1">
        <f t="array" ref="AN862">IF(ISBLANK(G862), 1, IFERROR(MATCH(G862, INDEX(Kat,,1), 0), IFERROR(MATCH(Kat, INDEX(Use,,2), 0), MATCH(Kat, INDEX(Use,,3), 0))))</f>
        <v>1</v>
      </c>
      <c r="AO862" s="246"/>
      <c r="AP862" s="228" cm="1">
        <f t="array" ref="AP862">IF(W862&gt;0, INDEX(Kat, AN862,4), 0)</f>
        <v>0</v>
      </c>
      <c r="AQ862" s="228">
        <f t="shared" si="888"/>
        <v>0</v>
      </c>
      <c r="AR862" s="228" cm="1">
        <f t="array" ref="AR862">IF(X862&gt;0, INDEX(Kat, $AN862, 4+AQ862), 0)</f>
        <v>0</v>
      </c>
      <c r="AS862" s="228" cm="1">
        <f t="array" ref="AS862">IF(X862&gt;0, INDEX(Kat, $AN862, 9+AQ862), 0)</f>
        <v>0</v>
      </c>
      <c r="AT862" s="246"/>
      <c r="AU862" s="262"/>
      <c r="AV862" s="262"/>
      <c r="AW862" s="263"/>
      <c r="AX862" s="263"/>
      <c r="AY862" s="263"/>
      <c r="AZ862" s="263"/>
      <c r="BA862" s="263"/>
      <c r="BB862" s="263"/>
      <c r="BC862" s="263"/>
      <c r="BD862" s="263"/>
      <c r="BE862" s="263"/>
      <c r="BF862" s="263"/>
      <c r="BG862" s="263"/>
      <c r="BH862" s="246"/>
      <c r="BI862" s="228" cm="1">
        <f t="array" ref="BI862">INDEX(Use, $AH862, 4)</f>
        <v>7</v>
      </c>
      <c r="BJ862" s="228">
        <f t="shared" si="864"/>
        <v>32</v>
      </c>
      <c r="BK862" s="228">
        <f t="shared" si="890"/>
        <v>13</v>
      </c>
      <c r="BL862" s="228">
        <f t="shared" si="891"/>
        <v>0</v>
      </c>
      <c r="BM862" s="233" cm="1">
        <f t="array" ref="BM862">L862/IF($M862&gt;0, INDEX($AY$22:$BE$76, $M862+20, $AH862), 1)</f>
        <v>0</v>
      </c>
      <c r="BN862" s="229">
        <f t="shared" si="865"/>
        <v>0</v>
      </c>
      <c r="BO862" s="228">
        <v>35</v>
      </c>
      <c r="BP862" s="229">
        <f t="shared" si="866"/>
        <v>48</v>
      </c>
      <c r="BQ862" s="234">
        <f t="shared" si="867"/>
        <v>3.0748170731707316</v>
      </c>
      <c r="BR862" s="234" cm="1">
        <f t="array" ref="BR862">$BM862 * SUMPRODUCT(INDEX($AV$76:$AX$81,,$AI862),INDEX($AY$76:$BE$81,,$AH862), N($AU$76:$AU$81&gt;$AM862)) / BQ862 / 1000</f>
        <v>0</v>
      </c>
      <c r="BS862" s="231">
        <f t="shared" si="892"/>
        <v>30</v>
      </c>
      <c r="BT862" s="229">
        <f t="shared" si="868"/>
        <v>43</v>
      </c>
      <c r="BU862" s="234">
        <f t="shared" si="869"/>
        <v>3.5018750000000001</v>
      </c>
      <c r="BV862" s="234" cm="1">
        <f t="array" ref="BV862">$BM862 * IF($AH862&lt;=2,
SUMPRODUCT(INDEX($AV$71:$AX$75,,$AI862), INDEX($AY$71:$BE$75,,$AH862), 1 / ($BF$71:$BF$75*BU862 + (1-$BF$71:$BF$75)*BQ862), N($AU$71:$AU$75&gt;$AM862)),
SUMPRODUCT(INDEX($AV$66:$AX$75,,$AI862), INDEX($AY$66:$BE$75,,$AH862), 1 / ($BG$66:$BG$75*BU862 + (1-$BG$66:$BG$75)*BQ862), N($AU$66:$AU$75&gt;$AM862))
) / 1000</f>
        <v>0</v>
      </c>
      <c r="BW862" s="231">
        <f t="shared" si="893"/>
        <v>25</v>
      </c>
      <c r="BX862" s="229">
        <f t="shared" si="870"/>
        <v>38</v>
      </c>
      <c r="BY862" s="234">
        <f t="shared" si="871"/>
        <v>4.0666935483870965</v>
      </c>
      <c r="BZ862" s="234" cm="1">
        <f t="array" ref="BZ862">$BM862 * IF($AH862&lt;=2,
SUMPRODUCT(INDEX($AV$66:$AX$70,,$AI862), INDEX($AY$66:$BE$70,,$AH862), 1 / ($BF$66:$BF$70*BY862 + (1-$BF$66:$BF$70)*BU862), N($AU$66:$AU$70&gt;$AM862)),
SUMPRODUCT(INDEX($AV$56:$AX$65,,$AI862), INDEX($AY$56:$BE$65,,$AH862), 1 / ($BG$56:$BG$65*BY862 + (1-$BG$56:$BG$65)*BU862), N($AU$56:$AU$65&gt;$AM862))
) / 1000</f>
        <v>0</v>
      </c>
      <c r="CA862" s="231">
        <f t="shared" si="894"/>
        <v>20</v>
      </c>
      <c r="CB862" s="229">
        <f t="shared" si="872"/>
        <v>33</v>
      </c>
      <c r="CC862" s="234">
        <f t="shared" si="873"/>
        <v>4.8487499999999999</v>
      </c>
      <c r="CD862" s="234" cm="1">
        <f t="array" ref="CD862">$BM862 * IF($AH862&lt;=2,
SUMPRODUCT(INDEX($AV$61:$AX$65,,$AI862), INDEX($AY$61:$BE$65,,$AH862), 1 / ($BF$61:$BF$65*CC862 + (1-$BF$61:$BF$65)*BY862), N($AU$61:$AU$65&gt;$AM862)),
SUMPRODUCT(INDEX($AV$46:$AX$55,,$AI862), INDEX($AY$46:$BE$55,,$AH862), 1 / ($BG$46:$BG$55*CC862 + (1-$BG$46:$BG$55)*BY862), N($AU$46:$AU$55&gt;$AM862))
) / 1000</f>
        <v>0</v>
      </c>
      <c r="CE862" s="234" cm="1">
        <f t="array" ref="CE862">$BM862 * IF($AH862&lt;=2,
SUMPRODUCT(INDEX($AV$22:$AX$60,,$AI862), INDEX($AY$22:$BE$60,,$AH862), 1 / ($BF$22:$BF$60*CC862), N($AU$22:$AU$60&gt;$AM862)),
SUMPRODUCT(INDEX($AV$22:$AX$45,,$AI862), INDEX($AY$22:$BE$45,,$AH862), 1 / ($BG$22:$BG$45*CC862), N($AU$22:$AU$45&gt;$AM862))
) / 1000</f>
        <v>0</v>
      </c>
      <c r="CF862" s="229">
        <f t="shared" si="874"/>
        <v>0</v>
      </c>
      <c r="CG862" s="246"/>
      <c r="CH862" s="229">
        <f t="shared" si="875"/>
        <v>0</v>
      </c>
      <c r="CI862" s="228">
        <v>35</v>
      </c>
      <c r="CJ862" s="229">
        <f t="shared" si="876"/>
        <v>48</v>
      </c>
      <c r="CK862" s="234">
        <f t="shared" si="877"/>
        <v>3.0748170731707316</v>
      </c>
      <c r="CL862" s="234" cm="1">
        <f t="array" ref="CL862">$BM862 * SUMPRODUCT(INDEX($AV$76:$AX$81,,$AI862),INDEX($AY$76:$BE$81,,$AH862), N($AU$76:$AU$81&gt;$AM862)) / CK862 / 1000</f>
        <v>0</v>
      </c>
      <c r="CM862" s="231">
        <f t="shared" si="895"/>
        <v>30</v>
      </c>
      <c r="CN862" s="229">
        <f t="shared" si="878"/>
        <v>43</v>
      </c>
      <c r="CO862" s="234">
        <f t="shared" si="879"/>
        <v>3.5018750000000001</v>
      </c>
      <c r="CP862" s="234" cm="1">
        <f t="array" ref="CP862">$BM862 * IF($AH862&lt;=2,
SUMPRODUCT(INDEX($AV$71:$AX$75,,$AI862), INDEX($AY$71:$BE$75,,$AH862), 1 / ($BF$71:$BF$75*CO862 + (1-$BF$71:$BF$75)*CK862), N($AU$71:$AU$75&gt;$AM862)),
SUMPRODUCT(INDEX($AV$66:$AX$75,,$AI862), INDEX($AY$66:$BE$75,,$AH862), 1 / ($BG$66:$BG$75*CO862 + (1-$BG$66:$BG$75)*CK862), N($AU$66:$AU$75&gt;$AM862))
) / 1000</f>
        <v>0</v>
      </c>
      <c r="CQ862" s="231">
        <f t="shared" si="896"/>
        <v>25</v>
      </c>
      <c r="CR862" s="229">
        <f t="shared" si="880"/>
        <v>38</v>
      </c>
      <c r="CS862" s="234">
        <f t="shared" si="881"/>
        <v>4.0666935483870965</v>
      </c>
      <c r="CT862" s="234" cm="1">
        <f t="array" ref="CT862">$BM862 * IF($AH862&lt;=2,
SUMPRODUCT(INDEX($AV$66:$AX$70,,$AI862), INDEX($AY$66:$BE$70,,$AH862), 1 / ($BF$66:$BF$70*CS862 + (1-$BF$66:$BF$70)*CO862), N($AU$66:$AU$70&gt;$AM862)),
SUMPRODUCT(INDEX($AV$56:$AX$65,,$AI862), INDEX($AY$56:$BE$65,,$AH862), 1 / ($BG$56:$BG$65*CS862 + (1-$BG$56:$BG$65)*CO862), N($AU$56:$AU$65&gt;$AM862))
) / 1000</f>
        <v>0</v>
      </c>
      <c r="CU862" s="231">
        <f t="shared" si="897"/>
        <v>20</v>
      </c>
      <c r="CV862" s="229">
        <f t="shared" si="882"/>
        <v>33</v>
      </c>
      <c r="CW862" s="234">
        <f t="shared" si="883"/>
        <v>4.8487499999999999</v>
      </c>
      <c r="CX862" s="234" cm="1">
        <f t="array" ref="CX862">$BM862 * IF($AH862&lt;=2,
SUMPRODUCT(INDEX($AV$61:$AX$65,,$AI862), INDEX($AY$61:$BE$65,,$AH862), 1 / ($BF$61:$BF$65*CW862 + (1-$BF$61:$BF$65)*CS862), N($AU$61:$AU$65&gt;$AM862)),
SUMPRODUCT(INDEX($AV$46:$AX$55,,$AI862), INDEX($AY$46:$BE$55,,$AH862), 1 / ($BG$46:$BG$55*CW862 + (1-$BG$46:$BG$55)*CS862), N($AU$46:$AU$55&gt;$AM862))
) / 1000</f>
        <v>0</v>
      </c>
      <c r="CY862" s="234" cm="1">
        <f t="array" ref="CY862">$BM862 * IF($AH862&lt;=2,
SUMPRODUCT(INDEX($AV$22:$AX$60,,$AI862), INDEX($AY$22:$BE$60,,$AH862), 1 / ($BF$22:$BF$60*CW862), N($AU$22:$AU$60&gt;$AM862)),
SUMPRODUCT(INDEX($AV$22:$AX$45,,$AI862), INDEX($AY$22:$BE$45,,$AH862), 1 / ($BG$22:$BG$45*CW862), N($AU$22:$AU$45&gt;$AM862))
) / 1000</f>
        <v>0</v>
      </c>
      <c r="CZ862" s="229">
        <f t="shared" si="884"/>
        <v>0</v>
      </c>
      <c r="DA862" s="246"/>
    </row>
    <row r="863" spans="1:105" s="75" customFormat="1" ht="14.25" customHeight="1" x14ac:dyDescent="0.2">
      <c r="A863" s="230" t="b">
        <f t="shared" si="889"/>
        <v>0</v>
      </c>
      <c r="B863" s="253">
        <v>842</v>
      </c>
      <c r="C863" s="266"/>
      <c r="D863" s="266"/>
      <c r="E863" s="254"/>
      <c r="F863" s="255" t="str">
        <f>IF(ISBLANK(E863), "", VLOOKUP(E863, Z!$A$2:$C$4127, 3, FALSE))</f>
        <v/>
      </c>
      <c r="G863" s="256"/>
      <c r="H863" s="256"/>
      <c r="I863" s="256"/>
      <c r="J863" s="257"/>
      <c r="K863" s="258"/>
      <c r="L863" s="267"/>
      <c r="M863" s="268"/>
      <c r="N863" s="259" t="str" cm="1">
        <f t="array" ref="N863">IF($L863&gt;0, INDEX(Clean,1+AK863,$D$1), "")</f>
        <v/>
      </c>
      <c r="O863" s="260"/>
      <c r="P863" s="260"/>
      <c r="Q863" s="261"/>
      <c r="R863" s="264">
        <f t="shared" si="860"/>
        <v>0</v>
      </c>
      <c r="S863" s="259" t="str" cm="1">
        <f t="array" ref="S863">IF($L863&gt;0, INDEX(Clean,1+AL863,$D$1), "")</f>
        <v/>
      </c>
      <c r="T863" s="260"/>
      <c r="U863" s="260"/>
      <c r="V863" s="261"/>
      <c r="W863" s="267"/>
      <c r="X863" s="267"/>
      <c r="Y863" s="257"/>
      <c r="Z863" s="264">
        <f t="shared" si="861"/>
        <v>0</v>
      </c>
      <c r="AA863" s="269"/>
      <c r="AB863" s="266"/>
      <c r="AC863" s="254"/>
      <c r="AD863" s="255" t="str">
        <f>IF(ISBLANK(AC863), "", VLOOKUP(AC863, Z!$A$2:$C$4127, 3, FALSE))</f>
        <v/>
      </c>
      <c r="AE863" s="270"/>
      <c r="AF863" s="265">
        <f t="shared" si="862"/>
        <v>0</v>
      </c>
      <c r="AG863" s="246"/>
      <c r="AH863" s="228">
        <f t="shared" si="885"/>
        <v>1</v>
      </c>
      <c r="AI863" s="228">
        <f t="shared" si="886"/>
        <v>1</v>
      </c>
      <c r="AJ863" s="228">
        <f t="shared" si="887"/>
        <v>0</v>
      </c>
      <c r="AK863" s="228">
        <v>0</v>
      </c>
      <c r="AL863" s="228">
        <v>0</v>
      </c>
      <c r="AM863" s="228">
        <f t="shared" si="863"/>
        <v>-100</v>
      </c>
      <c r="AN863" s="228" cm="1">
        <f t="array" ref="AN863">IF(ISBLANK(G863), 1, IFERROR(MATCH(G863, INDEX(Kat,,1), 0), IFERROR(MATCH(Kat, INDEX(Use,,2), 0), MATCH(Kat, INDEX(Use,,3), 0))))</f>
        <v>1</v>
      </c>
      <c r="AO863" s="246"/>
      <c r="AP863" s="228" cm="1">
        <f t="array" ref="AP863">IF(W863&gt;0, INDEX(Kat, AN863,4), 0)</f>
        <v>0</v>
      </c>
      <c r="AQ863" s="228">
        <f t="shared" si="888"/>
        <v>0</v>
      </c>
      <c r="AR863" s="228" cm="1">
        <f t="array" ref="AR863">IF(X863&gt;0, INDEX(Kat, $AN863, 4+AQ863), 0)</f>
        <v>0</v>
      </c>
      <c r="AS863" s="228" cm="1">
        <f t="array" ref="AS863">IF(X863&gt;0, INDEX(Kat, $AN863, 9+AQ863), 0)</f>
        <v>0</v>
      </c>
      <c r="AT863" s="246"/>
      <c r="AU863" s="262"/>
      <c r="AV863" s="262"/>
      <c r="AW863" s="263"/>
      <c r="AX863" s="263"/>
      <c r="AY863" s="263"/>
      <c r="AZ863" s="263"/>
      <c r="BA863" s="263"/>
      <c r="BB863" s="263"/>
      <c r="BC863" s="263"/>
      <c r="BD863" s="263"/>
      <c r="BE863" s="263"/>
      <c r="BF863" s="263"/>
      <c r="BG863" s="263"/>
      <c r="BH863" s="246"/>
      <c r="BI863" s="228" cm="1">
        <f t="array" ref="BI863">INDEX(Use, $AH863, 4)</f>
        <v>7</v>
      </c>
      <c r="BJ863" s="228">
        <f t="shared" si="864"/>
        <v>32</v>
      </c>
      <c r="BK863" s="228">
        <f t="shared" si="890"/>
        <v>13</v>
      </c>
      <c r="BL863" s="228">
        <f t="shared" si="891"/>
        <v>0</v>
      </c>
      <c r="BM863" s="233" cm="1">
        <f t="array" ref="BM863">L863/IF($M863&gt;0, INDEX($AY$22:$BE$76, $M863+20, $AH863), 1)</f>
        <v>0</v>
      </c>
      <c r="BN863" s="229">
        <f t="shared" si="865"/>
        <v>0</v>
      </c>
      <c r="BO863" s="228">
        <v>35</v>
      </c>
      <c r="BP863" s="229">
        <f t="shared" si="866"/>
        <v>48</v>
      </c>
      <c r="BQ863" s="234">
        <f t="shared" si="867"/>
        <v>3.0748170731707316</v>
      </c>
      <c r="BR863" s="234" cm="1">
        <f t="array" ref="BR863">$BM863 * SUMPRODUCT(INDEX($AV$76:$AX$81,,$AI863),INDEX($AY$76:$BE$81,,$AH863), N($AU$76:$AU$81&gt;$AM863)) / BQ863 / 1000</f>
        <v>0</v>
      </c>
      <c r="BS863" s="231">
        <f t="shared" si="892"/>
        <v>30</v>
      </c>
      <c r="BT863" s="229">
        <f t="shared" si="868"/>
        <v>43</v>
      </c>
      <c r="BU863" s="234">
        <f t="shared" si="869"/>
        <v>3.5018750000000001</v>
      </c>
      <c r="BV863" s="234" cm="1">
        <f t="array" ref="BV863">$BM863 * IF($AH863&lt;=2,
SUMPRODUCT(INDEX($AV$71:$AX$75,,$AI863), INDEX($AY$71:$BE$75,,$AH863), 1 / ($BF$71:$BF$75*BU863 + (1-$BF$71:$BF$75)*BQ863), N($AU$71:$AU$75&gt;$AM863)),
SUMPRODUCT(INDEX($AV$66:$AX$75,,$AI863), INDEX($AY$66:$BE$75,,$AH863), 1 / ($BG$66:$BG$75*BU863 + (1-$BG$66:$BG$75)*BQ863), N($AU$66:$AU$75&gt;$AM863))
) / 1000</f>
        <v>0</v>
      </c>
      <c r="BW863" s="231">
        <f t="shared" si="893"/>
        <v>25</v>
      </c>
      <c r="BX863" s="229">
        <f t="shared" si="870"/>
        <v>38</v>
      </c>
      <c r="BY863" s="234">
        <f t="shared" si="871"/>
        <v>4.0666935483870965</v>
      </c>
      <c r="BZ863" s="234" cm="1">
        <f t="array" ref="BZ863">$BM863 * IF($AH863&lt;=2,
SUMPRODUCT(INDEX($AV$66:$AX$70,,$AI863), INDEX($AY$66:$BE$70,,$AH863), 1 / ($BF$66:$BF$70*BY863 + (1-$BF$66:$BF$70)*BU863), N($AU$66:$AU$70&gt;$AM863)),
SUMPRODUCT(INDEX($AV$56:$AX$65,,$AI863), INDEX($AY$56:$BE$65,,$AH863), 1 / ($BG$56:$BG$65*BY863 + (1-$BG$56:$BG$65)*BU863), N($AU$56:$AU$65&gt;$AM863))
) / 1000</f>
        <v>0</v>
      </c>
      <c r="CA863" s="231">
        <f t="shared" si="894"/>
        <v>20</v>
      </c>
      <c r="CB863" s="229">
        <f t="shared" si="872"/>
        <v>33</v>
      </c>
      <c r="CC863" s="234">
        <f t="shared" si="873"/>
        <v>4.8487499999999999</v>
      </c>
      <c r="CD863" s="234" cm="1">
        <f t="array" ref="CD863">$BM863 * IF($AH863&lt;=2,
SUMPRODUCT(INDEX($AV$61:$AX$65,,$AI863), INDEX($AY$61:$BE$65,,$AH863), 1 / ($BF$61:$BF$65*CC863 + (1-$BF$61:$BF$65)*BY863), N($AU$61:$AU$65&gt;$AM863)),
SUMPRODUCT(INDEX($AV$46:$AX$55,,$AI863), INDEX($AY$46:$BE$55,,$AH863), 1 / ($BG$46:$BG$55*CC863 + (1-$BG$46:$BG$55)*BY863), N($AU$46:$AU$55&gt;$AM863))
) / 1000</f>
        <v>0</v>
      </c>
      <c r="CE863" s="234" cm="1">
        <f t="array" ref="CE863">$BM863 * IF($AH863&lt;=2,
SUMPRODUCT(INDEX($AV$22:$AX$60,,$AI863), INDEX($AY$22:$BE$60,,$AH863), 1 / ($BF$22:$BF$60*CC863), N($AU$22:$AU$60&gt;$AM863)),
SUMPRODUCT(INDEX($AV$22:$AX$45,,$AI863), INDEX($AY$22:$BE$45,,$AH863), 1 / ($BG$22:$BG$45*CC863), N($AU$22:$AU$45&gt;$AM863))
) / 1000</f>
        <v>0</v>
      </c>
      <c r="CF863" s="229">
        <f t="shared" si="874"/>
        <v>0</v>
      </c>
      <c r="CG863" s="246"/>
      <c r="CH863" s="229">
        <f t="shared" si="875"/>
        <v>0</v>
      </c>
      <c r="CI863" s="228">
        <v>35</v>
      </c>
      <c r="CJ863" s="229">
        <f t="shared" si="876"/>
        <v>48</v>
      </c>
      <c r="CK863" s="234">
        <f t="shared" si="877"/>
        <v>3.0748170731707316</v>
      </c>
      <c r="CL863" s="234" cm="1">
        <f t="array" ref="CL863">$BM863 * SUMPRODUCT(INDEX($AV$76:$AX$81,,$AI863),INDEX($AY$76:$BE$81,,$AH863), N($AU$76:$AU$81&gt;$AM863)) / CK863 / 1000</f>
        <v>0</v>
      </c>
      <c r="CM863" s="231">
        <f t="shared" si="895"/>
        <v>30</v>
      </c>
      <c r="CN863" s="229">
        <f t="shared" si="878"/>
        <v>43</v>
      </c>
      <c r="CO863" s="234">
        <f t="shared" si="879"/>
        <v>3.5018750000000001</v>
      </c>
      <c r="CP863" s="234" cm="1">
        <f t="array" ref="CP863">$BM863 * IF($AH863&lt;=2,
SUMPRODUCT(INDEX($AV$71:$AX$75,,$AI863), INDEX($AY$71:$BE$75,,$AH863), 1 / ($BF$71:$BF$75*CO863 + (1-$BF$71:$BF$75)*CK863), N($AU$71:$AU$75&gt;$AM863)),
SUMPRODUCT(INDEX($AV$66:$AX$75,,$AI863), INDEX($AY$66:$BE$75,,$AH863), 1 / ($BG$66:$BG$75*CO863 + (1-$BG$66:$BG$75)*CK863), N($AU$66:$AU$75&gt;$AM863))
) / 1000</f>
        <v>0</v>
      </c>
      <c r="CQ863" s="231">
        <f t="shared" si="896"/>
        <v>25</v>
      </c>
      <c r="CR863" s="229">
        <f t="shared" si="880"/>
        <v>38</v>
      </c>
      <c r="CS863" s="234">
        <f t="shared" si="881"/>
        <v>4.0666935483870965</v>
      </c>
      <c r="CT863" s="234" cm="1">
        <f t="array" ref="CT863">$BM863 * IF($AH863&lt;=2,
SUMPRODUCT(INDEX($AV$66:$AX$70,,$AI863), INDEX($AY$66:$BE$70,,$AH863), 1 / ($BF$66:$BF$70*CS863 + (1-$BF$66:$BF$70)*CO863), N($AU$66:$AU$70&gt;$AM863)),
SUMPRODUCT(INDEX($AV$56:$AX$65,,$AI863), INDEX($AY$56:$BE$65,,$AH863), 1 / ($BG$56:$BG$65*CS863 + (1-$BG$56:$BG$65)*CO863), N($AU$56:$AU$65&gt;$AM863))
) / 1000</f>
        <v>0</v>
      </c>
      <c r="CU863" s="231">
        <f t="shared" si="897"/>
        <v>20</v>
      </c>
      <c r="CV863" s="229">
        <f t="shared" si="882"/>
        <v>33</v>
      </c>
      <c r="CW863" s="234">
        <f t="shared" si="883"/>
        <v>4.8487499999999999</v>
      </c>
      <c r="CX863" s="234" cm="1">
        <f t="array" ref="CX863">$BM863 * IF($AH863&lt;=2,
SUMPRODUCT(INDEX($AV$61:$AX$65,,$AI863), INDEX($AY$61:$BE$65,,$AH863), 1 / ($BF$61:$BF$65*CW863 + (1-$BF$61:$BF$65)*CS863), N($AU$61:$AU$65&gt;$AM863)),
SUMPRODUCT(INDEX($AV$46:$AX$55,,$AI863), INDEX($AY$46:$BE$55,,$AH863), 1 / ($BG$46:$BG$55*CW863 + (1-$BG$46:$BG$55)*CS863), N($AU$46:$AU$55&gt;$AM863))
) / 1000</f>
        <v>0</v>
      </c>
      <c r="CY863" s="234" cm="1">
        <f t="array" ref="CY863">$BM863 * IF($AH863&lt;=2,
SUMPRODUCT(INDEX($AV$22:$AX$60,,$AI863), INDEX($AY$22:$BE$60,,$AH863), 1 / ($BF$22:$BF$60*CW863), N($AU$22:$AU$60&gt;$AM863)),
SUMPRODUCT(INDEX($AV$22:$AX$45,,$AI863), INDEX($AY$22:$BE$45,,$AH863), 1 / ($BG$22:$BG$45*CW863), N($AU$22:$AU$45&gt;$AM863))
) / 1000</f>
        <v>0</v>
      </c>
      <c r="CZ863" s="229">
        <f t="shared" si="884"/>
        <v>0</v>
      </c>
      <c r="DA863" s="246"/>
    </row>
    <row r="864" spans="1:105" s="75" customFormat="1" ht="14.25" customHeight="1" x14ac:dyDescent="0.2">
      <c r="A864" s="230" t="b">
        <f t="shared" si="889"/>
        <v>0</v>
      </c>
      <c r="B864" s="253">
        <v>843</v>
      </c>
      <c r="C864" s="266"/>
      <c r="D864" s="266"/>
      <c r="E864" s="254"/>
      <c r="F864" s="255" t="str">
        <f>IF(ISBLANK(E864), "", VLOOKUP(E864, Z!$A$2:$C$4127, 3, FALSE))</f>
        <v/>
      </c>
      <c r="G864" s="256"/>
      <c r="H864" s="256"/>
      <c r="I864" s="256"/>
      <c r="J864" s="257"/>
      <c r="K864" s="258"/>
      <c r="L864" s="267"/>
      <c r="M864" s="268"/>
      <c r="N864" s="259" t="str" cm="1">
        <f t="array" ref="N864">IF($L864&gt;0, INDEX(Clean,1+AK864,$D$1), "")</f>
        <v/>
      </c>
      <c r="O864" s="260"/>
      <c r="P864" s="260"/>
      <c r="Q864" s="261"/>
      <c r="R864" s="264">
        <f t="shared" si="860"/>
        <v>0</v>
      </c>
      <c r="S864" s="259" t="str" cm="1">
        <f t="array" ref="S864">IF($L864&gt;0, INDEX(Clean,1+AL864,$D$1), "")</f>
        <v/>
      </c>
      <c r="T864" s="260"/>
      <c r="U864" s="260"/>
      <c r="V864" s="261"/>
      <c r="W864" s="267"/>
      <c r="X864" s="267"/>
      <c r="Y864" s="257"/>
      <c r="Z864" s="264">
        <f t="shared" si="861"/>
        <v>0</v>
      </c>
      <c r="AA864" s="269"/>
      <c r="AB864" s="266"/>
      <c r="AC864" s="254"/>
      <c r="AD864" s="255" t="str">
        <f>IF(ISBLANK(AC864), "", VLOOKUP(AC864, Z!$A$2:$C$4127, 3, FALSE))</f>
        <v/>
      </c>
      <c r="AE864" s="270"/>
      <c r="AF864" s="265">
        <f t="shared" si="862"/>
        <v>0</v>
      </c>
      <c r="AG864" s="246"/>
      <c r="AH864" s="228">
        <f t="shared" si="885"/>
        <v>1</v>
      </c>
      <c r="AI864" s="228">
        <f t="shared" si="886"/>
        <v>1</v>
      </c>
      <c r="AJ864" s="228">
        <f t="shared" si="887"/>
        <v>0</v>
      </c>
      <c r="AK864" s="228">
        <v>0</v>
      </c>
      <c r="AL864" s="228">
        <v>0</v>
      </c>
      <c r="AM864" s="228">
        <f t="shared" si="863"/>
        <v>-100</v>
      </c>
      <c r="AN864" s="228" cm="1">
        <f t="array" ref="AN864">IF(ISBLANK(G864), 1, IFERROR(MATCH(G864, INDEX(Kat,,1), 0), IFERROR(MATCH(Kat, INDEX(Use,,2), 0), MATCH(Kat, INDEX(Use,,3), 0))))</f>
        <v>1</v>
      </c>
      <c r="AO864" s="246"/>
      <c r="AP864" s="228" cm="1">
        <f t="array" ref="AP864">IF(W864&gt;0, INDEX(Kat, AN864,4), 0)</f>
        <v>0</v>
      </c>
      <c r="AQ864" s="228">
        <f t="shared" si="888"/>
        <v>0</v>
      </c>
      <c r="AR864" s="228" cm="1">
        <f t="array" ref="AR864">IF(X864&gt;0, INDEX(Kat, $AN864, 4+AQ864), 0)</f>
        <v>0</v>
      </c>
      <c r="AS864" s="228" cm="1">
        <f t="array" ref="AS864">IF(X864&gt;0, INDEX(Kat, $AN864, 9+AQ864), 0)</f>
        <v>0</v>
      </c>
      <c r="AT864" s="246"/>
      <c r="AU864" s="262"/>
      <c r="AV864" s="262"/>
      <c r="AW864" s="263"/>
      <c r="AX864" s="263"/>
      <c r="AY864" s="263"/>
      <c r="AZ864" s="263"/>
      <c r="BA864" s="263"/>
      <c r="BB864" s="263"/>
      <c r="BC864" s="263"/>
      <c r="BD864" s="263"/>
      <c r="BE864" s="263"/>
      <c r="BF864" s="263"/>
      <c r="BG864" s="263"/>
      <c r="BH864" s="246"/>
      <c r="BI864" s="228" cm="1">
        <f t="array" ref="BI864">INDEX(Use, $AH864, 4)</f>
        <v>7</v>
      </c>
      <c r="BJ864" s="228">
        <f t="shared" si="864"/>
        <v>32</v>
      </c>
      <c r="BK864" s="228">
        <f t="shared" si="890"/>
        <v>13</v>
      </c>
      <c r="BL864" s="228">
        <f t="shared" si="891"/>
        <v>0</v>
      </c>
      <c r="BM864" s="233" cm="1">
        <f t="array" ref="BM864">L864/IF($M864&gt;0, INDEX($AY$22:$BE$76, $M864+20, $AH864), 1)</f>
        <v>0</v>
      </c>
      <c r="BN864" s="229">
        <f t="shared" si="865"/>
        <v>0</v>
      </c>
      <c r="BO864" s="228">
        <v>35</v>
      </c>
      <c r="BP864" s="229">
        <f t="shared" si="866"/>
        <v>48</v>
      </c>
      <c r="BQ864" s="234">
        <f t="shared" si="867"/>
        <v>3.0748170731707316</v>
      </c>
      <c r="BR864" s="234" cm="1">
        <f t="array" ref="BR864">$BM864 * SUMPRODUCT(INDEX($AV$76:$AX$81,,$AI864),INDEX($AY$76:$BE$81,,$AH864), N($AU$76:$AU$81&gt;$AM864)) / BQ864 / 1000</f>
        <v>0</v>
      </c>
      <c r="BS864" s="231">
        <f t="shared" si="892"/>
        <v>30</v>
      </c>
      <c r="BT864" s="229">
        <f t="shared" si="868"/>
        <v>43</v>
      </c>
      <c r="BU864" s="234">
        <f t="shared" si="869"/>
        <v>3.5018750000000001</v>
      </c>
      <c r="BV864" s="234" cm="1">
        <f t="array" ref="BV864">$BM864 * IF($AH864&lt;=2,
SUMPRODUCT(INDEX($AV$71:$AX$75,,$AI864), INDEX($AY$71:$BE$75,,$AH864), 1 / ($BF$71:$BF$75*BU864 + (1-$BF$71:$BF$75)*BQ864), N($AU$71:$AU$75&gt;$AM864)),
SUMPRODUCT(INDEX($AV$66:$AX$75,,$AI864), INDEX($AY$66:$BE$75,,$AH864), 1 / ($BG$66:$BG$75*BU864 + (1-$BG$66:$BG$75)*BQ864), N($AU$66:$AU$75&gt;$AM864))
) / 1000</f>
        <v>0</v>
      </c>
      <c r="BW864" s="231">
        <f t="shared" si="893"/>
        <v>25</v>
      </c>
      <c r="BX864" s="229">
        <f t="shared" si="870"/>
        <v>38</v>
      </c>
      <c r="BY864" s="234">
        <f t="shared" si="871"/>
        <v>4.0666935483870965</v>
      </c>
      <c r="BZ864" s="234" cm="1">
        <f t="array" ref="BZ864">$BM864 * IF($AH864&lt;=2,
SUMPRODUCT(INDEX($AV$66:$AX$70,,$AI864), INDEX($AY$66:$BE$70,,$AH864), 1 / ($BF$66:$BF$70*BY864 + (1-$BF$66:$BF$70)*BU864), N($AU$66:$AU$70&gt;$AM864)),
SUMPRODUCT(INDEX($AV$56:$AX$65,,$AI864), INDEX($AY$56:$BE$65,,$AH864), 1 / ($BG$56:$BG$65*BY864 + (1-$BG$56:$BG$65)*BU864), N($AU$56:$AU$65&gt;$AM864))
) / 1000</f>
        <v>0</v>
      </c>
      <c r="CA864" s="231">
        <f t="shared" si="894"/>
        <v>20</v>
      </c>
      <c r="CB864" s="229">
        <f t="shared" si="872"/>
        <v>33</v>
      </c>
      <c r="CC864" s="234">
        <f t="shared" si="873"/>
        <v>4.8487499999999999</v>
      </c>
      <c r="CD864" s="234" cm="1">
        <f t="array" ref="CD864">$BM864 * IF($AH864&lt;=2,
SUMPRODUCT(INDEX($AV$61:$AX$65,,$AI864), INDEX($AY$61:$BE$65,,$AH864), 1 / ($BF$61:$BF$65*CC864 + (1-$BF$61:$BF$65)*BY864), N($AU$61:$AU$65&gt;$AM864)),
SUMPRODUCT(INDEX($AV$46:$AX$55,,$AI864), INDEX($AY$46:$BE$55,,$AH864), 1 / ($BG$46:$BG$55*CC864 + (1-$BG$46:$BG$55)*BY864), N($AU$46:$AU$55&gt;$AM864))
) / 1000</f>
        <v>0</v>
      </c>
      <c r="CE864" s="234" cm="1">
        <f t="array" ref="CE864">$BM864 * IF($AH864&lt;=2,
SUMPRODUCT(INDEX($AV$22:$AX$60,,$AI864), INDEX($AY$22:$BE$60,,$AH864), 1 / ($BF$22:$BF$60*CC864), N($AU$22:$AU$60&gt;$AM864)),
SUMPRODUCT(INDEX($AV$22:$AX$45,,$AI864), INDEX($AY$22:$BE$45,,$AH864), 1 / ($BG$22:$BG$45*CC864), N($AU$22:$AU$45&gt;$AM864))
) / 1000</f>
        <v>0</v>
      </c>
      <c r="CF864" s="229">
        <f t="shared" si="874"/>
        <v>0</v>
      </c>
      <c r="CG864" s="246"/>
      <c r="CH864" s="229">
        <f t="shared" si="875"/>
        <v>0</v>
      </c>
      <c r="CI864" s="228">
        <v>35</v>
      </c>
      <c r="CJ864" s="229">
        <f t="shared" si="876"/>
        <v>48</v>
      </c>
      <c r="CK864" s="234">
        <f t="shared" si="877"/>
        <v>3.0748170731707316</v>
      </c>
      <c r="CL864" s="234" cm="1">
        <f t="array" ref="CL864">$BM864 * SUMPRODUCT(INDEX($AV$76:$AX$81,,$AI864),INDEX($AY$76:$BE$81,,$AH864), N($AU$76:$AU$81&gt;$AM864)) / CK864 / 1000</f>
        <v>0</v>
      </c>
      <c r="CM864" s="231">
        <f t="shared" si="895"/>
        <v>30</v>
      </c>
      <c r="CN864" s="229">
        <f t="shared" si="878"/>
        <v>43</v>
      </c>
      <c r="CO864" s="234">
        <f t="shared" si="879"/>
        <v>3.5018750000000001</v>
      </c>
      <c r="CP864" s="234" cm="1">
        <f t="array" ref="CP864">$BM864 * IF($AH864&lt;=2,
SUMPRODUCT(INDEX($AV$71:$AX$75,,$AI864), INDEX($AY$71:$BE$75,,$AH864), 1 / ($BF$71:$BF$75*CO864 + (1-$BF$71:$BF$75)*CK864), N($AU$71:$AU$75&gt;$AM864)),
SUMPRODUCT(INDEX($AV$66:$AX$75,,$AI864), INDEX($AY$66:$BE$75,,$AH864), 1 / ($BG$66:$BG$75*CO864 + (1-$BG$66:$BG$75)*CK864), N($AU$66:$AU$75&gt;$AM864))
) / 1000</f>
        <v>0</v>
      </c>
      <c r="CQ864" s="231">
        <f t="shared" si="896"/>
        <v>25</v>
      </c>
      <c r="CR864" s="229">
        <f t="shared" si="880"/>
        <v>38</v>
      </c>
      <c r="CS864" s="234">
        <f t="shared" si="881"/>
        <v>4.0666935483870965</v>
      </c>
      <c r="CT864" s="234" cm="1">
        <f t="array" ref="CT864">$BM864 * IF($AH864&lt;=2,
SUMPRODUCT(INDEX($AV$66:$AX$70,,$AI864), INDEX($AY$66:$BE$70,,$AH864), 1 / ($BF$66:$BF$70*CS864 + (1-$BF$66:$BF$70)*CO864), N($AU$66:$AU$70&gt;$AM864)),
SUMPRODUCT(INDEX($AV$56:$AX$65,,$AI864), INDEX($AY$56:$BE$65,,$AH864), 1 / ($BG$56:$BG$65*CS864 + (1-$BG$56:$BG$65)*CO864), N($AU$56:$AU$65&gt;$AM864))
) / 1000</f>
        <v>0</v>
      </c>
      <c r="CU864" s="231">
        <f t="shared" si="897"/>
        <v>20</v>
      </c>
      <c r="CV864" s="229">
        <f t="shared" si="882"/>
        <v>33</v>
      </c>
      <c r="CW864" s="234">
        <f t="shared" si="883"/>
        <v>4.8487499999999999</v>
      </c>
      <c r="CX864" s="234" cm="1">
        <f t="array" ref="CX864">$BM864 * IF($AH864&lt;=2,
SUMPRODUCT(INDEX($AV$61:$AX$65,,$AI864), INDEX($AY$61:$BE$65,,$AH864), 1 / ($BF$61:$BF$65*CW864 + (1-$BF$61:$BF$65)*CS864), N($AU$61:$AU$65&gt;$AM864)),
SUMPRODUCT(INDEX($AV$46:$AX$55,,$AI864), INDEX($AY$46:$BE$55,,$AH864), 1 / ($BG$46:$BG$55*CW864 + (1-$BG$46:$BG$55)*CS864), N($AU$46:$AU$55&gt;$AM864))
) / 1000</f>
        <v>0</v>
      </c>
      <c r="CY864" s="234" cm="1">
        <f t="array" ref="CY864">$BM864 * IF($AH864&lt;=2,
SUMPRODUCT(INDEX($AV$22:$AX$60,,$AI864), INDEX($AY$22:$BE$60,,$AH864), 1 / ($BF$22:$BF$60*CW864), N($AU$22:$AU$60&gt;$AM864)),
SUMPRODUCT(INDEX($AV$22:$AX$45,,$AI864), INDEX($AY$22:$BE$45,,$AH864), 1 / ($BG$22:$BG$45*CW864), N($AU$22:$AU$45&gt;$AM864))
) / 1000</f>
        <v>0</v>
      </c>
      <c r="CZ864" s="229">
        <f t="shared" si="884"/>
        <v>0</v>
      </c>
      <c r="DA864" s="246"/>
    </row>
    <row r="865" spans="1:105" s="75" customFormat="1" ht="14.25" customHeight="1" x14ac:dyDescent="0.2">
      <c r="A865" s="230" t="b">
        <f t="shared" si="889"/>
        <v>0</v>
      </c>
      <c r="B865" s="253">
        <v>844</v>
      </c>
      <c r="C865" s="266"/>
      <c r="D865" s="266"/>
      <c r="E865" s="254"/>
      <c r="F865" s="255" t="str">
        <f>IF(ISBLANK(E865), "", VLOOKUP(E865, Z!$A$2:$C$4127, 3, FALSE))</f>
        <v/>
      </c>
      <c r="G865" s="256"/>
      <c r="H865" s="256"/>
      <c r="I865" s="256"/>
      <c r="J865" s="257"/>
      <c r="K865" s="258"/>
      <c r="L865" s="267"/>
      <c r="M865" s="268"/>
      <c r="N865" s="259" t="str" cm="1">
        <f t="array" ref="N865">IF($L865&gt;0, INDEX(Clean,1+AK865,$D$1), "")</f>
        <v/>
      </c>
      <c r="O865" s="260"/>
      <c r="P865" s="260"/>
      <c r="Q865" s="261"/>
      <c r="R865" s="264">
        <f t="shared" si="860"/>
        <v>0</v>
      </c>
      <c r="S865" s="259" t="str" cm="1">
        <f t="array" ref="S865">IF($L865&gt;0, INDEX(Clean,1+AL865,$D$1), "")</f>
        <v/>
      </c>
      <c r="T865" s="260"/>
      <c r="U865" s="260"/>
      <c r="V865" s="261"/>
      <c r="W865" s="267"/>
      <c r="X865" s="267"/>
      <c r="Y865" s="257"/>
      <c r="Z865" s="264">
        <f t="shared" si="861"/>
        <v>0</v>
      </c>
      <c r="AA865" s="269"/>
      <c r="AB865" s="266"/>
      <c r="AC865" s="254"/>
      <c r="AD865" s="255" t="str">
        <f>IF(ISBLANK(AC865), "", VLOOKUP(AC865, Z!$A$2:$C$4127, 3, FALSE))</f>
        <v/>
      </c>
      <c r="AE865" s="270"/>
      <c r="AF865" s="265">
        <f t="shared" si="862"/>
        <v>0</v>
      </c>
      <c r="AG865" s="246"/>
      <c r="AH865" s="228">
        <f t="shared" si="885"/>
        <v>1</v>
      </c>
      <c r="AI865" s="228">
        <f t="shared" si="886"/>
        <v>1</v>
      </c>
      <c r="AJ865" s="228">
        <f t="shared" si="887"/>
        <v>0</v>
      </c>
      <c r="AK865" s="228">
        <v>0</v>
      </c>
      <c r="AL865" s="228">
        <v>0</v>
      </c>
      <c r="AM865" s="228">
        <f t="shared" si="863"/>
        <v>-100</v>
      </c>
      <c r="AN865" s="228" cm="1">
        <f t="array" ref="AN865">IF(ISBLANK(G865), 1, IFERROR(MATCH(G865, INDEX(Kat,,1), 0), IFERROR(MATCH(Kat, INDEX(Use,,2), 0), MATCH(Kat, INDEX(Use,,3), 0))))</f>
        <v>1</v>
      </c>
      <c r="AO865" s="246"/>
      <c r="AP865" s="228" cm="1">
        <f t="array" ref="AP865">IF(W865&gt;0, INDEX(Kat, AN865,4), 0)</f>
        <v>0</v>
      </c>
      <c r="AQ865" s="228">
        <f t="shared" si="888"/>
        <v>0</v>
      </c>
      <c r="AR865" s="228" cm="1">
        <f t="array" ref="AR865">IF(X865&gt;0, INDEX(Kat, $AN865, 4+AQ865), 0)</f>
        <v>0</v>
      </c>
      <c r="AS865" s="228" cm="1">
        <f t="array" ref="AS865">IF(X865&gt;0, INDEX(Kat, $AN865, 9+AQ865), 0)</f>
        <v>0</v>
      </c>
      <c r="AT865" s="246"/>
      <c r="AU865" s="262"/>
      <c r="AV865" s="262"/>
      <c r="AW865" s="263"/>
      <c r="AX865" s="263"/>
      <c r="AY865" s="263"/>
      <c r="AZ865" s="263"/>
      <c r="BA865" s="263"/>
      <c r="BB865" s="263"/>
      <c r="BC865" s="263"/>
      <c r="BD865" s="263"/>
      <c r="BE865" s="263"/>
      <c r="BF865" s="263"/>
      <c r="BG865" s="263"/>
      <c r="BH865" s="246"/>
      <c r="BI865" s="228" cm="1">
        <f t="array" ref="BI865">INDEX(Use, $AH865, 4)</f>
        <v>7</v>
      </c>
      <c r="BJ865" s="228">
        <f t="shared" si="864"/>
        <v>32</v>
      </c>
      <c r="BK865" s="228">
        <f t="shared" si="890"/>
        <v>13</v>
      </c>
      <c r="BL865" s="228">
        <f t="shared" si="891"/>
        <v>0</v>
      </c>
      <c r="BM865" s="233" cm="1">
        <f t="array" ref="BM865">L865/IF($M865&gt;0, INDEX($AY$22:$BE$76, $M865+20, $AH865), 1)</f>
        <v>0</v>
      </c>
      <c r="BN865" s="229">
        <f t="shared" si="865"/>
        <v>0</v>
      </c>
      <c r="BO865" s="228">
        <v>35</v>
      </c>
      <c r="BP865" s="229">
        <f t="shared" si="866"/>
        <v>48</v>
      </c>
      <c r="BQ865" s="234">
        <f t="shared" si="867"/>
        <v>3.0748170731707316</v>
      </c>
      <c r="BR865" s="234" cm="1">
        <f t="array" ref="BR865">$BM865 * SUMPRODUCT(INDEX($AV$76:$AX$81,,$AI865),INDEX($AY$76:$BE$81,,$AH865), N($AU$76:$AU$81&gt;$AM865)) / BQ865 / 1000</f>
        <v>0</v>
      </c>
      <c r="BS865" s="231">
        <f t="shared" si="892"/>
        <v>30</v>
      </c>
      <c r="BT865" s="229">
        <f t="shared" si="868"/>
        <v>43</v>
      </c>
      <c r="BU865" s="234">
        <f t="shared" si="869"/>
        <v>3.5018750000000001</v>
      </c>
      <c r="BV865" s="234" cm="1">
        <f t="array" ref="BV865">$BM865 * IF($AH865&lt;=2,
SUMPRODUCT(INDEX($AV$71:$AX$75,,$AI865), INDEX($AY$71:$BE$75,,$AH865), 1 / ($BF$71:$BF$75*BU865 + (1-$BF$71:$BF$75)*BQ865), N($AU$71:$AU$75&gt;$AM865)),
SUMPRODUCT(INDEX($AV$66:$AX$75,,$AI865), INDEX($AY$66:$BE$75,,$AH865), 1 / ($BG$66:$BG$75*BU865 + (1-$BG$66:$BG$75)*BQ865), N($AU$66:$AU$75&gt;$AM865))
) / 1000</f>
        <v>0</v>
      </c>
      <c r="BW865" s="231">
        <f t="shared" si="893"/>
        <v>25</v>
      </c>
      <c r="BX865" s="229">
        <f t="shared" si="870"/>
        <v>38</v>
      </c>
      <c r="BY865" s="234">
        <f t="shared" si="871"/>
        <v>4.0666935483870965</v>
      </c>
      <c r="BZ865" s="234" cm="1">
        <f t="array" ref="BZ865">$BM865 * IF($AH865&lt;=2,
SUMPRODUCT(INDEX($AV$66:$AX$70,,$AI865), INDEX($AY$66:$BE$70,,$AH865), 1 / ($BF$66:$BF$70*BY865 + (1-$BF$66:$BF$70)*BU865), N($AU$66:$AU$70&gt;$AM865)),
SUMPRODUCT(INDEX($AV$56:$AX$65,,$AI865), INDEX($AY$56:$BE$65,,$AH865), 1 / ($BG$56:$BG$65*BY865 + (1-$BG$56:$BG$65)*BU865), N($AU$56:$AU$65&gt;$AM865))
) / 1000</f>
        <v>0</v>
      </c>
      <c r="CA865" s="231">
        <f t="shared" si="894"/>
        <v>20</v>
      </c>
      <c r="CB865" s="229">
        <f t="shared" si="872"/>
        <v>33</v>
      </c>
      <c r="CC865" s="234">
        <f t="shared" si="873"/>
        <v>4.8487499999999999</v>
      </c>
      <c r="CD865" s="234" cm="1">
        <f t="array" ref="CD865">$BM865 * IF($AH865&lt;=2,
SUMPRODUCT(INDEX($AV$61:$AX$65,,$AI865), INDEX($AY$61:$BE$65,,$AH865), 1 / ($BF$61:$BF$65*CC865 + (1-$BF$61:$BF$65)*BY865), N($AU$61:$AU$65&gt;$AM865)),
SUMPRODUCT(INDEX($AV$46:$AX$55,,$AI865), INDEX($AY$46:$BE$55,,$AH865), 1 / ($BG$46:$BG$55*CC865 + (1-$BG$46:$BG$55)*BY865), N($AU$46:$AU$55&gt;$AM865))
) / 1000</f>
        <v>0</v>
      </c>
      <c r="CE865" s="234" cm="1">
        <f t="array" ref="CE865">$BM865 * IF($AH865&lt;=2,
SUMPRODUCT(INDEX($AV$22:$AX$60,,$AI865), INDEX($AY$22:$BE$60,,$AH865), 1 / ($BF$22:$BF$60*CC865), N($AU$22:$AU$60&gt;$AM865)),
SUMPRODUCT(INDEX($AV$22:$AX$45,,$AI865), INDEX($AY$22:$BE$45,,$AH865), 1 / ($BG$22:$BG$45*CC865), N($AU$22:$AU$45&gt;$AM865))
) / 1000</f>
        <v>0</v>
      </c>
      <c r="CF865" s="229">
        <f t="shared" si="874"/>
        <v>0</v>
      </c>
      <c r="CG865" s="246"/>
      <c r="CH865" s="229">
        <f t="shared" si="875"/>
        <v>0</v>
      </c>
      <c r="CI865" s="228">
        <v>35</v>
      </c>
      <c r="CJ865" s="229">
        <f t="shared" si="876"/>
        <v>48</v>
      </c>
      <c r="CK865" s="234">
        <f t="shared" si="877"/>
        <v>3.0748170731707316</v>
      </c>
      <c r="CL865" s="234" cm="1">
        <f t="array" ref="CL865">$BM865 * SUMPRODUCT(INDEX($AV$76:$AX$81,,$AI865),INDEX($AY$76:$BE$81,,$AH865), N($AU$76:$AU$81&gt;$AM865)) / CK865 / 1000</f>
        <v>0</v>
      </c>
      <c r="CM865" s="231">
        <f t="shared" si="895"/>
        <v>30</v>
      </c>
      <c r="CN865" s="229">
        <f t="shared" si="878"/>
        <v>43</v>
      </c>
      <c r="CO865" s="234">
        <f t="shared" si="879"/>
        <v>3.5018750000000001</v>
      </c>
      <c r="CP865" s="234" cm="1">
        <f t="array" ref="CP865">$BM865 * IF($AH865&lt;=2,
SUMPRODUCT(INDEX($AV$71:$AX$75,,$AI865), INDEX($AY$71:$BE$75,,$AH865), 1 / ($BF$71:$BF$75*CO865 + (1-$BF$71:$BF$75)*CK865), N($AU$71:$AU$75&gt;$AM865)),
SUMPRODUCT(INDEX($AV$66:$AX$75,,$AI865), INDEX($AY$66:$BE$75,,$AH865), 1 / ($BG$66:$BG$75*CO865 + (1-$BG$66:$BG$75)*CK865), N($AU$66:$AU$75&gt;$AM865))
) / 1000</f>
        <v>0</v>
      </c>
      <c r="CQ865" s="231">
        <f t="shared" si="896"/>
        <v>25</v>
      </c>
      <c r="CR865" s="229">
        <f t="shared" si="880"/>
        <v>38</v>
      </c>
      <c r="CS865" s="234">
        <f t="shared" si="881"/>
        <v>4.0666935483870965</v>
      </c>
      <c r="CT865" s="234" cm="1">
        <f t="array" ref="CT865">$BM865 * IF($AH865&lt;=2,
SUMPRODUCT(INDEX($AV$66:$AX$70,,$AI865), INDEX($AY$66:$BE$70,,$AH865), 1 / ($BF$66:$BF$70*CS865 + (1-$BF$66:$BF$70)*CO865), N($AU$66:$AU$70&gt;$AM865)),
SUMPRODUCT(INDEX($AV$56:$AX$65,,$AI865), INDEX($AY$56:$BE$65,,$AH865), 1 / ($BG$56:$BG$65*CS865 + (1-$BG$56:$BG$65)*CO865), N($AU$56:$AU$65&gt;$AM865))
) / 1000</f>
        <v>0</v>
      </c>
      <c r="CU865" s="231">
        <f t="shared" si="897"/>
        <v>20</v>
      </c>
      <c r="CV865" s="229">
        <f t="shared" si="882"/>
        <v>33</v>
      </c>
      <c r="CW865" s="234">
        <f t="shared" si="883"/>
        <v>4.8487499999999999</v>
      </c>
      <c r="CX865" s="234" cm="1">
        <f t="array" ref="CX865">$BM865 * IF($AH865&lt;=2,
SUMPRODUCT(INDEX($AV$61:$AX$65,,$AI865), INDEX($AY$61:$BE$65,,$AH865), 1 / ($BF$61:$BF$65*CW865 + (1-$BF$61:$BF$65)*CS865), N($AU$61:$AU$65&gt;$AM865)),
SUMPRODUCT(INDEX($AV$46:$AX$55,,$AI865), INDEX($AY$46:$BE$55,,$AH865), 1 / ($BG$46:$BG$55*CW865 + (1-$BG$46:$BG$55)*CS865), N($AU$46:$AU$55&gt;$AM865))
) / 1000</f>
        <v>0</v>
      </c>
      <c r="CY865" s="234" cm="1">
        <f t="array" ref="CY865">$BM865 * IF($AH865&lt;=2,
SUMPRODUCT(INDEX($AV$22:$AX$60,,$AI865), INDEX($AY$22:$BE$60,,$AH865), 1 / ($BF$22:$BF$60*CW865), N($AU$22:$AU$60&gt;$AM865)),
SUMPRODUCT(INDEX($AV$22:$AX$45,,$AI865), INDEX($AY$22:$BE$45,,$AH865), 1 / ($BG$22:$BG$45*CW865), N($AU$22:$AU$45&gt;$AM865))
) / 1000</f>
        <v>0</v>
      </c>
      <c r="CZ865" s="229">
        <f t="shared" si="884"/>
        <v>0</v>
      </c>
      <c r="DA865" s="246"/>
    </row>
    <row r="866" spans="1:105" s="75" customFormat="1" ht="14.25" customHeight="1" x14ac:dyDescent="0.2">
      <c r="A866" s="230" t="b">
        <f t="shared" si="889"/>
        <v>0</v>
      </c>
      <c r="B866" s="253">
        <v>845</v>
      </c>
      <c r="C866" s="266"/>
      <c r="D866" s="266"/>
      <c r="E866" s="254"/>
      <c r="F866" s="255" t="str">
        <f>IF(ISBLANK(E866), "", VLOOKUP(E866, Z!$A$2:$C$4127, 3, FALSE))</f>
        <v/>
      </c>
      <c r="G866" s="256"/>
      <c r="H866" s="256"/>
      <c r="I866" s="256"/>
      <c r="J866" s="257"/>
      <c r="K866" s="258"/>
      <c r="L866" s="267"/>
      <c r="M866" s="268"/>
      <c r="N866" s="259" t="str" cm="1">
        <f t="array" ref="N866">IF($L866&gt;0, INDEX(Clean,1+AK866,$D$1), "")</f>
        <v/>
      </c>
      <c r="O866" s="260"/>
      <c r="P866" s="260"/>
      <c r="Q866" s="261"/>
      <c r="R866" s="264">
        <f t="shared" si="860"/>
        <v>0</v>
      </c>
      <c r="S866" s="259" t="str" cm="1">
        <f t="array" ref="S866">IF($L866&gt;0, INDEX(Clean,1+AL866,$D$1), "")</f>
        <v/>
      </c>
      <c r="T866" s="260"/>
      <c r="U866" s="260"/>
      <c r="V866" s="261"/>
      <c r="W866" s="267"/>
      <c r="X866" s="267"/>
      <c r="Y866" s="257"/>
      <c r="Z866" s="264">
        <f t="shared" si="861"/>
        <v>0</v>
      </c>
      <c r="AA866" s="269"/>
      <c r="AB866" s="266"/>
      <c r="AC866" s="254"/>
      <c r="AD866" s="255" t="str">
        <f>IF(ISBLANK(AC866), "", VLOOKUP(AC866, Z!$A$2:$C$4127, 3, FALSE))</f>
        <v/>
      </c>
      <c r="AE866" s="270"/>
      <c r="AF866" s="265">
        <f t="shared" si="862"/>
        <v>0</v>
      </c>
      <c r="AG866" s="246"/>
      <c r="AH866" s="228">
        <f t="shared" si="885"/>
        <v>1</v>
      </c>
      <c r="AI866" s="228">
        <f t="shared" si="886"/>
        <v>1</v>
      </c>
      <c r="AJ866" s="228">
        <f t="shared" si="887"/>
        <v>0</v>
      </c>
      <c r="AK866" s="228">
        <v>0</v>
      </c>
      <c r="AL866" s="228">
        <v>0</v>
      </c>
      <c r="AM866" s="228">
        <f t="shared" si="863"/>
        <v>-100</v>
      </c>
      <c r="AN866" s="228" cm="1">
        <f t="array" ref="AN866">IF(ISBLANK(G866), 1, IFERROR(MATCH(G866, INDEX(Kat,,1), 0), IFERROR(MATCH(Kat, INDEX(Use,,2), 0), MATCH(Kat, INDEX(Use,,3), 0))))</f>
        <v>1</v>
      </c>
      <c r="AO866" s="246"/>
      <c r="AP866" s="228" cm="1">
        <f t="array" ref="AP866">IF(W866&gt;0, INDEX(Kat, AN866,4), 0)</f>
        <v>0</v>
      </c>
      <c r="AQ866" s="228">
        <f t="shared" si="888"/>
        <v>0</v>
      </c>
      <c r="AR866" s="228" cm="1">
        <f t="array" ref="AR866">IF(X866&gt;0, INDEX(Kat, $AN866, 4+AQ866), 0)</f>
        <v>0</v>
      </c>
      <c r="AS866" s="228" cm="1">
        <f t="array" ref="AS866">IF(X866&gt;0, INDEX(Kat, $AN866, 9+AQ866), 0)</f>
        <v>0</v>
      </c>
      <c r="AT866" s="246"/>
      <c r="AU866" s="262"/>
      <c r="AV866" s="262"/>
      <c r="AW866" s="263"/>
      <c r="AX866" s="263"/>
      <c r="AY866" s="263"/>
      <c r="AZ866" s="263"/>
      <c r="BA866" s="263"/>
      <c r="BB866" s="263"/>
      <c r="BC866" s="263"/>
      <c r="BD866" s="263"/>
      <c r="BE866" s="263"/>
      <c r="BF866" s="263"/>
      <c r="BG866" s="263"/>
      <c r="BH866" s="246"/>
      <c r="BI866" s="228" cm="1">
        <f t="array" ref="BI866">INDEX(Use, $AH866, 4)</f>
        <v>7</v>
      </c>
      <c r="BJ866" s="228">
        <f t="shared" si="864"/>
        <v>32</v>
      </c>
      <c r="BK866" s="228">
        <f t="shared" si="890"/>
        <v>13</v>
      </c>
      <c r="BL866" s="228">
        <f t="shared" si="891"/>
        <v>0</v>
      </c>
      <c r="BM866" s="233" cm="1">
        <f t="array" ref="BM866">L866/IF($M866&gt;0, INDEX($AY$22:$BE$76, $M866+20, $AH866), 1)</f>
        <v>0</v>
      </c>
      <c r="BN866" s="229">
        <f t="shared" si="865"/>
        <v>0</v>
      </c>
      <c r="BO866" s="228">
        <v>35</v>
      </c>
      <c r="BP866" s="229">
        <f t="shared" si="866"/>
        <v>48</v>
      </c>
      <c r="BQ866" s="234">
        <f t="shared" si="867"/>
        <v>3.0748170731707316</v>
      </c>
      <c r="BR866" s="234" cm="1">
        <f t="array" ref="BR866">$BM866 * SUMPRODUCT(INDEX($AV$76:$AX$81,,$AI866),INDEX($AY$76:$BE$81,,$AH866), N($AU$76:$AU$81&gt;$AM866)) / BQ866 / 1000</f>
        <v>0</v>
      </c>
      <c r="BS866" s="231">
        <f t="shared" si="892"/>
        <v>30</v>
      </c>
      <c r="BT866" s="229">
        <f t="shared" si="868"/>
        <v>43</v>
      </c>
      <c r="BU866" s="234">
        <f t="shared" si="869"/>
        <v>3.5018750000000001</v>
      </c>
      <c r="BV866" s="234" cm="1">
        <f t="array" ref="BV866">$BM866 * IF($AH866&lt;=2,
SUMPRODUCT(INDEX($AV$71:$AX$75,,$AI866), INDEX($AY$71:$BE$75,,$AH866), 1 / ($BF$71:$BF$75*BU866 + (1-$BF$71:$BF$75)*BQ866), N($AU$71:$AU$75&gt;$AM866)),
SUMPRODUCT(INDEX($AV$66:$AX$75,,$AI866), INDEX($AY$66:$BE$75,,$AH866), 1 / ($BG$66:$BG$75*BU866 + (1-$BG$66:$BG$75)*BQ866), N($AU$66:$AU$75&gt;$AM866))
) / 1000</f>
        <v>0</v>
      </c>
      <c r="BW866" s="231">
        <f t="shared" si="893"/>
        <v>25</v>
      </c>
      <c r="BX866" s="229">
        <f t="shared" si="870"/>
        <v>38</v>
      </c>
      <c r="BY866" s="234">
        <f t="shared" si="871"/>
        <v>4.0666935483870965</v>
      </c>
      <c r="BZ866" s="234" cm="1">
        <f t="array" ref="BZ866">$BM866 * IF($AH866&lt;=2,
SUMPRODUCT(INDEX($AV$66:$AX$70,,$AI866), INDEX($AY$66:$BE$70,,$AH866), 1 / ($BF$66:$BF$70*BY866 + (1-$BF$66:$BF$70)*BU866), N($AU$66:$AU$70&gt;$AM866)),
SUMPRODUCT(INDEX($AV$56:$AX$65,,$AI866), INDEX($AY$56:$BE$65,,$AH866), 1 / ($BG$56:$BG$65*BY866 + (1-$BG$56:$BG$65)*BU866), N($AU$56:$AU$65&gt;$AM866))
) / 1000</f>
        <v>0</v>
      </c>
      <c r="CA866" s="231">
        <f t="shared" si="894"/>
        <v>20</v>
      </c>
      <c r="CB866" s="229">
        <f t="shared" si="872"/>
        <v>33</v>
      </c>
      <c r="CC866" s="234">
        <f t="shared" si="873"/>
        <v>4.8487499999999999</v>
      </c>
      <c r="CD866" s="234" cm="1">
        <f t="array" ref="CD866">$BM866 * IF($AH866&lt;=2,
SUMPRODUCT(INDEX($AV$61:$AX$65,,$AI866), INDEX($AY$61:$BE$65,,$AH866), 1 / ($BF$61:$BF$65*CC866 + (1-$BF$61:$BF$65)*BY866), N($AU$61:$AU$65&gt;$AM866)),
SUMPRODUCT(INDEX($AV$46:$AX$55,,$AI866), INDEX($AY$46:$BE$55,,$AH866), 1 / ($BG$46:$BG$55*CC866 + (1-$BG$46:$BG$55)*BY866), N($AU$46:$AU$55&gt;$AM866))
) / 1000</f>
        <v>0</v>
      </c>
      <c r="CE866" s="234" cm="1">
        <f t="array" ref="CE866">$BM866 * IF($AH866&lt;=2,
SUMPRODUCT(INDEX($AV$22:$AX$60,,$AI866), INDEX($AY$22:$BE$60,,$AH866), 1 / ($BF$22:$BF$60*CC866), N($AU$22:$AU$60&gt;$AM866)),
SUMPRODUCT(INDEX($AV$22:$AX$45,,$AI866), INDEX($AY$22:$BE$45,,$AH866), 1 / ($BG$22:$BG$45*CC866), N($AU$22:$AU$45&gt;$AM866))
) / 1000</f>
        <v>0</v>
      </c>
      <c r="CF866" s="229">
        <f t="shared" si="874"/>
        <v>0</v>
      </c>
      <c r="CG866" s="246"/>
      <c r="CH866" s="229">
        <f t="shared" si="875"/>
        <v>0</v>
      </c>
      <c r="CI866" s="228">
        <v>35</v>
      </c>
      <c r="CJ866" s="229">
        <f t="shared" si="876"/>
        <v>48</v>
      </c>
      <c r="CK866" s="234">
        <f t="shared" si="877"/>
        <v>3.0748170731707316</v>
      </c>
      <c r="CL866" s="234" cm="1">
        <f t="array" ref="CL866">$BM866 * SUMPRODUCT(INDEX($AV$76:$AX$81,,$AI866),INDEX($AY$76:$BE$81,,$AH866), N($AU$76:$AU$81&gt;$AM866)) / CK866 / 1000</f>
        <v>0</v>
      </c>
      <c r="CM866" s="231">
        <f t="shared" si="895"/>
        <v>30</v>
      </c>
      <c r="CN866" s="229">
        <f t="shared" si="878"/>
        <v>43</v>
      </c>
      <c r="CO866" s="234">
        <f t="shared" si="879"/>
        <v>3.5018750000000001</v>
      </c>
      <c r="CP866" s="234" cm="1">
        <f t="array" ref="CP866">$BM866 * IF($AH866&lt;=2,
SUMPRODUCT(INDEX($AV$71:$AX$75,,$AI866), INDEX($AY$71:$BE$75,,$AH866), 1 / ($BF$71:$BF$75*CO866 + (1-$BF$71:$BF$75)*CK866), N($AU$71:$AU$75&gt;$AM866)),
SUMPRODUCT(INDEX($AV$66:$AX$75,,$AI866), INDEX($AY$66:$BE$75,,$AH866), 1 / ($BG$66:$BG$75*CO866 + (1-$BG$66:$BG$75)*CK866), N($AU$66:$AU$75&gt;$AM866))
) / 1000</f>
        <v>0</v>
      </c>
      <c r="CQ866" s="231">
        <f t="shared" si="896"/>
        <v>25</v>
      </c>
      <c r="CR866" s="229">
        <f t="shared" si="880"/>
        <v>38</v>
      </c>
      <c r="CS866" s="234">
        <f t="shared" si="881"/>
        <v>4.0666935483870965</v>
      </c>
      <c r="CT866" s="234" cm="1">
        <f t="array" ref="CT866">$BM866 * IF($AH866&lt;=2,
SUMPRODUCT(INDEX($AV$66:$AX$70,,$AI866), INDEX($AY$66:$BE$70,,$AH866), 1 / ($BF$66:$BF$70*CS866 + (1-$BF$66:$BF$70)*CO866), N($AU$66:$AU$70&gt;$AM866)),
SUMPRODUCT(INDEX($AV$56:$AX$65,,$AI866), INDEX($AY$56:$BE$65,,$AH866), 1 / ($BG$56:$BG$65*CS866 + (1-$BG$56:$BG$65)*CO866), N($AU$56:$AU$65&gt;$AM866))
) / 1000</f>
        <v>0</v>
      </c>
      <c r="CU866" s="231">
        <f t="shared" si="897"/>
        <v>20</v>
      </c>
      <c r="CV866" s="229">
        <f t="shared" si="882"/>
        <v>33</v>
      </c>
      <c r="CW866" s="234">
        <f t="shared" si="883"/>
        <v>4.8487499999999999</v>
      </c>
      <c r="CX866" s="234" cm="1">
        <f t="array" ref="CX866">$BM866 * IF($AH866&lt;=2,
SUMPRODUCT(INDEX($AV$61:$AX$65,,$AI866), INDEX($AY$61:$BE$65,,$AH866), 1 / ($BF$61:$BF$65*CW866 + (1-$BF$61:$BF$65)*CS866), N($AU$61:$AU$65&gt;$AM866)),
SUMPRODUCT(INDEX($AV$46:$AX$55,,$AI866), INDEX($AY$46:$BE$55,,$AH866), 1 / ($BG$46:$BG$55*CW866 + (1-$BG$46:$BG$55)*CS866), N($AU$46:$AU$55&gt;$AM866))
) / 1000</f>
        <v>0</v>
      </c>
      <c r="CY866" s="234" cm="1">
        <f t="array" ref="CY866">$BM866 * IF($AH866&lt;=2,
SUMPRODUCT(INDEX($AV$22:$AX$60,,$AI866), INDEX($AY$22:$BE$60,,$AH866), 1 / ($BF$22:$BF$60*CW866), N($AU$22:$AU$60&gt;$AM866)),
SUMPRODUCT(INDEX($AV$22:$AX$45,,$AI866), INDEX($AY$22:$BE$45,,$AH866), 1 / ($BG$22:$BG$45*CW866), N($AU$22:$AU$45&gt;$AM866))
) / 1000</f>
        <v>0</v>
      </c>
      <c r="CZ866" s="229">
        <f t="shared" si="884"/>
        <v>0</v>
      </c>
      <c r="DA866" s="246"/>
    </row>
    <row r="867" spans="1:105" s="75" customFormat="1" ht="14.25" customHeight="1" x14ac:dyDescent="0.2">
      <c r="A867" s="230" t="b">
        <f t="shared" si="889"/>
        <v>0</v>
      </c>
      <c r="B867" s="253">
        <v>846</v>
      </c>
      <c r="C867" s="266"/>
      <c r="D867" s="266"/>
      <c r="E867" s="254"/>
      <c r="F867" s="255" t="str">
        <f>IF(ISBLANK(E867), "", VLOOKUP(E867, Z!$A$2:$C$4127, 3, FALSE))</f>
        <v/>
      </c>
      <c r="G867" s="256"/>
      <c r="H867" s="256"/>
      <c r="I867" s="256"/>
      <c r="J867" s="257"/>
      <c r="K867" s="258"/>
      <c r="L867" s="267"/>
      <c r="M867" s="268"/>
      <c r="N867" s="259" t="str" cm="1">
        <f t="array" ref="N867">IF($L867&gt;0, INDEX(Clean,1+AK867,$D$1), "")</f>
        <v/>
      </c>
      <c r="O867" s="260"/>
      <c r="P867" s="260"/>
      <c r="Q867" s="261"/>
      <c r="R867" s="264">
        <f t="shared" si="860"/>
        <v>0</v>
      </c>
      <c r="S867" s="259" t="str" cm="1">
        <f t="array" ref="S867">IF($L867&gt;0, INDEX(Clean,1+AL867,$D$1), "")</f>
        <v/>
      </c>
      <c r="T867" s="260"/>
      <c r="U867" s="260"/>
      <c r="V867" s="261"/>
      <c r="W867" s="267"/>
      <c r="X867" s="267"/>
      <c r="Y867" s="257"/>
      <c r="Z867" s="264">
        <f t="shared" si="861"/>
        <v>0</v>
      </c>
      <c r="AA867" s="269"/>
      <c r="AB867" s="266"/>
      <c r="AC867" s="254"/>
      <c r="AD867" s="255" t="str">
        <f>IF(ISBLANK(AC867), "", VLOOKUP(AC867, Z!$A$2:$C$4127, 3, FALSE))</f>
        <v/>
      </c>
      <c r="AE867" s="270"/>
      <c r="AF867" s="265">
        <f t="shared" si="862"/>
        <v>0</v>
      </c>
      <c r="AG867" s="246"/>
      <c r="AH867" s="228">
        <f t="shared" si="885"/>
        <v>1</v>
      </c>
      <c r="AI867" s="228">
        <f t="shared" si="886"/>
        <v>1</v>
      </c>
      <c r="AJ867" s="228">
        <f t="shared" si="887"/>
        <v>0</v>
      </c>
      <c r="AK867" s="228">
        <v>0</v>
      </c>
      <c r="AL867" s="228">
        <v>0</v>
      </c>
      <c r="AM867" s="228">
        <f t="shared" si="863"/>
        <v>-100</v>
      </c>
      <c r="AN867" s="228" cm="1">
        <f t="array" ref="AN867">IF(ISBLANK(G867), 1, IFERROR(MATCH(G867, INDEX(Kat,,1), 0), IFERROR(MATCH(Kat, INDEX(Use,,2), 0), MATCH(Kat, INDEX(Use,,3), 0))))</f>
        <v>1</v>
      </c>
      <c r="AO867" s="246"/>
      <c r="AP867" s="228" cm="1">
        <f t="array" ref="AP867">IF(W867&gt;0, INDEX(Kat, AN867,4), 0)</f>
        <v>0</v>
      </c>
      <c r="AQ867" s="228">
        <f t="shared" si="888"/>
        <v>0</v>
      </c>
      <c r="AR867" s="228" cm="1">
        <f t="array" ref="AR867">IF(X867&gt;0, INDEX(Kat, $AN867, 4+AQ867), 0)</f>
        <v>0</v>
      </c>
      <c r="AS867" s="228" cm="1">
        <f t="array" ref="AS867">IF(X867&gt;0, INDEX(Kat, $AN867, 9+AQ867), 0)</f>
        <v>0</v>
      </c>
      <c r="AT867" s="246"/>
      <c r="AU867" s="262"/>
      <c r="AV867" s="262"/>
      <c r="AW867" s="263"/>
      <c r="AX867" s="263"/>
      <c r="AY867" s="263"/>
      <c r="AZ867" s="263"/>
      <c r="BA867" s="263"/>
      <c r="BB867" s="263"/>
      <c r="BC867" s="263"/>
      <c r="BD867" s="263"/>
      <c r="BE867" s="263"/>
      <c r="BF867" s="263"/>
      <c r="BG867" s="263"/>
      <c r="BH867" s="246"/>
      <c r="BI867" s="228" cm="1">
        <f t="array" ref="BI867">INDEX(Use, $AH867, 4)</f>
        <v>7</v>
      </c>
      <c r="BJ867" s="228">
        <f t="shared" si="864"/>
        <v>32</v>
      </c>
      <c r="BK867" s="228">
        <f t="shared" si="890"/>
        <v>13</v>
      </c>
      <c r="BL867" s="228">
        <f t="shared" si="891"/>
        <v>0</v>
      </c>
      <c r="BM867" s="233" cm="1">
        <f t="array" ref="BM867">L867/IF($M867&gt;0, INDEX($AY$22:$BE$76, $M867+20, $AH867), 1)</f>
        <v>0</v>
      </c>
      <c r="BN867" s="229">
        <f t="shared" si="865"/>
        <v>0</v>
      </c>
      <c r="BO867" s="228">
        <v>35</v>
      </c>
      <c r="BP867" s="229">
        <f t="shared" si="866"/>
        <v>48</v>
      </c>
      <c r="BQ867" s="234">
        <f t="shared" si="867"/>
        <v>3.0748170731707316</v>
      </c>
      <c r="BR867" s="234" cm="1">
        <f t="array" ref="BR867">$BM867 * SUMPRODUCT(INDEX($AV$76:$AX$81,,$AI867),INDEX($AY$76:$BE$81,,$AH867), N($AU$76:$AU$81&gt;$AM867)) / BQ867 / 1000</f>
        <v>0</v>
      </c>
      <c r="BS867" s="231">
        <f t="shared" si="892"/>
        <v>30</v>
      </c>
      <c r="BT867" s="229">
        <f t="shared" si="868"/>
        <v>43</v>
      </c>
      <c r="BU867" s="234">
        <f t="shared" si="869"/>
        <v>3.5018750000000001</v>
      </c>
      <c r="BV867" s="234" cm="1">
        <f t="array" ref="BV867">$BM867 * IF($AH867&lt;=2,
SUMPRODUCT(INDEX($AV$71:$AX$75,,$AI867), INDEX($AY$71:$BE$75,,$AH867), 1 / ($BF$71:$BF$75*BU867 + (1-$BF$71:$BF$75)*BQ867), N($AU$71:$AU$75&gt;$AM867)),
SUMPRODUCT(INDEX($AV$66:$AX$75,,$AI867), INDEX($AY$66:$BE$75,,$AH867), 1 / ($BG$66:$BG$75*BU867 + (1-$BG$66:$BG$75)*BQ867), N($AU$66:$AU$75&gt;$AM867))
) / 1000</f>
        <v>0</v>
      </c>
      <c r="BW867" s="231">
        <f t="shared" si="893"/>
        <v>25</v>
      </c>
      <c r="BX867" s="229">
        <f t="shared" si="870"/>
        <v>38</v>
      </c>
      <c r="BY867" s="234">
        <f t="shared" si="871"/>
        <v>4.0666935483870965</v>
      </c>
      <c r="BZ867" s="234" cm="1">
        <f t="array" ref="BZ867">$BM867 * IF($AH867&lt;=2,
SUMPRODUCT(INDEX($AV$66:$AX$70,,$AI867), INDEX($AY$66:$BE$70,,$AH867), 1 / ($BF$66:$BF$70*BY867 + (1-$BF$66:$BF$70)*BU867), N($AU$66:$AU$70&gt;$AM867)),
SUMPRODUCT(INDEX($AV$56:$AX$65,,$AI867), INDEX($AY$56:$BE$65,,$AH867), 1 / ($BG$56:$BG$65*BY867 + (1-$BG$56:$BG$65)*BU867), N($AU$56:$AU$65&gt;$AM867))
) / 1000</f>
        <v>0</v>
      </c>
      <c r="CA867" s="231">
        <f t="shared" si="894"/>
        <v>20</v>
      </c>
      <c r="CB867" s="229">
        <f t="shared" si="872"/>
        <v>33</v>
      </c>
      <c r="CC867" s="234">
        <f t="shared" si="873"/>
        <v>4.8487499999999999</v>
      </c>
      <c r="CD867" s="234" cm="1">
        <f t="array" ref="CD867">$BM867 * IF($AH867&lt;=2,
SUMPRODUCT(INDEX($AV$61:$AX$65,,$AI867), INDEX($AY$61:$BE$65,,$AH867), 1 / ($BF$61:$BF$65*CC867 + (1-$BF$61:$BF$65)*BY867), N($AU$61:$AU$65&gt;$AM867)),
SUMPRODUCT(INDEX($AV$46:$AX$55,,$AI867), INDEX($AY$46:$BE$55,,$AH867), 1 / ($BG$46:$BG$55*CC867 + (1-$BG$46:$BG$55)*BY867), N($AU$46:$AU$55&gt;$AM867))
) / 1000</f>
        <v>0</v>
      </c>
      <c r="CE867" s="234" cm="1">
        <f t="array" ref="CE867">$BM867 * IF($AH867&lt;=2,
SUMPRODUCT(INDEX($AV$22:$AX$60,,$AI867), INDEX($AY$22:$BE$60,,$AH867), 1 / ($BF$22:$BF$60*CC867), N($AU$22:$AU$60&gt;$AM867)),
SUMPRODUCT(INDEX($AV$22:$AX$45,,$AI867), INDEX($AY$22:$BE$45,,$AH867), 1 / ($BG$22:$BG$45*CC867), N($AU$22:$AU$45&gt;$AM867))
) / 1000</f>
        <v>0</v>
      </c>
      <c r="CF867" s="229">
        <f t="shared" si="874"/>
        <v>0</v>
      </c>
      <c r="CG867" s="246"/>
      <c r="CH867" s="229">
        <f t="shared" si="875"/>
        <v>0</v>
      </c>
      <c r="CI867" s="228">
        <v>35</v>
      </c>
      <c r="CJ867" s="229">
        <f t="shared" si="876"/>
        <v>48</v>
      </c>
      <c r="CK867" s="234">
        <f t="shared" si="877"/>
        <v>3.0748170731707316</v>
      </c>
      <c r="CL867" s="234" cm="1">
        <f t="array" ref="CL867">$BM867 * SUMPRODUCT(INDEX($AV$76:$AX$81,,$AI867),INDEX($AY$76:$BE$81,,$AH867), N($AU$76:$AU$81&gt;$AM867)) / CK867 / 1000</f>
        <v>0</v>
      </c>
      <c r="CM867" s="231">
        <f t="shared" si="895"/>
        <v>30</v>
      </c>
      <c r="CN867" s="229">
        <f t="shared" si="878"/>
        <v>43</v>
      </c>
      <c r="CO867" s="234">
        <f t="shared" si="879"/>
        <v>3.5018750000000001</v>
      </c>
      <c r="CP867" s="234" cm="1">
        <f t="array" ref="CP867">$BM867 * IF($AH867&lt;=2,
SUMPRODUCT(INDEX($AV$71:$AX$75,,$AI867), INDEX($AY$71:$BE$75,,$AH867), 1 / ($BF$71:$BF$75*CO867 + (1-$BF$71:$BF$75)*CK867), N($AU$71:$AU$75&gt;$AM867)),
SUMPRODUCT(INDEX($AV$66:$AX$75,,$AI867), INDEX($AY$66:$BE$75,,$AH867), 1 / ($BG$66:$BG$75*CO867 + (1-$BG$66:$BG$75)*CK867), N($AU$66:$AU$75&gt;$AM867))
) / 1000</f>
        <v>0</v>
      </c>
      <c r="CQ867" s="231">
        <f t="shared" si="896"/>
        <v>25</v>
      </c>
      <c r="CR867" s="229">
        <f t="shared" si="880"/>
        <v>38</v>
      </c>
      <c r="CS867" s="234">
        <f t="shared" si="881"/>
        <v>4.0666935483870965</v>
      </c>
      <c r="CT867" s="234" cm="1">
        <f t="array" ref="CT867">$BM867 * IF($AH867&lt;=2,
SUMPRODUCT(INDEX($AV$66:$AX$70,,$AI867), INDEX($AY$66:$BE$70,,$AH867), 1 / ($BF$66:$BF$70*CS867 + (1-$BF$66:$BF$70)*CO867), N($AU$66:$AU$70&gt;$AM867)),
SUMPRODUCT(INDEX($AV$56:$AX$65,,$AI867), INDEX($AY$56:$BE$65,,$AH867), 1 / ($BG$56:$BG$65*CS867 + (1-$BG$56:$BG$65)*CO867), N($AU$56:$AU$65&gt;$AM867))
) / 1000</f>
        <v>0</v>
      </c>
      <c r="CU867" s="231">
        <f t="shared" si="897"/>
        <v>20</v>
      </c>
      <c r="CV867" s="229">
        <f t="shared" si="882"/>
        <v>33</v>
      </c>
      <c r="CW867" s="234">
        <f t="shared" si="883"/>
        <v>4.8487499999999999</v>
      </c>
      <c r="CX867" s="234" cm="1">
        <f t="array" ref="CX867">$BM867 * IF($AH867&lt;=2,
SUMPRODUCT(INDEX($AV$61:$AX$65,,$AI867), INDEX($AY$61:$BE$65,,$AH867), 1 / ($BF$61:$BF$65*CW867 + (1-$BF$61:$BF$65)*CS867), N($AU$61:$AU$65&gt;$AM867)),
SUMPRODUCT(INDEX($AV$46:$AX$55,,$AI867), INDEX($AY$46:$BE$55,,$AH867), 1 / ($BG$46:$BG$55*CW867 + (1-$BG$46:$BG$55)*CS867), N($AU$46:$AU$55&gt;$AM867))
) / 1000</f>
        <v>0</v>
      </c>
      <c r="CY867" s="234" cm="1">
        <f t="array" ref="CY867">$BM867 * IF($AH867&lt;=2,
SUMPRODUCT(INDEX($AV$22:$AX$60,,$AI867), INDEX($AY$22:$BE$60,,$AH867), 1 / ($BF$22:$BF$60*CW867), N($AU$22:$AU$60&gt;$AM867)),
SUMPRODUCT(INDEX($AV$22:$AX$45,,$AI867), INDEX($AY$22:$BE$45,,$AH867), 1 / ($BG$22:$BG$45*CW867), N($AU$22:$AU$45&gt;$AM867))
) / 1000</f>
        <v>0</v>
      </c>
      <c r="CZ867" s="229">
        <f t="shared" si="884"/>
        <v>0</v>
      </c>
      <c r="DA867" s="246"/>
    </row>
    <row r="868" spans="1:105" s="75" customFormat="1" ht="14.25" customHeight="1" x14ac:dyDescent="0.2">
      <c r="A868" s="230" t="b">
        <f t="shared" si="889"/>
        <v>0</v>
      </c>
      <c r="B868" s="253">
        <v>847</v>
      </c>
      <c r="C868" s="266"/>
      <c r="D868" s="266"/>
      <c r="E868" s="254"/>
      <c r="F868" s="255" t="str">
        <f>IF(ISBLANK(E868), "", VLOOKUP(E868, Z!$A$2:$C$4127, 3, FALSE))</f>
        <v/>
      </c>
      <c r="G868" s="256"/>
      <c r="H868" s="256"/>
      <c r="I868" s="256"/>
      <c r="J868" s="257"/>
      <c r="K868" s="258"/>
      <c r="L868" s="267"/>
      <c r="M868" s="268"/>
      <c r="N868" s="259" t="str" cm="1">
        <f t="array" ref="N868">IF($L868&gt;0, INDEX(Clean,1+AK868,$D$1), "")</f>
        <v/>
      </c>
      <c r="O868" s="260"/>
      <c r="P868" s="260"/>
      <c r="Q868" s="261"/>
      <c r="R868" s="264">
        <f t="shared" si="860"/>
        <v>0</v>
      </c>
      <c r="S868" s="259" t="str" cm="1">
        <f t="array" ref="S868">IF($L868&gt;0, INDEX(Clean,1+AL868,$D$1), "")</f>
        <v/>
      </c>
      <c r="T868" s="260"/>
      <c r="U868" s="260"/>
      <c r="V868" s="261"/>
      <c r="W868" s="267"/>
      <c r="X868" s="267"/>
      <c r="Y868" s="257"/>
      <c r="Z868" s="264">
        <f t="shared" si="861"/>
        <v>0</v>
      </c>
      <c r="AA868" s="269"/>
      <c r="AB868" s="266"/>
      <c r="AC868" s="254"/>
      <c r="AD868" s="255" t="str">
        <f>IF(ISBLANK(AC868), "", VLOOKUP(AC868, Z!$A$2:$C$4127, 3, FALSE))</f>
        <v/>
      </c>
      <c r="AE868" s="270"/>
      <c r="AF868" s="265">
        <f t="shared" si="862"/>
        <v>0</v>
      </c>
      <c r="AG868" s="246"/>
      <c r="AH868" s="228">
        <f t="shared" si="885"/>
        <v>1</v>
      </c>
      <c r="AI868" s="228">
        <f t="shared" si="886"/>
        <v>1</v>
      </c>
      <c r="AJ868" s="228">
        <f t="shared" si="887"/>
        <v>0</v>
      </c>
      <c r="AK868" s="228">
        <v>0</v>
      </c>
      <c r="AL868" s="228">
        <v>0</v>
      </c>
      <c r="AM868" s="228">
        <f t="shared" si="863"/>
        <v>-100</v>
      </c>
      <c r="AN868" s="228" cm="1">
        <f t="array" ref="AN868">IF(ISBLANK(G868), 1, IFERROR(MATCH(G868, INDEX(Kat,,1), 0), IFERROR(MATCH(Kat, INDEX(Use,,2), 0), MATCH(Kat, INDEX(Use,,3), 0))))</f>
        <v>1</v>
      </c>
      <c r="AO868" s="246"/>
      <c r="AP868" s="228" cm="1">
        <f t="array" ref="AP868">IF(W868&gt;0, INDEX(Kat, AN868,4), 0)</f>
        <v>0</v>
      </c>
      <c r="AQ868" s="228">
        <f t="shared" si="888"/>
        <v>0</v>
      </c>
      <c r="AR868" s="228" cm="1">
        <f t="array" ref="AR868">IF(X868&gt;0, INDEX(Kat, $AN868, 4+AQ868), 0)</f>
        <v>0</v>
      </c>
      <c r="AS868" s="228" cm="1">
        <f t="array" ref="AS868">IF(X868&gt;0, INDEX(Kat, $AN868, 9+AQ868), 0)</f>
        <v>0</v>
      </c>
      <c r="AT868" s="246"/>
      <c r="AU868" s="262"/>
      <c r="AV868" s="262"/>
      <c r="AW868" s="263"/>
      <c r="AX868" s="263"/>
      <c r="AY868" s="263"/>
      <c r="AZ868" s="263"/>
      <c r="BA868" s="263"/>
      <c r="BB868" s="263"/>
      <c r="BC868" s="263"/>
      <c r="BD868" s="263"/>
      <c r="BE868" s="263"/>
      <c r="BF868" s="263"/>
      <c r="BG868" s="263"/>
      <c r="BH868" s="246"/>
      <c r="BI868" s="228" cm="1">
        <f t="array" ref="BI868">INDEX(Use, $AH868, 4)</f>
        <v>7</v>
      </c>
      <c r="BJ868" s="228">
        <f t="shared" si="864"/>
        <v>32</v>
      </c>
      <c r="BK868" s="228">
        <f t="shared" si="890"/>
        <v>13</v>
      </c>
      <c r="BL868" s="228">
        <f t="shared" si="891"/>
        <v>0</v>
      </c>
      <c r="BM868" s="233" cm="1">
        <f t="array" ref="BM868">L868/IF($M868&gt;0, INDEX($AY$22:$BE$76, $M868+20, $AH868), 1)</f>
        <v>0</v>
      </c>
      <c r="BN868" s="229">
        <f t="shared" si="865"/>
        <v>0</v>
      </c>
      <c r="BO868" s="228">
        <v>35</v>
      </c>
      <c r="BP868" s="229">
        <f t="shared" si="866"/>
        <v>48</v>
      </c>
      <c r="BQ868" s="234">
        <f t="shared" si="867"/>
        <v>3.0748170731707316</v>
      </c>
      <c r="BR868" s="234" cm="1">
        <f t="array" ref="BR868">$BM868 * SUMPRODUCT(INDEX($AV$76:$AX$81,,$AI868),INDEX($AY$76:$BE$81,,$AH868), N($AU$76:$AU$81&gt;$AM868)) / BQ868 / 1000</f>
        <v>0</v>
      </c>
      <c r="BS868" s="231">
        <f t="shared" si="892"/>
        <v>30</v>
      </c>
      <c r="BT868" s="229">
        <f t="shared" si="868"/>
        <v>43</v>
      </c>
      <c r="BU868" s="234">
        <f t="shared" si="869"/>
        <v>3.5018750000000001</v>
      </c>
      <c r="BV868" s="234" cm="1">
        <f t="array" ref="BV868">$BM868 * IF($AH868&lt;=2,
SUMPRODUCT(INDEX($AV$71:$AX$75,,$AI868), INDEX($AY$71:$BE$75,,$AH868), 1 / ($BF$71:$BF$75*BU868 + (1-$BF$71:$BF$75)*BQ868), N($AU$71:$AU$75&gt;$AM868)),
SUMPRODUCT(INDEX($AV$66:$AX$75,,$AI868), INDEX($AY$66:$BE$75,,$AH868), 1 / ($BG$66:$BG$75*BU868 + (1-$BG$66:$BG$75)*BQ868), N($AU$66:$AU$75&gt;$AM868))
) / 1000</f>
        <v>0</v>
      </c>
      <c r="BW868" s="231">
        <f t="shared" si="893"/>
        <v>25</v>
      </c>
      <c r="BX868" s="229">
        <f t="shared" si="870"/>
        <v>38</v>
      </c>
      <c r="BY868" s="234">
        <f t="shared" si="871"/>
        <v>4.0666935483870965</v>
      </c>
      <c r="BZ868" s="234" cm="1">
        <f t="array" ref="BZ868">$BM868 * IF($AH868&lt;=2,
SUMPRODUCT(INDEX($AV$66:$AX$70,,$AI868), INDEX($AY$66:$BE$70,,$AH868), 1 / ($BF$66:$BF$70*BY868 + (1-$BF$66:$BF$70)*BU868), N($AU$66:$AU$70&gt;$AM868)),
SUMPRODUCT(INDEX($AV$56:$AX$65,,$AI868), INDEX($AY$56:$BE$65,,$AH868), 1 / ($BG$56:$BG$65*BY868 + (1-$BG$56:$BG$65)*BU868), N($AU$56:$AU$65&gt;$AM868))
) / 1000</f>
        <v>0</v>
      </c>
      <c r="CA868" s="231">
        <f t="shared" si="894"/>
        <v>20</v>
      </c>
      <c r="CB868" s="229">
        <f t="shared" si="872"/>
        <v>33</v>
      </c>
      <c r="CC868" s="234">
        <f t="shared" si="873"/>
        <v>4.8487499999999999</v>
      </c>
      <c r="CD868" s="234" cm="1">
        <f t="array" ref="CD868">$BM868 * IF($AH868&lt;=2,
SUMPRODUCT(INDEX($AV$61:$AX$65,,$AI868), INDEX($AY$61:$BE$65,,$AH868), 1 / ($BF$61:$BF$65*CC868 + (1-$BF$61:$BF$65)*BY868), N($AU$61:$AU$65&gt;$AM868)),
SUMPRODUCT(INDEX($AV$46:$AX$55,,$AI868), INDEX($AY$46:$BE$55,,$AH868), 1 / ($BG$46:$BG$55*CC868 + (1-$BG$46:$BG$55)*BY868), N($AU$46:$AU$55&gt;$AM868))
) / 1000</f>
        <v>0</v>
      </c>
      <c r="CE868" s="234" cm="1">
        <f t="array" ref="CE868">$BM868 * IF($AH868&lt;=2,
SUMPRODUCT(INDEX($AV$22:$AX$60,,$AI868), INDEX($AY$22:$BE$60,,$AH868), 1 / ($BF$22:$BF$60*CC868), N($AU$22:$AU$60&gt;$AM868)),
SUMPRODUCT(INDEX($AV$22:$AX$45,,$AI868), INDEX($AY$22:$BE$45,,$AH868), 1 / ($BG$22:$BG$45*CC868), N($AU$22:$AU$45&gt;$AM868))
) / 1000</f>
        <v>0</v>
      </c>
      <c r="CF868" s="229">
        <f t="shared" si="874"/>
        <v>0</v>
      </c>
      <c r="CG868" s="246"/>
      <c r="CH868" s="229">
        <f t="shared" si="875"/>
        <v>0</v>
      </c>
      <c r="CI868" s="228">
        <v>35</v>
      </c>
      <c r="CJ868" s="229">
        <f t="shared" si="876"/>
        <v>48</v>
      </c>
      <c r="CK868" s="234">
        <f t="shared" si="877"/>
        <v>3.0748170731707316</v>
      </c>
      <c r="CL868" s="234" cm="1">
        <f t="array" ref="CL868">$BM868 * SUMPRODUCT(INDEX($AV$76:$AX$81,,$AI868),INDEX($AY$76:$BE$81,,$AH868), N($AU$76:$AU$81&gt;$AM868)) / CK868 / 1000</f>
        <v>0</v>
      </c>
      <c r="CM868" s="231">
        <f t="shared" si="895"/>
        <v>30</v>
      </c>
      <c r="CN868" s="229">
        <f t="shared" si="878"/>
        <v>43</v>
      </c>
      <c r="CO868" s="234">
        <f t="shared" si="879"/>
        <v>3.5018750000000001</v>
      </c>
      <c r="CP868" s="234" cm="1">
        <f t="array" ref="CP868">$BM868 * IF($AH868&lt;=2,
SUMPRODUCT(INDEX($AV$71:$AX$75,,$AI868), INDEX($AY$71:$BE$75,,$AH868), 1 / ($BF$71:$BF$75*CO868 + (1-$BF$71:$BF$75)*CK868), N($AU$71:$AU$75&gt;$AM868)),
SUMPRODUCT(INDEX($AV$66:$AX$75,,$AI868), INDEX($AY$66:$BE$75,,$AH868), 1 / ($BG$66:$BG$75*CO868 + (1-$BG$66:$BG$75)*CK868), N($AU$66:$AU$75&gt;$AM868))
) / 1000</f>
        <v>0</v>
      </c>
      <c r="CQ868" s="231">
        <f t="shared" si="896"/>
        <v>25</v>
      </c>
      <c r="CR868" s="229">
        <f t="shared" si="880"/>
        <v>38</v>
      </c>
      <c r="CS868" s="234">
        <f t="shared" si="881"/>
        <v>4.0666935483870965</v>
      </c>
      <c r="CT868" s="234" cm="1">
        <f t="array" ref="CT868">$BM868 * IF($AH868&lt;=2,
SUMPRODUCT(INDEX($AV$66:$AX$70,,$AI868), INDEX($AY$66:$BE$70,,$AH868), 1 / ($BF$66:$BF$70*CS868 + (1-$BF$66:$BF$70)*CO868), N($AU$66:$AU$70&gt;$AM868)),
SUMPRODUCT(INDEX($AV$56:$AX$65,,$AI868), INDEX($AY$56:$BE$65,,$AH868), 1 / ($BG$56:$BG$65*CS868 + (1-$BG$56:$BG$65)*CO868), N($AU$56:$AU$65&gt;$AM868))
) / 1000</f>
        <v>0</v>
      </c>
      <c r="CU868" s="231">
        <f t="shared" si="897"/>
        <v>20</v>
      </c>
      <c r="CV868" s="229">
        <f t="shared" si="882"/>
        <v>33</v>
      </c>
      <c r="CW868" s="234">
        <f t="shared" si="883"/>
        <v>4.8487499999999999</v>
      </c>
      <c r="CX868" s="234" cm="1">
        <f t="array" ref="CX868">$BM868 * IF($AH868&lt;=2,
SUMPRODUCT(INDEX($AV$61:$AX$65,,$AI868), INDEX($AY$61:$BE$65,,$AH868), 1 / ($BF$61:$BF$65*CW868 + (1-$BF$61:$BF$65)*CS868), N($AU$61:$AU$65&gt;$AM868)),
SUMPRODUCT(INDEX($AV$46:$AX$55,,$AI868), INDEX($AY$46:$BE$55,,$AH868), 1 / ($BG$46:$BG$55*CW868 + (1-$BG$46:$BG$55)*CS868), N($AU$46:$AU$55&gt;$AM868))
) / 1000</f>
        <v>0</v>
      </c>
      <c r="CY868" s="234" cm="1">
        <f t="array" ref="CY868">$BM868 * IF($AH868&lt;=2,
SUMPRODUCT(INDEX($AV$22:$AX$60,,$AI868), INDEX($AY$22:$BE$60,,$AH868), 1 / ($BF$22:$BF$60*CW868), N($AU$22:$AU$60&gt;$AM868)),
SUMPRODUCT(INDEX($AV$22:$AX$45,,$AI868), INDEX($AY$22:$BE$45,,$AH868), 1 / ($BG$22:$BG$45*CW868), N($AU$22:$AU$45&gt;$AM868))
) / 1000</f>
        <v>0</v>
      </c>
      <c r="CZ868" s="229">
        <f t="shared" si="884"/>
        <v>0</v>
      </c>
      <c r="DA868" s="246"/>
    </row>
    <row r="869" spans="1:105" s="75" customFormat="1" ht="14.25" customHeight="1" x14ac:dyDescent="0.2">
      <c r="A869" s="230" t="b">
        <f t="shared" si="889"/>
        <v>0</v>
      </c>
      <c r="B869" s="253">
        <v>848</v>
      </c>
      <c r="C869" s="266"/>
      <c r="D869" s="266"/>
      <c r="E869" s="254"/>
      <c r="F869" s="255" t="str">
        <f>IF(ISBLANK(E869), "", VLOOKUP(E869, Z!$A$2:$C$4127, 3, FALSE))</f>
        <v/>
      </c>
      <c r="G869" s="256"/>
      <c r="H869" s="256"/>
      <c r="I869" s="256"/>
      <c r="J869" s="257"/>
      <c r="K869" s="258"/>
      <c r="L869" s="267"/>
      <c r="M869" s="268"/>
      <c r="N869" s="259" t="str" cm="1">
        <f t="array" ref="N869">IF($L869&gt;0, INDEX(Clean,1+AK869,$D$1), "")</f>
        <v/>
      </c>
      <c r="O869" s="260"/>
      <c r="P869" s="260"/>
      <c r="Q869" s="261"/>
      <c r="R869" s="264">
        <f t="shared" si="860"/>
        <v>0</v>
      </c>
      <c r="S869" s="259" t="str" cm="1">
        <f t="array" ref="S869">IF($L869&gt;0, INDEX(Clean,1+AL869,$D$1), "")</f>
        <v/>
      </c>
      <c r="T869" s="260"/>
      <c r="U869" s="260"/>
      <c r="V869" s="261"/>
      <c r="W869" s="267"/>
      <c r="X869" s="267"/>
      <c r="Y869" s="257"/>
      <c r="Z869" s="264">
        <f t="shared" si="861"/>
        <v>0</v>
      </c>
      <c r="AA869" s="269"/>
      <c r="AB869" s="266"/>
      <c r="AC869" s="254"/>
      <c r="AD869" s="255" t="str">
        <f>IF(ISBLANK(AC869), "", VLOOKUP(AC869, Z!$A$2:$C$4127, 3, FALSE))</f>
        <v/>
      </c>
      <c r="AE869" s="270"/>
      <c r="AF869" s="265">
        <f t="shared" si="862"/>
        <v>0</v>
      </c>
      <c r="AG869" s="246"/>
      <c r="AH869" s="228">
        <f t="shared" si="885"/>
        <v>1</v>
      </c>
      <c r="AI869" s="228">
        <f t="shared" si="886"/>
        <v>1</v>
      </c>
      <c r="AJ869" s="228">
        <f t="shared" si="887"/>
        <v>0</v>
      </c>
      <c r="AK869" s="228">
        <v>0</v>
      </c>
      <c r="AL869" s="228">
        <v>0</v>
      </c>
      <c r="AM869" s="228">
        <f t="shared" si="863"/>
        <v>-100</v>
      </c>
      <c r="AN869" s="228" cm="1">
        <f t="array" ref="AN869">IF(ISBLANK(G869), 1, IFERROR(MATCH(G869, INDEX(Kat,,1), 0), IFERROR(MATCH(Kat, INDEX(Use,,2), 0), MATCH(Kat, INDEX(Use,,3), 0))))</f>
        <v>1</v>
      </c>
      <c r="AO869" s="246"/>
      <c r="AP869" s="228" cm="1">
        <f t="array" ref="AP869">IF(W869&gt;0, INDEX(Kat, AN869,4), 0)</f>
        <v>0</v>
      </c>
      <c r="AQ869" s="228">
        <f t="shared" si="888"/>
        <v>0</v>
      </c>
      <c r="AR869" s="228" cm="1">
        <f t="array" ref="AR869">IF(X869&gt;0, INDEX(Kat, $AN869, 4+AQ869), 0)</f>
        <v>0</v>
      </c>
      <c r="AS869" s="228" cm="1">
        <f t="array" ref="AS869">IF(X869&gt;0, INDEX(Kat, $AN869, 9+AQ869), 0)</f>
        <v>0</v>
      </c>
      <c r="AT869" s="246"/>
      <c r="AU869" s="262"/>
      <c r="AV869" s="262"/>
      <c r="AW869" s="263"/>
      <c r="AX869" s="263"/>
      <c r="AY869" s="263"/>
      <c r="AZ869" s="263"/>
      <c r="BA869" s="263"/>
      <c r="BB869" s="263"/>
      <c r="BC869" s="263"/>
      <c r="BD869" s="263"/>
      <c r="BE869" s="263"/>
      <c r="BF869" s="263"/>
      <c r="BG869" s="263"/>
      <c r="BH869" s="246"/>
      <c r="BI869" s="228" cm="1">
        <f t="array" ref="BI869">INDEX(Use, $AH869, 4)</f>
        <v>7</v>
      </c>
      <c r="BJ869" s="228">
        <f t="shared" si="864"/>
        <v>32</v>
      </c>
      <c r="BK869" s="228">
        <f t="shared" si="890"/>
        <v>13</v>
      </c>
      <c r="BL869" s="228">
        <f t="shared" si="891"/>
        <v>0</v>
      </c>
      <c r="BM869" s="233" cm="1">
        <f t="array" ref="BM869">L869/IF($M869&gt;0, INDEX($AY$22:$BE$76, $M869+20, $AH869), 1)</f>
        <v>0</v>
      </c>
      <c r="BN869" s="229">
        <f t="shared" si="865"/>
        <v>0</v>
      </c>
      <c r="BO869" s="228">
        <v>35</v>
      </c>
      <c r="BP869" s="229">
        <f t="shared" si="866"/>
        <v>48</v>
      </c>
      <c r="BQ869" s="234">
        <f t="shared" si="867"/>
        <v>3.0748170731707316</v>
      </c>
      <c r="BR869" s="234" cm="1">
        <f t="array" ref="BR869">$BM869 * SUMPRODUCT(INDEX($AV$76:$AX$81,,$AI869),INDEX($AY$76:$BE$81,,$AH869), N($AU$76:$AU$81&gt;$AM869)) / BQ869 / 1000</f>
        <v>0</v>
      </c>
      <c r="BS869" s="231">
        <f t="shared" si="892"/>
        <v>30</v>
      </c>
      <c r="BT869" s="229">
        <f t="shared" si="868"/>
        <v>43</v>
      </c>
      <c r="BU869" s="234">
        <f t="shared" si="869"/>
        <v>3.5018750000000001</v>
      </c>
      <c r="BV869" s="234" cm="1">
        <f t="array" ref="BV869">$BM869 * IF($AH869&lt;=2,
SUMPRODUCT(INDEX($AV$71:$AX$75,,$AI869), INDEX($AY$71:$BE$75,,$AH869), 1 / ($BF$71:$BF$75*BU869 + (1-$BF$71:$BF$75)*BQ869), N($AU$71:$AU$75&gt;$AM869)),
SUMPRODUCT(INDEX($AV$66:$AX$75,,$AI869), INDEX($AY$66:$BE$75,,$AH869), 1 / ($BG$66:$BG$75*BU869 + (1-$BG$66:$BG$75)*BQ869), N($AU$66:$AU$75&gt;$AM869))
) / 1000</f>
        <v>0</v>
      </c>
      <c r="BW869" s="231">
        <f t="shared" si="893"/>
        <v>25</v>
      </c>
      <c r="BX869" s="229">
        <f t="shared" si="870"/>
        <v>38</v>
      </c>
      <c r="BY869" s="234">
        <f t="shared" si="871"/>
        <v>4.0666935483870965</v>
      </c>
      <c r="BZ869" s="234" cm="1">
        <f t="array" ref="BZ869">$BM869 * IF($AH869&lt;=2,
SUMPRODUCT(INDEX($AV$66:$AX$70,,$AI869), INDEX($AY$66:$BE$70,,$AH869), 1 / ($BF$66:$BF$70*BY869 + (1-$BF$66:$BF$70)*BU869), N($AU$66:$AU$70&gt;$AM869)),
SUMPRODUCT(INDEX($AV$56:$AX$65,,$AI869), INDEX($AY$56:$BE$65,,$AH869), 1 / ($BG$56:$BG$65*BY869 + (1-$BG$56:$BG$65)*BU869), N($AU$56:$AU$65&gt;$AM869))
) / 1000</f>
        <v>0</v>
      </c>
      <c r="CA869" s="231">
        <f t="shared" si="894"/>
        <v>20</v>
      </c>
      <c r="CB869" s="229">
        <f t="shared" si="872"/>
        <v>33</v>
      </c>
      <c r="CC869" s="234">
        <f t="shared" si="873"/>
        <v>4.8487499999999999</v>
      </c>
      <c r="CD869" s="234" cm="1">
        <f t="array" ref="CD869">$BM869 * IF($AH869&lt;=2,
SUMPRODUCT(INDEX($AV$61:$AX$65,,$AI869), INDEX($AY$61:$BE$65,,$AH869), 1 / ($BF$61:$BF$65*CC869 + (1-$BF$61:$BF$65)*BY869), N($AU$61:$AU$65&gt;$AM869)),
SUMPRODUCT(INDEX($AV$46:$AX$55,,$AI869), INDEX($AY$46:$BE$55,,$AH869), 1 / ($BG$46:$BG$55*CC869 + (1-$BG$46:$BG$55)*BY869), N($AU$46:$AU$55&gt;$AM869))
) / 1000</f>
        <v>0</v>
      </c>
      <c r="CE869" s="234" cm="1">
        <f t="array" ref="CE869">$BM869 * IF($AH869&lt;=2,
SUMPRODUCT(INDEX($AV$22:$AX$60,,$AI869), INDEX($AY$22:$BE$60,,$AH869), 1 / ($BF$22:$BF$60*CC869), N($AU$22:$AU$60&gt;$AM869)),
SUMPRODUCT(INDEX($AV$22:$AX$45,,$AI869), INDEX($AY$22:$BE$45,,$AH869), 1 / ($BG$22:$BG$45*CC869), N($AU$22:$AU$45&gt;$AM869))
) / 1000</f>
        <v>0</v>
      </c>
      <c r="CF869" s="229">
        <f t="shared" si="874"/>
        <v>0</v>
      </c>
      <c r="CG869" s="246"/>
      <c r="CH869" s="229">
        <f t="shared" si="875"/>
        <v>0</v>
      </c>
      <c r="CI869" s="228">
        <v>35</v>
      </c>
      <c r="CJ869" s="229">
        <f t="shared" si="876"/>
        <v>48</v>
      </c>
      <c r="CK869" s="234">
        <f t="shared" si="877"/>
        <v>3.0748170731707316</v>
      </c>
      <c r="CL869" s="234" cm="1">
        <f t="array" ref="CL869">$BM869 * SUMPRODUCT(INDEX($AV$76:$AX$81,,$AI869),INDEX($AY$76:$BE$81,,$AH869), N($AU$76:$AU$81&gt;$AM869)) / CK869 / 1000</f>
        <v>0</v>
      </c>
      <c r="CM869" s="231">
        <f t="shared" si="895"/>
        <v>30</v>
      </c>
      <c r="CN869" s="229">
        <f t="shared" si="878"/>
        <v>43</v>
      </c>
      <c r="CO869" s="234">
        <f t="shared" si="879"/>
        <v>3.5018750000000001</v>
      </c>
      <c r="CP869" s="234" cm="1">
        <f t="array" ref="CP869">$BM869 * IF($AH869&lt;=2,
SUMPRODUCT(INDEX($AV$71:$AX$75,,$AI869), INDEX($AY$71:$BE$75,,$AH869), 1 / ($BF$71:$BF$75*CO869 + (1-$BF$71:$BF$75)*CK869), N($AU$71:$AU$75&gt;$AM869)),
SUMPRODUCT(INDEX($AV$66:$AX$75,,$AI869), INDEX($AY$66:$BE$75,,$AH869), 1 / ($BG$66:$BG$75*CO869 + (1-$BG$66:$BG$75)*CK869), N($AU$66:$AU$75&gt;$AM869))
) / 1000</f>
        <v>0</v>
      </c>
      <c r="CQ869" s="231">
        <f t="shared" si="896"/>
        <v>25</v>
      </c>
      <c r="CR869" s="229">
        <f t="shared" si="880"/>
        <v>38</v>
      </c>
      <c r="CS869" s="234">
        <f t="shared" si="881"/>
        <v>4.0666935483870965</v>
      </c>
      <c r="CT869" s="234" cm="1">
        <f t="array" ref="CT869">$BM869 * IF($AH869&lt;=2,
SUMPRODUCT(INDEX($AV$66:$AX$70,,$AI869), INDEX($AY$66:$BE$70,,$AH869), 1 / ($BF$66:$BF$70*CS869 + (1-$BF$66:$BF$70)*CO869), N($AU$66:$AU$70&gt;$AM869)),
SUMPRODUCT(INDEX($AV$56:$AX$65,,$AI869), INDEX($AY$56:$BE$65,,$AH869), 1 / ($BG$56:$BG$65*CS869 + (1-$BG$56:$BG$65)*CO869), N($AU$56:$AU$65&gt;$AM869))
) / 1000</f>
        <v>0</v>
      </c>
      <c r="CU869" s="231">
        <f t="shared" si="897"/>
        <v>20</v>
      </c>
      <c r="CV869" s="229">
        <f t="shared" si="882"/>
        <v>33</v>
      </c>
      <c r="CW869" s="234">
        <f t="shared" si="883"/>
        <v>4.8487499999999999</v>
      </c>
      <c r="CX869" s="234" cm="1">
        <f t="array" ref="CX869">$BM869 * IF($AH869&lt;=2,
SUMPRODUCT(INDEX($AV$61:$AX$65,,$AI869), INDEX($AY$61:$BE$65,,$AH869), 1 / ($BF$61:$BF$65*CW869 + (1-$BF$61:$BF$65)*CS869), N($AU$61:$AU$65&gt;$AM869)),
SUMPRODUCT(INDEX($AV$46:$AX$55,,$AI869), INDEX($AY$46:$BE$55,,$AH869), 1 / ($BG$46:$BG$55*CW869 + (1-$BG$46:$BG$55)*CS869), N($AU$46:$AU$55&gt;$AM869))
) / 1000</f>
        <v>0</v>
      </c>
      <c r="CY869" s="234" cm="1">
        <f t="array" ref="CY869">$BM869 * IF($AH869&lt;=2,
SUMPRODUCT(INDEX($AV$22:$AX$60,,$AI869), INDEX($AY$22:$BE$60,,$AH869), 1 / ($BF$22:$BF$60*CW869), N($AU$22:$AU$60&gt;$AM869)),
SUMPRODUCT(INDEX($AV$22:$AX$45,,$AI869), INDEX($AY$22:$BE$45,,$AH869), 1 / ($BG$22:$BG$45*CW869), N($AU$22:$AU$45&gt;$AM869))
) / 1000</f>
        <v>0</v>
      </c>
      <c r="CZ869" s="229">
        <f t="shared" si="884"/>
        <v>0</v>
      </c>
      <c r="DA869" s="246"/>
    </row>
    <row r="870" spans="1:105" s="75" customFormat="1" ht="14.25" customHeight="1" x14ac:dyDescent="0.2">
      <c r="A870" s="230" t="b">
        <f t="shared" si="889"/>
        <v>0</v>
      </c>
      <c r="B870" s="253">
        <v>849</v>
      </c>
      <c r="C870" s="266"/>
      <c r="D870" s="266"/>
      <c r="E870" s="254"/>
      <c r="F870" s="255" t="str">
        <f>IF(ISBLANK(E870), "", VLOOKUP(E870, Z!$A$2:$C$4127, 3, FALSE))</f>
        <v/>
      </c>
      <c r="G870" s="256"/>
      <c r="H870" s="256"/>
      <c r="I870" s="256"/>
      <c r="J870" s="257"/>
      <c r="K870" s="258"/>
      <c r="L870" s="267"/>
      <c r="M870" s="268"/>
      <c r="N870" s="259" t="str" cm="1">
        <f t="array" ref="N870">IF($L870&gt;0, INDEX(Clean,1+AK870,$D$1), "")</f>
        <v/>
      </c>
      <c r="O870" s="260"/>
      <c r="P870" s="260"/>
      <c r="Q870" s="261"/>
      <c r="R870" s="264">
        <f t="shared" si="860"/>
        <v>0</v>
      </c>
      <c r="S870" s="259" t="str" cm="1">
        <f t="array" ref="S870">IF($L870&gt;0, INDEX(Clean,1+AL870,$D$1), "")</f>
        <v/>
      </c>
      <c r="T870" s="260"/>
      <c r="U870" s="260"/>
      <c r="V870" s="261"/>
      <c r="W870" s="267"/>
      <c r="X870" s="267"/>
      <c r="Y870" s="257"/>
      <c r="Z870" s="264">
        <f t="shared" si="861"/>
        <v>0</v>
      </c>
      <c r="AA870" s="269"/>
      <c r="AB870" s="266"/>
      <c r="AC870" s="254"/>
      <c r="AD870" s="255" t="str">
        <f>IF(ISBLANK(AC870), "", VLOOKUP(AC870, Z!$A$2:$C$4127, 3, FALSE))</f>
        <v/>
      </c>
      <c r="AE870" s="270"/>
      <c r="AF870" s="265">
        <f t="shared" si="862"/>
        <v>0</v>
      </c>
      <c r="AG870" s="246"/>
      <c r="AH870" s="228">
        <f t="shared" si="885"/>
        <v>1</v>
      </c>
      <c r="AI870" s="228">
        <f t="shared" si="886"/>
        <v>1</v>
      </c>
      <c r="AJ870" s="228">
        <f t="shared" si="887"/>
        <v>0</v>
      </c>
      <c r="AK870" s="228">
        <v>0</v>
      </c>
      <c r="AL870" s="228">
        <v>0</v>
      </c>
      <c r="AM870" s="228">
        <f t="shared" si="863"/>
        <v>-100</v>
      </c>
      <c r="AN870" s="228" cm="1">
        <f t="array" ref="AN870">IF(ISBLANK(G870), 1, IFERROR(MATCH(G870, INDEX(Kat,,1), 0), IFERROR(MATCH(Kat, INDEX(Use,,2), 0), MATCH(Kat, INDEX(Use,,3), 0))))</f>
        <v>1</v>
      </c>
      <c r="AO870" s="246"/>
      <c r="AP870" s="228" cm="1">
        <f t="array" ref="AP870">IF(W870&gt;0, INDEX(Kat, AN870,4), 0)</f>
        <v>0</v>
      </c>
      <c r="AQ870" s="228">
        <f t="shared" si="888"/>
        <v>0</v>
      </c>
      <c r="AR870" s="228" cm="1">
        <f t="array" ref="AR870">IF(X870&gt;0, INDEX(Kat, $AN870, 4+AQ870), 0)</f>
        <v>0</v>
      </c>
      <c r="AS870" s="228" cm="1">
        <f t="array" ref="AS870">IF(X870&gt;0, INDEX(Kat, $AN870, 9+AQ870), 0)</f>
        <v>0</v>
      </c>
      <c r="AT870" s="246"/>
      <c r="AU870" s="262"/>
      <c r="AV870" s="262"/>
      <c r="AW870" s="263"/>
      <c r="AX870" s="263"/>
      <c r="AY870" s="263"/>
      <c r="AZ870" s="263"/>
      <c r="BA870" s="263"/>
      <c r="BB870" s="263"/>
      <c r="BC870" s="263"/>
      <c r="BD870" s="263"/>
      <c r="BE870" s="263"/>
      <c r="BF870" s="263"/>
      <c r="BG870" s="263"/>
      <c r="BH870" s="246"/>
      <c r="BI870" s="228" cm="1">
        <f t="array" ref="BI870">INDEX(Use, $AH870, 4)</f>
        <v>7</v>
      </c>
      <c r="BJ870" s="228">
        <f t="shared" si="864"/>
        <v>32</v>
      </c>
      <c r="BK870" s="228">
        <f t="shared" si="890"/>
        <v>13</v>
      </c>
      <c r="BL870" s="228">
        <f t="shared" si="891"/>
        <v>0</v>
      </c>
      <c r="BM870" s="233" cm="1">
        <f t="array" ref="BM870">L870/IF($M870&gt;0, INDEX($AY$22:$BE$76, $M870+20, $AH870), 1)</f>
        <v>0</v>
      </c>
      <c r="BN870" s="229">
        <f t="shared" si="865"/>
        <v>0</v>
      </c>
      <c r="BO870" s="228">
        <v>35</v>
      </c>
      <c r="BP870" s="229">
        <f t="shared" si="866"/>
        <v>48</v>
      </c>
      <c r="BQ870" s="234">
        <f t="shared" si="867"/>
        <v>3.0748170731707316</v>
      </c>
      <c r="BR870" s="234" cm="1">
        <f t="array" ref="BR870">$BM870 * SUMPRODUCT(INDEX($AV$76:$AX$81,,$AI870),INDEX($AY$76:$BE$81,,$AH870), N($AU$76:$AU$81&gt;$AM870)) / BQ870 / 1000</f>
        <v>0</v>
      </c>
      <c r="BS870" s="231">
        <f t="shared" si="892"/>
        <v>30</v>
      </c>
      <c r="BT870" s="229">
        <f t="shared" si="868"/>
        <v>43</v>
      </c>
      <c r="BU870" s="234">
        <f t="shared" si="869"/>
        <v>3.5018750000000001</v>
      </c>
      <c r="BV870" s="234" cm="1">
        <f t="array" ref="BV870">$BM870 * IF($AH870&lt;=2,
SUMPRODUCT(INDEX($AV$71:$AX$75,,$AI870), INDEX($AY$71:$BE$75,,$AH870), 1 / ($BF$71:$BF$75*BU870 + (1-$BF$71:$BF$75)*BQ870), N($AU$71:$AU$75&gt;$AM870)),
SUMPRODUCT(INDEX($AV$66:$AX$75,,$AI870), INDEX($AY$66:$BE$75,,$AH870), 1 / ($BG$66:$BG$75*BU870 + (1-$BG$66:$BG$75)*BQ870), N($AU$66:$AU$75&gt;$AM870))
) / 1000</f>
        <v>0</v>
      </c>
      <c r="BW870" s="231">
        <f t="shared" si="893"/>
        <v>25</v>
      </c>
      <c r="BX870" s="229">
        <f t="shared" si="870"/>
        <v>38</v>
      </c>
      <c r="BY870" s="234">
        <f t="shared" si="871"/>
        <v>4.0666935483870965</v>
      </c>
      <c r="BZ870" s="234" cm="1">
        <f t="array" ref="BZ870">$BM870 * IF($AH870&lt;=2,
SUMPRODUCT(INDEX($AV$66:$AX$70,,$AI870), INDEX($AY$66:$BE$70,,$AH870), 1 / ($BF$66:$BF$70*BY870 + (1-$BF$66:$BF$70)*BU870), N($AU$66:$AU$70&gt;$AM870)),
SUMPRODUCT(INDEX($AV$56:$AX$65,,$AI870), INDEX($AY$56:$BE$65,,$AH870), 1 / ($BG$56:$BG$65*BY870 + (1-$BG$56:$BG$65)*BU870), N($AU$56:$AU$65&gt;$AM870))
) / 1000</f>
        <v>0</v>
      </c>
      <c r="CA870" s="231">
        <f t="shared" si="894"/>
        <v>20</v>
      </c>
      <c r="CB870" s="229">
        <f t="shared" si="872"/>
        <v>33</v>
      </c>
      <c r="CC870" s="234">
        <f t="shared" si="873"/>
        <v>4.8487499999999999</v>
      </c>
      <c r="CD870" s="234" cm="1">
        <f t="array" ref="CD870">$BM870 * IF($AH870&lt;=2,
SUMPRODUCT(INDEX($AV$61:$AX$65,,$AI870), INDEX($AY$61:$BE$65,,$AH870), 1 / ($BF$61:$BF$65*CC870 + (1-$BF$61:$BF$65)*BY870), N($AU$61:$AU$65&gt;$AM870)),
SUMPRODUCT(INDEX($AV$46:$AX$55,,$AI870), INDEX($AY$46:$BE$55,,$AH870), 1 / ($BG$46:$BG$55*CC870 + (1-$BG$46:$BG$55)*BY870), N($AU$46:$AU$55&gt;$AM870))
) / 1000</f>
        <v>0</v>
      </c>
      <c r="CE870" s="234" cm="1">
        <f t="array" ref="CE870">$BM870 * IF($AH870&lt;=2,
SUMPRODUCT(INDEX($AV$22:$AX$60,,$AI870), INDEX($AY$22:$BE$60,,$AH870), 1 / ($BF$22:$BF$60*CC870), N($AU$22:$AU$60&gt;$AM870)),
SUMPRODUCT(INDEX($AV$22:$AX$45,,$AI870), INDEX($AY$22:$BE$45,,$AH870), 1 / ($BG$22:$BG$45*CC870), N($AU$22:$AU$45&gt;$AM870))
) / 1000</f>
        <v>0</v>
      </c>
      <c r="CF870" s="229">
        <f t="shared" si="874"/>
        <v>0</v>
      </c>
      <c r="CG870" s="246"/>
      <c r="CH870" s="229">
        <f t="shared" si="875"/>
        <v>0</v>
      </c>
      <c r="CI870" s="228">
        <v>35</v>
      </c>
      <c r="CJ870" s="229">
        <f t="shared" si="876"/>
        <v>48</v>
      </c>
      <c r="CK870" s="234">
        <f t="shared" si="877"/>
        <v>3.0748170731707316</v>
      </c>
      <c r="CL870" s="234" cm="1">
        <f t="array" ref="CL870">$BM870 * SUMPRODUCT(INDEX($AV$76:$AX$81,,$AI870),INDEX($AY$76:$BE$81,,$AH870), N($AU$76:$AU$81&gt;$AM870)) / CK870 / 1000</f>
        <v>0</v>
      </c>
      <c r="CM870" s="231">
        <f t="shared" si="895"/>
        <v>30</v>
      </c>
      <c r="CN870" s="229">
        <f t="shared" si="878"/>
        <v>43</v>
      </c>
      <c r="CO870" s="234">
        <f t="shared" si="879"/>
        <v>3.5018750000000001</v>
      </c>
      <c r="CP870" s="234" cm="1">
        <f t="array" ref="CP870">$BM870 * IF($AH870&lt;=2,
SUMPRODUCT(INDEX($AV$71:$AX$75,,$AI870), INDEX($AY$71:$BE$75,,$AH870), 1 / ($BF$71:$BF$75*CO870 + (1-$BF$71:$BF$75)*CK870), N($AU$71:$AU$75&gt;$AM870)),
SUMPRODUCT(INDEX($AV$66:$AX$75,,$AI870), INDEX($AY$66:$BE$75,,$AH870), 1 / ($BG$66:$BG$75*CO870 + (1-$BG$66:$BG$75)*CK870), N($AU$66:$AU$75&gt;$AM870))
) / 1000</f>
        <v>0</v>
      </c>
      <c r="CQ870" s="231">
        <f t="shared" si="896"/>
        <v>25</v>
      </c>
      <c r="CR870" s="229">
        <f t="shared" si="880"/>
        <v>38</v>
      </c>
      <c r="CS870" s="234">
        <f t="shared" si="881"/>
        <v>4.0666935483870965</v>
      </c>
      <c r="CT870" s="234" cm="1">
        <f t="array" ref="CT870">$BM870 * IF($AH870&lt;=2,
SUMPRODUCT(INDEX($AV$66:$AX$70,,$AI870), INDEX($AY$66:$BE$70,,$AH870), 1 / ($BF$66:$BF$70*CS870 + (1-$BF$66:$BF$70)*CO870), N($AU$66:$AU$70&gt;$AM870)),
SUMPRODUCT(INDEX($AV$56:$AX$65,,$AI870), INDEX($AY$56:$BE$65,,$AH870), 1 / ($BG$56:$BG$65*CS870 + (1-$BG$56:$BG$65)*CO870), N($AU$56:$AU$65&gt;$AM870))
) / 1000</f>
        <v>0</v>
      </c>
      <c r="CU870" s="231">
        <f t="shared" si="897"/>
        <v>20</v>
      </c>
      <c r="CV870" s="229">
        <f t="shared" si="882"/>
        <v>33</v>
      </c>
      <c r="CW870" s="234">
        <f t="shared" si="883"/>
        <v>4.8487499999999999</v>
      </c>
      <c r="CX870" s="234" cm="1">
        <f t="array" ref="CX870">$BM870 * IF($AH870&lt;=2,
SUMPRODUCT(INDEX($AV$61:$AX$65,,$AI870), INDEX($AY$61:$BE$65,,$AH870), 1 / ($BF$61:$BF$65*CW870 + (1-$BF$61:$BF$65)*CS870), N($AU$61:$AU$65&gt;$AM870)),
SUMPRODUCT(INDEX($AV$46:$AX$55,,$AI870), INDEX($AY$46:$BE$55,,$AH870), 1 / ($BG$46:$BG$55*CW870 + (1-$BG$46:$BG$55)*CS870), N($AU$46:$AU$55&gt;$AM870))
) / 1000</f>
        <v>0</v>
      </c>
      <c r="CY870" s="234" cm="1">
        <f t="array" ref="CY870">$BM870 * IF($AH870&lt;=2,
SUMPRODUCT(INDEX($AV$22:$AX$60,,$AI870), INDEX($AY$22:$BE$60,,$AH870), 1 / ($BF$22:$BF$60*CW870), N($AU$22:$AU$60&gt;$AM870)),
SUMPRODUCT(INDEX($AV$22:$AX$45,,$AI870), INDEX($AY$22:$BE$45,,$AH870), 1 / ($BG$22:$BG$45*CW870), N($AU$22:$AU$45&gt;$AM870))
) / 1000</f>
        <v>0</v>
      </c>
      <c r="CZ870" s="229">
        <f t="shared" si="884"/>
        <v>0</v>
      </c>
      <c r="DA870" s="246"/>
    </row>
    <row r="871" spans="1:105" s="75" customFormat="1" ht="14.25" customHeight="1" x14ac:dyDescent="0.2">
      <c r="A871" s="230" t="b">
        <f t="shared" si="889"/>
        <v>0</v>
      </c>
      <c r="B871" s="253">
        <v>850</v>
      </c>
      <c r="C871" s="266"/>
      <c r="D871" s="266"/>
      <c r="E871" s="254"/>
      <c r="F871" s="255" t="str">
        <f>IF(ISBLANK(E871), "", VLOOKUP(E871, Z!$A$2:$C$4127, 3, FALSE))</f>
        <v/>
      </c>
      <c r="G871" s="256"/>
      <c r="H871" s="256"/>
      <c r="I871" s="256"/>
      <c r="J871" s="257"/>
      <c r="K871" s="258"/>
      <c r="L871" s="267"/>
      <c r="M871" s="268"/>
      <c r="N871" s="259" t="str" cm="1">
        <f t="array" ref="N871">IF($L871&gt;0, INDEX(Clean,1+AK871,$D$1), "")</f>
        <v/>
      </c>
      <c r="O871" s="260"/>
      <c r="P871" s="260"/>
      <c r="Q871" s="261"/>
      <c r="R871" s="264">
        <f t="shared" si="860"/>
        <v>0</v>
      </c>
      <c r="S871" s="259" t="str" cm="1">
        <f t="array" ref="S871">IF($L871&gt;0, INDEX(Clean,1+AL871,$D$1), "")</f>
        <v/>
      </c>
      <c r="T871" s="260"/>
      <c r="U871" s="260"/>
      <c r="V871" s="261"/>
      <c r="W871" s="267"/>
      <c r="X871" s="267"/>
      <c r="Y871" s="257"/>
      <c r="Z871" s="264">
        <f t="shared" si="861"/>
        <v>0</v>
      </c>
      <c r="AA871" s="269"/>
      <c r="AB871" s="266"/>
      <c r="AC871" s="254"/>
      <c r="AD871" s="255" t="str">
        <f>IF(ISBLANK(AC871), "", VLOOKUP(AC871, Z!$A$2:$C$4127, 3, FALSE))</f>
        <v/>
      </c>
      <c r="AE871" s="270"/>
      <c r="AF871" s="265">
        <f t="shared" si="862"/>
        <v>0</v>
      </c>
      <c r="AG871" s="246"/>
      <c r="AH871" s="228">
        <f t="shared" si="885"/>
        <v>1</v>
      </c>
      <c r="AI871" s="228">
        <f t="shared" si="886"/>
        <v>1</v>
      </c>
      <c r="AJ871" s="228">
        <f t="shared" si="887"/>
        <v>0</v>
      </c>
      <c r="AK871" s="228">
        <v>0</v>
      </c>
      <c r="AL871" s="228">
        <v>0</v>
      </c>
      <c r="AM871" s="228">
        <f t="shared" si="863"/>
        <v>-100</v>
      </c>
      <c r="AN871" s="228" cm="1">
        <f t="array" ref="AN871">IF(ISBLANK(G871), 1, IFERROR(MATCH(G871, INDEX(Kat,,1), 0), IFERROR(MATCH(Kat, INDEX(Use,,2), 0), MATCH(Kat, INDEX(Use,,3), 0))))</f>
        <v>1</v>
      </c>
      <c r="AO871" s="246"/>
      <c r="AP871" s="228" cm="1">
        <f t="array" ref="AP871">IF(W871&gt;0, INDEX(Kat, AN871,4), 0)</f>
        <v>0</v>
      </c>
      <c r="AQ871" s="228">
        <f t="shared" si="888"/>
        <v>0</v>
      </c>
      <c r="AR871" s="228" cm="1">
        <f t="array" ref="AR871">IF(X871&gt;0, INDEX(Kat, $AN871, 4+AQ871), 0)</f>
        <v>0</v>
      </c>
      <c r="AS871" s="228" cm="1">
        <f t="array" ref="AS871">IF(X871&gt;0, INDEX(Kat, $AN871, 9+AQ871), 0)</f>
        <v>0</v>
      </c>
      <c r="AT871" s="246"/>
      <c r="AU871" s="262"/>
      <c r="AV871" s="262"/>
      <c r="AW871" s="263"/>
      <c r="AX871" s="263"/>
      <c r="AY871" s="263"/>
      <c r="AZ871" s="263"/>
      <c r="BA871" s="263"/>
      <c r="BB871" s="263"/>
      <c r="BC871" s="263"/>
      <c r="BD871" s="263"/>
      <c r="BE871" s="263"/>
      <c r="BF871" s="263"/>
      <c r="BG871" s="263"/>
      <c r="BH871" s="246"/>
      <c r="BI871" s="228" cm="1">
        <f t="array" ref="BI871">INDEX(Use, $AH871, 4)</f>
        <v>7</v>
      </c>
      <c r="BJ871" s="228">
        <f t="shared" si="864"/>
        <v>32</v>
      </c>
      <c r="BK871" s="228">
        <f t="shared" si="890"/>
        <v>13</v>
      </c>
      <c r="BL871" s="228">
        <f t="shared" si="891"/>
        <v>0</v>
      </c>
      <c r="BM871" s="233" cm="1">
        <f t="array" ref="BM871">L871/IF($M871&gt;0, INDEX($AY$22:$BE$76, $M871+20, $AH871), 1)</f>
        <v>0</v>
      </c>
      <c r="BN871" s="229">
        <f t="shared" si="865"/>
        <v>0</v>
      </c>
      <c r="BO871" s="228">
        <v>35</v>
      </c>
      <c r="BP871" s="229">
        <f t="shared" si="866"/>
        <v>48</v>
      </c>
      <c r="BQ871" s="234">
        <f t="shared" si="867"/>
        <v>3.0748170731707316</v>
      </c>
      <c r="BR871" s="234" cm="1">
        <f t="array" ref="BR871">$BM871 * SUMPRODUCT(INDEX($AV$76:$AX$81,,$AI871),INDEX($AY$76:$BE$81,,$AH871), N($AU$76:$AU$81&gt;$AM871)) / BQ871 / 1000</f>
        <v>0</v>
      </c>
      <c r="BS871" s="231">
        <f t="shared" si="892"/>
        <v>30</v>
      </c>
      <c r="BT871" s="229">
        <f t="shared" si="868"/>
        <v>43</v>
      </c>
      <c r="BU871" s="234">
        <f t="shared" si="869"/>
        <v>3.5018750000000001</v>
      </c>
      <c r="BV871" s="234" cm="1">
        <f t="array" ref="BV871">$BM871 * IF($AH871&lt;=2,
SUMPRODUCT(INDEX($AV$71:$AX$75,,$AI871), INDEX($AY$71:$BE$75,,$AH871), 1 / ($BF$71:$BF$75*BU871 + (1-$BF$71:$BF$75)*BQ871), N($AU$71:$AU$75&gt;$AM871)),
SUMPRODUCT(INDEX($AV$66:$AX$75,,$AI871), INDEX($AY$66:$BE$75,,$AH871), 1 / ($BG$66:$BG$75*BU871 + (1-$BG$66:$BG$75)*BQ871), N($AU$66:$AU$75&gt;$AM871))
) / 1000</f>
        <v>0</v>
      </c>
      <c r="BW871" s="231">
        <f t="shared" si="893"/>
        <v>25</v>
      </c>
      <c r="BX871" s="229">
        <f t="shared" si="870"/>
        <v>38</v>
      </c>
      <c r="BY871" s="234">
        <f t="shared" si="871"/>
        <v>4.0666935483870965</v>
      </c>
      <c r="BZ871" s="234" cm="1">
        <f t="array" ref="BZ871">$BM871 * IF($AH871&lt;=2,
SUMPRODUCT(INDEX($AV$66:$AX$70,,$AI871), INDEX($AY$66:$BE$70,,$AH871), 1 / ($BF$66:$BF$70*BY871 + (1-$BF$66:$BF$70)*BU871), N($AU$66:$AU$70&gt;$AM871)),
SUMPRODUCT(INDEX($AV$56:$AX$65,,$AI871), INDEX($AY$56:$BE$65,,$AH871), 1 / ($BG$56:$BG$65*BY871 + (1-$BG$56:$BG$65)*BU871), N($AU$56:$AU$65&gt;$AM871))
) / 1000</f>
        <v>0</v>
      </c>
      <c r="CA871" s="231">
        <f t="shared" si="894"/>
        <v>20</v>
      </c>
      <c r="CB871" s="229">
        <f t="shared" si="872"/>
        <v>33</v>
      </c>
      <c r="CC871" s="234">
        <f t="shared" si="873"/>
        <v>4.8487499999999999</v>
      </c>
      <c r="CD871" s="234" cm="1">
        <f t="array" ref="CD871">$BM871 * IF($AH871&lt;=2,
SUMPRODUCT(INDEX($AV$61:$AX$65,,$AI871), INDEX($AY$61:$BE$65,,$AH871), 1 / ($BF$61:$BF$65*CC871 + (1-$BF$61:$BF$65)*BY871), N($AU$61:$AU$65&gt;$AM871)),
SUMPRODUCT(INDEX($AV$46:$AX$55,,$AI871), INDEX($AY$46:$BE$55,,$AH871), 1 / ($BG$46:$BG$55*CC871 + (1-$BG$46:$BG$55)*BY871), N($AU$46:$AU$55&gt;$AM871))
) / 1000</f>
        <v>0</v>
      </c>
      <c r="CE871" s="234" cm="1">
        <f t="array" ref="CE871">$BM871 * IF($AH871&lt;=2,
SUMPRODUCT(INDEX($AV$22:$AX$60,,$AI871), INDEX($AY$22:$BE$60,,$AH871), 1 / ($BF$22:$BF$60*CC871), N($AU$22:$AU$60&gt;$AM871)),
SUMPRODUCT(INDEX($AV$22:$AX$45,,$AI871), INDEX($AY$22:$BE$45,,$AH871), 1 / ($BG$22:$BG$45*CC871), N($AU$22:$AU$45&gt;$AM871))
) / 1000</f>
        <v>0</v>
      </c>
      <c r="CF871" s="229">
        <f t="shared" si="874"/>
        <v>0</v>
      </c>
      <c r="CG871" s="246"/>
      <c r="CH871" s="229">
        <f t="shared" si="875"/>
        <v>0</v>
      </c>
      <c r="CI871" s="228">
        <v>35</v>
      </c>
      <c r="CJ871" s="229">
        <f t="shared" si="876"/>
        <v>48</v>
      </c>
      <c r="CK871" s="234">
        <f t="shared" si="877"/>
        <v>3.0748170731707316</v>
      </c>
      <c r="CL871" s="234" cm="1">
        <f t="array" ref="CL871">$BM871 * SUMPRODUCT(INDEX($AV$76:$AX$81,,$AI871),INDEX($AY$76:$BE$81,,$AH871), N($AU$76:$AU$81&gt;$AM871)) / CK871 / 1000</f>
        <v>0</v>
      </c>
      <c r="CM871" s="231">
        <f t="shared" si="895"/>
        <v>30</v>
      </c>
      <c r="CN871" s="229">
        <f t="shared" si="878"/>
        <v>43</v>
      </c>
      <c r="CO871" s="234">
        <f t="shared" si="879"/>
        <v>3.5018750000000001</v>
      </c>
      <c r="CP871" s="234" cm="1">
        <f t="array" ref="CP871">$BM871 * IF($AH871&lt;=2,
SUMPRODUCT(INDEX($AV$71:$AX$75,,$AI871), INDEX($AY$71:$BE$75,,$AH871), 1 / ($BF$71:$BF$75*CO871 + (1-$BF$71:$BF$75)*CK871), N($AU$71:$AU$75&gt;$AM871)),
SUMPRODUCT(INDEX($AV$66:$AX$75,,$AI871), INDEX($AY$66:$BE$75,,$AH871), 1 / ($BG$66:$BG$75*CO871 + (1-$BG$66:$BG$75)*CK871), N($AU$66:$AU$75&gt;$AM871))
) / 1000</f>
        <v>0</v>
      </c>
      <c r="CQ871" s="231">
        <f t="shared" si="896"/>
        <v>25</v>
      </c>
      <c r="CR871" s="229">
        <f t="shared" si="880"/>
        <v>38</v>
      </c>
      <c r="CS871" s="234">
        <f t="shared" si="881"/>
        <v>4.0666935483870965</v>
      </c>
      <c r="CT871" s="234" cm="1">
        <f t="array" ref="CT871">$BM871 * IF($AH871&lt;=2,
SUMPRODUCT(INDEX($AV$66:$AX$70,,$AI871), INDEX($AY$66:$BE$70,,$AH871), 1 / ($BF$66:$BF$70*CS871 + (1-$BF$66:$BF$70)*CO871), N($AU$66:$AU$70&gt;$AM871)),
SUMPRODUCT(INDEX($AV$56:$AX$65,,$AI871), INDEX($AY$56:$BE$65,,$AH871), 1 / ($BG$56:$BG$65*CS871 + (1-$BG$56:$BG$65)*CO871), N($AU$56:$AU$65&gt;$AM871))
) / 1000</f>
        <v>0</v>
      </c>
      <c r="CU871" s="231">
        <f t="shared" si="897"/>
        <v>20</v>
      </c>
      <c r="CV871" s="229">
        <f t="shared" si="882"/>
        <v>33</v>
      </c>
      <c r="CW871" s="234">
        <f t="shared" si="883"/>
        <v>4.8487499999999999</v>
      </c>
      <c r="CX871" s="234" cm="1">
        <f t="array" ref="CX871">$BM871 * IF($AH871&lt;=2,
SUMPRODUCT(INDEX($AV$61:$AX$65,,$AI871), INDEX($AY$61:$BE$65,,$AH871), 1 / ($BF$61:$BF$65*CW871 + (1-$BF$61:$BF$65)*CS871), N($AU$61:$AU$65&gt;$AM871)),
SUMPRODUCT(INDEX($AV$46:$AX$55,,$AI871), INDEX($AY$46:$BE$55,,$AH871), 1 / ($BG$46:$BG$55*CW871 + (1-$BG$46:$BG$55)*CS871), N($AU$46:$AU$55&gt;$AM871))
) / 1000</f>
        <v>0</v>
      </c>
      <c r="CY871" s="234" cm="1">
        <f t="array" ref="CY871">$BM871 * IF($AH871&lt;=2,
SUMPRODUCT(INDEX($AV$22:$AX$60,,$AI871), INDEX($AY$22:$BE$60,,$AH871), 1 / ($BF$22:$BF$60*CW871), N($AU$22:$AU$60&gt;$AM871)),
SUMPRODUCT(INDEX($AV$22:$AX$45,,$AI871), INDEX($AY$22:$BE$45,,$AH871), 1 / ($BG$22:$BG$45*CW871), N($AU$22:$AU$45&gt;$AM871))
) / 1000</f>
        <v>0</v>
      </c>
      <c r="CZ871" s="229">
        <f t="shared" si="884"/>
        <v>0</v>
      </c>
      <c r="DA871" s="246"/>
    </row>
    <row r="872" spans="1:105" s="75" customFormat="1" ht="14.25" customHeight="1" x14ac:dyDescent="0.2">
      <c r="A872" s="230" t="b">
        <f t="shared" si="889"/>
        <v>0</v>
      </c>
      <c r="B872" s="253">
        <v>851</v>
      </c>
      <c r="C872" s="266"/>
      <c r="D872" s="266"/>
      <c r="E872" s="254"/>
      <c r="F872" s="255" t="str">
        <f>IF(ISBLANK(E872), "", VLOOKUP(E872, Z!$A$2:$C$4127, 3, FALSE))</f>
        <v/>
      </c>
      <c r="G872" s="256"/>
      <c r="H872" s="256"/>
      <c r="I872" s="256"/>
      <c r="J872" s="257"/>
      <c r="K872" s="258"/>
      <c r="L872" s="267"/>
      <c r="M872" s="268"/>
      <c r="N872" s="259" t="str" cm="1">
        <f t="array" ref="N872">IF($L872&gt;0, INDEX(Clean,1+AK872,$D$1), "")</f>
        <v/>
      </c>
      <c r="O872" s="260"/>
      <c r="P872" s="260"/>
      <c r="Q872" s="261"/>
      <c r="R872" s="264">
        <f t="shared" si="860"/>
        <v>0</v>
      </c>
      <c r="S872" s="259" t="str" cm="1">
        <f t="array" ref="S872">IF($L872&gt;0, INDEX(Clean,1+AL872,$D$1), "")</f>
        <v/>
      </c>
      <c r="T872" s="260"/>
      <c r="U872" s="260"/>
      <c r="V872" s="261"/>
      <c r="W872" s="267"/>
      <c r="X872" s="267"/>
      <c r="Y872" s="257"/>
      <c r="Z872" s="264">
        <f t="shared" si="861"/>
        <v>0</v>
      </c>
      <c r="AA872" s="269"/>
      <c r="AB872" s="266"/>
      <c r="AC872" s="254"/>
      <c r="AD872" s="255" t="str">
        <f>IF(ISBLANK(AC872), "", VLOOKUP(AC872, Z!$A$2:$C$4127, 3, FALSE))</f>
        <v/>
      </c>
      <c r="AE872" s="270"/>
      <c r="AF872" s="265">
        <f t="shared" si="862"/>
        <v>0</v>
      </c>
      <c r="AG872" s="246"/>
      <c r="AH872" s="228">
        <f t="shared" si="885"/>
        <v>1</v>
      </c>
      <c r="AI872" s="228">
        <f t="shared" si="886"/>
        <v>1</v>
      </c>
      <c r="AJ872" s="228">
        <f t="shared" si="887"/>
        <v>0</v>
      </c>
      <c r="AK872" s="228">
        <v>0</v>
      </c>
      <c r="AL872" s="228">
        <v>0</v>
      </c>
      <c r="AM872" s="228">
        <f t="shared" si="863"/>
        <v>-100</v>
      </c>
      <c r="AN872" s="228" cm="1">
        <f t="array" ref="AN872">IF(ISBLANK(G872), 1, IFERROR(MATCH(G872, INDEX(Kat,,1), 0), IFERROR(MATCH(Kat, INDEX(Use,,2), 0), MATCH(Kat, INDEX(Use,,3), 0))))</f>
        <v>1</v>
      </c>
      <c r="AO872" s="246"/>
      <c r="AP872" s="228" cm="1">
        <f t="array" ref="AP872">IF(W872&gt;0, INDEX(Kat, AN872,4), 0)</f>
        <v>0</v>
      </c>
      <c r="AQ872" s="228">
        <f t="shared" si="888"/>
        <v>0</v>
      </c>
      <c r="AR872" s="228" cm="1">
        <f t="array" ref="AR872">IF(X872&gt;0, INDEX(Kat, $AN872, 4+AQ872), 0)</f>
        <v>0</v>
      </c>
      <c r="AS872" s="228" cm="1">
        <f t="array" ref="AS872">IF(X872&gt;0, INDEX(Kat, $AN872, 9+AQ872), 0)</f>
        <v>0</v>
      </c>
      <c r="AT872" s="246"/>
      <c r="AU872" s="262"/>
      <c r="AV872" s="262"/>
      <c r="AW872" s="263"/>
      <c r="AX872" s="263"/>
      <c r="AY872" s="263"/>
      <c r="AZ872" s="263"/>
      <c r="BA872" s="263"/>
      <c r="BB872" s="263"/>
      <c r="BC872" s="263"/>
      <c r="BD872" s="263"/>
      <c r="BE872" s="263"/>
      <c r="BF872" s="263"/>
      <c r="BG872" s="263"/>
      <c r="BH872" s="246"/>
      <c r="BI872" s="228" cm="1">
        <f t="array" ref="BI872">INDEX(Use, $AH872, 4)</f>
        <v>7</v>
      </c>
      <c r="BJ872" s="228">
        <f t="shared" si="864"/>
        <v>32</v>
      </c>
      <c r="BK872" s="228">
        <f t="shared" si="890"/>
        <v>13</v>
      </c>
      <c r="BL872" s="228">
        <f t="shared" si="891"/>
        <v>0</v>
      </c>
      <c r="BM872" s="233" cm="1">
        <f t="array" ref="BM872">L872/IF($M872&gt;0, INDEX($AY$22:$BE$76, $M872+20, $AH872), 1)</f>
        <v>0</v>
      </c>
      <c r="BN872" s="229">
        <f t="shared" si="865"/>
        <v>0</v>
      </c>
      <c r="BO872" s="228">
        <v>35</v>
      </c>
      <c r="BP872" s="229">
        <f t="shared" si="866"/>
        <v>48</v>
      </c>
      <c r="BQ872" s="234">
        <f t="shared" si="867"/>
        <v>3.0748170731707316</v>
      </c>
      <c r="BR872" s="234" cm="1">
        <f t="array" ref="BR872">$BM872 * SUMPRODUCT(INDEX($AV$76:$AX$81,,$AI872),INDEX($AY$76:$BE$81,,$AH872), N($AU$76:$AU$81&gt;$AM872)) / BQ872 / 1000</f>
        <v>0</v>
      </c>
      <c r="BS872" s="231">
        <f t="shared" si="892"/>
        <v>30</v>
      </c>
      <c r="BT872" s="229">
        <f t="shared" si="868"/>
        <v>43</v>
      </c>
      <c r="BU872" s="234">
        <f t="shared" si="869"/>
        <v>3.5018750000000001</v>
      </c>
      <c r="BV872" s="234" cm="1">
        <f t="array" ref="BV872">$BM872 * IF($AH872&lt;=2,
SUMPRODUCT(INDEX($AV$71:$AX$75,,$AI872), INDEX($AY$71:$BE$75,,$AH872), 1 / ($BF$71:$BF$75*BU872 + (1-$BF$71:$BF$75)*BQ872), N($AU$71:$AU$75&gt;$AM872)),
SUMPRODUCT(INDEX($AV$66:$AX$75,,$AI872), INDEX($AY$66:$BE$75,,$AH872), 1 / ($BG$66:$BG$75*BU872 + (1-$BG$66:$BG$75)*BQ872), N($AU$66:$AU$75&gt;$AM872))
) / 1000</f>
        <v>0</v>
      </c>
      <c r="BW872" s="231">
        <f t="shared" si="893"/>
        <v>25</v>
      </c>
      <c r="BX872" s="229">
        <f t="shared" si="870"/>
        <v>38</v>
      </c>
      <c r="BY872" s="234">
        <f t="shared" si="871"/>
        <v>4.0666935483870965</v>
      </c>
      <c r="BZ872" s="234" cm="1">
        <f t="array" ref="BZ872">$BM872 * IF($AH872&lt;=2,
SUMPRODUCT(INDEX($AV$66:$AX$70,,$AI872), INDEX($AY$66:$BE$70,,$AH872), 1 / ($BF$66:$BF$70*BY872 + (1-$BF$66:$BF$70)*BU872), N($AU$66:$AU$70&gt;$AM872)),
SUMPRODUCT(INDEX($AV$56:$AX$65,,$AI872), INDEX($AY$56:$BE$65,,$AH872), 1 / ($BG$56:$BG$65*BY872 + (1-$BG$56:$BG$65)*BU872), N($AU$56:$AU$65&gt;$AM872))
) / 1000</f>
        <v>0</v>
      </c>
      <c r="CA872" s="231">
        <f t="shared" si="894"/>
        <v>20</v>
      </c>
      <c r="CB872" s="229">
        <f t="shared" si="872"/>
        <v>33</v>
      </c>
      <c r="CC872" s="234">
        <f t="shared" si="873"/>
        <v>4.8487499999999999</v>
      </c>
      <c r="CD872" s="234" cm="1">
        <f t="array" ref="CD872">$BM872 * IF($AH872&lt;=2,
SUMPRODUCT(INDEX($AV$61:$AX$65,,$AI872), INDEX($AY$61:$BE$65,,$AH872), 1 / ($BF$61:$BF$65*CC872 + (1-$BF$61:$BF$65)*BY872), N($AU$61:$AU$65&gt;$AM872)),
SUMPRODUCT(INDEX($AV$46:$AX$55,,$AI872), INDEX($AY$46:$BE$55,,$AH872), 1 / ($BG$46:$BG$55*CC872 + (1-$BG$46:$BG$55)*BY872), N($AU$46:$AU$55&gt;$AM872))
) / 1000</f>
        <v>0</v>
      </c>
      <c r="CE872" s="234" cm="1">
        <f t="array" ref="CE872">$BM872 * IF($AH872&lt;=2,
SUMPRODUCT(INDEX($AV$22:$AX$60,,$AI872), INDEX($AY$22:$BE$60,,$AH872), 1 / ($BF$22:$BF$60*CC872), N($AU$22:$AU$60&gt;$AM872)),
SUMPRODUCT(INDEX($AV$22:$AX$45,,$AI872), INDEX($AY$22:$BE$45,,$AH872), 1 / ($BG$22:$BG$45*CC872), N($AU$22:$AU$45&gt;$AM872))
) / 1000</f>
        <v>0</v>
      </c>
      <c r="CF872" s="229">
        <f t="shared" si="874"/>
        <v>0</v>
      </c>
      <c r="CG872" s="246"/>
      <c r="CH872" s="229">
        <f t="shared" si="875"/>
        <v>0</v>
      </c>
      <c r="CI872" s="228">
        <v>35</v>
      </c>
      <c r="CJ872" s="229">
        <f t="shared" si="876"/>
        <v>48</v>
      </c>
      <c r="CK872" s="234">
        <f t="shared" si="877"/>
        <v>3.0748170731707316</v>
      </c>
      <c r="CL872" s="234" cm="1">
        <f t="array" ref="CL872">$BM872 * SUMPRODUCT(INDEX($AV$76:$AX$81,,$AI872),INDEX($AY$76:$BE$81,,$AH872), N($AU$76:$AU$81&gt;$AM872)) / CK872 / 1000</f>
        <v>0</v>
      </c>
      <c r="CM872" s="231">
        <f t="shared" si="895"/>
        <v>30</v>
      </c>
      <c r="CN872" s="229">
        <f t="shared" si="878"/>
        <v>43</v>
      </c>
      <c r="CO872" s="234">
        <f t="shared" si="879"/>
        <v>3.5018750000000001</v>
      </c>
      <c r="CP872" s="234" cm="1">
        <f t="array" ref="CP872">$BM872 * IF($AH872&lt;=2,
SUMPRODUCT(INDEX($AV$71:$AX$75,,$AI872), INDEX($AY$71:$BE$75,,$AH872), 1 / ($BF$71:$BF$75*CO872 + (1-$BF$71:$BF$75)*CK872), N($AU$71:$AU$75&gt;$AM872)),
SUMPRODUCT(INDEX($AV$66:$AX$75,,$AI872), INDEX($AY$66:$BE$75,,$AH872), 1 / ($BG$66:$BG$75*CO872 + (1-$BG$66:$BG$75)*CK872), N($AU$66:$AU$75&gt;$AM872))
) / 1000</f>
        <v>0</v>
      </c>
      <c r="CQ872" s="231">
        <f t="shared" si="896"/>
        <v>25</v>
      </c>
      <c r="CR872" s="229">
        <f t="shared" si="880"/>
        <v>38</v>
      </c>
      <c r="CS872" s="234">
        <f t="shared" si="881"/>
        <v>4.0666935483870965</v>
      </c>
      <c r="CT872" s="234" cm="1">
        <f t="array" ref="CT872">$BM872 * IF($AH872&lt;=2,
SUMPRODUCT(INDEX($AV$66:$AX$70,,$AI872), INDEX($AY$66:$BE$70,,$AH872), 1 / ($BF$66:$BF$70*CS872 + (1-$BF$66:$BF$70)*CO872), N($AU$66:$AU$70&gt;$AM872)),
SUMPRODUCT(INDEX($AV$56:$AX$65,,$AI872), INDEX($AY$56:$BE$65,,$AH872), 1 / ($BG$56:$BG$65*CS872 + (1-$BG$56:$BG$65)*CO872), N($AU$56:$AU$65&gt;$AM872))
) / 1000</f>
        <v>0</v>
      </c>
      <c r="CU872" s="231">
        <f t="shared" si="897"/>
        <v>20</v>
      </c>
      <c r="CV872" s="229">
        <f t="shared" si="882"/>
        <v>33</v>
      </c>
      <c r="CW872" s="234">
        <f t="shared" si="883"/>
        <v>4.8487499999999999</v>
      </c>
      <c r="CX872" s="234" cm="1">
        <f t="array" ref="CX872">$BM872 * IF($AH872&lt;=2,
SUMPRODUCT(INDEX($AV$61:$AX$65,,$AI872), INDEX($AY$61:$BE$65,,$AH872), 1 / ($BF$61:$BF$65*CW872 + (1-$BF$61:$BF$65)*CS872), N($AU$61:$AU$65&gt;$AM872)),
SUMPRODUCT(INDEX($AV$46:$AX$55,,$AI872), INDEX($AY$46:$BE$55,,$AH872), 1 / ($BG$46:$BG$55*CW872 + (1-$BG$46:$BG$55)*CS872), N($AU$46:$AU$55&gt;$AM872))
) / 1000</f>
        <v>0</v>
      </c>
      <c r="CY872" s="234" cm="1">
        <f t="array" ref="CY872">$BM872 * IF($AH872&lt;=2,
SUMPRODUCT(INDEX($AV$22:$AX$60,,$AI872), INDEX($AY$22:$BE$60,,$AH872), 1 / ($BF$22:$BF$60*CW872), N($AU$22:$AU$60&gt;$AM872)),
SUMPRODUCT(INDEX($AV$22:$AX$45,,$AI872), INDEX($AY$22:$BE$45,,$AH872), 1 / ($BG$22:$BG$45*CW872), N($AU$22:$AU$45&gt;$AM872))
) / 1000</f>
        <v>0</v>
      </c>
      <c r="CZ872" s="229">
        <f t="shared" si="884"/>
        <v>0</v>
      </c>
      <c r="DA872" s="246"/>
    </row>
    <row r="873" spans="1:105" s="75" customFormat="1" ht="14.25" customHeight="1" x14ac:dyDescent="0.2">
      <c r="A873" s="230" t="b">
        <f t="shared" si="889"/>
        <v>0</v>
      </c>
      <c r="B873" s="253">
        <v>852</v>
      </c>
      <c r="C873" s="266"/>
      <c r="D873" s="266"/>
      <c r="E873" s="254"/>
      <c r="F873" s="255" t="str">
        <f>IF(ISBLANK(E873), "", VLOOKUP(E873, Z!$A$2:$C$4127, 3, FALSE))</f>
        <v/>
      </c>
      <c r="G873" s="256"/>
      <c r="H873" s="256"/>
      <c r="I873" s="256"/>
      <c r="J873" s="257"/>
      <c r="K873" s="258"/>
      <c r="L873" s="267"/>
      <c r="M873" s="268"/>
      <c r="N873" s="259" t="str" cm="1">
        <f t="array" ref="N873">IF($L873&gt;0, INDEX(Clean,1+AK873,$D$1), "")</f>
        <v/>
      </c>
      <c r="O873" s="260"/>
      <c r="P873" s="260"/>
      <c r="Q873" s="261"/>
      <c r="R873" s="264">
        <f t="shared" si="860"/>
        <v>0</v>
      </c>
      <c r="S873" s="259" t="str" cm="1">
        <f t="array" ref="S873">IF($L873&gt;0, INDEX(Clean,1+AL873,$D$1), "")</f>
        <v/>
      </c>
      <c r="T873" s="260"/>
      <c r="U873" s="260"/>
      <c r="V873" s="261"/>
      <c r="W873" s="267"/>
      <c r="X873" s="267"/>
      <c r="Y873" s="257"/>
      <c r="Z873" s="264">
        <f t="shared" si="861"/>
        <v>0</v>
      </c>
      <c r="AA873" s="269"/>
      <c r="AB873" s="266"/>
      <c r="AC873" s="254"/>
      <c r="AD873" s="255" t="str">
        <f>IF(ISBLANK(AC873), "", VLOOKUP(AC873, Z!$A$2:$C$4127, 3, FALSE))</f>
        <v/>
      </c>
      <c r="AE873" s="270"/>
      <c r="AF873" s="265">
        <f t="shared" si="862"/>
        <v>0</v>
      </c>
      <c r="AG873" s="246"/>
      <c r="AH873" s="228">
        <f t="shared" si="885"/>
        <v>1</v>
      </c>
      <c r="AI873" s="228">
        <f t="shared" si="886"/>
        <v>1</v>
      </c>
      <c r="AJ873" s="228">
        <f t="shared" si="887"/>
        <v>0</v>
      </c>
      <c r="AK873" s="228">
        <v>0</v>
      </c>
      <c r="AL873" s="228">
        <v>0</v>
      </c>
      <c r="AM873" s="228">
        <f t="shared" si="863"/>
        <v>-100</v>
      </c>
      <c r="AN873" s="228" cm="1">
        <f t="array" ref="AN873">IF(ISBLANK(G873), 1, IFERROR(MATCH(G873, INDEX(Kat,,1), 0), IFERROR(MATCH(Kat, INDEX(Use,,2), 0), MATCH(Kat, INDEX(Use,,3), 0))))</f>
        <v>1</v>
      </c>
      <c r="AO873" s="246"/>
      <c r="AP873" s="228" cm="1">
        <f t="array" ref="AP873">IF(W873&gt;0, INDEX(Kat, AN873,4), 0)</f>
        <v>0</v>
      </c>
      <c r="AQ873" s="228">
        <f t="shared" si="888"/>
        <v>0</v>
      </c>
      <c r="AR873" s="228" cm="1">
        <f t="array" ref="AR873">IF(X873&gt;0, INDEX(Kat, $AN873, 4+AQ873), 0)</f>
        <v>0</v>
      </c>
      <c r="AS873" s="228" cm="1">
        <f t="array" ref="AS873">IF(X873&gt;0, INDEX(Kat, $AN873, 9+AQ873), 0)</f>
        <v>0</v>
      </c>
      <c r="AT873" s="246"/>
      <c r="AU873" s="262"/>
      <c r="AV873" s="262"/>
      <c r="AW873" s="263"/>
      <c r="AX873" s="263"/>
      <c r="AY873" s="263"/>
      <c r="AZ873" s="263"/>
      <c r="BA873" s="263"/>
      <c r="BB873" s="263"/>
      <c r="BC873" s="263"/>
      <c r="BD873" s="263"/>
      <c r="BE873" s="263"/>
      <c r="BF873" s="263"/>
      <c r="BG873" s="263"/>
      <c r="BH873" s="246"/>
      <c r="BI873" s="228" cm="1">
        <f t="array" ref="BI873">INDEX(Use, $AH873, 4)</f>
        <v>7</v>
      </c>
      <c r="BJ873" s="228">
        <f t="shared" si="864"/>
        <v>32</v>
      </c>
      <c r="BK873" s="228">
        <f t="shared" si="890"/>
        <v>13</v>
      </c>
      <c r="BL873" s="228">
        <f t="shared" si="891"/>
        <v>0</v>
      </c>
      <c r="BM873" s="233" cm="1">
        <f t="array" ref="BM873">L873/IF($M873&gt;0, INDEX($AY$22:$BE$76, $M873+20, $AH873), 1)</f>
        <v>0</v>
      </c>
      <c r="BN873" s="229">
        <f t="shared" si="865"/>
        <v>0</v>
      </c>
      <c r="BO873" s="228">
        <v>35</v>
      </c>
      <c r="BP873" s="229">
        <f t="shared" si="866"/>
        <v>48</v>
      </c>
      <c r="BQ873" s="234">
        <f t="shared" si="867"/>
        <v>3.0748170731707316</v>
      </c>
      <c r="BR873" s="234" cm="1">
        <f t="array" ref="BR873">$BM873 * SUMPRODUCT(INDEX($AV$76:$AX$81,,$AI873),INDEX($AY$76:$BE$81,,$AH873), N($AU$76:$AU$81&gt;$AM873)) / BQ873 / 1000</f>
        <v>0</v>
      </c>
      <c r="BS873" s="231">
        <f t="shared" si="892"/>
        <v>30</v>
      </c>
      <c r="BT873" s="229">
        <f t="shared" si="868"/>
        <v>43</v>
      </c>
      <c r="BU873" s="234">
        <f t="shared" si="869"/>
        <v>3.5018750000000001</v>
      </c>
      <c r="BV873" s="234" cm="1">
        <f t="array" ref="BV873">$BM873 * IF($AH873&lt;=2,
SUMPRODUCT(INDEX($AV$71:$AX$75,,$AI873), INDEX($AY$71:$BE$75,,$AH873), 1 / ($BF$71:$BF$75*BU873 + (1-$BF$71:$BF$75)*BQ873), N($AU$71:$AU$75&gt;$AM873)),
SUMPRODUCT(INDEX($AV$66:$AX$75,,$AI873), INDEX($AY$66:$BE$75,,$AH873), 1 / ($BG$66:$BG$75*BU873 + (1-$BG$66:$BG$75)*BQ873), N($AU$66:$AU$75&gt;$AM873))
) / 1000</f>
        <v>0</v>
      </c>
      <c r="BW873" s="231">
        <f t="shared" si="893"/>
        <v>25</v>
      </c>
      <c r="BX873" s="229">
        <f t="shared" si="870"/>
        <v>38</v>
      </c>
      <c r="BY873" s="234">
        <f t="shared" si="871"/>
        <v>4.0666935483870965</v>
      </c>
      <c r="BZ873" s="234" cm="1">
        <f t="array" ref="BZ873">$BM873 * IF($AH873&lt;=2,
SUMPRODUCT(INDEX($AV$66:$AX$70,,$AI873), INDEX($AY$66:$BE$70,,$AH873), 1 / ($BF$66:$BF$70*BY873 + (1-$BF$66:$BF$70)*BU873), N($AU$66:$AU$70&gt;$AM873)),
SUMPRODUCT(INDEX($AV$56:$AX$65,,$AI873), INDEX($AY$56:$BE$65,,$AH873), 1 / ($BG$56:$BG$65*BY873 + (1-$BG$56:$BG$65)*BU873), N($AU$56:$AU$65&gt;$AM873))
) / 1000</f>
        <v>0</v>
      </c>
      <c r="CA873" s="231">
        <f t="shared" si="894"/>
        <v>20</v>
      </c>
      <c r="CB873" s="229">
        <f t="shared" si="872"/>
        <v>33</v>
      </c>
      <c r="CC873" s="234">
        <f t="shared" si="873"/>
        <v>4.8487499999999999</v>
      </c>
      <c r="CD873" s="234" cm="1">
        <f t="array" ref="CD873">$BM873 * IF($AH873&lt;=2,
SUMPRODUCT(INDEX($AV$61:$AX$65,,$AI873), INDEX($AY$61:$BE$65,,$AH873), 1 / ($BF$61:$BF$65*CC873 + (1-$BF$61:$BF$65)*BY873), N($AU$61:$AU$65&gt;$AM873)),
SUMPRODUCT(INDEX($AV$46:$AX$55,,$AI873), INDEX($AY$46:$BE$55,,$AH873), 1 / ($BG$46:$BG$55*CC873 + (1-$BG$46:$BG$55)*BY873), N($AU$46:$AU$55&gt;$AM873))
) / 1000</f>
        <v>0</v>
      </c>
      <c r="CE873" s="234" cm="1">
        <f t="array" ref="CE873">$BM873 * IF($AH873&lt;=2,
SUMPRODUCT(INDEX($AV$22:$AX$60,,$AI873), INDEX($AY$22:$BE$60,,$AH873), 1 / ($BF$22:$BF$60*CC873), N($AU$22:$AU$60&gt;$AM873)),
SUMPRODUCT(INDEX($AV$22:$AX$45,,$AI873), INDEX($AY$22:$BE$45,,$AH873), 1 / ($BG$22:$BG$45*CC873), N($AU$22:$AU$45&gt;$AM873))
) / 1000</f>
        <v>0</v>
      </c>
      <c r="CF873" s="229">
        <f t="shared" si="874"/>
        <v>0</v>
      </c>
      <c r="CG873" s="246"/>
      <c r="CH873" s="229">
        <f t="shared" si="875"/>
        <v>0</v>
      </c>
      <c r="CI873" s="228">
        <v>35</v>
      </c>
      <c r="CJ873" s="229">
        <f t="shared" si="876"/>
        <v>48</v>
      </c>
      <c r="CK873" s="234">
        <f t="shared" si="877"/>
        <v>3.0748170731707316</v>
      </c>
      <c r="CL873" s="234" cm="1">
        <f t="array" ref="CL873">$BM873 * SUMPRODUCT(INDEX($AV$76:$AX$81,,$AI873),INDEX($AY$76:$BE$81,,$AH873), N($AU$76:$AU$81&gt;$AM873)) / CK873 / 1000</f>
        <v>0</v>
      </c>
      <c r="CM873" s="231">
        <f t="shared" si="895"/>
        <v>30</v>
      </c>
      <c r="CN873" s="229">
        <f t="shared" si="878"/>
        <v>43</v>
      </c>
      <c r="CO873" s="234">
        <f t="shared" si="879"/>
        <v>3.5018750000000001</v>
      </c>
      <c r="CP873" s="234" cm="1">
        <f t="array" ref="CP873">$BM873 * IF($AH873&lt;=2,
SUMPRODUCT(INDEX($AV$71:$AX$75,,$AI873), INDEX($AY$71:$BE$75,,$AH873), 1 / ($BF$71:$BF$75*CO873 + (1-$BF$71:$BF$75)*CK873), N($AU$71:$AU$75&gt;$AM873)),
SUMPRODUCT(INDEX($AV$66:$AX$75,,$AI873), INDEX($AY$66:$BE$75,,$AH873), 1 / ($BG$66:$BG$75*CO873 + (1-$BG$66:$BG$75)*CK873), N($AU$66:$AU$75&gt;$AM873))
) / 1000</f>
        <v>0</v>
      </c>
      <c r="CQ873" s="231">
        <f t="shared" si="896"/>
        <v>25</v>
      </c>
      <c r="CR873" s="229">
        <f t="shared" si="880"/>
        <v>38</v>
      </c>
      <c r="CS873" s="234">
        <f t="shared" si="881"/>
        <v>4.0666935483870965</v>
      </c>
      <c r="CT873" s="234" cm="1">
        <f t="array" ref="CT873">$BM873 * IF($AH873&lt;=2,
SUMPRODUCT(INDEX($AV$66:$AX$70,,$AI873), INDEX($AY$66:$BE$70,,$AH873), 1 / ($BF$66:$BF$70*CS873 + (1-$BF$66:$BF$70)*CO873), N($AU$66:$AU$70&gt;$AM873)),
SUMPRODUCT(INDEX($AV$56:$AX$65,,$AI873), INDEX($AY$56:$BE$65,,$AH873), 1 / ($BG$56:$BG$65*CS873 + (1-$BG$56:$BG$65)*CO873), N($AU$56:$AU$65&gt;$AM873))
) / 1000</f>
        <v>0</v>
      </c>
      <c r="CU873" s="231">
        <f t="shared" si="897"/>
        <v>20</v>
      </c>
      <c r="CV873" s="229">
        <f t="shared" si="882"/>
        <v>33</v>
      </c>
      <c r="CW873" s="234">
        <f t="shared" si="883"/>
        <v>4.8487499999999999</v>
      </c>
      <c r="CX873" s="234" cm="1">
        <f t="array" ref="CX873">$BM873 * IF($AH873&lt;=2,
SUMPRODUCT(INDEX($AV$61:$AX$65,,$AI873), INDEX($AY$61:$BE$65,,$AH873), 1 / ($BF$61:$BF$65*CW873 + (1-$BF$61:$BF$65)*CS873), N($AU$61:$AU$65&gt;$AM873)),
SUMPRODUCT(INDEX($AV$46:$AX$55,,$AI873), INDEX($AY$46:$BE$55,,$AH873), 1 / ($BG$46:$BG$55*CW873 + (1-$BG$46:$BG$55)*CS873), N($AU$46:$AU$55&gt;$AM873))
) / 1000</f>
        <v>0</v>
      </c>
      <c r="CY873" s="234" cm="1">
        <f t="array" ref="CY873">$BM873 * IF($AH873&lt;=2,
SUMPRODUCT(INDEX($AV$22:$AX$60,,$AI873), INDEX($AY$22:$BE$60,,$AH873), 1 / ($BF$22:$BF$60*CW873), N($AU$22:$AU$60&gt;$AM873)),
SUMPRODUCT(INDEX($AV$22:$AX$45,,$AI873), INDEX($AY$22:$BE$45,,$AH873), 1 / ($BG$22:$BG$45*CW873), N($AU$22:$AU$45&gt;$AM873))
) / 1000</f>
        <v>0</v>
      </c>
      <c r="CZ873" s="229">
        <f t="shared" si="884"/>
        <v>0</v>
      </c>
      <c r="DA873" s="246"/>
    </row>
    <row r="874" spans="1:105" s="75" customFormat="1" ht="14.25" customHeight="1" x14ac:dyDescent="0.2">
      <c r="A874" s="230" t="b">
        <f t="shared" si="889"/>
        <v>0</v>
      </c>
      <c r="B874" s="253">
        <v>853</v>
      </c>
      <c r="C874" s="266"/>
      <c r="D874" s="266"/>
      <c r="E874" s="254"/>
      <c r="F874" s="255" t="str">
        <f>IF(ISBLANK(E874), "", VLOOKUP(E874, Z!$A$2:$C$4127, 3, FALSE))</f>
        <v/>
      </c>
      <c r="G874" s="256"/>
      <c r="H874" s="256"/>
      <c r="I874" s="256"/>
      <c r="J874" s="257"/>
      <c r="K874" s="258"/>
      <c r="L874" s="267"/>
      <c r="M874" s="268"/>
      <c r="N874" s="259" t="str" cm="1">
        <f t="array" ref="N874">IF($L874&gt;0, INDEX(Clean,1+AK874,$D$1), "")</f>
        <v/>
      </c>
      <c r="O874" s="260"/>
      <c r="P874" s="260"/>
      <c r="Q874" s="261"/>
      <c r="R874" s="264">
        <f t="shared" si="860"/>
        <v>0</v>
      </c>
      <c r="S874" s="259" t="str" cm="1">
        <f t="array" ref="S874">IF($L874&gt;0, INDEX(Clean,1+AL874,$D$1), "")</f>
        <v/>
      </c>
      <c r="T874" s="260"/>
      <c r="U874" s="260"/>
      <c r="V874" s="261"/>
      <c r="W874" s="267"/>
      <c r="X874" s="267"/>
      <c r="Y874" s="257"/>
      <c r="Z874" s="264">
        <f t="shared" si="861"/>
        <v>0</v>
      </c>
      <c r="AA874" s="269"/>
      <c r="AB874" s="266"/>
      <c r="AC874" s="254"/>
      <c r="AD874" s="255" t="str">
        <f>IF(ISBLANK(AC874), "", VLOOKUP(AC874, Z!$A$2:$C$4127, 3, FALSE))</f>
        <v/>
      </c>
      <c r="AE874" s="270"/>
      <c r="AF874" s="265">
        <f t="shared" si="862"/>
        <v>0</v>
      </c>
      <c r="AG874" s="246"/>
      <c r="AH874" s="228">
        <f t="shared" si="885"/>
        <v>1</v>
      </c>
      <c r="AI874" s="228">
        <f t="shared" si="886"/>
        <v>1</v>
      </c>
      <c r="AJ874" s="228">
        <f t="shared" si="887"/>
        <v>0</v>
      </c>
      <c r="AK874" s="228">
        <v>0</v>
      </c>
      <c r="AL874" s="228">
        <v>0</v>
      </c>
      <c r="AM874" s="228">
        <f t="shared" si="863"/>
        <v>-100</v>
      </c>
      <c r="AN874" s="228" cm="1">
        <f t="array" ref="AN874">IF(ISBLANK(G874), 1, IFERROR(MATCH(G874, INDEX(Kat,,1), 0), IFERROR(MATCH(Kat, INDEX(Use,,2), 0), MATCH(Kat, INDEX(Use,,3), 0))))</f>
        <v>1</v>
      </c>
      <c r="AO874" s="246"/>
      <c r="AP874" s="228" cm="1">
        <f t="array" ref="AP874">IF(W874&gt;0, INDEX(Kat, AN874,4), 0)</f>
        <v>0</v>
      </c>
      <c r="AQ874" s="228">
        <f t="shared" si="888"/>
        <v>0</v>
      </c>
      <c r="AR874" s="228" cm="1">
        <f t="array" ref="AR874">IF(X874&gt;0, INDEX(Kat, $AN874, 4+AQ874), 0)</f>
        <v>0</v>
      </c>
      <c r="AS874" s="228" cm="1">
        <f t="array" ref="AS874">IF(X874&gt;0, INDEX(Kat, $AN874, 9+AQ874), 0)</f>
        <v>0</v>
      </c>
      <c r="AT874" s="246"/>
      <c r="AU874" s="262"/>
      <c r="AV874" s="262"/>
      <c r="AW874" s="263"/>
      <c r="AX874" s="263"/>
      <c r="AY874" s="263"/>
      <c r="AZ874" s="263"/>
      <c r="BA874" s="263"/>
      <c r="BB874" s="263"/>
      <c r="BC874" s="263"/>
      <c r="BD874" s="263"/>
      <c r="BE874" s="263"/>
      <c r="BF874" s="263"/>
      <c r="BG874" s="263"/>
      <c r="BH874" s="246"/>
      <c r="BI874" s="228" cm="1">
        <f t="array" ref="BI874">INDEX(Use, $AH874, 4)</f>
        <v>7</v>
      </c>
      <c r="BJ874" s="228">
        <f t="shared" si="864"/>
        <v>32</v>
      </c>
      <c r="BK874" s="228">
        <f t="shared" si="890"/>
        <v>13</v>
      </c>
      <c r="BL874" s="228">
        <f t="shared" si="891"/>
        <v>0</v>
      </c>
      <c r="BM874" s="233" cm="1">
        <f t="array" ref="BM874">L874/IF($M874&gt;0, INDEX($AY$22:$BE$76, $M874+20, $AH874), 1)</f>
        <v>0</v>
      </c>
      <c r="BN874" s="229">
        <f t="shared" si="865"/>
        <v>0</v>
      </c>
      <c r="BO874" s="228">
        <v>35</v>
      </c>
      <c r="BP874" s="229">
        <f t="shared" si="866"/>
        <v>48</v>
      </c>
      <c r="BQ874" s="234">
        <f t="shared" si="867"/>
        <v>3.0748170731707316</v>
      </c>
      <c r="BR874" s="234" cm="1">
        <f t="array" ref="BR874">$BM874 * SUMPRODUCT(INDEX($AV$76:$AX$81,,$AI874),INDEX($AY$76:$BE$81,,$AH874), N($AU$76:$AU$81&gt;$AM874)) / BQ874 / 1000</f>
        <v>0</v>
      </c>
      <c r="BS874" s="231">
        <f t="shared" si="892"/>
        <v>30</v>
      </c>
      <c r="BT874" s="229">
        <f t="shared" si="868"/>
        <v>43</v>
      </c>
      <c r="BU874" s="234">
        <f t="shared" si="869"/>
        <v>3.5018750000000001</v>
      </c>
      <c r="BV874" s="234" cm="1">
        <f t="array" ref="BV874">$BM874 * IF($AH874&lt;=2,
SUMPRODUCT(INDEX($AV$71:$AX$75,,$AI874), INDEX($AY$71:$BE$75,,$AH874), 1 / ($BF$71:$BF$75*BU874 + (1-$BF$71:$BF$75)*BQ874), N($AU$71:$AU$75&gt;$AM874)),
SUMPRODUCT(INDEX($AV$66:$AX$75,,$AI874), INDEX($AY$66:$BE$75,,$AH874), 1 / ($BG$66:$BG$75*BU874 + (1-$BG$66:$BG$75)*BQ874), N($AU$66:$AU$75&gt;$AM874))
) / 1000</f>
        <v>0</v>
      </c>
      <c r="BW874" s="231">
        <f t="shared" si="893"/>
        <v>25</v>
      </c>
      <c r="BX874" s="229">
        <f t="shared" si="870"/>
        <v>38</v>
      </c>
      <c r="BY874" s="234">
        <f t="shared" si="871"/>
        <v>4.0666935483870965</v>
      </c>
      <c r="BZ874" s="234" cm="1">
        <f t="array" ref="BZ874">$BM874 * IF($AH874&lt;=2,
SUMPRODUCT(INDEX($AV$66:$AX$70,,$AI874), INDEX($AY$66:$BE$70,,$AH874), 1 / ($BF$66:$BF$70*BY874 + (1-$BF$66:$BF$70)*BU874), N($AU$66:$AU$70&gt;$AM874)),
SUMPRODUCT(INDEX($AV$56:$AX$65,,$AI874), INDEX($AY$56:$BE$65,,$AH874), 1 / ($BG$56:$BG$65*BY874 + (1-$BG$56:$BG$65)*BU874), N($AU$56:$AU$65&gt;$AM874))
) / 1000</f>
        <v>0</v>
      </c>
      <c r="CA874" s="231">
        <f t="shared" si="894"/>
        <v>20</v>
      </c>
      <c r="CB874" s="229">
        <f t="shared" si="872"/>
        <v>33</v>
      </c>
      <c r="CC874" s="234">
        <f t="shared" si="873"/>
        <v>4.8487499999999999</v>
      </c>
      <c r="CD874" s="234" cm="1">
        <f t="array" ref="CD874">$BM874 * IF($AH874&lt;=2,
SUMPRODUCT(INDEX($AV$61:$AX$65,,$AI874), INDEX($AY$61:$BE$65,,$AH874), 1 / ($BF$61:$BF$65*CC874 + (1-$BF$61:$BF$65)*BY874), N($AU$61:$AU$65&gt;$AM874)),
SUMPRODUCT(INDEX($AV$46:$AX$55,,$AI874), INDEX($AY$46:$BE$55,,$AH874), 1 / ($BG$46:$BG$55*CC874 + (1-$BG$46:$BG$55)*BY874), N($AU$46:$AU$55&gt;$AM874))
) / 1000</f>
        <v>0</v>
      </c>
      <c r="CE874" s="234" cm="1">
        <f t="array" ref="CE874">$BM874 * IF($AH874&lt;=2,
SUMPRODUCT(INDEX($AV$22:$AX$60,,$AI874), INDEX($AY$22:$BE$60,,$AH874), 1 / ($BF$22:$BF$60*CC874), N($AU$22:$AU$60&gt;$AM874)),
SUMPRODUCT(INDEX($AV$22:$AX$45,,$AI874), INDEX($AY$22:$BE$45,,$AH874), 1 / ($BG$22:$BG$45*CC874), N($AU$22:$AU$45&gt;$AM874))
) / 1000</f>
        <v>0</v>
      </c>
      <c r="CF874" s="229">
        <f t="shared" si="874"/>
        <v>0</v>
      </c>
      <c r="CG874" s="246"/>
      <c r="CH874" s="229">
        <f t="shared" si="875"/>
        <v>0</v>
      </c>
      <c r="CI874" s="228">
        <v>35</v>
      </c>
      <c r="CJ874" s="229">
        <f t="shared" si="876"/>
        <v>48</v>
      </c>
      <c r="CK874" s="234">
        <f t="shared" si="877"/>
        <v>3.0748170731707316</v>
      </c>
      <c r="CL874" s="234" cm="1">
        <f t="array" ref="CL874">$BM874 * SUMPRODUCT(INDEX($AV$76:$AX$81,,$AI874),INDEX($AY$76:$BE$81,,$AH874), N($AU$76:$AU$81&gt;$AM874)) / CK874 / 1000</f>
        <v>0</v>
      </c>
      <c r="CM874" s="231">
        <f t="shared" si="895"/>
        <v>30</v>
      </c>
      <c r="CN874" s="229">
        <f t="shared" si="878"/>
        <v>43</v>
      </c>
      <c r="CO874" s="234">
        <f t="shared" si="879"/>
        <v>3.5018750000000001</v>
      </c>
      <c r="CP874" s="234" cm="1">
        <f t="array" ref="CP874">$BM874 * IF($AH874&lt;=2,
SUMPRODUCT(INDEX($AV$71:$AX$75,,$AI874), INDEX($AY$71:$BE$75,,$AH874), 1 / ($BF$71:$BF$75*CO874 + (1-$BF$71:$BF$75)*CK874), N($AU$71:$AU$75&gt;$AM874)),
SUMPRODUCT(INDEX($AV$66:$AX$75,,$AI874), INDEX($AY$66:$BE$75,,$AH874), 1 / ($BG$66:$BG$75*CO874 + (1-$BG$66:$BG$75)*CK874), N($AU$66:$AU$75&gt;$AM874))
) / 1000</f>
        <v>0</v>
      </c>
      <c r="CQ874" s="231">
        <f t="shared" si="896"/>
        <v>25</v>
      </c>
      <c r="CR874" s="229">
        <f t="shared" si="880"/>
        <v>38</v>
      </c>
      <c r="CS874" s="234">
        <f t="shared" si="881"/>
        <v>4.0666935483870965</v>
      </c>
      <c r="CT874" s="234" cm="1">
        <f t="array" ref="CT874">$BM874 * IF($AH874&lt;=2,
SUMPRODUCT(INDEX($AV$66:$AX$70,,$AI874), INDEX($AY$66:$BE$70,,$AH874), 1 / ($BF$66:$BF$70*CS874 + (1-$BF$66:$BF$70)*CO874), N($AU$66:$AU$70&gt;$AM874)),
SUMPRODUCT(INDEX($AV$56:$AX$65,,$AI874), INDEX($AY$56:$BE$65,,$AH874), 1 / ($BG$56:$BG$65*CS874 + (1-$BG$56:$BG$65)*CO874), N($AU$56:$AU$65&gt;$AM874))
) / 1000</f>
        <v>0</v>
      </c>
      <c r="CU874" s="231">
        <f t="shared" si="897"/>
        <v>20</v>
      </c>
      <c r="CV874" s="229">
        <f t="shared" si="882"/>
        <v>33</v>
      </c>
      <c r="CW874" s="234">
        <f t="shared" si="883"/>
        <v>4.8487499999999999</v>
      </c>
      <c r="CX874" s="234" cm="1">
        <f t="array" ref="CX874">$BM874 * IF($AH874&lt;=2,
SUMPRODUCT(INDEX($AV$61:$AX$65,,$AI874), INDEX($AY$61:$BE$65,,$AH874), 1 / ($BF$61:$BF$65*CW874 + (1-$BF$61:$BF$65)*CS874), N($AU$61:$AU$65&gt;$AM874)),
SUMPRODUCT(INDEX($AV$46:$AX$55,,$AI874), INDEX($AY$46:$BE$55,,$AH874), 1 / ($BG$46:$BG$55*CW874 + (1-$BG$46:$BG$55)*CS874), N($AU$46:$AU$55&gt;$AM874))
) / 1000</f>
        <v>0</v>
      </c>
      <c r="CY874" s="234" cm="1">
        <f t="array" ref="CY874">$BM874 * IF($AH874&lt;=2,
SUMPRODUCT(INDEX($AV$22:$AX$60,,$AI874), INDEX($AY$22:$BE$60,,$AH874), 1 / ($BF$22:$BF$60*CW874), N($AU$22:$AU$60&gt;$AM874)),
SUMPRODUCT(INDEX($AV$22:$AX$45,,$AI874), INDEX($AY$22:$BE$45,,$AH874), 1 / ($BG$22:$BG$45*CW874), N($AU$22:$AU$45&gt;$AM874))
) / 1000</f>
        <v>0</v>
      </c>
      <c r="CZ874" s="229">
        <f t="shared" si="884"/>
        <v>0</v>
      </c>
      <c r="DA874" s="246"/>
    </row>
    <row r="875" spans="1:105" s="75" customFormat="1" ht="14.25" customHeight="1" x14ac:dyDescent="0.2">
      <c r="A875" s="230" t="b">
        <f t="shared" si="889"/>
        <v>0</v>
      </c>
      <c r="B875" s="253">
        <v>854</v>
      </c>
      <c r="C875" s="266"/>
      <c r="D875" s="266"/>
      <c r="E875" s="254"/>
      <c r="F875" s="255" t="str">
        <f>IF(ISBLANK(E875), "", VLOOKUP(E875, Z!$A$2:$C$4127, 3, FALSE))</f>
        <v/>
      </c>
      <c r="G875" s="256"/>
      <c r="H875" s="256"/>
      <c r="I875" s="256"/>
      <c r="J875" s="257"/>
      <c r="K875" s="258"/>
      <c r="L875" s="267"/>
      <c r="M875" s="268"/>
      <c r="N875" s="259" t="str" cm="1">
        <f t="array" ref="N875">IF($L875&gt;0, INDEX(Clean,1+AK875,$D$1), "")</f>
        <v/>
      </c>
      <c r="O875" s="260"/>
      <c r="P875" s="260"/>
      <c r="Q875" s="261"/>
      <c r="R875" s="264">
        <f t="shared" si="860"/>
        <v>0</v>
      </c>
      <c r="S875" s="259" t="str" cm="1">
        <f t="array" ref="S875">IF($L875&gt;0, INDEX(Clean,1+AL875,$D$1), "")</f>
        <v/>
      </c>
      <c r="T875" s="260"/>
      <c r="U875" s="260"/>
      <c r="V875" s="261"/>
      <c r="W875" s="267"/>
      <c r="X875" s="267"/>
      <c r="Y875" s="257"/>
      <c r="Z875" s="264">
        <f t="shared" si="861"/>
        <v>0</v>
      </c>
      <c r="AA875" s="269"/>
      <c r="AB875" s="266"/>
      <c r="AC875" s="254"/>
      <c r="AD875" s="255" t="str">
        <f>IF(ISBLANK(AC875), "", VLOOKUP(AC875, Z!$A$2:$C$4127, 3, FALSE))</f>
        <v/>
      </c>
      <c r="AE875" s="270"/>
      <c r="AF875" s="265">
        <f t="shared" si="862"/>
        <v>0</v>
      </c>
      <c r="AG875" s="246"/>
      <c r="AH875" s="228">
        <f t="shared" si="885"/>
        <v>1</v>
      </c>
      <c r="AI875" s="228">
        <f t="shared" si="886"/>
        <v>1</v>
      </c>
      <c r="AJ875" s="228">
        <f t="shared" si="887"/>
        <v>0</v>
      </c>
      <c r="AK875" s="228">
        <v>0</v>
      </c>
      <c r="AL875" s="228">
        <v>0</v>
      </c>
      <c r="AM875" s="228">
        <f t="shared" si="863"/>
        <v>-100</v>
      </c>
      <c r="AN875" s="228" cm="1">
        <f t="array" ref="AN875">IF(ISBLANK(G875), 1, IFERROR(MATCH(G875, INDEX(Kat,,1), 0), IFERROR(MATCH(Kat, INDEX(Use,,2), 0), MATCH(Kat, INDEX(Use,,3), 0))))</f>
        <v>1</v>
      </c>
      <c r="AO875" s="246"/>
      <c r="AP875" s="228" cm="1">
        <f t="array" ref="AP875">IF(W875&gt;0, INDEX(Kat, AN875,4), 0)</f>
        <v>0</v>
      </c>
      <c r="AQ875" s="228">
        <f t="shared" si="888"/>
        <v>0</v>
      </c>
      <c r="AR875" s="228" cm="1">
        <f t="array" ref="AR875">IF(X875&gt;0, INDEX(Kat, $AN875, 4+AQ875), 0)</f>
        <v>0</v>
      </c>
      <c r="AS875" s="228" cm="1">
        <f t="array" ref="AS875">IF(X875&gt;0, INDEX(Kat, $AN875, 9+AQ875), 0)</f>
        <v>0</v>
      </c>
      <c r="AT875" s="246"/>
      <c r="AU875" s="262"/>
      <c r="AV875" s="262"/>
      <c r="AW875" s="263"/>
      <c r="AX875" s="263"/>
      <c r="AY875" s="263"/>
      <c r="AZ875" s="263"/>
      <c r="BA875" s="263"/>
      <c r="BB875" s="263"/>
      <c r="BC875" s="263"/>
      <c r="BD875" s="263"/>
      <c r="BE875" s="263"/>
      <c r="BF875" s="263"/>
      <c r="BG875" s="263"/>
      <c r="BH875" s="246"/>
      <c r="BI875" s="228" cm="1">
        <f t="array" ref="BI875">INDEX(Use, $AH875, 4)</f>
        <v>7</v>
      </c>
      <c r="BJ875" s="228">
        <f t="shared" si="864"/>
        <v>32</v>
      </c>
      <c r="BK875" s="228">
        <f t="shared" si="890"/>
        <v>13</v>
      </c>
      <c r="BL875" s="228">
        <f t="shared" si="891"/>
        <v>0</v>
      </c>
      <c r="BM875" s="233" cm="1">
        <f t="array" ref="BM875">L875/IF($M875&gt;0, INDEX($AY$22:$BE$76, $M875+20, $AH875), 1)</f>
        <v>0</v>
      </c>
      <c r="BN875" s="229">
        <f t="shared" si="865"/>
        <v>0</v>
      </c>
      <c r="BO875" s="228">
        <v>35</v>
      </c>
      <c r="BP875" s="229">
        <f t="shared" si="866"/>
        <v>48</v>
      </c>
      <c r="BQ875" s="234">
        <f t="shared" si="867"/>
        <v>3.0748170731707316</v>
      </c>
      <c r="BR875" s="234" cm="1">
        <f t="array" ref="BR875">$BM875 * SUMPRODUCT(INDEX($AV$76:$AX$81,,$AI875),INDEX($AY$76:$BE$81,,$AH875), N($AU$76:$AU$81&gt;$AM875)) / BQ875 / 1000</f>
        <v>0</v>
      </c>
      <c r="BS875" s="231">
        <f t="shared" si="892"/>
        <v>30</v>
      </c>
      <c r="BT875" s="229">
        <f t="shared" si="868"/>
        <v>43</v>
      </c>
      <c r="BU875" s="234">
        <f t="shared" si="869"/>
        <v>3.5018750000000001</v>
      </c>
      <c r="BV875" s="234" cm="1">
        <f t="array" ref="BV875">$BM875 * IF($AH875&lt;=2,
SUMPRODUCT(INDEX($AV$71:$AX$75,,$AI875), INDEX($AY$71:$BE$75,,$AH875), 1 / ($BF$71:$BF$75*BU875 + (1-$BF$71:$BF$75)*BQ875), N($AU$71:$AU$75&gt;$AM875)),
SUMPRODUCT(INDEX($AV$66:$AX$75,,$AI875), INDEX($AY$66:$BE$75,,$AH875), 1 / ($BG$66:$BG$75*BU875 + (1-$BG$66:$BG$75)*BQ875), N($AU$66:$AU$75&gt;$AM875))
) / 1000</f>
        <v>0</v>
      </c>
      <c r="BW875" s="231">
        <f t="shared" si="893"/>
        <v>25</v>
      </c>
      <c r="BX875" s="229">
        <f t="shared" si="870"/>
        <v>38</v>
      </c>
      <c r="BY875" s="234">
        <f t="shared" si="871"/>
        <v>4.0666935483870965</v>
      </c>
      <c r="BZ875" s="234" cm="1">
        <f t="array" ref="BZ875">$BM875 * IF($AH875&lt;=2,
SUMPRODUCT(INDEX($AV$66:$AX$70,,$AI875), INDEX($AY$66:$BE$70,,$AH875), 1 / ($BF$66:$BF$70*BY875 + (1-$BF$66:$BF$70)*BU875), N($AU$66:$AU$70&gt;$AM875)),
SUMPRODUCT(INDEX($AV$56:$AX$65,,$AI875), INDEX($AY$56:$BE$65,,$AH875), 1 / ($BG$56:$BG$65*BY875 + (1-$BG$56:$BG$65)*BU875), N($AU$56:$AU$65&gt;$AM875))
) / 1000</f>
        <v>0</v>
      </c>
      <c r="CA875" s="231">
        <f t="shared" si="894"/>
        <v>20</v>
      </c>
      <c r="CB875" s="229">
        <f t="shared" si="872"/>
        <v>33</v>
      </c>
      <c r="CC875" s="234">
        <f t="shared" si="873"/>
        <v>4.8487499999999999</v>
      </c>
      <c r="CD875" s="234" cm="1">
        <f t="array" ref="CD875">$BM875 * IF($AH875&lt;=2,
SUMPRODUCT(INDEX($AV$61:$AX$65,,$AI875), INDEX($AY$61:$BE$65,,$AH875), 1 / ($BF$61:$BF$65*CC875 + (1-$BF$61:$BF$65)*BY875), N($AU$61:$AU$65&gt;$AM875)),
SUMPRODUCT(INDEX($AV$46:$AX$55,,$AI875), INDEX($AY$46:$BE$55,,$AH875), 1 / ($BG$46:$BG$55*CC875 + (1-$BG$46:$BG$55)*BY875), N($AU$46:$AU$55&gt;$AM875))
) / 1000</f>
        <v>0</v>
      </c>
      <c r="CE875" s="234" cm="1">
        <f t="array" ref="CE875">$BM875 * IF($AH875&lt;=2,
SUMPRODUCT(INDEX($AV$22:$AX$60,,$AI875), INDEX($AY$22:$BE$60,,$AH875), 1 / ($BF$22:$BF$60*CC875), N($AU$22:$AU$60&gt;$AM875)),
SUMPRODUCT(INDEX($AV$22:$AX$45,,$AI875), INDEX($AY$22:$BE$45,,$AH875), 1 / ($BG$22:$BG$45*CC875), N($AU$22:$AU$45&gt;$AM875))
) / 1000</f>
        <v>0</v>
      </c>
      <c r="CF875" s="229">
        <f t="shared" si="874"/>
        <v>0</v>
      </c>
      <c r="CG875" s="246"/>
      <c r="CH875" s="229">
        <f t="shared" si="875"/>
        <v>0</v>
      </c>
      <c r="CI875" s="228">
        <v>35</v>
      </c>
      <c r="CJ875" s="229">
        <f t="shared" si="876"/>
        <v>48</v>
      </c>
      <c r="CK875" s="234">
        <f t="shared" si="877"/>
        <v>3.0748170731707316</v>
      </c>
      <c r="CL875" s="234" cm="1">
        <f t="array" ref="CL875">$BM875 * SUMPRODUCT(INDEX($AV$76:$AX$81,,$AI875),INDEX($AY$76:$BE$81,,$AH875), N($AU$76:$AU$81&gt;$AM875)) / CK875 / 1000</f>
        <v>0</v>
      </c>
      <c r="CM875" s="231">
        <f t="shared" si="895"/>
        <v>30</v>
      </c>
      <c r="CN875" s="229">
        <f t="shared" si="878"/>
        <v>43</v>
      </c>
      <c r="CO875" s="234">
        <f t="shared" si="879"/>
        <v>3.5018750000000001</v>
      </c>
      <c r="CP875" s="234" cm="1">
        <f t="array" ref="CP875">$BM875 * IF($AH875&lt;=2,
SUMPRODUCT(INDEX($AV$71:$AX$75,,$AI875), INDEX($AY$71:$BE$75,,$AH875), 1 / ($BF$71:$BF$75*CO875 + (1-$BF$71:$BF$75)*CK875), N($AU$71:$AU$75&gt;$AM875)),
SUMPRODUCT(INDEX($AV$66:$AX$75,,$AI875), INDEX($AY$66:$BE$75,,$AH875), 1 / ($BG$66:$BG$75*CO875 + (1-$BG$66:$BG$75)*CK875), N($AU$66:$AU$75&gt;$AM875))
) / 1000</f>
        <v>0</v>
      </c>
      <c r="CQ875" s="231">
        <f t="shared" si="896"/>
        <v>25</v>
      </c>
      <c r="CR875" s="229">
        <f t="shared" si="880"/>
        <v>38</v>
      </c>
      <c r="CS875" s="234">
        <f t="shared" si="881"/>
        <v>4.0666935483870965</v>
      </c>
      <c r="CT875" s="234" cm="1">
        <f t="array" ref="CT875">$BM875 * IF($AH875&lt;=2,
SUMPRODUCT(INDEX($AV$66:$AX$70,,$AI875), INDEX($AY$66:$BE$70,,$AH875), 1 / ($BF$66:$BF$70*CS875 + (1-$BF$66:$BF$70)*CO875), N($AU$66:$AU$70&gt;$AM875)),
SUMPRODUCT(INDEX($AV$56:$AX$65,,$AI875), INDEX($AY$56:$BE$65,,$AH875), 1 / ($BG$56:$BG$65*CS875 + (1-$BG$56:$BG$65)*CO875), N($AU$56:$AU$65&gt;$AM875))
) / 1000</f>
        <v>0</v>
      </c>
      <c r="CU875" s="231">
        <f t="shared" si="897"/>
        <v>20</v>
      </c>
      <c r="CV875" s="229">
        <f t="shared" si="882"/>
        <v>33</v>
      </c>
      <c r="CW875" s="234">
        <f t="shared" si="883"/>
        <v>4.8487499999999999</v>
      </c>
      <c r="CX875" s="234" cm="1">
        <f t="array" ref="CX875">$BM875 * IF($AH875&lt;=2,
SUMPRODUCT(INDEX($AV$61:$AX$65,,$AI875), INDEX($AY$61:$BE$65,,$AH875), 1 / ($BF$61:$BF$65*CW875 + (1-$BF$61:$BF$65)*CS875), N($AU$61:$AU$65&gt;$AM875)),
SUMPRODUCT(INDEX($AV$46:$AX$55,,$AI875), INDEX($AY$46:$BE$55,,$AH875), 1 / ($BG$46:$BG$55*CW875 + (1-$BG$46:$BG$55)*CS875), N($AU$46:$AU$55&gt;$AM875))
) / 1000</f>
        <v>0</v>
      </c>
      <c r="CY875" s="234" cm="1">
        <f t="array" ref="CY875">$BM875 * IF($AH875&lt;=2,
SUMPRODUCT(INDEX($AV$22:$AX$60,,$AI875), INDEX($AY$22:$BE$60,,$AH875), 1 / ($BF$22:$BF$60*CW875), N($AU$22:$AU$60&gt;$AM875)),
SUMPRODUCT(INDEX($AV$22:$AX$45,,$AI875), INDEX($AY$22:$BE$45,,$AH875), 1 / ($BG$22:$BG$45*CW875), N($AU$22:$AU$45&gt;$AM875))
) / 1000</f>
        <v>0</v>
      </c>
      <c r="CZ875" s="229">
        <f t="shared" si="884"/>
        <v>0</v>
      </c>
      <c r="DA875" s="246"/>
    </row>
    <row r="876" spans="1:105" s="75" customFormat="1" ht="14.25" customHeight="1" x14ac:dyDescent="0.2">
      <c r="A876" s="230" t="b">
        <f t="shared" si="889"/>
        <v>0</v>
      </c>
      <c r="B876" s="253">
        <v>855</v>
      </c>
      <c r="C876" s="266"/>
      <c r="D876" s="266"/>
      <c r="E876" s="254"/>
      <c r="F876" s="255" t="str">
        <f>IF(ISBLANK(E876), "", VLOOKUP(E876, Z!$A$2:$C$4127, 3, FALSE))</f>
        <v/>
      </c>
      <c r="G876" s="256"/>
      <c r="H876" s="256"/>
      <c r="I876" s="256"/>
      <c r="J876" s="257"/>
      <c r="K876" s="258"/>
      <c r="L876" s="267"/>
      <c r="M876" s="268"/>
      <c r="N876" s="259" t="str" cm="1">
        <f t="array" ref="N876">IF($L876&gt;0, INDEX(Clean,1+AK876,$D$1), "")</f>
        <v/>
      </c>
      <c r="O876" s="260"/>
      <c r="P876" s="260"/>
      <c r="Q876" s="261"/>
      <c r="R876" s="264">
        <f t="shared" si="860"/>
        <v>0</v>
      </c>
      <c r="S876" s="259" t="str" cm="1">
        <f t="array" ref="S876">IF($L876&gt;0, INDEX(Clean,1+AL876,$D$1), "")</f>
        <v/>
      </c>
      <c r="T876" s="260"/>
      <c r="U876" s="260"/>
      <c r="V876" s="261"/>
      <c r="W876" s="267"/>
      <c r="X876" s="267"/>
      <c r="Y876" s="257"/>
      <c r="Z876" s="264">
        <f t="shared" si="861"/>
        <v>0</v>
      </c>
      <c r="AA876" s="269"/>
      <c r="AB876" s="266"/>
      <c r="AC876" s="254"/>
      <c r="AD876" s="255" t="str">
        <f>IF(ISBLANK(AC876), "", VLOOKUP(AC876, Z!$A$2:$C$4127, 3, FALSE))</f>
        <v/>
      </c>
      <c r="AE876" s="270"/>
      <c r="AF876" s="265">
        <f t="shared" si="862"/>
        <v>0</v>
      </c>
      <c r="AG876" s="246"/>
      <c r="AH876" s="228">
        <f t="shared" si="885"/>
        <v>1</v>
      </c>
      <c r="AI876" s="228">
        <f t="shared" si="886"/>
        <v>1</v>
      </c>
      <c r="AJ876" s="228">
        <f t="shared" si="887"/>
        <v>0</v>
      </c>
      <c r="AK876" s="228">
        <v>0</v>
      </c>
      <c r="AL876" s="228">
        <v>0</v>
      </c>
      <c r="AM876" s="228">
        <f t="shared" si="863"/>
        <v>-100</v>
      </c>
      <c r="AN876" s="228" cm="1">
        <f t="array" ref="AN876">IF(ISBLANK(G876), 1, IFERROR(MATCH(G876, INDEX(Kat,,1), 0), IFERROR(MATCH(Kat, INDEX(Use,,2), 0), MATCH(Kat, INDEX(Use,,3), 0))))</f>
        <v>1</v>
      </c>
      <c r="AO876" s="246"/>
      <c r="AP876" s="228" cm="1">
        <f t="array" ref="AP876">IF(W876&gt;0, INDEX(Kat, AN876,4), 0)</f>
        <v>0</v>
      </c>
      <c r="AQ876" s="228">
        <f t="shared" si="888"/>
        <v>0</v>
      </c>
      <c r="AR876" s="228" cm="1">
        <f t="array" ref="AR876">IF(X876&gt;0, INDEX(Kat, $AN876, 4+AQ876), 0)</f>
        <v>0</v>
      </c>
      <c r="AS876" s="228" cm="1">
        <f t="array" ref="AS876">IF(X876&gt;0, INDEX(Kat, $AN876, 9+AQ876), 0)</f>
        <v>0</v>
      </c>
      <c r="AT876" s="246"/>
      <c r="AU876" s="262"/>
      <c r="AV876" s="262"/>
      <c r="AW876" s="263"/>
      <c r="AX876" s="263"/>
      <c r="AY876" s="263"/>
      <c r="AZ876" s="263"/>
      <c r="BA876" s="263"/>
      <c r="BB876" s="263"/>
      <c r="BC876" s="263"/>
      <c r="BD876" s="263"/>
      <c r="BE876" s="263"/>
      <c r="BF876" s="263"/>
      <c r="BG876" s="263"/>
      <c r="BH876" s="246"/>
      <c r="BI876" s="228" cm="1">
        <f t="array" ref="BI876">INDEX(Use, $AH876, 4)</f>
        <v>7</v>
      </c>
      <c r="BJ876" s="228">
        <f t="shared" si="864"/>
        <v>32</v>
      </c>
      <c r="BK876" s="228">
        <f t="shared" si="890"/>
        <v>13</v>
      </c>
      <c r="BL876" s="228">
        <f t="shared" si="891"/>
        <v>0</v>
      </c>
      <c r="BM876" s="233" cm="1">
        <f t="array" ref="BM876">L876/IF($M876&gt;0, INDEX($AY$22:$BE$76, $M876+20, $AH876), 1)</f>
        <v>0</v>
      </c>
      <c r="BN876" s="229">
        <f t="shared" si="865"/>
        <v>0</v>
      </c>
      <c r="BO876" s="228">
        <v>35</v>
      </c>
      <c r="BP876" s="229">
        <f t="shared" si="866"/>
        <v>48</v>
      </c>
      <c r="BQ876" s="234">
        <f t="shared" si="867"/>
        <v>3.0748170731707316</v>
      </c>
      <c r="BR876" s="234" cm="1">
        <f t="array" ref="BR876">$BM876 * SUMPRODUCT(INDEX($AV$76:$AX$81,,$AI876),INDEX($AY$76:$BE$81,,$AH876), N($AU$76:$AU$81&gt;$AM876)) / BQ876 / 1000</f>
        <v>0</v>
      </c>
      <c r="BS876" s="231">
        <f t="shared" si="892"/>
        <v>30</v>
      </c>
      <c r="BT876" s="229">
        <f t="shared" si="868"/>
        <v>43</v>
      </c>
      <c r="BU876" s="234">
        <f t="shared" si="869"/>
        <v>3.5018750000000001</v>
      </c>
      <c r="BV876" s="234" cm="1">
        <f t="array" ref="BV876">$BM876 * IF($AH876&lt;=2,
SUMPRODUCT(INDEX($AV$71:$AX$75,,$AI876), INDEX($AY$71:$BE$75,,$AH876), 1 / ($BF$71:$BF$75*BU876 + (1-$BF$71:$BF$75)*BQ876), N($AU$71:$AU$75&gt;$AM876)),
SUMPRODUCT(INDEX($AV$66:$AX$75,,$AI876), INDEX($AY$66:$BE$75,,$AH876), 1 / ($BG$66:$BG$75*BU876 + (1-$BG$66:$BG$75)*BQ876), N($AU$66:$AU$75&gt;$AM876))
) / 1000</f>
        <v>0</v>
      </c>
      <c r="BW876" s="231">
        <f t="shared" si="893"/>
        <v>25</v>
      </c>
      <c r="BX876" s="229">
        <f t="shared" si="870"/>
        <v>38</v>
      </c>
      <c r="BY876" s="234">
        <f t="shared" si="871"/>
        <v>4.0666935483870965</v>
      </c>
      <c r="BZ876" s="234" cm="1">
        <f t="array" ref="BZ876">$BM876 * IF($AH876&lt;=2,
SUMPRODUCT(INDEX($AV$66:$AX$70,,$AI876), INDEX($AY$66:$BE$70,,$AH876), 1 / ($BF$66:$BF$70*BY876 + (1-$BF$66:$BF$70)*BU876), N($AU$66:$AU$70&gt;$AM876)),
SUMPRODUCT(INDEX($AV$56:$AX$65,,$AI876), INDEX($AY$56:$BE$65,,$AH876), 1 / ($BG$56:$BG$65*BY876 + (1-$BG$56:$BG$65)*BU876), N($AU$56:$AU$65&gt;$AM876))
) / 1000</f>
        <v>0</v>
      </c>
      <c r="CA876" s="231">
        <f t="shared" si="894"/>
        <v>20</v>
      </c>
      <c r="CB876" s="229">
        <f t="shared" si="872"/>
        <v>33</v>
      </c>
      <c r="CC876" s="234">
        <f t="shared" si="873"/>
        <v>4.8487499999999999</v>
      </c>
      <c r="CD876" s="234" cm="1">
        <f t="array" ref="CD876">$BM876 * IF($AH876&lt;=2,
SUMPRODUCT(INDEX($AV$61:$AX$65,,$AI876), INDEX($AY$61:$BE$65,,$AH876), 1 / ($BF$61:$BF$65*CC876 + (1-$BF$61:$BF$65)*BY876), N($AU$61:$AU$65&gt;$AM876)),
SUMPRODUCT(INDEX($AV$46:$AX$55,,$AI876), INDEX($AY$46:$BE$55,,$AH876), 1 / ($BG$46:$BG$55*CC876 + (1-$BG$46:$BG$55)*BY876), N($AU$46:$AU$55&gt;$AM876))
) / 1000</f>
        <v>0</v>
      </c>
      <c r="CE876" s="234" cm="1">
        <f t="array" ref="CE876">$BM876 * IF($AH876&lt;=2,
SUMPRODUCT(INDEX($AV$22:$AX$60,,$AI876), INDEX($AY$22:$BE$60,,$AH876), 1 / ($BF$22:$BF$60*CC876), N($AU$22:$AU$60&gt;$AM876)),
SUMPRODUCT(INDEX($AV$22:$AX$45,,$AI876), INDEX($AY$22:$BE$45,,$AH876), 1 / ($BG$22:$BG$45*CC876), N($AU$22:$AU$45&gt;$AM876))
) / 1000</f>
        <v>0</v>
      </c>
      <c r="CF876" s="229">
        <f t="shared" si="874"/>
        <v>0</v>
      </c>
      <c r="CG876" s="246"/>
      <c r="CH876" s="229">
        <f t="shared" si="875"/>
        <v>0</v>
      </c>
      <c r="CI876" s="228">
        <v>35</v>
      </c>
      <c r="CJ876" s="229">
        <f t="shared" si="876"/>
        <v>48</v>
      </c>
      <c r="CK876" s="234">
        <f t="shared" si="877"/>
        <v>3.0748170731707316</v>
      </c>
      <c r="CL876" s="234" cm="1">
        <f t="array" ref="CL876">$BM876 * SUMPRODUCT(INDEX($AV$76:$AX$81,,$AI876),INDEX($AY$76:$BE$81,,$AH876), N($AU$76:$AU$81&gt;$AM876)) / CK876 / 1000</f>
        <v>0</v>
      </c>
      <c r="CM876" s="231">
        <f t="shared" si="895"/>
        <v>30</v>
      </c>
      <c r="CN876" s="229">
        <f t="shared" si="878"/>
        <v>43</v>
      </c>
      <c r="CO876" s="234">
        <f t="shared" si="879"/>
        <v>3.5018750000000001</v>
      </c>
      <c r="CP876" s="234" cm="1">
        <f t="array" ref="CP876">$BM876 * IF($AH876&lt;=2,
SUMPRODUCT(INDEX($AV$71:$AX$75,,$AI876), INDEX($AY$71:$BE$75,,$AH876), 1 / ($BF$71:$BF$75*CO876 + (1-$BF$71:$BF$75)*CK876), N($AU$71:$AU$75&gt;$AM876)),
SUMPRODUCT(INDEX($AV$66:$AX$75,,$AI876), INDEX($AY$66:$BE$75,,$AH876), 1 / ($BG$66:$BG$75*CO876 + (1-$BG$66:$BG$75)*CK876), N($AU$66:$AU$75&gt;$AM876))
) / 1000</f>
        <v>0</v>
      </c>
      <c r="CQ876" s="231">
        <f t="shared" si="896"/>
        <v>25</v>
      </c>
      <c r="CR876" s="229">
        <f t="shared" si="880"/>
        <v>38</v>
      </c>
      <c r="CS876" s="234">
        <f t="shared" si="881"/>
        <v>4.0666935483870965</v>
      </c>
      <c r="CT876" s="234" cm="1">
        <f t="array" ref="CT876">$BM876 * IF($AH876&lt;=2,
SUMPRODUCT(INDEX($AV$66:$AX$70,,$AI876), INDEX($AY$66:$BE$70,,$AH876), 1 / ($BF$66:$BF$70*CS876 + (1-$BF$66:$BF$70)*CO876), N($AU$66:$AU$70&gt;$AM876)),
SUMPRODUCT(INDEX($AV$56:$AX$65,,$AI876), INDEX($AY$56:$BE$65,,$AH876), 1 / ($BG$56:$BG$65*CS876 + (1-$BG$56:$BG$65)*CO876), N($AU$56:$AU$65&gt;$AM876))
) / 1000</f>
        <v>0</v>
      </c>
      <c r="CU876" s="231">
        <f t="shared" si="897"/>
        <v>20</v>
      </c>
      <c r="CV876" s="229">
        <f t="shared" si="882"/>
        <v>33</v>
      </c>
      <c r="CW876" s="234">
        <f t="shared" si="883"/>
        <v>4.8487499999999999</v>
      </c>
      <c r="CX876" s="234" cm="1">
        <f t="array" ref="CX876">$BM876 * IF($AH876&lt;=2,
SUMPRODUCT(INDEX($AV$61:$AX$65,,$AI876), INDEX($AY$61:$BE$65,,$AH876), 1 / ($BF$61:$BF$65*CW876 + (1-$BF$61:$BF$65)*CS876), N($AU$61:$AU$65&gt;$AM876)),
SUMPRODUCT(INDEX($AV$46:$AX$55,,$AI876), INDEX($AY$46:$BE$55,,$AH876), 1 / ($BG$46:$BG$55*CW876 + (1-$BG$46:$BG$55)*CS876), N($AU$46:$AU$55&gt;$AM876))
) / 1000</f>
        <v>0</v>
      </c>
      <c r="CY876" s="234" cm="1">
        <f t="array" ref="CY876">$BM876 * IF($AH876&lt;=2,
SUMPRODUCT(INDEX($AV$22:$AX$60,,$AI876), INDEX($AY$22:$BE$60,,$AH876), 1 / ($BF$22:$BF$60*CW876), N($AU$22:$AU$60&gt;$AM876)),
SUMPRODUCT(INDEX($AV$22:$AX$45,,$AI876), INDEX($AY$22:$BE$45,,$AH876), 1 / ($BG$22:$BG$45*CW876), N($AU$22:$AU$45&gt;$AM876))
) / 1000</f>
        <v>0</v>
      </c>
      <c r="CZ876" s="229">
        <f t="shared" si="884"/>
        <v>0</v>
      </c>
      <c r="DA876" s="246"/>
    </row>
    <row r="877" spans="1:105" s="75" customFormat="1" ht="14.25" customHeight="1" x14ac:dyDescent="0.2">
      <c r="A877" s="230" t="b">
        <f t="shared" si="889"/>
        <v>0</v>
      </c>
      <c r="B877" s="253">
        <v>856</v>
      </c>
      <c r="C877" s="266"/>
      <c r="D877" s="266"/>
      <c r="E877" s="254"/>
      <c r="F877" s="255" t="str">
        <f>IF(ISBLANK(E877), "", VLOOKUP(E877, Z!$A$2:$C$4127, 3, FALSE))</f>
        <v/>
      </c>
      <c r="G877" s="256"/>
      <c r="H877" s="256"/>
      <c r="I877" s="256"/>
      <c r="J877" s="257"/>
      <c r="K877" s="258"/>
      <c r="L877" s="267"/>
      <c r="M877" s="268"/>
      <c r="N877" s="259" t="str" cm="1">
        <f t="array" ref="N877">IF($L877&gt;0, INDEX(Clean,1+AK877,$D$1), "")</f>
        <v/>
      </c>
      <c r="O877" s="260"/>
      <c r="P877" s="260"/>
      <c r="Q877" s="261"/>
      <c r="R877" s="264">
        <f t="shared" si="860"/>
        <v>0</v>
      </c>
      <c r="S877" s="259" t="str" cm="1">
        <f t="array" ref="S877">IF($L877&gt;0, INDEX(Clean,1+AL877,$D$1), "")</f>
        <v/>
      </c>
      <c r="T877" s="260"/>
      <c r="U877" s="260"/>
      <c r="V877" s="261"/>
      <c r="W877" s="267"/>
      <c r="X877" s="267"/>
      <c r="Y877" s="257"/>
      <c r="Z877" s="264">
        <f t="shared" si="861"/>
        <v>0</v>
      </c>
      <c r="AA877" s="269"/>
      <c r="AB877" s="266"/>
      <c r="AC877" s="254"/>
      <c r="AD877" s="255" t="str">
        <f>IF(ISBLANK(AC877), "", VLOOKUP(AC877, Z!$A$2:$C$4127, 3, FALSE))</f>
        <v/>
      </c>
      <c r="AE877" s="270"/>
      <c r="AF877" s="265">
        <f t="shared" si="862"/>
        <v>0</v>
      </c>
      <c r="AG877" s="246"/>
      <c r="AH877" s="228">
        <f t="shared" si="885"/>
        <v>1</v>
      </c>
      <c r="AI877" s="228">
        <f t="shared" si="886"/>
        <v>1</v>
      </c>
      <c r="AJ877" s="228">
        <f t="shared" si="887"/>
        <v>0</v>
      </c>
      <c r="AK877" s="228">
        <v>0</v>
      </c>
      <c r="AL877" s="228">
        <v>0</v>
      </c>
      <c r="AM877" s="228">
        <f t="shared" si="863"/>
        <v>-100</v>
      </c>
      <c r="AN877" s="228" cm="1">
        <f t="array" ref="AN877">IF(ISBLANK(G877), 1, IFERROR(MATCH(G877, INDEX(Kat,,1), 0), IFERROR(MATCH(Kat, INDEX(Use,,2), 0), MATCH(Kat, INDEX(Use,,3), 0))))</f>
        <v>1</v>
      </c>
      <c r="AO877" s="246"/>
      <c r="AP877" s="228" cm="1">
        <f t="array" ref="AP877">IF(W877&gt;0, INDEX(Kat, AN877,4), 0)</f>
        <v>0</v>
      </c>
      <c r="AQ877" s="228">
        <f t="shared" si="888"/>
        <v>0</v>
      </c>
      <c r="AR877" s="228" cm="1">
        <f t="array" ref="AR877">IF(X877&gt;0, INDEX(Kat, $AN877, 4+AQ877), 0)</f>
        <v>0</v>
      </c>
      <c r="AS877" s="228" cm="1">
        <f t="array" ref="AS877">IF(X877&gt;0, INDEX(Kat, $AN877, 9+AQ877), 0)</f>
        <v>0</v>
      </c>
      <c r="AT877" s="246"/>
      <c r="AU877" s="262"/>
      <c r="AV877" s="262"/>
      <c r="AW877" s="263"/>
      <c r="AX877" s="263"/>
      <c r="AY877" s="263"/>
      <c r="AZ877" s="263"/>
      <c r="BA877" s="263"/>
      <c r="BB877" s="263"/>
      <c r="BC877" s="263"/>
      <c r="BD877" s="263"/>
      <c r="BE877" s="263"/>
      <c r="BF877" s="263"/>
      <c r="BG877" s="263"/>
      <c r="BH877" s="246"/>
      <c r="BI877" s="228" cm="1">
        <f t="array" ref="BI877">INDEX(Use, $AH877, 4)</f>
        <v>7</v>
      </c>
      <c r="BJ877" s="228">
        <f t="shared" si="864"/>
        <v>32</v>
      </c>
      <c r="BK877" s="228">
        <f t="shared" si="890"/>
        <v>13</v>
      </c>
      <c r="BL877" s="228">
        <f t="shared" si="891"/>
        <v>0</v>
      </c>
      <c r="BM877" s="233" cm="1">
        <f t="array" ref="BM877">L877/IF($M877&gt;0, INDEX($AY$22:$BE$76, $M877+20, $AH877), 1)</f>
        <v>0</v>
      </c>
      <c r="BN877" s="229">
        <f t="shared" si="865"/>
        <v>0</v>
      </c>
      <c r="BO877" s="228">
        <v>35</v>
      </c>
      <c r="BP877" s="229">
        <f t="shared" si="866"/>
        <v>48</v>
      </c>
      <c r="BQ877" s="234">
        <f t="shared" si="867"/>
        <v>3.0748170731707316</v>
      </c>
      <c r="BR877" s="234" cm="1">
        <f t="array" ref="BR877">$BM877 * SUMPRODUCT(INDEX($AV$76:$AX$81,,$AI877),INDEX($AY$76:$BE$81,,$AH877), N($AU$76:$AU$81&gt;$AM877)) / BQ877 / 1000</f>
        <v>0</v>
      </c>
      <c r="BS877" s="231">
        <f t="shared" si="892"/>
        <v>30</v>
      </c>
      <c r="BT877" s="229">
        <f t="shared" si="868"/>
        <v>43</v>
      </c>
      <c r="BU877" s="234">
        <f t="shared" si="869"/>
        <v>3.5018750000000001</v>
      </c>
      <c r="BV877" s="234" cm="1">
        <f t="array" ref="BV877">$BM877 * IF($AH877&lt;=2,
SUMPRODUCT(INDEX($AV$71:$AX$75,,$AI877), INDEX($AY$71:$BE$75,,$AH877), 1 / ($BF$71:$BF$75*BU877 + (1-$BF$71:$BF$75)*BQ877), N($AU$71:$AU$75&gt;$AM877)),
SUMPRODUCT(INDEX($AV$66:$AX$75,,$AI877), INDEX($AY$66:$BE$75,,$AH877), 1 / ($BG$66:$BG$75*BU877 + (1-$BG$66:$BG$75)*BQ877), N($AU$66:$AU$75&gt;$AM877))
) / 1000</f>
        <v>0</v>
      </c>
      <c r="BW877" s="231">
        <f t="shared" si="893"/>
        <v>25</v>
      </c>
      <c r="BX877" s="229">
        <f t="shared" si="870"/>
        <v>38</v>
      </c>
      <c r="BY877" s="234">
        <f t="shared" si="871"/>
        <v>4.0666935483870965</v>
      </c>
      <c r="BZ877" s="234" cm="1">
        <f t="array" ref="BZ877">$BM877 * IF($AH877&lt;=2,
SUMPRODUCT(INDEX($AV$66:$AX$70,,$AI877), INDEX($AY$66:$BE$70,,$AH877), 1 / ($BF$66:$BF$70*BY877 + (1-$BF$66:$BF$70)*BU877), N($AU$66:$AU$70&gt;$AM877)),
SUMPRODUCT(INDEX($AV$56:$AX$65,,$AI877), INDEX($AY$56:$BE$65,,$AH877), 1 / ($BG$56:$BG$65*BY877 + (1-$BG$56:$BG$65)*BU877), N($AU$56:$AU$65&gt;$AM877))
) / 1000</f>
        <v>0</v>
      </c>
      <c r="CA877" s="231">
        <f t="shared" si="894"/>
        <v>20</v>
      </c>
      <c r="CB877" s="229">
        <f t="shared" si="872"/>
        <v>33</v>
      </c>
      <c r="CC877" s="234">
        <f t="shared" si="873"/>
        <v>4.8487499999999999</v>
      </c>
      <c r="CD877" s="234" cm="1">
        <f t="array" ref="CD877">$BM877 * IF($AH877&lt;=2,
SUMPRODUCT(INDEX($AV$61:$AX$65,,$AI877), INDEX($AY$61:$BE$65,,$AH877), 1 / ($BF$61:$BF$65*CC877 + (1-$BF$61:$BF$65)*BY877), N($AU$61:$AU$65&gt;$AM877)),
SUMPRODUCT(INDEX($AV$46:$AX$55,,$AI877), INDEX($AY$46:$BE$55,,$AH877), 1 / ($BG$46:$BG$55*CC877 + (1-$BG$46:$BG$55)*BY877), N($AU$46:$AU$55&gt;$AM877))
) / 1000</f>
        <v>0</v>
      </c>
      <c r="CE877" s="234" cm="1">
        <f t="array" ref="CE877">$BM877 * IF($AH877&lt;=2,
SUMPRODUCT(INDEX($AV$22:$AX$60,,$AI877), INDEX($AY$22:$BE$60,,$AH877), 1 / ($BF$22:$BF$60*CC877), N($AU$22:$AU$60&gt;$AM877)),
SUMPRODUCT(INDEX($AV$22:$AX$45,,$AI877), INDEX($AY$22:$BE$45,,$AH877), 1 / ($BG$22:$BG$45*CC877), N($AU$22:$AU$45&gt;$AM877))
) / 1000</f>
        <v>0</v>
      </c>
      <c r="CF877" s="229">
        <f t="shared" si="874"/>
        <v>0</v>
      </c>
      <c r="CG877" s="246"/>
      <c r="CH877" s="229">
        <f t="shared" si="875"/>
        <v>0</v>
      </c>
      <c r="CI877" s="228">
        <v>35</v>
      </c>
      <c r="CJ877" s="229">
        <f t="shared" si="876"/>
        <v>48</v>
      </c>
      <c r="CK877" s="234">
        <f t="shared" si="877"/>
        <v>3.0748170731707316</v>
      </c>
      <c r="CL877" s="234" cm="1">
        <f t="array" ref="CL877">$BM877 * SUMPRODUCT(INDEX($AV$76:$AX$81,,$AI877),INDEX($AY$76:$BE$81,,$AH877), N($AU$76:$AU$81&gt;$AM877)) / CK877 / 1000</f>
        <v>0</v>
      </c>
      <c r="CM877" s="231">
        <f t="shared" si="895"/>
        <v>30</v>
      </c>
      <c r="CN877" s="229">
        <f t="shared" si="878"/>
        <v>43</v>
      </c>
      <c r="CO877" s="234">
        <f t="shared" si="879"/>
        <v>3.5018750000000001</v>
      </c>
      <c r="CP877" s="234" cm="1">
        <f t="array" ref="CP877">$BM877 * IF($AH877&lt;=2,
SUMPRODUCT(INDEX($AV$71:$AX$75,,$AI877), INDEX($AY$71:$BE$75,,$AH877), 1 / ($BF$71:$BF$75*CO877 + (1-$BF$71:$BF$75)*CK877), N($AU$71:$AU$75&gt;$AM877)),
SUMPRODUCT(INDEX($AV$66:$AX$75,,$AI877), INDEX($AY$66:$BE$75,,$AH877), 1 / ($BG$66:$BG$75*CO877 + (1-$BG$66:$BG$75)*CK877), N($AU$66:$AU$75&gt;$AM877))
) / 1000</f>
        <v>0</v>
      </c>
      <c r="CQ877" s="231">
        <f t="shared" si="896"/>
        <v>25</v>
      </c>
      <c r="CR877" s="229">
        <f t="shared" si="880"/>
        <v>38</v>
      </c>
      <c r="CS877" s="234">
        <f t="shared" si="881"/>
        <v>4.0666935483870965</v>
      </c>
      <c r="CT877" s="234" cm="1">
        <f t="array" ref="CT877">$BM877 * IF($AH877&lt;=2,
SUMPRODUCT(INDEX($AV$66:$AX$70,,$AI877), INDEX($AY$66:$BE$70,,$AH877), 1 / ($BF$66:$BF$70*CS877 + (1-$BF$66:$BF$70)*CO877), N($AU$66:$AU$70&gt;$AM877)),
SUMPRODUCT(INDEX($AV$56:$AX$65,,$AI877), INDEX($AY$56:$BE$65,,$AH877), 1 / ($BG$56:$BG$65*CS877 + (1-$BG$56:$BG$65)*CO877), N($AU$56:$AU$65&gt;$AM877))
) / 1000</f>
        <v>0</v>
      </c>
      <c r="CU877" s="231">
        <f t="shared" si="897"/>
        <v>20</v>
      </c>
      <c r="CV877" s="229">
        <f t="shared" si="882"/>
        <v>33</v>
      </c>
      <c r="CW877" s="234">
        <f t="shared" si="883"/>
        <v>4.8487499999999999</v>
      </c>
      <c r="CX877" s="234" cm="1">
        <f t="array" ref="CX877">$BM877 * IF($AH877&lt;=2,
SUMPRODUCT(INDEX($AV$61:$AX$65,,$AI877), INDEX($AY$61:$BE$65,,$AH877), 1 / ($BF$61:$BF$65*CW877 + (1-$BF$61:$BF$65)*CS877), N($AU$61:$AU$65&gt;$AM877)),
SUMPRODUCT(INDEX($AV$46:$AX$55,,$AI877), INDEX($AY$46:$BE$55,,$AH877), 1 / ($BG$46:$BG$55*CW877 + (1-$BG$46:$BG$55)*CS877), N($AU$46:$AU$55&gt;$AM877))
) / 1000</f>
        <v>0</v>
      </c>
      <c r="CY877" s="234" cm="1">
        <f t="array" ref="CY877">$BM877 * IF($AH877&lt;=2,
SUMPRODUCT(INDEX($AV$22:$AX$60,,$AI877), INDEX($AY$22:$BE$60,,$AH877), 1 / ($BF$22:$BF$60*CW877), N($AU$22:$AU$60&gt;$AM877)),
SUMPRODUCT(INDEX($AV$22:$AX$45,,$AI877), INDEX($AY$22:$BE$45,,$AH877), 1 / ($BG$22:$BG$45*CW877), N($AU$22:$AU$45&gt;$AM877))
) / 1000</f>
        <v>0</v>
      </c>
      <c r="CZ877" s="229">
        <f t="shared" si="884"/>
        <v>0</v>
      </c>
      <c r="DA877" s="246"/>
    </row>
    <row r="878" spans="1:105" s="75" customFormat="1" ht="14.25" customHeight="1" x14ac:dyDescent="0.2">
      <c r="A878" s="230" t="b">
        <f t="shared" si="889"/>
        <v>0</v>
      </c>
      <c r="B878" s="253">
        <v>857</v>
      </c>
      <c r="C878" s="266"/>
      <c r="D878" s="266"/>
      <c r="E878" s="254"/>
      <c r="F878" s="255" t="str">
        <f>IF(ISBLANK(E878), "", VLOOKUP(E878, Z!$A$2:$C$4127, 3, FALSE))</f>
        <v/>
      </c>
      <c r="G878" s="256"/>
      <c r="H878" s="256"/>
      <c r="I878" s="256"/>
      <c r="J878" s="257"/>
      <c r="K878" s="258"/>
      <c r="L878" s="267"/>
      <c r="M878" s="268"/>
      <c r="N878" s="259" t="str" cm="1">
        <f t="array" ref="N878">IF($L878&gt;0, INDEX(Clean,1+AK878,$D$1), "")</f>
        <v/>
      </c>
      <c r="O878" s="260"/>
      <c r="P878" s="260"/>
      <c r="Q878" s="261"/>
      <c r="R878" s="264">
        <f t="shared" si="860"/>
        <v>0</v>
      </c>
      <c r="S878" s="259" t="str" cm="1">
        <f t="array" ref="S878">IF($L878&gt;0, INDEX(Clean,1+AL878,$D$1), "")</f>
        <v/>
      </c>
      <c r="T878" s="260"/>
      <c r="U878" s="260"/>
      <c r="V878" s="261"/>
      <c r="W878" s="267"/>
      <c r="X878" s="267"/>
      <c r="Y878" s="257"/>
      <c r="Z878" s="264">
        <f t="shared" si="861"/>
        <v>0</v>
      </c>
      <c r="AA878" s="269"/>
      <c r="AB878" s="266"/>
      <c r="AC878" s="254"/>
      <c r="AD878" s="255" t="str">
        <f>IF(ISBLANK(AC878), "", VLOOKUP(AC878, Z!$A$2:$C$4127, 3, FALSE))</f>
        <v/>
      </c>
      <c r="AE878" s="270"/>
      <c r="AF878" s="265">
        <f t="shared" si="862"/>
        <v>0</v>
      </c>
      <c r="AG878" s="246"/>
      <c r="AH878" s="228">
        <f t="shared" si="885"/>
        <v>1</v>
      </c>
      <c r="AI878" s="228">
        <f t="shared" si="886"/>
        <v>1</v>
      </c>
      <c r="AJ878" s="228">
        <f t="shared" si="887"/>
        <v>0</v>
      </c>
      <c r="AK878" s="228">
        <v>0</v>
      </c>
      <c r="AL878" s="228">
        <v>0</v>
      </c>
      <c r="AM878" s="228">
        <f t="shared" si="863"/>
        <v>-100</v>
      </c>
      <c r="AN878" s="228" cm="1">
        <f t="array" ref="AN878">IF(ISBLANK(G878), 1, IFERROR(MATCH(G878, INDEX(Kat,,1), 0), IFERROR(MATCH(Kat, INDEX(Use,,2), 0), MATCH(Kat, INDEX(Use,,3), 0))))</f>
        <v>1</v>
      </c>
      <c r="AO878" s="246"/>
      <c r="AP878" s="228" cm="1">
        <f t="array" ref="AP878">IF(W878&gt;0, INDEX(Kat, AN878,4), 0)</f>
        <v>0</v>
      </c>
      <c r="AQ878" s="228">
        <f t="shared" si="888"/>
        <v>0</v>
      </c>
      <c r="AR878" s="228" cm="1">
        <f t="array" ref="AR878">IF(X878&gt;0, INDEX(Kat, $AN878, 4+AQ878), 0)</f>
        <v>0</v>
      </c>
      <c r="AS878" s="228" cm="1">
        <f t="array" ref="AS878">IF(X878&gt;0, INDEX(Kat, $AN878, 9+AQ878), 0)</f>
        <v>0</v>
      </c>
      <c r="AT878" s="246"/>
      <c r="AU878" s="262"/>
      <c r="AV878" s="262"/>
      <c r="AW878" s="263"/>
      <c r="AX878" s="263"/>
      <c r="AY878" s="263"/>
      <c r="AZ878" s="263"/>
      <c r="BA878" s="263"/>
      <c r="BB878" s="263"/>
      <c r="BC878" s="263"/>
      <c r="BD878" s="263"/>
      <c r="BE878" s="263"/>
      <c r="BF878" s="263"/>
      <c r="BG878" s="263"/>
      <c r="BH878" s="246"/>
      <c r="BI878" s="228" cm="1">
        <f t="array" ref="BI878">INDEX(Use, $AH878, 4)</f>
        <v>7</v>
      </c>
      <c r="BJ878" s="228">
        <f t="shared" si="864"/>
        <v>32</v>
      </c>
      <c r="BK878" s="228">
        <f t="shared" si="890"/>
        <v>13</v>
      </c>
      <c r="BL878" s="228">
        <f t="shared" si="891"/>
        <v>0</v>
      </c>
      <c r="BM878" s="233" cm="1">
        <f t="array" ref="BM878">L878/IF($M878&gt;0, INDEX($AY$22:$BE$76, $M878+20, $AH878), 1)</f>
        <v>0</v>
      </c>
      <c r="BN878" s="229">
        <f t="shared" si="865"/>
        <v>0</v>
      </c>
      <c r="BO878" s="228">
        <v>35</v>
      </c>
      <c r="BP878" s="229">
        <f t="shared" si="866"/>
        <v>48</v>
      </c>
      <c r="BQ878" s="234">
        <f t="shared" si="867"/>
        <v>3.0748170731707316</v>
      </c>
      <c r="BR878" s="234" cm="1">
        <f t="array" ref="BR878">$BM878 * SUMPRODUCT(INDEX($AV$76:$AX$81,,$AI878),INDEX($AY$76:$BE$81,,$AH878), N($AU$76:$AU$81&gt;$AM878)) / BQ878 / 1000</f>
        <v>0</v>
      </c>
      <c r="BS878" s="231">
        <f t="shared" si="892"/>
        <v>30</v>
      </c>
      <c r="BT878" s="229">
        <f t="shared" si="868"/>
        <v>43</v>
      </c>
      <c r="BU878" s="234">
        <f t="shared" si="869"/>
        <v>3.5018750000000001</v>
      </c>
      <c r="BV878" s="234" cm="1">
        <f t="array" ref="BV878">$BM878 * IF($AH878&lt;=2,
SUMPRODUCT(INDEX($AV$71:$AX$75,,$AI878), INDEX($AY$71:$BE$75,,$AH878), 1 / ($BF$71:$BF$75*BU878 + (1-$BF$71:$BF$75)*BQ878), N($AU$71:$AU$75&gt;$AM878)),
SUMPRODUCT(INDEX($AV$66:$AX$75,,$AI878), INDEX($AY$66:$BE$75,,$AH878), 1 / ($BG$66:$BG$75*BU878 + (1-$BG$66:$BG$75)*BQ878), N($AU$66:$AU$75&gt;$AM878))
) / 1000</f>
        <v>0</v>
      </c>
      <c r="BW878" s="231">
        <f t="shared" si="893"/>
        <v>25</v>
      </c>
      <c r="BX878" s="229">
        <f t="shared" si="870"/>
        <v>38</v>
      </c>
      <c r="BY878" s="234">
        <f t="shared" si="871"/>
        <v>4.0666935483870965</v>
      </c>
      <c r="BZ878" s="234" cm="1">
        <f t="array" ref="BZ878">$BM878 * IF($AH878&lt;=2,
SUMPRODUCT(INDEX($AV$66:$AX$70,,$AI878), INDEX($AY$66:$BE$70,,$AH878), 1 / ($BF$66:$BF$70*BY878 + (1-$BF$66:$BF$70)*BU878), N($AU$66:$AU$70&gt;$AM878)),
SUMPRODUCT(INDEX($AV$56:$AX$65,,$AI878), INDEX($AY$56:$BE$65,,$AH878), 1 / ($BG$56:$BG$65*BY878 + (1-$BG$56:$BG$65)*BU878), N($AU$56:$AU$65&gt;$AM878))
) / 1000</f>
        <v>0</v>
      </c>
      <c r="CA878" s="231">
        <f t="shared" si="894"/>
        <v>20</v>
      </c>
      <c r="CB878" s="229">
        <f t="shared" si="872"/>
        <v>33</v>
      </c>
      <c r="CC878" s="234">
        <f t="shared" si="873"/>
        <v>4.8487499999999999</v>
      </c>
      <c r="CD878" s="234" cm="1">
        <f t="array" ref="CD878">$BM878 * IF($AH878&lt;=2,
SUMPRODUCT(INDEX($AV$61:$AX$65,,$AI878), INDEX($AY$61:$BE$65,,$AH878), 1 / ($BF$61:$BF$65*CC878 + (1-$BF$61:$BF$65)*BY878), N($AU$61:$AU$65&gt;$AM878)),
SUMPRODUCT(INDEX($AV$46:$AX$55,,$AI878), INDEX($AY$46:$BE$55,,$AH878), 1 / ($BG$46:$BG$55*CC878 + (1-$BG$46:$BG$55)*BY878), N($AU$46:$AU$55&gt;$AM878))
) / 1000</f>
        <v>0</v>
      </c>
      <c r="CE878" s="234" cm="1">
        <f t="array" ref="CE878">$BM878 * IF($AH878&lt;=2,
SUMPRODUCT(INDEX($AV$22:$AX$60,,$AI878), INDEX($AY$22:$BE$60,,$AH878), 1 / ($BF$22:$BF$60*CC878), N($AU$22:$AU$60&gt;$AM878)),
SUMPRODUCT(INDEX($AV$22:$AX$45,,$AI878), INDEX($AY$22:$BE$45,,$AH878), 1 / ($BG$22:$BG$45*CC878), N($AU$22:$AU$45&gt;$AM878))
) / 1000</f>
        <v>0</v>
      </c>
      <c r="CF878" s="229">
        <f t="shared" si="874"/>
        <v>0</v>
      </c>
      <c r="CG878" s="246"/>
      <c r="CH878" s="229">
        <f t="shared" si="875"/>
        <v>0</v>
      </c>
      <c r="CI878" s="228">
        <v>35</v>
      </c>
      <c r="CJ878" s="229">
        <f t="shared" si="876"/>
        <v>48</v>
      </c>
      <c r="CK878" s="234">
        <f t="shared" si="877"/>
        <v>3.0748170731707316</v>
      </c>
      <c r="CL878" s="234" cm="1">
        <f t="array" ref="CL878">$BM878 * SUMPRODUCT(INDEX($AV$76:$AX$81,,$AI878),INDEX($AY$76:$BE$81,,$AH878), N($AU$76:$AU$81&gt;$AM878)) / CK878 / 1000</f>
        <v>0</v>
      </c>
      <c r="CM878" s="231">
        <f t="shared" si="895"/>
        <v>30</v>
      </c>
      <c r="CN878" s="229">
        <f t="shared" si="878"/>
        <v>43</v>
      </c>
      <c r="CO878" s="234">
        <f t="shared" si="879"/>
        <v>3.5018750000000001</v>
      </c>
      <c r="CP878" s="234" cm="1">
        <f t="array" ref="CP878">$BM878 * IF($AH878&lt;=2,
SUMPRODUCT(INDEX($AV$71:$AX$75,,$AI878), INDEX($AY$71:$BE$75,,$AH878), 1 / ($BF$71:$BF$75*CO878 + (1-$BF$71:$BF$75)*CK878), N($AU$71:$AU$75&gt;$AM878)),
SUMPRODUCT(INDEX($AV$66:$AX$75,,$AI878), INDEX($AY$66:$BE$75,,$AH878), 1 / ($BG$66:$BG$75*CO878 + (1-$BG$66:$BG$75)*CK878), N($AU$66:$AU$75&gt;$AM878))
) / 1000</f>
        <v>0</v>
      </c>
      <c r="CQ878" s="231">
        <f t="shared" si="896"/>
        <v>25</v>
      </c>
      <c r="CR878" s="229">
        <f t="shared" si="880"/>
        <v>38</v>
      </c>
      <c r="CS878" s="234">
        <f t="shared" si="881"/>
        <v>4.0666935483870965</v>
      </c>
      <c r="CT878" s="234" cm="1">
        <f t="array" ref="CT878">$BM878 * IF($AH878&lt;=2,
SUMPRODUCT(INDEX($AV$66:$AX$70,,$AI878), INDEX($AY$66:$BE$70,,$AH878), 1 / ($BF$66:$BF$70*CS878 + (1-$BF$66:$BF$70)*CO878), N($AU$66:$AU$70&gt;$AM878)),
SUMPRODUCT(INDEX($AV$56:$AX$65,,$AI878), INDEX($AY$56:$BE$65,,$AH878), 1 / ($BG$56:$BG$65*CS878 + (1-$BG$56:$BG$65)*CO878), N($AU$56:$AU$65&gt;$AM878))
) / 1000</f>
        <v>0</v>
      </c>
      <c r="CU878" s="231">
        <f t="shared" si="897"/>
        <v>20</v>
      </c>
      <c r="CV878" s="229">
        <f t="shared" si="882"/>
        <v>33</v>
      </c>
      <c r="CW878" s="234">
        <f t="shared" si="883"/>
        <v>4.8487499999999999</v>
      </c>
      <c r="CX878" s="234" cm="1">
        <f t="array" ref="CX878">$BM878 * IF($AH878&lt;=2,
SUMPRODUCT(INDEX($AV$61:$AX$65,,$AI878), INDEX($AY$61:$BE$65,,$AH878), 1 / ($BF$61:$BF$65*CW878 + (1-$BF$61:$BF$65)*CS878), N($AU$61:$AU$65&gt;$AM878)),
SUMPRODUCT(INDEX($AV$46:$AX$55,,$AI878), INDEX($AY$46:$BE$55,,$AH878), 1 / ($BG$46:$BG$55*CW878 + (1-$BG$46:$BG$55)*CS878), N($AU$46:$AU$55&gt;$AM878))
) / 1000</f>
        <v>0</v>
      </c>
      <c r="CY878" s="234" cm="1">
        <f t="array" ref="CY878">$BM878 * IF($AH878&lt;=2,
SUMPRODUCT(INDEX($AV$22:$AX$60,,$AI878), INDEX($AY$22:$BE$60,,$AH878), 1 / ($BF$22:$BF$60*CW878), N($AU$22:$AU$60&gt;$AM878)),
SUMPRODUCT(INDEX($AV$22:$AX$45,,$AI878), INDEX($AY$22:$BE$45,,$AH878), 1 / ($BG$22:$BG$45*CW878), N($AU$22:$AU$45&gt;$AM878))
) / 1000</f>
        <v>0</v>
      </c>
      <c r="CZ878" s="229">
        <f t="shared" si="884"/>
        <v>0</v>
      </c>
      <c r="DA878" s="246"/>
    </row>
    <row r="879" spans="1:105" s="75" customFormat="1" ht="14.25" customHeight="1" x14ac:dyDescent="0.2">
      <c r="A879" s="230" t="b">
        <f t="shared" si="889"/>
        <v>0</v>
      </c>
      <c r="B879" s="253">
        <v>858</v>
      </c>
      <c r="C879" s="266"/>
      <c r="D879" s="266"/>
      <c r="E879" s="254"/>
      <c r="F879" s="255" t="str">
        <f>IF(ISBLANK(E879), "", VLOOKUP(E879, Z!$A$2:$C$4127, 3, FALSE))</f>
        <v/>
      </c>
      <c r="G879" s="256"/>
      <c r="H879" s="256"/>
      <c r="I879" s="256"/>
      <c r="J879" s="257"/>
      <c r="K879" s="258"/>
      <c r="L879" s="267"/>
      <c r="M879" s="268"/>
      <c r="N879" s="259" t="str" cm="1">
        <f t="array" ref="N879">IF($L879&gt;0, INDEX(Clean,1+AK879,$D$1), "")</f>
        <v/>
      </c>
      <c r="O879" s="260"/>
      <c r="P879" s="260"/>
      <c r="Q879" s="261"/>
      <c r="R879" s="264">
        <f t="shared" si="860"/>
        <v>0</v>
      </c>
      <c r="S879" s="259" t="str" cm="1">
        <f t="array" ref="S879">IF($L879&gt;0, INDEX(Clean,1+AL879,$D$1), "")</f>
        <v/>
      </c>
      <c r="T879" s="260"/>
      <c r="U879" s="260"/>
      <c r="V879" s="261"/>
      <c r="W879" s="267"/>
      <c r="X879" s="267"/>
      <c r="Y879" s="257"/>
      <c r="Z879" s="264">
        <f t="shared" si="861"/>
        <v>0</v>
      </c>
      <c r="AA879" s="269"/>
      <c r="AB879" s="266"/>
      <c r="AC879" s="254"/>
      <c r="AD879" s="255" t="str">
        <f>IF(ISBLANK(AC879), "", VLOOKUP(AC879, Z!$A$2:$C$4127, 3, FALSE))</f>
        <v/>
      </c>
      <c r="AE879" s="270"/>
      <c r="AF879" s="265">
        <f t="shared" si="862"/>
        <v>0</v>
      </c>
      <c r="AG879" s="246"/>
      <c r="AH879" s="228">
        <f t="shared" si="885"/>
        <v>1</v>
      </c>
      <c r="AI879" s="228">
        <f t="shared" si="886"/>
        <v>1</v>
      </c>
      <c r="AJ879" s="228">
        <f t="shared" si="887"/>
        <v>0</v>
      </c>
      <c r="AK879" s="228">
        <v>0</v>
      </c>
      <c r="AL879" s="228">
        <v>0</v>
      </c>
      <c r="AM879" s="228">
        <f t="shared" si="863"/>
        <v>-100</v>
      </c>
      <c r="AN879" s="228" cm="1">
        <f t="array" ref="AN879">IF(ISBLANK(G879), 1, IFERROR(MATCH(G879, INDEX(Kat,,1), 0), IFERROR(MATCH(Kat, INDEX(Use,,2), 0), MATCH(Kat, INDEX(Use,,3), 0))))</f>
        <v>1</v>
      </c>
      <c r="AO879" s="246"/>
      <c r="AP879" s="228" cm="1">
        <f t="array" ref="AP879">IF(W879&gt;0, INDEX(Kat, AN879,4), 0)</f>
        <v>0</v>
      </c>
      <c r="AQ879" s="228">
        <f t="shared" si="888"/>
        <v>0</v>
      </c>
      <c r="AR879" s="228" cm="1">
        <f t="array" ref="AR879">IF(X879&gt;0, INDEX(Kat, $AN879, 4+AQ879), 0)</f>
        <v>0</v>
      </c>
      <c r="AS879" s="228" cm="1">
        <f t="array" ref="AS879">IF(X879&gt;0, INDEX(Kat, $AN879, 9+AQ879), 0)</f>
        <v>0</v>
      </c>
      <c r="AT879" s="246"/>
      <c r="AU879" s="262"/>
      <c r="AV879" s="262"/>
      <c r="AW879" s="263"/>
      <c r="AX879" s="263"/>
      <c r="AY879" s="263"/>
      <c r="AZ879" s="263"/>
      <c r="BA879" s="263"/>
      <c r="BB879" s="263"/>
      <c r="BC879" s="263"/>
      <c r="BD879" s="263"/>
      <c r="BE879" s="263"/>
      <c r="BF879" s="263"/>
      <c r="BG879" s="263"/>
      <c r="BH879" s="246"/>
      <c r="BI879" s="228" cm="1">
        <f t="array" ref="BI879">INDEX(Use, $AH879, 4)</f>
        <v>7</v>
      </c>
      <c r="BJ879" s="228">
        <f t="shared" si="864"/>
        <v>32</v>
      </c>
      <c r="BK879" s="228">
        <f t="shared" si="890"/>
        <v>13</v>
      </c>
      <c r="BL879" s="228">
        <f t="shared" si="891"/>
        <v>0</v>
      </c>
      <c r="BM879" s="233" cm="1">
        <f t="array" ref="BM879">L879/IF($M879&gt;0, INDEX($AY$22:$BE$76, $M879+20, $AH879), 1)</f>
        <v>0</v>
      </c>
      <c r="BN879" s="229">
        <f t="shared" si="865"/>
        <v>0</v>
      </c>
      <c r="BO879" s="228">
        <v>35</v>
      </c>
      <c r="BP879" s="229">
        <f t="shared" si="866"/>
        <v>48</v>
      </c>
      <c r="BQ879" s="234">
        <f t="shared" si="867"/>
        <v>3.0748170731707316</v>
      </c>
      <c r="BR879" s="234" cm="1">
        <f t="array" ref="BR879">$BM879 * SUMPRODUCT(INDEX($AV$76:$AX$81,,$AI879),INDEX($AY$76:$BE$81,,$AH879), N($AU$76:$AU$81&gt;$AM879)) / BQ879 / 1000</f>
        <v>0</v>
      </c>
      <c r="BS879" s="231">
        <f t="shared" si="892"/>
        <v>30</v>
      </c>
      <c r="BT879" s="229">
        <f t="shared" si="868"/>
        <v>43</v>
      </c>
      <c r="BU879" s="234">
        <f t="shared" si="869"/>
        <v>3.5018750000000001</v>
      </c>
      <c r="BV879" s="234" cm="1">
        <f t="array" ref="BV879">$BM879 * IF($AH879&lt;=2,
SUMPRODUCT(INDEX($AV$71:$AX$75,,$AI879), INDEX($AY$71:$BE$75,,$AH879), 1 / ($BF$71:$BF$75*BU879 + (1-$BF$71:$BF$75)*BQ879), N($AU$71:$AU$75&gt;$AM879)),
SUMPRODUCT(INDEX($AV$66:$AX$75,,$AI879), INDEX($AY$66:$BE$75,,$AH879), 1 / ($BG$66:$BG$75*BU879 + (1-$BG$66:$BG$75)*BQ879), N($AU$66:$AU$75&gt;$AM879))
) / 1000</f>
        <v>0</v>
      </c>
      <c r="BW879" s="231">
        <f t="shared" si="893"/>
        <v>25</v>
      </c>
      <c r="BX879" s="229">
        <f t="shared" si="870"/>
        <v>38</v>
      </c>
      <c r="BY879" s="234">
        <f t="shared" si="871"/>
        <v>4.0666935483870965</v>
      </c>
      <c r="BZ879" s="234" cm="1">
        <f t="array" ref="BZ879">$BM879 * IF($AH879&lt;=2,
SUMPRODUCT(INDEX($AV$66:$AX$70,,$AI879), INDEX($AY$66:$BE$70,,$AH879), 1 / ($BF$66:$BF$70*BY879 + (1-$BF$66:$BF$70)*BU879), N($AU$66:$AU$70&gt;$AM879)),
SUMPRODUCT(INDEX($AV$56:$AX$65,,$AI879), INDEX($AY$56:$BE$65,,$AH879), 1 / ($BG$56:$BG$65*BY879 + (1-$BG$56:$BG$65)*BU879), N($AU$56:$AU$65&gt;$AM879))
) / 1000</f>
        <v>0</v>
      </c>
      <c r="CA879" s="231">
        <f t="shared" si="894"/>
        <v>20</v>
      </c>
      <c r="CB879" s="229">
        <f t="shared" si="872"/>
        <v>33</v>
      </c>
      <c r="CC879" s="234">
        <f t="shared" si="873"/>
        <v>4.8487499999999999</v>
      </c>
      <c r="CD879" s="234" cm="1">
        <f t="array" ref="CD879">$BM879 * IF($AH879&lt;=2,
SUMPRODUCT(INDEX($AV$61:$AX$65,,$AI879), INDEX($AY$61:$BE$65,,$AH879), 1 / ($BF$61:$BF$65*CC879 + (1-$BF$61:$BF$65)*BY879), N($AU$61:$AU$65&gt;$AM879)),
SUMPRODUCT(INDEX($AV$46:$AX$55,,$AI879), INDEX($AY$46:$BE$55,,$AH879), 1 / ($BG$46:$BG$55*CC879 + (1-$BG$46:$BG$55)*BY879), N($AU$46:$AU$55&gt;$AM879))
) / 1000</f>
        <v>0</v>
      </c>
      <c r="CE879" s="234" cm="1">
        <f t="array" ref="CE879">$BM879 * IF($AH879&lt;=2,
SUMPRODUCT(INDEX($AV$22:$AX$60,,$AI879), INDEX($AY$22:$BE$60,,$AH879), 1 / ($BF$22:$BF$60*CC879), N($AU$22:$AU$60&gt;$AM879)),
SUMPRODUCT(INDEX($AV$22:$AX$45,,$AI879), INDEX($AY$22:$BE$45,,$AH879), 1 / ($BG$22:$BG$45*CC879), N($AU$22:$AU$45&gt;$AM879))
) / 1000</f>
        <v>0</v>
      </c>
      <c r="CF879" s="229">
        <f t="shared" si="874"/>
        <v>0</v>
      </c>
      <c r="CG879" s="246"/>
      <c r="CH879" s="229">
        <f t="shared" si="875"/>
        <v>0</v>
      </c>
      <c r="CI879" s="228">
        <v>35</v>
      </c>
      <c r="CJ879" s="229">
        <f t="shared" si="876"/>
        <v>48</v>
      </c>
      <c r="CK879" s="234">
        <f t="shared" si="877"/>
        <v>3.0748170731707316</v>
      </c>
      <c r="CL879" s="234" cm="1">
        <f t="array" ref="CL879">$BM879 * SUMPRODUCT(INDEX($AV$76:$AX$81,,$AI879),INDEX($AY$76:$BE$81,,$AH879), N($AU$76:$AU$81&gt;$AM879)) / CK879 / 1000</f>
        <v>0</v>
      </c>
      <c r="CM879" s="231">
        <f t="shared" si="895"/>
        <v>30</v>
      </c>
      <c r="CN879" s="229">
        <f t="shared" si="878"/>
        <v>43</v>
      </c>
      <c r="CO879" s="234">
        <f t="shared" si="879"/>
        <v>3.5018750000000001</v>
      </c>
      <c r="CP879" s="234" cm="1">
        <f t="array" ref="CP879">$BM879 * IF($AH879&lt;=2,
SUMPRODUCT(INDEX($AV$71:$AX$75,,$AI879), INDEX($AY$71:$BE$75,,$AH879), 1 / ($BF$71:$BF$75*CO879 + (1-$BF$71:$BF$75)*CK879), N($AU$71:$AU$75&gt;$AM879)),
SUMPRODUCT(INDEX($AV$66:$AX$75,,$AI879), INDEX($AY$66:$BE$75,,$AH879), 1 / ($BG$66:$BG$75*CO879 + (1-$BG$66:$BG$75)*CK879), N($AU$66:$AU$75&gt;$AM879))
) / 1000</f>
        <v>0</v>
      </c>
      <c r="CQ879" s="231">
        <f t="shared" si="896"/>
        <v>25</v>
      </c>
      <c r="CR879" s="229">
        <f t="shared" si="880"/>
        <v>38</v>
      </c>
      <c r="CS879" s="234">
        <f t="shared" si="881"/>
        <v>4.0666935483870965</v>
      </c>
      <c r="CT879" s="234" cm="1">
        <f t="array" ref="CT879">$BM879 * IF($AH879&lt;=2,
SUMPRODUCT(INDEX($AV$66:$AX$70,,$AI879), INDEX($AY$66:$BE$70,,$AH879), 1 / ($BF$66:$BF$70*CS879 + (1-$BF$66:$BF$70)*CO879), N($AU$66:$AU$70&gt;$AM879)),
SUMPRODUCT(INDEX($AV$56:$AX$65,,$AI879), INDEX($AY$56:$BE$65,,$AH879), 1 / ($BG$56:$BG$65*CS879 + (1-$BG$56:$BG$65)*CO879), N($AU$56:$AU$65&gt;$AM879))
) / 1000</f>
        <v>0</v>
      </c>
      <c r="CU879" s="231">
        <f t="shared" si="897"/>
        <v>20</v>
      </c>
      <c r="CV879" s="229">
        <f t="shared" si="882"/>
        <v>33</v>
      </c>
      <c r="CW879" s="234">
        <f t="shared" si="883"/>
        <v>4.8487499999999999</v>
      </c>
      <c r="CX879" s="234" cm="1">
        <f t="array" ref="CX879">$BM879 * IF($AH879&lt;=2,
SUMPRODUCT(INDEX($AV$61:$AX$65,,$AI879), INDEX($AY$61:$BE$65,,$AH879), 1 / ($BF$61:$BF$65*CW879 + (1-$BF$61:$BF$65)*CS879), N($AU$61:$AU$65&gt;$AM879)),
SUMPRODUCT(INDEX($AV$46:$AX$55,,$AI879), INDEX($AY$46:$BE$55,,$AH879), 1 / ($BG$46:$BG$55*CW879 + (1-$BG$46:$BG$55)*CS879), N($AU$46:$AU$55&gt;$AM879))
) / 1000</f>
        <v>0</v>
      </c>
      <c r="CY879" s="234" cm="1">
        <f t="array" ref="CY879">$BM879 * IF($AH879&lt;=2,
SUMPRODUCT(INDEX($AV$22:$AX$60,,$AI879), INDEX($AY$22:$BE$60,,$AH879), 1 / ($BF$22:$BF$60*CW879), N($AU$22:$AU$60&gt;$AM879)),
SUMPRODUCT(INDEX($AV$22:$AX$45,,$AI879), INDEX($AY$22:$BE$45,,$AH879), 1 / ($BG$22:$BG$45*CW879), N($AU$22:$AU$45&gt;$AM879))
) / 1000</f>
        <v>0</v>
      </c>
      <c r="CZ879" s="229">
        <f t="shared" si="884"/>
        <v>0</v>
      </c>
      <c r="DA879" s="246"/>
    </row>
    <row r="880" spans="1:105" s="75" customFormat="1" ht="14.25" customHeight="1" x14ac:dyDescent="0.2">
      <c r="A880" s="230" t="b">
        <f t="shared" si="889"/>
        <v>0</v>
      </c>
      <c r="B880" s="253">
        <v>859</v>
      </c>
      <c r="C880" s="266"/>
      <c r="D880" s="266"/>
      <c r="E880" s="254"/>
      <c r="F880" s="255" t="str">
        <f>IF(ISBLANK(E880), "", VLOOKUP(E880, Z!$A$2:$C$4127, 3, FALSE))</f>
        <v/>
      </c>
      <c r="G880" s="256"/>
      <c r="H880" s="256"/>
      <c r="I880" s="256"/>
      <c r="J880" s="257"/>
      <c r="K880" s="258"/>
      <c r="L880" s="267"/>
      <c r="M880" s="268"/>
      <c r="N880" s="259" t="str" cm="1">
        <f t="array" ref="N880">IF($L880&gt;0, INDEX(Clean,1+AK880,$D$1), "")</f>
        <v/>
      </c>
      <c r="O880" s="260"/>
      <c r="P880" s="260"/>
      <c r="Q880" s="261"/>
      <c r="R880" s="264">
        <f t="shared" si="860"/>
        <v>0</v>
      </c>
      <c r="S880" s="259" t="str" cm="1">
        <f t="array" ref="S880">IF($L880&gt;0, INDEX(Clean,1+AL880,$D$1), "")</f>
        <v/>
      </c>
      <c r="T880" s="260"/>
      <c r="U880" s="260"/>
      <c r="V880" s="261"/>
      <c r="W880" s="267"/>
      <c r="X880" s="267"/>
      <c r="Y880" s="257"/>
      <c r="Z880" s="264">
        <f t="shared" si="861"/>
        <v>0</v>
      </c>
      <c r="AA880" s="269"/>
      <c r="AB880" s="266"/>
      <c r="AC880" s="254"/>
      <c r="AD880" s="255" t="str">
        <f>IF(ISBLANK(AC880), "", VLOOKUP(AC880, Z!$A$2:$C$4127, 3, FALSE))</f>
        <v/>
      </c>
      <c r="AE880" s="270"/>
      <c r="AF880" s="265">
        <f t="shared" si="862"/>
        <v>0</v>
      </c>
      <c r="AG880" s="246"/>
      <c r="AH880" s="228">
        <f t="shared" si="885"/>
        <v>1</v>
      </c>
      <c r="AI880" s="228">
        <f t="shared" si="886"/>
        <v>1</v>
      </c>
      <c r="AJ880" s="228">
        <f t="shared" si="887"/>
        <v>0</v>
      </c>
      <c r="AK880" s="228">
        <v>0</v>
      </c>
      <c r="AL880" s="228">
        <v>0</v>
      </c>
      <c r="AM880" s="228">
        <f t="shared" si="863"/>
        <v>-100</v>
      </c>
      <c r="AN880" s="228" cm="1">
        <f t="array" ref="AN880">IF(ISBLANK(G880), 1, IFERROR(MATCH(G880, INDEX(Kat,,1), 0), IFERROR(MATCH(Kat, INDEX(Use,,2), 0), MATCH(Kat, INDEX(Use,,3), 0))))</f>
        <v>1</v>
      </c>
      <c r="AO880" s="246"/>
      <c r="AP880" s="228" cm="1">
        <f t="array" ref="AP880">IF(W880&gt;0, INDEX(Kat, AN880,4), 0)</f>
        <v>0</v>
      </c>
      <c r="AQ880" s="228">
        <f t="shared" si="888"/>
        <v>0</v>
      </c>
      <c r="AR880" s="228" cm="1">
        <f t="array" ref="AR880">IF(X880&gt;0, INDEX(Kat, $AN880, 4+AQ880), 0)</f>
        <v>0</v>
      </c>
      <c r="AS880" s="228" cm="1">
        <f t="array" ref="AS880">IF(X880&gt;0, INDEX(Kat, $AN880, 9+AQ880), 0)</f>
        <v>0</v>
      </c>
      <c r="AT880" s="246"/>
      <c r="AU880" s="262"/>
      <c r="AV880" s="262"/>
      <c r="AW880" s="263"/>
      <c r="AX880" s="263"/>
      <c r="AY880" s="263"/>
      <c r="AZ880" s="263"/>
      <c r="BA880" s="263"/>
      <c r="BB880" s="263"/>
      <c r="BC880" s="263"/>
      <c r="BD880" s="263"/>
      <c r="BE880" s="263"/>
      <c r="BF880" s="263"/>
      <c r="BG880" s="263"/>
      <c r="BH880" s="246"/>
      <c r="BI880" s="228" cm="1">
        <f t="array" ref="BI880">INDEX(Use, $AH880, 4)</f>
        <v>7</v>
      </c>
      <c r="BJ880" s="228">
        <f t="shared" si="864"/>
        <v>32</v>
      </c>
      <c r="BK880" s="228">
        <f t="shared" si="890"/>
        <v>13</v>
      </c>
      <c r="BL880" s="228">
        <f t="shared" si="891"/>
        <v>0</v>
      </c>
      <c r="BM880" s="233" cm="1">
        <f t="array" ref="BM880">L880/IF($M880&gt;0, INDEX($AY$22:$BE$76, $M880+20, $AH880), 1)</f>
        <v>0</v>
      </c>
      <c r="BN880" s="229">
        <f t="shared" si="865"/>
        <v>0</v>
      </c>
      <c r="BO880" s="228">
        <v>35</v>
      </c>
      <c r="BP880" s="229">
        <f t="shared" si="866"/>
        <v>48</v>
      </c>
      <c r="BQ880" s="234">
        <f t="shared" si="867"/>
        <v>3.0748170731707316</v>
      </c>
      <c r="BR880" s="234" cm="1">
        <f t="array" ref="BR880">$BM880 * SUMPRODUCT(INDEX($AV$76:$AX$81,,$AI880),INDEX($AY$76:$BE$81,,$AH880), N($AU$76:$AU$81&gt;$AM880)) / BQ880 / 1000</f>
        <v>0</v>
      </c>
      <c r="BS880" s="231">
        <f t="shared" si="892"/>
        <v>30</v>
      </c>
      <c r="BT880" s="229">
        <f t="shared" si="868"/>
        <v>43</v>
      </c>
      <c r="BU880" s="234">
        <f t="shared" si="869"/>
        <v>3.5018750000000001</v>
      </c>
      <c r="BV880" s="234" cm="1">
        <f t="array" ref="BV880">$BM880 * IF($AH880&lt;=2,
SUMPRODUCT(INDEX($AV$71:$AX$75,,$AI880), INDEX($AY$71:$BE$75,,$AH880), 1 / ($BF$71:$BF$75*BU880 + (1-$BF$71:$BF$75)*BQ880), N($AU$71:$AU$75&gt;$AM880)),
SUMPRODUCT(INDEX($AV$66:$AX$75,,$AI880), INDEX($AY$66:$BE$75,,$AH880), 1 / ($BG$66:$BG$75*BU880 + (1-$BG$66:$BG$75)*BQ880), N($AU$66:$AU$75&gt;$AM880))
) / 1000</f>
        <v>0</v>
      </c>
      <c r="BW880" s="231">
        <f t="shared" si="893"/>
        <v>25</v>
      </c>
      <c r="BX880" s="229">
        <f t="shared" si="870"/>
        <v>38</v>
      </c>
      <c r="BY880" s="234">
        <f t="shared" si="871"/>
        <v>4.0666935483870965</v>
      </c>
      <c r="BZ880" s="234" cm="1">
        <f t="array" ref="BZ880">$BM880 * IF($AH880&lt;=2,
SUMPRODUCT(INDEX($AV$66:$AX$70,,$AI880), INDEX($AY$66:$BE$70,,$AH880), 1 / ($BF$66:$BF$70*BY880 + (1-$BF$66:$BF$70)*BU880), N($AU$66:$AU$70&gt;$AM880)),
SUMPRODUCT(INDEX($AV$56:$AX$65,,$AI880), INDEX($AY$56:$BE$65,,$AH880), 1 / ($BG$56:$BG$65*BY880 + (1-$BG$56:$BG$65)*BU880), N($AU$56:$AU$65&gt;$AM880))
) / 1000</f>
        <v>0</v>
      </c>
      <c r="CA880" s="231">
        <f t="shared" si="894"/>
        <v>20</v>
      </c>
      <c r="CB880" s="229">
        <f t="shared" si="872"/>
        <v>33</v>
      </c>
      <c r="CC880" s="234">
        <f t="shared" si="873"/>
        <v>4.8487499999999999</v>
      </c>
      <c r="CD880" s="234" cm="1">
        <f t="array" ref="CD880">$BM880 * IF($AH880&lt;=2,
SUMPRODUCT(INDEX($AV$61:$AX$65,,$AI880), INDEX($AY$61:$BE$65,,$AH880), 1 / ($BF$61:$BF$65*CC880 + (1-$BF$61:$BF$65)*BY880), N($AU$61:$AU$65&gt;$AM880)),
SUMPRODUCT(INDEX($AV$46:$AX$55,,$AI880), INDEX($AY$46:$BE$55,,$AH880), 1 / ($BG$46:$BG$55*CC880 + (1-$BG$46:$BG$55)*BY880), N($AU$46:$AU$55&gt;$AM880))
) / 1000</f>
        <v>0</v>
      </c>
      <c r="CE880" s="234" cm="1">
        <f t="array" ref="CE880">$BM880 * IF($AH880&lt;=2,
SUMPRODUCT(INDEX($AV$22:$AX$60,,$AI880), INDEX($AY$22:$BE$60,,$AH880), 1 / ($BF$22:$BF$60*CC880), N($AU$22:$AU$60&gt;$AM880)),
SUMPRODUCT(INDEX($AV$22:$AX$45,,$AI880), INDEX($AY$22:$BE$45,,$AH880), 1 / ($BG$22:$BG$45*CC880), N($AU$22:$AU$45&gt;$AM880))
) / 1000</f>
        <v>0</v>
      </c>
      <c r="CF880" s="229">
        <f t="shared" si="874"/>
        <v>0</v>
      </c>
      <c r="CG880" s="246"/>
      <c r="CH880" s="229">
        <f t="shared" si="875"/>
        <v>0</v>
      </c>
      <c r="CI880" s="228">
        <v>35</v>
      </c>
      <c r="CJ880" s="229">
        <f t="shared" si="876"/>
        <v>48</v>
      </c>
      <c r="CK880" s="234">
        <f t="shared" si="877"/>
        <v>3.0748170731707316</v>
      </c>
      <c r="CL880" s="234" cm="1">
        <f t="array" ref="CL880">$BM880 * SUMPRODUCT(INDEX($AV$76:$AX$81,,$AI880),INDEX($AY$76:$BE$81,,$AH880), N($AU$76:$AU$81&gt;$AM880)) / CK880 / 1000</f>
        <v>0</v>
      </c>
      <c r="CM880" s="231">
        <f t="shared" si="895"/>
        <v>30</v>
      </c>
      <c r="CN880" s="229">
        <f t="shared" si="878"/>
        <v>43</v>
      </c>
      <c r="CO880" s="234">
        <f t="shared" si="879"/>
        <v>3.5018750000000001</v>
      </c>
      <c r="CP880" s="234" cm="1">
        <f t="array" ref="CP880">$BM880 * IF($AH880&lt;=2,
SUMPRODUCT(INDEX($AV$71:$AX$75,,$AI880), INDEX($AY$71:$BE$75,,$AH880), 1 / ($BF$71:$BF$75*CO880 + (1-$BF$71:$BF$75)*CK880), N($AU$71:$AU$75&gt;$AM880)),
SUMPRODUCT(INDEX($AV$66:$AX$75,,$AI880), INDEX($AY$66:$BE$75,,$AH880), 1 / ($BG$66:$BG$75*CO880 + (1-$BG$66:$BG$75)*CK880), N($AU$66:$AU$75&gt;$AM880))
) / 1000</f>
        <v>0</v>
      </c>
      <c r="CQ880" s="231">
        <f t="shared" si="896"/>
        <v>25</v>
      </c>
      <c r="CR880" s="229">
        <f t="shared" si="880"/>
        <v>38</v>
      </c>
      <c r="CS880" s="234">
        <f t="shared" si="881"/>
        <v>4.0666935483870965</v>
      </c>
      <c r="CT880" s="234" cm="1">
        <f t="array" ref="CT880">$BM880 * IF($AH880&lt;=2,
SUMPRODUCT(INDEX($AV$66:$AX$70,,$AI880), INDEX($AY$66:$BE$70,,$AH880), 1 / ($BF$66:$BF$70*CS880 + (1-$BF$66:$BF$70)*CO880), N($AU$66:$AU$70&gt;$AM880)),
SUMPRODUCT(INDEX($AV$56:$AX$65,,$AI880), INDEX($AY$56:$BE$65,,$AH880), 1 / ($BG$56:$BG$65*CS880 + (1-$BG$56:$BG$65)*CO880), N($AU$56:$AU$65&gt;$AM880))
) / 1000</f>
        <v>0</v>
      </c>
      <c r="CU880" s="231">
        <f t="shared" si="897"/>
        <v>20</v>
      </c>
      <c r="CV880" s="229">
        <f t="shared" si="882"/>
        <v>33</v>
      </c>
      <c r="CW880" s="234">
        <f t="shared" si="883"/>
        <v>4.8487499999999999</v>
      </c>
      <c r="CX880" s="234" cm="1">
        <f t="array" ref="CX880">$BM880 * IF($AH880&lt;=2,
SUMPRODUCT(INDEX($AV$61:$AX$65,,$AI880), INDEX($AY$61:$BE$65,,$AH880), 1 / ($BF$61:$BF$65*CW880 + (1-$BF$61:$BF$65)*CS880), N($AU$61:$AU$65&gt;$AM880)),
SUMPRODUCT(INDEX($AV$46:$AX$55,,$AI880), INDEX($AY$46:$BE$55,,$AH880), 1 / ($BG$46:$BG$55*CW880 + (1-$BG$46:$BG$55)*CS880), N($AU$46:$AU$55&gt;$AM880))
) / 1000</f>
        <v>0</v>
      </c>
      <c r="CY880" s="234" cm="1">
        <f t="array" ref="CY880">$BM880 * IF($AH880&lt;=2,
SUMPRODUCT(INDEX($AV$22:$AX$60,,$AI880), INDEX($AY$22:$BE$60,,$AH880), 1 / ($BF$22:$BF$60*CW880), N($AU$22:$AU$60&gt;$AM880)),
SUMPRODUCT(INDEX($AV$22:$AX$45,,$AI880), INDEX($AY$22:$BE$45,,$AH880), 1 / ($BG$22:$BG$45*CW880), N($AU$22:$AU$45&gt;$AM880))
) / 1000</f>
        <v>0</v>
      </c>
      <c r="CZ880" s="229">
        <f t="shared" si="884"/>
        <v>0</v>
      </c>
      <c r="DA880" s="246"/>
    </row>
    <row r="881" spans="1:105" s="75" customFormat="1" ht="14.25" customHeight="1" x14ac:dyDescent="0.2">
      <c r="A881" s="230" t="b">
        <f t="shared" si="889"/>
        <v>0</v>
      </c>
      <c r="B881" s="253">
        <v>860</v>
      </c>
      <c r="C881" s="266"/>
      <c r="D881" s="266"/>
      <c r="E881" s="254"/>
      <c r="F881" s="255" t="str">
        <f>IF(ISBLANK(E881), "", VLOOKUP(E881, Z!$A$2:$C$4127, 3, FALSE))</f>
        <v/>
      </c>
      <c r="G881" s="256"/>
      <c r="H881" s="256"/>
      <c r="I881" s="256"/>
      <c r="J881" s="257"/>
      <c r="K881" s="258"/>
      <c r="L881" s="267"/>
      <c r="M881" s="268"/>
      <c r="N881" s="259" t="str" cm="1">
        <f t="array" ref="N881">IF($L881&gt;0, INDEX(Clean,1+AK881,$D$1), "")</f>
        <v/>
      </c>
      <c r="O881" s="260"/>
      <c r="P881" s="260"/>
      <c r="Q881" s="261"/>
      <c r="R881" s="264">
        <f t="shared" si="860"/>
        <v>0</v>
      </c>
      <c r="S881" s="259" t="str" cm="1">
        <f t="array" ref="S881">IF($L881&gt;0, INDEX(Clean,1+AL881,$D$1), "")</f>
        <v/>
      </c>
      <c r="T881" s="260"/>
      <c r="U881" s="260"/>
      <c r="V881" s="261"/>
      <c r="W881" s="267"/>
      <c r="X881" s="267"/>
      <c r="Y881" s="257"/>
      <c r="Z881" s="264">
        <f t="shared" si="861"/>
        <v>0</v>
      </c>
      <c r="AA881" s="269"/>
      <c r="AB881" s="266"/>
      <c r="AC881" s="254"/>
      <c r="AD881" s="255" t="str">
        <f>IF(ISBLANK(AC881), "", VLOOKUP(AC881, Z!$A$2:$C$4127, 3, FALSE))</f>
        <v/>
      </c>
      <c r="AE881" s="270"/>
      <c r="AF881" s="265">
        <f t="shared" si="862"/>
        <v>0</v>
      </c>
      <c r="AG881" s="246"/>
      <c r="AH881" s="228">
        <f t="shared" si="885"/>
        <v>1</v>
      </c>
      <c r="AI881" s="228">
        <f t="shared" si="886"/>
        <v>1</v>
      </c>
      <c r="AJ881" s="228">
        <f t="shared" si="887"/>
        <v>0</v>
      </c>
      <c r="AK881" s="228">
        <v>0</v>
      </c>
      <c r="AL881" s="228">
        <v>0</v>
      </c>
      <c r="AM881" s="228">
        <f t="shared" si="863"/>
        <v>-100</v>
      </c>
      <c r="AN881" s="228" cm="1">
        <f t="array" ref="AN881">IF(ISBLANK(G881), 1, IFERROR(MATCH(G881, INDEX(Kat,,1), 0), IFERROR(MATCH(Kat, INDEX(Use,,2), 0), MATCH(Kat, INDEX(Use,,3), 0))))</f>
        <v>1</v>
      </c>
      <c r="AO881" s="246"/>
      <c r="AP881" s="228" cm="1">
        <f t="array" ref="AP881">IF(W881&gt;0, INDEX(Kat, AN881,4), 0)</f>
        <v>0</v>
      </c>
      <c r="AQ881" s="228">
        <f t="shared" si="888"/>
        <v>0</v>
      </c>
      <c r="AR881" s="228" cm="1">
        <f t="array" ref="AR881">IF(X881&gt;0, INDEX(Kat, $AN881, 4+AQ881), 0)</f>
        <v>0</v>
      </c>
      <c r="AS881" s="228" cm="1">
        <f t="array" ref="AS881">IF(X881&gt;0, INDEX(Kat, $AN881, 9+AQ881), 0)</f>
        <v>0</v>
      </c>
      <c r="AT881" s="246"/>
      <c r="AU881" s="262"/>
      <c r="AV881" s="262"/>
      <c r="AW881" s="263"/>
      <c r="AX881" s="263"/>
      <c r="AY881" s="263"/>
      <c r="AZ881" s="263"/>
      <c r="BA881" s="263"/>
      <c r="BB881" s="263"/>
      <c r="BC881" s="263"/>
      <c r="BD881" s="263"/>
      <c r="BE881" s="263"/>
      <c r="BF881" s="263"/>
      <c r="BG881" s="263"/>
      <c r="BH881" s="246"/>
      <c r="BI881" s="228" cm="1">
        <f t="array" ref="BI881">INDEX(Use, $AH881, 4)</f>
        <v>7</v>
      </c>
      <c r="BJ881" s="228">
        <f t="shared" si="864"/>
        <v>32</v>
      </c>
      <c r="BK881" s="228">
        <f t="shared" si="890"/>
        <v>13</v>
      </c>
      <c r="BL881" s="228">
        <f t="shared" si="891"/>
        <v>0</v>
      </c>
      <c r="BM881" s="233" cm="1">
        <f t="array" ref="BM881">L881/IF($M881&gt;0, INDEX($AY$22:$BE$76, $M881+20, $AH881), 1)</f>
        <v>0</v>
      </c>
      <c r="BN881" s="229">
        <f t="shared" si="865"/>
        <v>0</v>
      </c>
      <c r="BO881" s="228">
        <v>35</v>
      </c>
      <c r="BP881" s="229">
        <f t="shared" si="866"/>
        <v>48</v>
      </c>
      <c r="BQ881" s="234">
        <f t="shared" si="867"/>
        <v>3.0748170731707316</v>
      </c>
      <c r="BR881" s="234" cm="1">
        <f t="array" ref="BR881">$BM881 * SUMPRODUCT(INDEX($AV$76:$AX$81,,$AI881),INDEX($AY$76:$BE$81,,$AH881), N($AU$76:$AU$81&gt;$AM881)) / BQ881 / 1000</f>
        <v>0</v>
      </c>
      <c r="BS881" s="231">
        <f t="shared" si="892"/>
        <v>30</v>
      </c>
      <c r="BT881" s="229">
        <f t="shared" si="868"/>
        <v>43</v>
      </c>
      <c r="BU881" s="234">
        <f t="shared" si="869"/>
        <v>3.5018750000000001</v>
      </c>
      <c r="BV881" s="234" cm="1">
        <f t="array" ref="BV881">$BM881 * IF($AH881&lt;=2,
SUMPRODUCT(INDEX($AV$71:$AX$75,,$AI881), INDEX($AY$71:$BE$75,,$AH881), 1 / ($BF$71:$BF$75*BU881 + (1-$BF$71:$BF$75)*BQ881), N($AU$71:$AU$75&gt;$AM881)),
SUMPRODUCT(INDEX($AV$66:$AX$75,,$AI881), INDEX($AY$66:$BE$75,,$AH881), 1 / ($BG$66:$BG$75*BU881 + (1-$BG$66:$BG$75)*BQ881), N($AU$66:$AU$75&gt;$AM881))
) / 1000</f>
        <v>0</v>
      </c>
      <c r="BW881" s="231">
        <f t="shared" si="893"/>
        <v>25</v>
      </c>
      <c r="BX881" s="229">
        <f t="shared" si="870"/>
        <v>38</v>
      </c>
      <c r="BY881" s="234">
        <f t="shared" si="871"/>
        <v>4.0666935483870965</v>
      </c>
      <c r="BZ881" s="234" cm="1">
        <f t="array" ref="BZ881">$BM881 * IF($AH881&lt;=2,
SUMPRODUCT(INDEX($AV$66:$AX$70,,$AI881), INDEX($AY$66:$BE$70,,$AH881), 1 / ($BF$66:$BF$70*BY881 + (1-$BF$66:$BF$70)*BU881), N($AU$66:$AU$70&gt;$AM881)),
SUMPRODUCT(INDEX($AV$56:$AX$65,,$AI881), INDEX($AY$56:$BE$65,,$AH881), 1 / ($BG$56:$BG$65*BY881 + (1-$BG$56:$BG$65)*BU881), N($AU$56:$AU$65&gt;$AM881))
) / 1000</f>
        <v>0</v>
      </c>
      <c r="CA881" s="231">
        <f t="shared" si="894"/>
        <v>20</v>
      </c>
      <c r="CB881" s="229">
        <f t="shared" si="872"/>
        <v>33</v>
      </c>
      <c r="CC881" s="234">
        <f t="shared" si="873"/>
        <v>4.8487499999999999</v>
      </c>
      <c r="CD881" s="234" cm="1">
        <f t="array" ref="CD881">$BM881 * IF($AH881&lt;=2,
SUMPRODUCT(INDEX($AV$61:$AX$65,,$AI881), INDEX($AY$61:$BE$65,,$AH881), 1 / ($BF$61:$BF$65*CC881 + (1-$BF$61:$BF$65)*BY881), N($AU$61:$AU$65&gt;$AM881)),
SUMPRODUCT(INDEX($AV$46:$AX$55,,$AI881), INDEX($AY$46:$BE$55,,$AH881), 1 / ($BG$46:$BG$55*CC881 + (1-$BG$46:$BG$55)*BY881), N($AU$46:$AU$55&gt;$AM881))
) / 1000</f>
        <v>0</v>
      </c>
      <c r="CE881" s="234" cm="1">
        <f t="array" ref="CE881">$BM881 * IF($AH881&lt;=2,
SUMPRODUCT(INDEX($AV$22:$AX$60,,$AI881), INDEX($AY$22:$BE$60,,$AH881), 1 / ($BF$22:$BF$60*CC881), N($AU$22:$AU$60&gt;$AM881)),
SUMPRODUCT(INDEX($AV$22:$AX$45,,$AI881), INDEX($AY$22:$BE$45,,$AH881), 1 / ($BG$22:$BG$45*CC881), N($AU$22:$AU$45&gt;$AM881))
) / 1000</f>
        <v>0</v>
      </c>
      <c r="CF881" s="229">
        <f t="shared" si="874"/>
        <v>0</v>
      </c>
      <c r="CG881" s="246"/>
      <c r="CH881" s="229">
        <f t="shared" si="875"/>
        <v>0</v>
      </c>
      <c r="CI881" s="228">
        <v>35</v>
      </c>
      <c r="CJ881" s="229">
        <f t="shared" si="876"/>
        <v>48</v>
      </c>
      <c r="CK881" s="234">
        <f t="shared" si="877"/>
        <v>3.0748170731707316</v>
      </c>
      <c r="CL881" s="234" cm="1">
        <f t="array" ref="CL881">$BM881 * SUMPRODUCT(INDEX($AV$76:$AX$81,,$AI881),INDEX($AY$76:$BE$81,,$AH881), N($AU$76:$AU$81&gt;$AM881)) / CK881 / 1000</f>
        <v>0</v>
      </c>
      <c r="CM881" s="231">
        <f t="shared" si="895"/>
        <v>30</v>
      </c>
      <c r="CN881" s="229">
        <f t="shared" si="878"/>
        <v>43</v>
      </c>
      <c r="CO881" s="234">
        <f t="shared" si="879"/>
        <v>3.5018750000000001</v>
      </c>
      <c r="CP881" s="234" cm="1">
        <f t="array" ref="CP881">$BM881 * IF($AH881&lt;=2,
SUMPRODUCT(INDEX($AV$71:$AX$75,,$AI881), INDEX($AY$71:$BE$75,,$AH881), 1 / ($BF$71:$BF$75*CO881 + (1-$BF$71:$BF$75)*CK881), N($AU$71:$AU$75&gt;$AM881)),
SUMPRODUCT(INDEX($AV$66:$AX$75,,$AI881), INDEX($AY$66:$BE$75,,$AH881), 1 / ($BG$66:$BG$75*CO881 + (1-$BG$66:$BG$75)*CK881), N($AU$66:$AU$75&gt;$AM881))
) / 1000</f>
        <v>0</v>
      </c>
      <c r="CQ881" s="231">
        <f t="shared" si="896"/>
        <v>25</v>
      </c>
      <c r="CR881" s="229">
        <f t="shared" si="880"/>
        <v>38</v>
      </c>
      <c r="CS881" s="234">
        <f t="shared" si="881"/>
        <v>4.0666935483870965</v>
      </c>
      <c r="CT881" s="234" cm="1">
        <f t="array" ref="CT881">$BM881 * IF($AH881&lt;=2,
SUMPRODUCT(INDEX($AV$66:$AX$70,,$AI881), INDEX($AY$66:$BE$70,,$AH881), 1 / ($BF$66:$BF$70*CS881 + (1-$BF$66:$BF$70)*CO881), N($AU$66:$AU$70&gt;$AM881)),
SUMPRODUCT(INDEX($AV$56:$AX$65,,$AI881), INDEX($AY$56:$BE$65,,$AH881), 1 / ($BG$56:$BG$65*CS881 + (1-$BG$56:$BG$65)*CO881), N($AU$56:$AU$65&gt;$AM881))
) / 1000</f>
        <v>0</v>
      </c>
      <c r="CU881" s="231">
        <f t="shared" si="897"/>
        <v>20</v>
      </c>
      <c r="CV881" s="229">
        <f t="shared" si="882"/>
        <v>33</v>
      </c>
      <c r="CW881" s="234">
        <f t="shared" si="883"/>
        <v>4.8487499999999999</v>
      </c>
      <c r="CX881" s="234" cm="1">
        <f t="array" ref="CX881">$BM881 * IF($AH881&lt;=2,
SUMPRODUCT(INDEX($AV$61:$AX$65,,$AI881), INDEX($AY$61:$BE$65,,$AH881), 1 / ($BF$61:$BF$65*CW881 + (1-$BF$61:$BF$65)*CS881), N($AU$61:$AU$65&gt;$AM881)),
SUMPRODUCT(INDEX($AV$46:$AX$55,,$AI881), INDEX($AY$46:$BE$55,,$AH881), 1 / ($BG$46:$BG$55*CW881 + (1-$BG$46:$BG$55)*CS881), N($AU$46:$AU$55&gt;$AM881))
) / 1000</f>
        <v>0</v>
      </c>
      <c r="CY881" s="234" cm="1">
        <f t="array" ref="CY881">$BM881 * IF($AH881&lt;=2,
SUMPRODUCT(INDEX($AV$22:$AX$60,,$AI881), INDEX($AY$22:$BE$60,,$AH881), 1 / ($BF$22:$BF$60*CW881), N($AU$22:$AU$60&gt;$AM881)),
SUMPRODUCT(INDEX($AV$22:$AX$45,,$AI881), INDEX($AY$22:$BE$45,,$AH881), 1 / ($BG$22:$BG$45*CW881), N($AU$22:$AU$45&gt;$AM881))
) / 1000</f>
        <v>0</v>
      </c>
      <c r="CZ881" s="229">
        <f t="shared" si="884"/>
        <v>0</v>
      </c>
      <c r="DA881" s="246"/>
    </row>
    <row r="882" spans="1:105" s="75" customFormat="1" ht="14.25" customHeight="1" x14ac:dyDescent="0.2">
      <c r="A882" s="230" t="b">
        <f t="shared" si="889"/>
        <v>0</v>
      </c>
      <c r="B882" s="253">
        <v>861</v>
      </c>
      <c r="C882" s="266"/>
      <c r="D882" s="266"/>
      <c r="E882" s="254"/>
      <c r="F882" s="255" t="str">
        <f>IF(ISBLANK(E882), "", VLOOKUP(E882, Z!$A$2:$C$4127, 3, FALSE))</f>
        <v/>
      </c>
      <c r="G882" s="256"/>
      <c r="H882" s="256"/>
      <c r="I882" s="256"/>
      <c r="J882" s="257"/>
      <c r="K882" s="258"/>
      <c r="L882" s="267"/>
      <c r="M882" s="268"/>
      <c r="N882" s="259" t="str" cm="1">
        <f t="array" ref="N882">IF($L882&gt;0, INDEX(Clean,1+AK882,$D$1), "")</f>
        <v/>
      </c>
      <c r="O882" s="260"/>
      <c r="P882" s="260"/>
      <c r="Q882" s="261"/>
      <c r="R882" s="264">
        <f t="shared" si="860"/>
        <v>0</v>
      </c>
      <c r="S882" s="259" t="str" cm="1">
        <f t="array" ref="S882">IF($L882&gt;0, INDEX(Clean,1+AL882,$D$1), "")</f>
        <v/>
      </c>
      <c r="T882" s="260"/>
      <c r="U882" s="260"/>
      <c r="V882" s="261"/>
      <c r="W882" s="267"/>
      <c r="X882" s="267"/>
      <c r="Y882" s="257"/>
      <c r="Z882" s="264">
        <f t="shared" si="861"/>
        <v>0</v>
      </c>
      <c r="AA882" s="269"/>
      <c r="AB882" s="266"/>
      <c r="AC882" s="254"/>
      <c r="AD882" s="255" t="str">
        <f>IF(ISBLANK(AC882), "", VLOOKUP(AC882, Z!$A$2:$C$4127, 3, FALSE))</f>
        <v/>
      </c>
      <c r="AE882" s="270"/>
      <c r="AF882" s="265">
        <f t="shared" si="862"/>
        <v>0</v>
      </c>
      <c r="AG882" s="246"/>
      <c r="AH882" s="228">
        <f t="shared" si="885"/>
        <v>1</v>
      </c>
      <c r="AI882" s="228">
        <f t="shared" si="886"/>
        <v>1</v>
      </c>
      <c r="AJ882" s="228">
        <f t="shared" si="887"/>
        <v>0</v>
      </c>
      <c r="AK882" s="228">
        <v>0</v>
      </c>
      <c r="AL882" s="228">
        <v>0</v>
      </c>
      <c r="AM882" s="228">
        <f t="shared" si="863"/>
        <v>-100</v>
      </c>
      <c r="AN882" s="228" cm="1">
        <f t="array" ref="AN882">IF(ISBLANK(G882), 1, IFERROR(MATCH(G882, INDEX(Kat,,1), 0), IFERROR(MATCH(Kat, INDEX(Use,,2), 0), MATCH(Kat, INDEX(Use,,3), 0))))</f>
        <v>1</v>
      </c>
      <c r="AO882" s="246"/>
      <c r="AP882" s="228" cm="1">
        <f t="array" ref="AP882">IF(W882&gt;0, INDEX(Kat, AN882,4), 0)</f>
        <v>0</v>
      </c>
      <c r="AQ882" s="228">
        <f t="shared" si="888"/>
        <v>0</v>
      </c>
      <c r="AR882" s="228" cm="1">
        <f t="array" ref="AR882">IF(X882&gt;0, INDEX(Kat, $AN882, 4+AQ882), 0)</f>
        <v>0</v>
      </c>
      <c r="AS882" s="228" cm="1">
        <f t="array" ref="AS882">IF(X882&gt;0, INDEX(Kat, $AN882, 9+AQ882), 0)</f>
        <v>0</v>
      </c>
      <c r="AT882" s="246"/>
      <c r="AU882" s="262"/>
      <c r="AV882" s="262"/>
      <c r="AW882" s="263"/>
      <c r="AX882" s="263"/>
      <c r="AY882" s="263"/>
      <c r="AZ882" s="263"/>
      <c r="BA882" s="263"/>
      <c r="BB882" s="263"/>
      <c r="BC882" s="263"/>
      <c r="BD882" s="263"/>
      <c r="BE882" s="263"/>
      <c r="BF882" s="263"/>
      <c r="BG882" s="263"/>
      <c r="BH882" s="246"/>
      <c r="BI882" s="228" cm="1">
        <f t="array" ref="BI882">INDEX(Use, $AH882, 4)</f>
        <v>7</v>
      </c>
      <c r="BJ882" s="228">
        <f t="shared" si="864"/>
        <v>32</v>
      </c>
      <c r="BK882" s="228">
        <f t="shared" si="890"/>
        <v>13</v>
      </c>
      <c r="BL882" s="228">
        <f t="shared" si="891"/>
        <v>0</v>
      </c>
      <c r="BM882" s="233" cm="1">
        <f t="array" ref="BM882">L882/IF($M882&gt;0, INDEX($AY$22:$BE$76, $M882+20, $AH882), 1)</f>
        <v>0</v>
      </c>
      <c r="BN882" s="229">
        <f t="shared" si="865"/>
        <v>0</v>
      </c>
      <c r="BO882" s="228">
        <v>35</v>
      </c>
      <c r="BP882" s="229">
        <f t="shared" si="866"/>
        <v>48</v>
      </c>
      <c r="BQ882" s="234">
        <f t="shared" si="867"/>
        <v>3.0748170731707316</v>
      </c>
      <c r="BR882" s="234" cm="1">
        <f t="array" ref="BR882">$BM882 * SUMPRODUCT(INDEX($AV$76:$AX$81,,$AI882),INDEX($AY$76:$BE$81,,$AH882), N($AU$76:$AU$81&gt;$AM882)) / BQ882 / 1000</f>
        <v>0</v>
      </c>
      <c r="BS882" s="231">
        <f t="shared" si="892"/>
        <v>30</v>
      </c>
      <c r="BT882" s="229">
        <f t="shared" si="868"/>
        <v>43</v>
      </c>
      <c r="BU882" s="234">
        <f t="shared" si="869"/>
        <v>3.5018750000000001</v>
      </c>
      <c r="BV882" s="234" cm="1">
        <f t="array" ref="BV882">$BM882 * IF($AH882&lt;=2,
SUMPRODUCT(INDEX($AV$71:$AX$75,,$AI882), INDEX($AY$71:$BE$75,,$AH882), 1 / ($BF$71:$BF$75*BU882 + (1-$BF$71:$BF$75)*BQ882), N($AU$71:$AU$75&gt;$AM882)),
SUMPRODUCT(INDEX($AV$66:$AX$75,,$AI882), INDEX($AY$66:$BE$75,,$AH882), 1 / ($BG$66:$BG$75*BU882 + (1-$BG$66:$BG$75)*BQ882), N($AU$66:$AU$75&gt;$AM882))
) / 1000</f>
        <v>0</v>
      </c>
      <c r="BW882" s="231">
        <f t="shared" si="893"/>
        <v>25</v>
      </c>
      <c r="BX882" s="229">
        <f t="shared" si="870"/>
        <v>38</v>
      </c>
      <c r="BY882" s="234">
        <f t="shared" si="871"/>
        <v>4.0666935483870965</v>
      </c>
      <c r="BZ882" s="234" cm="1">
        <f t="array" ref="BZ882">$BM882 * IF($AH882&lt;=2,
SUMPRODUCT(INDEX($AV$66:$AX$70,,$AI882), INDEX($AY$66:$BE$70,,$AH882), 1 / ($BF$66:$BF$70*BY882 + (1-$BF$66:$BF$70)*BU882), N($AU$66:$AU$70&gt;$AM882)),
SUMPRODUCT(INDEX($AV$56:$AX$65,,$AI882), INDEX($AY$56:$BE$65,,$AH882), 1 / ($BG$56:$BG$65*BY882 + (1-$BG$56:$BG$65)*BU882), N($AU$56:$AU$65&gt;$AM882))
) / 1000</f>
        <v>0</v>
      </c>
      <c r="CA882" s="231">
        <f t="shared" si="894"/>
        <v>20</v>
      </c>
      <c r="CB882" s="229">
        <f t="shared" si="872"/>
        <v>33</v>
      </c>
      <c r="CC882" s="234">
        <f t="shared" si="873"/>
        <v>4.8487499999999999</v>
      </c>
      <c r="CD882" s="234" cm="1">
        <f t="array" ref="CD882">$BM882 * IF($AH882&lt;=2,
SUMPRODUCT(INDEX($AV$61:$AX$65,,$AI882), INDEX($AY$61:$BE$65,,$AH882), 1 / ($BF$61:$BF$65*CC882 + (1-$BF$61:$BF$65)*BY882), N($AU$61:$AU$65&gt;$AM882)),
SUMPRODUCT(INDEX($AV$46:$AX$55,,$AI882), INDEX($AY$46:$BE$55,,$AH882), 1 / ($BG$46:$BG$55*CC882 + (1-$BG$46:$BG$55)*BY882), N($AU$46:$AU$55&gt;$AM882))
) / 1000</f>
        <v>0</v>
      </c>
      <c r="CE882" s="234" cm="1">
        <f t="array" ref="CE882">$BM882 * IF($AH882&lt;=2,
SUMPRODUCT(INDEX($AV$22:$AX$60,,$AI882), INDEX($AY$22:$BE$60,,$AH882), 1 / ($BF$22:$BF$60*CC882), N($AU$22:$AU$60&gt;$AM882)),
SUMPRODUCT(INDEX($AV$22:$AX$45,,$AI882), INDEX($AY$22:$BE$45,,$AH882), 1 / ($BG$22:$BG$45*CC882), N($AU$22:$AU$45&gt;$AM882))
) / 1000</f>
        <v>0</v>
      </c>
      <c r="CF882" s="229">
        <f t="shared" si="874"/>
        <v>0</v>
      </c>
      <c r="CG882" s="246"/>
      <c r="CH882" s="229">
        <f t="shared" si="875"/>
        <v>0</v>
      </c>
      <c r="CI882" s="228">
        <v>35</v>
      </c>
      <c r="CJ882" s="229">
        <f t="shared" si="876"/>
        <v>48</v>
      </c>
      <c r="CK882" s="234">
        <f t="shared" si="877"/>
        <v>3.0748170731707316</v>
      </c>
      <c r="CL882" s="234" cm="1">
        <f t="array" ref="CL882">$BM882 * SUMPRODUCT(INDEX($AV$76:$AX$81,,$AI882),INDEX($AY$76:$BE$81,,$AH882), N($AU$76:$AU$81&gt;$AM882)) / CK882 / 1000</f>
        <v>0</v>
      </c>
      <c r="CM882" s="231">
        <f t="shared" si="895"/>
        <v>30</v>
      </c>
      <c r="CN882" s="229">
        <f t="shared" si="878"/>
        <v>43</v>
      </c>
      <c r="CO882" s="234">
        <f t="shared" si="879"/>
        <v>3.5018750000000001</v>
      </c>
      <c r="CP882" s="234" cm="1">
        <f t="array" ref="CP882">$BM882 * IF($AH882&lt;=2,
SUMPRODUCT(INDEX($AV$71:$AX$75,,$AI882), INDEX($AY$71:$BE$75,,$AH882), 1 / ($BF$71:$BF$75*CO882 + (1-$BF$71:$BF$75)*CK882), N($AU$71:$AU$75&gt;$AM882)),
SUMPRODUCT(INDEX($AV$66:$AX$75,,$AI882), INDEX($AY$66:$BE$75,,$AH882), 1 / ($BG$66:$BG$75*CO882 + (1-$BG$66:$BG$75)*CK882), N($AU$66:$AU$75&gt;$AM882))
) / 1000</f>
        <v>0</v>
      </c>
      <c r="CQ882" s="231">
        <f t="shared" si="896"/>
        <v>25</v>
      </c>
      <c r="CR882" s="229">
        <f t="shared" si="880"/>
        <v>38</v>
      </c>
      <c r="CS882" s="234">
        <f t="shared" si="881"/>
        <v>4.0666935483870965</v>
      </c>
      <c r="CT882" s="234" cm="1">
        <f t="array" ref="CT882">$BM882 * IF($AH882&lt;=2,
SUMPRODUCT(INDEX($AV$66:$AX$70,,$AI882), INDEX($AY$66:$BE$70,,$AH882), 1 / ($BF$66:$BF$70*CS882 + (1-$BF$66:$BF$70)*CO882), N($AU$66:$AU$70&gt;$AM882)),
SUMPRODUCT(INDEX($AV$56:$AX$65,,$AI882), INDEX($AY$56:$BE$65,,$AH882), 1 / ($BG$56:$BG$65*CS882 + (1-$BG$56:$BG$65)*CO882), N($AU$56:$AU$65&gt;$AM882))
) / 1000</f>
        <v>0</v>
      </c>
      <c r="CU882" s="231">
        <f t="shared" si="897"/>
        <v>20</v>
      </c>
      <c r="CV882" s="229">
        <f t="shared" si="882"/>
        <v>33</v>
      </c>
      <c r="CW882" s="234">
        <f t="shared" si="883"/>
        <v>4.8487499999999999</v>
      </c>
      <c r="CX882" s="234" cm="1">
        <f t="array" ref="CX882">$BM882 * IF($AH882&lt;=2,
SUMPRODUCT(INDEX($AV$61:$AX$65,,$AI882), INDEX($AY$61:$BE$65,,$AH882), 1 / ($BF$61:$BF$65*CW882 + (1-$BF$61:$BF$65)*CS882), N($AU$61:$AU$65&gt;$AM882)),
SUMPRODUCT(INDEX($AV$46:$AX$55,,$AI882), INDEX($AY$46:$BE$55,,$AH882), 1 / ($BG$46:$BG$55*CW882 + (1-$BG$46:$BG$55)*CS882), N($AU$46:$AU$55&gt;$AM882))
) / 1000</f>
        <v>0</v>
      </c>
      <c r="CY882" s="234" cm="1">
        <f t="array" ref="CY882">$BM882 * IF($AH882&lt;=2,
SUMPRODUCT(INDEX($AV$22:$AX$60,,$AI882), INDEX($AY$22:$BE$60,,$AH882), 1 / ($BF$22:$BF$60*CW882), N($AU$22:$AU$60&gt;$AM882)),
SUMPRODUCT(INDEX($AV$22:$AX$45,,$AI882), INDEX($AY$22:$BE$45,,$AH882), 1 / ($BG$22:$BG$45*CW882), N($AU$22:$AU$45&gt;$AM882))
) / 1000</f>
        <v>0</v>
      </c>
      <c r="CZ882" s="229">
        <f t="shared" si="884"/>
        <v>0</v>
      </c>
      <c r="DA882" s="246"/>
    </row>
    <row r="883" spans="1:105" s="75" customFormat="1" ht="14.25" customHeight="1" x14ac:dyDescent="0.2">
      <c r="A883" s="230" t="b">
        <f t="shared" si="889"/>
        <v>0</v>
      </c>
      <c r="B883" s="253">
        <v>862</v>
      </c>
      <c r="C883" s="266"/>
      <c r="D883" s="266"/>
      <c r="E883" s="254"/>
      <c r="F883" s="255" t="str">
        <f>IF(ISBLANK(E883), "", VLOOKUP(E883, Z!$A$2:$C$4127, 3, FALSE))</f>
        <v/>
      </c>
      <c r="G883" s="256"/>
      <c r="H883" s="256"/>
      <c r="I883" s="256"/>
      <c r="J883" s="257"/>
      <c r="K883" s="258"/>
      <c r="L883" s="267"/>
      <c r="M883" s="268"/>
      <c r="N883" s="259" t="str" cm="1">
        <f t="array" ref="N883">IF($L883&gt;0, INDEX(Clean,1+AK883,$D$1), "")</f>
        <v/>
      </c>
      <c r="O883" s="260"/>
      <c r="P883" s="260"/>
      <c r="Q883" s="261"/>
      <c r="R883" s="264">
        <f t="shared" si="860"/>
        <v>0</v>
      </c>
      <c r="S883" s="259" t="str" cm="1">
        <f t="array" ref="S883">IF($L883&gt;0, INDEX(Clean,1+AL883,$D$1), "")</f>
        <v/>
      </c>
      <c r="T883" s="260"/>
      <c r="U883" s="260"/>
      <c r="V883" s="261"/>
      <c r="W883" s="267"/>
      <c r="X883" s="267"/>
      <c r="Y883" s="257"/>
      <c r="Z883" s="264">
        <f t="shared" si="861"/>
        <v>0</v>
      </c>
      <c r="AA883" s="269"/>
      <c r="AB883" s="266"/>
      <c r="AC883" s="254"/>
      <c r="AD883" s="255" t="str">
        <f>IF(ISBLANK(AC883), "", VLOOKUP(AC883, Z!$A$2:$C$4127, 3, FALSE))</f>
        <v/>
      </c>
      <c r="AE883" s="270"/>
      <c r="AF883" s="265">
        <f t="shared" si="862"/>
        <v>0</v>
      </c>
      <c r="AG883" s="246"/>
      <c r="AH883" s="228">
        <f t="shared" si="885"/>
        <v>1</v>
      </c>
      <c r="AI883" s="228">
        <f t="shared" si="886"/>
        <v>1</v>
      </c>
      <c r="AJ883" s="228">
        <f t="shared" si="887"/>
        <v>0</v>
      </c>
      <c r="AK883" s="228">
        <v>0</v>
      </c>
      <c r="AL883" s="228">
        <v>0</v>
      </c>
      <c r="AM883" s="228">
        <f t="shared" si="863"/>
        <v>-100</v>
      </c>
      <c r="AN883" s="228" cm="1">
        <f t="array" ref="AN883">IF(ISBLANK(G883), 1, IFERROR(MATCH(G883, INDEX(Kat,,1), 0), IFERROR(MATCH(Kat, INDEX(Use,,2), 0), MATCH(Kat, INDEX(Use,,3), 0))))</f>
        <v>1</v>
      </c>
      <c r="AO883" s="246"/>
      <c r="AP883" s="228" cm="1">
        <f t="array" ref="AP883">IF(W883&gt;0, INDEX(Kat, AN883,4), 0)</f>
        <v>0</v>
      </c>
      <c r="AQ883" s="228">
        <f t="shared" si="888"/>
        <v>0</v>
      </c>
      <c r="AR883" s="228" cm="1">
        <f t="array" ref="AR883">IF(X883&gt;0, INDEX(Kat, $AN883, 4+AQ883), 0)</f>
        <v>0</v>
      </c>
      <c r="AS883" s="228" cm="1">
        <f t="array" ref="AS883">IF(X883&gt;0, INDEX(Kat, $AN883, 9+AQ883), 0)</f>
        <v>0</v>
      </c>
      <c r="AT883" s="246"/>
      <c r="AU883" s="262"/>
      <c r="AV883" s="262"/>
      <c r="AW883" s="263"/>
      <c r="AX883" s="263"/>
      <c r="AY883" s="263"/>
      <c r="AZ883" s="263"/>
      <c r="BA883" s="263"/>
      <c r="BB883" s="263"/>
      <c r="BC883" s="263"/>
      <c r="BD883" s="263"/>
      <c r="BE883" s="263"/>
      <c r="BF883" s="263"/>
      <c r="BG883" s="263"/>
      <c r="BH883" s="246"/>
      <c r="BI883" s="228" cm="1">
        <f t="array" ref="BI883">INDEX(Use, $AH883, 4)</f>
        <v>7</v>
      </c>
      <c r="BJ883" s="228">
        <f t="shared" si="864"/>
        <v>32</v>
      </c>
      <c r="BK883" s="228">
        <f t="shared" si="890"/>
        <v>13</v>
      </c>
      <c r="BL883" s="228">
        <f t="shared" si="891"/>
        <v>0</v>
      </c>
      <c r="BM883" s="233" cm="1">
        <f t="array" ref="BM883">L883/IF($M883&gt;0, INDEX($AY$22:$BE$76, $M883+20, $AH883), 1)</f>
        <v>0</v>
      </c>
      <c r="BN883" s="229">
        <f t="shared" si="865"/>
        <v>0</v>
      </c>
      <c r="BO883" s="228">
        <v>35</v>
      </c>
      <c r="BP883" s="229">
        <f t="shared" si="866"/>
        <v>48</v>
      </c>
      <c r="BQ883" s="234">
        <f t="shared" si="867"/>
        <v>3.0748170731707316</v>
      </c>
      <c r="BR883" s="234" cm="1">
        <f t="array" ref="BR883">$BM883 * SUMPRODUCT(INDEX($AV$76:$AX$81,,$AI883),INDEX($AY$76:$BE$81,,$AH883), N($AU$76:$AU$81&gt;$AM883)) / BQ883 / 1000</f>
        <v>0</v>
      </c>
      <c r="BS883" s="231">
        <f t="shared" si="892"/>
        <v>30</v>
      </c>
      <c r="BT883" s="229">
        <f t="shared" si="868"/>
        <v>43</v>
      </c>
      <c r="BU883" s="234">
        <f t="shared" si="869"/>
        <v>3.5018750000000001</v>
      </c>
      <c r="BV883" s="234" cm="1">
        <f t="array" ref="BV883">$BM883 * IF($AH883&lt;=2,
SUMPRODUCT(INDEX($AV$71:$AX$75,,$AI883), INDEX($AY$71:$BE$75,,$AH883), 1 / ($BF$71:$BF$75*BU883 + (1-$BF$71:$BF$75)*BQ883), N($AU$71:$AU$75&gt;$AM883)),
SUMPRODUCT(INDEX($AV$66:$AX$75,,$AI883), INDEX($AY$66:$BE$75,,$AH883), 1 / ($BG$66:$BG$75*BU883 + (1-$BG$66:$BG$75)*BQ883), N($AU$66:$AU$75&gt;$AM883))
) / 1000</f>
        <v>0</v>
      </c>
      <c r="BW883" s="231">
        <f t="shared" si="893"/>
        <v>25</v>
      </c>
      <c r="BX883" s="229">
        <f t="shared" si="870"/>
        <v>38</v>
      </c>
      <c r="BY883" s="234">
        <f t="shared" si="871"/>
        <v>4.0666935483870965</v>
      </c>
      <c r="BZ883" s="234" cm="1">
        <f t="array" ref="BZ883">$BM883 * IF($AH883&lt;=2,
SUMPRODUCT(INDEX($AV$66:$AX$70,,$AI883), INDEX($AY$66:$BE$70,,$AH883), 1 / ($BF$66:$BF$70*BY883 + (1-$BF$66:$BF$70)*BU883), N($AU$66:$AU$70&gt;$AM883)),
SUMPRODUCT(INDEX($AV$56:$AX$65,,$AI883), INDEX($AY$56:$BE$65,,$AH883), 1 / ($BG$56:$BG$65*BY883 + (1-$BG$56:$BG$65)*BU883), N($AU$56:$AU$65&gt;$AM883))
) / 1000</f>
        <v>0</v>
      </c>
      <c r="CA883" s="231">
        <f t="shared" si="894"/>
        <v>20</v>
      </c>
      <c r="CB883" s="229">
        <f t="shared" si="872"/>
        <v>33</v>
      </c>
      <c r="CC883" s="234">
        <f t="shared" si="873"/>
        <v>4.8487499999999999</v>
      </c>
      <c r="CD883" s="234" cm="1">
        <f t="array" ref="CD883">$BM883 * IF($AH883&lt;=2,
SUMPRODUCT(INDEX($AV$61:$AX$65,,$AI883), INDEX($AY$61:$BE$65,,$AH883), 1 / ($BF$61:$BF$65*CC883 + (1-$BF$61:$BF$65)*BY883), N($AU$61:$AU$65&gt;$AM883)),
SUMPRODUCT(INDEX($AV$46:$AX$55,,$AI883), INDEX($AY$46:$BE$55,,$AH883), 1 / ($BG$46:$BG$55*CC883 + (1-$BG$46:$BG$55)*BY883), N($AU$46:$AU$55&gt;$AM883))
) / 1000</f>
        <v>0</v>
      </c>
      <c r="CE883" s="234" cm="1">
        <f t="array" ref="CE883">$BM883 * IF($AH883&lt;=2,
SUMPRODUCT(INDEX($AV$22:$AX$60,,$AI883), INDEX($AY$22:$BE$60,,$AH883), 1 / ($BF$22:$BF$60*CC883), N($AU$22:$AU$60&gt;$AM883)),
SUMPRODUCT(INDEX($AV$22:$AX$45,,$AI883), INDEX($AY$22:$BE$45,,$AH883), 1 / ($BG$22:$BG$45*CC883), N($AU$22:$AU$45&gt;$AM883))
) / 1000</f>
        <v>0</v>
      </c>
      <c r="CF883" s="229">
        <f t="shared" si="874"/>
        <v>0</v>
      </c>
      <c r="CG883" s="246"/>
      <c r="CH883" s="229">
        <f t="shared" si="875"/>
        <v>0</v>
      </c>
      <c r="CI883" s="228">
        <v>35</v>
      </c>
      <c r="CJ883" s="229">
        <f t="shared" si="876"/>
        <v>48</v>
      </c>
      <c r="CK883" s="234">
        <f t="shared" si="877"/>
        <v>3.0748170731707316</v>
      </c>
      <c r="CL883" s="234" cm="1">
        <f t="array" ref="CL883">$BM883 * SUMPRODUCT(INDEX($AV$76:$AX$81,,$AI883),INDEX($AY$76:$BE$81,,$AH883), N($AU$76:$AU$81&gt;$AM883)) / CK883 / 1000</f>
        <v>0</v>
      </c>
      <c r="CM883" s="231">
        <f t="shared" si="895"/>
        <v>30</v>
      </c>
      <c r="CN883" s="229">
        <f t="shared" si="878"/>
        <v>43</v>
      </c>
      <c r="CO883" s="234">
        <f t="shared" si="879"/>
        <v>3.5018750000000001</v>
      </c>
      <c r="CP883" s="234" cm="1">
        <f t="array" ref="CP883">$BM883 * IF($AH883&lt;=2,
SUMPRODUCT(INDEX($AV$71:$AX$75,,$AI883), INDEX($AY$71:$BE$75,,$AH883), 1 / ($BF$71:$BF$75*CO883 + (1-$BF$71:$BF$75)*CK883), N($AU$71:$AU$75&gt;$AM883)),
SUMPRODUCT(INDEX($AV$66:$AX$75,,$AI883), INDEX($AY$66:$BE$75,,$AH883), 1 / ($BG$66:$BG$75*CO883 + (1-$BG$66:$BG$75)*CK883), N($AU$66:$AU$75&gt;$AM883))
) / 1000</f>
        <v>0</v>
      </c>
      <c r="CQ883" s="231">
        <f t="shared" si="896"/>
        <v>25</v>
      </c>
      <c r="CR883" s="229">
        <f t="shared" si="880"/>
        <v>38</v>
      </c>
      <c r="CS883" s="234">
        <f t="shared" si="881"/>
        <v>4.0666935483870965</v>
      </c>
      <c r="CT883" s="234" cm="1">
        <f t="array" ref="CT883">$BM883 * IF($AH883&lt;=2,
SUMPRODUCT(INDEX($AV$66:$AX$70,,$AI883), INDEX($AY$66:$BE$70,,$AH883), 1 / ($BF$66:$BF$70*CS883 + (1-$BF$66:$BF$70)*CO883), N($AU$66:$AU$70&gt;$AM883)),
SUMPRODUCT(INDEX($AV$56:$AX$65,,$AI883), INDEX($AY$56:$BE$65,,$AH883), 1 / ($BG$56:$BG$65*CS883 + (1-$BG$56:$BG$65)*CO883), N($AU$56:$AU$65&gt;$AM883))
) / 1000</f>
        <v>0</v>
      </c>
      <c r="CU883" s="231">
        <f t="shared" si="897"/>
        <v>20</v>
      </c>
      <c r="CV883" s="229">
        <f t="shared" si="882"/>
        <v>33</v>
      </c>
      <c r="CW883" s="234">
        <f t="shared" si="883"/>
        <v>4.8487499999999999</v>
      </c>
      <c r="CX883" s="234" cm="1">
        <f t="array" ref="CX883">$BM883 * IF($AH883&lt;=2,
SUMPRODUCT(INDEX($AV$61:$AX$65,,$AI883), INDEX($AY$61:$BE$65,,$AH883), 1 / ($BF$61:$BF$65*CW883 + (1-$BF$61:$BF$65)*CS883), N($AU$61:$AU$65&gt;$AM883)),
SUMPRODUCT(INDEX($AV$46:$AX$55,,$AI883), INDEX($AY$46:$BE$55,,$AH883), 1 / ($BG$46:$BG$55*CW883 + (1-$BG$46:$BG$55)*CS883), N($AU$46:$AU$55&gt;$AM883))
) / 1000</f>
        <v>0</v>
      </c>
      <c r="CY883" s="234" cm="1">
        <f t="array" ref="CY883">$BM883 * IF($AH883&lt;=2,
SUMPRODUCT(INDEX($AV$22:$AX$60,,$AI883), INDEX($AY$22:$BE$60,,$AH883), 1 / ($BF$22:$BF$60*CW883), N($AU$22:$AU$60&gt;$AM883)),
SUMPRODUCT(INDEX($AV$22:$AX$45,,$AI883), INDEX($AY$22:$BE$45,,$AH883), 1 / ($BG$22:$BG$45*CW883), N($AU$22:$AU$45&gt;$AM883))
) / 1000</f>
        <v>0</v>
      </c>
      <c r="CZ883" s="229">
        <f t="shared" si="884"/>
        <v>0</v>
      </c>
      <c r="DA883" s="246"/>
    </row>
    <row r="884" spans="1:105" s="75" customFormat="1" ht="14.25" customHeight="1" x14ac:dyDescent="0.2">
      <c r="A884" s="230" t="b">
        <f t="shared" si="889"/>
        <v>0</v>
      </c>
      <c r="B884" s="253">
        <v>863</v>
      </c>
      <c r="C884" s="266"/>
      <c r="D884" s="266"/>
      <c r="E884" s="254"/>
      <c r="F884" s="255" t="str">
        <f>IF(ISBLANK(E884), "", VLOOKUP(E884, Z!$A$2:$C$4127, 3, FALSE))</f>
        <v/>
      </c>
      <c r="G884" s="256"/>
      <c r="H884" s="256"/>
      <c r="I884" s="256"/>
      <c r="J884" s="257"/>
      <c r="K884" s="258"/>
      <c r="L884" s="267"/>
      <c r="M884" s="268"/>
      <c r="N884" s="259" t="str" cm="1">
        <f t="array" ref="N884">IF($L884&gt;0, INDEX(Clean,1+AK884,$D$1), "")</f>
        <v/>
      </c>
      <c r="O884" s="260"/>
      <c r="P884" s="260"/>
      <c r="Q884" s="261"/>
      <c r="R884" s="264">
        <f t="shared" si="860"/>
        <v>0</v>
      </c>
      <c r="S884" s="259" t="str" cm="1">
        <f t="array" ref="S884">IF($L884&gt;0, INDEX(Clean,1+AL884,$D$1), "")</f>
        <v/>
      </c>
      <c r="T884" s="260"/>
      <c r="U884" s="260"/>
      <c r="V884" s="261"/>
      <c r="W884" s="267"/>
      <c r="X884" s="267"/>
      <c r="Y884" s="257"/>
      <c r="Z884" s="264">
        <f t="shared" si="861"/>
        <v>0</v>
      </c>
      <c r="AA884" s="269"/>
      <c r="AB884" s="266"/>
      <c r="AC884" s="254"/>
      <c r="AD884" s="255" t="str">
        <f>IF(ISBLANK(AC884), "", VLOOKUP(AC884, Z!$A$2:$C$4127, 3, FALSE))</f>
        <v/>
      </c>
      <c r="AE884" s="270"/>
      <c r="AF884" s="265">
        <f t="shared" si="862"/>
        <v>0</v>
      </c>
      <c r="AG884" s="246"/>
      <c r="AH884" s="228">
        <f t="shared" si="885"/>
        <v>1</v>
      </c>
      <c r="AI884" s="228">
        <f t="shared" si="886"/>
        <v>1</v>
      </c>
      <c r="AJ884" s="228">
        <f t="shared" si="887"/>
        <v>0</v>
      </c>
      <c r="AK884" s="228">
        <v>0</v>
      </c>
      <c r="AL884" s="228">
        <v>0</v>
      </c>
      <c r="AM884" s="228">
        <f t="shared" si="863"/>
        <v>-100</v>
      </c>
      <c r="AN884" s="228" cm="1">
        <f t="array" ref="AN884">IF(ISBLANK(G884), 1, IFERROR(MATCH(G884, INDEX(Kat,,1), 0), IFERROR(MATCH(Kat, INDEX(Use,,2), 0), MATCH(Kat, INDEX(Use,,3), 0))))</f>
        <v>1</v>
      </c>
      <c r="AO884" s="246"/>
      <c r="AP884" s="228" cm="1">
        <f t="array" ref="AP884">IF(W884&gt;0, INDEX(Kat, AN884,4), 0)</f>
        <v>0</v>
      </c>
      <c r="AQ884" s="228">
        <f t="shared" si="888"/>
        <v>0</v>
      </c>
      <c r="AR884" s="228" cm="1">
        <f t="array" ref="AR884">IF(X884&gt;0, INDEX(Kat, $AN884, 4+AQ884), 0)</f>
        <v>0</v>
      </c>
      <c r="AS884" s="228" cm="1">
        <f t="array" ref="AS884">IF(X884&gt;0, INDEX(Kat, $AN884, 9+AQ884), 0)</f>
        <v>0</v>
      </c>
      <c r="AT884" s="246"/>
      <c r="AU884" s="262"/>
      <c r="AV884" s="262"/>
      <c r="AW884" s="263"/>
      <c r="AX884" s="263"/>
      <c r="AY884" s="263"/>
      <c r="AZ884" s="263"/>
      <c r="BA884" s="263"/>
      <c r="BB884" s="263"/>
      <c r="BC884" s="263"/>
      <c r="BD884" s="263"/>
      <c r="BE884" s="263"/>
      <c r="BF884" s="263"/>
      <c r="BG884" s="263"/>
      <c r="BH884" s="246"/>
      <c r="BI884" s="228" cm="1">
        <f t="array" ref="BI884">INDEX(Use, $AH884, 4)</f>
        <v>7</v>
      </c>
      <c r="BJ884" s="228">
        <f t="shared" si="864"/>
        <v>32</v>
      </c>
      <c r="BK884" s="228">
        <f t="shared" si="890"/>
        <v>13</v>
      </c>
      <c r="BL884" s="228">
        <f t="shared" si="891"/>
        <v>0</v>
      </c>
      <c r="BM884" s="233" cm="1">
        <f t="array" ref="BM884">L884/IF($M884&gt;0, INDEX($AY$22:$BE$76, $M884+20, $AH884), 1)</f>
        <v>0</v>
      </c>
      <c r="BN884" s="229">
        <f t="shared" si="865"/>
        <v>0</v>
      </c>
      <c r="BO884" s="228">
        <v>35</v>
      </c>
      <c r="BP884" s="229">
        <f t="shared" si="866"/>
        <v>48</v>
      </c>
      <c r="BQ884" s="234">
        <f t="shared" si="867"/>
        <v>3.0748170731707316</v>
      </c>
      <c r="BR884" s="234" cm="1">
        <f t="array" ref="BR884">$BM884 * SUMPRODUCT(INDEX($AV$76:$AX$81,,$AI884),INDEX($AY$76:$BE$81,,$AH884), N($AU$76:$AU$81&gt;$AM884)) / BQ884 / 1000</f>
        <v>0</v>
      </c>
      <c r="BS884" s="231">
        <f t="shared" si="892"/>
        <v>30</v>
      </c>
      <c r="BT884" s="229">
        <f t="shared" si="868"/>
        <v>43</v>
      </c>
      <c r="BU884" s="234">
        <f t="shared" si="869"/>
        <v>3.5018750000000001</v>
      </c>
      <c r="BV884" s="234" cm="1">
        <f t="array" ref="BV884">$BM884 * IF($AH884&lt;=2,
SUMPRODUCT(INDEX($AV$71:$AX$75,,$AI884), INDEX($AY$71:$BE$75,,$AH884), 1 / ($BF$71:$BF$75*BU884 + (1-$BF$71:$BF$75)*BQ884), N($AU$71:$AU$75&gt;$AM884)),
SUMPRODUCT(INDEX($AV$66:$AX$75,,$AI884), INDEX($AY$66:$BE$75,,$AH884), 1 / ($BG$66:$BG$75*BU884 + (1-$BG$66:$BG$75)*BQ884), N($AU$66:$AU$75&gt;$AM884))
) / 1000</f>
        <v>0</v>
      </c>
      <c r="BW884" s="231">
        <f t="shared" si="893"/>
        <v>25</v>
      </c>
      <c r="BX884" s="229">
        <f t="shared" si="870"/>
        <v>38</v>
      </c>
      <c r="BY884" s="234">
        <f t="shared" si="871"/>
        <v>4.0666935483870965</v>
      </c>
      <c r="BZ884" s="234" cm="1">
        <f t="array" ref="BZ884">$BM884 * IF($AH884&lt;=2,
SUMPRODUCT(INDEX($AV$66:$AX$70,,$AI884), INDEX($AY$66:$BE$70,,$AH884), 1 / ($BF$66:$BF$70*BY884 + (1-$BF$66:$BF$70)*BU884), N($AU$66:$AU$70&gt;$AM884)),
SUMPRODUCT(INDEX($AV$56:$AX$65,,$AI884), INDEX($AY$56:$BE$65,,$AH884), 1 / ($BG$56:$BG$65*BY884 + (1-$BG$56:$BG$65)*BU884), N($AU$56:$AU$65&gt;$AM884))
) / 1000</f>
        <v>0</v>
      </c>
      <c r="CA884" s="231">
        <f t="shared" si="894"/>
        <v>20</v>
      </c>
      <c r="CB884" s="229">
        <f t="shared" si="872"/>
        <v>33</v>
      </c>
      <c r="CC884" s="234">
        <f t="shared" si="873"/>
        <v>4.8487499999999999</v>
      </c>
      <c r="CD884" s="234" cm="1">
        <f t="array" ref="CD884">$BM884 * IF($AH884&lt;=2,
SUMPRODUCT(INDEX($AV$61:$AX$65,,$AI884), INDEX($AY$61:$BE$65,,$AH884), 1 / ($BF$61:$BF$65*CC884 + (1-$BF$61:$BF$65)*BY884), N($AU$61:$AU$65&gt;$AM884)),
SUMPRODUCT(INDEX($AV$46:$AX$55,,$AI884), INDEX($AY$46:$BE$55,,$AH884), 1 / ($BG$46:$BG$55*CC884 + (1-$BG$46:$BG$55)*BY884), N($AU$46:$AU$55&gt;$AM884))
) / 1000</f>
        <v>0</v>
      </c>
      <c r="CE884" s="234" cm="1">
        <f t="array" ref="CE884">$BM884 * IF($AH884&lt;=2,
SUMPRODUCT(INDEX($AV$22:$AX$60,,$AI884), INDEX($AY$22:$BE$60,,$AH884), 1 / ($BF$22:$BF$60*CC884), N($AU$22:$AU$60&gt;$AM884)),
SUMPRODUCT(INDEX($AV$22:$AX$45,,$AI884), INDEX($AY$22:$BE$45,,$AH884), 1 / ($BG$22:$BG$45*CC884), N($AU$22:$AU$45&gt;$AM884))
) / 1000</f>
        <v>0</v>
      </c>
      <c r="CF884" s="229">
        <f t="shared" si="874"/>
        <v>0</v>
      </c>
      <c r="CG884" s="246"/>
      <c r="CH884" s="229">
        <f t="shared" si="875"/>
        <v>0</v>
      </c>
      <c r="CI884" s="228">
        <v>35</v>
      </c>
      <c r="CJ884" s="229">
        <f t="shared" si="876"/>
        <v>48</v>
      </c>
      <c r="CK884" s="234">
        <f t="shared" si="877"/>
        <v>3.0748170731707316</v>
      </c>
      <c r="CL884" s="234" cm="1">
        <f t="array" ref="CL884">$BM884 * SUMPRODUCT(INDEX($AV$76:$AX$81,,$AI884),INDEX($AY$76:$BE$81,,$AH884), N($AU$76:$AU$81&gt;$AM884)) / CK884 / 1000</f>
        <v>0</v>
      </c>
      <c r="CM884" s="231">
        <f t="shared" si="895"/>
        <v>30</v>
      </c>
      <c r="CN884" s="229">
        <f t="shared" si="878"/>
        <v>43</v>
      </c>
      <c r="CO884" s="234">
        <f t="shared" si="879"/>
        <v>3.5018750000000001</v>
      </c>
      <c r="CP884" s="234" cm="1">
        <f t="array" ref="CP884">$BM884 * IF($AH884&lt;=2,
SUMPRODUCT(INDEX($AV$71:$AX$75,,$AI884), INDEX($AY$71:$BE$75,,$AH884), 1 / ($BF$71:$BF$75*CO884 + (1-$BF$71:$BF$75)*CK884), N($AU$71:$AU$75&gt;$AM884)),
SUMPRODUCT(INDEX($AV$66:$AX$75,,$AI884), INDEX($AY$66:$BE$75,,$AH884), 1 / ($BG$66:$BG$75*CO884 + (1-$BG$66:$BG$75)*CK884), N($AU$66:$AU$75&gt;$AM884))
) / 1000</f>
        <v>0</v>
      </c>
      <c r="CQ884" s="231">
        <f t="shared" si="896"/>
        <v>25</v>
      </c>
      <c r="CR884" s="229">
        <f t="shared" si="880"/>
        <v>38</v>
      </c>
      <c r="CS884" s="234">
        <f t="shared" si="881"/>
        <v>4.0666935483870965</v>
      </c>
      <c r="CT884" s="234" cm="1">
        <f t="array" ref="CT884">$BM884 * IF($AH884&lt;=2,
SUMPRODUCT(INDEX($AV$66:$AX$70,,$AI884), INDEX($AY$66:$BE$70,,$AH884), 1 / ($BF$66:$BF$70*CS884 + (1-$BF$66:$BF$70)*CO884), N($AU$66:$AU$70&gt;$AM884)),
SUMPRODUCT(INDEX($AV$56:$AX$65,,$AI884), INDEX($AY$56:$BE$65,,$AH884), 1 / ($BG$56:$BG$65*CS884 + (1-$BG$56:$BG$65)*CO884), N($AU$56:$AU$65&gt;$AM884))
) / 1000</f>
        <v>0</v>
      </c>
      <c r="CU884" s="231">
        <f t="shared" si="897"/>
        <v>20</v>
      </c>
      <c r="CV884" s="229">
        <f t="shared" si="882"/>
        <v>33</v>
      </c>
      <c r="CW884" s="234">
        <f t="shared" si="883"/>
        <v>4.8487499999999999</v>
      </c>
      <c r="CX884" s="234" cm="1">
        <f t="array" ref="CX884">$BM884 * IF($AH884&lt;=2,
SUMPRODUCT(INDEX($AV$61:$AX$65,,$AI884), INDEX($AY$61:$BE$65,,$AH884), 1 / ($BF$61:$BF$65*CW884 + (1-$BF$61:$BF$65)*CS884), N($AU$61:$AU$65&gt;$AM884)),
SUMPRODUCT(INDEX($AV$46:$AX$55,,$AI884), INDEX($AY$46:$BE$55,,$AH884), 1 / ($BG$46:$BG$55*CW884 + (1-$BG$46:$BG$55)*CS884), N($AU$46:$AU$55&gt;$AM884))
) / 1000</f>
        <v>0</v>
      </c>
      <c r="CY884" s="234" cm="1">
        <f t="array" ref="CY884">$BM884 * IF($AH884&lt;=2,
SUMPRODUCT(INDEX($AV$22:$AX$60,,$AI884), INDEX($AY$22:$BE$60,,$AH884), 1 / ($BF$22:$BF$60*CW884), N($AU$22:$AU$60&gt;$AM884)),
SUMPRODUCT(INDEX($AV$22:$AX$45,,$AI884), INDEX($AY$22:$BE$45,,$AH884), 1 / ($BG$22:$BG$45*CW884), N($AU$22:$AU$45&gt;$AM884))
) / 1000</f>
        <v>0</v>
      </c>
      <c r="CZ884" s="229">
        <f t="shared" si="884"/>
        <v>0</v>
      </c>
      <c r="DA884" s="246"/>
    </row>
    <row r="885" spans="1:105" s="75" customFormat="1" ht="14.25" customHeight="1" x14ac:dyDescent="0.2">
      <c r="A885" s="230" t="b">
        <f t="shared" si="889"/>
        <v>0</v>
      </c>
      <c r="B885" s="253">
        <v>864</v>
      </c>
      <c r="C885" s="266"/>
      <c r="D885" s="266"/>
      <c r="E885" s="254"/>
      <c r="F885" s="255" t="str">
        <f>IF(ISBLANK(E885), "", VLOOKUP(E885, Z!$A$2:$C$4127, 3, FALSE))</f>
        <v/>
      </c>
      <c r="G885" s="256"/>
      <c r="H885" s="256"/>
      <c r="I885" s="256"/>
      <c r="J885" s="257"/>
      <c r="K885" s="258"/>
      <c r="L885" s="267"/>
      <c r="M885" s="268"/>
      <c r="N885" s="259" t="str" cm="1">
        <f t="array" ref="N885">IF($L885&gt;0, INDEX(Clean,1+AK885,$D$1), "")</f>
        <v/>
      </c>
      <c r="O885" s="260"/>
      <c r="P885" s="260"/>
      <c r="Q885" s="261"/>
      <c r="R885" s="264">
        <f t="shared" si="860"/>
        <v>0</v>
      </c>
      <c r="S885" s="259" t="str" cm="1">
        <f t="array" ref="S885">IF($L885&gt;0, INDEX(Clean,1+AL885,$D$1), "")</f>
        <v/>
      </c>
      <c r="T885" s="260"/>
      <c r="U885" s="260"/>
      <c r="V885" s="261"/>
      <c r="W885" s="267"/>
      <c r="X885" s="267"/>
      <c r="Y885" s="257"/>
      <c r="Z885" s="264">
        <f t="shared" si="861"/>
        <v>0</v>
      </c>
      <c r="AA885" s="269"/>
      <c r="AB885" s="266"/>
      <c r="AC885" s="254"/>
      <c r="AD885" s="255" t="str">
        <f>IF(ISBLANK(AC885), "", VLOOKUP(AC885, Z!$A$2:$C$4127, 3, FALSE))</f>
        <v/>
      </c>
      <c r="AE885" s="270"/>
      <c r="AF885" s="265">
        <f t="shared" si="862"/>
        <v>0</v>
      </c>
      <c r="AG885" s="246"/>
      <c r="AH885" s="228">
        <f t="shared" si="885"/>
        <v>1</v>
      </c>
      <c r="AI885" s="228">
        <f t="shared" si="886"/>
        <v>1</v>
      </c>
      <c r="AJ885" s="228">
        <f t="shared" si="887"/>
        <v>0</v>
      </c>
      <c r="AK885" s="228">
        <v>0</v>
      </c>
      <c r="AL885" s="228">
        <v>0</v>
      </c>
      <c r="AM885" s="228">
        <f t="shared" si="863"/>
        <v>-100</v>
      </c>
      <c r="AN885" s="228" cm="1">
        <f t="array" ref="AN885">IF(ISBLANK(G885), 1, IFERROR(MATCH(G885, INDEX(Kat,,1), 0), IFERROR(MATCH(Kat, INDEX(Use,,2), 0), MATCH(Kat, INDEX(Use,,3), 0))))</f>
        <v>1</v>
      </c>
      <c r="AO885" s="246"/>
      <c r="AP885" s="228" cm="1">
        <f t="array" ref="AP885">IF(W885&gt;0, INDEX(Kat, AN885,4), 0)</f>
        <v>0</v>
      </c>
      <c r="AQ885" s="228">
        <f t="shared" si="888"/>
        <v>0</v>
      </c>
      <c r="AR885" s="228" cm="1">
        <f t="array" ref="AR885">IF(X885&gt;0, INDEX(Kat, $AN885, 4+AQ885), 0)</f>
        <v>0</v>
      </c>
      <c r="AS885" s="228" cm="1">
        <f t="array" ref="AS885">IF(X885&gt;0, INDEX(Kat, $AN885, 9+AQ885), 0)</f>
        <v>0</v>
      </c>
      <c r="AT885" s="246"/>
      <c r="AU885" s="262"/>
      <c r="AV885" s="262"/>
      <c r="AW885" s="263"/>
      <c r="AX885" s="263"/>
      <c r="AY885" s="263"/>
      <c r="AZ885" s="263"/>
      <c r="BA885" s="263"/>
      <c r="BB885" s="263"/>
      <c r="BC885" s="263"/>
      <c r="BD885" s="263"/>
      <c r="BE885" s="263"/>
      <c r="BF885" s="263"/>
      <c r="BG885" s="263"/>
      <c r="BH885" s="246"/>
      <c r="BI885" s="228" cm="1">
        <f t="array" ref="BI885">INDEX(Use, $AH885, 4)</f>
        <v>7</v>
      </c>
      <c r="BJ885" s="228">
        <f t="shared" si="864"/>
        <v>32</v>
      </c>
      <c r="BK885" s="228">
        <f t="shared" si="890"/>
        <v>13</v>
      </c>
      <c r="BL885" s="228">
        <f t="shared" si="891"/>
        <v>0</v>
      </c>
      <c r="BM885" s="233" cm="1">
        <f t="array" ref="BM885">L885/IF($M885&gt;0, INDEX($AY$22:$BE$76, $M885+20, $AH885), 1)</f>
        <v>0</v>
      </c>
      <c r="BN885" s="229">
        <f t="shared" si="865"/>
        <v>0</v>
      </c>
      <c r="BO885" s="228">
        <v>35</v>
      </c>
      <c r="BP885" s="229">
        <f t="shared" si="866"/>
        <v>48</v>
      </c>
      <c r="BQ885" s="234">
        <f t="shared" si="867"/>
        <v>3.0748170731707316</v>
      </c>
      <c r="BR885" s="234" cm="1">
        <f t="array" ref="BR885">$BM885 * SUMPRODUCT(INDEX($AV$76:$AX$81,,$AI885),INDEX($AY$76:$BE$81,,$AH885), N($AU$76:$AU$81&gt;$AM885)) / BQ885 / 1000</f>
        <v>0</v>
      </c>
      <c r="BS885" s="231">
        <f t="shared" si="892"/>
        <v>30</v>
      </c>
      <c r="BT885" s="229">
        <f t="shared" si="868"/>
        <v>43</v>
      </c>
      <c r="BU885" s="234">
        <f t="shared" si="869"/>
        <v>3.5018750000000001</v>
      </c>
      <c r="BV885" s="234" cm="1">
        <f t="array" ref="BV885">$BM885 * IF($AH885&lt;=2,
SUMPRODUCT(INDEX($AV$71:$AX$75,,$AI885), INDEX($AY$71:$BE$75,,$AH885), 1 / ($BF$71:$BF$75*BU885 + (1-$BF$71:$BF$75)*BQ885), N($AU$71:$AU$75&gt;$AM885)),
SUMPRODUCT(INDEX($AV$66:$AX$75,,$AI885), INDEX($AY$66:$BE$75,,$AH885), 1 / ($BG$66:$BG$75*BU885 + (1-$BG$66:$BG$75)*BQ885), N($AU$66:$AU$75&gt;$AM885))
) / 1000</f>
        <v>0</v>
      </c>
      <c r="BW885" s="231">
        <f t="shared" si="893"/>
        <v>25</v>
      </c>
      <c r="BX885" s="229">
        <f t="shared" si="870"/>
        <v>38</v>
      </c>
      <c r="BY885" s="234">
        <f t="shared" si="871"/>
        <v>4.0666935483870965</v>
      </c>
      <c r="BZ885" s="234" cm="1">
        <f t="array" ref="BZ885">$BM885 * IF($AH885&lt;=2,
SUMPRODUCT(INDEX($AV$66:$AX$70,,$AI885), INDEX($AY$66:$BE$70,,$AH885), 1 / ($BF$66:$BF$70*BY885 + (1-$BF$66:$BF$70)*BU885), N($AU$66:$AU$70&gt;$AM885)),
SUMPRODUCT(INDEX($AV$56:$AX$65,,$AI885), INDEX($AY$56:$BE$65,,$AH885), 1 / ($BG$56:$BG$65*BY885 + (1-$BG$56:$BG$65)*BU885), N($AU$56:$AU$65&gt;$AM885))
) / 1000</f>
        <v>0</v>
      </c>
      <c r="CA885" s="231">
        <f t="shared" si="894"/>
        <v>20</v>
      </c>
      <c r="CB885" s="229">
        <f t="shared" si="872"/>
        <v>33</v>
      </c>
      <c r="CC885" s="234">
        <f t="shared" si="873"/>
        <v>4.8487499999999999</v>
      </c>
      <c r="CD885" s="234" cm="1">
        <f t="array" ref="CD885">$BM885 * IF($AH885&lt;=2,
SUMPRODUCT(INDEX($AV$61:$AX$65,,$AI885), INDEX($AY$61:$BE$65,,$AH885), 1 / ($BF$61:$BF$65*CC885 + (1-$BF$61:$BF$65)*BY885), N($AU$61:$AU$65&gt;$AM885)),
SUMPRODUCT(INDEX($AV$46:$AX$55,,$AI885), INDEX($AY$46:$BE$55,,$AH885), 1 / ($BG$46:$BG$55*CC885 + (1-$BG$46:$BG$55)*BY885), N($AU$46:$AU$55&gt;$AM885))
) / 1000</f>
        <v>0</v>
      </c>
      <c r="CE885" s="234" cm="1">
        <f t="array" ref="CE885">$BM885 * IF($AH885&lt;=2,
SUMPRODUCT(INDEX($AV$22:$AX$60,,$AI885), INDEX($AY$22:$BE$60,,$AH885), 1 / ($BF$22:$BF$60*CC885), N($AU$22:$AU$60&gt;$AM885)),
SUMPRODUCT(INDEX($AV$22:$AX$45,,$AI885), INDEX($AY$22:$BE$45,,$AH885), 1 / ($BG$22:$BG$45*CC885), N($AU$22:$AU$45&gt;$AM885))
) / 1000</f>
        <v>0</v>
      </c>
      <c r="CF885" s="229">
        <f t="shared" si="874"/>
        <v>0</v>
      </c>
      <c r="CG885" s="246"/>
      <c r="CH885" s="229">
        <f t="shared" si="875"/>
        <v>0</v>
      </c>
      <c r="CI885" s="228">
        <v>35</v>
      </c>
      <c r="CJ885" s="229">
        <f t="shared" si="876"/>
        <v>48</v>
      </c>
      <c r="CK885" s="234">
        <f t="shared" si="877"/>
        <v>3.0748170731707316</v>
      </c>
      <c r="CL885" s="234" cm="1">
        <f t="array" ref="CL885">$BM885 * SUMPRODUCT(INDEX($AV$76:$AX$81,,$AI885),INDEX($AY$76:$BE$81,,$AH885), N($AU$76:$AU$81&gt;$AM885)) / CK885 / 1000</f>
        <v>0</v>
      </c>
      <c r="CM885" s="231">
        <f t="shared" si="895"/>
        <v>30</v>
      </c>
      <c r="CN885" s="229">
        <f t="shared" si="878"/>
        <v>43</v>
      </c>
      <c r="CO885" s="234">
        <f t="shared" si="879"/>
        <v>3.5018750000000001</v>
      </c>
      <c r="CP885" s="234" cm="1">
        <f t="array" ref="CP885">$BM885 * IF($AH885&lt;=2,
SUMPRODUCT(INDEX($AV$71:$AX$75,,$AI885), INDEX($AY$71:$BE$75,,$AH885), 1 / ($BF$71:$BF$75*CO885 + (1-$BF$71:$BF$75)*CK885), N($AU$71:$AU$75&gt;$AM885)),
SUMPRODUCT(INDEX($AV$66:$AX$75,,$AI885), INDEX($AY$66:$BE$75,,$AH885), 1 / ($BG$66:$BG$75*CO885 + (1-$BG$66:$BG$75)*CK885), N($AU$66:$AU$75&gt;$AM885))
) / 1000</f>
        <v>0</v>
      </c>
      <c r="CQ885" s="231">
        <f t="shared" si="896"/>
        <v>25</v>
      </c>
      <c r="CR885" s="229">
        <f t="shared" si="880"/>
        <v>38</v>
      </c>
      <c r="CS885" s="234">
        <f t="shared" si="881"/>
        <v>4.0666935483870965</v>
      </c>
      <c r="CT885" s="234" cm="1">
        <f t="array" ref="CT885">$BM885 * IF($AH885&lt;=2,
SUMPRODUCT(INDEX($AV$66:$AX$70,,$AI885), INDEX($AY$66:$BE$70,,$AH885), 1 / ($BF$66:$BF$70*CS885 + (1-$BF$66:$BF$70)*CO885), N($AU$66:$AU$70&gt;$AM885)),
SUMPRODUCT(INDEX($AV$56:$AX$65,,$AI885), INDEX($AY$56:$BE$65,,$AH885), 1 / ($BG$56:$BG$65*CS885 + (1-$BG$56:$BG$65)*CO885), N($AU$56:$AU$65&gt;$AM885))
) / 1000</f>
        <v>0</v>
      </c>
      <c r="CU885" s="231">
        <f t="shared" si="897"/>
        <v>20</v>
      </c>
      <c r="CV885" s="229">
        <f t="shared" si="882"/>
        <v>33</v>
      </c>
      <c r="CW885" s="234">
        <f t="shared" si="883"/>
        <v>4.8487499999999999</v>
      </c>
      <c r="CX885" s="234" cm="1">
        <f t="array" ref="CX885">$BM885 * IF($AH885&lt;=2,
SUMPRODUCT(INDEX($AV$61:$AX$65,,$AI885), INDEX($AY$61:$BE$65,,$AH885), 1 / ($BF$61:$BF$65*CW885 + (1-$BF$61:$BF$65)*CS885), N($AU$61:$AU$65&gt;$AM885)),
SUMPRODUCT(INDEX($AV$46:$AX$55,,$AI885), INDEX($AY$46:$BE$55,,$AH885), 1 / ($BG$46:$BG$55*CW885 + (1-$BG$46:$BG$55)*CS885), N($AU$46:$AU$55&gt;$AM885))
) / 1000</f>
        <v>0</v>
      </c>
      <c r="CY885" s="234" cm="1">
        <f t="array" ref="CY885">$BM885 * IF($AH885&lt;=2,
SUMPRODUCT(INDEX($AV$22:$AX$60,,$AI885), INDEX($AY$22:$BE$60,,$AH885), 1 / ($BF$22:$BF$60*CW885), N($AU$22:$AU$60&gt;$AM885)),
SUMPRODUCT(INDEX($AV$22:$AX$45,,$AI885), INDEX($AY$22:$BE$45,,$AH885), 1 / ($BG$22:$BG$45*CW885), N($AU$22:$AU$45&gt;$AM885))
) / 1000</f>
        <v>0</v>
      </c>
      <c r="CZ885" s="229">
        <f t="shared" si="884"/>
        <v>0</v>
      </c>
      <c r="DA885" s="246"/>
    </row>
    <row r="886" spans="1:105" s="75" customFormat="1" ht="14.25" customHeight="1" x14ac:dyDescent="0.2">
      <c r="A886" s="230" t="b">
        <f t="shared" si="889"/>
        <v>0</v>
      </c>
      <c r="B886" s="253">
        <v>865</v>
      </c>
      <c r="C886" s="266"/>
      <c r="D886" s="266"/>
      <c r="E886" s="254"/>
      <c r="F886" s="255" t="str">
        <f>IF(ISBLANK(E886), "", VLOOKUP(E886, Z!$A$2:$C$4127, 3, FALSE))</f>
        <v/>
      </c>
      <c r="G886" s="256"/>
      <c r="H886" s="256"/>
      <c r="I886" s="256"/>
      <c r="J886" s="257"/>
      <c r="K886" s="258"/>
      <c r="L886" s="267"/>
      <c r="M886" s="268"/>
      <c r="N886" s="259" t="str" cm="1">
        <f t="array" ref="N886">IF($L886&gt;0, INDEX(Clean,1+AK886,$D$1), "")</f>
        <v/>
      </c>
      <c r="O886" s="260"/>
      <c r="P886" s="260"/>
      <c r="Q886" s="261"/>
      <c r="R886" s="264">
        <f t="shared" si="860"/>
        <v>0</v>
      </c>
      <c r="S886" s="259" t="str" cm="1">
        <f t="array" ref="S886">IF($L886&gt;0, INDEX(Clean,1+AL886,$D$1), "")</f>
        <v/>
      </c>
      <c r="T886" s="260"/>
      <c r="U886" s="260"/>
      <c r="V886" s="261"/>
      <c r="W886" s="267"/>
      <c r="X886" s="267"/>
      <c r="Y886" s="257"/>
      <c r="Z886" s="264">
        <f t="shared" si="861"/>
        <v>0</v>
      </c>
      <c r="AA886" s="269"/>
      <c r="AB886" s="266"/>
      <c r="AC886" s="254"/>
      <c r="AD886" s="255" t="str">
        <f>IF(ISBLANK(AC886), "", VLOOKUP(AC886, Z!$A$2:$C$4127, 3, FALSE))</f>
        <v/>
      </c>
      <c r="AE886" s="270"/>
      <c r="AF886" s="265">
        <f t="shared" si="862"/>
        <v>0</v>
      </c>
      <c r="AG886" s="246"/>
      <c r="AH886" s="228">
        <f t="shared" si="885"/>
        <v>1</v>
      </c>
      <c r="AI886" s="228">
        <f t="shared" si="886"/>
        <v>1</v>
      </c>
      <c r="AJ886" s="228">
        <f t="shared" si="887"/>
        <v>0</v>
      </c>
      <c r="AK886" s="228">
        <v>0</v>
      </c>
      <c r="AL886" s="228">
        <v>0</v>
      </c>
      <c r="AM886" s="228">
        <f t="shared" si="863"/>
        <v>-100</v>
      </c>
      <c r="AN886" s="228" cm="1">
        <f t="array" ref="AN886">IF(ISBLANK(G886), 1, IFERROR(MATCH(G886, INDEX(Kat,,1), 0), IFERROR(MATCH(Kat, INDEX(Use,,2), 0), MATCH(Kat, INDEX(Use,,3), 0))))</f>
        <v>1</v>
      </c>
      <c r="AO886" s="246"/>
      <c r="AP886" s="228" cm="1">
        <f t="array" ref="AP886">IF(W886&gt;0, INDEX(Kat, AN886,4), 0)</f>
        <v>0</v>
      </c>
      <c r="AQ886" s="228">
        <f t="shared" si="888"/>
        <v>0</v>
      </c>
      <c r="AR886" s="228" cm="1">
        <f t="array" ref="AR886">IF(X886&gt;0, INDEX(Kat, $AN886, 4+AQ886), 0)</f>
        <v>0</v>
      </c>
      <c r="AS886" s="228" cm="1">
        <f t="array" ref="AS886">IF(X886&gt;0, INDEX(Kat, $AN886, 9+AQ886), 0)</f>
        <v>0</v>
      </c>
      <c r="AT886" s="246"/>
      <c r="AU886" s="262"/>
      <c r="AV886" s="262"/>
      <c r="AW886" s="263"/>
      <c r="AX886" s="263"/>
      <c r="AY886" s="263"/>
      <c r="AZ886" s="263"/>
      <c r="BA886" s="263"/>
      <c r="BB886" s="263"/>
      <c r="BC886" s="263"/>
      <c r="BD886" s="263"/>
      <c r="BE886" s="263"/>
      <c r="BF886" s="263"/>
      <c r="BG886" s="263"/>
      <c r="BH886" s="246"/>
      <c r="BI886" s="228" cm="1">
        <f t="array" ref="BI886">INDEX(Use, $AH886, 4)</f>
        <v>7</v>
      </c>
      <c r="BJ886" s="228">
        <f t="shared" si="864"/>
        <v>32</v>
      </c>
      <c r="BK886" s="228">
        <f t="shared" si="890"/>
        <v>13</v>
      </c>
      <c r="BL886" s="228">
        <f t="shared" si="891"/>
        <v>0</v>
      </c>
      <c r="BM886" s="233" cm="1">
        <f t="array" ref="BM886">L886/IF($M886&gt;0, INDEX($AY$22:$BE$76, $M886+20, $AH886), 1)</f>
        <v>0</v>
      </c>
      <c r="BN886" s="229">
        <f t="shared" si="865"/>
        <v>0</v>
      </c>
      <c r="BO886" s="228">
        <v>35</v>
      </c>
      <c r="BP886" s="229">
        <f t="shared" si="866"/>
        <v>48</v>
      </c>
      <c r="BQ886" s="234">
        <f t="shared" si="867"/>
        <v>3.0748170731707316</v>
      </c>
      <c r="BR886" s="234" cm="1">
        <f t="array" ref="BR886">$BM886 * SUMPRODUCT(INDEX($AV$76:$AX$81,,$AI886),INDEX($AY$76:$BE$81,,$AH886), N($AU$76:$AU$81&gt;$AM886)) / BQ886 / 1000</f>
        <v>0</v>
      </c>
      <c r="BS886" s="231">
        <f t="shared" si="892"/>
        <v>30</v>
      </c>
      <c r="BT886" s="229">
        <f t="shared" si="868"/>
        <v>43</v>
      </c>
      <c r="BU886" s="234">
        <f t="shared" si="869"/>
        <v>3.5018750000000001</v>
      </c>
      <c r="BV886" s="234" cm="1">
        <f t="array" ref="BV886">$BM886 * IF($AH886&lt;=2,
SUMPRODUCT(INDEX($AV$71:$AX$75,,$AI886), INDEX($AY$71:$BE$75,,$AH886), 1 / ($BF$71:$BF$75*BU886 + (1-$BF$71:$BF$75)*BQ886), N($AU$71:$AU$75&gt;$AM886)),
SUMPRODUCT(INDEX($AV$66:$AX$75,,$AI886), INDEX($AY$66:$BE$75,,$AH886), 1 / ($BG$66:$BG$75*BU886 + (1-$BG$66:$BG$75)*BQ886), N($AU$66:$AU$75&gt;$AM886))
) / 1000</f>
        <v>0</v>
      </c>
      <c r="BW886" s="231">
        <f t="shared" si="893"/>
        <v>25</v>
      </c>
      <c r="BX886" s="229">
        <f t="shared" si="870"/>
        <v>38</v>
      </c>
      <c r="BY886" s="234">
        <f t="shared" si="871"/>
        <v>4.0666935483870965</v>
      </c>
      <c r="BZ886" s="234" cm="1">
        <f t="array" ref="BZ886">$BM886 * IF($AH886&lt;=2,
SUMPRODUCT(INDEX($AV$66:$AX$70,,$AI886), INDEX($AY$66:$BE$70,,$AH886), 1 / ($BF$66:$BF$70*BY886 + (1-$BF$66:$BF$70)*BU886), N($AU$66:$AU$70&gt;$AM886)),
SUMPRODUCT(INDEX($AV$56:$AX$65,,$AI886), INDEX($AY$56:$BE$65,,$AH886), 1 / ($BG$56:$BG$65*BY886 + (1-$BG$56:$BG$65)*BU886), N($AU$56:$AU$65&gt;$AM886))
) / 1000</f>
        <v>0</v>
      </c>
      <c r="CA886" s="231">
        <f t="shared" si="894"/>
        <v>20</v>
      </c>
      <c r="CB886" s="229">
        <f t="shared" si="872"/>
        <v>33</v>
      </c>
      <c r="CC886" s="234">
        <f t="shared" si="873"/>
        <v>4.8487499999999999</v>
      </c>
      <c r="CD886" s="234" cm="1">
        <f t="array" ref="CD886">$BM886 * IF($AH886&lt;=2,
SUMPRODUCT(INDEX($AV$61:$AX$65,,$AI886), INDEX($AY$61:$BE$65,,$AH886), 1 / ($BF$61:$BF$65*CC886 + (1-$BF$61:$BF$65)*BY886), N($AU$61:$AU$65&gt;$AM886)),
SUMPRODUCT(INDEX($AV$46:$AX$55,,$AI886), INDEX($AY$46:$BE$55,,$AH886), 1 / ($BG$46:$BG$55*CC886 + (1-$BG$46:$BG$55)*BY886), N($AU$46:$AU$55&gt;$AM886))
) / 1000</f>
        <v>0</v>
      </c>
      <c r="CE886" s="234" cm="1">
        <f t="array" ref="CE886">$BM886 * IF($AH886&lt;=2,
SUMPRODUCT(INDEX($AV$22:$AX$60,,$AI886), INDEX($AY$22:$BE$60,,$AH886), 1 / ($BF$22:$BF$60*CC886), N($AU$22:$AU$60&gt;$AM886)),
SUMPRODUCT(INDEX($AV$22:$AX$45,,$AI886), INDEX($AY$22:$BE$45,,$AH886), 1 / ($BG$22:$BG$45*CC886), N($AU$22:$AU$45&gt;$AM886))
) / 1000</f>
        <v>0</v>
      </c>
      <c r="CF886" s="229">
        <f t="shared" si="874"/>
        <v>0</v>
      </c>
      <c r="CG886" s="246"/>
      <c r="CH886" s="229">
        <f t="shared" si="875"/>
        <v>0</v>
      </c>
      <c r="CI886" s="228">
        <v>35</v>
      </c>
      <c r="CJ886" s="229">
        <f t="shared" si="876"/>
        <v>48</v>
      </c>
      <c r="CK886" s="234">
        <f t="shared" si="877"/>
        <v>3.0748170731707316</v>
      </c>
      <c r="CL886" s="234" cm="1">
        <f t="array" ref="CL886">$BM886 * SUMPRODUCT(INDEX($AV$76:$AX$81,,$AI886),INDEX($AY$76:$BE$81,,$AH886), N($AU$76:$AU$81&gt;$AM886)) / CK886 / 1000</f>
        <v>0</v>
      </c>
      <c r="CM886" s="231">
        <f t="shared" si="895"/>
        <v>30</v>
      </c>
      <c r="CN886" s="229">
        <f t="shared" si="878"/>
        <v>43</v>
      </c>
      <c r="CO886" s="234">
        <f t="shared" si="879"/>
        <v>3.5018750000000001</v>
      </c>
      <c r="CP886" s="234" cm="1">
        <f t="array" ref="CP886">$BM886 * IF($AH886&lt;=2,
SUMPRODUCT(INDEX($AV$71:$AX$75,,$AI886), INDEX($AY$71:$BE$75,,$AH886), 1 / ($BF$71:$BF$75*CO886 + (1-$BF$71:$BF$75)*CK886), N($AU$71:$AU$75&gt;$AM886)),
SUMPRODUCT(INDEX($AV$66:$AX$75,,$AI886), INDEX($AY$66:$BE$75,,$AH886), 1 / ($BG$66:$BG$75*CO886 + (1-$BG$66:$BG$75)*CK886), N($AU$66:$AU$75&gt;$AM886))
) / 1000</f>
        <v>0</v>
      </c>
      <c r="CQ886" s="231">
        <f t="shared" si="896"/>
        <v>25</v>
      </c>
      <c r="CR886" s="229">
        <f t="shared" si="880"/>
        <v>38</v>
      </c>
      <c r="CS886" s="234">
        <f t="shared" si="881"/>
        <v>4.0666935483870965</v>
      </c>
      <c r="CT886" s="234" cm="1">
        <f t="array" ref="CT886">$BM886 * IF($AH886&lt;=2,
SUMPRODUCT(INDEX($AV$66:$AX$70,,$AI886), INDEX($AY$66:$BE$70,,$AH886), 1 / ($BF$66:$BF$70*CS886 + (1-$BF$66:$BF$70)*CO886), N($AU$66:$AU$70&gt;$AM886)),
SUMPRODUCT(INDEX($AV$56:$AX$65,,$AI886), INDEX($AY$56:$BE$65,,$AH886), 1 / ($BG$56:$BG$65*CS886 + (1-$BG$56:$BG$65)*CO886), N($AU$56:$AU$65&gt;$AM886))
) / 1000</f>
        <v>0</v>
      </c>
      <c r="CU886" s="231">
        <f t="shared" si="897"/>
        <v>20</v>
      </c>
      <c r="CV886" s="229">
        <f t="shared" si="882"/>
        <v>33</v>
      </c>
      <c r="CW886" s="234">
        <f t="shared" si="883"/>
        <v>4.8487499999999999</v>
      </c>
      <c r="CX886" s="234" cm="1">
        <f t="array" ref="CX886">$BM886 * IF($AH886&lt;=2,
SUMPRODUCT(INDEX($AV$61:$AX$65,,$AI886), INDEX($AY$61:$BE$65,,$AH886), 1 / ($BF$61:$BF$65*CW886 + (1-$BF$61:$BF$65)*CS886), N($AU$61:$AU$65&gt;$AM886)),
SUMPRODUCT(INDEX($AV$46:$AX$55,,$AI886), INDEX($AY$46:$BE$55,,$AH886), 1 / ($BG$46:$BG$55*CW886 + (1-$BG$46:$BG$55)*CS886), N($AU$46:$AU$55&gt;$AM886))
) / 1000</f>
        <v>0</v>
      </c>
      <c r="CY886" s="234" cm="1">
        <f t="array" ref="CY886">$BM886 * IF($AH886&lt;=2,
SUMPRODUCT(INDEX($AV$22:$AX$60,,$AI886), INDEX($AY$22:$BE$60,,$AH886), 1 / ($BF$22:$BF$60*CW886), N($AU$22:$AU$60&gt;$AM886)),
SUMPRODUCT(INDEX($AV$22:$AX$45,,$AI886), INDEX($AY$22:$BE$45,,$AH886), 1 / ($BG$22:$BG$45*CW886), N($AU$22:$AU$45&gt;$AM886))
) / 1000</f>
        <v>0</v>
      </c>
      <c r="CZ886" s="229">
        <f t="shared" si="884"/>
        <v>0</v>
      </c>
      <c r="DA886" s="246"/>
    </row>
    <row r="887" spans="1:105" s="75" customFormat="1" ht="14.25" customHeight="1" x14ac:dyDescent="0.2">
      <c r="A887" s="230" t="b">
        <f t="shared" si="889"/>
        <v>0</v>
      </c>
      <c r="B887" s="253">
        <v>866</v>
      </c>
      <c r="C887" s="266"/>
      <c r="D887" s="266"/>
      <c r="E887" s="254"/>
      <c r="F887" s="255" t="str">
        <f>IF(ISBLANK(E887), "", VLOOKUP(E887, Z!$A$2:$C$4127, 3, FALSE))</f>
        <v/>
      </c>
      <c r="G887" s="256"/>
      <c r="H887" s="256"/>
      <c r="I887" s="256"/>
      <c r="J887" s="257"/>
      <c r="K887" s="258"/>
      <c r="L887" s="267"/>
      <c r="M887" s="268"/>
      <c r="N887" s="259" t="str" cm="1">
        <f t="array" ref="N887">IF($L887&gt;0, INDEX(Clean,1+AK887,$D$1), "")</f>
        <v/>
      </c>
      <c r="O887" s="260"/>
      <c r="P887" s="260"/>
      <c r="Q887" s="261"/>
      <c r="R887" s="264">
        <f t="shared" si="860"/>
        <v>0</v>
      </c>
      <c r="S887" s="259" t="str" cm="1">
        <f t="array" ref="S887">IF($L887&gt;0, INDEX(Clean,1+AL887,$D$1), "")</f>
        <v/>
      </c>
      <c r="T887" s="260"/>
      <c r="U887" s="260"/>
      <c r="V887" s="261"/>
      <c r="W887" s="267"/>
      <c r="X887" s="267"/>
      <c r="Y887" s="257"/>
      <c r="Z887" s="264">
        <f t="shared" si="861"/>
        <v>0</v>
      </c>
      <c r="AA887" s="269"/>
      <c r="AB887" s="266"/>
      <c r="AC887" s="254"/>
      <c r="AD887" s="255" t="str">
        <f>IF(ISBLANK(AC887), "", VLOOKUP(AC887, Z!$A$2:$C$4127, 3, FALSE))</f>
        <v/>
      </c>
      <c r="AE887" s="270"/>
      <c r="AF887" s="265">
        <f t="shared" si="862"/>
        <v>0</v>
      </c>
      <c r="AG887" s="246"/>
      <c r="AH887" s="228">
        <f t="shared" si="885"/>
        <v>1</v>
      </c>
      <c r="AI887" s="228">
        <f t="shared" si="886"/>
        <v>1</v>
      </c>
      <c r="AJ887" s="228">
        <f t="shared" si="887"/>
        <v>0</v>
      </c>
      <c r="AK887" s="228">
        <v>0</v>
      </c>
      <c r="AL887" s="228">
        <v>0</v>
      </c>
      <c r="AM887" s="228">
        <f t="shared" si="863"/>
        <v>-100</v>
      </c>
      <c r="AN887" s="228" cm="1">
        <f t="array" ref="AN887">IF(ISBLANK(G887), 1, IFERROR(MATCH(G887, INDEX(Kat,,1), 0), IFERROR(MATCH(Kat, INDEX(Use,,2), 0), MATCH(Kat, INDEX(Use,,3), 0))))</f>
        <v>1</v>
      </c>
      <c r="AO887" s="246"/>
      <c r="AP887" s="228" cm="1">
        <f t="array" ref="AP887">IF(W887&gt;0, INDEX(Kat, AN887,4), 0)</f>
        <v>0</v>
      </c>
      <c r="AQ887" s="228">
        <f t="shared" si="888"/>
        <v>0</v>
      </c>
      <c r="AR887" s="228" cm="1">
        <f t="array" ref="AR887">IF(X887&gt;0, INDEX(Kat, $AN887, 4+AQ887), 0)</f>
        <v>0</v>
      </c>
      <c r="AS887" s="228" cm="1">
        <f t="array" ref="AS887">IF(X887&gt;0, INDEX(Kat, $AN887, 9+AQ887), 0)</f>
        <v>0</v>
      </c>
      <c r="AT887" s="246"/>
      <c r="AU887" s="262"/>
      <c r="AV887" s="262"/>
      <c r="AW887" s="263"/>
      <c r="AX887" s="263"/>
      <c r="AY887" s="263"/>
      <c r="AZ887" s="263"/>
      <c r="BA887" s="263"/>
      <c r="BB887" s="263"/>
      <c r="BC887" s="263"/>
      <c r="BD887" s="263"/>
      <c r="BE887" s="263"/>
      <c r="BF887" s="263"/>
      <c r="BG887" s="263"/>
      <c r="BH887" s="246"/>
      <c r="BI887" s="228" cm="1">
        <f t="array" ref="BI887">INDEX(Use, $AH887, 4)</f>
        <v>7</v>
      </c>
      <c r="BJ887" s="228">
        <f t="shared" si="864"/>
        <v>32</v>
      </c>
      <c r="BK887" s="228">
        <f t="shared" si="890"/>
        <v>13</v>
      </c>
      <c r="BL887" s="228">
        <f t="shared" si="891"/>
        <v>0</v>
      </c>
      <c r="BM887" s="233" cm="1">
        <f t="array" ref="BM887">L887/IF($M887&gt;0, INDEX($AY$22:$BE$76, $M887+20, $AH887), 1)</f>
        <v>0</v>
      </c>
      <c r="BN887" s="229">
        <f t="shared" si="865"/>
        <v>0</v>
      </c>
      <c r="BO887" s="228">
        <v>35</v>
      </c>
      <c r="BP887" s="229">
        <f t="shared" si="866"/>
        <v>48</v>
      </c>
      <c r="BQ887" s="234">
        <f t="shared" si="867"/>
        <v>3.0748170731707316</v>
      </c>
      <c r="BR887" s="234" cm="1">
        <f t="array" ref="BR887">$BM887 * SUMPRODUCT(INDEX($AV$76:$AX$81,,$AI887),INDEX($AY$76:$BE$81,,$AH887), N($AU$76:$AU$81&gt;$AM887)) / BQ887 / 1000</f>
        <v>0</v>
      </c>
      <c r="BS887" s="231">
        <f t="shared" si="892"/>
        <v>30</v>
      </c>
      <c r="BT887" s="229">
        <f t="shared" si="868"/>
        <v>43</v>
      </c>
      <c r="BU887" s="234">
        <f t="shared" si="869"/>
        <v>3.5018750000000001</v>
      </c>
      <c r="BV887" s="234" cm="1">
        <f t="array" ref="BV887">$BM887 * IF($AH887&lt;=2,
SUMPRODUCT(INDEX($AV$71:$AX$75,,$AI887), INDEX($AY$71:$BE$75,,$AH887), 1 / ($BF$71:$BF$75*BU887 + (1-$BF$71:$BF$75)*BQ887), N($AU$71:$AU$75&gt;$AM887)),
SUMPRODUCT(INDEX($AV$66:$AX$75,,$AI887), INDEX($AY$66:$BE$75,,$AH887), 1 / ($BG$66:$BG$75*BU887 + (1-$BG$66:$BG$75)*BQ887), N($AU$66:$AU$75&gt;$AM887))
) / 1000</f>
        <v>0</v>
      </c>
      <c r="BW887" s="231">
        <f t="shared" si="893"/>
        <v>25</v>
      </c>
      <c r="BX887" s="229">
        <f t="shared" si="870"/>
        <v>38</v>
      </c>
      <c r="BY887" s="234">
        <f t="shared" si="871"/>
        <v>4.0666935483870965</v>
      </c>
      <c r="BZ887" s="234" cm="1">
        <f t="array" ref="BZ887">$BM887 * IF($AH887&lt;=2,
SUMPRODUCT(INDEX($AV$66:$AX$70,,$AI887), INDEX($AY$66:$BE$70,,$AH887), 1 / ($BF$66:$BF$70*BY887 + (1-$BF$66:$BF$70)*BU887), N($AU$66:$AU$70&gt;$AM887)),
SUMPRODUCT(INDEX($AV$56:$AX$65,,$AI887), INDEX($AY$56:$BE$65,,$AH887), 1 / ($BG$56:$BG$65*BY887 + (1-$BG$56:$BG$65)*BU887), N($AU$56:$AU$65&gt;$AM887))
) / 1000</f>
        <v>0</v>
      </c>
      <c r="CA887" s="231">
        <f t="shared" si="894"/>
        <v>20</v>
      </c>
      <c r="CB887" s="229">
        <f t="shared" si="872"/>
        <v>33</v>
      </c>
      <c r="CC887" s="234">
        <f t="shared" si="873"/>
        <v>4.8487499999999999</v>
      </c>
      <c r="CD887" s="234" cm="1">
        <f t="array" ref="CD887">$BM887 * IF($AH887&lt;=2,
SUMPRODUCT(INDEX($AV$61:$AX$65,,$AI887), INDEX($AY$61:$BE$65,,$AH887), 1 / ($BF$61:$BF$65*CC887 + (1-$BF$61:$BF$65)*BY887), N($AU$61:$AU$65&gt;$AM887)),
SUMPRODUCT(INDEX($AV$46:$AX$55,,$AI887), INDEX($AY$46:$BE$55,,$AH887), 1 / ($BG$46:$BG$55*CC887 + (1-$BG$46:$BG$55)*BY887), N($AU$46:$AU$55&gt;$AM887))
) / 1000</f>
        <v>0</v>
      </c>
      <c r="CE887" s="234" cm="1">
        <f t="array" ref="CE887">$BM887 * IF($AH887&lt;=2,
SUMPRODUCT(INDEX($AV$22:$AX$60,,$AI887), INDEX($AY$22:$BE$60,,$AH887), 1 / ($BF$22:$BF$60*CC887), N($AU$22:$AU$60&gt;$AM887)),
SUMPRODUCT(INDEX($AV$22:$AX$45,,$AI887), INDEX($AY$22:$BE$45,,$AH887), 1 / ($BG$22:$BG$45*CC887), N($AU$22:$AU$45&gt;$AM887))
) / 1000</f>
        <v>0</v>
      </c>
      <c r="CF887" s="229">
        <f t="shared" si="874"/>
        <v>0</v>
      </c>
      <c r="CG887" s="246"/>
      <c r="CH887" s="229">
        <f t="shared" si="875"/>
        <v>0</v>
      </c>
      <c r="CI887" s="228">
        <v>35</v>
      </c>
      <c r="CJ887" s="229">
        <f t="shared" si="876"/>
        <v>48</v>
      </c>
      <c r="CK887" s="234">
        <f t="shared" si="877"/>
        <v>3.0748170731707316</v>
      </c>
      <c r="CL887" s="234" cm="1">
        <f t="array" ref="CL887">$BM887 * SUMPRODUCT(INDEX($AV$76:$AX$81,,$AI887),INDEX($AY$76:$BE$81,,$AH887), N($AU$76:$AU$81&gt;$AM887)) / CK887 / 1000</f>
        <v>0</v>
      </c>
      <c r="CM887" s="231">
        <f t="shared" si="895"/>
        <v>30</v>
      </c>
      <c r="CN887" s="229">
        <f t="shared" si="878"/>
        <v>43</v>
      </c>
      <c r="CO887" s="234">
        <f t="shared" si="879"/>
        <v>3.5018750000000001</v>
      </c>
      <c r="CP887" s="234" cm="1">
        <f t="array" ref="CP887">$BM887 * IF($AH887&lt;=2,
SUMPRODUCT(INDEX($AV$71:$AX$75,,$AI887), INDEX($AY$71:$BE$75,,$AH887), 1 / ($BF$71:$BF$75*CO887 + (1-$BF$71:$BF$75)*CK887), N($AU$71:$AU$75&gt;$AM887)),
SUMPRODUCT(INDEX($AV$66:$AX$75,,$AI887), INDEX($AY$66:$BE$75,,$AH887), 1 / ($BG$66:$BG$75*CO887 + (1-$BG$66:$BG$75)*CK887), N($AU$66:$AU$75&gt;$AM887))
) / 1000</f>
        <v>0</v>
      </c>
      <c r="CQ887" s="231">
        <f t="shared" si="896"/>
        <v>25</v>
      </c>
      <c r="CR887" s="229">
        <f t="shared" si="880"/>
        <v>38</v>
      </c>
      <c r="CS887" s="234">
        <f t="shared" si="881"/>
        <v>4.0666935483870965</v>
      </c>
      <c r="CT887" s="234" cm="1">
        <f t="array" ref="CT887">$BM887 * IF($AH887&lt;=2,
SUMPRODUCT(INDEX($AV$66:$AX$70,,$AI887), INDEX($AY$66:$BE$70,,$AH887), 1 / ($BF$66:$BF$70*CS887 + (1-$BF$66:$BF$70)*CO887), N($AU$66:$AU$70&gt;$AM887)),
SUMPRODUCT(INDEX($AV$56:$AX$65,,$AI887), INDEX($AY$56:$BE$65,,$AH887), 1 / ($BG$56:$BG$65*CS887 + (1-$BG$56:$BG$65)*CO887), N($AU$56:$AU$65&gt;$AM887))
) / 1000</f>
        <v>0</v>
      </c>
      <c r="CU887" s="231">
        <f t="shared" si="897"/>
        <v>20</v>
      </c>
      <c r="CV887" s="229">
        <f t="shared" si="882"/>
        <v>33</v>
      </c>
      <c r="CW887" s="234">
        <f t="shared" si="883"/>
        <v>4.8487499999999999</v>
      </c>
      <c r="CX887" s="234" cm="1">
        <f t="array" ref="CX887">$BM887 * IF($AH887&lt;=2,
SUMPRODUCT(INDEX($AV$61:$AX$65,,$AI887), INDEX($AY$61:$BE$65,,$AH887), 1 / ($BF$61:$BF$65*CW887 + (1-$BF$61:$BF$65)*CS887), N($AU$61:$AU$65&gt;$AM887)),
SUMPRODUCT(INDEX($AV$46:$AX$55,,$AI887), INDEX($AY$46:$BE$55,,$AH887), 1 / ($BG$46:$BG$55*CW887 + (1-$BG$46:$BG$55)*CS887), N($AU$46:$AU$55&gt;$AM887))
) / 1000</f>
        <v>0</v>
      </c>
      <c r="CY887" s="234" cm="1">
        <f t="array" ref="CY887">$BM887 * IF($AH887&lt;=2,
SUMPRODUCT(INDEX($AV$22:$AX$60,,$AI887), INDEX($AY$22:$BE$60,,$AH887), 1 / ($BF$22:$BF$60*CW887), N($AU$22:$AU$60&gt;$AM887)),
SUMPRODUCT(INDEX($AV$22:$AX$45,,$AI887), INDEX($AY$22:$BE$45,,$AH887), 1 / ($BG$22:$BG$45*CW887), N($AU$22:$AU$45&gt;$AM887))
) / 1000</f>
        <v>0</v>
      </c>
      <c r="CZ887" s="229">
        <f t="shared" si="884"/>
        <v>0</v>
      </c>
      <c r="DA887" s="246"/>
    </row>
    <row r="888" spans="1:105" s="75" customFormat="1" ht="14.25" customHeight="1" x14ac:dyDescent="0.2">
      <c r="A888" s="230" t="b">
        <f t="shared" si="889"/>
        <v>0</v>
      </c>
      <c r="B888" s="253">
        <v>867</v>
      </c>
      <c r="C888" s="266"/>
      <c r="D888" s="266"/>
      <c r="E888" s="254"/>
      <c r="F888" s="255" t="str">
        <f>IF(ISBLANK(E888), "", VLOOKUP(E888, Z!$A$2:$C$4127, 3, FALSE))</f>
        <v/>
      </c>
      <c r="G888" s="256"/>
      <c r="H888" s="256"/>
      <c r="I888" s="256"/>
      <c r="J888" s="257"/>
      <c r="K888" s="258"/>
      <c r="L888" s="267"/>
      <c r="M888" s="268"/>
      <c r="N888" s="259" t="str" cm="1">
        <f t="array" ref="N888">IF($L888&gt;0, INDEX(Clean,1+AK888,$D$1), "")</f>
        <v/>
      </c>
      <c r="O888" s="260"/>
      <c r="P888" s="260"/>
      <c r="Q888" s="261"/>
      <c r="R888" s="264">
        <f t="shared" si="860"/>
        <v>0</v>
      </c>
      <c r="S888" s="259" t="str" cm="1">
        <f t="array" ref="S888">IF($L888&gt;0, INDEX(Clean,1+AL888,$D$1), "")</f>
        <v/>
      </c>
      <c r="T888" s="260"/>
      <c r="U888" s="260"/>
      <c r="V888" s="261"/>
      <c r="W888" s="267"/>
      <c r="X888" s="267"/>
      <c r="Y888" s="257"/>
      <c r="Z888" s="264">
        <f t="shared" si="861"/>
        <v>0</v>
      </c>
      <c r="AA888" s="269"/>
      <c r="AB888" s="266"/>
      <c r="AC888" s="254"/>
      <c r="AD888" s="255" t="str">
        <f>IF(ISBLANK(AC888), "", VLOOKUP(AC888, Z!$A$2:$C$4127, 3, FALSE))</f>
        <v/>
      </c>
      <c r="AE888" s="270"/>
      <c r="AF888" s="265">
        <f t="shared" si="862"/>
        <v>0</v>
      </c>
      <c r="AG888" s="246"/>
      <c r="AH888" s="228">
        <f t="shared" si="885"/>
        <v>1</v>
      </c>
      <c r="AI888" s="228">
        <f t="shared" si="886"/>
        <v>1</v>
      </c>
      <c r="AJ888" s="228">
        <f t="shared" si="887"/>
        <v>0</v>
      </c>
      <c r="AK888" s="228">
        <v>0</v>
      </c>
      <c r="AL888" s="228">
        <v>0</v>
      </c>
      <c r="AM888" s="228">
        <f t="shared" si="863"/>
        <v>-100</v>
      </c>
      <c r="AN888" s="228" cm="1">
        <f t="array" ref="AN888">IF(ISBLANK(G888), 1, IFERROR(MATCH(G888, INDEX(Kat,,1), 0), IFERROR(MATCH(Kat, INDEX(Use,,2), 0), MATCH(Kat, INDEX(Use,,3), 0))))</f>
        <v>1</v>
      </c>
      <c r="AO888" s="246"/>
      <c r="AP888" s="228" cm="1">
        <f t="array" ref="AP888">IF(W888&gt;0, INDEX(Kat, AN888,4), 0)</f>
        <v>0</v>
      </c>
      <c r="AQ888" s="228">
        <f t="shared" si="888"/>
        <v>0</v>
      </c>
      <c r="AR888" s="228" cm="1">
        <f t="array" ref="AR888">IF(X888&gt;0, INDEX(Kat, $AN888, 4+AQ888), 0)</f>
        <v>0</v>
      </c>
      <c r="AS888" s="228" cm="1">
        <f t="array" ref="AS888">IF(X888&gt;0, INDEX(Kat, $AN888, 9+AQ888), 0)</f>
        <v>0</v>
      </c>
      <c r="AT888" s="246"/>
      <c r="AU888" s="262"/>
      <c r="AV888" s="262"/>
      <c r="AW888" s="263"/>
      <c r="AX888" s="263"/>
      <c r="AY888" s="263"/>
      <c r="AZ888" s="263"/>
      <c r="BA888" s="263"/>
      <c r="BB888" s="263"/>
      <c r="BC888" s="263"/>
      <c r="BD888" s="263"/>
      <c r="BE888" s="263"/>
      <c r="BF888" s="263"/>
      <c r="BG888" s="263"/>
      <c r="BH888" s="246"/>
      <c r="BI888" s="228" cm="1">
        <f t="array" ref="BI888">INDEX(Use, $AH888, 4)</f>
        <v>7</v>
      </c>
      <c r="BJ888" s="228">
        <f t="shared" si="864"/>
        <v>32</v>
      </c>
      <c r="BK888" s="228">
        <f t="shared" si="890"/>
        <v>13</v>
      </c>
      <c r="BL888" s="228">
        <f t="shared" si="891"/>
        <v>0</v>
      </c>
      <c r="BM888" s="233" cm="1">
        <f t="array" ref="BM888">L888/IF($M888&gt;0, INDEX($AY$22:$BE$76, $M888+20, $AH888), 1)</f>
        <v>0</v>
      </c>
      <c r="BN888" s="229">
        <f t="shared" si="865"/>
        <v>0</v>
      </c>
      <c r="BO888" s="228">
        <v>35</v>
      </c>
      <c r="BP888" s="229">
        <f t="shared" si="866"/>
        <v>48</v>
      </c>
      <c r="BQ888" s="234">
        <f t="shared" si="867"/>
        <v>3.0748170731707316</v>
      </c>
      <c r="BR888" s="234" cm="1">
        <f t="array" ref="BR888">$BM888 * SUMPRODUCT(INDEX($AV$76:$AX$81,,$AI888),INDEX($AY$76:$BE$81,,$AH888), N($AU$76:$AU$81&gt;$AM888)) / BQ888 / 1000</f>
        <v>0</v>
      </c>
      <c r="BS888" s="231">
        <f t="shared" si="892"/>
        <v>30</v>
      </c>
      <c r="BT888" s="229">
        <f t="shared" si="868"/>
        <v>43</v>
      </c>
      <c r="BU888" s="234">
        <f t="shared" si="869"/>
        <v>3.5018750000000001</v>
      </c>
      <c r="BV888" s="234" cm="1">
        <f t="array" ref="BV888">$BM888 * IF($AH888&lt;=2,
SUMPRODUCT(INDEX($AV$71:$AX$75,,$AI888), INDEX($AY$71:$BE$75,,$AH888), 1 / ($BF$71:$BF$75*BU888 + (1-$BF$71:$BF$75)*BQ888), N($AU$71:$AU$75&gt;$AM888)),
SUMPRODUCT(INDEX($AV$66:$AX$75,,$AI888), INDEX($AY$66:$BE$75,,$AH888), 1 / ($BG$66:$BG$75*BU888 + (1-$BG$66:$BG$75)*BQ888), N($AU$66:$AU$75&gt;$AM888))
) / 1000</f>
        <v>0</v>
      </c>
      <c r="BW888" s="231">
        <f t="shared" si="893"/>
        <v>25</v>
      </c>
      <c r="BX888" s="229">
        <f t="shared" si="870"/>
        <v>38</v>
      </c>
      <c r="BY888" s="234">
        <f t="shared" si="871"/>
        <v>4.0666935483870965</v>
      </c>
      <c r="BZ888" s="234" cm="1">
        <f t="array" ref="BZ888">$BM888 * IF($AH888&lt;=2,
SUMPRODUCT(INDEX($AV$66:$AX$70,,$AI888), INDEX($AY$66:$BE$70,,$AH888), 1 / ($BF$66:$BF$70*BY888 + (1-$BF$66:$BF$70)*BU888), N($AU$66:$AU$70&gt;$AM888)),
SUMPRODUCT(INDEX($AV$56:$AX$65,,$AI888), INDEX($AY$56:$BE$65,,$AH888), 1 / ($BG$56:$BG$65*BY888 + (1-$BG$56:$BG$65)*BU888), N($AU$56:$AU$65&gt;$AM888))
) / 1000</f>
        <v>0</v>
      </c>
      <c r="CA888" s="231">
        <f t="shared" si="894"/>
        <v>20</v>
      </c>
      <c r="CB888" s="229">
        <f t="shared" si="872"/>
        <v>33</v>
      </c>
      <c r="CC888" s="234">
        <f t="shared" si="873"/>
        <v>4.8487499999999999</v>
      </c>
      <c r="CD888" s="234" cm="1">
        <f t="array" ref="CD888">$BM888 * IF($AH888&lt;=2,
SUMPRODUCT(INDEX($AV$61:$AX$65,,$AI888), INDEX($AY$61:$BE$65,,$AH888), 1 / ($BF$61:$BF$65*CC888 + (1-$BF$61:$BF$65)*BY888), N($AU$61:$AU$65&gt;$AM888)),
SUMPRODUCT(INDEX($AV$46:$AX$55,,$AI888), INDEX($AY$46:$BE$55,,$AH888), 1 / ($BG$46:$BG$55*CC888 + (1-$BG$46:$BG$55)*BY888), N($AU$46:$AU$55&gt;$AM888))
) / 1000</f>
        <v>0</v>
      </c>
      <c r="CE888" s="234" cm="1">
        <f t="array" ref="CE888">$BM888 * IF($AH888&lt;=2,
SUMPRODUCT(INDEX($AV$22:$AX$60,,$AI888), INDEX($AY$22:$BE$60,,$AH888), 1 / ($BF$22:$BF$60*CC888), N($AU$22:$AU$60&gt;$AM888)),
SUMPRODUCT(INDEX($AV$22:$AX$45,,$AI888), INDEX($AY$22:$BE$45,,$AH888), 1 / ($BG$22:$BG$45*CC888), N($AU$22:$AU$45&gt;$AM888))
) / 1000</f>
        <v>0</v>
      </c>
      <c r="CF888" s="229">
        <f t="shared" si="874"/>
        <v>0</v>
      </c>
      <c r="CG888" s="246"/>
      <c r="CH888" s="229">
        <f t="shared" si="875"/>
        <v>0</v>
      </c>
      <c r="CI888" s="228">
        <v>35</v>
      </c>
      <c r="CJ888" s="229">
        <f t="shared" si="876"/>
        <v>48</v>
      </c>
      <c r="CK888" s="234">
        <f t="shared" si="877"/>
        <v>3.0748170731707316</v>
      </c>
      <c r="CL888" s="234" cm="1">
        <f t="array" ref="CL888">$BM888 * SUMPRODUCT(INDEX($AV$76:$AX$81,,$AI888),INDEX($AY$76:$BE$81,,$AH888), N($AU$76:$AU$81&gt;$AM888)) / CK888 / 1000</f>
        <v>0</v>
      </c>
      <c r="CM888" s="231">
        <f t="shared" si="895"/>
        <v>30</v>
      </c>
      <c r="CN888" s="229">
        <f t="shared" si="878"/>
        <v>43</v>
      </c>
      <c r="CO888" s="234">
        <f t="shared" si="879"/>
        <v>3.5018750000000001</v>
      </c>
      <c r="CP888" s="234" cm="1">
        <f t="array" ref="CP888">$BM888 * IF($AH888&lt;=2,
SUMPRODUCT(INDEX($AV$71:$AX$75,,$AI888), INDEX($AY$71:$BE$75,,$AH888), 1 / ($BF$71:$BF$75*CO888 + (1-$BF$71:$BF$75)*CK888), N($AU$71:$AU$75&gt;$AM888)),
SUMPRODUCT(INDEX($AV$66:$AX$75,,$AI888), INDEX($AY$66:$BE$75,,$AH888), 1 / ($BG$66:$BG$75*CO888 + (1-$BG$66:$BG$75)*CK888), N($AU$66:$AU$75&gt;$AM888))
) / 1000</f>
        <v>0</v>
      </c>
      <c r="CQ888" s="231">
        <f t="shared" si="896"/>
        <v>25</v>
      </c>
      <c r="CR888" s="229">
        <f t="shared" si="880"/>
        <v>38</v>
      </c>
      <c r="CS888" s="234">
        <f t="shared" si="881"/>
        <v>4.0666935483870965</v>
      </c>
      <c r="CT888" s="234" cm="1">
        <f t="array" ref="CT888">$BM888 * IF($AH888&lt;=2,
SUMPRODUCT(INDEX($AV$66:$AX$70,,$AI888), INDEX($AY$66:$BE$70,,$AH888), 1 / ($BF$66:$BF$70*CS888 + (1-$BF$66:$BF$70)*CO888), N($AU$66:$AU$70&gt;$AM888)),
SUMPRODUCT(INDEX($AV$56:$AX$65,,$AI888), INDEX($AY$56:$BE$65,,$AH888), 1 / ($BG$56:$BG$65*CS888 + (1-$BG$56:$BG$65)*CO888), N($AU$56:$AU$65&gt;$AM888))
) / 1000</f>
        <v>0</v>
      </c>
      <c r="CU888" s="231">
        <f t="shared" si="897"/>
        <v>20</v>
      </c>
      <c r="CV888" s="229">
        <f t="shared" si="882"/>
        <v>33</v>
      </c>
      <c r="CW888" s="234">
        <f t="shared" si="883"/>
        <v>4.8487499999999999</v>
      </c>
      <c r="CX888" s="234" cm="1">
        <f t="array" ref="CX888">$BM888 * IF($AH888&lt;=2,
SUMPRODUCT(INDEX($AV$61:$AX$65,,$AI888), INDEX($AY$61:$BE$65,,$AH888), 1 / ($BF$61:$BF$65*CW888 + (1-$BF$61:$BF$65)*CS888), N($AU$61:$AU$65&gt;$AM888)),
SUMPRODUCT(INDEX($AV$46:$AX$55,,$AI888), INDEX($AY$46:$BE$55,,$AH888), 1 / ($BG$46:$BG$55*CW888 + (1-$BG$46:$BG$55)*CS888), N($AU$46:$AU$55&gt;$AM888))
) / 1000</f>
        <v>0</v>
      </c>
      <c r="CY888" s="234" cm="1">
        <f t="array" ref="CY888">$BM888 * IF($AH888&lt;=2,
SUMPRODUCT(INDEX($AV$22:$AX$60,,$AI888), INDEX($AY$22:$BE$60,,$AH888), 1 / ($BF$22:$BF$60*CW888), N($AU$22:$AU$60&gt;$AM888)),
SUMPRODUCT(INDEX($AV$22:$AX$45,,$AI888), INDEX($AY$22:$BE$45,,$AH888), 1 / ($BG$22:$BG$45*CW888), N($AU$22:$AU$45&gt;$AM888))
) / 1000</f>
        <v>0</v>
      </c>
      <c r="CZ888" s="229">
        <f t="shared" si="884"/>
        <v>0</v>
      </c>
      <c r="DA888" s="246"/>
    </row>
    <row r="889" spans="1:105" s="75" customFormat="1" ht="14.25" customHeight="1" x14ac:dyDescent="0.2">
      <c r="A889" s="230" t="b">
        <f t="shared" si="889"/>
        <v>0</v>
      </c>
      <c r="B889" s="253">
        <v>868</v>
      </c>
      <c r="C889" s="266"/>
      <c r="D889" s="266"/>
      <c r="E889" s="254"/>
      <c r="F889" s="255" t="str">
        <f>IF(ISBLANK(E889), "", VLOOKUP(E889, Z!$A$2:$C$4127, 3, FALSE))</f>
        <v/>
      </c>
      <c r="G889" s="256"/>
      <c r="H889" s="256"/>
      <c r="I889" s="256"/>
      <c r="J889" s="257"/>
      <c r="K889" s="258"/>
      <c r="L889" s="267"/>
      <c r="M889" s="268"/>
      <c r="N889" s="259" t="str" cm="1">
        <f t="array" ref="N889">IF($L889&gt;0, INDEX(Clean,1+AK889,$D$1), "")</f>
        <v/>
      </c>
      <c r="O889" s="260"/>
      <c r="P889" s="260"/>
      <c r="Q889" s="261"/>
      <c r="R889" s="264">
        <f t="shared" si="860"/>
        <v>0</v>
      </c>
      <c r="S889" s="259" t="str" cm="1">
        <f t="array" ref="S889">IF($L889&gt;0, INDEX(Clean,1+AL889,$D$1), "")</f>
        <v/>
      </c>
      <c r="T889" s="260"/>
      <c r="U889" s="260"/>
      <c r="V889" s="261"/>
      <c r="W889" s="267"/>
      <c r="X889" s="267"/>
      <c r="Y889" s="257"/>
      <c r="Z889" s="264">
        <f t="shared" si="861"/>
        <v>0</v>
      </c>
      <c r="AA889" s="269"/>
      <c r="AB889" s="266"/>
      <c r="AC889" s="254"/>
      <c r="AD889" s="255" t="str">
        <f>IF(ISBLANK(AC889), "", VLOOKUP(AC889, Z!$A$2:$C$4127, 3, FALSE))</f>
        <v/>
      </c>
      <c r="AE889" s="270"/>
      <c r="AF889" s="265">
        <f t="shared" si="862"/>
        <v>0</v>
      </c>
      <c r="AG889" s="246"/>
      <c r="AH889" s="228">
        <f t="shared" si="885"/>
        <v>1</v>
      </c>
      <c r="AI889" s="228">
        <f t="shared" si="886"/>
        <v>1</v>
      </c>
      <c r="AJ889" s="228">
        <f t="shared" si="887"/>
        <v>0</v>
      </c>
      <c r="AK889" s="228">
        <v>0</v>
      </c>
      <c r="AL889" s="228">
        <v>0</v>
      </c>
      <c r="AM889" s="228">
        <f t="shared" si="863"/>
        <v>-100</v>
      </c>
      <c r="AN889" s="228" cm="1">
        <f t="array" ref="AN889">IF(ISBLANK(G889), 1, IFERROR(MATCH(G889, INDEX(Kat,,1), 0), IFERROR(MATCH(Kat, INDEX(Use,,2), 0), MATCH(Kat, INDEX(Use,,3), 0))))</f>
        <v>1</v>
      </c>
      <c r="AO889" s="246"/>
      <c r="AP889" s="228" cm="1">
        <f t="array" ref="AP889">IF(W889&gt;0, INDEX(Kat, AN889,4), 0)</f>
        <v>0</v>
      </c>
      <c r="AQ889" s="228">
        <f t="shared" si="888"/>
        <v>0</v>
      </c>
      <c r="AR889" s="228" cm="1">
        <f t="array" ref="AR889">IF(X889&gt;0, INDEX(Kat, $AN889, 4+AQ889), 0)</f>
        <v>0</v>
      </c>
      <c r="AS889" s="228" cm="1">
        <f t="array" ref="AS889">IF(X889&gt;0, INDEX(Kat, $AN889, 9+AQ889), 0)</f>
        <v>0</v>
      </c>
      <c r="AT889" s="246"/>
      <c r="AU889" s="262"/>
      <c r="AV889" s="262"/>
      <c r="AW889" s="263"/>
      <c r="AX889" s="263"/>
      <c r="AY889" s="263"/>
      <c r="AZ889" s="263"/>
      <c r="BA889" s="263"/>
      <c r="BB889" s="263"/>
      <c r="BC889" s="263"/>
      <c r="BD889" s="263"/>
      <c r="BE889" s="263"/>
      <c r="BF889" s="263"/>
      <c r="BG889" s="263"/>
      <c r="BH889" s="246"/>
      <c r="BI889" s="228" cm="1">
        <f t="array" ref="BI889">INDEX(Use, $AH889, 4)</f>
        <v>7</v>
      </c>
      <c r="BJ889" s="228">
        <f t="shared" si="864"/>
        <v>32</v>
      </c>
      <c r="BK889" s="228">
        <f t="shared" si="890"/>
        <v>13</v>
      </c>
      <c r="BL889" s="228">
        <f t="shared" si="891"/>
        <v>0</v>
      </c>
      <c r="BM889" s="233" cm="1">
        <f t="array" ref="BM889">L889/IF($M889&gt;0, INDEX($AY$22:$BE$76, $M889+20, $AH889), 1)</f>
        <v>0</v>
      </c>
      <c r="BN889" s="229">
        <f t="shared" si="865"/>
        <v>0</v>
      </c>
      <c r="BO889" s="228">
        <v>35</v>
      </c>
      <c r="BP889" s="229">
        <f t="shared" si="866"/>
        <v>48</v>
      </c>
      <c r="BQ889" s="234">
        <f t="shared" si="867"/>
        <v>3.0748170731707316</v>
      </c>
      <c r="BR889" s="234" cm="1">
        <f t="array" ref="BR889">$BM889 * SUMPRODUCT(INDEX($AV$76:$AX$81,,$AI889),INDEX($AY$76:$BE$81,,$AH889), N($AU$76:$AU$81&gt;$AM889)) / BQ889 / 1000</f>
        <v>0</v>
      </c>
      <c r="BS889" s="231">
        <f t="shared" si="892"/>
        <v>30</v>
      </c>
      <c r="BT889" s="229">
        <f t="shared" si="868"/>
        <v>43</v>
      </c>
      <c r="BU889" s="234">
        <f t="shared" si="869"/>
        <v>3.5018750000000001</v>
      </c>
      <c r="BV889" s="234" cm="1">
        <f t="array" ref="BV889">$BM889 * IF($AH889&lt;=2,
SUMPRODUCT(INDEX($AV$71:$AX$75,,$AI889), INDEX($AY$71:$BE$75,,$AH889), 1 / ($BF$71:$BF$75*BU889 + (1-$BF$71:$BF$75)*BQ889), N($AU$71:$AU$75&gt;$AM889)),
SUMPRODUCT(INDEX($AV$66:$AX$75,,$AI889), INDEX($AY$66:$BE$75,,$AH889), 1 / ($BG$66:$BG$75*BU889 + (1-$BG$66:$BG$75)*BQ889), N($AU$66:$AU$75&gt;$AM889))
) / 1000</f>
        <v>0</v>
      </c>
      <c r="BW889" s="231">
        <f t="shared" si="893"/>
        <v>25</v>
      </c>
      <c r="BX889" s="229">
        <f t="shared" si="870"/>
        <v>38</v>
      </c>
      <c r="BY889" s="234">
        <f t="shared" si="871"/>
        <v>4.0666935483870965</v>
      </c>
      <c r="BZ889" s="234" cm="1">
        <f t="array" ref="BZ889">$BM889 * IF($AH889&lt;=2,
SUMPRODUCT(INDEX($AV$66:$AX$70,,$AI889), INDEX($AY$66:$BE$70,,$AH889), 1 / ($BF$66:$BF$70*BY889 + (1-$BF$66:$BF$70)*BU889), N($AU$66:$AU$70&gt;$AM889)),
SUMPRODUCT(INDEX($AV$56:$AX$65,,$AI889), INDEX($AY$56:$BE$65,,$AH889), 1 / ($BG$56:$BG$65*BY889 + (1-$BG$56:$BG$65)*BU889), N($AU$56:$AU$65&gt;$AM889))
) / 1000</f>
        <v>0</v>
      </c>
      <c r="CA889" s="231">
        <f t="shared" si="894"/>
        <v>20</v>
      </c>
      <c r="CB889" s="229">
        <f t="shared" si="872"/>
        <v>33</v>
      </c>
      <c r="CC889" s="234">
        <f t="shared" si="873"/>
        <v>4.8487499999999999</v>
      </c>
      <c r="CD889" s="234" cm="1">
        <f t="array" ref="CD889">$BM889 * IF($AH889&lt;=2,
SUMPRODUCT(INDEX($AV$61:$AX$65,,$AI889), INDEX($AY$61:$BE$65,,$AH889), 1 / ($BF$61:$BF$65*CC889 + (1-$BF$61:$BF$65)*BY889), N($AU$61:$AU$65&gt;$AM889)),
SUMPRODUCT(INDEX($AV$46:$AX$55,,$AI889), INDEX($AY$46:$BE$55,,$AH889), 1 / ($BG$46:$BG$55*CC889 + (1-$BG$46:$BG$55)*BY889), N($AU$46:$AU$55&gt;$AM889))
) / 1000</f>
        <v>0</v>
      </c>
      <c r="CE889" s="234" cm="1">
        <f t="array" ref="CE889">$BM889 * IF($AH889&lt;=2,
SUMPRODUCT(INDEX($AV$22:$AX$60,,$AI889), INDEX($AY$22:$BE$60,,$AH889), 1 / ($BF$22:$BF$60*CC889), N($AU$22:$AU$60&gt;$AM889)),
SUMPRODUCT(INDEX($AV$22:$AX$45,,$AI889), INDEX($AY$22:$BE$45,,$AH889), 1 / ($BG$22:$BG$45*CC889), N($AU$22:$AU$45&gt;$AM889))
) / 1000</f>
        <v>0</v>
      </c>
      <c r="CF889" s="229">
        <f t="shared" si="874"/>
        <v>0</v>
      </c>
      <c r="CG889" s="246"/>
      <c r="CH889" s="229">
        <f t="shared" si="875"/>
        <v>0</v>
      </c>
      <c r="CI889" s="228">
        <v>35</v>
      </c>
      <c r="CJ889" s="229">
        <f t="shared" si="876"/>
        <v>48</v>
      </c>
      <c r="CK889" s="234">
        <f t="shared" si="877"/>
        <v>3.0748170731707316</v>
      </c>
      <c r="CL889" s="234" cm="1">
        <f t="array" ref="CL889">$BM889 * SUMPRODUCT(INDEX($AV$76:$AX$81,,$AI889),INDEX($AY$76:$BE$81,,$AH889), N($AU$76:$AU$81&gt;$AM889)) / CK889 / 1000</f>
        <v>0</v>
      </c>
      <c r="CM889" s="231">
        <f t="shared" si="895"/>
        <v>30</v>
      </c>
      <c r="CN889" s="229">
        <f t="shared" si="878"/>
        <v>43</v>
      </c>
      <c r="CO889" s="234">
        <f t="shared" si="879"/>
        <v>3.5018750000000001</v>
      </c>
      <c r="CP889" s="234" cm="1">
        <f t="array" ref="CP889">$BM889 * IF($AH889&lt;=2,
SUMPRODUCT(INDEX($AV$71:$AX$75,,$AI889), INDEX($AY$71:$BE$75,,$AH889), 1 / ($BF$71:$BF$75*CO889 + (1-$BF$71:$BF$75)*CK889), N($AU$71:$AU$75&gt;$AM889)),
SUMPRODUCT(INDEX($AV$66:$AX$75,,$AI889), INDEX($AY$66:$BE$75,,$AH889), 1 / ($BG$66:$BG$75*CO889 + (1-$BG$66:$BG$75)*CK889), N($AU$66:$AU$75&gt;$AM889))
) / 1000</f>
        <v>0</v>
      </c>
      <c r="CQ889" s="231">
        <f t="shared" si="896"/>
        <v>25</v>
      </c>
      <c r="CR889" s="229">
        <f t="shared" si="880"/>
        <v>38</v>
      </c>
      <c r="CS889" s="234">
        <f t="shared" si="881"/>
        <v>4.0666935483870965</v>
      </c>
      <c r="CT889" s="234" cm="1">
        <f t="array" ref="CT889">$BM889 * IF($AH889&lt;=2,
SUMPRODUCT(INDEX($AV$66:$AX$70,,$AI889), INDEX($AY$66:$BE$70,,$AH889), 1 / ($BF$66:$BF$70*CS889 + (1-$BF$66:$BF$70)*CO889), N($AU$66:$AU$70&gt;$AM889)),
SUMPRODUCT(INDEX($AV$56:$AX$65,,$AI889), INDEX($AY$56:$BE$65,,$AH889), 1 / ($BG$56:$BG$65*CS889 + (1-$BG$56:$BG$65)*CO889), N($AU$56:$AU$65&gt;$AM889))
) / 1000</f>
        <v>0</v>
      </c>
      <c r="CU889" s="231">
        <f t="shared" si="897"/>
        <v>20</v>
      </c>
      <c r="CV889" s="229">
        <f t="shared" si="882"/>
        <v>33</v>
      </c>
      <c r="CW889" s="234">
        <f t="shared" si="883"/>
        <v>4.8487499999999999</v>
      </c>
      <c r="CX889" s="234" cm="1">
        <f t="array" ref="CX889">$BM889 * IF($AH889&lt;=2,
SUMPRODUCT(INDEX($AV$61:$AX$65,,$AI889), INDEX($AY$61:$BE$65,,$AH889), 1 / ($BF$61:$BF$65*CW889 + (1-$BF$61:$BF$65)*CS889), N($AU$61:$AU$65&gt;$AM889)),
SUMPRODUCT(INDEX($AV$46:$AX$55,,$AI889), INDEX($AY$46:$BE$55,,$AH889), 1 / ($BG$46:$BG$55*CW889 + (1-$BG$46:$BG$55)*CS889), N($AU$46:$AU$55&gt;$AM889))
) / 1000</f>
        <v>0</v>
      </c>
      <c r="CY889" s="234" cm="1">
        <f t="array" ref="CY889">$BM889 * IF($AH889&lt;=2,
SUMPRODUCT(INDEX($AV$22:$AX$60,,$AI889), INDEX($AY$22:$BE$60,,$AH889), 1 / ($BF$22:$BF$60*CW889), N($AU$22:$AU$60&gt;$AM889)),
SUMPRODUCT(INDEX($AV$22:$AX$45,,$AI889), INDEX($AY$22:$BE$45,,$AH889), 1 / ($BG$22:$BG$45*CW889), N($AU$22:$AU$45&gt;$AM889))
) / 1000</f>
        <v>0</v>
      </c>
      <c r="CZ889" s="229">
        <f t="shared" si="884"/>
        <v>0</v>
      </c>
      <c r="DA889" s="246"/>
    </row>
    <row r="890" spans="1:105" s="75" customFormat="1" ht="14.25" customHeight="1" x14ac:dyDescent="0.2">
      <c r="A890" s="230" t="b">
        <f t="shared" si="889"/>
        <v>0</v>
      </c>
      <c r="B890" s="253">
        <v>869</v>
      </c>
      <c r="C890" s="266"/>
      <c r="D890" s="266"/>
      <c r="E890" s="254"/>
      <c r="F890" s="255" t="str">
        <f>IF(ISBLANK(E890), "", VLOOKUP(E890, Z!$A$2:$C$4127, 3, FALSE))</f>
        <v/>
      </c>
      <c r="G890" s="256"/>
      <c r="H890" s="256"/>
      <c r="I890" s="256"/>
      <c r="J890" s="257"/>
      <c r="K890" s="258"/>
      <c r="L890" s="267"/>
      <c r="M890" s="268"/>
      <c r="N890" s="259" t="str" cm="1">
        <f t="array" ref="N890">IF($L890&gt;0, INDEX(Clean,1+AK890,$D$1), "")</f>
        <v/>
      </c>
      <c r="O890" s="260"/>
      <c r="P890" s="260"/>
      <c r="Q890" s="261"/>
      <c r="R890" s="264">
        <f t="shared" ref="R890:R953" si="898">CF890*1000</f>
        <v>0</v>
      </c>
      <c r="S890" s="259" t="str" cm="1">
        <f t="array" ref="S890">IF($L890&gt;0, INDEX(Clean,1+AL890,$D$1), "")</f>
        <v/>
      </c>
      <c r="T890" s="260"/>
      <c r="U890" s="260"/>
      <c r="V890" s="261"/>
      <c r="W890" s="267"/>
      <c r="X890" s="267"/>
      <c r="Y890" s="257"/>
      <c r="Z890" s="264">
        <f t="shared" ref="Z890:Z953" si="899">(CZ890 - IF(W890&gt;0, CZ890*(W890/7)*AP890, 0) - IF(X890&gt;0, CZ890*(X890*AR890*AS890), 0))*1000</f>
        <v>0</v>
      </c>
      <c r="AA890" s="269"/>
      <c r="AB890" s="266"/>
      <c r="AC890" s="254"/>
      <c r="AD890" s="255" t="str">
        <f>IF(ISBLANK(AC890), "", VLOOKUP(AC890, Z!$A$2:$C$4127, 3, FALSE))</f>
        <v/>
      </c>
      <c r="AE890" s="270"/>
      <c r="AF890" s="265">
        <f t="shared" ref="AF890:AF953" si="900">0.75*AO$22*(R890-Z890)</f>
        <v>0</v>
      </c>
      <c r="AG890" s="246"/>
      <c r="AH890" s="228">
        <f t="shared" si="885"/>
        <v>1</v>
      </c>
      <c r="AI890" s="228">
        <f t="shared" si="886"/>
        <v>1</v>
      </c>
      <c r="AJ890" s="228">
        <f t="shared" si="887"/>
        <v>0</v>
      </c>
      <c r="AK890" s="228">
        <v>0</v>
      </c>
      <c r="AL890" s="228">
        <v>0</v>
      </c>
      <c r="AM890" s="228">
        <f t="shared" ref="AM890:AM953" si="901">IF(AND(K890="x", AH890=5), 11, IF(AND(K890="x", AH890=6), 19, -100))</f>
        <v>-100</v>
      </c>
      <c r="AN890" s="228" cm="1">
        <f t="array" ref="AN890">IF(ISBLANK(G890), 1, IFERROR(MATCH(G890, INDEX(Kat,,1), 0), IFERROR(MATCH(Kat, INDEX(Use,,2), 0), MATCH(Kat, INDEX(Use,,3), 0))))</f>
        <v>1</v>
      </c>
      <c r="AO890" s="246"/>
      <c r="AP890" s="228" cm="1">
        <f t="array" ref="AP890">IF(W890&gt;0, INDEX(Kat, AN890,4), 0)</f>
        <v>0</v>
      </c>
      <c r="AQ890" s="228">
        <f t="shared" si="888"/>
        <v>0</v>
      </c>
      <c r="AR890" s="228" cm="1">
        <f t="array" ref="AR890">IF(X890&gt;0, INDEX(Kat, $AN890, 4+AQ890), 0)</f>
        <v>0</v>
      </c>
      <c r="AS890" s="228" cm="1">
        <f t="array" ref="AS890">IF(X890&gt;0, INDEX(Kat, $AN890, 9+AQ890), 0)</f>
        <v>0</v>
      </c>
      <c r="AT890" s="246"/>
      <c r="AU890" s="262"/>
      <c r="AV890" s="262"/>
      <c r="AW890" s="263"/>
      <c r="AX890" s="263"/>
      <c r="AY890" s="263"/>
      <c r="AZ890" s="263"/>
      <c r="BA890" s="263"/>
      <c r="BB890" s="263"/>
      <c r="BC890" s="263"/>
      <c r="BD890" s="263"/>
      <c r="BE890" s="263"/>
      <c r="BF890" s="263"/>
      <c r="BG890" s="263"/>
      <c r="BH890" s="246"/>
      <c r="BI890" s="228" cm="1">
        <f t="array" ref="BI890">INDEX(Use, $AH890, 4)</f>
        <v>7</v>
      </c>
      <c r="BJ890" s="228">
        <f t="shared" ref="BJ890:BJ953" si="902">MAX(25, BI890+25)</f>
        <v>32</v>
      </c>
      <c r="BK890" s="228">
        <f t="shared" si="890"/>
        <v>13</v>
      </c>
      <c r="BL890" s="228">
        <f t="shared" si="891"/>
        <v>0</v>
      </c>
      <c r="BM890" s="233" cm="1">
        <f t="array" ref="BM890">L890/IF($M890&gt;0, INDEX($AY$22:$BE$76, $M890+20, $AH890), 1)</f>
        <v>0</v>
      </c>
      <c r="BN890" s="229">
        <f t="shared" ref="BN890:BN953" si="903">Q890 /  IF(AH890&lt;=2, 0.7 + 0.3 * (P890-20)/(35-20), 0.4 + 0.6 * (P890-5)/(35-5))</f>
        <v>0</v>
      </c>
      <c r="BO890" s="228">
        <v>35</v>
      </c>
      <c r="BP890" s="229">
        <f t="shared" ref="BP890:BP953" si="904">MAX($O890, MAX($BJ890, $BO890 + $BK890 + $BL890 + 0.35*$AK890*$BK890 + BN890))</f>
        <v>48</v>
      </c>
      <c r="BQ890" s="234">
        <f t="shared" ref="BQ890:BQ953" si="905">0.45*($BI890+273.15)/(BP890-$BI890)</f>
        <v>3.0748170731707316</v>
      </c>
      <c r="BR890" s="234" cm="1">
        <f t="array" ref="BR890">$BM890 * SUMPRODUCT(INDEX($AV$76:$AX$81,,$AI890),INDEX($AY$76:$BE$81,,$AH890), N($AU$76:$AU$81&gt;$AM890)) / BQ890 / 1000</f>
        <v>0</v>
      </c>
      <c r="BS890" s="231">
        <f t="shared" si="892"/>
        <v>30</v>
      </c>
      <c r="BT890" s="229">
        <f t="shared" ref="BT890:BT953" si="906">MAX($O890, MAX($BJ890, BS890 + $BK890 + $BL890 + IF($AH890&lt;=2, (BS890-20)/(35-20), 0.6+0.4*(BS890-5)/(35-5))*0.35*$AK890*$BK890) + IF($AH890&lt;=2,0.9,0.8)*$BN890)</f>
        <v>43</v>
      </c>
      <c r="BU890" s="234">
        <f t="shared" ref="BU890:BU953" si="907">0.45*($BI890+273.15)/(BT890-$BI890)</f>
        <v>3.5018750000000001</v>
      </c>
      <c r="BV890" s="234" cm="1">
        <f t="array" ref="BV890">$BM890 * IF($AH890&lt;=2,
SUMPRODUCT(INDEX($AV$71:$AX$75,,$AI890), INDEX($AY$71:$BE$75,,$AH890), 1 / ($BF$71:$BF$75*BU890 + (1-$BF$71:$BF$75)*BQ890), N($AU$71:$AU$75&gt;$AM890)),
SUMPRODUCT(INDEX($AV$66:$AX$75,,$AI890), INDEX($AY$66:$BE$75,,$AH890), 1 / ($BG$66:$BG$75*BU890 + (1-$BG$66:$BG$75)*BQ890), N($AU$66:$AU$75&gt;$AM890))
) / 1000</f>
        <v>0</v>
      </c>
      <c r="BW890" s="231">
        <f t="shared" si="893"/>
        <v>25</v>
      </c>
      <c r="BX890" s="229">
        <f t="shared" ref="BX890:BX953" si="908">MAX($O890, MAX($BJ890, BW890 + $BK890 + $BL890 + IF($AH890&lt;=2, (BW890-20)/(35-20), 0.6+0.4*(BW890-5)/(35-5))*0.35*$AK890*$BK890) + IF($AH890&lt;=2,0.8,0.6)*$BN890)</f>
        <v>38</v>
      </c>
      <c r="BY890" s="234">
        <f t="shared" ref="BY890:BY953" si="909">0.45*($BI890+273.15)/(BX890-$BI890)</f>
        <v>4.0666935483870965</v>
      </c>
      <c r="BZ890" s="234" cm="1">
        <f t="array" ref="BZ890">$BM890 * IF($AH890&lt;=2,
SUMPRODUCT(INDEX($AV$66:$AX$70,,$AI890), INDEX($AY$66:$BE$70,,$AH890), 1 / ($BF$66:$BF$70*BY890 + (1-$BF$66:$BF$70)*BU890), N($AU$66:$AU$70&gt;$AM890)),
SUMPRODUCT(INDEX($AV$56:$AX$65,,$AI890), INDEX($AY$56:$BE$65,,$AH890), 1 / ($BG$56:$BG$65*BY890 + (1-$BG$56:$BG$65)*BU890), N($AU$56:$AU$65&gt;$AM890))
) / 1000</f>
        <v>0</v>
      </c>
      <c r="CA890" s="231">
        <f t="shared" si="894"/>
        <v>20</v>
      </c>
      <c r="CB890" s="229">
        <f t="shared" ref="CB890:CB953" si="910">MAX($O890, MAX($BJ890, CA890 + $BK890 + $BL890 + IF($AH890&lt;=2, (CA890-20)/(35-20), 0.6+0.4*(CA890-5)/(35-5))*0.35*$AK890*$BK890) + IF($AH890&lt;=2,0.7,0.4)*$BN890)</f>
        <v>33</v>
      </c>
      <c r="CC890" s="234">
        <f t="shared" ref="CC890:CC953" si="911">0.45*($BI890+273.15)/(CB890-$BI890)</f>
        <v>4.8487499999999999</v>
      </c>
      <c r="CD890" s="234" cm="1">
        <f t="array" ref="CD890">$BM890 * IF($AH890&lt;=2,
SUMPRODUCT(INDEX($AV$61:$AX$65,,$AI890), INDEX($AY$61:$BE$65,,$AH890), 1 / ($BF$61:$BF$65*CC890 + (1-$BF$61:$BF$65)*BY890), N($AU$61:$AU$65&gt;$AM890)),
SUMPRODUCT(INDEX($AV$46:$AX$55,,$AI890), INDEX($AY$46:$BE$55,,$AH890), 1 / ($BG$46:$BG$55*CC890 + (1-$BG$46:$BG$55)*BY890), N($AU$46:$AU$55&gt;$AM890))
) / 1000</f>
        <v>0</v>
      </c>
      <c r="CE890" s="234" cm="1">
        <f t="array" ref="CE890">$BM890 * IF($AH890&lt;=2,
SUMPRODUCT(INDEX($AV$22:$AX$60,,$AI890), INDEX($AY$22:$BE$60,,$AH890), 1 / ($BF$22:$BF$60*CC890), N($AU$22:$AU$60&gt;$AM890)),
SUMPRODUCT(INDEX($AV$22:$AX$45,,$AI890), INDEX($AY$22:$BE$45,,$AH890), 1 / ($BG$22:$BG$45*CC890), N($AU$22:$AU$45&gt;$AM890))
) / 1000</f>
        <v>0</v>
      </c>
      <c r="CF890" s="229">
        <f t="shared" ref="CF890:CF953" si="912">BR890+BV890+BZ890+CD890+CE890</f>
        <v>0</v>
      </c>
      <c r="CG890" s="246"/>
      <c r="CH890" s="229">
        <f t="shared" ref="CH890:CH953" si="913">V890 /  IF(AH890&lt;=2, 0.7 + 0.3 * (U890-20)/(35-20), 0.4 + 0.6 * (U890-5)/(35-5))</f>
        <v>0</v>
      </c>
      <c r="CI890" s="228">
        <v>35</v>
      </c>
      <c r="CJ890" s="229">
        <f t="shared" ref="CJ890:CJ953" si="914">MAX($T890, MAX($BJ890, $BO890 + $BK890 + $BL890 + 0.35*$AL890*$BK890 + CH890))</f>
        <v>48</v>
      </c>
      <c r="CK890" s="234">
        <f t="shared" ref="CK890:CK953" si="915">0.45*($BI890+273.15)/(CJ890-$BI890)</f>
        <v>3.0748170731707316</v>
      </c>
      <c r="CL890" s="234" cm="1">
        <f t="array" ref="CL890">$BM890 * SUMPRODUCT(INDEX($AV$76:$AX$81,,$AI890),INDEX($AY$76:$BE$81,,$AH890), N($AU$76:$AU$81&gt;$AM890)) / CK890 / 1000</f>
        <v>0</v>
      </c>
      <c r="CM890" s="231">
        <f t="shared" si="895"/>
        <v>30</v>
      </c>
      <c r="CN890" s="229">
        <f t="shared" ref="CN890:CN953" si="916">MAX($T890, MAX($BJ890, CM890 + $BK890 + $BL890 + IF($AH890&lt;=2, (CM890-20)/(35-20), 0.6+0.4*(CM890-5)/(35-5))*0.35*$AL890*$BK890) + IF($AH890&lt;=2,0.9,0.8)*$CH890)</f>
        <v>43</v>
      </c>
      <c r="CO890" s="234">
        <f t="shared" ref="CO890:CO953" si="917">0.45*($BI890+273.15)/(CN890-$BI890)</f>
        <v>3.5018750000000001</v>
      </c>
      <c r="CP890" s="234" cm="1">
        <f t="array" ref="CP890">$BM890 * IF($AH890&lt;=2,
SUMPRODUCT(INDEX($AV$71:$AX$75,,$AI890), INDEX($AY$71:$BE$75,,$AH890), 1 / ($BF$71:$BF$75*CO890 + (1-$BF$71:$BF$75)*CK890), N($AU$71:$AU$75&gt;$AM890)),
SUMPRODUCT(INDEX($AV$66:$AX$75,,$AI890), INDEX($AY$66:$BE$75,,$AH890), 1 / ($BG$66:$BG$75*CO890 + (1-$BG$66:$BG$75)*CK890), N($AU$66:$AU$75&gt;$AM890))
) / 1000</f>
        <v>0</v>
      </c>
      <c r="CQ890" s="231">
        <f t="shared" si="896"/>
        <v>25</v>
      </c>
      <c r="CR890" s="229">
        <f t="shared" ref="CR890:CR953" si="918">MAX($T890, MAX($BJ890, CQ890 + $BK890 + $BL890 + IF($AH890&lt;=2, (CQ890-20)/(35-20), 0.6+0.4*(CQ890-5)/(35-5))*0.35*$AL890*$BK890) + IF($AH890&lt;=2,0.8,0.6)*$CH890)</f>
        <v>38</v>
      </c>
      <c r="CS890" s="234">
        <f t="shared" ref="CS890:CS953" si="919">0.45*($BI890+273.15)/(CR890-$BI890)</f>
        <v>4.0666935483870965</v>
      </c>
      <c r="CT890" s="234" cm="1">
        <f t="array" ref="CT890">$BM890 * IF($AH890&lt;=2,
SUMPRODUCT(INDEX($AV$66:$AX$70,,$AI890), INDEX($AY$66:$BE$70,,$AH890), 1 / ($BF$66:$BF$70*CS890 + (1-$BF$66:$BF$70)*CO890), N($AU$66:$AU$70&gt;$AM890)),
SUMPRODUCT(INDEX($AV$56:$AX$65,,$AI890), INDEX($AY$56:$BE$65,,$AH890), 1 / ($BG$56:$BG$65*CS890 + (1-$BG$56:$BG$65)*CO890), N($AU$56:$AU$65&gt;$AM890))
) / 1000</f>
        <v>0</v>
      </c>
      <c r="CU890" s="231">
        <f t="shared" si="897"/>
        <v>20</v>
      </c>
      <c r="CV890" s="229">
        <f t="shared" ref="CV890:CV953" si="920">MAX($T890, MAX($BJ890, CU890 + $BK890 + $BL890 + IF($AH890&lt;=2, (CU890-20)/(35-20), 0.6+0.4*(CU890-5)/(35-5))*0.35*$AL890*$BK890) + IF($AH890&lt;=2,0.7,0.4)*$CH890)</f>
        <v>33</v>
      </c>
      <c r="CW890" s="234">
        <f t="shared" ref="CW890:CW953" si="921">0.45*($BI890+273.15)/(CV890-$BI890)</f>
        <v>4.8487499999999999</v>
      </c>
      <c r="CX890" s="234" cm="1">
        <f t="array" ref="CX890">$BM890 * IF($AH890&lt;=2,
SUMPRODUCT(INDEX($AV$61:$AX$65,,$AI890), INDEX($AY$61:$BE$65,,$AH890), 1 / ($BF$61:$BF$65*CW890 + (1-$BF$61:$BF$65)*CS890), N($AU$61:$AU$65&gt;$AM890)),
SUMPRODUCT(INDEX($AV$46:$AX$55,,$AI890), INDEX($AY$46:$BE$55,,$AH890), 1 / ($BG$46:$BG$55*CW890 + (1-$BG$46:$BG$55)*CS890), N($AU$46:$AU$55&gt;$AM890))
) / 1000</f>
        <v>0</v>
      </c>
      <c r="CY890" s="234" cm="1">
        <f t="array" ref="CY890">$BM890 * IF($AH890&lt;=2,
SUMPRODUCT(INDEX($AV$22:$AX$60,,$AI890), INDEX($AY$22:$BE$60,,$AH890), 1 / ($BF$22:$BF$60*CW890), N($AU$22:$AU$60&gt;$AM890)),
SUMPRODUCT(INDEX($AV$22:$AX$45,,$AI890), INDEX($AY$22:$BE$45,,$AH890), 1 / ($BG$22:$BG$45*CW890), N($AU$22:$AU$45&gt;$AM890))
) / 1000</f>
        <v>0</v>
      </c>
      <c r="CZ890" s="229">
        <f t="shared" ref="CZ890:CZ953" si="922">CL890+CP890+CT890+CX890+CY890</f>
        <v>0</v>
      </c>
      <c r="DA890" s="246"/>
    </row>
    <row r="891" spans="1:105" s="75" customFormat="1" ht="14.25" customHeight="1" x14ac:dyDescent="0.2">
      <c r="A891" s="230" t="b">
        <f t="shared" si="889"/>
        <v>0</v>
      </c>
      <c r="B891" s="253">
        <v>870</v>
      </c>
      <c r="C891" s="266"/>
      <c r="D891" s="266"/>
      <c r="E891" s="254"/>
      <c r="F891" s="255" t="str">
        <f>IF(ISBLANK(E891), "", VLOOKUP(E891, Z!$A$2:$C$4127, 3, FALSE))</f>
        <v/>
      </c>
      <c r="G891" s="256"/>
      <c r="H891" s="256"/>
      <c r="I891" s="256"/>
      <c r="J891" s="257"/>
      <c r="K891" s="258"/>
      <c r="L891" s="267"/>
      <c r="M891" s="268"/>
      <c r="N891" s="259" t="str" cm="1">
        <f t="array" ref="N891">IF($L891&gt;0, INDEX(Clean,1+AK891,$D$1), "")</f>
        <v/>
      </c>
      <c r="O891" s="260"/>
      <c r="P891" s="260"/>
      <c r="Q891" s="261"/>
      <c r="R891" s="264">
        <f t="shared" si="898"/>
        <v>0</v>
      </c>
      <c r="S891" s="259" t="str" cm="1">
        <f t="array" ref="S891">IF($L891&gt;0, INDEX(Clean,1+AL891,$D$1), "")</f>
        <v/>
      </c>
      <c r="T891" s="260"/>
      <c r="U891" s="260"/>
      <c r="V891" s="261"/>
      <c r="W891" s="267"/>
      <c r="X891" s="267"/>
      <c r="Y891" s="257"/>
      <c r="Z891" s="264">
        <f t="shared" si="899"/>
        <v>0</v>
      </c>
      <c r="AA891" s="269"/>
      <c r="AB891" s="266"/>
      <c r="AC891" s="254"/>
      <c r="AD891" s="255" t="str">
        <f>IF(ISBLANK(AC891), "", VLOOKUP(AC891, Z!$A$2:$C$4127, 3, FALSE))</f>
        <v/>
      </c>
      <c r="AE891" s="270"/>
      <c r="AF891" s="265">
        <f t="shared" si="900"/>
        <v>0</v>
      </c>
      <c r="AG891" s="246"/>
      <c r="AH891" s="228">
        <f t="shared" ref="AH891:AH954" si="923">IF(ISBLANK(I891), 1, IFERROR(MATCH(I891, INDEX(Use,,1), 0), IFERROR(MATCH(I891, INDEX(Use,,2), 0), MATCH(I891, INDEX(Use,,3), 0))))</f>
        <v>1</v>
      </c>
      <c r="AI891" s="228">
        <f t="shared" ref="AI891:AI954" si="924">IF(ISBLANK(H891), 1, IFERROR(MATCH(H891, INDEX(Loc,,1), 0), IFERROR(MATCH(H891, INDEX(Loc,,2), 0), MATCH(H891, INDEX(Loc,,3), 0))))</f>
        <v>1</v>
      </c>
      <c r="AJ891" s="228">
        <f t="shared" ref="AJ891:AJ954" si="925">_xlfn.IFNA(IF(IFERROR(MATCH(J891, INDEX(Medium,,1), 0), IFERROR(MATCH(J891, INDEX(Medium,,2), 0), MATCH(J891, INDEX(Medium,,3), 0))) = 2, 1, 0), 0)</f>
        <v>0</v>
      </c>
      <c r="AK891" s="228">
        <v>0</v>
      </c>
      <c r="AL891" s="228">
        <v>0</v>
      </c>
      <c r="AM891" s="228">
        <f t="shared" si="901"/>
        <v>-100</v>
      </c>
      <c r="AN891" s="228" cm="1">
        <f t="array" ref="AN891">IF(ISBLANK(G891), 1, IFERROR(MATCH(G891, INDEX(Kat,,1), 0), IFERROR(MATCH(Kat, INDEX(Use,,2), 0), MATCH(Kat, INDEX(Use,,3), 0))))</f>
        <v>1</v>
      </c>
      <c r="AO891" s="246"/>
      <c r="AP891" s="228" cm="1">
        <f t="array" ref="AP891">IF(W891&gt;0, INDEX(Kat, AN891,4), 0)</f>
        <v>0</v>
      </c>
      <c r="AQ891" s="228">
        <f t="shared" ref="AQ891:AQ954" si="926">IF(ISBLANK(Y891), 0, IFERROR(MATCH(Y891, INDEX(Month,,1), 0), IFERROR(MATCH(Y891, INDEX(Month,,2), 0), MATCH(Y891, INDEX(Month,,3), 0))))</f>
        <v>0</v>
      </c>
      <c r="AR891" s="228" cm="1">
        <f t="array" ref="AR891">IF(X891&gt;0, INDEX(Kat, $AN891, 4+AQ891), 0)</f>
        <v>0</v>
      </c>
      <c r="AS891" s="228" cm="1">
        <f t="array" ref="AS891">IF(X891&gt;0, INDEX(Kat, $AN891, 9+AQ891), 0)</f>
        <v>0</v>
      </c>
      <c r="AT891" s="246"/>
      <c r="AU891" s="262"/>
      <c r="AV891" s="262"/>
      <c r="AW891" s="263"/>
      <c r="AX891" s="263"/>
      <c r="AY891" s="263"/>
      <c r="AZ891" s="263"/>
      <c r="BA891" s="263"/>
      <c r="BB891" s="263"/>
      <c r="BC891" s="263"/>
      <c r="BD891" s="263"/>
      <c r="BE891" s="263"/>
      <c r="BF891" s="263"/>
      <c r="BG891" s="263"/>
      <c r="BH891" s="246"/>
      <c r="BI891" s="228" cm="1">
        <f t="array" ref="BI891">INDEX(Use, $AH891, 4)</f>
        <v>7</v>
      </c>
      <c r="BJ891" s="228">
        <f t="shared" si="902"/>
        <v>32</v>
      </c>
      <c r="BK891" s="228">
        <f t="shared" si="890"/>
        <v>13</v>
      </c>
      <c r="BL891" s="228">
        <f t="shared" si="891"/>
        <v>0</v>
      </c>
      <c r="BM891" s="233" cm="1">
        <f t="array" ref="BM891">L891/IF($M891&gt;0, INDEX($AY$22:$BE$76, $M891+20, $AH891), 1)</f>
        <v>0</v>
      </c>
      <c r="BN891" s="229">
        <f t="shared" si="903"/>
        <v>0</v>
      </c>
      <c r="BO891" s="228">
        <v>35</v>
      </c>
      <c r="BP891" s="229">
        <f t="shared" si="904"/>
        <v>48</v>
      </c>
      <c r="BQ891" s="234">
        <f t="shared" si="905"/>
        <v>3.0748170731707316</v>
      </c>
      <c r="BR891" s="234" cm="1">
        <f t="array" ref="BR891">$BM891 * SUMPRODUCT(INDEX($AV$76:$AX$81,,$AI891),INDEX($AY$76:$BE$81,,$AH891), N($AU$76:$AU$81&gt;$AM891)) / BQ891 / 1000</f>
        <v>0</v>
      </c>
      <c r="BS891" s="231">
        <f t="shared" si="892"/>
        <v>30</v>
      </c>
      <c r="BT891" s="229">
        <f t="shared" si="906"/>
        <v>43</v>
      </c>
      <c r="BU891" s="234">
        <f t="shared" si="907"/>
        <v>3.5018750000000001</v>
      </c>
      <c r="BV891" s="234" cm="1">
        <f t="array" ref="BV891">$BM891 * IF($AH891&lt;=2,
SUMPRODUCT(INDEX($AV$71:$AX$75,,$AI891), INDEX($AY$71:$BE$75,,$AH891), 1 / ($BF$71:$BF$75*BU891 + (1-$BF$71:$BF$75)*BQ891), N($AU$71:$AU$75&gt;$AM891)),
SUMPRODUCT(INDEX($AV$66:$AX$75,,$AI891), INDEX($AY$66:$BE$75,,$AH891), 1 / ($BG$66:$BG$75*BU891 + (1-$BG$66:$BG$75)*BQ891), N($AU$66:$AU$75&gt;$AM891))
) / 1000</f>
        <v>0</v>
      </c>
      <c r="BW891" s="231">
        <f t="shared" si="893"/>
        <v>25</v>
      </c>
      <c r="BX891" s="229">
        <f t="shared" si="908"/>
        <v>38</v>
      </c>
      <c r="BY891" s="234">
        <f t="shared" si="909"/>
        <v>4.0666935483870965</v>
      </c>
      <c r="BZ891" s="234" cm="1">
        <f t="array" ref="BZ891">$BM891 * IF($AH891&lt;=2,
SUMPRODUCT(INDEX($AV$66:$AX$70,,$AI891), INDEX($AY$66:$BE$70,,$AH891), 1 / ($BF$66:$BF$70*BY891 + (1-$BF$66:$BF$70)*BU891), N($AU$66:$AU$70&gt;$AM891)),
SUMPRODUCT(INDEX($AV$56:$AX$65,,$AI891), INDEX($AY$56:$BE$65,,$AH891), 1 / ($BG$56:$BG$65*BY891 + (1-$BG$56:$BG$65)*BU891), N($AU$56:$AU$65&gt;$AM891))
) / 1000</f>
        <v>0</v>
      </c>
      <c r="CA891" s="231">
        <f t="shared" si="894"/>
        <v>20</v>
      </c>
      <c r="CB891" s="229">
        <f t="shared" si="910"/>
        <v>33</v>
      </c>
      <c r="CC891" s="234">
        <f t="shared" si="911"/>
        <v>4.8487499999999999</v>
      </c>
      <c r="CD891" s="234" cm="1">
        <f t="array" ref="CD891">$BM891 * IF($AH891&lt;=2,
SUMPRODUCT(INDEX($AV$61:$AX$65,,$AI891), INDEX($AY$61:$BE$65,,$AH891), 1 / ($BF$61:$BF$65*CC891 + (1-$BF$61:$BF$65)*BY891), N($AU$61:$AU$65&gt;$AM891)),
SUMPRODUCT(INDEX($AV$46:$AX$55,,$AI891), INDEX($AY$46:$BE$55,,$AH891), 1 / ($BG$46:$BG$55*CC891 + (1-$BG$46:$BG$55)*BY891), N($AU$46:$AU$55&gt;$AM891))
) / 1000</f>
        <v>0</v>
      </c>
      <c r="CE891" s="234" cm="1">
        <f t="array" ref="CE891">$BM891 * IF($AH891&lt;=2,
SUMPRODUCT(INDEX($AV$22:$AX$60,,$AI891), INDEX($AY$22:$BE$60,,$AH891), 1 / ($BF$22:$BF$60*CC891), N($AU$22:$AU$60&gt;$AM891)),
SUMPRODUCT(INDEX($AV$22:$AX$45,,$AI891), INDEX($AY$22:$BE$45,,$AH891), 1 / ($BG$22:$BG$45*CC891), N($AU$22:$AU$45&gt;$AM891))
) / 1000</f>
        <v>0</v>
      </c>
      <c r="CF891" s="229">
        <f t="shared" si="912"/>
        <v>0</v>
      </c>
      <c r="CG891" s="246"/>
      <c r="CH891" s="229">
        <f t="shared" si="913"/>
        <v>0</v>
      </c>
      <c r="CI891" s="228">
        <v>35</v>
      </c>
      <c r="CJ891" s="229">
        <f t="shared" si="914"/>
        <v>48</v>
      </c>
      <c r="CK891" s="234">
        <f t="shared" si="915"/>
        <v>3.0748170731707316</v>
      </c>
      <c r="CL891" s="234" cm="1">
        <f t="array" ref="CL891">$BM891 * SUMPRODUCT(INDEX($AV$76:$AX$81,,$AI891),INDEX($AY$76:$BE$81,,$AH891), N($AU$76:$AU$81&gt;$AM891)) / CK891 / 1000</f>
        <v>0</v>
      </c>
      <c r="CM891" s="231">
        <f t="shared" si="895"/>
        <v>30</v>
      </c>
      <c r="CN891" s="229">
        <f t="shared" si="916"/>
        <v>43</v>
      </c>
      <c r="CO891" s="234">
        <f t="shared" si="917"/>
        <v>3.5018750000000001</v>
      </c>
      <c r="CP891" s="234" cm="1">
        <f t="array" ref="CP891">$BM891 * IF($AH891&lt;=2,
SUMPRODUCT(INDEX($AV$71:$AX$75,,$AI891), INDEX($AY$71:$BE$75,,$AH891), 1 / ($BF$71:$BF$75*CO891 + (1-$BF$71:$BF$75)*CK891), N($AU$71:$AU$75&gt;$AM891)),
SUMPRODUCT(INDEX($AV$66:$AX$75,,$AI891), INDEX($AY$66:$BE$75,,$AH891), 1 / ($BG$66:$BG$75*CO891 + (1-$BG$66:$BG$75)*CK891), N($AU$66:$AU$75&gt;$AM891))
) / 1000</f>
        <v>0</v>
      </c>
      <c r="CQ891" s="231">
        <f t="shared" si="896"/>
        <v>25</v>
      </c>
      <c r="CR891" s="229">
        <f t="shared" si="918"/>
        <v>38</v>
      </c>
      <c r="CS891" s="234">
        <f t="shared" si="919"/>
        <v>4.0666935483870965</v>
      </c>
      <c r="CT891" s="234" cm="1">
        <f t="array" ref="CT891">$BM891 * IF($AH891&lt;=2,
SUMPRODUCT(INDEX($AV$66:$AX$70,,$AI891), INDEX($AY$66:$BE$70,,$AH891), 1 / ($BF$66:$BF$70*CS891 + (1-$BF$66:$BF$70)*CO891), N($AU$66:$AU$70&gt;$AM891)),
SUMPRODUCT(INDEX($AV$56:$AX$65,,$AI891), INDEX($AY$56:$BE$65,,$AH891), 1 / ($BG$56:$BG$65*CS891 + (1-$BG$56:$BG$65)*CO891), N($AU$56:$AU$65&gt;$AM891))
) / 1000</f>
        <v>0</v>
      </c>
      <c r="CU891" s="231">
        <f t="shared" si="897"/>
        <v>20</v>
      </c>
      <c r="CV891" s="229">
        <f t="shared" si="920"/>
        <v>33</v>
      </c>
      <c r="CW891" s="234">
        <f t="shared" si="921"/>
        <v>4.8487499999999999</v>
      </c>
      <c r="CX891" s="234" cm="1">
        <f t="array" ref="CX891">$BM891 * IF($AH891&lt;=2,
SUMPRODUCT(INDEX($AV$61:$AX$65,,$AI891), INDEX($AY$61:$BE$65,,$AH891), 1 / ($BF$61:$BF$65*CW891 + (1-$BF$61:$BF$65)*CS891), N($AU$61:$AU$65&gt;$AM891)),
SUMPRODUCT(INDEX($AV$46:$AX$55,,$AI891), INDEX($AY$46:$BE$55,,$AH891), 1 / ($BG$46:$BG$55*CW891 + (1-$BG$46:$BG$55)*CS891), N($AU$46:$AU$55&gt;$AM891))
) / 1000</f>
        <v>0</v>
      </c>
      <c r="CY891" s="234" cm="1">
        <f t="array" ref="CY891">$BM891 * IF($AH891&lt;=2,
SUMPRODUCT(INDEX($AV$22:$AX$60,,$AI891), INDEX($AY$22:$BE$60,,$AH891), 1 / ($BF$22:$BF$60*CW891), N($AU$22:$AU$60&gt;$AM891)),
SUMPRODUCT(INDEX($AV$22:$AX$45,,$AI891), INDEX($AY$22:$BE$45,,$AH891), 1 / ($BG$22:$BG$45*CW891), N($AU$22:$AU$45&gt;$AM891))
) / 1000</f>
        <v>0</v>
      </c>
      <c r="CZ891" s="229">
        <f t="shared" si="922"/>
        <v>0</v>
      </c>
      <c r="DA891" s="246"/>
    </row>
    <row r="892" spans="1:105" s="75" customFormat="1" ht="14.25" customHeight="1" x14ac:dyDescent="0.2">
      <c r="A892" s="230" t="b">
        <f t="shared" si="889"/>
        <v>0</v>
      </c>
      <c r="B892" s="253">
        <v>871</v>
      </c>
      <c r="C892" s="266"/>
      <c r="D892" s="266"/>
      <c r="E892" s="254"/>
      <c r="F892" s="255" t="str">
        <f>IF(ISBLANK(E892), "", VLOOKUP(E892, Z!$A$2:$C$4127, 3, FALSE))</f>
        <v/>
      </c>
      <c r="G892" s="256"/>
      <c r="H892" s="256"/>
      <c r="I892" s="256"/>
      <c r="J892" s="257"/>
      <c r="K892" s="258"/>
      <c r="L892" s="267"/>
      <c r="M892" s="268"/>
      <c r="N892" s="259" t="str" cm="1">
        <f t="array" ref="N892">IF($L892&gt;0, INDEX(Clean,1+AK892,$D$1), "")</f>
        <v/>
      </c>
      <c r="O892" s="260"/>
      <c r="P892" s="260"/>
      <c r="Q892" s="261"/>
      <c r="R892" s="264">
        <f t="shared" si="898"/>
        <v>0</v>
      </c>
      <c r="S892" s="259" t="str" cm="1">
        <f t="array" ref="S892">IF($L892&gt;0, INDEX(Clean,1+AL892,$D$1), "")</f>
        <v/>
      </c>
      <c r="T892" s="260"/>
      <c r="U892" s="260"/>
      <c r="V892" s="261"/>
      <c r="W892" s="267"/>
      <c r="X892" s="267"/>
      <c r="Y892" s="257"/>
      <c r="Z892" s="264">
        <f t="shared" si="899"/>
        <v>0</v>
      </c>
      <c r="AA892" s="269"/>
      <c r="AB892" s="266"/>
      <c r="AC892" s="254"/>
      <c r="AD892" s="255" t="str">
        <f>IF(ISBLANK(AC892), "", VLOOKUP(AC892, Z!$A$2:$C$4127, 3, FALSE))</f>
        <v/>
      </c>
      <c r="AE892" s="270"/>
      <c r="AF892" s="265">
        <f t="shared" si="900"/>
        <v>0</v>
      </c>
      <c r="AG892" s="246"/>
      <c r="AH892" s="228">
        <f t="shared" si="923"/>
        <v>1</v>
      </c>
      <c r="AI892" s="228">
        <f t="shared" si="924"/>
        <v>1</v>
      </c>
      <c r="AJ892" s="228">
        <f t="shared" si="925"/>
        <v>0</v>
      </c>
      <c r="AK892" s="228">
        <v>0</v>
      </c>
      <c r="AL892" s="228">
        <v>0</v>
      </c>
      <c r="AM892" s="228">
        <f t="shared" si="901"/>
        <v>-100</v>
      </c>
      <c r="AN892" s="228" cm="1">
        <f t="array" ref="AN892">IF(ISBLANK(G892), 1, IFERROR(MATCH(G892, INDEX(Kat,,1), 0), IFERROR(MATCH(Kat, INDEX(Use,,2), 0), MATCH(Kat, INDEX(Use,,3), 0))))</f>
        <v>1</v>
      </c>
      <c r="AO892" s="246"/>
      <c r="AP892" s="228" cm="1">
        <f t="array" ref="AP892">IF(W892&gt;0, INDEX(Kat, AN892,4), 0)</f>
        <v>0</v>
      </c>
      <c r="AQ892" s="228">
        <f t="shared" si="926"/>
        <v>0</v>
      </c>
      <c r="AR892" s="228" cm="1">
        <f t="array" ref="AR892">IF(X892&gt;0, INDEX(Kat, $AN892, 4+AQ892), 0)</f>
        <v>0</v>
      </c>
      <c r="AS892" s="228" cm="1">
        <f t="array" ref="AS892">IF(X892&gt;0, INDEX(Kat, $AN892, 9+AQ892), 0)</f>
        <v>0</v>
      </c>
      <c r="AT892" s="246"/>
      <c r="AU892" s="262"/>
      <c r="AV892" s="262"/>
      <c r="AW892" s="263"/>
      <c r="AX892" s="263"/>
      <c r="AY892" s="263"/>
      <c r="AZ892" s="263"/>
      <c r="BA892" s="263"/>
      <c r="BB892" s="263"/>
      <c r="BC892" s="263"/>
      <c r="BD892" s="263"/>
      <c r="BE892" s="263"/>
      <c r="BF892" s="263"/>
      <c r="BG892" s="263"/>
      <c r="BH892" s="246"/>
      <c r="BI892" s="228" cm="1">
        <f t="array" ref="BI892">INDEX(Use, $AH892, 4)</f>
        <v>7</v>
      </c>
      <c r="BJ892" s="228">
        <f t="shared" si="902"/>
        <v>32</v>
      </c>
      <c r="BK892" s="228">
        <f t="shared" si="890"/>
        <v>13</v>
      </c>
      <c r="BL892" s="228">
        <f t="shared" si="891"/>
        <v>0</v>
      </c>
      <c r="BM892" s="233" cm="1">
        <f t="array" ref="BM892">L892/IF($M892&gt;0, INDEX($AY$22:$BE$76, $M892+20, $AH892), 1)</f>
        <v>0</v>
      </c>
      <c r="BN892" s="229">
        <f t="shared" si="903"/>
        <v>0</v>
      </c>
      <c r="BO892" s="228">
        <v>35</v>
      </c>
      <c r="BP892" s="229">
        <f t="shared" si="904"/>
        <v>48</v>
      </c>
      <c r="BQ892" s="234">
        <f t="shared" si="905"/>
        <v>3.0748170731707316</v>
      </c>
      <c r="BR892" s="234" cm="1">
        <f t="array" ref="BR892">$BM892 * SUMPRODUCT(INDEX($AV$76:$AX$81,,$AI892),INDEX($AY$76:$BE$81,,$AH892), N($AU$76:$AU$81&gt;$AM892)) / BQ892 / 1000</f>
        <v>0</v>
      </c>
      <c r="BS892" s="231">
        <f t="shared" si="892"/>
        <v>30</v>
      </c>
      <c r="BT892" s="229">
        <f t="shared" si="906"/>
        <v>43</v>
      </c>
      <c r="BU892" s="234">
        <f t="shared" si="907"/>
        <v>3.5018750000000001</v>
      </c>
      <c r="BV892" s="234" cm="1">
        <f t="array" ref="BV892">$BM892 * IF($AH892&lt;=2,
SUMPRODUCT(INDEX($AV$71:$AX$75,,$AI892), INDEX($AY$71:$BE$75,,$AH892), 1 / ($BF$71:$BF$75*BU892 + (1-$BF$71:$BF$75)*BQ892), N($AU$71:$AU$75&gt;$AM892)),
SUMPRODUCT(INDEX($AV$66:$AX$75,,$AI892), INDEX($AY$66:$BE$75,,$AH892), 1 / ($BG$66:$BG$75*BU892 + (1-$BG$66:$BG$75)*BQ892), N($AU$66:$AU$75&gt;$AM892))
) / 1000</f>
        <v>0</v>
      </c>
      <c r="BW892" s="231">
        <f t="shared" si="893"/>
        <v>25</v>
      </c>
      <c r="BX892" s="229">
        <f t="shared" si="908"/>
        <v>38</v>
      </c>
      <c r="BY892" s="234">
        <f t="shared" si="909"/>
        <v>4.0666935483870965</v>
      </c>
      <c r="BZ892" s="234" cm="1">
        <f t="array" ref="BZ892">$BM892 * IF($AH892&lt;=2,
SUMPRODUCT(INDEX($AV$66:$AX$70,,$AI892), INDEX($AY$66:$BE$70,,$AH892), 1 / ($BF$66:$BF$70*BY892 + (1-$BF$66:$BF$70)*BU892), N($AU$66:$AU$70&gt;$AM892)),
SUMPRODUCT(INDEX($AV$56:$AX$65,,$AI892), INDEX($AY$56:$BE$65,,$AH892), 1 / ($BG$56:$BG$65*BY892 + (1-$BG$56:$BG$65)*BU892), N($AU$56:$AU$65&gt;$AM892))
) / 1000</f>
        <v>0</v>
      </c>
      <c r="CA892" s="231">
        <f t="shared" si="894"/>
        <v>20</v>
      </c>
      <c r="CB892" s="229">
        <f t="shared" si="910"/>
        <v>33</v>
      </c>
      <c r="CC892" s="234">
        <f t="shared" si="911"/>
        <v>4.8487499999999999</v>
      </c>
      <c r="CD892" s="234" cm="1">
        <f t="array" ref="CD892">$BM892 * IF($AH892&lt;=2,
SUMPRODUCT(INDEX($AV$61:$AX$65,,$AI892), INDEX($AY$61:$BE$65,,$AH892), 1 / ($BF$61:$BF$65*CC892 + (1-$BF$61:$BF$65)*BY892), N($AU$61:$AU$65&gt;$AM892)),
SUMPRODUCT(INDEX($AV$46:$AX$55,,$AI892), INDEX($AY$46:$BE$55,,$AH892), 1 / ($BG$46:$BG$55*CC892 + (1-$BG$46:$BG$55)*BY892), N($AU$46:$AU$55&gt;$AM892))
) / 1000</f>
        <v>0</v>
      </c>
      <c r="CE892" s="234" cm="1">
        <f t="array" ref="CE892">$BM892 * IF($AH892&lt;=2,
SUMPRODUCT(INDEX($AV$22:$AX$60,,$AI892), INDEX($AY$22:$BE$60,,$AH892), 1 / ($BF$22:$BF$60*CC892), N($AU$22:$AU$60&gt;$AM892)),
SUMPRODUCT(INDEX($AV$22:$AX$45,,$AI892), INDEX($AY$22:$BE$45,,$AH892), 1 / ($BG$22:$BG$45*CC892), N($AU$22:$AU$45&gt;$AM892))
) / 1000</f>
        <v>0</v>
      </c>
      <c r="CF892" s="229">
        <f t="shared" si="912"/>
        <v>0</v>
      </c>
      <c r="CG892" s="246"/>
      <c r="CH892" s="229">
        <f t="shared" si="913"/>
        <v>0</v>
      </c>
      <c r="CI892" s="228">
        <v>35</v>
      </c>
      <c r="CJ892" s="229">
        <f t="shared" si="914"/>
        <v>48</v>
      </c>
      <c r="CK892" s="234">
        <f t="shared" si="915"/>
        <v>3.0748170731707316</v>
      </c>
      <c r="CL892" s="234" cm="1">
        <f t="array" ref="CL892">$BM892 * SUMPRODUCT(INDEX($AV$76:$AX$81,,$AI892),INDEX($AY$76:$BE$81,,$AH892), N($AU$76:$AU$81&gt;$AM892)) / CK892 / 1000</f>
        <v>0</v>
      </c>
      <c r="CM892" s="231">
        <f t="shared" si="895"/>
        <v>30</v>
      </c>
      <c r="CN892" s="229">
        <f t="shared" si="916"/>
        <v>43</v>
      </c>
      <c r="CO892" s="234">
        <f t="shared" si="917"/>
        <v>3.5018750000000001</v>
      </c>
      <c r="CP892" s="234" cm="1">
        <f t="array" ref="CP892">$BM892 * IF($AH892&lt;=2,
SUMPRODUCT(INDEX($AV$71:$AX$75,,$AI892), INDEX($AY$71:$BE$75,,$AH892), 1 / ($BF$71:$BF$75*CO892 + (1-$BF$71:$BF$75)*CK892), N($AU$71:$AU$75&gt;$AM892)),
SUMPRODUCT(INDEX($AV$66:$AX$75,,$AI892), INDEX($AY$66:$BE$75,,$AH892), 1 / ($BG$66:$BG$75*CO892 + (1-$BG$66:$BG$75)*CK892), N($AU$66:$AU$75&gt;$AM892))
) / 1000</f>
        <v>0</v>
      </c>
      <c r="CQ892" s="231">
        <f t="shared" si="896"/>
        <v>25</v>
      </c>
      <c r="CR892" s="229">
        <f t="shared" si="918"/>
        <v>38</v>
      </c>
      <c r="CS892" s="234">
        <f t="shared" si="919"/>
        <v>4.0666935483870965</v>
      </c>
      <c r="CT892" s="234" cm="1">
        <f t="array" ref="CT892">$BM892 * IF($AH892&lt;=2,
SUMPRODUCT(INDEX($AV$66:$AX$70,,$AI892), INDEX($AY$66:$BE$70,,$AH892), 1 / ($BF$66:$BF$70*CS892 + (1-$BF$66:$BF$70)*CO892), N($AU$66:$AU$70&gt;$AM892)),
SUMPRODUCT(INDEX($AV$56:$AX$65,,$AI892), INDEX($AY$56:$BE$65,,$AH892), 1 / ($BG$56:$BG$65*CS892 + (1-$BG$56:$BG$65)*CO892), N($AU$56:$AU$65&gt;$AM892))
) / 1000</f>
        <v>0</v>
      </c>
      <c r="CU892" s="231">
        <f t="shared" si="897"/>
        <v>20</v>
      </c>
      <c r="CV892" s="229">
        <f t="shared" si="920"/>
        <v>33</v>
      </c>
      <c r="CW892" s="234">
        <f t="shared" si="921"/>
        <v>4.8487499999999999</v>
      </c>
      <c r="CX892" s="234" cm="1">
        <f t="array" ref="CX892">$BM892 * IF($AH892&lt;=2,
SUMPRODUCT(INDEX($AV$61:$AX$65,,$AI892), INDEX($AY$61:$BE$65,,$AH892), 1 / ($BF$61:$BF$65*CW892 + (1-$BF$61:$BF$65)*CS892), N($AU$61:$AU$65&gt;$AM892)),
SUMPRODUCT(INDEX($AV$46:$AX$55,,$AI892), INDEX($AY$46:$BE$55,,$AH892), 1 / ($BG$46:$BG$55*CW892 + (1-$BG$46:$BG$55)*CS892), N($AU$46:$AU$55&gt;$AM892))
) / 1000</f>
        <v>0</v>
      </c>
      <c r="CY892" s="234" cm="1">
        <f t="array" ref="CY892">$BM892 * IF($AH892&lt;=2,
SUMPRODUCT(INDEX($AV$22:$AX$60,,$AI892), INDEX($AY$22:$BE$60,,$AH892), 1 / ($BF$22:$BF$60*CW892), N($AU$22:$AU$60&gt;$AM892)),
SUMPRODUCT(INDEX($AV$22:$AX$45,,$AI892), INDEX($AY$22:$BE$45,,$AH892), 1 / ($BG$22:$BG$45*CW892), N($AU$22:$AU$45&gt;$AM892))
) / 1000</f>
        <v>0</v>
      </c>
      <c r="CZ892" s="229">
        <f t="shared" si="922"/>
        <v>0</v>
      </c>
      <c r="DA892" s="246"/>
    </row>
    <row r="893" spans="1:105" s="75" customFormat="1" ht="14.25" customHeight="1" x14ac:dyDescent="0.2">
      <c r="A893" s="230" t="b">
        <f t="shared" si="889"/>
        <v>0</v>
      </c>
      <c r="B893" s="253">
        <v>872</v>
      </c>
      <c r="C893" s="266"/>
      <c r="D893" s="266"/>
      <c r="E893" s="254"/>
      <c r="F893" s="255" t="str">
        <f>IF(ISBLANK(E893), "", VLOOKUP(E893, Z!$A$2:$C$4127, 3, FALSE))</f>
        <v/>
      </c>
      <c r="G893" s="256"/>
      <c r="H893" s="256"/>
      <c r="I893" s="256"/>
      <c r="J893" s="257"/>
      <c r="K893" s="258"/>
      <c r="L893" s="267"/>
      <c r="M893" s="268"/>
      <c r="N893" s="259" t="str" cm="1">
        <f t="array" ref="N893">IF($L893&gt;0, INDEX(Clean,1+AK893,$D$1), "")</f>
        <v/>
      </c>
      <c r="O893" s="260"/>
      <c r="P893" s="260"/>
      <c r="Q893" s="261"/>
      <c r="R893" s="264">
        <f t="shared" si="898"/>
        <v>0</v>
      </c>
      <c r="S893" s="259" t="str" cm="1">
        <f t="array" ref="S893">IF($L893&gt;0, INDEX(Clean,1+AL893,$D$1), "")</f>
        <v/>
      </c>
      <c r="T893" s="260"/>
      <c r="U893" s="260"/>
      <c r="V893" s="261"/>
      <c r="W893" s="267"/>
      <c r="X893" s="267"/>
      <c r="Y893" s="257"/>
      <c r="Z893" s="264">
        <f t="shared" si="899"/>
        <v>0</v>
      </c>
      <c r="AA893" s="269"/>
      <c r="AB893" s="266"/>
      <c r="AC893" s="254"/>
      <c r="AD893" s="255" t="str">
        <f>IF(ISBLANK(AC893), "", VLOOKUP(AC893, Z!$A$2:$C$4127, 3, FALSE))</f>
        <v/>
      </c>
      <c r="AE893" s="270"/>
      <c r="AF893" s="265">
        <f t="shared" si="900"/>
        <v>0</v>
      </c>
      <c r="AG893" s="246"/>
      <c r="AH893" s="228">
        <f t="shared" si="923"/>
        <v>1</v>
      </c>
      <c r="AI893" s="228">
        <f t="shared" si="924"/>
        <v>1</v>
      </c>
      <c r="AJ893" s="228">
        <f t="shared" si="925"/>
        <v>0</v>
      </c>
      <c r="AK893" s="228">
        <v>0</v>
      </c>
      <c r="AL893" s="228">
        <v>0</v>
      </c>
      <c r="AM893" s="228">
        <f t="shared" si="901"/>
        <v>-100</v>
      </c>
      <c r="AN893" s="228" cm="1">
        <f t="array" ref="AN893">IF(ISBLANK(G893), 1, IFERROR(MATCH(G893, INDEX(Kat,,1), 0), IFERROR(MATCH(Kat, INDEX(Use,,2), 0), MATCH(Kat, INDEX(Use,,3), 0))))</f>
        <v>1</v>
      </c>
      <c r="AO893" s="246"/>
      <c r="AP893" s="228" cm="1">
        <f t="array" ref="AP893">IF(W893&gt;0, INDEX(Kat, AN893,4), 0)</f>
        <v>0</v>
      </c>
      <c r="AQ893" s="228">
        <f t="shared" si="926"/>
        <v>0</v>
      </c>
      <c r="AR893" s="228" cm="1">
        <f t="array" ref="AR893">IF(X893&gt;0, INDEX(Kat, $AN893, 4+AQ893), 0)</f>
        <v>0</v>
      </c>
      <c r="AS893" s="228" cm="1">
        <f t="array" ref="AS893">IF(X893&gt;0, INDEX(Kat, $AN893, 9+AQ893), 0)</f>
        <v>0</v>
      </c>
      <c r="AT893" s="246"/>
      <c r="AU893" s="262"/>
      <c r="AV893" s="262"/>
      <c r="AW893" s="263"/>
      <c r="AX893" s="263"/>
      <c r="AY893" s="263"/>
      <c r="AZ893" s="263"/>
      <c r="BA893" s="263"/>
      <c r="BB893" s="263"/>
      <c r="BC893" s="263"/>
      <c r="BD893" s="263"/>
      <c r="BE893" s="263"/>
      <c r="BF893" s="263"/>
      <c r="BG893" s="263"/>
      <c r="BH893" s="246"/>
      <c r="BI893" s="228" cm="1">
        <f t="array" ref="BI893">INDEX(Use, $AH893, 4)</f>
        <v>7</v>
      </c>
      <c r="BJ893" s="228">
        <f t="shared" si="902"/>
        <v>32</v>
      </c>
      <c r="BK893" s="228">
        <f t="shared" si="890"/>
        <v>13</v>
      </c>
      <c r="BL893" s="228">
        <f t="shared" si="891"/>
        <v>0</v>
      </c>
      <c r="BM893" s="233" cm="1">
        <f t="array" ref="BM893">L893/IF($M893&gt;0, INDEX($AY$22:$BE$76, $M893+20, $AH893), 1)</f>
        <v>0</v>
      </c>
      <c r="BN893" s="229">
        <f t="shared" si="903"/>
        <v>0</v>
      </c>
      <c r="BO893" s="228">
        <v>35</v>
      </c>
      <c r="BP893" s="229">
        <f t="shared" si="904"/>
        <v>48</v>
      </c>
      <c r="BQ893" s="234">
        <f t="shared" si="905"/>
        <v>3.0748170731707316</v>
      </c>
      <c r="BR893" s="234" cm="1">
        <f t="array" ref="BR893">$BM893 * SUMPRODUCT(INDEX($AV$76:$AX$81,,$AI893),INDEX($AY$76:$BE$81,,$AH893), N($AU$76:$AU$81&gt;$AM893)) / BQ893 / 1000</f>
        <v>0</v>
      </c>
      <c r="BS893" s="231">
        <f t="shared" si="892"/>
        <v>30</v>
      </c>
      <c r="BT893" s="229">
        <f t="shared" si="906"/>
        <v>43</v>
      </c>
      <c r="BU893" s="234">
        <f t="shared" si="907"/>
        <v>3.5018750000000001</v>
      </c>
      <c r="BV893" s="234" cm="1">
        <f t="array" ref="BV893">$BM893 * IF($AH893&lt;=2,
SUMPRODUCT(INDEX($AV$71:$AX$75,,$AI893), INDEX($AY$71:$BE$75,,$AH893), 1 / ($BF$71:$BF$75*BU893 + (1-$BF$71:$BF$75)*BQ893), N($AU$71:$AU$75&gt;$AM893)),
SUMPRODUCT(INDEX($AV$66:$AX$75,,$AI893), INDEX($AY$66:$BE$75,,$AH893), 1 / ($BG$66:$BG$75*BU893 + (1-$BG$66:$BG$75)*BQ893), N($AU$66:$AU$75&gt;$AM893))
) / 1000</f>
        <v>0</v>
      </c>
      <c r="BW893" s="231">
        <f t="shared" si="893"/>
        <v>25</v>
      </c>
      <c r="BX893" s="229">
        <f t="shared" si="908"/>
        <v>38</v>
      </c>
      <c r="BY893" s="234">
        <f t="shared" si="909"/>
        <v>4.0666935483870965</v>
      </c>
      <c r="BZ893" s="234" cm="1">
        <f t="array" ref="BZ893">$BM893 * IF($AH893&lt;=2,
SUMPRODUCT(INDEX($AV$66:$AX$70,,$AI893), INDEX($AY$66:$BE$70,,$AH893), 1 / ($BF$66:$BF$70*BY893 + (1-$BF$66:$BF$70)*BU893), N($AU$66:$AU$70&gt;$AM893)),
SUMPRODUCT(INDEX($AV$56:$AX$65,,$AI893), INDEX($AY$56:$BE$65,,$AH893), 1 / ($BG$56:$BG$65*BY893 + (1-$BG$56:$BG$65)*BU893), N($AU$56:$AU$65&gt;$AM893))
) / 1000</f>
        <v>0</v>
      </c>
      <c r="CA893" s="231">
        <f t="shared" si="894"/>
        <v>20</v>
      </c>
      <c r="CB893" s="229">
        <f t="shared" si="910"/>
        <v>33</v>
      </c>
      <c r="CC893" s="234">
        <f t="shared" si="911"/>
        <v>4.8487499999999999</v>
      </c>
      <c r="CD893" s="234" cm="1">
        <f t="array" ref="CD893">$BM893 * IF($AH893&lt;=2,
SUMPRODUCT(INDEX($AV$61:$AX$65,,$AI893), INDEX($AY$61:$BE$65,,$AH893), 1 / ($BF$61:$BF$65*CC893 + (1-$BF$61:$BF$65)*BY893), N($AU$61:$AU$65&gt;$AM893)),
SUMPRODUCT(INDEX($AV$46:$AX$55,,$AI893), INDEX($AY$46:$BE$55,,$AH893), 1 / ($BG$46:$BG$55*CC893 + (1-$BG$46:$BG$55)*BY893), N($AU$46:$AU$55&gt;$AM893))
) / 1000</f>
        <v>0</v>
      </c>
      <c r="CE893" s="234" cm="1">
        <f t="array" ref="CE893">$BM893 * IF($AH893&lt;=2,
SUMPRODUCT(INDEX($AV$22:$AX$60,,$AI893), INDEX($AY$22:$BE$60,,$AH893), 1 / ($BF$22:$BF$60*CC893), N($AU$22:$AU$60&gt;$AM893)),
SUMPRODUCT(INDEX($AV$22:$AX$45,,$AI893), INDEX($AY$22:$BE$45,,$AH893), 1 / ($BG$22:$BG$45*CC893), N($AU$22:$AU$45&gt;$AM893))
) / 1000</f>
        <v>0</v>
      </c>
      <c r="CF893" s="229">
        <f t="shared" si="912"/>
        <v>0</v>
      </c>
      <c r="CG893" s="246"/>
      <c r="CH893" s="229">
        <f t="shared" si="913"/>
        <v>0</v>
      </c>
      <c r="CI893" s="228">
        <v>35</v>
      </c>
      <c r="CJ893" s="229">
        <f t="shared" si="914"/>
        <v>48</v>
      </c>
      <c r="CK893" s="234">
        <f t="shared" si="915"/>
        <v>3.0748170731707316</v>
      </c>
      <c r="CL893" s="234" cm="1">
        <f t="array" ref="CL893">$BM893 * SUMPRODUCT(INDEX($AV$76:$AX$81,,$AI893),INDEX($AY$76:$BE$81,,$AH893), N($AU$76:$AU$81&gt;$AM893)) / CK893 / 1000</f>
        <v>0</v>
      </c>
      <c r="CM893" s="231">
        <f t="shared" si="895"/>
        <v>30</v>
      </c>
      <c r="CN893" s="229">
        <f t="shared" si="916"/>
        <v>43</v>
      </c>
      <c r="CO893" s="234">
        <f t="shared" si="917"/>
        <v>3.5018750000000001</v>
      </c>
      <c r="CP893" s="234" cm="1">
        <f t="array" ref="CP893">$BM893 * IF($AH893&lt;=2,
SUMPRODUCT(INDEX($AV$71:$AX$75,,$AI893), INDEX($AY$71:$BE$75,,$AH893), 1 / ($BF$71:$BF$75*CO893 + (1-$BF$71:$BF$75)*CK893), N($AU$71:$AU$75&gt;$AM893)),
SUMPRODUCT(INDEX($AV$66:$AX$75,,$AI893), INDEX($AY$66:$BE$75,,$AH893), 1 / ($BG$66:$BG$75*CO893 + (1-$BG$66:$BG$75)*CK893), N($AU$66:$AU$75&gt;$AM893))
) / 1000</f>
        <v>0</v>
      </c>
      <c r="CQ893" s="231">
        <f t="shared" si="896"/>
        <v>25</v>
      </c>
      <c r="CR893" s="229">
        <f t="shared" si="918"/>
        <v>38</v>
      </c>
      <c r="CS893" s="234">
        <f t="shared" si="919"/>
        <v>4.0666935483870965</v>
      </c>
      <c r="CT893" s="234" cm="1">
        <f t="array" ref="CT893">$BM893 * IF($AH893&lt;=2,
SUMPRODUCT(INDEX($AV$66:$AX$70,,$AI893), INDEX($AY$66:$BE$70,,$AH893), 1 / ($BF$66:$BF$70*CS893 + (1-$BF$66:$BF$70)*CO893), N($AU$66:$AU$70&gt;$AM893)),
SUMPRODUCT(INDEX($AV$56:$AX$65,,$AI893), INDEX($AY$56:$BE$65,,$AH893), 1 / ($BG$56:$BG$65*CS893 + (1-$BG$56:$BG$65)*CO893), N($AU$56:$AU$65&gt;$AM893))
) / 1000</f>
        <v>0</v>
      </c>
      <c r="CU893" s="231">
        <f t="shared" si="897"/>
        <v>20</v>
      </c>
      <c r="CV893" s="229">
        <f t="shared" si="920"/>
        <v>33</v>
      </c>
      <c r="CW893" s="234">
        <f t="shared" si="921"/>
        <v>4.8487499999999999</v>
      </c>
      <c r="CX893" s="234" cm="1">
        <f t="array" ref="CX893">$BM893 * IF($AH893&lt;=2,
SUMPRODUCT(INDEX($AV$61:$AX$65,,$AI893), INDEX($AY$61:$BE$65,,$AH893), 1 / ($BF$61:$BF$65*CW893 + (1-$BF$61:$BF$65)*CS893), N($AU$61:$AU$65&gt;$AM893)),
SUMPRODUCT(INDEX($AV$46:$AX$55,,$AI893), INDEX($AY$46:$BE$55,,$AH893), 1 / ($BG$46:$BG$55*CW893 + (1-$BG$46:$BG$55)*CS893), N($AU$46:$AU$55&gt;$AM893))
) / 1000</f>
        <v>0</v>
      </c>
      <c r="CY893" s="234" cm="1">
        <f t="array" ref="CY893">$BM893 * IF($AH893&lt;=2,
SUMPRODUCT(INDEX($AV$22:$AX$60,,$AI893), INDEX($AY$22:$BE$60,,$AH893), 1 / ($BF$22:$BF$60*CW893), N($AU$22:$AU$60&gt;$AM893)),
SUMPRODUCT(INDEX($AV$22:$AX$45,,$AI893), INDEX($AY$22:$BE$45,,$AH893), 1 / ($BG$22:$BG$45*CW893), N($AU$22:$AU$45&gt;$AM893))
) / 1000</f>
        <v>0</v>
      </c>
      <c r="CZ893" s="229">
        <f t="shared" si="922"/>
        <v>0</v>
      </c>
      <c r="DA893" s="246"/>
    </row>
    <row r="894" spans="1:105" s="75" customFormat="1" ht="14.25" customHeight="1" x14ac:dyDescent="0.2">
      <c r="A894" s="230" t="b">
        <f t="shared" si="889"/>
        <v>0</v>
      </c>
      <c r="B894" s="253">
        <v>873</v>
      </c>
      <c r="C894" s="266"/>
      <c r="D894" s="266"/>
      <c r="E894" s="254"/>
      <c r="F894" s="255" t="str">
        <f>IF(ISBLANK(E894), "", VLOOKUP(E894, Z!$A$2:$C$4127, 3, FALSE))</f>
        <v/>
      </c>
      <c r="G894" s="256"/>
      <c r="H894" s="256"/>
      <c r="I894" s="256"/>
      <c r="J894" s="257"/>
      <c r="K894" s="258"/>
      <c r="L894" s="267"/>
      <c r="M894" s="268"/>
      <c r="N894" s="259" t="str" cm="1">
        <f t="array" ref="N894">IF($L894&gt;0, INDEX(Clean,1+AK894,$D$1), "")</f>
        <v/>
      </c>
      <c r="O894" s="260"/>
      <c r="P894" s="260"/>
      <c r="Q894" s="261"/>
      <c r="R894" s="264">
        <f t="shared" si="898"/>
        <v>0</v>
      </c>
      <c r="S894" s="259" t="str" cm="1">
        <f t="array" ref="S894">IF($L894&gt;0, INDEX(Clean,1+AL894,$D$1), "")</f>
        <v/>
      </c>
      <c r="T894" s="260"/>
      <c r="U894" s="260"/>
      <c r="V894" s="261"/>
      <c r="W894" s="267"/>
      <c r="X894" s="267"/>
      <c r="Y894" s="257"/>
      <c r="Z894" s="264">
        <f t="shared" si="899"/>
        <v>0</v>
      </c>
      <c r="AA894" s="269"/>
      <c r="AB894" s="266"/>
      <c r="AC894" s="254"/>
      <c r="AD894" s="255" t="str">
        <f>IF(ISBLANK(AC894), "", VLOOKUP(AC894, Z!$A$2:$C$4127, 3, FALSE))</f>
        <v/>
      </c>
      <c r="AE894" s="270"/>
      <c r="AF894" s="265">
        <f t="shared" si="900"/>
        <v>0</v>
      </c>
      <c r="AG894" s="246"/>
      <c r="AH894" s="228">
        <f t="shared" si="923"/>
        <v>1</v>
      </c>
      <c r="AI894" s="228">
        <f t="shared" si="924"/>
        <v>1</v>
      </c>
      <c r="AJ894" s="228">
        <f t="shared" si="925"/>
        <v>0</v>
      </c>
      <c r="AK894" s="228">
        <v>0</v>
      </c>
      <c r="AL894" s="228">
        <v>0</v>
      </c>
      <c r="AM894" s="228">
        <f t="shared" si="901"/>
        <v>-100</v>
      </c>
      <c r="AN894" s="228" cm="1">
        <f t="array" ref="AN894">IF(ISBLANK(G894), 1, IFERROR(MATCH(G894, INDEX(Kat,,1), 0), IFERROR(MATCH(Kat, INDEX(Use,,2), 0), MATCH(Kat, INDEX(Use,,3), 0))))</f>
        <v>1</v>
      </c>
      <c r="AO894" s="246"/>
      <c r="AP894" s="228" cm="1">
        <f t="array" ref="AP894">IF(W894&gt;0, INDEX(Kat, AN894,4), 0)</f>
        <v>0</v>
      </c>
      <c r="AQ894" s="228">
        <f t="shared" si="926"/>
        <v>0</v>
      </c>
      <c r="AR894" s="228" cm="1">
        <f t="array" ref="AR894">IF(X894&gt;0, INDEX(Kat, $AN894, 4+AQ894), 0)</f>
        <v>0</v>
      </c>
      <c r="AS894" s="228" cm="1">
        <f t="array" ref="AS894">IF(X894&gt;0, INDEX(Kat, $AN894, 9+AQ894), 0)</f>
        <v>0</v>
      </c>
      <c r="AT894" s="246"/>
      <c r="AU894" s="262"/>
      <c r="AV894" s="262"/>
      <c r="AW894" s="263"/>
      <c r="AX894" s="263"/>
      <c r="AY894" s="263"/>
      <c r="AZ894" s="263"/>
      <c r="BA894" s="263"/>
      <c r="BB894" s="263"/>
      <c r="BC894" s="263"/>
      <c r="BD894" s="263"/>
      <c r="BE894" s="263"/>
      <c r="BF894" s="263"/>
      <c r="BG894" s="263"/>
      <c r="BH894" s="246"/>
      <c r="BI894" s="228" cm="1">
        <f t="array" ref="BI894">INDEX(Use, $AH894, 4)</f>
        <v>7</v>
      </c>
      <c r="BJ894" s="228">
        <f t="shared" si="902"/>
        <v>32</v>
      </c>
      <c r="BK894" s="228">
        <f t="shared" si="890"/>
        <v>13</v>
      </c>
      <c r="BL894" s="228">
        <f t="shared" si="891"/>
        <v>0</v>
      </c>
      <c r="BM894" s="233" cm="1">
        <f t="array" ref="BM894">L894/IF($M894&gt;0, INDEX($AY$22:$BE$76, $M894+20, $AH894), 1)</f>
        <v>0</v>
      </c>
      <c r="BN894" s="229">
        <f t="shared" si="903"/>
        <v>0</v>
      </c>
      <c r="BO894" s="228">
        <v>35</v>
      </c>
      <c r="BP894" s="229">
        <f t="shared" si="904"/>
        <v>48</v>
      </c>
      <c r="BQ894" s="234">
        <f t="shared" si="905"/>
        <v>3.0748170731707316</v>
      </c>
      <c r="BR894" s="234" cm="1">
        <f t="array" ref="BR894">$BM894 * SUMPRODUCT(INDEX($AV$76:$AX$81,,$AI894),INDEX($AY$76:$BE$81,,$AH894), N($AU$76:$AU$81&gt;$AM894)) / BQ894 / 1000</f>
        <v>0</v>
      </c>
      <c r="BS894" s="231">
        <f t="shared" si="892"/>
        <v>30</v>
      </c>
      <c r="BT894" s="229">
        <f t="shared" si="906"/>
        <v>43</v>
      </c>
      <c r="BU894" s="234">
        <f t="shared" si="907"/>
        <v>3.5018750000000001</v>
      </c>
      <c r="BV894" s="234" cm="1">
        <f t="array" ref="BV894">$BM894 * IF($AH894&lt;=2,
SUMPRODUCT(INDEX($AV$71:$AX$75,,$AI894), INDEX($AY$71:$BE$75,,$AH894), 1 / ($BF$71:$BF$75*BU894 + (1-$BF$71:$BF$75)*BQ894), N($AU$71:$AU$75&gt;$AM894)),
SUMPRODUCT(INDEX($AV$66:$AX$75,,$AI894), INDEX($AY$66:$BE$75,,$AH894), 1 / ($BG$66:$BG$75*BU894 + (1-$BG$66:$BG$75)*BQ894), N($AU$66:$AU$75&gt;$AM894))
) / 1000</f>
        <v>0</v>
      </c>
      <c r="BW894" s="231">
        <f t="shared" si="893"/>
        <v>25</v>
      </c>
      <c r="BX894" s="229">
        <f t="shared" si="908"/>
        <v>38</v>
      </c>
      <c r="BY894" s="234">
        <f t="shared" si="909"/>
        <v>4.0666935483870965</v>
      </c>
      <c r="BZ894" s="234" cm="1">
        <f t="array" ref="BZ894">$BM894 * IF($AH894&lt;=2,
SUMPRODUCT(INDEX($AV$66:$AX$70,,$AI894), INDEX($AY$66:$BE$70,,$AH894), 1 / ($BF$66:$BF$70*BY894 + (1-$BF$66:$BF$70)*BU894), N($AU$66:$AU$70&gt;$AM894)),
SUMPRODUCT(INDEX($AV$56:$AX$65,,$AI894), INDEX($AY$56:$BE$65,,$AH894), 1 / ($BG$56:$BG$65*BY894 + (1-$BG$56:$BG$65)*BU894), N($AU$56:$AU$65&gt;$AM894))
) / 1000</f>
        <v>0</v>
      </c>
      <c r="CA894" s="231">
        <f t="shared" si="894"/>
        <v>20</v>
      </c>
      <c r="CB894" s="229">
        <f t="shared" si="910"/>
        <v>33</v>
      </c>
      <c r="CC894" s="234">
        <f t="shared" si="911"/>
        <v>4.8487499999999999</v>
      </c>
      <c r="CD894" s="234" cm="1">
        <f t="array" ref="CD894">$BM894 * IF($AH894&lt;=2,
SUMPRODUCT(INDEX($AV$61:$AX$65,,$AI894), INDEX($AY$61:$BE$65,,$AH894), 1 / ($BF$61:$BF$65*CC894 + (1-$BF$61:$BF$65)*BY894), N($AU$61:$AU$65&gt;$AM894)),
SUMPRODUCT(INDEX($AV$46:$AX$55,,$AI894), INDEX($AY$46:$BE$55,,$AH894), 1 / ($BG$46:$BG$55*CC894 + (1-$BG$46:$BG$55)*BY894), N($AU$46:$AU$55&gt;$AM894))
) / 1000</f>
        <v>0</v>
      </c>
      <c r="CE894" s="234" cm="1">
        <f t="array" ref="CE894">$BM894 * IF($AH894&lt;=2,
SUMPRODUCT(INDEX($AV$22:$AX$60,,$AI894), INDEX($AY$22:$BE$60,,$AH894), 1 / ($BF$22:$BF$60*CC894), N($AU$22:$AU$60&gt;$AM894)),
SUMPRODUCT(INDEX($AV$22:$AX$45,,$AI894), INDEX($AY$22:$BE$45,,$AH894), 1 / ($BG$22:$BG$45*CC894), N($AU$22:$AU$45&gt;$AM894))
) / 1000</f>
        <v>0</v>
      </c>
      <c r="CF894" s="229">
        <f t="shared" si="912"/>
        <v>0</v>
      </c>
      <c r="CG894" s="246"/>
      <c r="CH894" s="229">
        <f t="shared" si="913"/>
        <v>0</v>
      </c>
      <c r="CI894" s="228">
        <v>35</v>
      </c>
      <c r="CJ894" s="229">
        <f t="shared" si="914"/>
        <v>48</v>
      </c>
      <c r="CK894" s="234">
        <f t="shared" si="915"/>
        <v>3.0748170731707316</v>
      </c>
      <c r="CL894" s="234" cm="1">
        <f t="array" ref="CL894">$BM894 * SUMPRODUCT(INDEX($AV$76:$AX$81,,$AI894),INDEX($AY$76:$BE$81,,$AH894), N($AU$76:$AU$81&gt;$AM894)) / CK894 / 1000</f>
        <v>0</v>
      </c>
      <c r="CM894" s="231">
        <f t="shared" si="895"/>
        <v>30</v>
      </c>
      <c r="CN894" s="229">
        <f t="shared" si="916"/>
        <v>43</v>
      </c>
      <c r="CO894" s="234">
        <f t="shared" si="917"/>
        <v>3.5018750000000001</v>
      </c>
      <c r="CP894" s="234" cm="1">
        <f t="array" ref="CP894">$BM894 * IF($AH894&lt;=2,
SUMPRODUCT(INDEX($AV$71:$AX$75,,$AI894), INDEX($AY$71:$BE$75,,$AH894), 1 / ($BF$71:$BF$75*CO894 + (1-$BF$71:$BF$75)*CK894), N($AU$71:$AU$75&gt;$AM894)),
SUMPRODUCT(INDEX($AV$66:$AX$75,,$AI894), INDEX($AY$66:$BE$75,,$AH894), 1 / ($BG$66:$BG$75*CO894 + (1-$BG$66:$BG$75)*CK894), N($AU$66:$AU$75&gt;$AM894))
) / 1000</f>
        <v>0</v>
      </c>
      <c r="CQ894" s="231">
        <f t="shared" si="896"/>
        <v>25</v>
      </c>
      <c r="CR894" s="229">
        <f t="shared" si="918"/>
        <v>38</v>
      </c>
      <c r="CS894" s="234">
        <f t="shared" si="919"/>
        <v>4.0666935483870965</v>
      </c>
      <c r="CT894" s="234" cm="1">
        <f t="array" ref="CT894">$BM894 * IF($AH894&lt;=2,
SUMPRODUCT(INDEX($AV$66:$AX$70,,$AI894), INDEX($AY$66:$BE$70,,$AH894), 1 / ($BF$66:$BF$70*CS894 + (1-$BF$66:$BF$70)*CO894), N($AU$66:$AU$70&gt;$AM894)),
SUMPRODUCT(INDEX($AV$56:$AX$65,,$AI894), INDEX($AY$56:$BE$65,,$AH894), 1 / ($BG$56:$BG$65*CS894 + (1-$BG$56:$BG$65)*CO894), N($AU$56:$AU$65&gt;$AM894))
) / 1000</f>
        <v>0</v>
      </c>
      <c r="CU894" s="231">
        <f t="shared" si="897"/>
        <v>20</v>
      </c>
      <c r="CV894" s="229">
        <f t="shared" si="920"/>
        <v>33</v>
      </c>
      <c r="CW894" s="234">
        <f t="shared" si="921"/>
        <v>4.8487499999999999</v>
      </c>
      <c r="CX894" s="234" cm="1">
        <f t="array" ref="CX894">$BM894 * IF($AH894&lt;=2,
SUMPRODUCT(INDEX($AV$61:$AX$65,,$AI894), INDEX($AY$61:$BE$65,,$AH894), 1 / ($BF$61:$BF$65*CW894 + (1-$BF$61:$BF$65)*CS894), N($AU$61:$AU$65&gt;$AM894)),
SUMPRODUCT(INDEX($AV$46:$AX$55,,$AI894), INDEX($AY$46:$BE$55,,$AH894), 1 / ($BG$46:$BG$55*CW894 + (1-$BG$46:$BG$55)*CS894), N($AU$46:$AU$55&gt;$AM894))
) / 1000</f>
        <v>0</v>
      </c>
      <c r="CY894" s="234" cm="1">
        <f t="array" ref="CY894">$BM894 * IF($AH894&lt;=2,
SUMPRODUCT(INDEX($AV$22:$AX$60,,$AI894), INDEX($AY$22:$BE$60,,$AH894), 1 / ($BF$22:$BF$60*CW894), N($AU$22:$AU$60&gt;$AM894)),
SUMPRODUCT(INDEX($AV$22:$AX$45,,$AI894), INDEX($AY$22:$BE$45,,$AH894), 1 / ($BG$22:$BG$45*CW894), N($AU$22:$AU$45&gt;$AM894))
) / 1000</f>
        <v>0</v>
      </c>
      <c r="CZ894" s="229">
        <f t="shared" si="922"/>
        <v>0</v>
      </c>
      <c r="DA894" s="246"/>
    </row>
    <row r="895" spans="1:105" s="75" customFormat="1" ht="14.25" customHeight="1" x14ac:dyDescent="0.2">
      <c r="A895" s="230" t="b">
        <f t="shared" si="889"/>
        <v>0</v>
      </c>
      <c r="B895" s="253">
        <v>874</v>
      </c>
      <c r="C895" s="266"/>
      <c r="D895" s="266"/>
      <c r="E895" s="254"/>
      <c r="F895" s="255" t="str">
        <f>IF(ISBLANK(E895), "", VLOOKUP(E895, Z!$A$2:$C$4127, 3, FALSE))</f>
        <v/>
      </c>
      <c r="G895" s="256"/>
      <c r="H895" s="256"/>
      <c r="I895" s="256"/>
      <c r="J895" s="257"/>
      <c r="K895" s="258"/>
      <c r="L895" s="267"/>
      <c r="M895" s="268"/>
      <c r="N895" s="259" t="str" cm="1">
        <f t="array" ref="N895">IF($L895&gt;0, INDEX(Clean,1+AK895,$D$1), "")</f>
        <v/>
      </c>
      <c r="O895" s="260"/>
      <c r="P895" s="260"/>
      <c r="Q895" s="261"/>
      <c r="R895" s="264">
        <f t="shared" si="898"/>
        <v>0</v>
      </c>
      <c r="S895" s="259" t="str" cm="1">
        <f t="array" ref="S895">IF($L895&gt;0, INDEX(Clean,1+AL895,$D$1), "")</f>
        <v/>
      </c>
      <c r="T895" s="260"/>
      <c r="U895" s="260"/>
      <c r="V895" s="261"/>
      <c r="W895" s="267"/>
      <c r="X895" s="267"/>
      <c r="Y895" s="257"/>
      <c r="Z895" s="264">
        <f t="shared" si="899"/>
        <v>0</v>
      </c>
      <c r="AA895" s="269"/>
      <c r="AB895" s="266"/>
      <c r="AC895" s="254"/>
      <c r="AD895" s="255" t="str">
        <f>IF(ISBLANK(AC895), "", VLOOKUP(AC895, Z!$A$2:$C$4127, 3, FALSE))</f>
        <v/>
      </c>
      <c r="AE895" s="270"/>
      <c r="AF895" s="265">
        <f t="shared" si="900"/>
        <v>0</v>
      </c>
      <c r="AG895" s="246"/>
      <c r="AH895" s="228">
        <f t="shared" si="923"/>
        <v>1</v>
      </c>
      <c r="AI895" s="228">
        <f t="shared" si="924"/>
        <v>1</v>
      </c>
      <c r="AJ895" s="228">
        <f t="shared" si="925"/>
        <v>0</v>
      </c>
      <c r="AK895" s="228">
        <v>0</v>
      </c>
      <c r="AL895" s="228">
        <v>0</v>
      </c>
      <c r="AM895" s="228">
        <f t="shared" si="901"/>
        <v>-100</v>
      </c>
      <c r="AN895" s="228" cm="1">
        <f t="array" ref="AN895">IF(ISBLANK(G895), 1, IFERROR(MATCH(G895, INDEX(Kat,,1), 0), IFERROR(MATCH(Kat, INDEX(Use,,2), 0), MATCH(Kat, INDEX(Use,,3), 0))))</f>
        <v>1</v>
      </c>
      <c r="AO895" s="246"/>
      <c r="AP895" s="228" cm="1">
        <f t="array" ref="AP895">IF(W895&gt;0, INDEX(Kat, AN895,4), 0)</f>
        <v>0</v>
      </c>
      <c r="AQ895" s="228">
        <f t="shared" si="926"/>
        <v>0</v>
      </c>
      <c r="AR895" s="228" cm="1">
        <f t="array" ref="AR895">IF(X895&gt;0, INDEX(Kat, $AN895, 4+AQ895), 0)</f>
        <v>0</v>
      </c>
      <c r="AS895" s="228" cm="1">
        <f t="array" ref="AS895">IF(X895&gt;0, INDEX(Kat, $AN895, 9+AQ895), 0)</f>
        <v>0</v>
      </c>
      <c r="AT895" s="246"/>
      <c r="AU895" s="262"/>
      <c r="AV895" s="262"/>
      <c r="AW895" s="263"/>
      <c r="AX895" s="263"/>
      <c r="AY895" s="263"/>
      <c r="AZ895" s="263"/>
      <c r="BA895" s="263"/>
      <c r="BB895" s="263"/>
      <c r="BC895" s="263"/>
      <c r="BD895" s="263"/>
      <c r="BE895" s="263"/>
      <c r="BF895" s="263"/>
      <c r="BG895" s="263"/>
      <c r="BH895" s="246"/>
      <c r="BI895" s="228" cm="1">
        <f t="array" ref="BI895">INDEX(Use, $AH895, 4)</f>
        <v>7</v>
      </c>
      <c r="BJ895" s="228">
        <f t="shared" si="902"/>
        <v>32</v>
      </c>
      <c r="BK895" s="228">
        <f t="shared" si="890"/>
        <v>13</v>
      </c>
      <c r="BL895" s="228">
        <f t="shared" si="891"/>
        <v>0</v>
      </c>
      <c r="BM895" s="233" cm="1">
        <f t="array" ref="BM895">L895/IF($M895&gt;0, INDEX($AY$22:$BE$76, $M895+20, $AH895), 1)</f>
        <v>0</v>
      </c>
      <c r="BN895" s="229">
        <f t="shared" si="903"/>
        <v>0</v>
      </c>
      <c r="BO895" s="228">
        <v>35</v>
      </c>
      <c r="BP895" s="229">
        <f t="shared" si="904"/>
        <v>48</v>
      </c>
      <c r="BQ895" s="234">
        <f t="shared" si="905"/>
        <v>3.0748170731707316</v>
      </c>
      <c r="BR895" s="234" cm="1">
        <f t="array" ref="BR895">$BM895 * SUMPRODUCT(INDEX($AV$76:$AX$81,,$AI895),INDEX($AY$76:$BE$81,,$AH895), N($AU$76:$AU$81&gt;$AM895)) / BQ895 / 1000</f>
        <v>0</v>
      </c>
      <c r="BS895" s="231">
        <f t="shared" si="892"/>
        <v>30</v>
      </c>
      <c r="BT895" s="229">
        <f t="shared" si="906"/>
        <v>43</v>
      </c>
      <c r="BU895" s="234">
        <f t="shared" si="907"/>
        <v>3.5018750000000001</v>
      </c>
      <c r="BV895" s="234" cm="1">
        <f t="array" ref="BV895">$BM895 * IF($AH895&lt;=2,
SUMPRODUCT(INDEX($AV$71:$AX$75,,$AI895), INDEX($AY$71:$BE$75,,$AH895), 1 / ($BF$71:$BF$75*BU895 + (1-$BF$71:$BF$75)*BQ895), N($AU$71:$AU$75&gt;$AM895)),
SUMPRODUCT(INDEX($AV$66:$AX$75,,$AI895), INDEX($AY$66:$BE$75,,$AH895), 1 / ($BG$66:$BG$75*BU895 + (1-$BG$66:$BG$75)*BQ895), N($AU$66:$AU$75&gt;$AM895))
) / 1000</f>
        <v>0</v>
      </c>
      <c r="BW895" s="231">
        <f t="shared" si="893"/>
        <v>25</v>
      </c>
      <c r="BX895" s="229">
        <f t="shared" si="908"/>
        <v>38</v>
      </c>
      <c r="BY895" s="234">
        <f t="shared" si="909"/>
        <v>4.0666935483870965</v>
      </c>
      <c r="BZ895" s="234" cm="1">
        <f t="array" ref="BZ895">$BM895 * IF($AH895&lt;=2,
SUMPRODUCT(INDEX($AV$66:$AX$70,,$AI895), INDEX($AY$66:$BE$70,,$AH895), 1 / ($BF$66:$BF$70*BY895 + (1-$BF$66:$BF$70)*BU895), N($AU$66:$AU$70&gt;$AM895)),
SUMPRODUCT(INDEX($AV$56:$AX$65,,$AI895), INDEX($AY$56:$BE$65,,$AH895), 1 / ($BG$56:$BG$65*BY895 + (1-$BG$56:$BG$65)*BU895), N($AU$56:$AU$65&gt;$AM895))
) / 1000</f>
        <v>0</v>
      </c>
      <c r="CA895" s="231">
        <f t="shared" si="894"/>
        <v>20</v>
      </c>
      <c r="CB895" s="229">
        <f t="shared" si="910"/>
        <v>33</v>
      </c>
      <c r="CC895" s="234">
        <f t="shared" si="911"/>
        <v>4.8487499999999999</v>
      </c>
      <c r="CD895" s="234" cm="1">
        <f t="array" ref="CD895">$BM895 * IF($AH895&lt;=2,
SUMPRODUCT(INDEX($AV$61:$AX$65,,$AI895), INDEX($AY$61:$BE$65,,$AH895), 1 / ($BF$61:$BF$65*CC895 + (1-$BF$61:$BF$65)*BY895), N($AU$61:$AU$65&gt;$AM895)),
SUMPRODUCT(INDEX($AV$46:$AX$55,,$AI895), INDEX($AY$46:$BE$55,,$AH895), 1 / ($BG$46:$BG$55*CC895 + (1-$BG$46:$BG$55)*BY895), N($AU$46:$AU$55&gt;$AM895))
) / 1000</f>
        <v>0</v>
      </c>
      <c r="CE895" s="234" cm="1">
        <f t="array" ref="CE895">$BM895 * IF($AH895&lt;=2,
SUMPRODUCT(INDEX($AV$22:$AX$60,,$AI895), INDEX($AY$22:$BE$60,,$AH895), 1 / ($BF$22:$BF$60*CC895), N($AU$22:$AU$60&gt;$AM895)),
SUMPRODUCT(INDEX($AV$22:$AX$45,,$AI895), INDEX($AY$22:$BE$45,,$AH895), 1 / ($BG$22:$BG$45*CC895), N($AU$22:$AU$45&gt;$AM895))
) / 1000</f>
        <v>0</v>
      </c>
      <c r="CF895" s="229">
        <f t="shared" si="912"/>
        <v>0</v>
      </c>
      <c r="CG895" s="246"/>
      <c r="CH895" s="229">
        <f t="shared" si="913"/>
        <v>0</v>
      </c>
      <c r="CI895" s="228">
        <v>35</v>
      </c>
      <c r="CJ895" s="229">
        <f t="shared" si="914"/>
        <v>48</v>
      </c>
      <c r="CK895" s="234">
        <f t="shared" si="915"/>
        <v>3.0748170731707316</v>
      </c>
      <c r="CL895" s="234" cm="1">
        <f t="array" ref="CL895">$BM895 * SUMPRODUCT(INDEX($AV$76:$AX$81,,$AI895),INDEX($AY$76:$BE$81,,$AH895), N($AU$76:$AU$81&gt;$AM895)) / CK895 / 1000</f>
        <v>0</v>
      </c>
      <c r="CM895" s="231">
        <f t="shared" si="895"/>
        <v>30</v>
      </c>
      <c r="CN895" s="229">
        <f t="shared" si="916"/>
        <v>43</v>
      </c>
      <c r="CO895" s="234">
        <f t="shared" si="917"/>
        <v>3.5018750000000001</v>
      </c>
      <c r="CP895" s="234" cm="1">
        <f t="array" ref="CP895">$BM895 * IF($AH895&lt;=2,
SUMPRODUCT(INDEX($AV$71:$AX$75,,$AI895), INDEX($AY$71:$BE$75,,$AH895), 1 / ($BF$71:$BF$75*CO895 + (1-$BF$71:$BF$75)*CK895), N($AU$71:$AU$75&gt;$AM895)),
SUMPRODUCT(INDEX($AV$66:$AX$75,,$AI895), INDEX($AY$66:$BE$75,,$AH895), 1 / ($BG$66:$BG$75*CO895 + (1-$BG$66:$BG$75)*CK895), N($AU$66:$AU$75&gt;$AM895))
) / 1000</f>
        <v>0</v>
      </c>
      <c r="CQ895" s="231">
        <f t="shared" si="896"/>
        <v>25</v>
      </c>
      <c r="CR895" s="229">
        <f t="shared" si="918"/>
        <v>38</v>
      </c>
      <c r="CS895" s="234">
        <f t="shared" si="919"/>
        <v>4.0666935483870965</v>
      </c>
      <c r="CT895" s="234" cm="1">
        <f t="array" ref="CT895">$BM895 * IF($AH895&lt;=2,
SUMPRODUCT(INDEX($AV$66:$AX$70,,$AI895), INDEX($AY$66:$BE$70,,$AH895), 1 / ($BF$66:$BF$70*CS895 + (1-$BF$66:$BF$70)*CO895), N($AU$66:$AU$70&gt;$AM895)),
SUMPRODUCT(INDEX($AV$56:$AX$65,,$AI895), INDEX($AY$56:$BE$65,,$AH895), 1 / ($BG$56:$BG$65*CS895 + (1-$BG$56:$BG$65)*CO895), N($AU$56:$AU$65&gt;$AM895))
) / 1000</f>
        <v>0</v>
      </c>
      <c r="CU895" s="231">
        <f t="shared" si="897"/>
        <v>20</v>
      </c>
      <c r="CV895" s="229">
        <f t="shared" si="920"/>
        <v>33</v>
      </c>
      <c r="CW895" s="234">
        <f t="shared" si="921"/>
        <v>4.8487499999999999</v>
      </c>
      <c r="CX895" s="234" cm="1">
        <f t="array" ref="CX895">$BM895 * IF($AH895&lt;=2,
SUMPRODUCT(INDEX($AV$61:$AX$65,,$AI895), INDEX($AY$61:$BE$65,,$AH895), 1 / ($BF$61:$BF$65*CW895 + (1-$BF$61:$BF$65)*CS895), N($AU$61:$AU$65&gt;$AM895)),
SUMPRODUCT(INDEX($AV$46:$AX$55,,$AI895), INDEX($AY$46:$BE$55,,$AH895), 1 / ($BG$46:$BG$55*CW895 + (1-$BG$46:$BG$55)*CS895), N($AU$46:$AU$55&gt;$AM895))
) / 1000</f>
        <v>0</v>
      </c>
      <c r="CY895" s="234" cm="1">
        <f t="array" ref="CY895">$BM895 * IF($AH895&lt;=2,
SUMPRODUCT(INDEX($AV$22:$AX$60,,$AI895), INDEX($AY$22:$BE$60,,$AH895), 1 / ($BF$22:$BF$60*CW895), N($AU$22:$AU$60&gt;$AM895)),
SUMPRODUCT(INDEX($AV$22:$AX$45,,$AI895), INDEX($AY$22:$BE$45,,$AH895), 1 / ($BG$22:$BG$45*CW895), N($AU$22:$AU$45&gt;$AM895))
) / 1000</f>
        <v>0</v>
      </c>
      <c r="CZ895" s="229">
        <f t="shared" si="922"/>
        <v>0</v>
      </c>
      <c r="DA895" s="246"/>
    </row>
    <row r="896" spans="1:105" s="75" customFormat="1" ht="14.25" customHeight="1" x14ac:dyDescent="0.2">
      <c r="A896" s="230" t="b">
        <f t="shared" si="889"/>
        <v>0</v>
      </c>
      <c r="B896" s="253">
        <v>875</v>
      </c>
      <c r="C896" s="266"/>
      <c r="D896" s="266"/>
      <c r="E896" s="254"/>
      <c r="F896" s="255" t="str">
        <f>IF(ISBLANK(E896), "", VLOOKUP(E896, Z!$A$2:$C$4127, 3, FALSE))</f>
        <v/>
      </c>
      <c r="G896" s="256"/>
      <c r="H896" s="256"/>
      <c r="I896" s="256"/>
      <c r="J896" s="257"/>
      <c r="K896" s="258"/>
      <c r="L896" s="267"/>
      <c r="M896" s="268"/>
      <c r="N896" s="259" t="str" cm="1">
        <f t="array" ref="N896">IF($L896&gt;0, INDEX(Clean,1+AK896,$D$1), "")</f>
        <v/>
      </c>
      <c r="O896" s="260"/>
      <c r="P896" s="260"/>
      <c r="Q896" s="261"/>
      <c r="R896" s="264">
        <f t="shared" si="898"/>
        <v>0</v>
      </c>
      <c r="S896" s="259" t="str" cm="1">
        <f t="array" ref="S896">IF($L896&gt;0, INDEX(Clean,1+AL896,$D$1), "")</f>
        <v/>
      </c>
      <c r="T896" s="260"/>
      <c r="U896" s="260"/>
      <c r="V896" s="261"/>
      <c r="W896" s="267"/>
      <c r="X896" s="267"/>
      <c r="Y896" s="257"/>
      <c r="Z896" s="264">
        <f t="shared" si="899"/>
        <v>0</v>
      </c>
      <c r="AA896" s="269"/>
      <c r="AB896" s="266"/>
      <c r="AC896" s="254"/>
      <c r="AD896" s="255" t="str">
        <f>IF(ISBLANK(AC896), "", VLOOKUP(AC896, Z!$A$2:$C$4127, 3, FALSE))</f>
        <v/>
      </c>
      <c r="AE896" s="270"/>
      <c r="AF896" s="265">
        <f t="shared" si="900"/>
        <v>0</v>
      </c>
      <c r="AG896" s="246"/>
      <c r="AH896" s="228">
        <f t="shared" si="923"/>
        <v>1</v>
      </c>
      <c r="AI896" s="228">
        <f t="shared" si="924"/>
        <v>1</v>
      </c>
      <c r="AJ896" s="228">
        <f t="shared" si="925"/>
        <v>0</v>
      </c>
      <c r="AK896" s="228">
        <v>0</v>
      </c>
      <c r="AL896" s="228">
        <v>0</v>
      </c>
      <c r="AM896" s="228">
        <f t="shared" si="901"/>
        <v>-100</v>
      </c>
      <c r="AN896" s="228" cm="1">
        <f t="array" ref="AN896">IF(ISBLANK(G896), 1, IFERROR(MATCH(G896, INDEX(Kat,,1), 0), IFERROR(MATCH(Kat, INDEX(Use,,2), 0), MATCH(Kat, INDEX(Use,,3), 0))))</f>
        <v>1</v>
      </c>
      <c r="AO896" s="246"/>
      <c r="AP896" s="228" cm="1">
        <f t="array" ref="AP896">IF(W896&gt;0, INDEX(Kat, AN896,4), 0)</f>
        <v>0</v>
      </c>
      <c r="AQ896" s="228">
        <f t="shared" si="926"/>
        <v>0</v>
      </c>
      <c r="AR896" s="228" cm="1">
        <f t="array" ref="AR896">IF(X896&gt;0, INDEX(Kat, $AN896, 4+AQ896), 0)</f>
        <v>0</v>
      </c>
      <c r="AS896" s="228" cm="1">
        <f t="array" ref="AS896">IF(X896&gt;0, INDEX(Kat, $AN896, 9+AQ896), 0)</f>
        <v>0</v>
      </c>
      <c r="AT896" s="246"/>
      <c r="AU896" s="262"/>
      <c r="AV896" s="262"/>
      <c r="AW896" s="263"/>
      <c r="AX896" s="263"/>
      <c r="AY896" s="263"/>
      <c r="AZ896" s="263"/>
      <c r="BA896" s="263"/>
      <c r="BB896" s="263"/>
      <c r="BC896" s="263"/>
      <c r="BD896" s="263"/>
      <c r="BE896" s="263"/>
      <c r="BF896" s="263"/>
      <c r="BG896" s="263"/>
      <c r="BH896" s="246"/>
      <c r="BI896" s="228" cm="1">
        <f t="array" ref="BI896">INDEX(Use, $AH896, 4)</f>
        <v>7</v>
      </c>
      <c r="BJ896" s="228">
        <f t="shared" si="902"/>
        <v>32</v>
      </c>
      <c r="BK896" s="228">
        <f t="shared" si="890"/>
        <v>13</v>
      </c>
      <c r="BL896" s="228">
        <f t="shared" si="891"/>
        <v>0</v>
      </c>
      <c r="BM896" s="233" cm="1">
        <f t="array" ref="BM896">L896/IF($M896&gt;0, INDEX($AY$22:$BE$76, $M896+20, $AH896), 1)</f>
        <v>0</v>
      </c>
      <c r="BN896" s="229">
        <f t="shared" si="903"/>
        <v>0</v>
      </c>
      <c r="BO896" s="228">
        <v>35</v>
      </c>
      <c r="BP896" s="229">
        <f t="shared" si="904"/>
        <v>48</v>
      </c>
      <c r="BQ896" s="234">
        <f t="shared" si="905"/>
        <v>3.0748170731707316</v>
      </c>
      <c r="BR896" s="234" cm="1">
        <f t="array" ref="BR896">$BM896 * SUMPRODUCT(INDEX($AV$76:$AX$81,,$AI896),INDEX($AY$76:$BE$81,,$AH896), N($AU$76:$AU$81&gt;$AM896)) / BQ896 / 1000</f>
        <v>0</v>
      </c>
      <c r="BS896" s="231">
        <f t="shared" si="892"/>
        <v>30</v>
      </c>
      <c r="BT896" s="229">
        <f t="shared" si="906"/>
        <v>43</v>
      </c>
      <c r="BU896" s="234">
        <f t="shared" si="907"/>
        <v>3.5018750000000001</v>
      </c>
      <c r="BV896" s="234" cm="1">
        <f t="array" ref="BV896">$BM896 * IF($AH896&lt;=2,
SUMPRODUCT(INDEX($AV$71:$AX$75,,$AI896), INDEX($AY$71:$BE$75,,$AH896), 1 / ($BF$71:$BF$75*BU896 + (1-$BF$71:$BF$75)*BQ896), N($AU$71:$AU$75&gt;$AM896)),
SUMPRODUCT(INDEX($AV$66:$AX$75,,$AI896), INDEX($AY$66:$BE$75,,$AH896), 1 / ($BG$66:$BG$75*BU896 + (1-$BG$66:$BG$75)*BQ896), N($AU$66:$AU$75&gt;$AM896))
) / 1000</f>
        <v>0</v>
      </c>
      <c r="BW896" s="231">
        <f t="shared" si="893"/>
        <v>25</v>
      </c>
      <c r="BX896" s="229">
        <f t="shared" si="908"/>
        <v>38</v>
      </c>
      <c r="BY896" s="234">
        <f t="shared" si="909"/>
        <v>4.0666935483870965</v>
      </c>
      <c r="BZ896" s="234" cm="1">
        <f t="array" ref="BZ896">$BM896 * IF($AH896&lt;=2,
SUMPRODUCT(INDEX($AV$66:$AX$70,,$AI896), INDEX($AY$66:$BE$70,,$AH896), 1 / ($BF$66:$BF$70*BY896 + (1-$BF$66:$BF$70)*BU896), N($AU$66:$AU$70&gt;$AM896)),
SUMPRODUCT(INDEX($AV$56:$AX$65,,$AI896), INDEX($AY$56:$BE$65,,$AH896), 1 / ($BG$56:$BG$65*BY896 + (1-$BG$56:$BG$65)*BU896), N($AU$56:$AU$65&gt;$AM896))
) / 1000</f>
        <v>0</v>
      </c>
      <c r="CA896" s="231">
        <f t="shared" si="894"/>
        <v>20</v>
      </c>
      <c r="CB896" s="229">
        <f t="shared" si="910"/>
        <v>33</v>
      </c>
      <c r="CC896" s="234">
        <f t="shared" si="911"/>
        <v>4.8487499999999999</v>
      </c>
      <c r="CD896" s="234" cm="1">
        <f t="array" ref="CD896">$BM896 * IF($AH896&lt;=2,
SUMPRODUCT(INDEX($AV$61:$AX$65,,$AI896), INDEX($AY$61:$BE$65,,$AH896), 1 / ($BF$61:$BF$65*CC896 + (1-$BF$61:$BF$65)*BY896), N($AU$61:$AU$65&gt;$AM896)),
SUMPRODUCT(INDEX($AV$46:$AX$55,,$AI896), INDEX($AY$46:$BE$55,,$AH896), 1 / ($BG$46:$BG$55*CC896 + (1-$BG$46:$BG$55)*BY896), N($AU$46:$AU$55&gt;$AM896))
) / 1000</f>
        <v>0</v>
      </c>
      <c r="CE896" s="234" cm="1">
        <f t="array" ref="CE896">$BM896 * IF($AH896&lt;=2,
SUMPRODUCT(INDEX($AV$22:$AX$60,,$AI896), INDEX($AY$22:$BE$60,,$AH896), 1 / ($BF$22:$BF$60*CC896), N($AU$22:$AU$60&gt;$AM896)),
SUMPRODUCT(INDEX($AV$22:$AX$45,,$AI896), INDEX($AY$22:$BE$45,,$AH896), 1 / ($BG$22:$BG$45*CC896), N($AU$22:$AU$45&gt;$AM896))
) / 1000</f>
        <v>0</v>
      </c>
      <c r="CF896" s="229">
        <f t="shared" si="912"/>
        <v>0</v>
      </c>
      <c r="CG896" s="246"/>
      <c r="CH896" s="229">
        <f t="shared" si="913"/>
        <v>0</v>
      </c>
      <c r="CI896" s="228">
        <v>35</v>
      </c>
      <c r="CJ896" s="229">
        <f t="shared" si="914"/>
        <v>48</v>
      </c>
      <c r="CK896" s="234">
        <f t="shared" si="915"/>
        <v>3.0748170731707316</v>
      </c>
      <c r="CL896" s="234" cm="1">
        <f t="array" ref="CL896">$BM896 * SUMPRODUCT(INDEX($AV$76:$AX$81,,$AI896),INDEX($AY$76:$BE$81,,$AH896), N($AU$76:$AU$81&gt;$AM896)) / CK896 / 1000</f>
        <v>0</v>
      </c>
      <c r="CM896" s="231">
        <f t="shared" si="895"/>
        <v>30</v>
      </c>
      <c r="CN896" s="229">
        <f t="shared" si="916"/>
        <v>43</v>
      </c>
      <c r="CO896" s="234">
        <f t="shared" si="917"/>
        <v>3.5018750000000001</v>
      </c>
      <c r="CP896" s="234" cm="1">
        <f t="array" ref="CP896">$BM896 * IF($AH896&lt;=2,
SUMPRODUCT(INDEX($AV$71:$AX$75,,$AI896), INDEX($AY$71:$BE$75,,$AH896), 1 / ($BF$71:$BF$75*CO896 + (1-$BF$71:$BF$75)*CK896), N($AU$71:$AU$75&gt;$AM896)),
SUMPRODUCT(INDEX($AV$66:$AX$75,,$AI896), INDEX($AY$66:$BE$75,,$AH896), 1 / ($BG$66:$BG$75*CO896 + (1-$BG$66:$BG$75)*CK896), N($AU$66:$AU$75&gt;$AM896))
) / 1000</f>
        <v>0</v>
      </c>
      <c r="CQ896" s="231">
        <f t="shared" si="896"/>
        <v>25</v>
      </c>
      <c r="CR896" s="229">
        <f t="shared" si="918"/>
        <v>38</v>
      </c>
      <c r="CS896" s="234">
        <f t="shared" si="919"/>
        <v>4.0666935483870965</v>
      </c>
      <c r="CT896" s="234" cm="1">
        <f t="array" ref="CT896">$BM896 * IF($AH896&lt;=2,
SUMPRODUCT(INDEX($AV$66:$AX$70,,$AI896), INDEX($AY$66:$BE$70,,$AH896), 1 / ($BF$66:$BF$70*CS896 + (1-$BF$66:$BF$70)*CO896), N($AU$66:$AU$70&gt;$AM896)),
SUMPRODUCT(INDEX($AV$56:$AX$65,,$AI896), INDEX($AY$56:$BE$65,,$AH896), 1 / ($BG$56:$BG$65*CS896 + (1-$BG$56:$BG$65)*CO896), N($AU$56:$AU$65&gt;$AM896))
) / 1000</f>
        <v>0</v>
      </c>
      <c r="CU896" s="231">
        <f t="shared" si="897"/>
        <v>20</v>
      </c>
      <c r="CV896" s="229">
        <f t="shared" si="920"/>
        <v>33</v>
      </c>
      <c r="CW896" s="234">
        <f t="shared" si="921"/>
        <v>4.8487499999999999</v>
      </c>
      <c r="CX896" s="234" cm="1">
        <f t="array" ref="CX896">$BM896 * IF($AH896&lt;=2,
SUMPRODUCT(INDEX($AV$61:$AX$65,,$AI896), INDEX($AY$61:$BE$65,,$AH896), 1 / ($BF$61:$BF$65*CW896 + (1-$BF$61:$BF$65)*CS896), N($AU$61:$AU$65&gt;$AM896)),
SUMPRODUCT(INDEX($AV$46:$AX$55,,$AI896), INDEX($AY$46:$BE$55,,$AH896), 1 / ($BG$46:$BG$55*CW896 + (1-$BG$46:$BG$55)*CS896), N($AU$46:$AU$55&gt;$AM896))
) / 1000</f>
        <v>0</v>
      </c>
      <c r="CY896" s="234" cm="1">
        <f t="array" ref="CY896">$BM896 * IF($AH896&lt;=2,
SUMPRODUCT(INDEX($AV$22:$AX$60,,$AI896), INDEX($AY$22:$BE$60,,$AH896), 1 / ($BF$22:$BF$60*CW896), N($AU$22:$AU$60&gt;$AM896)),
SUMPRODUCT(INDEX($AV$22:$AX$45,,$AI896), INDEX($AY$22:$BE$45,,$AH896), 1 / ($BG$22:$BG$45*CW896), N($AU$22:$AU$45&gt;$AM896))
) / 1000</f>
        <v>0</v>
      </c>
      <c r="CZ896" s="229">
        <f t="shared" si="922"/>
        <v>0</v>
      </c>
      <c r="DA896" s="246"/>
    </row>
    <row r="897" spans="1:105" s="75" customFormat="1" ht="14.25" customHeight="1" x14ac:dyDescent="0.2">
      <c r="A897" s="230" t="b">
        <f t="shared" si="889"/>
        <v>0</v>
      </c>
      <c r="B897" s="253">
        <v>876</v>
      </c>
      <c r="C897" s="266"/>
      <c r="D897" s="266"/>
      <c r="E897" s="254"/>
      <c r="F897" s="255" t="str">
        <f>IF(ISBLANK(E897), "", VLOOKUP(E897, Z!$A$2:$C$4127, 3, FALSE))</f>
        <v/>
      </c>
      <c r="G897" s="256"/>
      <c r="H897" s="256"/>
      <c r="I897" s="256"/>
      <c r="J897" s="257"/>
      <c r="K897" s="258"/>
      <c r="L897" s="267"/>
      <c r="M897" s="268"/>
      <c r="N897" s="259" t="str" cm="1">
        <f t="array" ref="N897">IF($L897&gt;0, INDEX(Clean,1+AK897,$D$1), "")</f>
        <v/>
      </c>
      <c r="O897" s="260"/>
      <c r="P897" s="260"/>
      <c r="Q897" s="261"/>
      <c r="R897" s="264">
        <f t="shared" si="898"/>
        <v>0</v>
      </c>
      <c r="S897" s="259" t="str" cm="1">
        <f t="array" ref="S897">IF($L897&gt;0, INDEX(Clean,1+AL897,$D$1), "")</f>
        <v/>
      </c>
      <c r="T897" s="260"/>
      <c r="U897" s="260"/>
      <c r="V897" s="261"/>
      <c r="W897" s="267"/>
      <c r="X897" s="267"/>
      <c r="Y897" s="257"/>
      <c r="Z897" s="264">
        <f t="shared" si="899"/>
        <v>0</v>
      </c>
      <c r="AA897" s="269"/>
      <c r="AB897" s="266"/>
      <c r="AC897" s="254"/>
      <c r="AD897" s="255" t="str">
        <f>IF(ISBLANK(AC897), "", VLOOKUP(AC897, Z!$A$2:$C$4127, 3, FALSE))</f>
        <v/>
      </c>
      <c r="AE897" s="270"/>
      <c r="AF897" s="265">
        <f t="shared" si="900"/>
        <v>0</v>
      </c>
      <c r="AG897" s="246"/>
      <c r="AH897" s="228">
        <f t="shared" si="923"/>
        <v>1</v>
      </c>
      <c r="AI897" s="228">
        <f t="shared" si="924"/>
        <v>1</v>
      </c>
      <c r="AJ897" s="228">
        <f t="shared" si="925"/>
        <v>0</v>
      </c>
      <c r="AK897" s="228">
        <v>0</v>
      </c>
      <c r="AL897" s="228">
        <v>0</v>
      </c>
      <c r="AM897" s="228">
        <f t="shared" si="901"/>
        <v>-100</v>
      </c>
      <c r="AN897" s="228" cm="1">
        <f t="array" ref="AN897">IF(ISBLANK(G897), 1, IFERROR(MATCH(G897, INDEX(Kat,,1), 0), IFERROR(MATCH(Kat, INDEX(Use,,2), 0), MATCH(Kat, INDEX(Use,,3), 0))))</f>
        <v>1</v>
      </c>
      <c r="AO897" s="246"/>
      <c r="AP897" s="228" cm="1">
        <f t="array" ref="AP897">IF(W897&gt;0, INDEX(Kat, AN897,4), 0)</f>
        <v>0</v>
      </c>
      <c r="AQ897" s="228">
        <f t="shared" si="926"/>
        <v>0</v>
      </c>
      <c r="AR897" s="228" cm="1">
        <f t="array" ref="AR897">IF(X897&gt;0, INDEX(Kat, $AN897, 4+AQ897), 0)</f>
        <v>0</v>
      </c>
      <c r="AS897" s="228" cm="1">
        <f t="array" ref="AS897">IF(X897&gt;0, INDEX(Kat, $AN897, 9+AQ897), 0)</f>
        <v>0</v>
      </c>
      <c r="AT897" s="246"/>
      <c r="AU897" s="262"/>
      <c r="AV897" s="262"/>
      <c r="AW897" s="263"/>
      <c r="AX897" s="263"/>
      <c r="AY897" s="263"/>
      <c r="AZ897" s="263"/>
      <c r="BA897" s="263"/>
      <c r="BB897" s="263"/>
      <c r="BC897" s="263"/>
      <c r="BD897" s="263"/>
      <c r="BE897" s="263"/>
      <c r="BF897" s="263"/>
      <c r="BG897" s="263"/>
      <c r="BH897" s="246"/>
      <c r="BI897" s="228" cm="1">
        <f t="array" ref="BI897">INDEX(Use, $AH897, 4)</f>
        <v>7</v>
      </c>
      <c r="BJ897" s="228">
        <f t="shared" si="902"/>
        <v>32</v>
      </c>
      <c r="BK897" s="228">
        <f t="shared" si="890"/>
        <v>13</v>
      </c>
      <c r="BL897" s="228">
        <f t="shared" si="891"/>
        <v>0</v>
      </c>
      <c r="BM897" s="233" cm="1">
        <f t="array" ref="BM897">L897/IF($M897&gt;0, INDEX($AY$22:$BE$76, $M897+20, $AH897), 1)</f>
        <v>0</v>
      </c>
      <c r="BN897" s="229">
        <f t="shared" si="903"/>
        <v>0</v>
      </c>
      <c r="BO897" s="228">
        <v>35</v>
      </c>
      <c r="BP897" s="229">
        <f t="shared" si="904"/>
        <v>48</v>
      </c>
      <c r="BQ897" s="234">
        <f t="shared" si="905"/>
        <v>3.0748170731707316</v>
      </c>
      <c r="BR897" s="234" cm="1">
        <f t="array" ref="BR897">$BM897 * SUMPRODUCT(INDEX($AV$76:$AX$81,,$AI897),INDEX($AY$76:$BE$81,,$AH897), N($AU$76:$AU$81&gt;$AM897)) / BQ897 / 1000</f>
        <v>0</v>
      </c>
      <c r="BS897" s="231">
        <f t="shared" si="892"/>
        <v>30</v>
      </c>
      <c r="BT897" s="229">
        <f t="shared" si="906"/>
        <v>43</v>
      </c>
      <c r="BU897" s="234">
        <f t="shared" si="907"/>
        <v>3.5018750000000001</v>
      </c>
      <c r="BV897" s="234" cm="1">
        <f t="array" ref="BV897">$BM897 * IF($AH897&lt;=2,
SUMPRODUCT(INDEX($AV$71:$AX$75,,$AI897), INDEX($AY$71:$BE$75,,$AH897), 1 / ($BF$71:$BF$75*BU897 + (1-$BF$71:$BF$75)*BQ897), N($AU$71:$AU$75&gt;$AM897)),
SUMPRODUCT(INDEX($AV$66:$AX$75,,$AI897), INDEX($AY$66:$BE$75,,$AH897), 1 / ($BG$66:$BG$75*BU897 + (1-$BG$66:$BG$75)*BQ897), N($AU$66:$AU$75&gt;$AM897))
) / 1000</f>
        <v>0</v>
      </c>
      <c r="BW897" s="231">
        <f t="shared" si="893"/>
        <v>25</v>
      </c>
      <c r="BX897" s="229">
        <f t="shared" si="908"/>
        <v>38</v>
      </c>
      <c r="BY897" s="234">
        <f t="shared" si="909"/>
        <v>4.0666935483870965</v>
      </c>
      <c r="BZ897" s="234" cm="1">
        <f t="array" ref="BZ897">$BM897 * IF($AH897&lt;=2,
SUMPRODUCT(INDEX($AV$66:$AX$70,,$AI897), INDEX($AY$66:$BE$70,,$AH897), 1 / ($BF$66:$BF$70*BY897 + (1-$BF$66:$BF$70)*BU897), N($AU$66:$AU$70&gt;$AM897)),
SUMPRODUCT(INDEX($AV$56:$AX$65,,$AI897), INDEX($AY$56:$BE$65,,$AH897), 1 / ($BG$56:$BG$65*BY897 + (1-$BG$56:$BG$65)*BU897), N($AU$56:$AU$65&gt;$AM897))
) / 1000</f>
        <v>0</v>
      </c>
      <c r="CA897" s="231">
        <f t="shared" si="894"/>
        <v>20</v>
      </c>
      <c r="CB897" s="229">
        <f t="shared" si="910"/>
        <v>33</v>
      </c>
      <c r="CC897" s="234">
        <f t="shared" si="911"/>
        <v>4.8487499999999999</v>
      </c>
      <c r="CD897" s="234" cm="1">
        <f t="array" ref="CD897">$BM897 * IF($AH897&lt;=2,
SUMPRODUCT(INDEX($AV$61:$AX$65,,$AI897), INDEX($AY$61:$BE$65,,$AH897), 1 / ($BF$61:$BF$65*CC897 + (1-$BF$61:$BF$65)*BY897), N($AU$61:$AU$65&gt;$AM897)),
SUMPRODUCT(INDEX($AV$46:$AX$55,,$AI897), INDEX($AY$46:$BE$55,,$AH897), 1 / ($BG$46:$BG$55*CC897 + (1-$BG$46:$BG$55)*BY897), N($AU$46:$AU$55&gt;$AM897))
) / 1000</f>
        <v>0</v>
      </c>
      <c r="CE897" s="234" cm="1">
        <f t="array" ref="CE897">$BM897 * IF($AH897&lt;=2,
SUMPRODUCT(INDEX($AV$22:$AX$60,,$AI897), INDEX($AY$22:$BE$60,,$AH897), 1 / ($BF$22:$BF$60*CC897), N($AU$22:$AU$60&gt;$AM897)),
SUMPRODUCT(INDEX($AV$22:$AX$45,,$AI897), INDEX($AY$22:$BE$45,,$AH897), 1 / ($BG$22:$BG$45*CC897), N($AU$22:$AU$45&gt;$AM897))
) / 1000</f>
        <v>0</v>
      </c>
      <c r="CF897" s="229">
        <f t="shared" si="912"/>
        <v>0</v>
      </c>
      <c r="CG897" s="246"/>
      <c r="CH897" s="229">
        <f t="shared" si="913"/>
        <v>0</v>
      </c>
      <c r="CI897" s="228">
        <v>35</v>
      </c>
      <c r="CJ897" s="229">
        <f t="shared" si="914"/>
        <v>48</v>
      </c>
      <c r="CK897" s="234">
        <f t="shared" si="915"/>
        <v>3.0748170731707316</v>
      </c>
      <c r="CL897" s="234" cm="1">
        <f t="array" ref="CL897">$BM897 * SUMPRODUCT(INDEX($AV$76:$AX$81,,$AI897),INDEX($AY$76:$BE$81,,$AH897), N($AU$76:$AU$81&gt;$AM897)) / CK897 / 1000</f>
        <v>0</v>
      </c>
      <c r="CM897" s="231">
        <f t="shared" si="895"/>
        <v>30</v>
      </c>
      <c r="CN897" s="229">
        <f t="shared" si="916"/>
        <v>43</v>
      </c>
      <c r="CO897" s="234">
        <f t="shared" si="917"/>
        <v>3.5018750000000001</v>
      </c>
      <c r="CP897" s="234" cm="1">
        <f t="array" ref="CP897">$BM897 * IF($AH897&lt;=2,
SUMPRODUCT(INDEX($AV$71:$AX$75,,$AI897), INDEX($AY$71:$BE$75,,$AH897), 1 / ($BF$71:$BF$75*CO897 + (1-$BF$71:$BF$75)*CK897), N($AU$71:$AU$75&gt;$AM897)),
SUMPRODUCT(INDEX($AV$66:$AX$75,,$AI897), INDEX($AY$66:$BE$75,,$AH897), 1 / ($BG$66:$BG$75*CO897 + (1-$BG$66:$BG$75)*CK897), N($AU$66:$AU$75&gt;$AM897))
) / 1000</f>
        <v>0</v>
      </c>
      <c r="CQ897" s="231">
        <f t="shared" si="896"/>
        <v>25</v>
      </c>
      <c r="CR897" s="229">
        <f t="shared" si="918"/>
        <v>38</v>
      </c>
      <c r="CS897" s="234">
        <f t="shared" si="919"/>
        <v>4.0666935483870965</v>
      </c>
      <c r="CT897" s="234" cm="1">
        <f t="array" ref="CT897">$BM897 * IF($AH897&lt;=2,
SUMPRODUCT(INDEX($AV$66:$AX$70,,$AI897), INDEX($AY$66:$BE$70,,$AH897), 1 / ($BF$66:$BF$70*CS897 + (1-$BF$66:$BF$70)*CO897), N($AU$66:$AU$70&gt;$AM897)),
SUMPRODUCT(INDEX($AV$56:$AX$65,,$AI897), INDEX($AY$56:$BE$65,,$AH897), 1 / ($BG$56:$BG$65*CS897 + (1-$BG$56:$BG$65)*CO897), N($AU$56:$AU$65&gt;$AM897))
) / 1000</f>
        <v>0</v>
      </c>
      <c r="CU897" s="231">
        <f t="shared" si="897"/>
        <v>20</v>
      </c>
      <c r="CV897" s="229">
        <f t="shared" si="920"/>
        <v>33</v>
      </c>
      <c r="CW897" s="234">
        <f t="shared" si="921"/>
        <v>4.8487499999999999</v>
      </c>
      <c r="CX897" s="234" cm="1">
        <f t="array" ref="CX897">$BM897 * IF($AH897&lt;=2,
SUMPRODUCT(INDEX($AV$61:$AX$65,,$AI897), INDEX($AY$61:$BE$65,,$AH897), 1 / ($BF$61:$BF$65*CW897 + (1-$BF$61:$BF$65)*CS897), N($AU$61:$AU$65&gt;$AM897)),
SUMPRODUCT(INDEX($AV$46:$AX$55,,$AI897), INDEX($AY$46:$BE$55,,$AH897), 1 / ($BG$46:$BG$55*CW897 + (1-$BG$46:$BG$55)*CS897), N($AU$46:$AU$55&gt;$AM897))
) / 1000</f>
        <v>0</v>
      </c>
      <c r="CY897" s="234" cm="1">
        <f t="array" ref="CY897">$BM897 * IF($AH897&lt;=2,
SUMPRODUCT(INDEX($AV$22:$AX$60,,$AI897), INDEX($AY$22:$BE$60,,$AH897), 1 / ($BF$22:$BF$60*CW897), N($AU$22:$AU$60&gt;$AM897)),
SUMPRODUCT(INDEX($AV$22:$AX$45,,$AI897), INDEX($AY$22:$BE$45,,$AH897), 1 / ($BG$22:$BG$45*CW897), N($AU$22:$AU$45&gt;$AM897))
) / 1000</f>
        <v>0</v>
      </c>
      <c r="CZ897" s="229">
        <f t="shared" si="922"/>
        <v>0</v>
      </c>
      <c r="DA897" s="246"/>
    </row>
    <row r="898" spans="1:105" s="75" customFormat="1" ht="14.25" customHeight="1" x14ac:dyDescent="0.2">
      <c r="A898" s="230" t="b">
        <f t="shared" si="889"/>
        <v>0</v>
      </c>
      <c r="B898" s="253">
        <v>877</v>
      </c>
      <c r="C898" s="266"/>
      <c r="D898" s="266"/>
      <c r="E898" s="254"/>
      <c r="F898" s="255" t="str">
        <f>IF(ISBLANK(E898), "", VLOOKUP(E898, Z!$A$2:$C$4127, 3, FALSE))</f>
        <v/>
      </c>
      <c r="G898" s="256"/>
      <c r="H898" s="256"/>
      <c r="I898" s="256"/>
      <c r="J898" s="257"/>
      <c r="K898" s="258"/>
      <c r="L898" s="267"/>
      <c r="M898" s="268"/>
      <c r="N898" s="259" t="str" cm="1">
        <f t="array" ref="N898">IF($L898&gt;0, INDEX(Clean,1+AK898,$D$1), "")</f>
        <v/>
      </c>
      <c r="O898" s="260"/>
      <c r="P898" s="260"/>
      <c r="Q898" s="261"/>
      <c r="R898" s="264">
        <f t="shared" si="898"/>
        <v>0</v>
      </c>
      <c r="S898" s="259" t="str" cm="1">
        <f t="array" ref="S898">IF($L898&gt;0, INDEX(Clean,1+AL898,$D$1), "")</f>
        <v/>
      </c>
      <c r="T898" s="260"/>
      <c r="U898" s="260"/>
      <c r="V898" s="261"/>
      <c r="W898" s="267"/>
      <c r="X898" s="267"/>
      <c r="Y898" s="257"/>
      <c r="Z898" s="264">
        <f t="shared" si="899"/>
        <v>0</v>
      </c>
      <c r="AA898" s="269"/>
      <c r="AB898" s="266"/>
      <c r="AC898" s="254"/>
      <c r="AD898" s="255" t="str">
        <f>IF(ISBLANK(AC898), "", VLOOKUP(AC898, Z!$A$2:$C$4127, 3, FALSE))</f>
        <v/>
      </c>
      <c r="AE898" s="270"/>
      <c r="AF898" s="265">
        <f t="shared" si="900"/>
        <v>0</v>
      </c>
      <c r="AG898" s="246"/>
      <c r="AH898" s="228">
        <f t="shared" si="923"/>
        <v>1</v>
      </c>
      <c r="AI898" s="228">
        <f t="shared" si="924"/>
        <v>1</v>
      </c>
      <c r="AJ898" s="228">
        <f t="shared" si="925"/>
        <v>0</v>
      </c>
      <c r="AK898" s="228">
        <v>0</v>
      </c>
      <c r="AL898" s="228">
        <v>0</v>
      </c>
      <c r="AM898" s="228">
        <f t="shared" si="901"/>
        <v>-100</v>
      </c>
      <c r="AN898" s="228" cm="1">
        <f t="array" ref="AN898">IF(ISBLANK(G898), 1, IFERROR(MATCH(G898, INDEX(Kat,,1), 0), IFERROR(MATCH(Kat, INDEX(Use,,2), 0), MATCH(Kat, INDEX(Use,,3), 0))))</f>
        <v>1</v>
      </c>
      <c r="AO898" s="246"/>
      <c r="AP898" s="228" cm="1">
        <f t="array" ref="AP898">IF(W898&gt;0, INDEX(Kat, AN898,4), 0)</f>
        <v>0</v>
      </c>
      <c r="AQ898" s="228">
        <f t="shared" si="926"/>
        <v>0</v>
      </c>
      <c r="AR898" s="228" cm="1">
        <f t="array" ref="AR898">IF(X898&gt;0, INDEX(Kat, $AN898, 4+AQ898), 0)</f>
        <v>0</v>
      </c>
      <c r="AS898" s="228" cm="1">
        <f t="array" ref="AS898">IF(X898&gt;0, INDEX(Kat, $AN898, 9+AQ898), 0)</f>
        <v>0</v>
      </c>
      <c r="AT898" s="246"/>
      <c r="AU898" s="262"/>
      <c r="AV898" s="262"/>
      <c r="AW898" s="263"/>
      <c r="AX898" s="263"/>
      <c r="AY898" s="263"/>
      <c r="AZ898" s="263"/>
      <c r="BA898" s="263"/>
      <c r="BB898" s="263"/>
      <c r="BC898" s="263"/>
      <c r="BD898" s="263"/>
      <c r="BE898" s="263"/>
      <c r="BF898" s="263"/>
      <c r="BG898" s="263"/>
      <c r="BH898" s="246"/>
      <c r="BI898" s="228" cm="1">
        <f t="array" ref="BI898">INDEX(Use, $AH898, 4)</f>
        <v>7</v>
      </c>
      <c r="BJ898" s="228">
        <f t="shared" si="902"/>
        <v>32</v>
      </c>
      <c r="BK898" s="228">
        <f t="shared" si="890"/>
        <v>13</v>
      </c>
      <c r="BL898" s="228">
        <f t="shared" si="891"/>
        <v>0</v>
      </c>
      <c r="BM898" s="233" cm="1">
        <f t="array" ref="BM898">L898/IF($M898&gt;0, INDEX($AY$22:$BE$76, $M898+20, $AH898), 1)</f>
        <v>0</v>
      </c>
      <c r="BN898" s="229">
        <f t="shared" si="903"/>
        <v>0</v>
      </c>
      <c r="BO898" s="228">
        <v>35</v>
      </c>
      <c r="BP898" s="229">
        <f t="shared" si="904"/>
        <v>48</v>
      </c>
      <c r="BQ898" s="234">
        <f t="shared" si="905"/>
        <v>3.0748170731707316</v>
      </c>
      <c r="BR898" s="234" cm="1">
        <f t="array" ref="BR898">$BM898 * SUMPRODUCT(INDEX($AV$76:$AX$81,,$AI898),INDEX($AY$76:$BE$81,,$AH898), N($AU$76:$AU$81&gt;$AM898)) / BQ898 / 1000</f>
        <v>0</v>
      </c>
      <c r="BS898" s="231">
        <f t="shared" si="892"/>
        <v>30</v>
      </c>
      <c r="BT898" s="229">
        <f t="shared" si="906"/>
        <v>43</v>
      </c>
      <c r="BU898" s="234">
        <f t="shared" si="907"/>
        <v>3.5018750000000001</v>
      </c>
      <c r="BV898" s="234" cm="1">
        <f t="array" ref="BV898">$BM898 * IF($AH898&lt;=2,
SUMPRODUCT(INDEX($AV$71:$AX$75,,$AI898), INDEX($AY$71:$BE$75,,$AH898), 1 / ($BF$71:$BF$75*BU898 + (1-$BF$71:$BF$75)*BQ898), N($AU$71:$AU$75&gt;$AM898)),
SUMPRODUCT(INDEX($AV$66:$AX$75,,$AI898), INDEX($AY$66:$BE$75,,$AH898), 1 / ($BG$66:$BG$75*BU898 + (1-$BG$66:$BG$75)*BQ898), N($AU$66:$AU$75&gt;$AM898))
) / 1000</f>
        <v>0</v>
      </c>
      <c r="BW898" s="231">
        <f t="shared" si="893"/>
        <v>25</v>
      </c>
      <c r="BX898" s="229">
        <f t="shared" si="908"/>
        <v>38</v>
      </c>
      <c r="BY898" s="234">
        <f t="shared" si="909"/>
        <v>4.0666935483870965</v>
      </c>
      <c r="BZ898" s="234" cm="1">
        <f t="array" ref="BZ898">$BM898 * IF($AH898&lt;=2,
SUMPRODUCT(INDEX($AV$66:$AX$70,,$AI898), INDEX($AY$66:$BE$70,,$AH898), 1 / ($BF$66:$BF$70*BY898 + (1-$BF$66:$BF$70)*BU898), N($AU$66:$AU$70&gt;$AM898)),
SUMPRODUCT(INDEX($AV$56:$AX$65,,$AI898), INDEX($AY$56:$BE$65,,$AH898), 1 / ($BG$56:$BG$65*BY898 + (1-$BG$56:$BG$65)*BU898), N($AU$56:$AU$65&gt;$AM898))
) / 1000</f>
        <v>0</v>
      </c>
      <c r="CA898" s="231">
        <f t="shared" si="894"/>
        <v>20</v>
      </c>
      <c r="CB898" s="229">
        <f t="shared" si="910"/>
        <v>33</v>
      </c>
      <c r="CC898" s="234">
        <f t="shared" si="911"/>
        <v>4.8487499999999999</v>
      </c>
      <c r="CD898" s="234" cm="1">
        <f t="array" ref="CD898">$BM898 * IF($AH898&lt;=2,
SUMPRODUCT(INDEX($AV$61:$AX$65,,$AI898), INDEX($AY$61:$BE$65,,$AH898), 1 / ($BF$61:$BF$65*CC898 + (1-$BF$61:$BF$65)*BY898), N($AU$61:$AU$65&gt;$AM898)),
SUMPRODUCT(INDEX($AV$46:$AX$55,,$AI898), INDEX($AY$46:$BE$55,,$AH898), 1 / ($BG$46:$BG$55*CC898 + (1-$BG$46:$BG$55)*BY898), N($AU$46:$AU$55&gt;$AM898))
) / 1000</f>
        <v>0</v>
      </c>
      <c r="CE898" s="234" cm="1">
        <f t="array" ref="CE898">$BM898 * IF($AH898&lt;=2,
SUMPRODUCT(INDEX($AV$22:$AX$60,,$AI898), INDEX($AY$22:$BE$60,,$AH898), 1 / ($BF$22:$BF$60*CC898), N($AU$22:$AU$60&gt;$AM898)),
SUMPRODUCT(INDEX($AV$22:$AX$45,,$AI898), INDEX($AY$22:$BE$45,,$AH898), 1 / ($BG$22:$BG$45*CC898), N($AU$22:$AU$45&gt;$AM898))
) / 1000</f>
        <v>0</v>
      </c>
      <c r="CF898" s="229">
        <f t="shared" si="912"/>
        <v>0</v>
      </c>
      <c r="CG898" s="246"/>
      <c r="CH898" s="229">
        <f t="shared" si="913"/>
        <v>0</v>
      </c>
      <c r="CI898" s="228">
        <v>35</v>
      </c>
      <c r="CJ898" s="229">
        <f t="shared" si="914"/>
        <v>48</v>
      </c>
      <c r="CK898" s="234">
        <f t="shared" si="915"/>
        <v>3.0748170731707316</v>
      </c>
      <c r="CL898" s="234" cm="1">
        <f t="array" ref="CL898">$BM898 * SUMPRODUCT(INDEX($AV$76:$AX$81,,$AI898),INDEX($AY$76:$BE$81,,$AH898), N($AU$76:$AU$81&gt;$AM898)) / CK898 / 1000</f>
        <v>0</v>
      </c>
      <c r="CM898" s="231">
        <f t="shared" si="895"/>
        <v>30</v>
      </c>
      <c r="CN898" s="229">
        <f t="shared" si="916"/>
        <v>43</v>
      </c>
      <c r="CO898" s="234">
        <f t="shared" si="917"/>
        <v>3.5018750000000001</v>
      </c>
      <c r="CP898" s="234" cm="1">
        <f t="array" ref="CP898">$BM898 * IF($AH898&lt;=2,
SUMPRODUCT(INDEX($AV$71:$AX$75,,$AI898), INDEX($AY$71:$BE$75,,$AH898), 1 / ($BF$71:$BF$75*CO898 + (1-$BF$71:$BF$75)*CK898), N($AU$71:$AU$75&gt;$AM898)),
SUMPRODUCT(INDEX($AV$66:$AX$75,,$AI898), INDEX($AY$66:$BE$75,,$AH898), 1 / ($BG$66:$BG$75*CO898 + (1-$BG$66:$BG$75)*CK898), N($AU$66:$AU$75&gt;$AM898))
) / 1000</f>
        <v>0</v>
      </c>
      <c r="CQ898" s="231">
        <f t="shared" si="896"/>
        <v>25</v>
      </c>
      <c r="CR898" s="229">
        <f t="shared" si="918"/>
        <v>38</v>
      </c>
      <c r="CS898" s="234">
        <f t="shared" si="919"/>
        <v>4.0666935483870965</v>
      </c>
      <c r="CT898" s="234" cm="1">
        <f t="array" ref="CT898">$BM898 * IF($AH898&lt;=2,
SUMPRODUCT(INDEX($AV$66:$AX$70,,$AI898), INDEX($AY$66:$BE$70,,$AH898), 1 / ($BF$66:$BF$70*CS898 + (1-$BF$66:$BF$70)*CO898), N($AU$66:$AU$70&gt;$AM898)),
SUMPRODUCT(INDEX($AV$56:$AX$65,,$AI898), INDEX($AY$56:$BE$65,,$AH898), 1 / ($BG$56:$BG$65*CS898 + (1-$BG$56:$BG$65)*CO898), N($AU$56:$AU$65&gt;$AM898))
) / 1000</f>
        <v>0</v>
      </c>
      <c r="CU898" s="231">
        <f t="shared" si="897"/>
        <v>20</v>
      </c>
      <c r="CV898" s="229">
        <f t="shared" si="920"/>
        <v>33</v>
      </c>
      <c r="CW898" s="234">
        <f t="shared" si="921"/>
        <v>4.8487499999999999</v>
      </c>
      <c r="CX898" s="234" cm="1">
        <f t="array" ref="CX898">$BM898 * IF($AH898&lt;=2,
SUMPRODUCT(INDEX($AV$61:$AX$65,,$AI898), INDEX($AY$61:$BE$65,,$AH898), 1 / ($BF$61:$BF$65*CW898 + (1-$BF$61:$BF$65)*CS898), N($AU$61:$AU$65&gt;$AM898)),
SUMPRODUCT(INDEX($AV$46:$AX$55,,$AI898), INDEX($AY$46:$BE$55,,$AH898), 1 / ($BG$46:$BG$55*CW898 + (1-$BG$46:$BG$55)*CS898), N($AU$46:$AU$55&gt;$AM898))
) / 1000</f>
        <v>0</v>
      </c>
      <c r="CY898" s="234" cm="1">
        <f t="array" ref="CY898">$BM898 * IF($AH898&lt;=2,
SUMPRODUCT(INDEX($AV$22:$AX$60,,$AI898), INDEX($AY$22:$BE$60,,$AH898), 1 / ($BF$22:$BF$60*CW898), N($AU$22:$AU$60&gt;$AM898)),
SUMPRODUCT(INDEX($AV$22:$AX$45,,$AI898), INDEX($AY$22:$BE$45,,$AH898), 1 / ($BG$22:$BG$45*CW898), N($AU$22:$AU$45&gt;$AM898))
) / 1000</f>
        <v>0</v>
      </c>
      <c r="CZ898" s="229">
        <f t="shared" si="922"/>
        <v>0</v>
      </c>
      <c r="DA898" s="246"/>
    </row>
    <row r="899" spans="1:105" s="75" customFormat="1" ht="14.25" customHeight="1" x14ac:dyDescent="0.2">
      <c r="A899" s="230" t="b">
        <f t="shared" si="889"/>
        <v>0</v>
      </c>
      <c r="B899" s="253">
        <v>878</v>
      </c>
      <c r="C899" s="266"/>
      <c r="D899" s="266"/>
      <c r="E899" s="254"/>
      <c r="F899" s="255" t="str">
        <f>IF(ISBLANK(E899), "", VLOOKUP(E899, Z!$A$2:$C$4127, 3, FALSE))</f>
        <v/>
      </c>
      <c r="G899" s="256"/>
      <c r="H899" s="256"/>
      <c r="I899" s="256"/>
      <c r="J899" s="257"/>
      <c r="K899" s="258"/>
      <c r="L899" s="267"/>
      <c r="M899" s="268"/>
      <c r="N899" s="259" t="str" cm="1">
        <f t="array" ref="N899">IF($L899&gt;0, INDEX(Clean,1+AK899,$D$1), "")</f>
        <v/>
      </c>
      <c r="O899" s="260"/>
      <c r="P899" s="260"/>
      <c r="Q899" s="261"/>
      <c r="R899" s="264">
        <f t="shared" si="898"/>
        <v>0</v>
      </c>
      <c r="S899" s="259" t="str" cm="1">
        <f t="array" ref="S899">IF($L899&gt;0, INDEX(Clean,1+AL899,$D$1), "")</f>
        <v/>
      </c>
      <c r="T899" s="260"/>
      <c r="U899" s="260"/>
      <c r="V899" s="261"/>
      <c r="W899" s="267"/>
      <c r="X899" s="267"/>
      <c r="Y899" s="257"/>
      <c r="Z899" s="264">
        <f t="shared" si="899"/>
        <v>0</v>
      </c>
      <c r="AA899" s="269"/>
      <c r="AB899" s="266"/>
      <c r="AC899" s="254"/>
      <c r="AD899" s="255" t="str">
        <f>IF(ISBLANK(AC899), "", VLOOKUP(AC899, Z!$A$2:$C$4127, 3, FALSE))</f>
        <v/>
      </c>
      <c r="AE899" s="270"/>
      <c r="AF899" s="265">
        <f t="shared" si="900"/>
        <v>0</v>
      </c>
      <c r="AG899" s="246"/>
      <c r="AH899" s="228">
        <f t="shared" si="923"/>
        <v>1</v>
      </c>
      <c r="AI899" s="228">
        <f t="shared" si="924"/>
        <v>1</v>
      </c>
      <c r="AJ899" s="228">
        <f t="shared" si="925"/>
        <v>0</v>
      </c>
      <c r="AK899" s="228">
        <v>0</v>
      </c>
      <c r="AL899" s="228">
        <v>0</v>
      </c>
      <c r="AM899" s="228">
        <f t="shared" si="901"/>
        <v>-100</v>
      </c>
      <c r="AN899" s="228" cm="1">
        <f t="array" ref="AN899">IF(ISBLANK(G899), 1, IFERROR(MATCH(G899, INDEX(Kat,,1), 0), IFERROR(MATCH(Kat, INDEX(Use,,2), 0), MATCH(Kat, INDEX(Use,,3), 0))))</f>
        <v>1</v>
      </c>
      <c r="AO899" s="246"/>
      <c r="AP899" s="228" cm="1">
        <f t="array" ref="AP899">IF(W899&gt;0, INDEX(Kat, AN899,4), 0)</f>
        <v>0</v>
      </c>
      <c r="AQ899" s="228">
        <f t="shared" si="926"/>
        <v>0</v>
      </c>
      <c r="AR899" s="228" cm="1">
        <f t="array" ref="AR899">IF(X899&gt;0, INDEX(Kat, $AN899, 4+AQ899), 0)</f>
        <v>0</v>
      </c>
      <c r="AS899" s="228" cm="1">
        <f t="array" ref="AS899">IF(X899&gt;0, INDEX(Kat, $AN899, 9+AQ899), 0)</f>
        <v>0</v>
      </c>
      <c r="AT899" s="246"/>
      <c r="AU899" s="262"/>
      <c r="AV899" s="262"/>
      <c r="AW899" s="263"/>
      <c r="AX899" s="263"/>
      <c r="AY899" s="263"/>
      <c r="AZ899" s="263"/>
      <c r="BA899" s="263"/>
      <c r="BB899" s="263"/>
      <c r="BC899" s="263"/>
      <c r="BD899" s="263"/>
      <c r="BE899" s="263"/>
      <c r="BF899" s="263"/>
      <c r="BG899" s="263"/>
      <c r="BH899" s="246"/>
      <c r="BI899" s="228" cm="1">
        <f t="array" ref="BI899">INDEX(Use, $AH899, 4)</f>
        <v>7</v>
      </c>
      <c r="BJ899" s="228">
        <f t="shared" si="902"/>
        <v>32</v>
      </c>
      <c r="BK899" s="228">
        <f t="shared" si="890"/>
        <v>13</v>
      </c>
      <c r="BL899" s="228">
        <f t="shared" si="891"/>
        <v>0</v>
      </c>
      <c r="BM899" s="233" cm="1">
        <f t="array" ref="BM899">L899/IF($M899&gt;0, INDEX($AY$22:$BE$76, $M899+20, $AH899), 1)</f>
        <v>0</v>
      </c>
      <c r="BN899" s="229">
        <f t="shared" si="903"/>
        <v>0</v>
      </c>
      <c r="BO899" s="228">
        <v>35</v>
      </c>
      <c r="BP899" s="229">
        <f t="shared" si="904"/>
        <v>48</v>
      </c>
      <c r="BQ899" s="234">
        <f t="shared" si="905"/>
        <v>3.0748170731707316</v>
      </c>
      <c r="BR899" s="234" cm="1">
        <f t="array" ref="BR899">$BM899 * SUMPRODUCT(INDEX($AV$76:$AX$81,,$AI899),INDEX($AY$76:$BE$81,,$AH899), N($AU$76:$AU$81&gt;$AM899)) / BQ899 / 1000</f>
        <v>0</v>
      </c>
      <c r="BS899" s="231">
        <f t="shared" si="892"/>
        <v>30</v>
      </c>
      <c r="BT899" s="229">
        <f t="shared" si="906"/>
        <v>43</v>
      </c>
      <c r="BU899" s="234">
        <f t="shared" si="907"/>
        <v>3.5018750000000001</v>
      </c>
      <c r="BV899" s="234" cm="1">
        <f t="array" ref="BV899">$BM899 * IF($AH899&lt;=2,
SUMPRODUCT(INDEX($AV$71:$AX$75,,$AI899), INDEX($AY$71:$BE$75,,$AH899), 1 / ($BF$71:$BF$75*BU899 + (1-$BF$71:$BF$75)*BQ899), N($AU$71:$AU$75&gt;$AM899)),
SUMPRODUCT(INDEX($AV$66:$AX$75,,$AI899), INDEX($AY$66:$BE$75,,$AH899), 1 / ($BG$66:$BG$75*BU899 + (1-$BG$66:$BG$75)*BQ899), N($AU$66:$AU$75&gt;$AM899))
) / 1000</f>
        <v>0</v>
      </c>
      <c r="BW899" s="231">
        <f t="shared" si="893"/>
        <v>25</v>
      </c>
      <c r="BX899" s="229">
        <f t="shared" si="908"/>
        <v>38</v>
      </c>
      <c r="BY899" s="234">
        <f t="shared" si="909"/>
        <v>4.0666935483870965</v>
      </c>
      <c r="BZ899" s="234" cm="1">
        <f t="array" ref="BZ899">$BM899 * IF($AH899&lt;=2,
SUMPRODUCT(INDEX($AV$66:$AX$70,,$AI899), INDEX($AY$66:$BE$70,,$AH899), 1 / ($BF$66:$BF$70*BY899 + (1-$BF$66:$BF$70)*BU899), N($AU$66:$AU$70&gt;$AM899)),
SUMPRODUCT(INDEX($AV$56:$AX$65,,$AI899), INDEX($AY$56:$BE$65,,$AH899), 1 / ($BG$56:$BG$65*BY899 + (1-$BG$56:$BG$65)*BU899), N($AU$56:$AU$65&gt;$AM899))
) / 1000</f>
        <v>0</v>
      </c>
      <c r="CA899" s="231">
        <f t="shared" si="894"/>
        <v>20</v>
      </c>
      <c r="CB899" s="229">
        <f t="shared" si="910"/>
        <v>33</v>
      </c>
      <c r="CC899" s="234">
        <f t="shared" si="911"/>
        <v>4.8487499999999999</v>
      </c>
      <c r="CD899" s="234" cm="1">
        <f t="array" ref="CD899">$BM899 * IF($AH899&lt;=2,
SUMPRODUCT(INDEX($AV$61:$AX$65,,$AI899), INDEX($AY$61:$BE$65,,$AH899), 1 / ($BF$61:$BF$65*CC899 + (1-$BF$61:$BF$65)*BY899), N($AU$61:$AU$65&gt;$AM899)),
SUMPRODUCT(INDEX($AV$46:$AX$55,,$AI899), INDEX($AY$46:$BE$55,,$AH899), 1 / ($BG$46:$BG$55*CC899 + (1-$BG$46:$BG$55)*BY899), N($AU$46:$AU$55&gt;$AM899))
) / 1000</f>
        <v>0</v>
      </c>
      <c r="CE899" s="234" cm="1">
        <f t="array" ref="CE899">$BM899 * IF($AH899&lt;=2,
SUMPRODUCT(INDEX($AV$22:$AX$60,,$AI899), INDEX($AY$22:$BE$60,,$AH899), 1 / ($BF$22:$BF$60*CC899), N($AU$22:$AU$60&gt;$AM899)),
SUMPRODUCT(INDEX($AV$22:$AX$45,,$AI899), INDEX($AY$22:$BE$45,,$AH899), 1 / ($BG$22:$BG$45*CC899), N($AU$22:$AU$45&gt;$AM899))
) / 1000</f>
        <v>0</v>
      </c>
      <c r="CF899" s="229">
        <f t="shared" si="912"/>
        <v>0</v>
      </c>
      <c r="CG899" s="246"/>
      <c r="CH899" s="229">
        <f t="shared" si="913"/>
        <v>0</v>
      </c>
      <c r="CI899" s="228">
        <v>35</v>
      </c>
      <c r="CJ899" s="229">
        <f t="shared" si="914"/>
        <v>48</v>
      </c>
      <c r="CK899" s="234">
        <f t="shared" si="915"/>
        <v>3.0748170731707316</v>
      </c>
      <c r="CL899" s="234" cm="1">
        <f t="array" ref="CL899">$BM899 * SUMPRODUCT(INDEX($AV$76:$AX$81,,$AI899),INDEX($AY$76:$BE$81,,$AH899), N($AU$76:$AU$81&gt;$AM899)) / CK899 / 1000</f>
        <v>0</v>
      </c>
      <c r="CM899" s="231">
        <f t="shared" si="895"/>
        <v>30</v>
      </c>
      <c r="CN899" s="229">
        <f t="shared" si="916"/>
        <v>43</v>
      </c>
      <c r="CO899" s="234">
        <f t="shared" si="917"/>
        <v>3.5018750000000001</v>
      </c>
      <c r="CP899" s="234" cm="1">
        <f t="array" ref="CP899">$BM899 * IF($AH899&lt;=2,
SUMPRODUCT(INDEX($AV$71:$AX$75,,$AI899), INDEX($AY$71:$BE$75,,$AH899), 1 / ($BF$71:$BF$75*CO899 + (1-$BF$71:$BF$75)*CK899), N($AU$71:$AU$75&gt;$AM899)),
SUMPRODUCT(INDEX($AV$66:$AX$75,,$AI899), INDEX($AY$66:$BE$75,,$AH899), 1 / ($BG$66:$BG$75*CO899 + (1-$BG$66:$BG$75)*CK899), N($AU$66:$AU$75&gt;$AM899))
) / 1000</f>
        <v>0</v>
      </c>
      <c r="CQ899" s="231">
        <f t="shared" si="896"/>
        <v>25</v>
      </c>
      <c r="CR899" s="229">
        <f t="shared" si="918"/>
        <v>38</v>
      </c>
      <c r="CS899" s="234">
        <f t="shared" si="919"/>
        <v>4.0666935483870965</v>
      </c>
      <c r="CT899" s="234" cm="1">
        <f t="array" ref="CT899">$BM899 * IF($AH899&lt;=2,
SUMPRODUCT(INDEX($AV$66:$AX$70,,$AI899), INDEX($AY$66:$BE$70,,$AH899), 1 / ($BF$66:$BF$70*CS899 + (1-$BF$66:$BF$70)*CO899), N($AU$66:$AU$70&gt;$AM899)),
SUMPRODUCT(INDEX($AV$56:$AX$65,,$AI899), INDEX($AY$56:$BE$65,,$AH899), 1 / ($BG$56:$BG$65*CS899 + (1-$BG$56:$BG$65)*CO899), N($AU$56:$AU$65&gt;$AM899))
) / 1000</f>
        <v>0</v>
      </c>
      <c r="CU899" s="231">
        <f t="shared" si="897"/>
        <v>20</v>
      </c>
      <c r="CV899" s="229">
        <f t="shared" si="920"/>
        <v>33</v>
      </c>
      <c r="CW899" s="234">
        <f t="shared" si="921"/>
        <v>4.8487499999999999</v>
      </c>
      <c r="CX899" s="234" cm="1">
        <f t="array" ref="CX899">$BM899 * IF($AH899&lt;=2,
SUMPRODUCT(INDEX($AV$61:$AX$65,,$AI899), INDEX($AY$61:$BE$65,,$AH899), 1 / ($BF$61:$BF$65*CW899 + (1-$BF$61:$BF$65)*CS899), N($AU$61:$AU$65&gt;$AM899)),
SUMPRODUCT(INDEX($AV$46:$AX$55,,$AI899), INDEX($AY$46:$BE$55,,$AH899), 1 / ($BG$46:$BG$55*CW899 + (1-$BG$46:$BG$55)*CS899), N($AU$46:$AU$55&gt;$AM899))
) / 1000</f>
        <v>0</v>
      </c>
      <c r="CY899" s="234" cm="1">
        <f t="array" ref="CY899">$BM899 * IF($AH899&lt;=2,
SUMPRODUCT(INDEX($AV$22:$AX$60,,$AI899), INDEX($AY$22:$BE$60,,$AH899), 1 / ($BF$22:$BF$60*CW899), N($AU$22:$AU$60&gt;$AM899)),
SUMPRODUCT(INDEX($AV$22:$AX$45,,$AI899), INDEX($AY$22:$BE$45,,$AH899), 1 / ($BG$22:$BG$45*CW899), N($AU$22:$AU$45&gt;$AM899))
) / 1000</f>
        <v>0</v>
      </c>
      <c r="CZ899" s="229">
        <f t="shared" si="922"/>
        <v>0</v>
      </c>
      <c r="DA899" s="246"/>
    </row>
    <row r="900" spans="1:105" s="75" customFormat="1" ht="14.25" customHeight="1" x14ac:dyDescent="0.2">
      <c r="A900" s="230" t="b">
        <f t="shared" si="889"/>
        <v>0</v>
      </c>
      <c r="B900" s="253">
        <v>879</v>
      </c>
      <c r="C900" s="266"/>
      <c r="D900" s="266"/>
      <c r="E900" s="254"/>
      <c r="F900" s="255" t="str">
        <f>IF(ISBLANK(E900), "", VLOOKUP(E900, Z!$A$2:$C$4127, 3, FALSE))</f>
        <v/>
      </c>
      <c r="G900" s="256"/>
      <c r="H900" s="256"/>
      <c r="I900" s="256"/>
      <c r="J900" s="257"/>
      <c r="K900" s="258"/>
      <c r="L900" s="267"/>
      <c r="M900" s="268"/>
      <c r="N900" s="259" t="str" cm="1">
        <f t="array" ref="N900">IF($L900&gt;0, INDEX(Clean,1+AK900,$D$1), "")</f>
        <v/>
      </c>
      <c r="O900" s="260"/>
      <c r="P900" s="260"/>
      <c r="Q900" s="261"/>
      <c r="R900" s="264">
        <f t="shared" si="898"/>
        <v>0</v>
      </c>
      <c r="S900" s="259" t="str" cm="1">
        <f t="array" ref="S900">IF($L900&gt;0, INDEX(Clean,1+AL900,$D$1), "")</f>
        <v/>
      </c>
      <c r="T900" s="260"/>
      <c r="U900" s="260"/>
      <c r="V900" s="261"/>
      <c r="W900" s="267"/>
      <c r="X900" s="267"/>
      <c r="Y900" s="257"/>
      <c r="Z900" s="264">
        <f t="shared" si="899"/>
        <v>0</v>
      </c>
      <c r="AA900" s="269"/>
      <c r="AB900" s="266"/>
      <c r="AC900" s="254"/>
      <c r="AD900" s="255" t="str">
        <f>IF(ISBLANK(AC900), "", VLOOKUP(AC900, Z!$A$2:$C$4127, 3, FALSE))</f>
        <v/>
      </c>
      <c r="AE900" s="270"/>
      <c r="AF900" s="265">
        <f t="shared" si="900"/>
        <v>0</v>
      </c>
      <c r="AG900" s="246"/>
      <c r="AH900" s="228">
        <f t="shared" si="923"/>
        <v>1</v>
      </c>
      <c r="AI900" s="228">
        <f t="shared" si="924"/>
        <v>1</v>
      </c>
      <c r="AJ900" s="228">
        <f t="shared" si="925"/>
        <v>0</v>
      </c>
      <c r="AK900" s="228">
        <v>0</v>
      </c>
      <c r="AL900" s="228">
        <v>0</v>
      </c>
      <c r="AM900" s="228">
        <f t="shared" si="901"/>
        <v>-100</v>
      </c>
      <c r="AN900" s="228" cm="1">
        <f t="array" ref="AN900">IF(ISBLANK(G900), 1, IFERROR(MATCH(G900, INDEX(Kat,,1), 0), IFERROR(MATCH(Kat, INDEX(Use,,2), 0), MATCH(Kat, INDEX(Use,,3), 0))))</f>
        <v>1</v>
      </c>
      <c r="AO900" s="246"/>
      <c r="AP900" s="228" cm="1">
        <f t="array" ref="AP900">IF(W900&gt;0, INDEX(Kat, AN900,4), 0)</f>
        <v>0</v>
      </c>
      <c r="AQ900" s="228">
        <f t="shared" si="926"/>
        <v>0</v>
      </c>
      <c r="AR900" s="228" cm="1">
        <f t="array" ref="AR900">IF(X900&gt;0, INDEX(Kat, $AN900, 4+AQ900), 0)</f>
        <v>0</v>
      </c>
      <c r="AS900" s="228" cm="1">
        <f t="array" ref="AS900">IF(X900&gt;0, INDEX(Kat, $AN900, 9+AQ900), 0)</f>
        <v>0</v>
      </c>
      <c r="AT900" s="246"/>
      <c r="AU900" s="262"/>
      <c r="AV900" s="262"/>
      <c r="AW900" s="263"/>
      <c r="AX900" s="263"/>
      <c r="AY900" s="263"/>
      <c r="AZ900" s="263"/>
      <c r="BA900" s="263"/>
      <c r="BB900" s="263"/>
      <c r="BC900" s="263"/>
      <c r="BD900" s="263"/>
      <c r="BE900" s="263"/>
      <c r="BF900" s="263"/>
      <c r="BG900" s="263"/>
      <c r="BH900" s="246"/>
      <c r="BI900" s="228" cm="1">
        <f t="array" ref="BI900">INDEX(Use, $AH900, 4)</f>
        <v>7</v>
      </c>
      <c r="BJ900" s="228">
        <f t="shared" si="902"/>
        <v>32</v>
      </c>
      <c r="BK900" s="228">
        <f t="shared" si="890"/>
        <v>13</v>
      </c>
      <c r="BL900" s="228">
        <f t="shared" si="891"/>
        <v>0</v>
      </c>
      <c r="BM900" s="233" cm="1">
        <f t="array" ref="BM900">L900/IF($M900&gt;0, INDEX($AY$22:$BE$76, $M900+20, $AH900), 1)</f>
        <v>0</v>
      </c>
      <c r="BN900" s="229">
        <f t="shared" si="903"/>
        <v>0</v>
      </c>
      <c r="BO900" s="228">
        <v>35</v>
      </c>
      <c r="BP900" s="229">
        <f t="shared" si="904"/>
        <v>48</v>
      </c>
      <c r="BQ900" s="234">
        <f t="shared" si="905"/>
        <v>3.0748170731707316</v>
      </c>
      <c r="BR900" s="234" cm="1">
        <f t="array" ref="BR900">$BM900 * SUMPRODUCT(INDEX($AV$76:$AX$81,,$AI900),INDEX($AY$76:$BE$81,,$AH900), N($AU$76:$AU$81&gt;$AM900)) / BQ900 / 1000</f>
        <v>0</v>
      </c>
      <c r="BS900" s="231">
        <f t="shared" si="892"/>
        <v>30</v>
      </c>
      <c r="BT900" s="229">
        <f t="shared" si="906"/>
        <v>43</v>
      </c>
      <c r="BU900" s="234">
        <f t="shared" si="907"/>
        <v>3.5018750000000001</v>
      </c>
      <c r="BV900" s="234" cm="1">
        <f t="array" ref="BV900">$BM900 * IF($AH900&lt;=2,
SUMPRODUCT(INDEX($AV$71:$AX$75,,$AI900), INDEX($AY$71:$BE$75,,$AH900), 1 / ($BF$71:$BF$75*BU900 + (1-$BF$71:$BF$75)*BQ900), N($AU$71:$AU$75&gt;$AM900)),
SUMPRODUCT(INDEX($AV$66:$AX$75,,$AI900), INDEX($AY$66:$BE$75,,$AH900), 1 / ($BG$66:$BG$75*BU900 + (1-$BG$66:$BG$75)*BQ900), N($AU$66:$AU$75&gt;$AM900))
) / 1000</f>
        <v>0</v>
      </c>
      <c r="BW900" s="231">
        <f t="shared" si="893"/>
        <v>25</v>
      </c>
      <c r="BX900" s="229">
        <f t="shared" si="908"/>
        <v>38</v>
      </c>
      <c r="BY900" s="234">
        <f t="shared" si="909"/>
        <v>4.0666935483870965</v>
      </c>
      <c r="BZ900" s="234" cm="1">
        <f t="array" ref="BZ900">$BM900 * IF($AH900&lt;=2,
SUMPRODUCT(INDEX($AV$66:$AX$70,,$AI900), INDEX($AY$66:$BE$70,,$AH900), 1 / ($BF$66:$BF$70*BY900 + (1-$BF$66:$BF$70)*BU900), N($AU$66:$AU$70&gt;$AM900)),
SUMPRODUCT(INDEX($AV$56:$AX$65,,$AI900), INDEX($AY$56:$BE$65,,$AH900), 1 / ($BG$56:$BG$65*BY900 + (1-$BG$56:$BG$65)*BU900), N($AU$56:$AU$65&gt;$AM900))
) / 1000</f>
        <v>0</v>
      </c>
      <c r="CA900" s="231">
        <f t="shared" si="894"/>
        <v>20</v>
      </c>
      <c r="CB900" s="229">
        <f t="shared" si="910"/>
        <v>33</v>
      </c>
      <c r="CC900" s="234">
        <f t="shared" si="911"/>
        <v>4.8487499999999999</v>
      </c>
      <c r="CD900" s="234" cm="1">
        <f t="array" ref="CD900">$BM900 * IF($AH900&lt;=2,
SUMPRODUCT(INDEX($AV$61:$AX$65,,$AI900), INDEX($AY$61:$BE$65,,$AH900), 1 / ($BF$61:$BF$65*CC900 + (1-$BF$61:$BF$65)*BY900), N($AU$61:$AU$65&gt;$AM900)),
SUMPRODUCT(INDEX($AV$46:$AX$55,,$AI900), INDEX($AY$46:$BE$55,,$AH900), 1 / ($BG$46:$BG$55*CC900 + (1-$BG$46:$BG$55)*BY900), N($AU$46:$AU$55&gt;$AM900))
) / 1000</f>
        <v>0</v>
      </c>
      <c r="CE900" s="234" cm="1">
        <f t="array" ref="CE900">$BM900 * IF($AH900&lt;=2,
SUMPRODUCT(INDEX($AV$22:$AX$60,,$AI900), INDEX($AY$22:$BE$60,,$AH900), 1 / ($BF$22:$BF$60*CC900), N($AU$22:$AU$60&gt;$AM900)),
SUMPRODUCT(INDEX($AV$22:$AX$45,,$AI900), INDEX($AY$22:$BE$45,,$AH900), 1 / ($BG$22:$BG$45*CC900), N($AU$22:$AU$45&gt;$AM900))
) / 1000</f>
        <v>0</v>
      </c>
      <c r="CF900" s="229">
        <f t="shared" si="912"/>
        <v>0</v>
      </c>
      <c r="CG900" s="246"/>
      <c r="CH900" s="229">
        <f t="shared" si="913"/>
        <v>0</v>
      </c>
      <c r="CI900" s="228">
        <v>35</v>
      </c>
      <c r="CJ900" s="229">
        <f t="shared" si="914"/>
        <v>48</v>
      </c>
      <c r="CK900" s="234">
        <f t="shared" si="915"/>
        <v>3.0748170731707316</v>
      </c>
      <c r="CL900" s="234" cm="1">
        <f t="array" ref="CL900">$BM900 * SUMPRODUCT(INDEX($AV$76:$AX$81,,$AI900),INDEX($AY$76:$BE$81,,$AH900), N($AU$76:$AU$81&gt;$AM900)) / CK900 / 1000</f>
        <v>0</v>
      </c>
      <c r="CM900" s="231">
        <f t="shared" si="895"/>
        <v>30</v>
      </c>
      <c r="CN900" s="229">
        <f t="shared" si="916"/>
        <v>43</v>
      </c>
      <c r="CO900" s="234">
        <f t="shared" si="917"/>
        <v>3.5018750000000001</v>
      </c>
      <c r="CP900" s="234" cm="1">
        <f t="array" ref="CP900">$BM900 * IF($AH900&lt;=2,
SUMPRODUCT(INDEX($AV$71:$AX$75,,$AI900), INDEX($AY$71:$BE$75,,$AH900), 1 / ($BF$71:$BF$75*CO900 + (1-$BF$71:$BF$75)*CK900), N($AU$71:$AU$75&gt;$AM900)),
SUMPRODUCT(INDEX($AV$66:$AX$75,,$AI900), INDEX($AY$66:$BE$75,,$AH900), 1 / ($BG$66:$BG$75*CO900 + (1-$BG$66:$BG$75)*CK900), N($AU$66:$AU$75&gt;$AM900))
) / 1000</f>
        <v>0</v>
      </c>
      <c r="CQ900" s="231">
        <f t="shared" si="896"/>
        <v>25</v>
      </c>
      <c r="CR900" s="229">
        <f t="shared" si="918"/>
        <v>38</v>
      </c>
      <c r="CS900" s="234">
        <f t="shared" si="919"/>
        <v>4.0666935483870965</v>
      </c>
      <c r="CT900" s="234" cm="1">
        <f t="array" ref="CT900">$BM900 * IF($AH900&lt;=2,
SUMPRODUCT(INDEX($AV$66:$AX$70,,$AI900), INDEX($AY$66:$BE$70,,$AH900), 1 / ($BF$66:$BF$70*CS900 + (1-$BF$66:$BF$70)*CO900), N($AU$66:$AU$70&gt;$AM900)),
SUMPRODUCT(INDEX($AV$56:$AX$65,,$AI900), INDEX($AY$56:$BE$65,,$AH900), 1 / ($BG$56:$BG$65*CS900 + (1-$BG$56:$BG$65)*CO900), N($AU$56:$AU$65&gt;$AM900))
) / 1000</f>
        <v>0</v>
      </c>
      <c r="CU900" s="231">
        <f t="shared" si="897"/>
        <v>20</v>
      </c>
      <c r="CV900" s="229">
        <f t="shared" si="920"/>
        <v>33</v>
      </c>
      <c r="CW900" s="234">
        <f t="shared" si="921"/>
        <v>4.8487499999999999</v>
      </c>
      <c r="CX900" s="234" cm="1">
        <f t="array" ref="CX900">$BM900 * IF($AH900&lt;=2,
SUMPRODUCT(INDEX($AV$61:$AX$65,,$AI900), INDEX($AY$61:$BE$65,,$AH900), 1 / ($BF$61:$BF$65*CW900 + (1-$BF$61:$BF$65)*CS900), N($AU$61:$AU$65&gt;$AM900)),
SUMPRODUCT(INDEX($AV$46:$AX$55,,$AI900), INDEX($AY$46:$BE$55,,$AH900), 1 / ($BG$46:$BG$55*CW900 + (1-$BG$46:$BG$55)*CS900), N($AU$46:$AU$55&gt;$AM900))
) / 1000</f>
        <v>0</v>
      </c>
      <c r="CY900" s="234" cm="1">
        <f t="array" ref="CY900">$BM900 * IF($AH900&lt;=2,
SUMPRODUCT(INDEX($AV$22:$AX$60,,$AI900), INDEX($AY$22:$BE$60,,$AH900), 1 / ($BF$22:$BF$60*CW900), N($AU$22:$AU$60&gt;$AM900)),
SUMPRODUCT(INDEX($AV$22:$AX$45,,$AI900), INDEX($AY$22:$BE$45,,$AH900), 1 / ($BG$22:$BG$45*CW900), N($AU$22:$AU$45&gt;$AM900))
) / 1000</f>
        <v>0</v>
      </c>
      <c r="CZ900" s="229">
        <f t="shared" si="922"/>
        <v>0</v>
      </c>
      <c r="DA900" s="246"/>
    </row>
    <row r="901" spans="1:105" s="75" customFormat="1" ht="14.25" customHeight="1" x14ac:dyDescent="0.2">
      <c r="A901" s="230" t="b">
        <f t="shared" si="889"/>
        <v>0</v>
      </c>
      <c r="B901" s="253">
        <v>880</v>
      </c>
      <c r="C901" s="266"/>
      <c r="D901" s="266"/>
      <c r="E901" s="254"/>
      <c r="F901" s="255" t="str">
        <f>IF(ISBLANK(E901), "", VLOOKUP(E901, Z!$A$2:$C$4127, 3, FALSE))</f>
        <v/>
      </c>
      <c r="G901" s="256"/>
      <c r="H901" s="256"/>
      <c r="I901" s="256"/>
      <c r="J901" s="257"/>
      <c r="K901" s="258"/>
      <c r="L901" s="267"/>
      <c r="M901" s="268"/>
      <c r="N901" s="259" t="str" cm="1">
        <f t="array" ref="N901">IF($L901&gt;0, INDEX(Clean,1+AK901,$D$1), "")</f>
        <v/>
      </c>
      <c r="O901" s="260"/>
      <c r="P901" s="260"/>
      <c r="Q901" s="261"/>
      <c r="R901" s="264">
        <f t="shared" si="898"/>
        <v>0</v>
      </c>
      <c r="S901" s="259" t="str" cm="1">
        <f t="array" ref="S901">IF($L901&gt;0, INDEX(Clean,1+AL901,$D$1), "")</f>
        <v/>
      </c>
      <c r="T901" s="260"/>
      <c r="U901" s="260"/>
      <c r="V901" s="261"/>
      <c r="W901" s="267"/>
      <c r="X901" s="267"/>
      <c r="Y901" s="257"/>
      <c r="Z901" s="264">
        <f t="shared" si="899"/>
        <v>0</v>
      </c>
      <c r="AA901" s="269"/>
      <c r="AB901" s="266"/>
      <c r="AC901" s="254"/>
      <c r="AD901" s="255" t="str">
        <f>IF(ISBLANK(AC901), "", VLOOKUP(AC901, Z!$A$2:$C$4127, 3, FALSE))</f>
        <v/>
      </c>
      <c r="AE901" s="270"/>
      <c r="AF901" s="265">
        <f t="shared" si="900"/>
        <v>0</v>
      </c>
      <c r="AG901" s="246"/>
      <c r="AH901" s="228">
        <f t="shared" si="923"/>
        <v>1</v>
      </c>
      <c r="AI901" s="228">
        <f t="shared" si="924"/>
        <v>1</v>
      </c>
      <c r="AJ901" s="228">
        <f t="shared" si="925"/>
        <v>0</v>
      </c>
      <c r="AK901" s="228">
        <v>0</v>
      </c>
      <c r="AL901" s="228">
        <v>0</v>
      </c>
      <c r="AM901" s="228">
        <f t="shared" si="901"/>
        <v>-100</v>
      </c>
      <c r="AN901" s="228" cm="1">
        <f t="array" ref="AN901">IF(ISBLANK(G901), 1, IFERROR(MATCH(G901, INDEX(Kat,,1), 0), IFERROR(MATCH(Kat, INDEX(Use,,2), 0), MATCH(Kat, INDEX(Use,,3), 0))))</f>
        <v>1</v>
      </c>
      <c r="AO901" s="246"/>
      <c r="AP901" s="228" cm="1">
        <f t="array" ref="AP901">IF(W901&gt;0, INDEX(Kat, AN901,4), 0)</f>
        <v>0</v>
      </c>
      <c r="AQ901" s="228">
        <f t="shared" si="926"/>
        <v>0</v>
      </c>
      <c r="AR901" s="228" cm="1">
        <f t="array" ref="AR901">IF(X901&gt;0, INDEX(Kat, $AN901, 4+AQ901), 0)</f>
        <v>0</v>
      </c>
      <c r="AS901" s="228" cm="1">
        <f t="array" ref="AS901">IF(X901&gt;0, INDEX(Kat, $AN901, 9+AQ901), 0)</f>
        <v>0</v>
      </c>
      <c r="AT901" s="246"/>
      <c r="AU901" s="262"/>
      <c r="AV901" s="262"/>
      <c r="AW901" s="263"/>
      <c r="AX901" s="263"/>
      <c r="AY901" s="263"/>
      <c r="AZ901" s="263"/>
      <c r="BA901" s="263"/>
      <c r="BB901" s="263"/>
      <c r="BC901" s="263"/>
      <c r="BD901" s="263"/>
      <c r="BE901" s="263"/>
      <c r="BF901" s="263"/>
      <c r="BG901" s="263"/>
      <c r="BH901" s="246"/>
      <c r="BI901" s="228" cm="1">
        <f t="array" ref="BI901">INDEX(Use, $AH901, 4)</f>
        <v>7</v>
      </c>
      <c r="BJ901" s="228">
        <f t="shared" si="902"/>
        <v>32</v>
      </c>
      <c r="BK901" s="228">
        <f t="shared" si="890"/>
        <v>13</v>
      </c>
      <c r="BL901" s="228">
        <f t="shared" si="891"/>
        <v>0</v>
      </c>
      <c r="BM901" s="233" cm="1">
        <f t="array" ref="BM901">L901/IF($M901&gt;0, INDEX($AY$22:$BE$76, $M901+20, $AH901), 1)</f>
        <v>0</v>
      </c>
      <c r="BN901" s="229">
        <f t="shared" si="903"/>
        <v>0</v>
      </c>
      <c r="BO901" s="228">
        <v>35</v>
      </c>
      <c r="BP901" s="229">
        <f t="shared" si="904"/>
        <v>48</v>
      </c>
      <c r="BQ901" s="234">
        <f t="shared" si="905"/>
        <v>3.0748170731707316</v>
      </c>
      <c r="BR901" s="234" cm="1">
        <f t="array" ref="BR901">$BM901 * SUMPRODUCT(INDEX($AV$76:$AX$81,,$AI901),INDEX($AY$76:$BE$81,,$AH901), N($AU$76:$AU$81&gt;$AM901)) / BQ901 / 1000</f>
        <v>0</v>
      </c>
      <c r="BS901" s="231">
        <f t="shared" si="892"/>
        <v>30</v>
      </c>
      <c r="BT901" s="229">
        <f t="shared" si="906"/>
        <v>43</v>
      </c>
      <c r="BU901" s="234">
        <f t="shared" si="907"/>
        <v>3.5018750000000001</v>
      </c>
      <c r="BV901" s="234" cm="1">
        <f t="array" ref="BV901">$BM901 * IF($AH901&lt;=2,
SUMPRODUCT(INDEX($AV$71:$AX$75,,$AI901), INDEX($AY$71:$BE$75,,$AH901), 1 / ($BF$71:$BF$75*BU901 + (1-$BF$71:$BF$75)*BQ901), N($AU$71:$AU$75&gt;$AM901)),
SUMPRODUCT(INDEX($AV$66:$AX$75,,$AI901), INDEX($AY$66:$BE$75,,$AH901), 1 / ($BG$66:$BG$75*BU901 + (1-$BG$66:$BG$75)*BQ901), N($AU$66:$AU$75&gt;$AM901))
) / 1000</f>
        <v>0</v>
      </c>
      <c r="BW901" s="231">
        <f t="shared" si="893"/>
        <v>25</v>
      </c>
      <c r="BX901" s="229">
        <f t="shared" si="908"/>
        <v>38</v>
      </c>
      <c r="BY901" s="234">
        <f t="shared" si="909"/>
        <v>4.0666935483870965</v>
      </c>
      <c r="BZ901" s="234" cm="1">
        <f t="array" ref="BZ901">$BM901 * IF($AH901&lt;=2,
SUMPRODUCT(INDEX($AV$66:$AX$70,,$AI901), INDEX($AY$66:$BE$70,,$AH901), 1 / ($BF$66:$BF$70*BY901 + (1-$BF$66:$BF$70)*BU901), N($AU$66:$AU$70&gt;$AM901)),
SUMPRODUCT(INDEX($AV$56:$AX$65,,$AI901), INDEX($AY$56:$BE$65,,$AH901), 1 / ($BG$56:$BG$65*BY901 + (1-$BG$56:$BG$65)*BU901), N($AU$56:$AU$65&gt;$AM901))
) / 1000</f>
        <v>0</v>
      </c>
      <c r="CA901" s="231">
        <f t="shared" si="894"/>
        <v>20</v>
      </c>
      <c r="CB901" s="229">
        <f t="shared" si="910"/>
        <v>33</v>
      </c>
      <c r="CC901" s="234">
        <f t="shared" si="911"/>
        <v>4.8487499999999999</v>
      </c>
      <c r="CD901" s="234" cm="1">
        <f t="array" ref="CD901">$BM901 * IF($AH901&lt;=2,
SUMPRODUCT(INDEX($AV$61:$AX$65,,$AI901), INDEX($AY$61:$BE$65,,$AH901), 1 / ($BF$61:$BF$65*CC901 + (1-$BF$61:$BF$65)*BY901), N($AU$61:$AU$65&gt;$AM901)),
SUMPRODUCT(INDEX($AV$46:$AX$55,,$AI901), INDEX($AY$46:$BE$55,,$AH901), 1 / ($BG$46:$BG$55*CC901 + (1-$BG$46:$BG$55)*BY901), N($AU$46:$AU$55&gt;$AM901))
) / 1000</f>
        <v>0</v>
      </c>
      <c r="CE901" s="234" cm="1">
        <f t="array" ref="CE901">$BM901 * IF($AH901&lt;=2,
SUMPRODUCT(INDEX($AV$22:$AX$60,,$AI901), INDEX($AY$22:$BE$60,,$AH901), 1 / ($BF$22:$BF$60*CC901), N($AU$22:$AU$60&gt;$AM901)),
SUMPRODUCT(INDEX($AV$22:$AX$45,,$AI901), INDEX($AY$22:$BE$45,,$AH901), 1 / ($BG$22:$BG$45*CC901), N($AU$22:$AU$45&gt;$AM901))
) / 1000</f>
        <v>0</v>
      </c>
      <c r="CF901" s="229">
        <f t="shared" si="912"/>
        <v>0</v>
      </c>
      <c r="CG901" s="246"/>
      <c r="CH901" s="229">
        <f t="shared" si="913"/>
        <v>0</v>
      </c>
      <c r="CI901" s="228">
        <v>35</v>
      </c>
      <c r="CJ901" s="229">
        <f t="shared" si="914"/>
        <v>48</v>
      </c>
      <c r="CK901" s="234">
        <f t="shared" si="915"/>
        <v>3.0748170731707316</v>
      </c>
      <c r="CL901" s="234" cm="1">
        <f t="array" ref="CL901">$BM901 * SUMPRODUCT(INDEX($AV$76:$AX$81,,$AI901),INDEX($AY$76:$BE$81,,$AH901), N($AU$76:$AU$81&gt;$AM901)) / CK901 / 1000</f>
        <v>0</v>
      </c>
      <c r="CM901" s="231">
        <f t="shared" si="895"/>
        <v>30</v>
      </c>
      <c r="CN901" s="229">
        <f t="shared" si="916"/>
        <v>43</v>
      </c>
      <c r="CO901" s="234">
        <f t="shared" si="917"/>
        <v>3.5018750000000001</v>
      </c>
      <c r="CP901" s="234" cm="1">
        <f t="array" ref="CP901">$BM901 * IF($AH901&lt;=2,
SUMPRODUCT(INDEX($AV$71:$AX$75,,$AI901), INDEX($AY$71:$BE$75,,$AH901), 1 / ($BF$71:$BF$75*CO901 + (1-$BF$71:$BF$75)*CK901), N($AU$71:$AU$75&gt;$AM901)),
SUMPRODUCT(INDEX($AV$66:$AX$75,,$AI901), INDEX($AY$66:$BE$75,,$AH901), 1 / ($BG$66:$BG$75*CO901 + (1-$BG$66:$BG$75)*CK901), N($AU$66:$AU$75&gt;$AM901))
) / 1000</f>
        <v>0</v>
      </c>
      <c r="CQ901" s="231">
        <f t="shared" si="896"/>
        <v>25</v>
      </c>
      <c r="CR901" s="229">
        <f t="shared" si="918"/>
        <v>38</v>
      </c>
      <c r="CS901" s="234">
        <f t="shared" si="919"/>
        <v>4.0666935483870965</v>
      </c>
      <c r="CT901" s="234" cm="1">
        <f t="array" ref="CT901">$BM901 * IF($AH901&lt;=2,
SUMPRODUCT(INDEX($AV$66:$AX$70,,$AI901), INDEX($AY$66:$BE$70,,$AH901), 1 / ($BF$66:$BF$70*CS901 + (1-$BF$66:$BF$70)*CO901), N($AU$66:$AU$70&gt;$AM901)),
SUMPRODUCT(INDEX($AV$56:$AX$65,,$AI901), INDEX($AY$56:$BE$65,,$AH901), 1 / ($BG$56:$BG$65*CS901 + (1-$BG$56:$BG$65)*CO901), N($AU$56:$AU$65&gt;$AM901))
) / 1000</f>
        <v>0</v>
      </c>
      <c r="CU901" s="231">
        <f t="shared" si="897"/>
        <v>20</v>
      </c>
      <c r="CV901" s="229">
        <f t="shared" si="920"/>
        <v>33</v>
      </c>
      <c r="CW901" s="234">
        <f t="shared" si="921"/>
        <v>4.8487499999999999</v>
      </c>
      <c r="CX901" s="234" cm="1">
        <f t="array" ref="CX901">$BM901 * IF($AH901&lt;=2,
SUMPRODUCT(INDEX($AV$61:$AX$65,,$AI901), INDEX($AY$61:$BE$65,,$AH901), 1 / ($BF$61:$BF$65*CW901 + (1-$BF$61:$BF$65)*CS901), N($AU$61:$AU$65&gt;$AM901)),
SUMPRODUCT(INDEX($AV$46:$AX$55,,$AI901), INDEX($AY$46:$BE$55,,$AH901), 1 / ($BG$46:$BG$55*CW901 + (1-$BG$46:$BG$55)*CS901), N($AU$46:$AU$55&gt;$AM901))
) / 1000</f>
        <v>0</v>
      </c>
      <c r="CY901" s="234" cm="1">
        <f t="array" ref="CY901">$BM901 * IF($AH901&lt;=2,
SUMPRODUCT(INDEX($AV$22:$AX$60,,$AI901), INDEX($AY$22:$BE$60,,$AH901), 1 / ($BF$22:$BF$60*CW901), N($AU$22:$AU$60&gt;$AM901)),
SUMPRODUCT(INDEX($AV$22:$AX$45,,$AI901), INDEX($AY$22:$BE$45,,$AH901), 1 / ($BG$22:$BG$45*CW901), N($AU$22:$AU$45&gt;$AM901))
) / 1000</f>
        <v>0</v>
      </c>
      <c r="CZ901" s="229">
        <f t="shared" si="922"/>
        <v>0</v>
      </c>
      <c r="DA901" s="246"/>
    </row>
    <row r="902" spans="1:105" s="75" customFormat="1" ht="14.25" customHeight="1" x14ac:dyDescent="0.2">
      <c r="A902" s="230" t="b">
        <f t="shared" si="889"/>
        <v>0</v>
      </c>
      <c r="B902" s="253">
        <v>881</v>
      </c>
      <c r="C902" s="266"/>
      <c r="D902" s="266"/>
      <c r="E902" s="254"/>
      <c r="F902" s="255" t="str">
        <f>IF(ISBLANK(E902), "", VLOOKUP(E902, Z!$A$2:$C$4127, 3, FALSE))</f>
        <v/>
      </c>
      <c r="G902" s="256"/>
      <c r="H902" s="256"/>
      <c r="I902" s="256"/>
      <c r="J902" s="257"/>
      <c r="K902" s="258"/>
      <c r="L902" s="267"/>
      <c r="M902" s="268"/>
      <c r="N902" s="259" t="str" cm="1">
        <f t="array" ref="N902">IF($L902&gt;0, INDEX(Clean,1+AK902,$D$1), "")</f>
        <v/>
      </c>
      <c r="O902" s="260"/>
      <c r="P902" s="260"/>
      <c r="Q902" s="261"/>
      <c r="R902" s="264">
        <f t="shared" si="898"/>
        <v>0</v>
      </c>
      <c r="S902" s="259" t="str" cm="1">
        <f t="array" ref="S902">IF($L902&gt;0, INDEX(Clean,1+AL902,$D$1), "")</f>
        <v/>
      </c>
      <c r="T902" s="260"/>
      <c r="U902" s="260"/>
      <c r="V902" s="261"/>
      <c r="W902" s="267"/>
      <c r="X902" s="267"/>
      <c r="Y902" s="257"/>
      <c r="Z902" s="264">
        <f t="shared" si="899"/>
        <v>0</v>
      </c>
      <c r="AA902" s="269"/>
      <c r="AB902" s="266"/>
      <c r="AC902" s="254"/>
      <c r="AD902" s="255" t="str">
        <f>IF(ISBLANK(AC902), "", VLOOKUP(AC902, Z!$A$2:$C$4127, 3, FALSE))</f>
        <v/>
      </c>
      <c r="AE902" s="270"/>
      <c r="AF902" s="265">
        <f t="shared" si="900"/>
        <v>0</v>
      </c>
      <c r="AG902" s="246"/>
      <c r="AH902" s="228">
        <f t="shared" si="923"/>
        <v>1</v>
      </c>
      <c r="AI902" s="228">
        <f t="shared" si="924"/>
        <v>1</v>
      </c>
      <c r="AJ902" s="228">
        <f t="shared" si="925"/>
        <v>0</v>
      </c>
      <c r="AK902" s="228">
        <v>0</v>
      </c>
      <c r="AL902" s="228">
        <v>0</v>
      </c>
      <c r="AM902" s="228">
        <f t="shared" si="901"/>
        <v>-100</v>
      </c>
      <c r="AN902" s="228" cm="1">
        <f t="array" ref="AN902">IF(ISBLANK(G902), 1, IFERROR(MATCH(G902, INDEX(Kat,,1), 0), IFERROR(MATCH(Kat, INDEX(Use,,2), 0), MATCH(Kat, INDEX(Use,,3), 0))))</f>
        <v>1</v>
      </c>
      <c r="AO902" s="246"/>
      <c r="AP902" s="228" cm="1">
        <f t="array" ref="AP902">IF(W902&gt;0, INDEX(Kat, AN902,4), 0)</f>
        <v>0</v>
      </c>
      <c r="AQ902" s="228">
        <f t="shared" si="926"/>
        <v>0</v>
      </c>
      <c r="AR902" s="228" cm="1">
        <f t="array" ref="AR902">IF(X902&gt;0, INDEX(Kat, $AN902, 4+AQ902), 0)</f>
        <v>0</v>
      </c>
      <c r="AS902" s="228" cm="1">
        <f t="array" ref="AS902">IF(X902&gt;0, INDEX(Kat, $AN902, 9+AQ902), 0)</f>
        <v>0</v>
      </c>
      <c r="AT902" s="246"/>
      <c r="AU902" s="262"/>
      <c r="AV902" s="262"/>
      <c r="AW902" s="263"/>
      <c r="AX902" s="263"/>
      <c r="AY902" s="263"/>
      <c r="AZ902" s="263"/>
      <c r="BA902" s="263"/>
      <c r="BB902" s="263"/>
      <c r="BC902" s="263"/>
      <c r="BD902" s="263"/>
      <c r="BE902" s="263"/>
      <c r="BF902" s="263"/>
      <c r="BG902" s="263"/>
      <c r="BH902" s="246"/>
      <c r="BI902" s="228" cm="1">
        <f t="array" ref="BI902">INDEX(Use, $AH902, 4)</f>
        <v>7</v>
      </c>
      <c r="BJ902" s="228">
        <f t="shared" si="902"/>
        <v>32</v>
      </c>
      <c r="BK902" s="228">
        <f t="shared" si="890"/>
        <v>13</v>
      </c>
      <c r="BL902" s="228">
        <f t="shared" si="891"/>
        <v>0</v>
      </c>
      <c r="BM902" s="233" cm="1">
        <f t="array" ref="BM902">L902/IF($M902&gt;0, INDEX($AY$22:$BE$76, $M902+20, $AH902), 1)</f>
        <v>0</v>
      </c>
      <c r="BN902" s="229">
        <f t="shared" si="903"/>
        <v>0</v>
      </c>
      <c r="BO902" s="228">
        <v>35</v>
      </c>
      <c r="BP902" s="229">
        <f t="shared" si="904"/>
        <v>48</v>
      </c>
      <c r="BQ902" s="234">
        <f t="shared" si="905"/>
        <v>3.0748170731707316</v>
      </c>
      <c r="BR902" s="234" cm="1">
        <f t="array" ref="BR902">$BM902 * SUMPRODUCT(INDEX($AV$76:$AX$81,,$AI902),INDEX($AY$76:$BE$81,,$AH902), N($AU$76:$AU$81&gt;$AM902)) / BQ902 / 1000</f>
        <v>0</v>
      </c>
      <c r="BS902" s="231">
        <f t="shared" si="892"/>
        <v>30</v>
      </c>
      <c r="BT902" s="229">
        <f t="shared" si="906"/>
        <v>43</v>
      </c>
      <c r="BU902" s="234">
        <f t="shared" si="907"/>
        <v>3.5018750000000001</v>
      </c>
      <c r="BV902" s="234" cm="1">
        <f t="array" ref="BV902">$BM902 * IF($AH902&lt;=2,
SUMPRODUCT(INDEX($AV$71:$AX$75,,$AI902), INDEX($AY$71:$BE$75,,$AH902), 1 / ($BF$71:$BF$75*BU902 + (1-$BF$71:$BF$75)*BQ902), N($AU$71:$AU$75&gt;$AM902)),
SUMPRODUCT(INDEX($AV$66:$AX$75,,$AI902), INDEX($AY$66:$BE$75,,$AH902), 1 / ($BG$66:$BG$75*BU902 + (1-$BG$66:$BG$75)*BQ902), N($AU$66:$AU$75&gt;$AM902))
) / 1000</f>
        <v>0</v>
      </c>
      <c r="BW902" s="231">
        <f t="shared" si="893"/>
        <v>25</v>
      </c>
      <c r="BX902" s="229">
        <f t="shared" si="908"/>
        <v>38</v>
      </c>
      <c r="BY902" s="234">
        <f t="shared" si="909"/>
        <v>4.0666935483870965</v>
      </c>
      <c r="BZ902" s="234" cm="1">
        <f t="array" ref="BZ902">$BM902 * IF($AH902&lt;=2,
SUMPRODUCT(INDEX($AV$66:$AX$70,,$AI902), INDEX($AY$66:$BE$70,,$AH902), 1 / ($BF$66:$BF$70*BY902 + (1-$BF$66:$BF$70)*BU902), N($AU$66:$AU$70&gt;$AM902)),
SUMPRODUCT(INDEX($AV$56:$AX$65,,$AI902), INDEX($AY$56:$BE$65,,$AH902), 1 / ($BG$56:$BG$65*BY902 + (1-$BG$56:$BG$65)*BU902), N($AU$56:$AU$65&gt;$AM902))
) / 1000</f>
        <v>0</v>
      </c>
      <c r="CA902" s="231">
        <f t="shared" si="894"/>
        <v>20</v>
      </c>
      <c r="CB902" s="229">
        <f t="shared" si="910"/>
        <v>33</v>
      </c>
      <c r="CC902" s="234">
        <f t="shared" si="911"/>
        <v>4.8487499999999999</v>
      </c>
      <c r="CD902" s="234" cm="1">
        <f t="array" ref="CD902">$BM902 * IF($AH902&lt;=2,
SUMPRODUCT(INDEX($AV$61:$AX$65,,$AI902), INDEX($AY$61:$BE$65,,$AH902), 1 / ($BF$61:$BF$65*CC902 + (1-$BF$61:$BF$65)*BY902), N($AU$61:$AU$65&gt;$AM902)),
SUMPRODUCT(INDEX($AV$46:$AX$55,,$AI902), INDEX($AY$46:$BE$55,,$AH902), 1 / ($BG$46:$BG$55*CC902 + (1-$BG$46:$BG$55)*BY902), N($AU$46:$AU$55&gt;$AM902))
) / 1000</f>
        <v>0</v>
      </c>
      <c r="CE902" s="234" cm="1">
        <f t="array" ref="CE902">$BM902 * IF($AH902&lt;=2,
SUMPRODUCT(INDEX($AV$22:$AX$60,,$AI902), INDEX($AY$22:$BE$60,,$AH902), 1 / ($BF$22:$BF$60*CC902), N($AU$22:$AU$60&gt;$AM902)),
SUMPRODUCT(INDEX($AV$22:$AX$45,,$AI902), INDEX($AY$22:$BE$45,,$AH902), 1 / ($BG$22:$BG$45*CC902), N($AU$22:$AU$45&gt;$AM902))
) / 1000</f>
        <v>0</v>
      </c>
      <c r="CF902" s="229">
        <f t="shared" si="912"/>
        <v>0</v>
      </c>
      <c r="CG902" s="246"/>
      <c r="CH902" s="229">
        <f t="shared" si="913"/>
        <v>0</v>
      </c>
      <c r="CI902" s="228">
        <v>35</v>
      </c>
      <c r="CJ902" s="229">
        <f t="shared" si="914"/>
        <v>48</v>
      </c>
      <c r="CK902" s="234">
        <f t="shared" si="915"/>
        <v>3.0748170731707316</v>
      </c>
      <c r="CL902" s="234" cm="1">
        <f t="array" ref="CL902">$BM902 * SUMPRODUCT(INDEX($AV$76:$AX$81,,$AI902),INDEX($AY$76:$BE$81,,$AH902), N($AU$76:$AU$81&gt;$AM902)) / CK902 / 1000</f>
        <v>0</v>
      </c>
      <c r="CM902" s="231">
        <f t="shared" si="895"/>
        <v>30</v>
      </c>
      <c r="CN902" s="229">
        <f t="shared" si="916"/>
        <v>43</v>
      </c>
      <c r="CO902" s="234">
        <f t="shared" si="917"/>
        <v>3.5018750000000001</v>
      </c>
      <c r="CP902" s="234" cm="1">
        <f t="array" ref="CP902">$BM902 * IF($AH902&lt;=2,
SUMPRODUCT(INDEX($AV$71:$AX$75,,$AI902), INDEX($AY$71:$BE$75,,$AH902), 1 / ($BF$71:$BF$75*CO902 + (1-$BF$71:$BF$75)*CK902), N($AU$71:$AU$75&gt;$AM902)),
SUMPRODUCT(INDEX($AV$66:$AX$75,,$AI902), INDEX($AY$66:$BE$75,,$AH902), 1 / ($BG$66:$BG$75*CO902 + (1-$BG$66:$BG$75)*CK902), N($AU$66:$AU$75&gt;$AM902))
) / 1000</f>
        <v>0</v>
      </c>
      <c r="CQ902" s="231">
        <f t="shared" si="896"/>
        <v>25</v>
      </c>
      <c r="CR902" s="229">
        <f t="shared" si="918"/>
        <v>38</v>
      </c>
      <c r="CS902" s="234">
        <f t="shared" si="919"/>
        <v>4.0666935483870965</v>
      </c>
      <c r="CT902" s="234" cm="1">
        <f t="array" ref="CT902">$BM902 * IF($AH902&lt;=2,
SUMPRODUCT(INDEX($AV$66:$AX$70,,$AI902), INDEX($AY$66:$BE$70,,$AH902), 1 / ($BF$66:$BF$70*CS902 + (1-$BF$66:$BF$70)*CO902), N($AU$66:$AU$70&gt;$AM902)),
SUMPRODUCT(INDEX($AV$56:$AX$65,,$AI902), INDEX($AY$56:$BE$65,,$AH902), 1 / ($BG$56:$BG$65*CS902 + (1-$BG$56:$BG$65)*CO902), N($AU$56:$AU$65&gt;$AM902))
) / 1000</f>
        <v>0</v>
      </c>
      <c r="CU902" s="231">
        <f t="shared" si="897"/>
        <v>20</v>
      </c>
      <c r="CV902" s="229">
        <f t="shared" si="920"/>
        <v>33</v>
      </c>
      <c r="CW902" s="234">
        <f t="shared" si="921"/>
        <v>4.8487499999999999</v>
      </c>
      <c r="CX902" s="234" cm="1">
        <f t="array" ref="CX902">$BM902 * IF($AH902&lt;=2,
SUMPRODUCT(INDEX($AV$61:$AX$65,,$AI902), INDEX($AY$61:$BE$65,,$AH902), 1 / ($BF$61:$BF$65*CW902 + (1-$BF$61:$BF$65)*CS902), N($AU$61:$AU$65&gt;$AM902)),
SUMPRODUCT(INDEX($AV$46:$AX$55,,$AI902), INDEX($AY$46:$BE$55,,$AH902), 1 / ($BG$46:$BG$55*CW902 + (1-$BG$46:$BG$55)*CS902), N($AU$46:$AU$55&gt;$AM902))
) / 1000</f>
        <v>0</v>
      </c>
      <c r="CY902" s="234" cm="1">
        <f t="array" ref="CY902">$BM902 * IF($AH902&lt;=2,
SUMPRODUCT(INDEX($AV$22:$AX$60,,$AI902), INDEX($AY$22:$BE$60,,$AH902), 1 / ($BF$22:$BF$60*CW902), N($AU$22:$AU$60&gt;$AM902)),
SUMPRODUCT(INDEX($AV$22:$AX$45,,$AI902), INDEX($AY$22:$BE$45,,$AH902), 1 / ($BG$22:$BG$45*CW902), N($AU$22:$AU$45&gt;$AM902))
) / 1000</f>
        <v>0</v>
      </c>
      <c r="CZ902" s="229">
        <f t="shared" si="922"/>
        <v>0</v>
      </c>
      <c r="DA902" s="246"/>
    </row>
    <row r="903" spans="1:105" s="75" customFormat="1" ht="14.25" customHeight="1" x14ac:dyDescent="0.2">
      <c r="A903" s="230" t="b">
        <f t="shared" si="889"/>
        <v>0</v>
      </c>
      <c r="B903" s="253">
        <v>882</v>
      </c>
      <c r="C903" s="266"/>
      <c r="D903" s="266"/>
      <c r="E903" s="254"/>
      <c r="F903" s="255" t="str">
        <f>IF(ISBLANK(E903), "", VLOOKUP(E903, Z!$A$2:$C$4127, 3, FALSE))</f>
        <v/>
      </c>
      <c r="G903" s="256"/>
      <c r="H903" s="256"/>
      <c r="I903" s="256"/>
      <c r="J903" s="257"/>
      <c r="K903" s="258"/>
      <c r="L903" s="267"/>
      <c r="M903" s="268"/>
      <c r="N903" s="259" t="str" cm="1">
        <f t="array" ref="N903">IF($L903&gt;0, INDEX(Clean,1+AK903,$D$1), "")</f>
        <v/>
      </c>
      <c r="O903" s="260"/>
      <c r="P903" s="260"/>
      <c r="Q903" s="261"/>
      <c r="R903" s="264">
        <f t="shared" si="898"/>
        <v>0</v>
      </c>
      <c r="S903" s="259" t="str" cm="1">
        <f t="array" ref="S903">IF($L903&gt;0, INDEX(Clean,1+AL903,$D$1), "")</f>
        <v/>
      </c>
      <c r="T903" s="260"/>
      <c r="U903" s="260"/>
      <c r="V903" s="261"/>
      <c r="W903" s="267"/>
      <c r="X903" s="267"/>
      <c r="Y903" s="257"/>
      <c r="Z903" s="264">
        <f t="shared" si="899"/>
        <v>0</v>
      </c>
      <c r="AA903" s="269"/>
      <c r="AB903" s="266"/>
      <c r="AC903" s="254"/>
      <c r="AD903" s="255" t="str">
        <f>IF(ISBLANK(AC903), "", VLOOKUP(AC903, Z!$A$2:$C$4127, 3, FALSE))</f>
        <v/>
      </c>
      <c r="AE903" s="270"/>
      <c r="AF903" s="265">
        <f t="shared" si="900"/>
        <v>0</v>
      </c>
      <c r="AG903" s="246"/>
      <c r="AH903" s="228">
        <f t="shared" si="923"/>
        <v>1</v>
      </c>
      <c r="AI903" s="228">
        <f t="shared" si="924"/>
        <v>1</v>
      </c>
      <c r="AJ903" s="228">
        <f t="shared" si="925"/>
        <v>0</v>
      </c>
      <c r="AK903" s="228">
        <v>0</v>
      </c>
      <c r="AL903" s="228">
        <v>0</v>
      </c>
      <c r="AM903" s="228">
        <f t="shared" si="901"/>
        <v>-100</v>
      </c>
      <c r="AN903" s="228" cm="1">
        <f t="array" ref="AN903">IF(ISBLANK(G903), 1, IFERROR(MATCH(G903, INDEX(Kat,,1), 0), IFERROR(MATCH(Kat, INDEX(Use,,2), 0), MATCH(Kat, INDEX(Use,,3), 0))))</f>
        <v>1</v>
      </c>
      <c r="AO903" s="246"/>
      <c r="AP903" s="228" cm="1">
        <f t="array" ref="AP903">IF(W903&gt;0, INDEX(Kat, AN903,4), 0)</f>
        <v>0</v>
      </c>
      <c r="AQ903" s="228">
        <f t="shared" si="926"/>
        <v>0</v>
      </c>
      <c r="AR903" s="228" cm="1">
        <f t="array" ref="AR903">IF(X903&gt;0, INDEX(Kat, $AN903, 4+AQ903), 0)</f>
        <v>0</v>
      </c>
      <c r="AS903" s="228" cm="1">
        <f t="array" ref="AS903">IF(X903&gt;0, INDEX(Kat, $AN903, 9+AQ903), 0)</f>
        <v>0</v>
      </c>
      <c r="AT903" s="246"/>
      <c r="AU903" s="262"/>
      <c r="AV903" s="262"/>
      <c r="AW903" s="263"/>
      <c r="AX903" s="263"/>
      <c r="AY903" s="263"/>
      <c r="AZ903" s="263"/>
      <c r="BA903" s="263"/>
      <c r="BB903" s="263"/>
      <c r="BC903" s="263"/>
      <c r="BD903" s="263"/>
      <c r="BE903" s="263"/>
      <c r="BF903" s="263"/>
      <c r="BG903" s="263"/>
      <c r="BH903" s="246"/>
      <c r="BI903" s="228" cm="1">
        <f t="array" ref="BI903">INDEX(Use, $AH903, 4)</f>
        <v>7</v>
      </c>
      <c r="BJ903" s="228">
        <f t="shared" si="902"/>
        <v>32</v>
      </c>
      <c r="BK903" s="228">
        <f t="shared" si="890"/>
        <v>13</v>
      </c>
      <c r="BL903" s="228">
        <f t="shared" si="891"/>
        <v>0</v>
      </c>
      <c r="BM903" s="233" cm="1">
        <f t="array" ref="BM903">L903/IF($M903&gt;0, INDEX($AY$22:$BE$76, $M903+20, $AH903), 1)</f>
        <v>0</v>
      </c>
      <c r="BN903" s="229">
        <f t="shared" si="903"/>
        <v>0</v>
      </c>
      <c r="BO903" s="228">
        <v>35</v>
      </c>
      <c r="BP903" s="229">
        <f t="shared" si="904"/>
        <v>48</v>
      </c>
      <c r="BQ903" s="234">
        <f t="shared" si="905"/>
        <v>3.0748170731707316</v>
      </c>
      <c r="BR903" s="234" cm="1">
        <f t="array" ref="BR903">$BM903 * SUMPRODUCT(INDEX($AV$76:$AX$81,,$AI903),INDEX($AY$76:$BE$81,,$AH903), N($AU$76:$AU$81&gt;$AM903)) / BQ903 / 1000</f>
        <v>0</v>
      </c>
      <c r="BS903" s="231">
        <f t="shared" si="892"/>
        <v>30</v>
      </c>
      <c r="BT903" s="229">
        <f t="shared" si="906"/>
        <v>43</v>
      </c>
      <c r="BU903" s="234">
        <f t="shared" si="907"/>
        <v>3.5018750000000001</v>
      </c>
      <c r="BV903" s="234" cm="1">
        <f t="array" ref="BV903">$BM903 * IF($AH903&lt;=2,
SUMPRODUCT(INDEX($AV$71:$AX$75,,$AI903), INDEX($AY$71:$BE$75,,$AH903), 1 / ($BF$71:$BF$75*BU903 + (1-$BF$71:$BF$75)*BQ903), N($AU$71:$AU$75&gt;$AM903)),
SUMPRODUCT(INDEX($AV$66:$AX$75,,$AI903), INDEX($AY$66:$BE$75,,$AH903), 1 / ($BG$66:$BG$75*BU903 + (1-$BG$66:$BG$75)*BQ903), N($AU$66:$AU$75&gt;$AM903))
) / 1000</f>
        <v>0</v>
      </c>
      <c r="BW903" s="231">
        <f t="shared" si="893"/>
        <v>25</v>
      </c>
      <c r="BX903" s="229">
        <f t="shared" si="908"/>
        <v>38</v>
      </c>
      <c r="BY903" s="234">
        <f t="shared" si="909"/>
        <v>4.0666935483870965</v>
      </c>
      <c r="BZ903" s="234" cm="1">
        <f t="array" ref="BZ903">$BM903 * IF($AH903&lt;=2,
SUMPRODUCT(INDEX($AV$66:$AX$70,,$AI903), INDEX($AY$66:$BE$70,,$AH903), 1 / ($BF$66:$BF$70*BY903 + (1-$BF$66:$BF$70)*BU903), N($AU$66:$AU$70&gt;$AM903)),
SUMPRODUCT(INDEX($AV$56:$AX$65,,$AI903), INDEX($AY$56:$BE$65,,$AH903), 1 / ($BG$56:$BG$65*BY903 + (1-$BG$56:$BG$65)*BU903), N($AU$56:$AU$65&gt;$AM903))
) / 1000</f>
        <v>0</v>
      </c>
      <c r="CA903" s="231">
        <f t="shared" si="894"/>
        <v>20</v>
      </c>
      <c r="CB903" s="229">
        <f t="shared" si="910"/>
        <v>33</v>
      </c>
      <c r="CC903" s="234">
        <f t="shared" si="911"/>
        <v>4.8487499999999999</v>
      </c>
      <c r="CD903" s="234" cm="1">
        <f t="array" ref="CD903">$BM903 * IF($AH903&lt;=2,
SUMPRODUCT(INDEX($AV$61:$AX$65,,$AI903), INDEX($AY$61:$BE$65,,$AH903), 1 / ($BF$61:$BF$65*CC903 + (1-$BF$61:$BF$65)*BY903), N($AU$61:$AU$65&gt;$AM903)),
SUMPRODUCT(INDEX($AV$46:$AX$55,,$AI903), INDEX($AY$46:$BE$55,,$AH903), 1 / ($BG$46:$BG$55*CC903 + (1-$BG$46:$BG$55)*BY903), N($AU$46:$AU$55&gt;$AM903))
) / 1000</f>
        <v>0</v>
      </c>
      <c r="CE903" s="234" cm="1">
        <f t="array" ref="CE903">$BM903 * IF($AH903&lt;=2,
SUMPRODUCT(INDEX($AV$22:$AX$60,,$AI903), INDEX($AY$22:$BE$60,,$AH903), 1 / ($BF$22:$BF$60*CC903), N($AU$22:$AU$60&gt;$AM903)),
SUMPRODUCT(INDEX($AV$22:$AX$45,,$AI903), INDEX($AY$22:$BE$45,,$AH903), 1 / ($BG$22:$BG$45*CC903), N($AU$22:$AU$45&gt;$AM903))
) / 1000</f>
        <v>0</v>
      </c>
      <c r="CF903" s="229">
        <f t="shared" si="912"/>
        <v>0</v>
      </c>
      <c r="CG903" s="246"/>
      <c r="CH903" s="229">
        <f t="shared" si="913"/>
        <v>0</v>
      </c>
      <c r="CI903" s="228">
        <v>35</v>
      </c>
      <c r="CJ903" s="229">
        <f t="shared" si="914"/>
        <v>48</v>
      </c>
      <c r="CK903" s="234">
        <f t="shared" si="915"/>
        <v>3.0748170731707316</v>
      </c>
      <c r="CL903" s="234" cm="1">
        <f t="array" ref="CL903">$BM903 * SUMPRODUCT(INDEX($AV$76:$AX$81,,$AI903),INDEX($AY$76:$BE$81,,$AH903), N($AU$76:$AU$81&gt;$AM903)) / CK903 / 1000</f>
        <v>0</v>
      </c>
      <c r="CM903" s="231">
        <f t="shared" si="895"/>
        <v>30</v>
      </c>
      <c r="CN903" s="229">
        <f t="shared" si="916"/>
        <v>43</v>
      </c>
      <c r="CO903" s="234">
        <f t="shared" si="917"/>
        <v>3.5018750000000001</v>
      </c>
      <c r="CP903" s="234" cm="1">
        <f t="array" ref="CP903">$BM903 * IF($AH903&lt;=2,
SUMPRODUCT(INDEX($AV$71:$AX$75,,$AI903), INDEX($AY$71:$BE$75,,$AH903), 1 / ($BF$71:$BF$75*CO903 + (1-$BF$71:$BF$75)*CK903), N($AU$71:$AU$75&gt;$AM903)),
SUMPRODUCT(INDEX($AV$66:$AX$75,,$AI903), INDEX($AY$66:$BE$75,,$AH903), 1 / ($BG$66:$BG$75*CO903 + (1-$BG$66:$BG$75)*CK903), N($AU$66:$AU$75&gt;$AM903))
) / 1000</f>
        <v>0</v>
      </c>
      <c r="CQ903" s="231">
        <f t="shared" si="896"/>
        <v>25</v>
      </c>
      <c r="CR903" s="229">
        <f t="shared" si="918"/>
        <v>38</v>
      </c>
      <c r="CS903" s="234">
        <f t="shared" si="919"/>
        <v>4.0666935483870965</v>
      </c>
      <c r="CT903" s="234" cm="1">
        <f t="array" ref="CT903">$BM903 * IF($AH903&lt;=2,
SUMPRODUCT(INDEX($AV$66:$AX$70,,$AI903), INDEX($AY$66:$BE$70,,$AH903), 1 / ($BF$66:$BF$70*CS903 + (1-$BF$66:$BF$70)*CO903), N($AU$66:$AU$70&gt;$AM903)),
SUMPRODUCT(INDEX($AV$56:$AX$65,,$AI903), INDEX($AY$56:$BE$65,,$AH903), 1 / ($BG$56:$BG$65*CS903 + (1-$BG$56:$BG$65)*CO903), N($AU$56:$AU$65&gt;$AM903))
) / 1000</f>
        <v>0</v>
      </c>
      <c r="CU903" s="231">
        <f t="shared" si="897"/>
        <v>20</v>
      </c>
      <c r="CV903" s="229">
        <f t="shared" si="920"/>
        <v>33</v>
      </c>
      <c r="CW903" s="234">
        <f t="shared" si="921"/>
        <v>4.8487499999999999</v>
      </c>
      <c r="CX903" s="234" cm="1">
        <f t="array" ref="CX903">$BM903 * IF($AH903&lt;=2,
SUMPRODUCT(INDEX($AV$61:$AX$65,,$AI903), INDEX($AY$61:$BE$65,,$AH903), 1 / ($BF$61:$BF$65*CW903 + (1-$BF$61:$BF$65)*CS903), N($AU$61:$AU$65&gt;$AM903)),
SUMPRODUCT(INDEX($AV$46:$AX$55,,$AI903), INDEX($AY$46:$BE$55,,$AH903), 1 / ($BG$46:$BG$55*CW903 + (1-$BG$46:$BG$55)*CS903), N($AU$46:$AU$55&gt;$AM903))
) / 1000</f>
        <v>0</v>
      </c>
      <c r="CY903" s="234" cm="1">
        <f t="array" ref="CY903">$BM903 * IF($AH903&lt;=2,
SUMPRODUCT(INDEX($AV$22:$AX$60,,$AI903), INDEX($AY$22:$BE$60,,$AH903), 1 / ($BF$22:$BF$60*CW903), N($AU$22:$AU$60&gt;$AM903)),
SUMPRODUCT(INDEX($AV$22:$AX$45,,$AI903), INDEX($AY$22:$BE$45,,$AH903), 1 / ($BG$22:$BG$45*CW903), N($AU$22:$AU$45&gt;$AM903))
) / 1000</f>
        <v>0</v>
      </c>
      <c r="CZ903" s="229">
        <f t="shared" si="922"/>
        <v>0</v>
      </c>
      <c r="DA903" s="246"/>
    </row>
    <row r="904" spans="1:105" s="75" customFormat="1" ht="14.25" customHeight="1" x14ac:dyDescent="0.2">
      <c r="A904" s="230" t="b">
        <f t="shared" si="889"/>
        <v>0</v>
      </c>
      <c r="B904" s="253">
        <v>883</v>
      </c>
      <c r="C904" s="266"/>
      <c r="D904" s="266"/>
      <c r="E904" s="254"/>
      <c r="F904" s="255" t="str">
        <f>IF(ISBLANK(E904), "", VLOOKUP(E904, Z!$A$2:$C$4127, 3, FALSE))</f>
        <v/>
      </c>
      <c r="G904" s="256"/>
      <c r="H904" s="256"/>
      <c r="I904" s="256"/>
      <c r="J904" s="257"/>
      <c r="K904" s="258"/>
      <c r="L904" s="267"/>
      <c r="M904" s="268"/>
      <c r="N904" s="259" t="str" cm="1">
        <f t="array" ref="N904">IF($L904&gt;0, INDEX(Clean,1+AK904,$D$1), "")</f>
        <v/>
      </c>
      <c r="O904" s="260"/>
      <c r="P904" s="260"/>
      <c r="Q904" s="261"/>
      <c r="R904" s="264">
        <f t="shared" si="898"/>
        <v>0</v>
      </c>
      <c r="S904" s="259" t="str" cm="1">
        <f t="array" ref="S904">IF($L904&gt;0, INDEX(Clean,1+AL904,$D$1), "")</f>
        <v/>
      </c>
      <c r="T904" s="260"/>
      <c r="U904" s="260"/>
      <c r="V904" s="261"/>
      <c r="W904" s="267"/>
      <c r="X904" s="267"/>
      <c r="Y904" s="257"/>
      <c r="Z904" s="264">
        <f t="shared" si="899"/>
        <v>0</v>
      </c>
      <c r="AA904" s="269"/>
      <c r="AB904" s="266"/>
      <c r="AC904" s="254"/>
      <c r="AD904" s="255" t="str">
        <f>IF(ISBLANK(AC904), "", VLOOKUP(AC904, Z!$A$2:$C$4127, 3, FALSE))</f>
        <v/>
      </c>
      <c r="AE904" s="270"/>
      <c r="AF904" s="265">
        <f t="shared" si="900"/>
        <v>0</v>
      </c>
      <c r="AG904" s="246"/>
      <c r="AH904" s="228">
        <f t="shared" si="923"/>
        <v>1</v>
      </c>
      <c r="AI904" s="228">
        <f t="shared" si="924"/>
        <v>1</v>
      </c>
      <c r="AJ904" s="228">
        <f t="shared" si="925"/>
        <v>0</v>
      </c>
      <c r="AK904" s="228">
        <v>0</v>
      </c>
      <c r="AL904" s="228">
        <v>0</v>
      </c>
      <c r="AM904" s="228">
        <f t="shared" si="901"/>
        <v>-100</v>
      </c>
      <c r="AN904" s="228" cm="1">
        <f t="array" ref="AN904">IF(ISBLANK(G904), 1, IFERROR(MATCH(G904, INDEX(Kat,,1), 0), IFERROR(MATCH(Kat, INDEX(Use,,2), 0), MATCH(Kat, INDEX(Use,,3), 0))))</f>
        <v>1</v>
      </c>
      <c r="AO904" s="246"/>
      <c r="AP904" s="228" cm="1">
        <f t="array" ref="AP904">IF(W904&gt;0, INDEX(Kat, AN904,4), 0)</f>
        <v>0</v>
      </c>
      <c r="AQ904" s="228">
        <f t="shared" si="926"/>
        <v>0</v>
      </c>
      <c r="AR904" s="228" cm="1">
        <f t="array" ref="AR904">IF(X904&gt;0, INDEX(Kat, $AN904, 4+AQ904), 0)</f>
        <v>0</v>
      </c>
      <c r="AS904" s="228" cm="1">
        <f t="array" ref="AS904">IF(X904&gt;0, INDEX(Kat, $AN904, 9+AQ904), 0)</f>
        <v>0</v>
      </c>
      <c r="AT904" s="246"/>
      <c r="AU904" s="262"/>
      <c r="AV904" s="262"/>
      <c r="AW904" s="263"/>
      <c r="AX904" s="263"/>
      <c r="AY904" s="263"/>
      <c r="AZ904" s="263"/>
      <c r="BA904" s="263"/>
      <c r="BB904" s="263"/>
      <c r="BC904" s="263"/>
      <c r="BD904" s="263"/>
      <c r="BE904" s="263"/>
      <c r="BF904" s="263"/>
      <c r="BG904" s="263"/>
      <c r="BH904" s="246"/>
      <c r="BI904" s="228" cm="1">
        <f t="array" ref="BI904">INDEX(Use, $AH904, 4)</f>
        <v>7</v>
      </c>
      <c r="BJ904" s="228">
        <f t="shared" si="902"/>
        <v>32</v>
      </c>
      <c r="BK904" s="228">
        <f t="shared" si="890"/>
        <v>13</v>
      </c>
      <c r="BL904" s="228">
        <f t="shared" si="891"/>
        <v>0</v>
      </c>
      <c r="BM904" s="233" cm="1">
        <f t="array" ref="BM904">L904/IF($M904&gt;0, INDEX($AY$22:$BE$76, $M904+20, $AH904), 1)</f>
        <v>0</v>
      </c>
      <c r="BN904" s="229">
        <f t="shared" si="903"/>
        <v>0</v>
      </c>
      <c r="BO904" s="228">
        <v>35</v>
      </c>
      <c r="BP904" s="229">
        <f t="shared" si="904"/>
        <v>48</v>
      </c>
      <c r="BQ904" s="234">
        <f t="shared" si="905"/>
        <v>3.0748170731707316</v>
      </c>
      <c r="BR904" s="234" cm="1">
        <f t="array" ref="BR904">$BM904 * SUMPRODUCT(INDEX($AV$76:$AX$81,,$AI904),INDEX($AY$76:$BE$81,,$AH904), N($AU$76:$AU$81&gt;$AM904)) / BQ904 / 1000</f>
        <v>0</v>
      </c>
      <c r="BS904" s="231">
        <f t="shared" si="892"/>
        <v>30</v>
      </c>
      <c r="BT904" s="229">
        <f t="shared" si="906"/>
        <v>43</v>
      </c>
      <c r="BU904" s="234">
        <f t="shared" si="907"/>
        <v>3.5018750000000001</v>
      </c>
      <c r="BV904" s="234" cm="1">
        <f t="array" ref="BV904">$BM904 * IF($AH904&lt;=2,
SUMPRODUCT(INDEX($AV$71:$AX$75,,$AI904), INDEX($AY$71:$BE$75,,$AH904), 1 / ($BF$71:$BF$75*BU904 + (1-$BF$71:$BF$75)*BQ904), N($AU$71:$AU$75&gt;$AM904)),
SUMPRODUCT(INDEX($AV$66:$AX$75,,$AI904), INDEX($AY$66:$BE$75,,$AH904), 1 / ($BG$66:$BG$75*BU904 + (1-$BG$66:$BG$75)*BQ904), N($AU$66:$AU$75&gt;$AM904))
) / 1000</f>
        <v>0</v>
      </c>
      <c r="BW904" s="231">
        <f t="shared" si="893"/>
        <v>25</v>
      </c>
      <c r="BX904" s="229">
        <f t="shared" si="908"/>
        <v>38</v>
      </c>
      <c r="BY904" s="234">
        <f t="shared" si="909"/>
        <v>4.0666935483870965</v>
      </c>
      <c r="BZ904" s="234" cm="1">
        <f t="array" ref="BZ904">$BM904 * IF($AH904&lt;=2,
SUMPRODUCT(INDEX($AV$66:$AX$70,,$AI904), INDEX($AY$66:$BE$70,,$AH904), 1 / ($BF$66:$BF$70*BY904 + (1-$BF$66:$BF$70)*BU904), N($AU$66:$AU$70&gt;$AM904)),
SUMPRODUCT(INDEX($AV$56:$AX$65,,$AI904), INDEX($AY$56:$BE$65,,$AH904), 1 / ($BG$56:$BG$65*BY904 + (1-$BG$56:$BG$65)*BU904), N($AU$56:$AU$65&gt;$AM904))
) / 1000</f>
        <v>0</v>
      </c>
      <c r="CA904" s="231">
        <f t="shared" si="894"/>
        <v>20</v>
      </c>
      <c r="CB904" s="229">
        <f t="shared" si="910"/>
        <v>33</v>
      </c>
      <c r="CC904" s="234">
        <f t="shared" si="911"/>
        <v>4.8487499999999999</v>
      </c>
      <c r="CD904" s="234" cm="1">
        <f t="array" ref="CD904">$BM904 * IF($AH904&lt;=2,
SUMPRODUCT(INDEX($AV$61:$AX$65,,$AI904), INDEX($AY$61:$BE$65,,$AH904), 1 / ($BF$61:$BF$65*CC904 + (1-$BF$61:$BF$65)*BY904), N($AU$61:$AU$65&gt;$AM904)),
SUMPRODUCT(INDEX($AV$46:$AX$55,,$AI904), INDEX($AY$46:$BE$55,,$AH904), 1 / ($BG$46:$BG$55*CC904 + (1-$BG$46:$BG$55)*BY904), N($AU$46:$AU$55&gt;$AM904))
) / 1000</f>
        <v>0</v>
      </c>
      <c r="CE904" s="234" cm="1">
        <f t="array" ref="CE904">$BM904 * IF($AH904&lt;=2,
SUMPRODUCT(INDEX($AV$22:$AX$60,,$AI904), INDEX($AY$22:$BE$60,,$AH904), 1 / ($BF$22:$BF$60*CC904), N($AU$22:$AU$60&gt;$AM904)),
SUMPRODUCT(INDEX($AV$22:$AX$45,,$AI904), INDEX($AY$22:$BE$45,,$AH904), 1 / ($BG$22:$BG$45*CC904), N($AU$22:$AU$45&gt;$AM904))
) / 1000</f>
        <v>0</v>
      </c>
      <c r="CF904" s="229">
        <f t="shared" si="912"/>
        <v>0</v>
      </c>
      <c r="CG904" s="246"/>
      <c r="CH904" s="229">
        <f t="shared" si="913"/>
        <v>0</v>
      </c>
      <c r="CI904" s="228">
        <v>35</v>
      </c>
      <c r="CJ904" s="229">
        <f t="shared" si="914"/>
        <v>48</v>
      </c>
      <c r="CK904" s="234">
        <f t="shared" si="915"/>
        <v>3.0748170731707316</v>
      </c>
      <c r="CL904" s="234" cm="1">
        <f t="array" ref="CL904">$BM904 * SUMPRODUCT(INDEX($AV$76:$AX$81,,$AI904),INDEX($AY$76:$BE$81,,$AH904), N($AU$76:$AU$81&gt;$AM904)) / CK904 / 1000</f>
        <v>0</v>
      </c>
      <c r="CM904" s="231">
        <f t="shared" si="895"/>
        <v>30</v>
      </c>
      <c r="CN904" s="229">
        <f t="shared" si="916"/>
        <v>43</v>
      </c>
      <c r="CO904" s="234">
        <f t="shared" si="917"/>
        <v>3.5018750000000001</v>
      </c>
      <c r="CP904" s="234" cm="1">
        <f t="array" ref="CP904">$BM904 * IF($AH904&lt;=2,
SUMPRODUCT(INDEX($AV$71:$AX$75,,$AI904), INDEX($AY$71:$BE$75,,$AH904), 1 / ($BF$71:$BF$75*CO904 + (1-$BF$71:$BF$75)*CK904), N($AU$71:$AU$75&gt;$AM904)),
SUMPRODUCT(INDEX($AV$66:$AX$75,,$AI904), INDEX($AY$66:$BE$75,,$AH904), 1 / ($BG$66:$BG$75*CO904 + (1-$BG$66:$BG$75)*CK904), N($AU$66:$AU$75&gt;$AM904))
) / 1000</f>
        <v>0</v>
      </c>
      <c r="CQ904" s="231">
        <f t="shared" si="896"/>
        <v>25</v>
      </c>
      <c r="CR904" s="229">
        <f t="shared" si="918"/>
        <v>38</v>
      </c>
      <c r="CS904" s="234">
        <f t="shared" si="919"/>
        <v>4.0666935483870965</v>
      </c>
      <c r="CT904" s="234" cm="1">
        <f t="array" ref="CT904">$BM904 * IF($AH904&lt;=2,
SUMPRODUCT(INDEX($AV$66:$AX$70,,$AI904), INDEX($AY$66:$BE$70,,$AH904), 1 / ($BF$66:$BF$70*CS904 + (1-$BF$66:$BF$70)*CO904), N($AU$66:$AU$70&gt;$AM904)),
SUMPRODUCT(INDEX($AV$56:$AX$65,,$AI904), INDEX($AY$56:$BE$65,,$AH904), 1 / ($BG$56:$BG$65*CS904 + (1-$BG$56:$BG$65)*CO904), N($AU$56:$AU$65&gt;$AM904))
) / 1000</f>
        <v>0</v>
      </c>
      <c r="CU904" s="231">
        <f t="shared" si="897"/>
        <v>20</v>
      </c>
      <c r="CV904" s="229">
        <f t="shared" si="920"/>
        <v>33</v>
      </c>
      <c r="CW904" s="234">
        <f t="shared" si="921"/>
        <v>4.8487499999999999</v>
      </c>
      <c r="CX904" s="234" cm="1">
        <f t="array" ref="CX904">$BM904 * IF($AH904&lt;=2,
SUMPRODUCT(INDEX($AV$61:$AX$65,,$AI904), INDEX($AY$61:$BE$65,,$AH904), 1 / ($BF$61:$BF$65*CW904 + (1-$BF$61:$BF$65)*CS904), N($AU$61:$AU$65&gt;$AM904)),
SUMPRODUCT(INDEX($AV$46:$AX$55,,$AI904), INDEX($AY$46:$BE$55,,$AH904), 1 / ($BG$46:$BG$55*CW904 + (1-$BG$46:$BG$55)*CS904), N($AU$46:$AU$55&gt;$AM904))
) / 1000</f>
        <v>0</v>
      </c>
      <c r="CY904" s="234" cm="1">
        <f t="array" ref="CY904">$BM904 * IF($AH904&lt;=2,
SUMPRODUCT(INDEX($AV$22:$AX$60,,$AI904), INDEX($AY$22:$BE$60,,$AH904), 1 / ($BF$22:$BF$60*CW904), N($AU$22:$AU$60&gt;$AM904)),
SUMPRODUCT(INDEX($AV$22:$AX$45,,$AI904), INDEX($AY$22:$BE$45,,$AH904), 1 / ($BG$22:$BG$45*CW904), N($AU$22:$AU$45&gt;$AM904))
) / 1000</f>
        <v>0</v>
      </c>
      <c r="CZ904" s="229">
        <f t="shared" si="922"/>
        <v>0</v>
      </c>
      <c r="DA904" s="246"/>
    </row>
    <row r="905" spans="1:105" s="75" customFormat="1" ht="14.25" customHeight="1" x14ac:dyDescent="0.2">
      <c r="A905" s="230" t="b">
        <f t="shared" si="889"/>
        <v>0</v>
      </c>
      <c r="B905" s="253">
        <v>884</v>
      </c>
      <c r="C905" s="266"/>
      <c r="D905" s="266"/>
      <c r="E905" s="254"/>
      <c r="F905" s="255" t="str">
        <f>IF(ISBLANK(E905), "", VLOOKUP(E905, Z!$A$2:$C$4127, 3, FALSE))</f>
        <v/>
      </c>
      <c r="G905" s="256"/>
      <c r="H905" s="256"/>
      <c r="I905" s="256"/>
      <c r="J905" s="257"/>
      <c r="K905" s="258"/>
      <c r="L905" s="267"/>
      <c r="M905" s="268"/>
      <c r="N905" s="259" t="str" cm="1">
        <f t="array" ref="N905">IF($L905&gt;0, INDEX(Clean,1+AK905,$D$1), "")</f>
        <v/>
      </c>
      <c r="O905" s="260"/>
      <c r="P905" s="260"/>
      <c r="Q905" s="261"/>
      <c r="R905" s="264">
        <f t="shared" si="898"/>
        <v>0</v>
      </c>
      <c r="S905" s="259" t="str" cm="1">
        <f t="array" ref="S905">IF($L905&gt;0, INDEX(Clean,1+AL905,$D$1), "")</f>
        <v/>
      </c>
      <c r="T905" s="260"/>
      <c r="U905" s="260"/>
      <c r="V905" s="261"/>
      <c r="W905" s="267"/>
      <c r="X905" s="267"/>
      <c r="Y905" s="257"/>
      <c r="Z905" s="264">
        <f t="shared" si="899"/>
        <v>0</v>
      </c>
      <c r="AA905" s="269"/>
      <c r="AB905" s="266"/>
      <c r="AC905" s="254"/>
      <c r="AD905" s="255" t="str">
        <f>IF(ISBLANK(AC905), "", VLOOKUP(AC905, Z!$A$2:$C$4127, 3, FALSE))</f>
        <v/>
      </c>
      <c r="AE905" s="270"/>
      <c r="AF905" s="265">
        <f t="shared" si="900"/>
        <v>0</v>
      </c>
      <c r="AG905" s="246"/>
      <c r="AH905" s="228">
        <f t="shared" si="923"/>
        <v>1</v>
      </c>
      <c r="AI905" s="228">
        <f t="shared" si="924"/>
        <v>1</v>
      </c>
      <c r="AJ905" s="228">
        <f t="shared" si="925"/>
        <v>0</v>
      </c>
      <c r="AK905" s="228">
        <v>0</v>
      </c>
      <c r="AL905" s="228">
        <v>0</v>
      </c>
      <c r="AM905" s="228">
        <f t="shared" si="901"/>
        <v>-100</v>
      </c>
      <c r="AN905" s="228" cm="1">
        <f t="array" ref="AN905">IF(ISBLANK(G905), 1, IFERROR(MATCH(G905, INDEX(Kat,,1), 0), IFERROR(MATCH(Kat, INDEX(Use,,2), 0), MATCH(Kat, INDEX(Use,,3), 0))))</f>
        <v>1</v>
      </c>
      <c r="AO905" s="246"/>
      <c r="AP905" s="228" cm="1">
        <f t="array" ref="AP905">IF(W905&gt;0, INDEX(Kat, AN905,4), 0)</f>
        <v>0</v>
      </c>
      <c r="AQ905" s="228">
        <f t="shared" si="926"/>
        <v>0</v>
      </c>
      <c r="AR905" s="228" cm="1">
        <f t="array" ref="AR905">IF(X905&gt;0, INDEX(Kat, $AN905, 4+AQ905), 0)</f>
        <v>0</v>
      </c>
      <c r="AS905" s="228" cm="1">
        <f t="array" ref="AS905">IF(X905&gt;0, INDEX(Kat, $AN905, 9+AQ905), 0)</f>
        <v>0</v>
      </c>
      <c r="AT905" s="246"/>
      <c r="AU905" s="262"/>
      <c r="AV905" s="262"/>
      <c r="AW905" s="263"/>
      <c r="AX905" s="263"/>
      <c r="AY905" s="263"/>
      <c r="AZ905" s="263"/>
      <c r="BA905" s="263"/>
      <c r="BB905" s="263"/>
      <c r="BC905" s="263"/>
      <c r="BD905" s="263"/>
      <c r="BE905" s="263"/>
      <c r="BF905" s="263"/>
      <c r="BG905" s="263"/>
      <c r="BH905" s="246"/>
      <c r="BI905" s="228" cm="1">
        <f t="array" ref="BI905">INDEX(Use, $AH905, 4)</f>
        <v>7</v>
      </c>
      <c r="BJ905" s="228">
        <f t="shared" si="902"/>
        <v>32</v>
      </c>
      <c r="BK905" s="228">
        <f t="shared" si="890"/>
        <v>13</v>
      </c>
      <c r="BL905" s="228">
        <f t="shared" si="891"/>
        <v>0</v>
      </c>
      <c r="BM905" s="233" cm="1">
        <f t="array" ref="BM905">L905/IF($M905&gt;0, INDEX($AY$22:$BE$76, $M905+20, $AH905), 1)</f>
        <v>0</v>
      </c>
      <c r="BN905" s="229">
        <f t="shared" si="903"/>
        <v>0</v>
      </c>
      <c r="BO905" s="228">
        <v>35</v>
      </c>
      <c r="BP905" s="229">
        <f t="shared" si="904"/>
        <v>48</v>
      </c>
      <c r="BQ905" s="234">
        <f t="shared" si="905"/>
        <v>3.0748170731707316</v>
      </c>
      <c r="BR905" s="234" cm="1">
        <f t="array" ref="BR905">$BM905 * SUMPRODUCT(INDEX($AV$76:$AX$81,,$AI905),INDEX($AY$76:$BE$81,,$AH905), N($AU$76:$AU$81&gt;$AM905)) / BQ905 / 1000</f>
        <v>0</v>
      </c>
      <c r="BS905" s="231">
        <f t="shared" si="892"/>
        <v>30</v>
      </c>
      <c r="BT905" s="229">
        <f t="shared" si="906"/>
        <v>43</v>
      </c>
      <c r="BU905" s="234">
        <f t="shared" si="907"/>
        <v>3.5018750000000001</v>
      </c>
      <c r="BV905" s="234" cm="1">
        <f t="array" ref="BV905">$BM905 * IF($AH905&lt;=2,
SUMPRODUCT(INDEX($AV$71:$AX$75,,$AI905), INDEX($AY$71:$BE$75,,$AH905), 1 / ($BF$71:$BF$75*BU905 + (1-$BF$71:$BF$75)*BQ905), N($AU$71:$AU$75&gt;$AM905)),
SUMPRODUCT(INDEX($AV$66:$AX$75,,$AI905), INDEX($AY$66:$BE$75,,$AH905), 1 / ($BG$66:$BG$75*BU905 + (1-$BG$66:$BG$75)*BQ905), N($AU$66:$AU$75&gt;$AM905))
) / 1000</f>
        <v>0</v>
      </c>
      <c r="BW905" s="231">
        <f t="shared" si="893"/>
        <v>25</v>
      </c>
      <c r="BX905" s="229">
        <f t="shared" si="908"/>
        <v>38</v>
      </c>
      <c r="BY905" s="234">
        <f t="shared" si="909"/>
        <v>4.0666935483870965</v>
      </c>
      <c r="BZ905" s="234" cm="1">
        <f t="array" ref="BZ905">$BM905 * IF($AH905&lt;=2,
SUMPRODUCT(INDEX($AV$66:$AX$70,,$AI905), INDEX($AY$66:$BE$70,,$AH905), 1 / ($BF$66:$BF$70*BY905 + (1-$BF$66:$BF$70)*BU905), N($AU$66:$AU$70&gt;$AM905)),
SUMPRODUCT(INDEX($AV$56:$AX$65,,$AI905), INDEX($AY$56:$BE$65,,$AH905), 1 / ($BG$56:$BG$65*BY905 + (1-$BG$56:$BG$65)*BU905), N($AU$56:$AU$65&gt;$AM905))
) / 1000</f>
        <v>0</v>
      </c>
      <c r="CA905" s="231">
        <f t="shared" si="894"/>
        <v>20</v>
      </c>
      <c r="CB905" s="229">
        <f t="shared" si="910"/>
        <v>33</v>
      </c>
      <c r="CC905" s="234">
        <f t="shared" si="911"/>
        <v>4.8487499999999999</v>
      </c>
      <c r="CD905" s="234" cm="1">
        <f t="array" ref="CD905">$BM905 * IF($AH905&lt;=2,
SUMPRODUCT(INDEX($AV$61:$AX$65,,$AI905), INDEX($AY$61:$BE$65,,$AH905), 1 / ($BF$61:$BF$65*CC905 + (1-$BF$61:$BF$65)*BY905), N($AU$61:$AU$65&gt;$AM905)),
SUMPRODUCT(INDEX($AV$46:$AX$55,,$AI905), INDEX($AY$46:$BE$55,,$AH905), 1 / ($BG$46:$BG$55*CC905 + (1-$BG$46:$BG$55)*BY905), N($AU$46:$AU$55&gt;$AM905))
) / 1000</f>
        <v>0</v>
      </c>
      <c r="CE905" s="234" cm="1">
        <f t="array" ref="CE905">$BM905 * IF($AH905&lt;=2,
SUMPRODUCT(INDEX($AV$22:$AX$60,,$AI905), INDEX($AY$22:$BE$60,,$AH905), 1 / ($BF$22:$BF$60*CC905), N($AU$22:$AU$60&gt;$AM905)),
SUMPRODUCT(INDEX($AV$22:$AX$45,,$AI905), INDEX($AY$22:$BE$45,,$AH905), 1 / ($BG$22:$BG$45*CC905), N($AU$22:$AU$45&gt;$AM905))
) / 1000</f>
        <v>0</v>
      </c>
      <c r="CF905" s="229">
        <f t="shared" si="912"/>
        <v>0</v>
      </c>
      <c r="CG905" s="246"/>
      <c r="CH905" s="229">
        <f t="shared" si="913"/>
        <v>0</v>
      </c>
      <c r="CI905" s="228">
        <v>35</v>
      </c>
      <c r="CJ905" s="229">
        <f t="shared" si="914"/>
        <v>48</v>
      </c>
      <c r="CK905" s="234">
        <f t="shared" si="915"/>
        <v>3.0748170731707316</v>
      </c>
      <c r="CL905" s="234" cm="1">
        <f t="array" ref="CL905">$BM905 * SUMPRODUCT(INDEX($AV$76:$AX$81,,$AI905),INDEX($AY$76:$BE$81,,$AH905), N($AU$76:$AU$81&gt;$AM905)) / CK905 / 1000</f>
        <v>0</v>
      </c>
      <c r="CM905" s="231">
        <f t="shared" si="895"/>
        <v>30</v>
      </c>
      <c r="CN905" s="229">
        <f t="shared" si="916"/>
        <v>43</v>
      </c>
      <c r="CO905" s="234">
        <f t="shared" si="917"/>
        <v>3.5018750000000001</v>
      </c>
      <c r="CP905" s="234" cm="1">
        <f t="array" ref="CP905">$BM905 * IF($AH905&lt;=2,
SUMPRODUCT(INDEX($AV$71:$AX$75,,$AI905), INDEX($AY$71:$BE$75,,$AH905), 1 / ($BF$71:$BF$75*CO905 + (1-$BF$71:$BF$75)*CK905), N($AU$71:$AU$75&gt;$AM905)),
SUMPRODUCT(INDEX($AV$66:$AX$75,,$AI905), INDEX($AY$66:$BE$75,,$AH905), 1 / ($BG$66:$BG$75*CO905 + (1-$BG$66:$BG$75)*CK905), N($AU$66:$AU$75&gt;$AM905))
) / 1000</f>
        <v>0</v>
      </c>
      <c r="CQ905" s="231">
        <f t="shared" si="896"/>
        <v>25</v>
      </c>
      <c r="CR905" s="229">
        <f t="shared" si="918"/>
        <v>38</v>
      </c>
      <c r="CS905" s="234">
        <f t="shared" si="919"/>
        <v>4.0666935483870965</v>
      </c>
      <c r="CT905" s="234" cm="1">
        <f t="array" ref="CT905">$BM905 * IF($AH905&lt;=2,
SUMPRODUCT(INDEX($AV$66:$AX$70,,$AI905), INDEX($AY$66:$BE$70,,$AH905), 1 / ($BF$66:$BF$70*CS905 + (1-$BF$66:$BF$70)*CO905), N($AU$66:$AU$70&gt;$AM905)),
SUMPRODUCT(INDEX($AV$56:$AX$65,,$AI905), INDEX($AY$56:$BE$65,,$AH905), 1 / ($BG$56:$BG$65*CS905 + (1-$BG$56:$BG$65)*CO905), N($AU$56:$AU$65&gt;$AM905))
) / 1000</f>
        <v>0</v>
      </c>
      <c r="CU905" s="231">
        <f t="shared" si="897"/>
        <v>20</v>
      </c>
      <c r="CV905" s="229">
        <f t="shared" si="920"/>
        <v>33</v>
      </c>
      <c r="CW905" s="234">
        <f t="shared" si="921"/>
        <v>4.8487499999999999</v>
      </c>
      <c r="CX905" s="234" cm="1">
        <f t="array" ref="CX905">$BM905 * IF($AH905&lt;=2,
SUMPRODUCT(INDEX($AV$61:$AX$65,,$AI905), INDEX($AY$61:$BE$65,,$AH905), 1 / ($BF$61:$BF$65*CW905 + (1-$BF$61:$BF$65)*CS905), N($AU$61:$AU$65&gt;$AM905)),
SUMPRODUCT(INDEX($AV$46:$AX$55,,$AI905), INDEX($AY$46:$BE$55,,$AH905), 1 / ($BG$46:$BG$55*CW905 + (1-$BG$46:$BG$55)*CS905), N($AU$46:$AU$55&gt;$AM905))
) / 1000</f>
        <v>0</v>
      </c>
      <c r="CY905" s="234" cm="1">
        <f t="array" ref="CY905">$BM905 * IF($AH905&lt;=2,
SUMPRODUCT(INDEX($AV$22:$AX$60,,$AI905), INDEX($AY$22:$BE$60,,$AH905), 1 / ($BF$22:$BF$60*CW905), N($AU$22:$AU$60&gt;$AM905)),
SUMPRODUCT(INDEX($AV$22:$AX$45,,$AI905), INDEX($AY$22:$BE$45,,$AH905), 1 / ($BG$22:$BG$45*CW905), N($AU$22:$AU$45&gt;$AM905))
) / 1000</f>
        <v>0</v>
      </c>
      <c r="CZ905" s="229">
        <f t="shared" si="922"/>
        <v>0</v>
      </c>
      <c r="DA905" s="246"/>
    </row>
    <row r="906" spans="1:105" s="75" customFormat="1" ht="14.25" customHeight="1" x14ac:dyDescent="0.2">
      <c r="A906" s="230" t="b">
        <f t="shared" si="889"/>
        <v>0</v>
      </c>
      <c r="B906" s="253">
        <v>885</v>
      </c>
      <c r="C906" s="266"/>
      <c r="D906" s="266"/>
      <c r="E906" s="254"/>
      <c r="F906" s="255" t="str">
        <f>IF(ISBLANK(E906), "", VLOOKUP(E906, Z!$A$2:$C$4127, 3, FALSE))</f>
        <v/>
      </c>
      <c r="G906" s="256"/>
      <c r="H906" s="256"/>
      <c r="I906" s="256"/>
      <c r="J906" s="257"/>
      <c r="K906" s="258"/>
      <c r="L906" s="267"/>
      <c r="M906" s="268"/>
      <c r="N906" s="259" t="str" cm="1">
        <f t="array" ref="N906">IF($L906&gt;0, INDEX(Clean,1+AK906,$D$1), "")</f>
        <v/>
      </c>
      <c r="O906" s="260"/>
      <c r="P906" s="260"/>
      <c r="Q906" s="261"/>
      <c r="R906" s="264">
        <f t="shared" si="898"/>
        <v>0</v>
      </c>
      <c r="S906" s="259" t="str" cm="1">
        <f t="array" ref="S906">IF($L906&gt;0, INDEX(Clean,1+AL906,$D$1), "")</f>
        <v/>
      </c>
      <c r="T906" s="260"/>
      <c r="U906" s="260"/>
      <c r="V906" s="261"/>
      <c r="W906" s="267"/>
      <c r="X906" s="267"/>
      <c r="Y906" s="257"/>
      <c r="Z906" s="264">
        <f t="shared" si="899"/>
        <v>0</v>
      </c>
      <c r="AA906" s="269"/>
      <c r="AB906" s="266"/>
      <c r="AC906" s="254"/>
      <c r="AD906" s="255" t="str">
        <f>IF(ISBLANK(AC906), "", VLOOKUP(AC906, Z!$A$2:$C$4127, 3, FALSE))</f>
        <v/>
      </c>
      <c r="AE906" s="270"/>
      <c r="AF906" s="265">
        <f t="shared" si="900"/>
        <v>0</v>
      </c>
      <c r="AG906" s="246"/>
      <c r="AH906" s="228">
        <f t="shared" si="923"/>
        <v>1</v>
      </c>
      <c r="AI906" s="228">
        <f t="shared" si="924"/>
        <v>1</v>
      </c>
      <c r="AJ906" s="228">
        <f t="shared" si="925"/>
        <v>0</v>
      </c>
      <c r="AK906" s="228">
        <v>0</v>
      </c>
      <c r="AL906" s="228">
        <v>0</v>
      </c>
      <c r="AM906" s="228">
        <f t="shared" si="901"/>
        <v>-100</v>
      </c>
      <c r="AN906" s="228" cm="1">
        <f t="array" ref="AN906">IF(ISBLANK(G906), 1, IFERROR(MATCH(G906, INDEX(Kat,,1), 0), IFERROR(MATCH(Kat, INDEX(Use,,2), 0), MATCH(Kat, INDEX(Use,,3), 0))))</f>
        <v>1</v>
      </c>
      <c r="AO906" s="246"/>
      <c r="AP906" s="228" cm="1">
        <f t="array" ref="AP906">IF(W906&gt;0, INDEX(Kat, AN906,4), 0)</f>
        <v>0</v>
      </c>
      <c r="AQ906" s="228">
        <f t="shared" si="926"/>
        <v>0</v>
      </c>
      <c r="AR906" s="228" cm="1">
        <f t="array" ref="AR906">IF(X906&gt;0, INDEX(Kat, $AN906, 4+AQ906), 0)</f>
        <v>0</v>
      </c>
      <c r="AS906" s="228" cm="1">
        <f t="array" ref="AS906">IF(X906&gt;0, INDEX(Kat, $AN906, 9+AQ906), 0)</f>
        <v>0</v>
      </c>
      <c r="AT906" s="246"/>
      <c r="AU906" s="262"/>
      <c r="AV906" s="262"/>
      <c r="AW906" s="263"/>
      <c r="AX906" s="263"/>
      <c r="AY906" s="263"/>
      <c r="AZ906" s="263"/>
      <c r="BA906" s="263"/>
      <c r="BB906" s="263"/>
      <c r="BC906" s="263"/>
      <c r="BD906" s="263"/>
      <c r="BE906" s="263"/>
      <c r="BF906" s="263"/>
      <c r="BG906" s="263"/>
      <c r="BH906" s="246"/>
      <c r="BI906" s="228" cm="1">
        <f t="array" ref="BI906">INDEX(Use, $AH906, 4)</f>
        <v>7</v>
      </c>
      <c r="BJ906" s="228">
        <f t="shared" si="902"/>
        <v>32</v>
      </c>
      <c r="BK906" s="228">
        <f t="shared" si="890"/>
        <v>13</v>
      </c>
      <c r="BL906" s="228">
        <f t="shared" si="891"/>
        <v>0</v>
      </c>
      <c r="BM906" s="233" cm="1">
        <f t="array" ref="BM906">L906/IF($M906&gt;0, INDEX($AY$22:$BE$76, $M906+20, $AH906), 1)</f>
        <v>0</v>
      </c>
      <c r="BN906" s="229">
        <f t="shared" si="903"/>
        <v>0</v>
      </c>
      <c r="BO906" s="228">
        <v>35</v>
      </c>
      <c r="BP906" s="229">
        <f t="shared" si="904"/>
        <v>48</v>
      </c>
      <c r="BQ906" s="234">
        <f t="shared" si="905"/>
        <v>3.0748170731707316</v>
      </c>
      <c r="BR906" s="234" cm="1">
        <f t="array" ref="BR906">$BM906 * SUMPRODUCT(INDEX($AV$76:$AX$81,,$AI906),INDEX($AY$76:$BE$81,,$AH906), N($AU$76:$AU$81&gt;$AM906)) / BQ906 / 1000</f>
        <v>0</v>
      </c>
      <c r="BS906" s="231">
        <f t="shared" si="892"/>
        <v>30</v>
      </c>
      <c r="BT906" s="229">
        <f t="shared" si="906"/>
        <v>43</v>
      </c>
      <c r="BU906" s="234">
        <f t="shared" si="907"/>
        <v>3.5018750000000001</v>
      </c>
      <c r="BV906" s="234" cm="1">
        <f t="array" ref="BV906">$BM906 * IF($AH906&lt;=2,
SUMPRODUCT(INDEX($AV$71:$AX$75,,$AI906), INDEX($AY$71:$BE$75,,$AH906), 1 / ($BF$71:$BF$75*BU906 + (1-$BF$71:$BF$75)*BQ906), N($AU$71:$AU$75&gt;$AM906)),
SUMPRODUCT(INDEX($AV$66:$AX$75,,$AI906), INDEX($AY$66:$BE$75,,$AH906), 1 / ($BG$66:$BG$75*BU906 + (1-$BG$66:$BG$75)*BQ906), N($AU$66:$AU$75&gt;$AM906))
) / 1000</f>
        <v>0</v>
      </c>
      <c r="BW906" s="231">
        <f t="shared" si="893"/>
        <v>25</v>
      </c>
      <c r="BX906" s="229">
        <f t="shared" si="908"/>
        <v>38</v>
      </c>
      <c r="BY906" s="234">
        <f t="shared" si="909"/>
        <v>4.0666935483870965</v>
      </c>
      <c r="BZ906" s="234" cm="1">
        <f t="array" ref="BZ906">$BM906 * IF($AH906&lt;=2,
SUMPRODUCT(INDEX($AV$66:$AX$70,,$AI906), INDEX($AY$66:$BE$70,,$AH906), 1 / ($BF$66:$BF$70*BY906 + (1-$BF$66:$BF$70)*BU906), N($AU$66:$AU$70&gt;$AM906)),
SUMPRODUCT(INDEX($AV$56:$AX$65,,$AI906), INDEX($AY$56:$BE$65,,$AH906), 1 / ($BG$56:$BG$65*BY906 + (1-$BG$56:$BG$65)*BU906), N($AU$56:$AU$65&gt;$AM906))
) / 1000</f>
        <v>0</v>
      </c>
      <c r="CA906" s="231">
        <f t="shared" si="894"/>
        <v>20</v>
      </c>
      <c r="CB906" s="229">
        <f t="shared" si="910"/>
        <v>33</v>
      </c>
      <c r="CC906" s="234">
        <f t="shared" si="911"/>
        <v>4.8487499999999999</v>
      </c>
      <c r="CD906" s="234" cm="1">
        <f t="array" ref="CD906">$BM906 * IF($AH906&lt;=2,
SUMPRODUCT(INDEX($AV$61:$AX$65,,$AI906), INDEX($AY$61:$BE$65,,$AH906), 1 / ($BF$61:$BF$65*CC906 + (1-$BF$61:$BF$65)*BY906), N($AU$61:$AU$65&gt;$AM906)),
SUMPRODUCT(INDEX($AV$46:$AX$55,,$AI906), INDEX($AY$46:$BE$55,,$AH906), 1 / ($BG$46:$BG$55*CC906 + (1-$BG$46:$BG$55)*BY906), N($AU$46:$AU$55&gt;$AM906))
) / 1000</f>
        <v>0</v>
      </c>
      <c r="CE906" s="234" cm="1">
        <f t="array" ref="CE906">$BM906 * IF($AH906&lt;=2,
SUMPRODUCT(INDEX($AV$22:$AX$60,,$AI906), INDEX($AY$22:$BE$60,,$AH906), 1 / ($BF$22:$BF$60*CC906), N($AU$22:$AU$60&gt;$AM906)),
SUMPRODUCT(INDEX($AV$22:$AX$45,,$AI906), INDEX($AY$22:$BE$45,,$AH906), 1 / ($BG$22:$BG$45*CC906), N($AU$22:$AU$45&gt;$AM906))
) / 1000</f>
        <v>0</v>
      </c>
      <c r="CF906" s="229">
        <f t="shared" si="912"/>
        <v>0</v>
      </c>
      <c r="CG906" s="246"/>
      <c r="CH906" s="229">
        <f t="shared" si="913"/>
        <v>0</v>
      </c>
      <c r="CI906" s="228">
        <v>35</v>
      </c>
      <c r="CJ906" s="229">
        <f t="shared" si="914"/>
        <v>48</v>
      </c>
      <c r="CK906" s="234">
        <f t="shared" si="915"/>
        <v>3.0748170731707316</v>
      </c>
      <c r="CL906" s="234" cm="1">
        <f t="array" ref="CL906">$BM906 * SUMPRODUCT(INDEX($AV$76:$AX$81,,$AI906),INDEX($AY$76:$BE$81,,$AH906), N($AU$76:$AU$81&gt;$AM906)) / CK906 / 1000</f>
        <v>0</v>
      </c>
      <c r="CM906" s="231">
        <f t="shared" si="895"/>
        <v>30</v>
      </c>
      <c r="CN906" s="229">
        <f t="shared" si="916"/>
        <v>43</v>
      </c>
      <c r="CO906" s="234">
        <f t="shared" si="917"/>
        <v>3.5018750000000001</v>
      </c>
      <c r="CP906" s="234" cm="1">
        <f t="array" ref="CP906">$BM906 * IF($AH906&lt;=2,
SUMPRODUCT(INDEX($AV$71:$AX$75,,$AI906), INDEX($AY$71:$BE$75,,$AH906), 1 / ($BF$71:$BF$75*CO906 + (1-$BF$71:$BF$75)*CK906), N($AU$71:$AU$75&gt;$AM906)),
SUMPRODUCT(INDEX($AV$66:$AX$75,,$AI906), INDEX($AY$66:$BE$75,,$AH906), 1 / ($BG$66:$BG$75*CO906 + (1-$BG$66:$BG$75)*CK906), N($AU$66:$AU$75&gt;$AM906))
) / 1000</f>
        <v>0</v>
      </c>
      <c r="CQ906" s="231">
        <f t="shared" si="896"/>
        <v>25</v>
      </c>
      <c r="CR906" s="229">
        <f t="shared" si="918"/>
        <v>38</v>
      </c>
      <c r="CS906" s="234">
        <f t="shared" si="919"/>
        <v>4.0666935483870965</v>
      </c>
      <c r="CT906" s="234" cm="1">
        <f t="array" ref="CT906">$BM906 * IF($AH906&lt;=2,
SUMPRODUCT(INDEX($AV$66:$AX$70,,$AI906), INDEX($AY$66:$BE$70,,$AH906), 1 / ($BF$66:$BF$70*CS906 + (1-$BF$66:$BF$70)*CO906), N($AU$66:$AU$70&gt;$AM906)),
SUMPRODUCT(INDEX($AV$56:$AX$65,,$AI906), INDEX($AY$56:$BE$65,,$AH906), 1 / ($BG$56:$BG$65*CS906 + (1-$BG$56:$BG$65)*CO906), N($AU$56:$AU$65&gt;$AM906))
) / 1000</f>
        <v>0</v>
      </c>
      <c r="CU906" s="231">
        <f t="shared" si="897"/>
        <v>20</v>
      </c>
      <c r="CV906" s="229">
        <f t="shared" si="920"/>
        <v>33</v>
      </c>
      <c r="CW906" s="234">
        <f t="shared" si="921"/>
        <v>4.8487499999999999</v>
      </c>
      <c r="CX906" s="234" cm="1">
        <f t="array" ref="CX906">$BM906 * IF($AH906&lt;=2,
SUMPRODUCT(INDEX($AV$61:$AX$65,,$AI906), INDEX($AY$61:$BE$65,,$AH906), 1 / ($BF$61:$BF$65*CW906 + (1-$BF$61:$BF$65)*CS906), N($AU$61:$AU$65&gt;$AM906)),
SUMPRODUCT(INDEX($AV$46:$AX$55,,$AI906), INDEX($AY$46:$BE$55,,$AH906), 1 / ($BG$46:$BG$55*CW906 + (1-$BG$46:$BG$55)*CS906), N($AU$46:$AU$55&gt;$AM906))
) / 1000</f>
        <v>0</v>
      </c>
      <c r="CY906" s="234" cm="1">
        <f t="array" ref="CY906">$BM906 * IF($AH906&lt;=2,
SUMPRODUCT(INDEX($AV$22:$AX$60,,$AI906), INDEX($AY$22:$BE$60,,$AH906), 1 / ($BF$22:$BF$60*CW906), N($AU$22:$AU$60&gt;$AM906)),
SUMPRODUCT(INDEX($AV$22:$AX$45,,$AI906), INDEX($AY$22:$BE$45,,$AH906), 1 / ($BG$22:$BG$45*CW906), N($AU$22:$AU$45&gt;$AM906))
) / 1000</f>
        <v>0</v>
      </c>
      <c r="CZ906" s="229">
        <f t="shared" si="922"/>
        <v>0</v>
      </c>
      <c r="DA906" s="246"/>
    </row>
    <row r="907" spans="1:105" s="75" customFormat="1" ht="14.25" customHeight="1" x14ac:dyDescent="0.2">
      <c r="A907" s="230" t="b">
        <f t="shared" si="889"/>
        <v>0</v>
      </c>
      <c r="B907" s="253">
        <v>886</v>
      </c>
      <c r="C907" s="266"/>
      <c r="D907" s="266"/>
      <c r="E907" s="254"/>
      <c r="F907" s="255" t="str">
        <f>IF(ISBLANK(E907), "", VLOOKUP(E907, Z!$A$2:$C$4127, 3, FALSE))</f>
        <v/>
      </c>
      <c r="G907" s="256"/>
      <c r="H907" s="256"/>
      <c r="I907" s="256"/>
      <c r="J907" s="257"/>
      <c r="K907" s="258"/>
      <c r="L907" s="267"/>
      <c r="M907" s="268"/>
      <c r="N907" s="259" t="str" cm="1">
        <f t="array" ref="N907">IF($L907&gt;0, INDEX(Clean,1+AK907,$D$1), "")</f>
        <v/>
      </c>
      <c r="O907" s="260"/>
      <c r="P907" s="260"/>
      <c r="Q907" s="261"/>
      <c r="R907" s="264">
        <f t="shared" si="898"/>
        <v>0</v>
      </c>
      <c r="S907" s="259" t="str" cm="1">
        <f t="array" ref="S907">IF($L907&gt;0, INDEX(Clean,1+AL907,$D$1), "")</f>
        <v/>
      </c>
      <c r="T907" s="260"/>
      <c r="U907" s="260"/>
      <c r="V907" s="261"/>
      <c r="W907" s="267"/>
      <c r="X907" s="267"/>
      <c r="Y907" s="257"/>
      <c r="Z907" s="264">
        <f t="shared" si="899"/>
        <v>0</v>
      </c>
      <c r="AA907" s="269"/>
      <c r="AB907" s="266"/>
      <c r="AC907" s="254"/>
      <c r="AD907" s="255" t="str">
        <f>IF(ISBLANK(AC907), "", VLOOKUP(AC907, Z!$A$2:$C$4127, 3, FALSE))</f>
        <v/>
      </c>
      <c r="AE907" s="270"/>
      <c r="AF907" s="265">
        <f t="shared" si="900"/>
        <v>0</v>
      </c>
      <c r="AG907" s="246"/>
      <c r="AH907" s="228">
        <f t="shared" si="923"/>
        <v>1</v>
      </c>
      <c r="AI907" s="228">
        <f t="shared" si="924"/>
        <v>1</v>
      </c>
      <c r="AJ907" s="228">
        <f t="shared" si="925"/>
        <v>0</v>
      </c>
      <c r="AK907" s="228">
        <v>0</v>
      </c>
      <c r="AL907" s="228">
        <v>0</v>
      </c>
      <c r="AM907" s="228">
        <f t="shared" si="901"/>
        <v>-100</v>
      </c>
      <c r="AN907" s="228" cm="1">
        <f t="array" ref="AN907">IF(ISBLANK(G907), 1, IFERROR(MATCH(G907, INDEX(Kat,,1), 0), IFERROR(MATCH(Kat, INDEX(Use,,2), 0), MATCH(Kat, INDEX(Use,,3), 0))))</f>
        <v>1</v>
      </c>
      <c r="AO907" s="246"/>
      <c r="AP907" s="228" cm="1">
        <f t="array" ref="AP907">IF(W907&gt;0, INDEX(Kat, AN907,4), 0)</f>
        <v>0</v>
      </c>
      <c r="AQ907" s="228">
        <f t="shared" si="926"/>
        <v>0</v>
      </c>
      <c r="AR907" s="228" cm="1">
        <f t="array" ref="AR907">IF(X907&gt;0, INDEX(Kat, $AN907, 4+AQ907), 0)</f>
        <v>0</v>
      </c>
      <c r="AS907" s="228" cm="1">
        <f t="array" ref="AS907">IF(X907&gt;0, INDEX(Kat, $AN907, 9+AQ907), 0)</f>
        <v>0</v>
      </c>
      <c r="AT907" s="246"/>
      <c r="AU907" s="262"/>
      <c r="AV907" s="262"/>
      <c r="AW907" s="263"/>
      <c r="AX907" s="263"/>
      <c r="AY907" s="263"/>
      <c r="AZ907" s="263"/>
      <c r="BA907" s="263"/>
      <c r="BB907" s="263"/>
      <c r="BC907" s="263"/>
      <c r="BD907" s="263"/>
      <c r="BE907" s="263"/>
      <c r="BF907" s="263"/>
      <c r="BG907" s="263"/>
      <c r="BH907" s="246"/>
      <c r="BI907" s="228" cm="1">
        <f t="array" ref="BI907">INDEX(Use, $AH907, 4)</f>
        <v>7</v>
      </c>
      <c r="BJ907" s="228">
        <f t="shared" si="902"/>
        <v>32</v>
      </c>
      <c r="BK907" s="228">
        <f t="shared" si="890"/>
        <v>13</v>
      </c>
      <c r="BL907" s="228">
        <f t="shared" si="891"/>
        <v>0</v>
      </c>
      <c r="BM907" s="233" cm="1">
        <f t="array" ref="BM907">L907/IF($M907&gt;0, INDEX($AY$22:$BE$76, $M907+20, $AH907), 1)</f>
        <v>0</v>
      </c>
      <c r="BN907" s="229">
        <f t="shared" si="903"/>
        <v>0</v>
      </c>
      <c r="BO907" s="228">
        <v>35</v>
      </c>
      <c r="BP907" s="229">
        <f t="shared" si="904"/>
        <v>48</v>
      </c>
      <c r="BQ907" s="234">
        <f t="shared" si="905"/>
        <v>3.0748170731707316</v>
      </c>
      <c r="BR907" s="234" cm="1">
        <f t="array" ref="BR907">$BM907 * SUMPRODUCT(INDEX($AV$76:$AX$81,,$AI907),INDEX($AY$76:$BE$81,,$AH907), N($AU$76:$AU$81&gt;$AM907)) / BQ907 / 1000</f>
        <v>0</v>
      </c>
      <c r="BS907" s="231">
        <f t="shared" si="892"/>
        <v>30</v>
      </c>
      <c r="BT907" s="229">
        <f t="shared" si="906"/>
        <v>43</v>
      </c>
      <c r="BU907" s="234">
        <f t="shared" si="907"/>
        <v>3.5018750000000001</v>
      </c>
      <c r="BV907" s="234" cm="1">
        <f t="array" ref="BV907">$BM907 * IF($AH907&lt;=2,
SUMPRODUCT(INDEX($AV$71:$AX$75,,$AI907), INDEX($AY$71:$BE$75,,$AH907), 1 / ($BF$71:$BF$75*BU907 + (1-$BF$71:$BF$75)*BQ907), N($AU$71:$AU$75&gt;$AM907)),
SUMPRODUCT(INDEX($AV$66:$AX$75,,$AI907), INDEX($AY$66:$BE$75,,$AH907), 1 / ($BG$66:$BG$75*BU907 + (1-$BG$66:$BG$75)*BQ907), N($AU$66:$AU$75&gt;$AM907))
) / 1000</f>
        <v>0</v>
      </c>
      <c r="BW907" s="231">
        <f t="shared" si="893"/>
        <v>25</v>
      </c>
      <c r="BX907" s="229">
        <f t="shared" si="908"/>
        <v>38</v>
      </c>
      <c r="BY907" s="234">
        <f t="shared" si="909"/>
        <v>4.0666935483870965</v>
      </c>
      <c r="BZ907" s="234" cm="1">
        <f t="array" ref="BZ907">$BM907 * IF($AH907&lt;=2,
SUMPRODUCT(INDEX($AV$66:$AX$70,,$AI907), INDEX($AY$66:$BE$70,,$AH907), 1 / ($BF$66:$BF$70*BY907 + (1-$BF$66:$BF$70)*BU907), N($AU$66:$AU$70&gt;$AM907)),
SUMPRODUCT(INDEX($AV$56:$AX$65,,$AI907), INDEX($AY$56:$BE$65,,$AH907), 1 / ($BG$56:$BG$65*BY907 + (1-$BG$56:$BG$65)*BU907), N($AU$56:$AU$65&gt;$AM907))
) / 1000</f>
        <v>0</v>
      </c>
      <c r="CA907" s="231">
        <f t="shared" si="894"/>
        <v>20</v>
      </c>
      <c r="CB907" s="229">
        <f t="shared" si="910"/>
        <v>33</v>
      </c>
      <c r="CC907" s="234">
        <f t="shared" si="911"/>
        <v>4.8487499999999999</v>
      </c>
      <c r="CD907" s="234" cm="1">
        <f t="array" ref="CD907">$BM907 * IF($AH907&lt;=2,
SUMPRODUCT(INDEX($AV$61:$AX$65,,$AI907), INDEX($AY$61:$BE$65,,$AH907), 1 / ($BF$61:$BF$65*CC907 + (1-$BF$61:$BF$65)*BY907), N($AU$61:$AU$65&gt;$AM907)),
SUMPRODUCT(INDEX($AV$46:$AX$55,,$AI907), INDEX($AY$46:$BE$55,,$AH907), 1 / ($BG$46:$BG$55*CC907 + (1-$BG$46:$BG$55)*BY907), N($AU$46:$AU$55&gt;$AM907))
) / 1000</f>
        <v>0</v>
      </c>
      <c r="CE907" s="234" cm="1">
        <f t="array" ref="CE907">$BM907 * IF($AH907&lt;=2,
SUMPRODUCT(INDEX($AV$22:$AX$60,,$AI907), INDEX($AY$22:$BE$60,,$AH907), 1 / ($BF$22:$BF$60*CC907), N($AU$22:$AU$60&gt;$AM907)),
SUMPRODUCT(INDEX($AV$22:$AX$45,,$AI907), INDEX($AY$22:$BE$45,,$AH907), 1 / ($BG$22:$BG$45*CC907), N($AU$22:$AU$45&gt;$AM907))
) / 1000</f>
        <v>0</v>
      </c>
      <c r="CF907" s="229">
        <f t="shared" si="912"/>
        <v>0</v>
      </c>
      <c r="CG907" s="246"/>
      <c r="CH907" s="229">
        <f t="shared" si="913"/>
        <v>0</v>
      </c>
      <c r="CI907" s="228">
        <v>35</v>
      </c>
      <c r="CJ907" s="229">
        <f t="shared" si="914"/>
        <v>48</v>
      </c>
      <c r="CK907" s="234">
        <f t="shared" si="915"/>
        <v>3.0748170731707316</v>
      </c>
      <c r="CL907" s="234" cm="1">
        <f t="array" ref="CL907">$BM907 * SUMPRODUCT(INDEX($AV$76:$AX$81,,$AI907),INDEX($AY$76:$BE$81,,$AH907), N($AU$76:$AU$81&gt;$AM907)) / CK907 / 1000</f>
        <v>0</v>
      </c>
      <c r="CM907" s="231">
        <f t="shared" si="895"/>
        <v>30</v>
      </c>
      <c r="CN907" s="229">
        <f t="shared" si="916"/>
        <v>43</v>
      </c>
      <c r="CO907" s="234">
        <f t="shared" si="917"/>
        <v>3.5018750000000001</v>
      </c>
      <c r="CP907" s="234" cm="1">
        <f t="array" ref="CP907">$BM907 * IF($AH907&lt;=2,
SUMPRODUCT(INDEX($AV$71:$AX$75,,$AI907), INDEX($AY$71:$BE$75,,$AH907), 1 / ($BF$71:$BF$75*CO907 + (1-$BF$71:$BF$75)*CK907), N($AU$71:$AU$75&gt;$AM907)),
SUMPRODUCT(INDEX($AV$66:$AX$75,,$AI907), INDEX($AY$66:$BE$75,,$AH907), 1 / ($BG$66:$BG$75*CO907 + (1-$BG$66:$BG$75)*CK907), N($AU$66:$AU$75&gt;$AM907))
) / 1000</f>
        <v>0</v>
      </c>
      <c r="CQ907" s="231">
        <f t="shared" si="896"/>
        <v>25</v>
      </c>
      <c r="CR907" s="229">
        <f t="shared" si="918"/>
        <v>38</v>
      </c>
      <c r="CS907" s="234">
        <f t="shared" si="919"/>
        <v>4.0666935483870965</v>
      </c>
      <c r="CT907" s="234" cm="1">
        <f t="array" ref="CT907">$BM907 * IF($AH907&lt;=2,
SUMPRODUCT(INDEX($AV$66:$AX$70,,$AI907), INDEX($AY$66:$BE$70,,$AH907), 1 / ($BF$66:$BF$70*CS907 + (1-$BF$66:$BF$70)*CO907), N($AU$66:$AU$70&gt;$AM907)),
SUMPRODUCT(INDEX($AV$56:$AX$65,,$AI907), INDEX($AY$56:$BE$65,,$AH907), 1 / ($BG$56:$BG$65*CS907 + (1-$BG$56:$BG$65)*CO907), N($AU$56:$AU$65&gt;$AM907))
) / 1000</f>
        <v>0</v>
      </c>
      <c r="CU907" s="231">
        <f t="shared" si="897"/>
        <v>20</v>
      </c>
      <c r="CV907" s="229">
        <f t="shared" si="920"/>
        <v>33</v>
      </c>
      <c r="CW907" s="234">
        <f t="shared" si="921"/>
        <v>4.8487499999999999</v>
      </c>
      <c r="CX907" s="234" cm="1">
        <f t="array" ref="CX907">$BM907 * IF($AH907&lt;=2,
SUMPRODUCT(INDEX($AV$61:$AX$65,,$AI907), INDEX($AY$61:$BE$65,,$AH907), 1 / ($BF$61:$BF$65*CW907 + (1-$BF$61:$BF$65)*CS907), N($AU$61:$AU$65&gt;$AM907)),
SUMPRODUCT(INDEX($AV$46:$AX$55,,$AI907), INDEX($AY$46:$BE$55,,$AH907), 1 / ($BG$46:$BG$55*CW907 + (1-$BG$46:$BG$55)*CS907), N($AU$46:$AU$55&gt;$AM907))
) / 1000</f>
        <v>0</v>
      </c>
      <c r="CY907" s="234" cm="1">
        <f t="array" ref="CY907">$BM907 * IF($AH907&lt;=2,
SUMPRODUCT(INDEX($AV$22:$AX$60,,$AI907), INDEX($AY$22:$BE$60,,$AH907), 1 / ($BF$22:$BF$60*CW907), N($AU$22:$AU$60&gt;$AM907)),
SUMPRODUCT(INDEX($AV$22:$AX$45,,$AI907), INDEX($AY$22:$BE$45,,$AH907), 1 / ($BG$22:$BG$45*CW907), N($AU$22:$AU$45&gt;$AM907))
) / 1000</f>
        <v>0</v>
      </c>
      <c r="CZ907" s="229">
        <f t="shared" si="922"/>
        <v>0</v>
      </c>
      <c r="DA907" s="246"/>
    </row>
    <row r="908" spans="1:105" s="75" customFormat="1" ht="14.25" customHeight="1" x14ac:dyDescent="0.2">
      <c r="A908" s="230" t="b">
        <f t="shared" si="889"/>
        <v>0</v>
      </c>
      <c r="B908" s="253">
        <v>887</v>
      </c>
      <c r="C908" s="266"/>
      <c r="D908" s="266"/>
      <c r="E908" s="254"/>
      <c r="F908" s="255" t="str">
        <f>IF(ISBLANK(E908), "", VLOOKUP(E908, Z!$A$2:$C$4127, 3, FALSE))</f>
        <v/>
      </c>
      <c r="G908" s="256"/>
      <c r="H908" s="256"/>
      <c r="I908" s="256"/>
      <c r="J908" s="257"/>
      <c r="K908" s="258"/>
      <c r="L908" s="267"/>
      <c r="M908" s="268"/>
      <c r="N908" s="259" t="str" cm="1">
        <f t="array" ref="N908">IF($L908&gt;0, INDEX(Clean,1+AK908,$D$1), "")</f>
        <v/>
      </c>
      <c r="O908" s="260"/>
      <c r="P908" s="260"/>
      <c r="Q908" s="261"/>
      <c r="R908" s="264">
        <f t="shared" si="898"/>
        <v>0</v>
      </c>
      <c r="S908" s="259" t="str" cm="1">
        <f t="array" ref="S908">IF($L908&gt;0, INDEX(Clean,1+AL908,$D$1), "")</f>
        <v/>
      </c>
      <c r="T908" s="260"/>
      <c r="U908" s="260"/>
      <c r="V908" s="261"/>
      <c r="W908" s="267"/>
      <c r="X908" s="267"/>
      <c r="Y908" s="257"/>
      <c r="Z908" s="264">
        <f t="shared" si="899"/>
        <v>0</v>
      </c>
      <c r="AA908" s="269"/>
      <c r="AB908" s="266"/>
      <c r="AC908" s="254"/>
      <c r="AD908" s="255" t="str">
        <f>IF(ISBLANK(AC908), "", VLOOKUP(AC908, Z!$A$2:$C$4127, 3, FALSE))</f>
        <v/>
      </c>
      <c r="AE908" s="270"/>
      <c r="AF908" s="265">
        <f t="shared" si="900"/>
        <v>0</v>
      </c>
      <c r="AG908" s="246"/>
      <c r="AH908" s="228">
        <f t="shared" si="923"/>
        <v>1</v>
      </c>
      <c r="AI908" s="228">
        <f t="shared" si="924"/>
        <v>1</v>
      </c>
      <c r="AJ908" s="228">
        <f t="shared" si="925"/>
        <v>0</v>
      </c>
      <c r="AK908" s="228">
        <v>0</v>
      </c>
      <c r="AL908" s="228">
        <v>0</v>
      </c>
      <c r="AM908" s="228">
        <f t="shared" si="901"/>
        <v>-100</v>
      </c>
      <c r="AN908" s="228" cm="1">
        <f t="array" ref="AN908">IF(ISBLANK(G908), 1, IFERROR(MATCH(G908, INDEX(Kat,,1), 0), IFERROR(MATCH(Kat, INDEX(Use,,2), 0), MATCH(Kat, INDEX(Use,,3), 0))))</f>
        <v>1</v>
      </c>
      <c r="AO908" s="246"/>
      <c r="AP908" s="228" cm="1">
        <f t="array" ref="AP908">IF(W908&gt;0, INDEX(Kat, AN908,4), 0)</f>
        <v>0</v>
      </c>
      <c r="AQ908" s="228">
        <f t="shared" si="926"/>
        <v>0</v>
      </c>
      <c r="AR908" s="228" cm="1">
        <f t="array" ref="AR908">IF(X908&gt;0, INDEX(Kat, $AN908, 4+AQ908), 0)</f>
        <v>0</v>
      </c>
      <c r="AS908" s="228" cm="1">
        <f t="array" ref="AS908">IF(X908&gt;0, INDEX(Kat, $AN908, 9+AQ908), 0)</f>
        <v>0</v>
      </c>
      <c r="AT908" s="246"/>
      <c r="AU908" s="262"/>
      <c r="AV908" s="262"/>
      <c r="AW908" s="263"/>
      <c r="AX908" s="263"/>
      <c r="AY908" s="263"/>
      <c r="AZ908" s="263"/>
      <c r="BA908" s="263"/>
      <c r="BB908" s="263"/>
      <c r="BC908" s="263"/>
      <c r="BD908" s="263"/>
      <c r="BE908" s="263"/>
      <c r="BF908" s="263"/>
      <c r="BG908" s="263"/>
      <c r="BH908" s="246"/>
      <c r="BI908" s="228" cm="1">
        <f t="array" ref="BI908">INDEX(Use, $AH908, 4)</f>
        <v>7</v>
      </c>
      <c r="BJ908" s="228">
        <f t="shared" si="902"/>
        <v>32</v>
      </c>
      <c r="BK908" s="228">
        <f t="shared" si="890"/>
        <v>13</v>
      </c>
      <c r="BL908" s="228">
        <f t="shared" si="891"/>
        <v>0</v>
      </c>
      <c r="BM908" s="233" cm="1">
        <f t="array" ref="BM908">L908/IF($M908&gt;0, INDEX($AY$22:$BE$76, $M908+20, $AH908), 1)</f>
        <v>0</v>
      </c>
      <c r="BN908" s="229">
        <f t="shared" si="903"/>
        <v>0</v>
      </c>
      <c r="BO908" s="228">
        <v>35</v>
      </c>
      <c r="BP908" s="229">
        <f t="shared" si="904"/>
        <v>48</v>
      </c>
      <c r="BQ908" s="234">
        <f t="shared" si="905"/>
        <v>3.0748170731707316</v>
      </c>
      <c r="BR908" s="234" cm="1">
        <f t="array" ref="BR908">$BM908 * SUMPRODUCT(INDEX($AV$76:$AX$81,,$AI908),INDEX($AY$76:$BE$81,,$AH908), N($AU$76:$AU$81&gt;$AM908)) / BQ908 / 1000</f>
        <v>0</v>
      </c>
      <c r="BS908" s="231">
        <f t="shared" si="892"/>
        <v>30</v>
      </c>
      <c r="BT908" s="229">
        <f t="shared" si="906"/>
        <v>43</v>
      </c>
      <c r="BU908" s="234">
        <f t="shared" si="907"/>
        <v>3.5018750000000001</v>
      </c>
      <c r="BV908" s="234" cm="1">
        <f t="array" ref="BV908">$BM908 * IF($AH908&lt;=2,
SUMPRODUCT(INDEX($AV$71:$AX$75,,$AI908), INDEX($AY$71:$BE$75,,$AH908), 1 / ($BF$71:$BF$75*BU908 + (1-$BF$71:$BF$75)*BQ908), N($AU$71:$AU$75&gt;$AM908)),
SUMPRODUCT(INDEX($AV$66:$AX$75,,$AI908), INDEX($AY$66:$BE$75,,$AH908), 1 / ($BG$66:$BG$75*BU908 + (1-$BG$66:$BG$75)*BQ908), N($AU$66:$AU$75&gt;$AM908))
) / 1000</f>
        <v>0</v>
      </c>
      <c r="BW908" s="231">
        <f t="shared" si="893"/>
        <v>25</v>
      </c>
      <c r="BX908" s="229">
        <f t="shared" si="908"/>
        <v>38</v>
      </c>
      <c r="BY908" s="234">
        <f t="shared" si="909"/>
        <v>4.0666935483870965</v>
      </c>
      <c r="BZ908" s="234" cm="1">
        <f t="array" ref="BZ908">$BM908 * IF($AH908&lt;=2,
SUMPRODUCT(INDEX($AV$66:$AX$70,,$AI908), INDEX($AY$66:$BE$70,,$AH908), 1 / ($BF$66:$BF$70*BY908 + (1-$BF$66:$BF$70)*BU908), N($AU$66:$AU$70&gt;$AM908)),
SUMPRODUCT(INDEX($AV$56:$AX$65,,$AI908), INDEX($AY$56:$BE$65,,$AH908), 1 / ($BG$56:$BG$65*BY908 + (1-$BG$56:$BG$65)*BU908), N($AU$56:$AU$65&gt;$AM908))
) / 1000</f>
        <v>0</v>
      </c>
      <c r="CA908" s="231">
        <f t="shared" si="894"/>
        <v>20</v>
      </c>
      <c r="CB908" s="229">
        <f t="shared" si="910"/>
        <v>33</v>
      </c>
      <c r="CC908" s="234">
        <f t="shared" si="911"/>
        <v>4.8487499999999999</v>
      </c>
      <c r="CD908" s="234" cm="1">
        <f t="array" ref="CD908">$BM908 * IF($AH908&lt;=2,
SUMPRODUCT(INDEX($AV$61:$AX$65,,$AI908), INDEX($AY$61:$BE$65,,$AH908), 1 / ($BF$61:$BF$65*CC908 + (1-$BF$61:$BF$65)*BY908), N($AU$61:$AU$65&gt;$AM908)),
SUMPRODUCT(INDEX($AV$46:$AX$55,,$AI908), INDEX($AY$46:$BE$55,,$AH908), 1 / ($BG$46:$BG$55*CC908 + (1-$BG$46:$BG$55)*BY908), N($AU$46:$AU$55&gt;$AM908))
) / 1000</f>
        <v>0</v>
      </c>
      <c r="CE908" s="234" cm="1">
        <f t="array" ref="CE908">$BM908 * IF($AH908&lt;=2,
SUMPRODUCT(INDEX($AV$22:$AX$60,,$AI908), INDEX($AY$22:$BE$60,,$AH908), 1 / ($BF$22:$BF$60*CC908), N($AU$22:$AU$60&gt;$AM908)),
SUMPRODUCT(INDEX($AV$22:$AX$45,,$AI908), INDEX($AY$22:$BE$45,,$AH908), 1 / ($BG$22:$BG$45*CC908), N($AU$22:$AU$45&gt;$AM908))
) / 1000</f>
        <v>0</v>
      </c>
      <c r="CF908" s="229">
        <f t="shared" si="912"/>
        <v>0</v>
      </c>
      <c r="CG908" s="246"/>
      <c r="CH908" s="229">
        <f t="shared" si="913"/>
        <v>0</v>
      </c>
      <c r="CI908" s="228">
        <v>35</v>
      </c>
      <c r="CJ908" s="229">
        <f t="shared" si="914"/>
        <v>48</v>
      </c>
      <c r="CK908" s="234">
        <f t="shared" si="915"/>
        <v>3.0748170731707316</v>
      </c>
      <c r="CL908" s="234" cm="1">
        <f t="array" ref="CL908">$BM908 * SUMPRODUCT(INDEX($AV$76:$AX$81,,$AI908),INDEX($AY$76:$BE$81,,$AH908), N($AU$76:$AU$81&gt;$AM908)) / CK908 / 1000</f>
        <v>0</v>
      </c>
      <c r="CM908" s="231">
        <f t="shared" si="895"/>
        <v>30</v>
      </c>
      <c r="CN908" s="229">
        <f t="shared" si="916"/>
        <v>43</v>
      </c>
      <c r="CO908" s="234">
        <f t="shared" si="917"/>
        <v>3.5018750000000001</v>
      </c>
      <c r="CP908" s="234" cm="1">
        <f t="array" ref="CP908">$BM908 * IF($AH908&lt;=2,
SUMPRODUCT(INDEX($AV$71:$AX$75,,$AI908), INDEX($AY$71:$BE$75,,$AH908), 1 / ($BF$71:$BF$75*CO908 + (1-$BF$71:$BF$75)*CK908), N($AU$71:$AU$75&gt;$AM908)),
SUMPRODUCT(INDEX($AV$66:$AX$75,,$AI908), INDEX($AY$66:$BE$75,,$AH908), 1 / ($BG$66:$BG$75*CO908 + (1-$BG$66:$BG$75)*CK908), N($AU$66:$AU$75&gt;$AM908))
) / 1000</f>
        <v>0</v>
      </c>
      <c r="CQ908" s="231">
        <f t="shared" si="896"/>
        <v>25</v>
      </c>
      <c r="CR908" s="229">
        <f t="shared" si="918"/>
        <v>38</v>
      </c>
      <c r="CS908" s="234">
        <f t="shared" si="919"/>
        <v>4.0666935483870965</v>
      </c>
      <c r="CT908" s="234" cm="1">
        <f t="array" ref="CT908">$BM908 * IF($AH908&lt;=2,
SUMPRODUCT(INDEX($AV$66:$AX$70,,$AI908), INDEX($AY$66:$BE$70,,$AH908), 1 / ($BF$66:$BF$70*CS908 + (1-$BF$66:$BF$70)*CO908), N($AU$66:$AU$70&gt;$AM908)),
SUMPRODUCT(INDEX($AV$56:$AX$65,,$AI908), INDEX($AY$56:$BE$65,,$AH908), 1 / ($BG$56:$BG$65*CS908 + (1-$BG$56:$BG$65)*CO908), N($AU$56:$AU$65&gt;$AM908))
) / 1000</f>
        <v>0</v>
      </c>
      <c r="CU908" s="231">
        <f t="shared" si="897"/>
        <v>20</v>
      </c>
      <c r="CV908" s="229">
        <f t="shared" si="920"/>
        <v>33</v>
      </c>
      <c r="CW908" s="234">
        <f t="shared" si="921"/>
        <v>4.8487499999999999</v>
      </c>
      <c r="CX908" s="234" cm="1">
        <f t="array" ref="CX908">$BM908 * IF($AH908&lt;=2,
SUMPRODUCT(INDEX($AV$61:$AX$65,,$AI908), INDEX($AY$61:$BE$65,,$AH908), 1 / ($BF$61:$BF$65*CW908 + (1-$BF$61:$BF$65)*CS908), N($AU$61:$AU$65&gt;$AM908)),
SUMPRODUCT(INDEX($AV$46:$AX$55,,$AI908), INDEX($AY$46:$BE$55,,$AH908), 1 / ($BG$46:$BG$55*CW908 + (1-$BG$46:$BG$55)*CS908), N($AU$46:$AU$55&gt;$AM908))
) / 1000</f>
        <v>0</v>
      </c>
      <c r="CY908" s="234" cm="1">
        <f t="array" ref="CY908">$BM908 * IF($AH908&lt;=2,
SUMPRODUCT(INDEX($AV$22:$AX$60,,$AI908), INDEX($AY$22:$BE$60,,$AH908), 1 / ($BF$22:$BF$60*CW908), N($AU$22:$AU$60&gt;$AM908)),
SUMPRODUCT(INDEX($AV$22:$AX$45,,$AI908), INDEX($AY$22:$BE$45,,$AH908), 1 / ($BG$22:$BG$45*CW908), N($AU$22:$AU$45&gt;$AM908))
) / 1000</f>
        <v>0</v>
      </c>
      <c r="CZ908" s="229">
        <f t="shared" si="922"/>
        <v>0</v>
      </c>
      <c r="DA908" s="246"/>
    </row>
    <row r="909" spans="1:105" s="75" customFormat="1" ht="14.25" customHeight="1" x14ac:dyDescent="0.2">
      <c r="A909" s="230" t="b">
        <f t="shared" si="889"/>
        <v>0</v>
      </c>
      <c r="B909" s="253">
        <v>888</v>
      </c>
      <c r="C909" s="266"/>
      <c r="D909" s="266"/>
      <c r="E909" s="254"/>
      <c r="F909" s="255" t="str">
        <f>IF(ISBLANK(E909), "", VLOOKUP(E909, Z!$A$2:$C$4127, 3, FALSE))</f>
        <v/>
      </c>
      <c r="G909" s="256"/>
      <c r="H909" s="256"/>
      <c r="I909" s="256"/>
      <c r="J909" s="257"/>
      <c r="K909" s="258"/>
      <c r="L909" s="267"/>
      <c r="M909" s="268"/>
      <c r="N909" s="259" t="str" cm="1">
        <f t="array" ref="N909">IF($L909&gt;0, INDEX(Clean,1+AK909,$D$1), "")</f>
        <v/>
      </c>
      <c r="O909" s="260"/>
      <c r="P909" s="260"/>
      <c r="Q909" s="261"/>
      <c r="R909" s="264">
        <f t="shared" si="898"/>
        <v>0</v>
      </c>
      <c r="S909" s="259" t="str" cm="1">
        <f t="array" ref="S909">IF($L909&gt;0, INDEX(Clean,1+AL909,$D$1), "")</f>
        <v/>
      </c>
      <c r="T909" s="260"/>
      <c r="U909" s="260"/>
      <c r="V909" s="261"/>
      <c r="W909" s="267"/>
      <c r="X909" s="267"/>
      <c r="Y909" s="257"/>
      <c r="Z909" s="264">
        <f t="shared" si="899"/>
        <v>0</v>
      </c>
      <c r="AA909" s="269"/>
      <c r="AB909" s="266"/>
      <c r="AC909" s="254"/>
      <c r="AD909" s="255" t="str">
        <f>IF(ISBLANK(AC909), "", VLOOKUP(AC909, Z!$A$2:$C$4127, 3, FALSE))</f>
        <v/>
      </c>
      <c r="AE909" s="270"/>
      <c r="AF909" s="265">
        <f t="shared" si="900"/>
        <v>0</v>
      </c>
      <c r="AG909" s="246"/>
      <c r="AH909" s="228">
        <f t="shared" si="923"/>
        <v>1</v>
      </c>
      <c r="AI909" s="228">
        <f t="shared" si="924"/>
        <v>1</v>
      </c>
      <c r="AJ909" s="228">
        <f t="shared" si="925"/>
        <v>0</v>
      </c>
      <c r="AK909" s="228">
        <v>0</v>
      </c>
      <c r="AL909" s="228">
        <v>0</v>
      </c>
      <c r="AM909" s="228">
        <f t="shared" si="901"/>
        <v>-100</v>
      </c>
      <c r="AN909" s="228" cm="1">
        <f t="array" ref="AN909">IF(ISBLANK(G909), 1, IFERROR(MATCH(G909, INDEX(Kat,,1), 0), IFERROR(MATCH(Kat, INDEX(Use,,2), 0), MATCH(Kat, INDEX(Use,,3), 0))))</f>
        <v>1</v>
      </c>
      <c r="AO909" s="246"/>
      <c r="AP909" s="228" cm="1">
        <f t="array" ref="AP909">IF(W909&gt;0, INDEX(Kat, AN909,4), 0)</f>
        <v>0</v>
      </c>
      <c r="AQ909" s="228">
        <f t="shared" si="926"/>
        <v>0</v>
      </c>
      <c r="AR909" s="228" cm="1">
        <f t="array" ref="AR909">IF(X909&gt;0, INDEX(Kat, $AN909, 4+AQ909), 0)</f>
        <v>0</v>
      </c>
      <c r="AS909" s="228" cm="1">
        <f t="array" ref="AS909">IF(X909&gt;0, INDEX(Kat, $AN909, 9+AQ909), 0)</f>
        <v>0</v>
      </c>
      <c r="AT909" s="246"/>
      <c r="AU909" s="262"/>
      <c r="AV909" s="262"/>
      <c r="AW909" s="263"/>
      <c r="AX909" s="263"/>
      <c r="AY909" s="263"/>
      <c r="AZ909" s="263"/>
      <c r="BA909" s="263"/>
      <c r="BB909" s="263"/>
      <c r="BC909" s="263"/>
      <c r="BD909" s="263"/>
      <c r="BE909" s="263"/>
      <c r="BF909" s="263"/>
      <c r="BG909" s="263"/>
      <c r="BH909" s="246"/>
      <c r="BI909" s="228" cm="1">
        <f t="array" ref="BI909">INDEX(Use, $AH909, 4)</f>
        <v>7</v>
      </c>
      <c r="BJ909" s="228">
        <f t="shared" si="902"/>
        <v>32</v>
      </c>
      <c r="BK909" s="228">
        <f t="shared" si="890"/>
        <v>13</v>
      </c>
      <c r="BL909" s="228">
        <f t="shared" si="891"/>
        <v>0</v>
      </c>
      <c r="BM909" s="233" cm="1">
        <f t="array" ref="BM909">L909/IF($M909&gt;0, INDEX($AY$22:$BE$76, $M909+20, $AH909), 1)</f>
        <v>0</v>
      </c>
      <c r="BN909" s="229">
        <f t="shared" si="903"/>
        <v>0</v>
      </c>
      <c r="BO909" s="228">
        <v>35</v>
      </c>
      <c r="BP909" s="229">
        <f t="shared" si="904"/>
        <v>48</v>
      </c>
      <c r="BQ909" s="234">
        <f t="shared" si="905"/>
        <v>3.0748170731707316</v>
      </c>
      <c r="BR909" s="234" cm="1">
        <f t="array" ref="BR909">$BM909 * SUMPRODUCT(INDEX($AV$76:$AX$81,,$AI909),INDEX($AY$76:$BE$81,,$AH909), N($AU$76:$AU$81&gt;$AM909)) / BQ909 / 1000</f>
        <v>0</v>
      </c>
      <c r="BS909" s="231">
        <f t="shared" si="892"/>
        <v>30</v>
      </c>
      <c r="BT909" s="229">
        <f t="shared" si="906"/>
        <v>43</v>
      </c>
      <c r="BU909" s="234">
        <f t="shared" si="907"/>
        <v>3.5018750000000001</v>
      </c>
      <c r="BV909" s="234" cm="1">
        <f t="array" ref="BV909">$BM909 * IF($AH909&lt;=2,
SUMPRODUCT(INDEX($AV$71:$AX$75,,$AI909), INDEX($AY$71:$BE$75,,$AH909), 1 / ($BF$71:$BF$75*BU909 + (1-$BF$71:$BF$75)*BQ909), N($AU$71:$AU$75&gt;$AM909)),
SUMPRODUCT(INDEX($AV$66:$AX$75,,$AI909), INDEX($AY$66:$BE$75,,$AH909), 1 / ($BG$66:$BG$75*BU909 + (1-$BG$66:$BG$75)*BQ909), N($AU$66:$AU$75&gt;$AM909))
) / 1000</f>
        <v>0</v>
      </c>
      <c r="BW909" s="231">
        <f t="shared" si="893"/>
        <v>25</v>
      </c>
      <c r="BX909" s="229">
        <f t="shared" si="908"/>
        <v>38</v>
      </c>
      <c r="BY909" s="234">
        <f t="shared" si="909"/>
        <v>4.0666935483870965</v>
      </c>
      <c r="BZ909" s="234" cm="1">
        <f t="array" ref="BZ909">$BM909 * IF($AH909&lt;=2,
SUMPRODUCT(INDEX($AV$66:$AX$70,,$AI909), INDEX($AY$66:$BE$70,,$AH909), 1 / ($BF$66:$BF$70*BY909 + (1-$BF$66:$BF$70)*BU909), N($AU$66:$AU$70&gt;$AM909)),
SUMPRODUCT(INDEX($AV$56:$AX$65,,$AI909), INDEX($AY$56:$BE$65,,$AH909), 1 / ($BG$56:$BG$65*BY909 + (1-$BG$56:$BG$65)*BU909), N($AU$56:$AU$65&gt;$AM909))
) / 1000</f>
        <v>0</v>
      </c>
      <c r="CA909" s="231">
        <f t="shared" si="894"/>
        <v>20</v>
      </c>
      <c r="CB909" s="229">
        <f t="shared" si="910"/>
        <v>33</v>
      </c>
      <c r="CC909" s="234">
        <f t="shared" si="911"/>
        <v>4.8487499999999999</v>
      </c>
      <c r="CD909" s="234" cm="1">
        <f t="array" ref="CD909">$BM909 * IF($AH909&lt;=2,
SUMPRODUCT(INDEX($AV$61:$AX$65,,$AI909), INDEX($AY$61:$BE$65,,$AH909), 1 / ($BF$61:$BF$65*CC909 + (1-$BF$61:$BF$65)*BY909), N($AU$61:$AU$65&gt;$AM909)),
SUMPRODUCT(INDEX($AV$46:$AX$55,,$AI909), INDEX($AY$46:$BE$55,,$AH909), 1 / ($BG$46:$BG$55*CC909 + (1-$BG$46:$BG$55)*BY909), N($AU$46:$AU$55&gt;$AM909))
) / 1000</f>
        <v>0</v>
      </c>
      <c r="CE909" s="234" cm="1">
        <f t="array" ref="CE909">$BM909 * IF($AH909&lt;=2,
SUMPRODUCT(INDEX($AV$22:$AX$60,,$AI909), INDEX($AY$22:$BE$60,,$AH909), 1 / ($BF$22:$BF$60*CC909), N($AU$22:$AU$60&gt;$AM909)),
SUMPRODUCT(INDEX($AV$22:$AX$45,,$AI909), INDEX($AY$22:$BE$45,,$AH909), 1 / ($BG$22:$BG$45*CC909), N($AU$22:$AU$45&gt;$AM909))
) / 1000</f>
        <v>0</v>
      </c>
      <c r="CF909" s="229">
        <f t="shared" si="912"/>
        <v>0</v>
      </c>
      <c r="CG909" s="246"/>
      <c r="CH909" s="229">
        <f t="shared" si="913"/>
        <v>0</v>
      </c>
      <c r="CI909" s="228">
        <v>35</v>
      </c>
      <c r="CJ909" s="229">
        <f t="shared" si="914"/>
        <v>48</v>
      </c>
      <c r="CK909" s="234">
        <f t="shared" si="915"/>
        <v>3.0748170731707316</v>
      </c>
      <c r="CL909" s="234" cm="1">
        <f t="array" ref="CL909">$BM909 * SUMPRODUCT(INDEX($AV$76:$AX$81,,$AI909),INDEX($AY$76:$BE$81,,$AH909), N($AU$76:$AU$81&gt;$AM909)) / CK909 / 1000</f>
        <v>0</v>
      </c>
      <c r="CM909" s="231">
        <f t="shared" si="895"/>
        <v>30</v>
      </c>
      <c r="CN909" s="229">
        <f t="shared" si="916"/>
        <v>43</v>
      </c>
      <c r="CO909" s="234">
        <f t="shared" si="917"/>
        <v>3.5018750000000001</v>
      </c>
      <c r="CP909" s="234" cm="1">
        <f t="array" ref="CP909">$BM909 * IF($AH909&lt;=2,
SUMPRODUCT(INDEX($AV$71:$AX$75,,$AI909), INDEX($AY$71:$BE$75,,$AH909), 1 / ($BF$71:$BF$75*CO909 + (1-$BF$71:$BF$75)*CK909), N($AU$71:$AU$75&gt;$AM909)),
SUMPRODUCT(INDEX($AV$66:$AX$75,,$AI909), INDEX($AY$66:$BE$75,,$AH909), 1 / ($BG$66:$BG$75*CO909 + (1-$BG$66:$BG$75)*CK909), N($AU$66:$AU$75&gt;$AM909))
) / 1000</f>
        <v>0</v>
      </c>
      <c r="CQ909" s="231">
        <f t="shared" si="896"/>
        <v>25</v>
      </c>
      <c r="CR909" s="229">
        <f t="shared" si="918"/>
        <v>38</v>
      </c>
      <c r="CS909" s="234">
        <f t="shared" si="919"/>
        <v>4.0666935483870965</v>
      </c>
      <c r="CT909" s="234" cm="1">
        <f t="array" ref="CT909">$BM909 * IF($AH909&lt;=2,
SUMPRODUCT(INDEX($AV$66:$AX$70,,$AI909), INDEX($AY$66:$BE$70,,$AH909), 1 / ($BF$66:$BF$70*CS909 + (1-$BF$66:$BF$70)*CO909), N($AU$66:$AU$70&gt;$AM909)),
SUMPRODUCT(INDEX($AV$56:$AX$65,,$AI909), INDEX($AY$56:$BE$65,,$AH909), 1 / ($BG$56:$BG$65*CS909 + (1-$BG$56:$BG$65)*CO909), N($AU$56:$AU$65&gt;$AM909))
) / 1000</f>
        <v>0</v>
      </c>
      <c r="CU909" s="231">
        <f t="shared" si="897"/>
        <v>20</v>
      </c>
      <c r="CV909" s="229">
        <f t="shared" si="920"/>
        <v>33</v>
      </c>
      <c r="CW909" s="234">
        <f t="shared" si="921"/>
        <v>4.8487499999999999</v>
      </c>
      <c r="CX909" s="234" cm="1">
        <f t="array" ref="CX909">$BM909 * IF($AH909&lt;=2,
SUMPRODUCT(INDEX($AV$61:$AX$65,,$AI909), INDEX($AY$61:$BE$65,,$AH909), 1 / ($BF$61:$BF$65*CW909 + (1-$BF$61:$BF$65)*CS909), N($AU$61:$AU$65&gt;$AM909)),
SUMPRODUCT(INDEX($AV$46:$AX$55,,$AI909), INDEX($AY$46:$BE$55,,$AH909), 1 / ($BG$46:$BG$55*CW909 + (1-$BG$46:$BG$55)*CS909), N($AU$46:$AU$55&gt;$AM909))
) / 1000</f>
        <v>0</v>
      </c>
      <c r="CY909" s="234" cm="1">
        <f t="array" ref="CY909">$BM909 * IF($AH909&lt;=2,
SUMPRODUCT(INDEX($AV$22:$AX$60,,$AI909), INDEX($AY$22:$BE$60,,$AH909), 1 / ($BF$22:$BF$60*CW909), N($AU$22:$AU$60&gt;$AM909)),
SUMPRODUCT(INDEX($AV$22:$AX$45,,$AI909), INDEX($AY$22:$BE$45,,$AH909), 1 / ($BG$22:$BG$45*CW909), N($AU$22:$AU$45&gt;$AM909))
) / 1000</f>
        <v>0</v>
      </c>
      <c r="CZ909" s="229">
        <f t="shared" si="922"/>
        <v>0</v>
      </c>
      <c r="DA909" s="246"/>
    </row>
    <row r="910" spans="1:105" s="75" customFormat="1" ht="14.25" customHeight="1" x14ac:dyDescent="0.2">
      <c r="A910" s="230" t="b">
        <f t="shared" si="889"/>
        <v>0</v>
      </c>
      <c r="B910" s="253">
        <v>889</v>
      </c>
      <c r="C910" s="266"/>
      <c r="D910" s="266"/>
      <c r="E910" s="254"/>
      <c r="F910" s="255" t="str">
        <f>IF(ISBLANK(E910), "", VLOOKUP(E910, Z!$A$2:$C$4127, 3, FALSE))</f>
        <v/>
      </c>
      <c r="G910" s="256"/>
      <c r="H910" s="256"/>
      <c r="I910" s="256"/>
      <c r="J910" s="257"/>
      <c r="K910" s="258"/>
      <c r="L910" s="267"/>
      <c r="M910" s="268"/>
      <c r="N910" s="259" t="str" cm="1">
        <f t="array" ref="N910">IF($L910&gt;0, INDEX(Clean,1+AK910,$D$1), "")</f>
        <v/>
      </c>
      <c r="O910" s="260"/>
      <c r="P910" s="260"/>
      <c r="Q910" s="261"/>
      <c r="R910" s="264">
        <f t="shared" si="898"/>
        <v>0</v>
      </c>
      <c r="S910" s="259" t="str" cm="1">
        <f t="array" ref="S910">IF($L910&gt;0, INDEX(Clean,1+AL910,$D$1), "")</f>
        <v/>
      </c>
      <c r="T910" s="260"/>
      <c r="U910" s="260"/>
      <c r="V910" s="261"/>
      <c r="W910" s="267"/>
      <c r="X910" s="267"/>
      <c r="Y910" s="257"/>
      <c r="Z910" s="264">
        <f t="shared" si="899"/>
        <v>0</v>
      </c>
      <c r="AA910" s="269"/>
      <c r="AB910" s="266"/>
      <c r="AC910" s="254"/>
      <c r="AD910" s="255" t="str">
        <f>IF(ISBLANK(AC910), "", VLOOKUP(AC910, Z!$A$2:$C$4127, 3, FALSE))</f>
        <v/>
      </c>
      <c r="AE910" s="270"/>
      <c r="AF910" s="265">
        <f t="shared" si="900"/>
        <v>0</v>
      </c>
      <c r="AG910" s="246"/>
      <c r="AH910" s="228">
        <f t="shared" si="923"/>
        <v>1</v>
      </c>
      <c r="AI910" s="228">
        <f t="shared" si="924"/>
        <v>1</v>
      </c>
      <c r="AJ910" s="228">
        <f t="shared" si="925"/>
        <v>0</v>
      </c>
      <c r="AK910" s="228">
        <v>0</v>
      </c>
      <c r="AL910" s="228">
        <v>0</v>
      </c>
      <c r="AM910" s="228">
        <f t="shared" si="901"/>
        <v>-100</v>
      </c>
      <c r="AN910" s="228" cm="1">
        <f t="array" ref="AN910">IF(ISBLANK(G910), 1, IFERROR(MATCH(G910, INDEX(Kat,,1), 0), IFERROR(MATCH(Kat, INDEX(Use,,2), 0), MATCH(Kat, INDEX(Use,,3), 0))))</f>
        <v>1</v>
      </c>
      <c r="AO910" s="246"/>
      <c r="AP910" s="228" cm="1">
        <f t="array" ref="AP910">IF(W910&gt;0, INDEX(Kat, AN910,4), 0)</f>
        <v>0</v>
      </c>
      <c r="AQ910" s="228">
        <f t="shared" si="926"/>
        <v>0</v>
      </c>
      <c r="AR910" s="228" cm="1">
        <f t="array" ref="AR910">IF(X910&gt;0, INDEX(Kat, $AN910, 4+AQ910), 0)</f>
        <v>0</v>
      </c>
      <c r="AS910" s="228" cm="1">
        <f t="array" ref="AS910">IF(X910&gt;0, INDEX(Kat, $AN910, 9+AQ910), 0)</f>
        <v>0</v>
      </c>
      <c r="AT910" s="246"/>
      <c r="AU910" s="262"/>
      <c r="AV910" s="262"/>
      <c r="AW910" s="263"/>
      <c r="AX910" s="263"/>
      <c r="AY910" s="263"/>
      <c r="AZ910" s="263"/>
      <c r="BA910" s="263"/>
      <c r="BB910" s="263"/>
      <c r="BC910" s="263"/>
      <c r="BD910" s="263"/>
      <c r="BE910" s="263"/>
      <c r="BF910" s="263"/>
      <c r="BG910" s="263"/>
      <c r="BH910" s="246"/>
      <c r="BI910" s="228" cm="1">
        <f t="array" ref="BI910">INDEX(Use, $AH910, 4)</f>
        <v>7</v>
      </c>
      <c r="BJ910" s="228">
        <f t="shared" si="902"/>
        <v>32</v>
      </c>
      <c r="BK910" s="228">
        <f t="shared" si="890"/>
        <v>13</v>
      </c>
      <c r="BL910" s="228">
        <f t="shared" si="891"/>
        <v>0</v>
      </c>
      <c r="BM910" s="233" cm="1">
        <f t="array" ref="BM910">L910/IF($M910&gt;0, INDEX($AY$22:$BE$76, $M910+20, $AH910), 1)</f>
        <v>0</v>
      </c>
      <c r="BN910" s="229">
        <f t="shared" si="903"/>
        <v>0</v>
      </c>
      <c r="BO910" s="228">
        <v>35</v>
      </c>
      <c r="BP910" s="229">
        <f t="shared" si="904"/>
        <v>48</v>
      </c>
      <c r="BQ910" s="234">
        <f t="shared" si="905"/>
        <v>3.0748170731707316</v>
      </c>
      <c r="BR910" s="234" cm="1">
        <f t="array" ref="BR910">$BM910 * SUMPRODUCT(INDEX($AV$76:$AX$81,,$AI910),INDEX($AY$76:$BE$81,,$AH910), N($AU$76:$AU$81&gt;$AM910)) / BQ910 / 1000</f>
        <v>0</v>
      </c>
      <c r="BS910" s="231">
        <f t="shared" si="892"/>
        <v>30</v>
      </c>
      <c r="BT910" s="229">
        <f t="shared" si="906"/>
        <v>43</v>
      </c>
      <c r="BU910" s="234">
        <f t="shared" si="907"/>
        <v>3.5018750000000001</v>
      </c>
      <c r="BV910" s="234" cm="1">
        <f t="array" ref="BV910">$BM910 * IF($AH910&lt;=2,
SUMPRODUCT(INDEX($AV$71:$AX$75,,$AI910), INDEX($AY$71:$BE$75,,$AH910), 1 / ($BF$71:$BF$75*BU910 + (1-$BF$71:$BF$75)*BQ910), N($AU$71:$AU$75&gt;$AM910)),
SUMPRODUCT(INDEX($AV$66:$AX$75,,$AI910), INDEX($AY$66:$BE$75,,$AH910), 1 / ($BG$66:$BG$75*BU910 + (1-$BG$66:$BG$75)*BQ910), N($AU$66:$AU$75&gt;$AM910))
) / 1000</f>
        <v>0</v>
      </c>
      <c r="BW910" s="231">
        <f t="shared" si="893"/>
        <v>25</v>
      </c>
      <c r="BX910" s="229">
        <f t="shared" si="908"/>
        <v>38</v>
      </c>
      <c r="BY910" s="234">
        <f t="shared" si="909"/>
        <v>4.0666935483870965</v>
      </c>
      <c r="BZ910" s="234" cm="1">
        <f t="array" ref="BZ910">$BM910 * IF($AH910&lt;=2,
SUMPRODUCT(INDEX($AV$66:$AX$70,,$AI910), INDEX($AY$66:$BE$70,,$AH910), 1 / ($BF$66:$BF$70*BY910 + (1-$BF$66:$BF$70)*BU910), N($AU$66:$AU$70&gt;$AM910)),
SUMPRODUCT(INDEX($AV$56:$AX$65,,$AI910), INDEX($AY$56:$BE$65,,$AH910), 1 / ($BG$56:$BG$65*BY910 + (1-$BG$56:$BG$65)*BU910), N($AU$56:$AU$65&gt;$AM910))
) / 1000</f>
        <v>0</v>
      </c>
      <c r="CA910" s="231">
        <f t="shared" si="894"/>
        <v>20</v>
      </c>
      <c r="CB910" s="229">
        <f t="shared" si="910"/>
        <v>33</v>
      </c>
      <c r="CC910" s="234">
        <f t="shared" si="911"/>
        <v>4.8487499999999999</v>
      </c>
      <c r="CD910" s="234" cm="1">
        <f t="array" ref="CD910">$BM910 * IF($AH910&lt;=2,
SUMPRODUCT(INDEX($AV$61:$AX$65,,$AI910), INDEX($AY$61:$BE$65,,$AH910), 1 / ($BF$61:$BF$65*CC910 + (1-$BF$61:$BF$65)*BY910), N($AU$61:$AU$65&gt;$AM910)),
SUMPRODUCT(INDEX($AV$46:$AX$55,,$AI910), INDEX($AY$46:$BE$55,,$AH910), 1 / ($BG$46:$BG$55*CC910 + (1-$BG$46:$BG$55)*BY910), N($AU$46:$AU$55&gt;$AM910))
) / 1000</f>
        <v>0</v>
      </c>
      <c r="CE910" s="234" cm="1">
        <f t="array" ref="CE910">$BM910 * IF($AH910&lt;=2,
SUMPRODUCT(INDEX($AV$22:$AX$60,,$AI910), INDEX($AY$22:$BE$60,,$AH910), 1 / ($BF$22:$BF$60*CC910), N($AU$22:$AU$60&gt;$AM910)),
SUMPRODUCT(INDEX($AV$22:$AX$45,,$AI910), INDEX($AY$22:$BE$45,,$AH910), 1 / ($BG$22:$BG$45*CC910), N($AU$22:$AU$45&gt;$AM910))
) / 1000</f>
        <v>0</v>
      </c>
      <c r="CF910" s="229">
        <f t="shared" si="912"/>
        <v>0</v>
      </c>
      <c r="CG910" s="246"/>
      <c r="CH910" s="229">
        <f t="shared" si="913"/>
        <v>0</v>
      </c>
      <c r="CI910" s="228">
        <v>35</v>
      </c>
      <c r="CJ910" s="229">
        <f t="shared" si="914"/>
        <v>48</v>
      </c>
      <c r="CK910" s="234">
        <f t="shared" si="915"/>
        <v>3.0748170731707316</v>
      </c>
      <c r="CL910" s="234" cm="1">
        <f t="array" ref="CL910">$BM910 * SUMPRODUCT(INDEX($AV$76:$AX$81,,$AI910),INDEX($AY$76:$BE$81,,$AH910), N($AU$76:$AU$81&gt;$AM910)) / CK910 / 1000</f>
        <v>0</v>
      </c>
      <c r="CM910" s="231">
        <f t="shared" si="895"/>
        <v>30</v>
      </c>
      <c r="CN910" s="229">
        <f t="shared" si="916"/>
        <v>43</v>
      </c>
      <c r="CO910" s="234">
        <f t="shared" si="917"/>
        <v>3.5018750000000001</v>
      </c>
      <c r="CP910" s="234" cm="1">
        <f t="array" ref="CP910">$BM910 * IF($AH910&lt;=2,
SUMPRODUCT(INDEX($AV$71:$AX$75,,$AI910), INDEX($AY$71:$BE$75,,$AH910), 1 / ($BF$71:$BF$75*CO910 + (1-$BF$71:$BF$75)*CK910), N($AU$71:$AU$75&gt;$AM910)),
SUMPRODUCT(INDEX($AV$66:$AX$75,,$AI910), INDEX($AY$66:$BE$75,,$AH910), 1 / ($BG$66:$BG$75*CO910 + (1-$BG$66:$BG$75)*CK910), N($AU$66:$AU$75&gt;$AM910))
) / 1000</f>
        <v>0</v>
      </c>
      <c r="CQ910" s="231">
        <f t="shared" si="896"/>
        <v>25</v>
      </c>
      <c r="CR910" s="229">
        <f t="shared" si="918"/>
        <v>38</v>
      </c>
      <c r="CS910" s="234">
        <f t="shared" si="919"/>
        <v>4.0666935483870965</v>
      </c>
      <c r="CT910" s="234" cm="1">
        <f t="array" ref="CT910">$BM910 * IF($AH910&lt;=2,
SUMPRODUCT(INDEX($AV$66:$AX$70,,$AI910), INDEX($AY$66:$BE$70,,$AH910), 1 / ($BF$66:$BF$70*CS910 + (1-$BF$66:$BF$70)*CO910), N($AU$66:$AU$70&gt;$AM910)),
SUMPRODUCT(INDEX($AV$56:$AX$65,,$AI910), INDEX($AY$56:$BE$65,,$AH910), 1 / ($BG$56:$BG$65*CS910 + (1-$BG$56:$BG$65)*CO910), N($AU$56:$AU$65&gt;$AM910))
) / 1000</f>
        <v>0</v>
      </c>
      <c r="CU910" s="231">
        <f t="shared" si="897"/>
        <v>20</v>
      </c>
      <c r="CV910" s="229">
        <f t="shared" si="920"/>
        <v>33</v>
      </c>
      <c r="CW910" s="234">
        <f t="shared" si="921"/>
        <v>4.8487499999999999</v>
      </c>
      <c r="CX910" s="234" cm="1">
        <f t="array" ref="CX910">$BM910 * IF($AH910&lt;=2,
SUMPRODUCT(INDEX($AV$61:$AX$65,,$AI910), INDEX($AY$61:$BE$65,,$AH910), 1 / ($BF$61:$BF$65*CW910 + (1-$BF$61:$BF$65)*CS910), N($AU$61:$AU$65&gt;$AM910)),
SUMPRODUCT(INDEX($AV$46:$AX$55,,$AI910), INDEX($AY$46:$BE$55,,$AH910), 1 / ($BG$46:$BG$55*CW910 + (1-$BG$46:$BG$55)*CS910), N($AU$46:$AU$55&gt;$AM910))
) / 1000</f>
        <v>0</v>
      </c>
      <c r="CY910" s="234" cm="1">
        <f t="array" ref="CY910">$BM910 * IF($AH910&lt;=2,
SUMPRODUCT(INDEX($AV$22:$AX$60,,$AI910), INDEX($AY$22:$BE$60,,$AH910), 1 / ($BF$22:$BF$60*CW910), N($AU$22:$AU$60&gt;$AM910)),
SUMPRODUCT(INDEX($AV$22:$AX$45,,$AI910), INDEX($AY$22:$BE$45,,$AH910), 1 / ($BG$22:$BG$45*CW910), N($AU$22:$AU$45&gt;$AM910))
) / 1000</f>
        <v>0</v>
      </c>
      <c r="CZ910" s="229">
        <f t="shared" si="922"/>
        <v>0</v>
      </c>
      <c r="DA910" s="246"/>
    </row>
    <row r="911" spans="1:105" s="75" customFormat="1" ht="14.25" customHeight="1" x14ac:dyDescent="0.2">
      <c r="A911" s="230" t="b">
        <f t="shared" si="889"/>
        <v>0</v>
      </c>
      <c r="B911" s="253">
        <v>890</v>
      </c>
      <c r="C911" s="266"/>
      <c r="D911" s="266"/>
      <c r="E911" s="254"/>
      <c r="F911" s="255" t="str">
        <f>IF(ISBLANK(E911), "", VLOOKUP(E911, Z!$A$2:$C$4127, 3, FALSE))</f>
        <v/>
      </c>
      <c r="G911" s="256"/>
      <c r="H911" s="256"/>
      <c r="I911" s="256"/>
      <c r="J911" s="257"/>
      <c r="K911" s="258"/>
      <c r="L911" s="267"/>
      <c r="M911" s="268"/>
      <c r="N911" s="259" t="str" cm="1">
        <f t="array" ref="N911">IF($L911&gt;0, INDEX(Clean,1+AK911,$D$1), "")</f>
        <v/>
      </c>
      <c r="O911" s="260"/>
      <c r="P911" s="260"/>
      <c r="Q911" s="261"/>
      <c r="R911" s="264">
        <f t="shared" si="898"/>
        <v>0</v>
      </c>
      <c r="S911" s="259" t="str" cm="1">
        <f t="array" ref="S911">IF($L911&gt;0, INDEX(Clean,1+AL911,$D$1), "")</f>
        <v/>
      </c>
      <c r="T911" s="260"/>
      <c r="U911" s="260"/>
      <c r="V911" s="261"/>
      <c r="W911" s="267"/>
      <c r="X911" s="267"/>
      <c r="Y911" s="257"/>
      <c r="Z911" s="264">
        <f t="shared" si="899"/>
        <v>0</v>
      </c>
      <c r="AA911" s="269"/>
      <c r="AB911" s="266"/>
      <c r="AC911" s="254"/>
      <c r="AD911" s="255" t="str">
        <f>IF(ISBLANK(AC911), "", VLOOKUP(AC911, Z!$A$2:$C$4127, 3, FALSE))</f>
        <v/>
      </c>
      <c r="AE911" s="270"/>
      <c r="AF911" s="265">
        <f t="shared" si="900"/>
        <v>0</v>
      </c>
      <c r="AG911" s="246"/>
      <c r="AH911" s="228">
        <f t="shared" si="923"/>
        <v>1</v>
      </c>
      <c r="AI911" s="228">
        <f t="shared" si="924"/>
        <v>1</v>
      </c>
      <c r="AJ911" s="228">
        <f t="shared" si="925"/>
        <v>0</v>
      </c>
      <c r="AK911" s="228">
        <v>0</v>
      </c>
      <c r="AL911" s="228">
        <v>0</v>
      </c>
      <c r="AM911" s="228">
        <f t="shared" si="901"/>
        <v>-100</v>
      </c>
      <c r="AN911" s="228" cm="1">
        <f t="array" ref="AN911">IF(ISBLANK(G911), 1, IFERROR(MATCH(G911, INDEX(Kat,,1), 0), IFERROR(MATCH(Kat, INDEX(Use,,2), 0), MATCH(Kat, INDEX(Use,,3), 0))))</f>
        <v>1</v>
      </c>
      <c r="AO911" s="246"/>
      <c r="AP911" s="228" cm="1">
        <f t="array" ref="AP911">IF(W911&gt;0, INDEX(Kat, AN911,4), 0)</f>
        <v>0</v>
      </c>
      <c r="AQ911" s="228">
        <f t="shared" si="926"/>
        <v>0</v>
      </c>
      <c r="AR911" s="228" cm="1">
        <f t="array" ref="AR911">IF(X911&gt;0, INDEX(Kat, $AN911, 4+AQ911), 0)</f>
        <v>0</v>
      </c>
      <c r="AS911" s="228" cm="1">
        <f t="array" ref="AS911">IF(X911&gt;0, INDEX(Kat, $AN911, 9+AQ911), 0)</f>
        <v>0</v>
      </c>
      <c r="AT911" s="246"/>
      <c r="AU911" s="262"/>
      <c r="AV911" s="262"/>
      <c r="AW911" s="263"/>
      <c r="AX911" s="263"/>
      <c r="AY911" s="263"/>
      <c r="AZ911" s="263"/>
      <c r="BA911" s="263"/>
      <c r="BB911" s="263"/>
      <c r="BC911" s="263"/>
      <c r="BD911" s="263"/>
      <c r="BE911" s="263"/>
      <c r="BF911" s="263"/>
      <c r="BG911" s="263"/>
      <c r="BH911" s="246"/>
      <c r="BI911" s="228" cm="1">
        <f t="array" ref="BI911">INDEX(Use, $AH911, 4)</f>
        <v>7</v>
      </c>
      <c r="BJ911" s="228">
        <f t="shared" si="902"/>
        <v>32</v>
      </c>
      <c r="BK911" s="228">
        <f t="shared" si="890"/>
        <v>13</v>
      </c>
      <c r="BL911" s="228">
        <f t="shared" si="891"/>
        <v>0</v>
      </c>
      <c r="BM911" s="233" cm="1">
        <f t="array" ref="BM911">L911/IF($M911&gt;0, INDEX($AY$22:$BE$76, $M911+20, $AH911), 1)</f>
        <v>0</v>
      </c>
      <c r="BN911" s="229">
        <f t="shared" si="903"/>
        <v>0</v>
      </c>
      <c r="BO911" s="228">
        <v>35</v>
      </c>
      <c r="BP911" s="229">
        <f t="shared" si="904"/>
        <v>48</v>
      </c>
      <c r="BQ911" s="234">
        <f t="shared" si="905"/>
        <v>3.0748170731707316</v>
      </c>
      <c r="BR911" s="234" cm="1">
        <f t="array" ref="BR911">$BM911 * SUMPRODUCT(INDEX($AV$76:$AX$81,,$AI911),INDEX($AY$76:$BE$81,,$AH911), N($AU$76:$AU$81&gt;$AM911)) / BQ911 / 1000</f>
        <v>0</v>
      </c>
      <c r="BS911" s="231">
        <f t="shared" si="892"/>
        <v>30</v>
      </c>
      <c r="BT911" s="229">
        <f t="shared" si="906"/>
        <v>43</v>
      </c>
      <c r="BU911" s="234">
        <f t="shared" si="907"/>
        <v>3.5018750000000001</v>
      </c>
      <c r="BV911" s="234" cm="1">
        <f t="array" ref="BV911">$BM911 * IF($AH911&lt;=2,
SUMPRODUCT(INDEX($AV$71:$AX$75,,$AI911), INDEX($AY$71:$BE$75,,$AH911), 1 / ($BF$71:$BF$75*BU911 + (1-$BF$71:$BF$75)*BQ911), N($AU$71:$AU$75&gt;$AM911)),
SUMPRODUCT(INDEX($AV$66:$AX$75,,$AI911), INDEX($AY$66:$BE$75,,$AH911), 1 / ($BG$66:$BG$75*BU911 + (1-$BG$66:$BG$75)*BQ911), N($AU$66:$AU$75&gt;$AM911))
) / 1000</f>
        <v>0</v>
      </c>
      <c r="BW911" s="231">
        <f t="shared" si="893"/>
        <v>25</v>
      </c>
      <c r="BX911" s="229">
        <f t="shared" si="908"/>
        <v>38</v>
      </c>
      <c r="BY911" s="234">
        <f t="shared" si="909"/>
        <v>4.0666935483870965</v>
      </c>
      <c r="BZ911" s="234" cm="1">
        <f t="array" ref="BZ911">$BM911 * IF($AH911&lt;=2,
SUMPRODUCT(INDEX($AV$66:$AX$70,,$AI911), INDEX($AY$66:$BE$70,,$AH911), 1 / ($BF$66:$BF$70*BY911 + (1-$BF$66:$BF$70)*BU911), N($AU$66:$AU$70&gt;$AM911)),
SUMPRODUCT(INDEX($AV$56:$AX$65,,$AI911), INDEX($AY$56:$BE$65,,$AH911), 1 / ($BG$56:$BG$65*BY911 + (1-$BG$56:$BG$65)*BU911), N($AU$56:$AU$65&gt;$AM911))
) / 1000</f>
        <v>0</v>
      </c>
      <c r="CA911" s="231">
        <f t="shared" si="894"/>
        <v>20</v>
      </c>
      <c r="CB911" s="229">
        <f t="shared" si="910"/>
        <v>33</v>
      </c>
      <c r="CC911" s="234">
        <f t="shared" si="911"/>
        <v>4.8487499999999999</v>
      </c>
      <c r="CD911" s="234" cm="1">
        <f t="array" ref="CD911">$BM911 * IF($AH911&lt;=2,
SUMPRODUCT(INDEX($AV$61:$AX$65,,$AI911), INDEX($AY$61:$BE$65,,$AH911), 1 / ($BF$61:$BF$65*CC911 + (1-$BF$61:$BF$65)*BY911), N($AU$61:$AU$65&gt;$AM911)),
SUMPRODUCT(INDEX($AV$46:$AX$55,,$AI911), INDEX($AY$46:$BE$55,,$AH911), 1 / ($BG$46:$BG$55*CC911 + (1-$BG$46:$BG$55)*BY911), N($AU$46:$AU$55&gt;$AM911))
) / 1000</f>
        <v>0</v>
      </c>
      <c r="CE911" s="234" cm="1">
        <f t="array" ref="CE911">$BM911 * IF($AH911&lt;=2,
SUMPRODUCT(INDEX($AV$22:$AX$60,,$AI911), INDEX($AY$22:$BE$60,,$AH911), 1 / ($BF$22:$BF$60*CC911), N($AU$22:$AU$60&gt;$AM911)),
SUMPRODUCT(INDEX($AV$22:$AX$45,,$AI911), INDEX($AY$22:$BE$45,,$AH911), 1 / ($BG$22:$BG$45*CC911), N($AU$22:$AU$45&gt;$AM911))
) / 1000</f>
        <v>0</v>
      </c>
      <c r="CF911" s="229">
        <f t="shared" si="912"/>
        <v>0</v>
      </c>
      <c r="CG911" s="246"/>
      <c r="CH911" s="229">
        <f t="shared" si="913"/>
        <v>0</v>
      </c>
      <c r="CI911" s="228">
        <v>35</v>
      </c>
      <c r="CJ911" s="229">
        <f t="shared" si="914"/>
        <v>48</v>
      </c>
      <c r="CK911" s="234">
        <f t="shared" si="915"/>
        <v>3.0748170731707316</v>
      </c>
      <c r="CL911" s="234" cm="1">
        <f t="array" ref="CL911">$BM911 * SUMPRODUCT(INDEX($AV$76:$AX$81,,$AI911),INDEX($AY$76:$BE$81,,$AH911), N($AU$76:$AU$81&gt;$AM911)) / CK911 / 1000</f>
        <v>0</v>
      </c>
      <c r="CM911" s="231">
        <f t="shared" si="895"/>
        <v>30</v>
      </c>
      <c r="CN911" s="229">
        <f t="shared" si="916"/>
        <v>43</v>
      </c>
      <c r="CO911" s="234">
        <f t="shared" si="917"/>
        <v>3.5018750000000001</v>
      </c>
      <c r="CP911" s="234" cm="1">
        <f t="array" ref="CP911">$BM911 * IF($AH911&lt;=2,
SUMPRODUCT(INDEX($AV$71:$AX$75,,$AI911), INDEX($AY$71:$BE$75,,$AH911), 1 / ($BF$71:$BF$75*CO911 + (1-$BF$71:$BF$75)*CK911), N($AU$71:$AU$75&gt;$AM911)),
SUMPRODUCT(INDEX($AV$66:$AX$75,,$AI911), INDEX($AY$66:$BE$75,,$AH911), 1 / ($BG$66:$BG$75*CO911 + (1-$BG$66:$BG$75)*CK911), N($AU$66:$AU$75&gt;$AM911))
) / 1000</f>
        <v>0</v>
      </c>
      <c r="CQ911" s="231">
        <f t="shared" si="896"/>
        <v>25</v>
      </c>
      <c r="CR911" s="229">
        <f t="shared" si="918"/>
        <v>38</v>
      </c>
      <c r="CS911" s="234">
        <f t="shared" si="919"/>
        <v>4.0666935483870965</v>
      </c>
      <c r="CT911" s="234" cm="1">
        <f t="array" ref="CT911">$BM911 * IF($AH911&lt;=2,
SUMPRODUCT(INDEX($AV$66:$AX$70,,$AI911), INDEX($AY$66:$BE$70,,$AH911), 1 / ($BF$66:$BF$70*CS911 + (1-$BF$66:$BF$70)*CO911), N($AU$66:$AU$70&gt;$AM911)),
SUMPRODUCT(INDEX($AV$56:$AX$65,,$AI911), INDEX($AY$56:$BE$65,,$AH911), 1 / ($BG$56:$BG$65*CS911 + (1-$BG$56:$BG$65)*CO911), N($AU$56:$AU$65&gt;$AM911))
) / 1000</f>
        <v>0</v>
      </c>
      <c r="CU911" s="231">
        <f t="shared" si="897"/>
        <v>20</v>
      </c>
      <c r="CV911" s="229">
        <f t="shared" si="920"/>
        <v>33</v>
      </c>
      <c r="CW911" s="234">
        <f t="shared" si="921"/>
        <v>4.8487499999999999</v>
      </c>
      <c r="CX911" s="234" cm="1">
        <f t="array" ref="CX911">$BM911 * IF($AH911&lt;=2,
SUMPRODUCT(INDEX($AV$61:$AX$65,,$AI911), INDEX($AY$61:$BE$65,,$AH911), 1 / ($BF$61:$BF$65*CW911 + (1-$BF$61:$BF$65)*CS911), N($AU$61:$AU$65&gt;$AM911)),
SUMPRODUCT(INDEX($AV$46:$AX$55,,$AI911), INDEX($AY$46:$BE$55,,$AH911), 1 / ($BG$46:$BG$55*CW911 + (1-$BG$46:$BG$55)*CS911), N($AU$46:$AU$55&gt;$AM911))
) / 1000</f>
        <v>0</v>
      </c>
      <c r="CY911" s="234" cm="1">
        <f t="array" ref="CY911">$BM911 * IF($AH911&lt;=2,
SUMPRODUCT(INDEX($AV$22:$AX$60,,$AI911), INDEX($AY$22:$BE$60,,$AH911), 1 / ($BF$22:$BF$60*CW911), N($AU$22:$AU$60&gt;$AM911)),
SUMPRODUCT(INDEX($AV$22:$AX$45,,$AI911), INDEX($AY$22:$BE$45,,$AH911), 1 / ($BG$22:$BG$45*CW911), N($AU$22:$AU$45&gt;$AM911))
) / 1000</f>
        <v>0</v>
      </c>
      <c r="CZ911" s="229">
        <f t="shared" si="922"/>
        <v>0</v>
      </c>
      <c r="DA911" s="246"/>
    </row>
    <row r="912" spans="1:105" s="75" customFormat="1" ht="14.25" customHeight="1" x14ac:dyDescent="0.2">
      <c r="A912" s="230" t="b">
        <f t="shared" si="889"/>
        <v>0</v>
      </c>
      <c r="B912" s="253">
        <v>891</v>
      </c>
      <c r="C912" s="266"/>
      <c r="D912" s="266"/>
      <c r="E912" s="254"/>
      <c r="F912" s="255" t="str">
        <f>IF(ISBLANK(E912), "", VLOOKUP(E912, Z!$A$2:$C$4127, 3, FALSE))</f>
        <v/>
      </c>
      <c r="G912" s="256"/>
      <c r="H912" s="256"/>
      <c r="I912" s="256"/>
      <c r="J912" s="257"/>
      <c r="K912" s="258"/>
      <c r="L912" s="267"/>
      <c r="M912" s="268"/>
      <c r="N912" s="259" t="str" cm="1">
        <f t="array" ref="N912">IF($L912&gt;0, INDEX(Clean,1+AK912,$D$1), "")</f>
        <v/>
      </c>
      <c r="O912" s="260"/>
      <c r="P912" s="260"/>
      <c r="Q912" s="261"/>
      <c r="R912" s="264">
        <f t="shared" si="898"/>
        <v>0</v>
      </c>
      <c r="S912" s="259" t="str" cm="1">
        <f t="array" ref="S912">IF($L912&gt;0, INDEX(Clean,1+AL912,$D$1), "")</f>
        <v/>
      </c>
      <c r="T912" s="260"/>
      <c r="U912" s="260"/>
      <c r="V912" s="261"/>
      <c r="W912" s="267"/>
      <c r="X912" s="267"/>
      <c r="Y912" s="257"/>
      <c r="Z912" s="264">
        <f t="shared" si="899"/>
        <v>0</v>
      </c>
      <c r="AA912" s="269"/>
      <c r="AB912" s="266"/>
      <c r="AC912" s="254"/>
      <c r="AD912" s="255" t="str">
        <f>IF(ISBLANK(AC912), "", VLOOKUP(AC912, Z!$A$2:$C$4127, 3, FALSE))</f>
        <v/>
      </c>
      <c r="AE912" s="270"/>
      <c r="AF912" s="265">
        <f t="shared" si="900"/>
        <v>0</v>
      </c>
      <c r="AG912" s="246"/>
      <c r="AH912" s="228">
        <f t="shared" si="923"/>
        <v>1</v>
      </c>
      <c r="AI912" s="228">
        <f t="shared" si="924"/>
        <v>1</v>
      </c>
      <c r="AJ912" s="228">
        <f t="shared" si="925"/>
        <v>0</v>
      </c>
      <c r="AK912" s="228">
        <v>0</v>
      </c>
      <c r="AL912" s="228">
        <v>0</v>
      </c>
      <c r="AM912" s="228">
        <f t="shared" si="901"/>
        <v>-100</v>
      </c>
      <c r="AN912" s="228" cm="1">
        <f t="array" ref="AN912">IF(ISBLANK(G912), 1, IFERROR(MATCH(G912, INDEX(Kat,,1), 0), IFERROR(MATCH(Kat, INDEX(Use,,2), 0), MATCH(Kat, INDEX(Use,,3), 0))))</f>
        <v>1</v>
      </c>
      <c r="AO912" s="246"/>
      <c r="AP912" s="228" cm="1">
        <f t="array" ref="AP912">IF(W912&gt;0, INDEX(Kat, AN912,4), 0)</f>
        <v>0</v>
      </c>
      <c r="AQ912" s="228">
        <f t="shared" si="926"/>
        <v>0</v>
      </c>
      <c r="AR912" s="228" cm="1">
        <f t="array" ref="AR912">IF(X912&gt;0, INDEX(Kat, $AN912, 4+AQ912), 0)</f>
        <v>0</v>
      </c>
      <c r="AS912" s="228" cm="1">
        <f t="array" ref="AS912">IF(X912&gt;0, INDEX(Kat, $AN912, 9+AQ912), 0)</f>
        <v>0</v>
      </c>
      <c r="AT912" s="246"/>
      <c r="AU912" s="262"/>
      <c r="AV912" s="262"/>
      <c r="AW912" s="263"/>
      <c r="AX912" s="263"/>
      <c r="AY912" s="263"/>
      <c r="AZ912" s="263"/>
      <c r="BA912" s="263"/>
      <c r="BB912" s="263"/>
      <c r="BC912" s="263"/>
      <c r="BD912" s="263"/>
      <c r="BE912" s="263"/>
      <c r="BF912" s="263"/>
      <c r="BG912" s="263"/>
      <c r="BH912" s="246"/>
      <c r="BI912" s="228" cm="1">
        <f t="array" ref="BI912">INDEX(Use, $AH912, 4)</f>
        <v>7</v>
      </c>
      <c r="BJ912" s="228">
        <f t="shared" si="902"/>
        <v>32</v>
      </c>
      <c r="BK912" s="228">
        <f t="shared" si="890"/>
        <v>13</v>
      </c>
      <c r="BL912" s="228">
        <f t="shared" si="891"/>
        <v>0</v>
      </c>
      <c r="BM912" s="233" cm="1">
        <f t="array" ref="BM912">L912/IF($M912&gt;0, INDEX($AY$22:$BE$76, $M912+20, $AH912), 1)</f>
        <v>0</v>
      </c>
      <c r="BN912" s="229">
        <f t="shared" si="903"/>
        <v>0</v>
      </c>
      <c r="BO912" s="228">
        <v>35</v>
      </c>
      <c r="BP912" s="229">
        <f t="shared" si="904"/>
        <v>48</v>
      </c>
      <c r="BQ912" s="234">
        <f t="shared" si="905"/>
        <v>3.0748170731707316</v>
      </c>
      <c r="BR912" s="234" cm="1">
        <f t="array" ref="BR912">$BM912 * SUMPRODUCT(INDEX($AV$76:$AX$81,,$AI912),INDEX($AY$76:$BE$81,,$AH912), N($AU$76:$AU$81&gt;$AM912)) / BQ912 / 1000</f>
        <v>0</v>
      </c>
      <c r="BS912" s="231">
        <f t="shared" si="892"/>
        <v>30</v>
      </c>
      <c r="BT912" s="229">
        <f t="shared" si="906"/>
        <v>43</v>
      </c>
      <c r="BU912" s="234">
        <f t="shared" si="907"/>
        <v>3.5018750000000001</v>
      </c>
      <c r="BV912" s="234" cm="1">
        <f t="array" ref="BV912">$BM912 * IF($AH912&lt;=2,
SUMPRODUCT(INDEX($AV$71:$AX$75,,$AI912), INDEX($AY$71:$BE$75,,$AH912), 1 / ($BF$71:$BF$75*BU912 + (1-$BF$71:$BF$75)*BQ912), N($AU$71:$AU$75&gt;$AM912)),
SUMPRODUCT(INDEX($AV$66:$AX$75,,$AI912), INDEX($AY$66:$BE$75,,$AH912), 1 / ($BG$66:$BG$75*BU912 + (1-$BG$66:$BG$75)*BQ912), N($AU$66:$AU$75&gt;$AM912))
) / 1000</f>
        <v>0</v>
      </c>
      <c r="BW912" s="231">
        <f t="shared" si="893"/>
        <v>25</v>
      </c>
      <c r="BX912" s="229">
        <f t="shared" si="908"/>
        <v>38</v>
      </c>
      <c r="BY912" s="234">
        <f t="shared" si="909"/>
        <v>4.0666935483870965</v>
      </c>
      <c r="BZ912" s="234" cm="1">
        <f t="array" ref="BZ912">$BM912 * IF($AH912&lt;=2,
SUMPRODUCT(INDEX($AV$66:$AX$70,,$AI912), INDEX($AY$66:$BE$70,,$AH912), 1 / ($BF$66:$BF$70*BY912 + (1-$BF$66:$BF$70)*BU912), N($AU$66:$AU$70&gt;$AM912)),
SUMPRODUCT(INDEX($AV$56:$AX$65,,$AI912), INDEX($AY$56:$BE$65,,$AH912), 1 / ($BG$56:$BG$65*BY912 + (1-$BG$56:$BG$65)*BU912), N($AU$56:$AU$65&gt;$AM912))
) / 1000</f>
        <v>0</v>
      </c>
      <c r="CA912" s="231">
        <f t="shared" si="894"/>
        <v>20</v>
      </c>
      <c r="CB912" s="229">
        <f t="shared" si="910"/>
        <v>33</v>
      </c>
      <c r="CC912" s="234">
        <f t="shared" si="911"/>
        <v>4.8487499999999999</v>
      </c>
      <c r="CD912" s="234" cm="1">
        <f t="array" ref="CD912">$BM912 * IF($AH912&lt;=2,
SUMPRODUCT(INDEX($AV$61:$AX$65,,$AI912), INDEX($AY$61:$BE$65,,$AH912), 1 / ($BF$61:$BF$65*CC912 + (1-$BF$61:$BF$65)*BY912), N($AU$61:$AU$65&gt;$AM912)),
SUMPRODUCT(INDEX($AV$46:$AX$55,,$AI912), INDEX($AY$46:$BE$55,,$AH912), 1 / ($BG$46:$BG$55*CC912 + (1-$BG$46:$BG$55)*BY912), N($AU$46:$AU$55&gt;$AM912))
) / 1000</f>
        <v>0</v>
      </c>
      <c r="CE912" s="234" cm="1">
        <f t="array" ref="CE912">$BM912 * IF($AH912&lt;=2,
SUMPRODUCT(INDEX($AV$22:$AX$60,,$AI912), INDEX($AY$22:$BE$60,,$AH912), 1 / ($BF$22:$BF$60*CC912), N($AU$22:$AU$60&gt;$AM912)),
SUMPRODUCT(INDEX($AV$22:$AX$45,,$AI912), INDEX($AY$22:$BE$45,,$AH912), 1 / ($BG$22:$BG$45*CC912), N($AU$22:$AU$45&gt;$AM912))
) / 1000</f>
        <v>0</v>
      </c>
      <c r="CF912" s="229">
        <f t="shared" si="912"/>
        <v>0</v>
      </c>
      <c r="CG912" s="246"/>
      <c r="CH912" s="229">
        <f t="shared" si="913"/>
        <v>0</v>
      </c>
      <c r="CI912" s="228">
        <v>35</v>
      </c>
      <c r="CJ912" s="229">
        <f t="shared" si="914"/>
        <v>48</v>
      </c>
      <c r="CK912" s="234">
        <f t="shared" si="915"/>
        <v>3.0748170731707316</v>
      </c>
      <c r="CL912" s="234" cm="1">
        <f t="array" ref="CL912">$BM912 * SUMPRODUCT(INDEX($AV$76:$AX$81,,$AI912),INDEX($AY$76:$BE$81,,$AH912), N($AU$76:$AU$81&gt;$AM912)) / CK912 / 1000</f>
        <v>0</v>
      </c>
      <c r="CM912" s="231">
        <f t="shared" si="895"/>
        <v>30</v>
      </c>
      <c r="CN912" s="229">
        <f t="shared" si="916"/>
        <v>43</v>
      </c>
      <c r="CO912" s="234">
        <f t="shared" si="917"/>
        <v>3.5018750000000001</v>
      </c>
      <c r="CP912" s="234" cm="1">
        <f t="array" ref="CP912">$BM912 * IF($AH912&lt;=2,
SUMPRODUCT(INDEX($AV$71:$AX$75,,$AI912), INDEX($AY$71:$BE$75,,$AH912), 1 / ($BF$71:$BF$75*CO912 + (1-$BF$71:$BF$75)*CK912), N($AU$71:$AU$75&gt;$AM912)),
SUMPRODUCT(INDEX($AV$66:$AX$75,,$AI912), INDEX($AY$66:$BE$75,,$AH912), 1 / ($BG$66:$BG$75*CO912 + (1-$BG$66:$BG$75)*CK912), N($AU$66:$AU$75&gt;$AM912))
) / 1000</f>
        <v>0</v>
      </c>
      <c r="CQ912" s="231">
        <f t="shared" si="896"/>
        <v>25</v>
      </c>
      <c r="CR912" s="229">
        <f t="shared" si="918"/>
        <v>38</v>
      </c>
      <c r="CS912" s="234">
        <f t="shared" si="919"/>
        <v>4.0666935483870965</v>
      </c>
      <c r="CT912" s="234" cm="1">
        <f t="array" ref="CT912">$BM912 * IF($AH912&lt;=2,
SUMPRODUCT(INDEX($AV$66:$AX$70,,$AI912), INDEX($AY$66:$BE$70,,$AH912), 1 / ($BF$66:$BF$70*CS912 + (1-$BF$66:$BF$70)*CO912), N($AU$66:$AU$70&gt;$AM912)),
SUMPRODUCT(INDEX($AV$56:$AX$65,,$AI912), INDEX($AY$56:$BE$65,,$AH912), 1 / ($BG$56:$BG$65*CS912 + (1-$BG$56:$BG$65)*CO912), N($AU$56:$AU$65&gt;$AM912))
) / 1000</f>
        <v>0</v>
      </c>
      <c r="CU912" s="231">
        <f t="shared" si="897"/>
        <v>20</v>
      </c>
      <c r="CV912" s="229">
        <f t="shared" si="920"/>
        <v>33</v>
      </c>
      <c r="CW912" s="234">
        <f t="shared" si="921"/>
        <v>4.8487499999999999</v>
      </c>
      <c r="CX912" s="234" cm="1">
        <f t="array" ref="CX912">$BM912 * IF($AH912&lt;=2,
SUMPRODUCT(INDEX($AV$61:$AX$65,,$AI912), INDEX($AY$61:$BE$65,,$AH912), 1 / ($BF$61:$BF$65*CW912 + (1-$BF$61:$BF$65)*CS912), N($AU$61:$AU$65&gt;$AM912)),
SUMPRODUCT(INDEX($AV$46:$AX$55,,$AI912), INDEX($AY$46:$BE$55,,$AH912), 1 / ($BG$46:$BG$55*CW912 + (1-$BG$46:$BG$55)*CS912), N($AU$46:$AU$55&gt;$AM912))
) / 1000</f>
        <v>0</v>
      </c>
      <c r="CY912" s="234" cm="1">
        <f t="array" ref="CY912">$BM912 * IF($AH912&lt;=2,
SUMPRODUCT(INDEX($AV$22:$AX$60,,$AI912), INDEX($AY$22:$BE$60,,$AH912), 1 / ($BF$22:$BF$60*CW912), N($AU$22:$AU$60&gt;$AM912)),
SUMPRODUCT(INDEX($AV$22:$AX$45,,$AI912), INDEX($AY$22:$BE$45,,$AH912), 1 / ($BG$22:$BG$45*CW912), N($AU$22:$AU$45&gt;$AM912))
) / 1000</f>
        <v>0</v>
      </c>
      <c r="CZ912" s="229">
        <f t="shared" si="922"/>
        <v>0</v>
      </c>
      <c r="DA912" s="246"/>
    </row>
    <row r="913" spans="1:105" s="75" customFormat="1" ht="14.25" customHeight="1" x14ac:dyDescent="0.2">
      <c r="A913" s="230" t="b">
        <f t="shared" si="889"/>
        <v>0</v>
      </c>
      <c r="B913" s="253">
        <v>892</v>
      </c>
      <c r="C913" s="266"/>
      <c r="D913" s="266"/>
      <c r="E913" s="254"/>
      <c r="F913" s="255" t="str">
        <f>IF(ISBLANK(E913), "", VLOOKUP(E913, Z!$A$2:$C$4127, 3, FALSE))</f>
        <v/>
      </c>
      <c r="G913" s="256"/>
      <c r="H913" s="256"/>
      <c r="I913" s="256"/>
      <c r="J913" s="257"/>
      <c r="K913" s="258"/>
      <c r="L913" s="267"/>
      <c r="M913" s="268"/>
      <c r="N913" s="259" t="str" cm="1">
        <f t="array" ref="N913">IF($L913&gt;0, INDEX(Clean,1+AK913,$D$1), "")</f>
        <v/>
      </c>
      <c r="O913" s="260"/>
      <c r="P913" s="260"/>
      <c r="Q913" s="261"/>
      <c r="R913" s="264">
        <f t="shared" si="898"/>
        <v>0</v>
      </c>
      <c r="S913" s="259" t="str" cm="1">
        <f t="array" ref="S913">IF($L913&gt;0, INDEX(Clean,1+AL913,$D$1), "")</f>
        <v/>
      </c>
      <c r="T913" s="260"/>
      <c r="U913" s="260"/>
      <c r="V913" s="261"/>
      <c r="W913" s="267"/>
      <c r="X913" s="267"/>
      <c r="Y913" s="257"/>
      <c r="Z913" s="264">
        <f t="shared" si="899"/>
        <v>0</v>
      </c>
      <c r="AA913" s="269"/>
      <c r="AB913" s="266"/>
      <c r="AC913" s="254"/>
      <c r="AD913" s="255" t="str">
        <f>IF(ISBLANK(AC913), "", VLOOKUP(AC913, Z!$A$2:$C$4127, 3, FALSE))</f>
        <v/>
      </c>
      <c r="AE913" s="270"/>
      <c r="AF913" s="265">
        <f t="shared" si="900"/>
        <v>0</v>
      </c>
      <c r="AG913" s="246"/>
      <c r="AH913" s="228">
        <f t="shared" si="923"/>
        <v>1</v>
      </c>
      <c r="AI913" s="228">
        <f t="shared" si="924"/>
        <v>1</v>
      </c>
      <c r="AJ913" s="228">
        <f t="shared" si="925"/>
        <v>0</v>
      </c>
      <c r="AK913" s="228">
        <v>0</v>
      </c>
      <c r="AL913" s="228">
        <v>0</v>
      </c>
      <c r="AM913" s="228">
        <f t="shared" si="901"/>
        <v>-100</v>
      </c>
      <c r="AN913" s="228" cm="1">
        <f t="array" ref="AN913">IF(ISBLANK(G913), 1, IFERROR(MATCH(G913, INDEX(Kat,,1), 0), IFERROR(MATCH(Kat, INDEX(Use,,2), 0), MATCH(Kat, INDEX(Use,,3), 0))))</f>
        <v>1</v>
      </c>
      <c r="AO913" s="246"/>
      <c r="AP913" s="228" cm="1">
        <f t="array" ref="AP913">IF(W913&gt;0, INDEX(Kat, AN913,4), 0)</f>
        <v>0</v>
      </c>
      <c r="AQ913" s="228">
        <f t="shared" si="926"/>
        <v>0</v>
      </c>
      <c r="AR913" s="228" cm="1">
        <f t="array" ref="AR913">IF(X913&gt;0, INDEX(Kat, $AN913, 4+AQ913), 0)</f>
        <v>0</v>
      </c>
      <c r="AS913" s="228" cm="1">
        <f t="array" ref="AS913">IF(X913&gt;0, INDEX(Kat, $AN913, 9+AQ913), 0)</f>
        <v>0</v>
      </c>
      <c r="AT913" s="246"/>
      <c r="AU913" s="262"/>
      <c r="AV913" s="262"/>
      <c r="AW913" s="263"/>
      <c r="AX913" s="263"/>
      <c r="AY913" s="263"/>
      <c r="AZ913" s="263"/>
      <c r="BA913" s="263"/>
      <c r="BB913" s="263"/>
      <c r="BC913" s="263"/>
      <c r="BD913" s="263"/>
      <c r="BE913" s="263"/>
      <c r="BF913" s="263"/>
      <c r="BG913" s="263"/>
      <c r="BH913" s="246"/>
      <c r="BI913" s="228" cm="1">
        <f t="array" ref="BI913">INDEX(Use, $AH913, 4)</f>
        <v>7</v>
      </c>
      <c r="BJ913" s="228">
        <f t="shared" si="902"/>
        <v>32</v>
      </c>
      <c r="BK913" s="228">
        <f t="shared" si="890"/>
        <v>13</v>
      </c>
      <c r="BL913" s="228">
        <f t="shared" si="891"/>
        <v>0</v>
      </c>
      <c r="BM913" s="233" cm="1">
        <f t="array" ref="BM913">L913/IF($M913&gt;0, INDEX($AY$22:$BE$76, $M913+20, $AH913), 1)</f>
        <v>0</v>
      </c>
      <c r="BN913" s="229">
        <f t="shared" si="903"/>
        <v>0</v>
      </c>
      <c r="BO913" s="228">
        <v>35</v>
      </c>
      <c r="BP913" s="229">
        <f t="shared" si="904"/>
        <v>48</v>
      </c>
      <c r="BQ913" s="234">
        <f t="shared" si="905"/>
        <v>3.0748170731707316</v>
      </c>
      <c r="BR913" s="234" cm="1">
        <f t="array" ref="BR913">$BM913 * SUMPRODUCT(INDEX($AV$76:$AX$81,,$AI913),INDEX($AY$76:$BE$81,,$AH913), N($AU$76:$AU$81&gt;$AM913)) / BQ913 / 1000</f>
        <v>0</v>
      </c>
      <c r="BS913" s="231">
        <f t="shared" si="892"/>
        <v>30</v>
      </c>
      <c r="BT913" s="229">
        <f t="shared" si="906"/>
        <v>43</v>
      </c>
      <c r="BU913" s="234">
        <f t="shared" si="907"/>
        <v>3.5018750000000001</v>
      </c>
      <c r="BV913" s="234" cm="1">
        <f t="array" ref="BV913">$BM913 * IF($AH913&lt;=2,
SUMPRODUCT(INDEX($AV$71:$AX$75,,$AI913), INDEX($AY$71:$BE$75,,$AH913), 1 / ($BF$71:$BF$75*BU913 + (1-$BF$71:$BF$75)*BQ913), N($AU$71:$AU$75&gt;$AM913)),
SUMPRODUCT(INDEX($AV$66:$AX$75,,$AI913), INDEX($AY$66:$BE$75,,$AH913), 1 / ($BG$66:$BG$75*BU913 + (1-$BG$66:$BG$75)*BQ913), N($AU$66:$AU$75&gt;$AM913))
) / 1000</f>
        <v>0</v>
      </c>
      <c r="BW913" s="231">
        <f t="shared" si="893"/>
        <v>25</v>
      </c>
      <c r="BX913" s="229">
        <f t="shared" si="908"/>
        <v>38</v>
      </c>
      <c r="BY913" s="234">
        <f t="shared" si="909"/>
        <v>4.0666935483870965</v>
      </c>
      <c r="BZ913" s="234" cm="1">
        <f t="array" ref="BZ913">$BM913 * IF($AH913&lt;=2,
SUMPRODUCT(INDEX($AV$66:$AX$70,,$AI913), INDEX($AY$66:$BE$70,,$AH913), 1 / ($BF$66:$BF$70*BY913 + (1-$BF$66:$BF$70)*BU913), N($AU$66:$AU$70&gt;$AM913)),
SUMPRODUCT(INDEX($AV$56:$AX$65,,$AI913), INDEX($AY$56:$BE$65,,$AH913), 1 / ($BG$56:$BG$65*BY913 + (1-$BG$56:$BG$65)*BU913), N($AU$56:$AU$65&gt;$AM913))
) / 1000</f>
        <v>0</v>
      </c>
      <c r="CA913" s="231">
        <f t="shared" si="894"/>
        <v>20</v>
      </c>
      <c r="CB913" s="229">
        <f t="shared" si="910"/>
        <v>33</v>
      </c>
      <c r="CC913" s="234">
        <f t="shared" si="911"/>
        <v>4.8487499999999999</v>
      </c>
      <c r="CD913" s="234" cm="1">
        <f t="array" ref="CD913">$BM913 * IF($AH913&lt;=2,
SUMPRODUCT(INDEX($AV$61:$AX$65,,$AI913), INDEX($AY$61:$BE$65,,$AH913), 1 / ($BF$61:$BF$65*CC913 + (1-$BF$61:$BF$65)*BY913), N($AU$61:$AU$65&gt;$AM913)),
SUMPRODUCT(INDEX($AV$46:$AX$55,,$AI913), INDEX($AY$46:$BE$55,,$AH913), 1 / ($BG$46:$BG$55*CC913 + (1-$BG$46:$BG$55)*BY913), N($AU$46:$AU$55&gt;$AM913))
) / 1000</f>
        <v>0</v>
      </c>
      <c r="CE913" s="234" cm="1">
        <f t="array" ref="CE913">$BM913 * IF($AH913&lt;=2,
SUMPRODUCT(INDEX($AV$22:$AX$60,,$AI913), INDEX($AY$22:$BE$60,,$AH913), 1 / ($BF$22:$BF$60*CC913), N($AU$22:$AU$60&gt;$AM913)),
SUMPRODUCT(INDEX($AV$22:$AX$45,,$AI913), INDEX($AY$22:$BE$45,,$AH913), 1 / ($BG$22:$BG$45*CC913), N($AU$22:$AU$45&gt;$AM913))
) / 1000</f>
        <v>0</v>
      </c>
      <c r="CF913" s="229">
        <f t="shared" si="912"/>
        <v>0</v>
      </c>
      <c r="CG913" s="246"/>
      <c r="CH913" s="229">
        <f t="shared" si="913"/>
        <v>0</v>
      </c>
      <c r="CI913" s="228">
        <v>35</v>
      </c>
      <c r="CJ913" s="229">
        <f t="shared" si="914"/>
        <v>48</v>
      </c>
      <c r="CK913" s="234">
        <f t="shared" si="915"/>
        <v>3.0748170731707316</v>
      </c>
      <c r="CL913" s="234" cm="1">
        <f t="array" ref="CL913">$BM913 * SUMPRODUCT(INDEX($AV$76:$AX$81,,$AI913),INDEX($AY$76:$BE$81,,$AH913), N($AU$76:$AU$81&gt;$AM913)) / CK913 / 1000</f>
        <v>0</v>
      </c>
      <c r="CM913" s="231">
        <f t="shared" si="895"/>
        <v>30</v>
      </c>
      <c r="CN913" s="229">
        <f t="shared" si="916"/>
        <v>43</v>
      </c>
      <c r="CO913" s="234">
        <f t="shared" si="917"/>
        <v>3.5018750000000001</v>
      </c>
      <c r="CP913" s="234" cm="1">
        <f t="array" ref="CP913">$BM913 * IF($AH913&lt;=2,
SUMPRODUCT(INDEX($AV$71:$AX$75,,$AI913), INDEX($AY$71:$BE$75,,$AH913), 1 / ($BF$71:$BF$75*CO913 + (1-$BF$71:$BF$75)*CK913), N($AU$71:$AU$75&gt;$AM913)),
SUMPRODUCT(INDEX($AV$66:$AX$75,,$AI913), INDEX($AY$66:$BE$75,,$AH913), 1 / ($BG$66:$BG$75*CO913 + (1-$BG$66:$BG$75)*CK913), N($AU$66:$AU$75&gt;$AM913))
) / 1000</f>
        <v>0</v>
      </c>
      <c r="CQ913" s="231">
        <f t="shared" si="896"/>
        <v>25</v>
      </c>
      <c r="CR913" s="229">
        <f t="shared" si="918"/>
        <v>38</v>
      </c>
      <c r="CS913" s="234">
        <f t="shared" si="919"/>
        <v>4.0666935483870965</v>
      </c>
      <c r="CT913" s="234" cm="1">
        <f t="array" ref="CT913">$BM913 * IF($AH913&lt;=2,
SUMPRODUCT(INDEX($AV$66:$AX$70,,$AI913), INDEX($AY$66:$BE$70,,$AH913), 1 / ($BF$66:$BF$70*CS913 + (1-$BF$66:$BF$70)*CO913), N($AU$66:$AU$70&gt;$AM913)),
SUMPRODUCT(INDEX($AV$56:$AX$65,,$AI913), INDEX($AY$56:$BE$65,,$AH913), 1 / ($BG$56:$BG$65*CS913 + (1-$BG$56:$BG$65)*CO913), N($AU$56:$AU$65&gt;$AM913))
) / 1000</f>
        <v>0</v>
      </c>
      <c r="CU913" s="231">
        <f t="shared" si="897"/>
        <v>20</v>
      </c>
      <c r="CV913" s="229">
        <f t="shared" si="920"/>
        <v>33</v>
      </c>
      <c r="CW913" s="234">
        <f t="shared" si="921"/>
        <v>4.8487499999999999</v>
      </c>
      <c r="CX913" s="234" cm="1">
        <f t="array" ref="CX913">$BM913 * IF($AH913&lt;=2,
SUMPRODUCT(INDEX($AV$61:$AX$65,,$AI913), INDEX($AY$61:$BE$65,,$AH913), 1 / ($BF$61:$BF$65*CW913 + (1-$BF$61:$BF$65)*CS913), N($AU$61:$AU$65&gt;$AM913)),
SUMPRODUCT(INDEX($AV$46:$AX$55,,$AI913), INDEX($AY$46:$BE$55,,$AH913), 1 / ($BG$46:$BG$55*CW913 + (1-$BG$46:$BG$55)*CS913), N($AU$46:$AU$55&gt;$AM913))
) / 1000</f>
        <v>0</v>
      </c>
      <c r="CY913" s="234" cm="1">
        <f t="array" ref="CY913">$BM913 * IF($AH913&lt;=2,
SUMPRODUCT(INDEX($AV$22:$AX$60,,$AI913), INDEX($AY$22:$BE$60,,$AH913), 1 / ($BF$22:$BF$60*CW913), N($AU$22:$AU$60&gt;$AM913)),
SUMPRODUCT(INDEX($AV$22:$AX$45,,$AI913), INDEX($AY$22:$BE$45,,$AH913), 1 / ($BG$22:$BG$45*CW913), N($AU$22:$AU$45&gt;$AM913))
) / 1000</f>
        <v>0</v>
      </c>
      <c r="CZ913" s="229">
        <f t="shared" si="922"/>
        <v>0</v>
      </c>
      <c r="DA913" s="246"/>
    </row>
    <row r="914" spans="1:105" s="75" customFormat="1" ht="14.25" customHeight="1" x14ac:dyDescent="0.2">
      <c r="A914" s="230" t="b">
        <f t="shared" si="889"/>
        <v>0</v>
      </c>
      <c r="B914" s="253">
        <v>893</v>
      </c>
      <c r="C914" s="266"/>
      <c r="D914" s="266"/>
      <c r="E914" s="254"/>
      <c r="F914" s="255" t="str">
        <f>IF(ISBLANK(E914), "", VLOOKUP(E914, Z!$A$2:$C$4127, 3, FALSE))</f>
        <v/>
      </c>
      <c r="G914" s="256"/>
      <c r="H914" s="256"/>
      <c r="I914" s="256"/>
      <c r="J914" s="257"/>
      <c r="K914" s="258"/>
      <c r="L914" s="267"/>
      <c r="M914" s="268"/>
      <c r="N914" s="259" t="str" cm="1">
        <f t="array" ref="N914">IF($L914&gt;0, INDEX(Clean,1+AK914,$D$1), "")</f>
        <v/>
      </c>
      <c r="O914" s="260"/>
      <c r="P914" s="260"/>
      <c r="Q914" s="261"/>
      <c r="R914" s="264">
        <f t="shared" si="898"/>
        <v>0</v>
      </c>
      <c r="S914" s="259" t="str" cm="1">
        <f t="array" ref="S914">IF($L914&gt;0, INDEX(Clean,1+AL914,$D$1), "")</f>
        <v/>
      </c>
      <c r="T914" s="260"/>
      <c r="U914" s="260"/>
      <c r="V914" s="261"/>
      <c r="W914" s="267"/>
      <c r="X914" s="267"/>
      <c r="Y914" s="257"/>
      <c r="Z914" s="264">
        <f t="shared" si="899"/>
        <v>0</v>
      </c>
      <c r="AA914" s="269"/>
      <c r="AB914" s="266"/>
      <c r="AC914" s="254"/>
      <c r="AD914" s="255" t="str">
        <f>IF(ISBLANK(AC914), "", VLOOKUP(AC914, Z!$A$2:$C$4127, 3, FALSE))</f>
        <v/>
      </c>
      <c r="AE914" s="270"/>
      <c r="AF914" s="265">
        <f t="shared" si="900"/>
        <v>0</v>
      </c>
      <c r="AG914" s="246"/>
      <c r="AH914" s="228">
        <f t="shared" si="923"/>
        <v>1</v>
      </c>
      <c r="AI914" s="228">
        <f t="shared" si="924"/>
        <v>1</v>
      </c>
      <c r="AJ914" s="228">
        <f t="shared" si="925"/>
        <v>0</v>
      </c>
      <c r="AK914" s="228">
        <v>0</v>
      </c>
      <c r="AL914" s="228">
        <v>0</v>
      </c>
      <c r="AM914" s="228">
        <f t="shared" si="901"/>
        <v>-100</v>
      </c>
      <c r="AN914" s="228" cm="1">
        <f t="array" ref="AN914">IF(ISBLANK(G914), 1, IFERROR(MATCH(G914, INDEX(Kat,,1), 0), IFERROR(MATCH(Kat, INDEX(Use,,2), 0), MATCH(Kat, INDEX(Use,,3), 0))))</f>
        <v>1</v>
      </c>
      <c r="AO914" s="246"/>
      <c r="AP914" s="228" cm="1">
        <f t="array" ref="AP914">IF(W914&gt;0, INDEX(Kat, AN914,4), 0)</f>
        <v>0</v>
      </c>
      <c r="AQ914" s="228">
        <f t="shared" si="926"/>
        <v>0</v>
      </c>
      <c r="AR914" s="228" cm="1">
        <f t="array" ref="AR914">IF(X914&gt;0, INDEX(Kat, $AN914, 4+AQ914), 0)</f>
        <v>0</v>
      </c>
      <c r="AS914" s="228" cm="1">
        <f t="array" ref="AS914">IF(X914&gt;0, INDEX(Kat, $AN914, 9+AQ914), 0)</f>
        <v>0</v>
      </c>
      <c r="AT914" s="246"/>
      <c r="AU914" s="262"/>
      <c r="AV914" s="262"/>
      <c r="AW914" s="263"/>
      <c r="AX914" s="263"/>
      <c r="AY914" s="263"/>
      <c r="AZ914" s="263"/>
      <c r="BA914" s="263"/>
      <c r="BB914" s="263"/>
      <c r="BC914" s="263"/>
      <c r="BD914" s="263"/>
      <c r="BE914" s="263"/>
      <c r="BF914" s="263"/>
      <c r="BG914" s="263"/>
      <c r="BH914" s="246"/>
      <c r="BI914" s="228" cm="1">
        <f t="array" ref="BI914">INDEX(Use, $AH914, 4)</f>
        <v>7</v>
      </c>
      <c r="BJ914" s="228">
        <f t="shared" si="902"/>
        <v>32</v>
      </c>
      <c r="BK914" s="228">
        <f t="shared" si="890"/>
        <v>13</v>
      </c>
      <c r="BL914" s="228">
        <f t="shared" si="891"/>
        <v>0</v>
      </c>
      <c r="BM914" s="233" cm="1">
        <f t="array" ref="BM914">L914/IF($M914&gt;0, INDEX($AY$22:$BE$76, $M914+20, $AH914), 1)</f>
        <v>0</v>
      </c>
      <c r="BN914" s="229">
        <f t="shared" si="903"/>
        <v>0</v>
      </c>
      <c r="BO914" s="228">
        <v>35</v>
      </c>
      <c r="BP914" s="229">
        <f t="shared" si="904"/>
        <v>48</v>
      </c>
      <c r="BQ914" s="234">
        <f t="shared" si="905"/>
        <v>3.0748170731707316</v>
      </c>
      <c r="BR914" s="234" cm="1">
        <f t="array" ref="BR914">$BM914 * SUMPRODUCT(INDEX($AV$76:$AX$81,,$AI914),INDEX($AY$76:$BE$81,,$AH914), N($AU$76:$AU$81&gt;$AM914)) / BQ914 / 1000</f>
        <v>0</v>
      </c>
      <c r="BS914" s="231">
        <f t="shared" si="892"/>
        <v>30</v>
      </c>
      <c r="BT914" s="229">
        <f t="shared" si="906"/>
        <v>43</v>
      </c>
      <c r="BU914" s="234">
        <f t="shared" si="907"/>
        <v>3.5018750000000001</v>
      </c>
      <c r="BV914" s="234" cm="1">
        <f t="array" ref="BV914">$BM914 * IF($AH914&lt;=2,
SUMPRODUCT(INDEX($AV$71:$AX$75,,$AI914), INDEX($AY$71:$BE$75,,$AH914), 1 / ($BF$71:$BF$75*BU914 + (1-$BF$71:$BF$75)*BQ914), N($AU$71:$AU$75&gt;$AM914)),
SUMPRODUCT(INDEX($AV$66:$AX$75,,$AI914), INDEX($AY$66:$BE$75,,$AH914), 1 / ($BG$66:$BG$75*BU914 + (1-$BG$66:$BG$75)*BQ914), N($AU$66:$AU$75&gt;$AM914))
) / 1000</f>
        <v>0</v>
      </c>
      <c r="BW914" s="231">
        <f t="shared" si="893"/>
        <v>25</v>
      </c>
      <c r="BX914" s="229">
        <f t="shared" si="908"/>
        <v>38</v>
      </c>
      <c r="BY914" s="234">
        <f t="shared" si="909"/>
        <v>4.0666935483870965</v>
      </c>
      <c r="BZ914" s="234" cm="1">
        <f t="array" ref="BZ914">$BM914 * IF($AH914&lt;=2,
SUMPRODUCT(INDEX($AV$66:$AX$70,,$AI914), INDEX($AY$66:$BE$70,,$AH914), 1 / ($BF$66:$BF$70*BY914 + (1-$BF$66:$BF$70)*BU914), N($AU$66:$AU$70&gt;$AM914)),
SUMPRODUCT(INDEX($AV$56:$AX$65,,$AI914), INDEX($AY$56:$BE$65,,$AH914), 1 / ($BG$56:$BG$65*BY914 + (1-$BG$56:$BG$65)*BU914), N($AU$56:$AU$65&gt;$AM914))
) / 1000</f>
        <v>0</v>
      </c>
      <c r="CA914" s="231">
        <f t="shared" si="894"/>
        <v>20</v>
      </c>
      <c r="CB914" s="229">
        <f t="shared" si="910"/>
        <v>33</v>
      </c>
      <c r="CC914" s="234">
        <f t="shared" si="911"/>
        <v>4.8487499999999999</v>
      </c>
      <c r="CD914" s="234" cm="1">
        <f t="array" ref="CD914">$BM914 * IF($AH914&lt;=2,
SUMPRODUCT(INDEX($AV$61:$AX$65,,$AI914), INDEX($AY$61:$BE$65,,$AH914), 1 / ($BF$61:$BF$65*CC914 + (1-$BF$61:$BF$65)*BY914), N($AU$61:$AU$65&gt;$AM914)),
SUMPRODUCT(INDEX($AV$46:$AX$55,,$AI914), INDEX($AY$46:$BE$55,,$AH914), 1 / ($BG$46:$BG$55*CC914 + (1-$BG$46:$BG$55)*BY914), N($AU$46:$AU$55&gt;$AM914))
) / 1000</f>
        <v>0</v>
      </c>
      <c r="CE914" s="234" cm="1">
        <f t="array" ref="CE914">$BM914 * IF($AH914&lt;=2,
SUMPRODUCT(INDEX($AV$22:$AX$60,,$AI914), INDEX($AY$22:$BE$60,,$AH914), 1 / ($BF$22:$BF$60*CC914), N($AU$22:$AU$60&gt;$AM914)),
SUMPRODUCT(INDEX($AV$22:$AX$45,,$AI914), INDEX($AY$22:$BE$45,,$AH914), 1 / ($BG$22:$BG$45*CC914), N($AU$22:$AU$45&gt;$AM914))
) / 1000</f>
        <v>0</v>
      </c>
      <c r="CF914" s="229">
        <f t="shared" si="912"/>
        <v>0</v>
      </c>
      <c r="CG914" s="246"/>
      <c r="CH914" s="229">
        <f t="shared" si="913"/>
        <v>0</v>
      </c>
      <c r="CI914" s="228">
        <v>35</v>
      </c>
      <c r="CJ914" s="229">
        <f t="shared" si="914"/>
        <v>48</v>
      </c>
      <c r="CK914" s="234">
        <f t="shared" si="915"/>
        <v>3.0748170731707316</v>
      </c>
      <c r="CL914" s="234" cm="1">
        <f t="array" ref="CL914">$BM914 * SUMPRODUCT(INDEX($AV$76:$AX$81,,$AI914),INDEX($AY$76:$BE$81,,$AH914), N($AU$76:$AU$81&gt;$AM914)) / CK914 / 1000</f>
        <v>0</v>
      </c>
      <c r="CM914" s="231">
        <f t="shared" si="895"/>
        <v>30</v>
      </c>
      <c r="CN914" s="229">
        <f t="shared" si="916"/>
        <v>43</v>
      </c>
      <c r="CO914" s="234">
        <f t="shared" si="917"/>
        <v>3.5018750000000001</v>
      </c>
      <c r="CP914" s="234" cm="1">
        <f t="array" ref="CP914">$BM914 * IF($AH914&lt;=2,
SUMPRODUCT(INDEX($AV$71:$AX$75,,$AI914), INDEX($AY$71:$BE$75,,$AH914), 1 / ($BF$71:$BF$75*CO914 + (1-$BF$71:$BF$75)*CK914), N($AU$71:$AU$75&gt;$AM914)),
SUMPRODUCT(INDEX($AV$66:$AX$75,,$AI914), INDEX($AY$66:$BE$75,,$AH914), 1 / ($BG$66:$BG$75*CO914 + (1-$BG$66:$BG$75)*CK914), N($AU$66:$AU$75&gt;$AM914))
) / 1000</f>
        <v>0</v>
      </c>
      <c r="CQ914" s="231">
        <f t="shared" si="896"/>
        <v>25</v>
      </c>
      <c r="CR914" s="229">
        <f t="shared" si="918"/>
        <v>38</v>
      </c>
      <c r="CS914" s="234">
        <f t="shared" si="919"/>
        <v>4.0666935483870965</v>
      </c>
      <c r="CT914" s="234" cm="1">
        <f t="array" ref="CT914">$BM914 * IF($AH914&lt;=2,
SUMPRODUCT(INDEX($AV$66:$AX$70,,$AI914), INDEX($AY$66:$BE$70,,$AH914), 1 / ($BF$66:$BF$70*CS914 + (1-$BF$66:$BF$70)*CO914), N($AU$66:$AU$70&gt;$AM914)),
SUMPRODUCT(INDEX($AV$56:$AX$65,,$AI914), INDEX($AY$56:$BE$65,,$AH914), 1 / ($BG$56:$BG$65*CS914 + (1-$BG$56:$BG$65)*CO914), N($AU$56:$AU$65&gt;$AM914))
) / 1000</f>
        <v>0</v>
      </c>
      <c r="CU914" s="231">
        <f t="shared" si="897"/>
        <v>20</v>
      </c>
      <c r="CV914" s="229">
        <f t="shared" si="920"/>
        <v>33</v>
      </c>
      <c r="CW914" s="234">
        <f t="shared" si="921"/>
        <v>4.8487499999999999</v>
      </c>
      <c r="CX914" s="234" cm="1">
        <f t="array" ref="CX914">$BM914 * IF($AH914&lt;=2,
SUMPRODUCT(INDEX($AV$61:$AX$65,,$AI914), INDEX($AY$61:$BE$65,,$AH914), 1 / ($BF$61:$BF$65*CW914 + (1-$BF$61:$BF$65)*CS914), N($AU$61:$AU$65&gt;$AM914)),
SUMPRODUCT(INDEX($AV$46:$AX$55,,$AI914), INDEX($AY$46:$BE$55,,$AH914), 1 / ($BG$46:$BG$55*CW914 + (1-$BG$46:$BG$55)*CS914), N($AU$46:$AU$55&gt;$AM914))
) / 1000</f>
        <v>0</v>
      </c>
      <c r="CY914" s="234" cm="1">
        <f t="array" ref="CY914">$BM914 * IF($AH914&lt;=2,
SUMPRODUCT(INDEX($AV$22:$AX$60,,$AI914), INDEX($AY$22:$BE$60,,$AH914), 1 / ($BF$22:$BF$60*CW914), N($AU$22:$AU$60&gt;$AM914)),
SUMPRODUCT(INDEX($AV$22:$AX$45,,$AI914), INDEX($AY$22:$BE$45,,$AH914), 1 / ($BG$22:$BG$45*CW914), N($AU$22:$AU$45&gt;$AM914))
) / 1000</f>
        <v>0</v>
      </c>
      <c r="CZ914" s="229">
        <f t="shared" si="922"/>
        <v>0</v>
      </c>
      <c r="DA914" s="246"/>
    </row>
    <row r="915" spans="1:105" s="75" customFormat="1" ht="14.25" customHeight="1" x14ac:dyDescent="0.2">
      <c r="A915" s="230" t="b">
        <f t="shared" si="889"/>
        <v>0</v>
      </c>
      <c r="B915" s="253">
        <v>894</v>
      </c>
      <c r="C915" s="266"/>
      <c r="D915" s="266"/>
      <c r="E915" s="254"/>
      <c r="F915" s="255" t="str">
        <f>IF(ISBLANK(E915), "", VLOOKUP(E915, Z!$A$2:$C$4127, 3, FALSE))</f>
        <v/>
      </c>
      <c r="G915" s="256"/>
      <c r="H915" s="256"/>
      <c r="I915" s="256"/>
      <c r="J915" s="257"/>
      <c r="K915" s="258"/>
      <c r="L915" s="267"/>
      <c r="M915" s="268"/>
      <c r="N915" s="259" t="str" cm="1">
        <f t="array" ref="N915">IF($L915&gt;0, INDEX(Clean,1+AK915,$D$1), "")</f>
        <v/>
      </c>
      <c r="O915" s="260"/>
      <c r="P915" s="260"/>
      <c r="Q915" s="261"/>
      <c r="R915" s="264">
        <f t="shared" si="898"/>
        <v>0</v>
      </c>
      <c r="S915" s="259" t="str" cm="1">
        <f t="array" ref="S915">IF($L915&gt;0, INDEX(Clean,1+AL915,$D$1), "")</f>
        <v/>
      </c>
      <c r="T915" s="260"/>
      <c r="U915" s="260"/>
      <c r="V915" s="261"/>
      <c r="W915" s="267"/>
      <c r="X915" s="267"/>
      <c r="Y915" s="257"/>
      <c r="Z915" s="264">
        <f t="shared" si="899"/>
        <v>0</v>
      </c>
      <c r="AA915" s="269"/>
      <c r="AB915" s="266"/>
      <c r="AC915" s="254"/>
      <c r="AD915" s="255" t="str">
        <f>IF(ISBLANK(AC915), "", VLOOKUP(AC915, Z!$A$2:$C$4127, 3, FALSE))</f>
        <v/>
      </c>
      <c r="AE915" s="270"/>
      <c r="AF915" s="265">
        <f t="shared" si="900"/>
        <v>0</v>
      </c>
      <c r="AG915" s="246"/>
      <c r="AH915" s="228">
        <f t="shared" si="923"/>
        <v>1</v>
      </c>
      <c r="AI915" s="228">
        <f t="shared" si="924"/>
        <v>1</v>
      </c>
      <c r="AJ915" s="228">
        <f t="shared" si="925"/>
        <v>0</v>
      </c>
      <c r="AK915" s="228">
        <v>0</v>
      </c>
      <c r="AL915" s="228">
        <v>0</v>
      </c>
      <c r="AM915" s="228">
        <f t="shared" si="901"/>
        <v>-100</v>
      </c>
      <c r="AN915" s="228" cm="1">
        <f t="array" ref="AN915">IF(ISBLANK(G915), 1, IFERROR(MATCH(G915, INDEX(Kat,,1), 0), IFERROR(MATCH(Kat, INDEX(Use,,2), 0), MATCH(Kat, INDEX(Use,,3), 0))))</f>
        <v>1</v>
      </c>
      <c r="AO915" s="246"/>
      <c r="AP915" s="228" cm="1">
        <f t="array" ref="AP915">IF(W915&gt;0, INDEX(Kat, AN915,4), 0)</f>
        <v>0</v>
      </c>
      <c r="AQ915" s="228">
        <f t="shared" si="926"/>
        <v>0</v>
      </c>
      <c r="AR915" s="228" cm="1">
        <f t="array" ref="AR915">IF(X915&gt;0, INDEX(Kat, $AN915, 4+AQ915), 0)</f>
        <v>0</v>
      </c>
      <c r="AS915" s="228" cm="1">
        <f t="array" ref="AS915">IF(X915&gt;0, INDEX(Kat, $AN915, 9+AQ915), 0)</f>
        <v>0</v>
      </c>
      <c r="AT915" s="246"/>
      <c r="AU915" s="262"/>
      <c r="AV915" s="262"/>
      <c r="AW915" s="263"/>
      <c r="AX915" s="263"/>
      <c r="AY915" s="263"/>
      <c r="AZ915" s="263"/>
      <c r="BA915" s="263"/>
      <c r="BB915" s="263"/>
      <c r="BC915" s="263"/>
      <c r="BD915" s="263"/>
      <c r="BE915" s="263"/>
      <c r="BF915" s="263"/>
      <c r="BG915" s="263"/>
      <c r="BH915" s="246"/>
      <c r="BI915" s="228" cm="1">
        <f t="array" ref="BI915">INDEX(Use, $AH915, 4)</f>
        <v>7</v>
      </c>
      <c r="BJ915" s="228">
        <f t="shared" si="902"/>
        <v>32</v>
      </c>
      <c r="BK915" s="228">
        <f t="shared" si="890"/>
        <v>13</v>
      </c>
      <c r="BL915" s="228">
        <f t="shared" si="891"/>
        <v>0</v>
      </c>
      <c r="BM915" s="233" cm="1">
        <f t="array" ref="BM915">L915/IF($M915&gt;0, INDEX($AY$22:$BE$76, $M915+20, $AH915), 1)</f>
        <v>0</v>
      </c>
      <c r="BN915" s="229">
        <f t="shared" si="903"/>
        <v>0</v>
      </c>
      <c r="BO915" s="228">
        <v>35</v>
      </c>
      <c r="BP915" s="229">
        <f t="shared" si="904"/>
        <v>48</v>
      </c>
      <c r="BQ915" s="234">
        <f t="shared" si="905"/>
        <v>3.0748170731707316</v>
      </c>
      <c r="BR915" s="234" cm="1">
        <f t="array" ref="BR915">$BM915 * SUMPRODUCT(INDEX($AV$76:$AX$81,,$AI915),INDEX($AY$76:$BE$81,,$AH915), N($AU$76:$AU$81&gt;$AM915)) / BQ915 / 1000</f>
        <v>0</v>
      </c>
      <c r="BS915" s="231">
        <f t="shared" si="892"/>
        <v>30</v>
      </c>
      <c r="BT915" s="229">
        <f t="shared" si="906"/>
        <v>43</v>
      </c>
      <c r="BU915" s="234">
        <f t="shared" si="907"/>
        <v>3.5018750000000001</v>
      </c>
      <c r="BV915" s="234" cm="1">
        <f t="array" ref="BV915">$BM915 * IF($AH915&lt;=2,
SUMPRODUCT(INDEX($AV$71:$AX$75,,$AI915), INDEX($AY$71:$BE$75,,$AH915), 1 / ($BF$71:$BF$75*BU915 + (1-$BF$71:$BF$75)*BQ915), N($AU$71:$AU$75&gt;$AM915)),
SUMPRODUCT(INDEX($AV$66:$AX$75,,$AI915), INDEX($AY$66:$BE$75,,$AH915), 1 / ($BG$66:$BG$75*BU915 + (1-$BG$66:$BG$75)*BQ915), N($AU$66:$AU$75&gt;$AM915))
) / 1000</f>
        <v>0</v>
      </c>
      <c r="BW915" s="231">
        <f t="shared" si="893"/>
        <v>25</v>
      </c>
      <c r="BX915" s="229">
        <f t="shared" si="908"/>
        <v>38</v>
      </c>
      <c r="BY915" s="234">
        <f t="shared" si="909"/>
        <v>4.0666935483870965</v>
      </c>
      <c r="BZ915" s="234" cm="1">
        <f t="array" ref="BZ915">$BM915 * IF($AH915&lt;=2,
SUMPRODUCT(INDEX($AV$66:$AX$70,,$AI915), INDEX($AY$66:$BE$70,,$AH915), 1 / ($BF$66:$BF$70*BY915 + (1-$BF$66:$BF$70)*BU915), N($AU$66:$AU$70&gt;$AM915)),
SUMPRODUCT(INDEX($AV$56:$AX$65,,$AI915), INDEX($AY$56:$BE$65,,$AH915), 1 / ($BG$56:$BG$65*BY915 + (1-$BG$56:$BG$65)*BU915), N($AU$56:$AU$65&gt;$AM915))
) / 1000</f>
        <v>0</v>
      </c>
      <c r="CA915" s="231">
        <f t="shared" si="894"/>
        <v>20</v>
      </c>
      <c r="CB915" s="229">
        <f t="shared" si="910"/>
        <v>33</v>
      </c>
      <c r="CC915" s="234">
        <f t="shared" si="911"/>
        <v>4.8487499999999999</v>
      </c>
      <c r="CD915" s="234" cm="1">
        <f t="array" ref="CD915">$BM915 * IF($AH915&lt;=2,
SUMPRODUCT(INDEX($AV$61:$AX$65,,$AI915), INDEX($AY$61:$BE$65,,$AH915), 1 / ($BF$61:$BF$65*CC915 + (1-$BF$61:$BF$65)*BY915), N($AU$61:$AU$65&gt;$AM915)),
SUMPRODUCT(INDEX($AV$46:$AX$55,,$AI915), INDEX($AY$46:$BE$55,,$AH915), 1 / ($BG$46:$BG$55*CC915 + (1-$BG$46:$BG$55)*BY915), N($AU$46:$AU$55&gt;$AM915))
) / 1000</f>
        <v>0</v>
      </c>
      <c r="CE915" s="234" cm="1">
        <f t="array" ref="CE915">$BM915 * IF($AH915&lt;=2,
SUMPRODUCT(INDEX($AV$22:$AX$60,,$AI915), INDEX($AY$22:$BE$60,,$AH915), 1 / ($BF$22:$BF$60*CC915), N($AU$22:$AU$60&gt;$AM915)),
SUMPRODUCT(INDEX($AV$22:$AX$45,,$AI915), INDEX($AY$22:$BE$45,,$AH915), 1 / ($BG$22:$BG$45*CC915), N($AU$22:$AU$45&gt;$AM915))
) / 1000</f>
        <v>0</v>
      </c>
      <c r="CF915" s="229">
        <f t="shared" si="912"/>
        <v>0</v>
      </c>
      <c r="CG915" s="246"/>
      <c r="CH915" s="229">
        <f t="shared" si="913"/>
        <v>0</v>
      </c>
      <c r="CI915" s="228">
        <v>35</v>
      </c>
      <c r="CJ915" s="229">
        <f t="shared" si="914"/>
        <v>48</v>
      </c>
      <c r="CK915" s="234">
        <f t="shared" si="915"/>
        <v>3.0748170731707316</v>
      </c>
      <c r="CL915" s="234" cm="1">
        <f t="array" ref="CL915">$BM915 * SUMPRODUCT(INDEX($AV$76:$AX$81,,$AI915),INDEX($AY$76:$BE$81,,$AH915), N($AU$76:$AU$81&gt;$AM915)) / CK915 / 1000</f>
        <v>0</v>
      </c>
      <c r="CM915" s="231">
        <f t="shared" si="895"/>
        <v>30</v>
      </c>
      <c r="CN915" s="229">
        <f t="shared" si="916"/>
        <v>43</v>
      </c>
      <c r="CO915" s="234">
        <f t="shared" si="917"/>
        <v>3.5018750000000001</v>
      </c>
      <c r="CP915" s="234" cm="1">
        <f t="array" ref="CP915">$BM915 * IF($AH915&lt;=2,
SUMPRODUCT(INDEX($AV$71:$AX$75,,$AI915), INDEX($AY$71:$BE$75,,$AH915), 1 / ($BF$71:$BF$75*CO915 + (1-$BF$71:$BF$75)*CK915), N($AU$71:$AU$75&gt;$AM915)),
SUMPRODUCT(INDEX($AV$66:$AX$75,,$AI915), INDEX($AY$66:$BE$75,,$AH915), 1 / ($BG$66:$BG$75*CO915 + (1-$BG$66:$BG$75)*CK915), N($AU$66:$AU$75&gt;$AM915))
) / 1000</f>
        <v>0</v>
      </c>
      <c r="CQ915" s="231">
        <f t="shared" si="896"/>
        <v>25</v>
      </c>
      <c r="CR915" s="229">
        <f t="shared" si="918"/>
        <v>38</v>
      </c>
      <c r="CS915" s="234">
        <f t="shared" si="919"/>
        <v>4.0666935483870965</v>
      </c>
      <c r="CT915" s="234" cm="1">
        <f t="array" ref="CT915">$BM915 * IF($AH915&lt;=2,
SUMPRODUCT(INDEX($AV$66:$AX$70,,$AI915), INDEX($AY$66:$BE$70,,$AH915), 1 / ($BF$66:$BF$70*CS915 + (1-$BF$66:$BF$70)*CO915), N($AU$66:$AU$70&gt;$AM915)),
SUMPRODUCT(INDEX($AV$56:$AX$65,,$AI915), INDEX($AY$56:$BE$65,,$AH915), 1 / ($BG$56:$BG$65*CS915 + (1-$BG$56:$BG$65)*CO915), N($AU$56:$AU$65&gt;$AM915))
) / 1000</f>
        <v>0</v>
      </c>
      <c r="CU915" s="231">
        <f t="shared" si="897"/>
        <v>20</v>
      </c>
      <c r="CV915" s="229">
        <f t="shared" si="920"/>
        <v>33</v>
      </c>
      <c r="CW915" s="234">
        <f t="shared" si="921"/>
        <v>4.8487499999999999</v>
      </c>
      <c r="CX915" s="234" cm="1">
        <f t="array" ref="CX915">$BM915 * IF($AH915&lt;=2,
SUMPRODUCT(INDEX($AV$61:$AX$65,,$AI915), INDEX($AY$61:$BE$65,,$AH915), 1 / ($BF$61:$BF$65*CW915 + (1-$BF$61:$BF$65)*CS915), N($AU$61:$AU$65&gt;$AM915)),
SUMPRODUCT(INDEX($AV$46:$AX$55,,$AI915), INDEX($AY$46:$BE$55,,$AH915), 1 / ($BG$46:$BG$55*CW915 + (1-$BG$46:$BG$55)*CS915), N($AU$46:$AU$55&gt;$AM915))
) / 1000</f>
        <v>0</v>
      </c>
      <c r="CY915" s="234" cm="1">
        <f t="array" ref="CY915">$BM915 * IF($AH915&lt;=2,
SUMPRODUCT(INDEX($AV$22:$AX$60,,$AI915), INDEX($AY$22:$BE$60,,$AH915), 1 / ($BF$22:$BF$60*CW915), N($AU$22:$AU$60&gt;$AM915)),
SUMPRODUCT(INDEX($AV$22:$AX$45,,$AI915), INDEX($AY$22:$BE$45,,$AH915), 1 / ($BG$22:$BG$45*CW915), N($AU$22:$AU$45&gt;$AM915))
) / 1000</f>
        <v>0</v>
      </c>
      <c r="CZ915" s="229">
        <f t="shared" si="922"/>
        <v>0</v>
      </c>
      <c r="DA915" s="246"/>
    </row>
    <row r="916" spans="1:105" s="75" customFormat="1" ht="14.25" customHeight="1" x14ac:dyDescent="0.2">
      <c r="A916" s="230" t="b">
        <f t="shared" si="889"/>
        <v>0</v>
      </c>
      <c r="B916" s="253">
        <v>895</v>
      </c>
      <c r="C916" s="266"/>
      <c r="D916" s="266"/>
      <c r="E916" s="254"/>
      <c r="F916" s="255" t="str">
        <f>IF(ISBLANK(E916), "", VLOOKUP(E916, Z!$A$2:$C$4127, 3, FALSE))</f>
        <v/>
      </c>
      <c r="G916" s="256"/>
      <c r="H916" s="256"/>
      <c r="I916" s="256"/>
      <c r="J916" s="257"/>
      <c r="K916" s="258"/>
      <c r="L916" s="267"/>
      <c r="M916" s="268"/>
      <c r="N916" s="259" t="str" cm="1">
        <f t="array" ref="N916">IF($L916&gt;0, INDEX(Clean,1+AK916,$D$1), "")</f>
        <v/>
      </c>
      <c r="O916" s="260"/>
      <c r="P916" s="260"/>
      <c r="Q916" s="261"/>
      <c r="R916" s="264">
        <f t="shared" si="898"/>
        <v>0</v>
      </c>
      <c r="S916" s="259" t="str" cm="1">
        <f t="array" ref="S916">IF($L916&gt;0, INDEX(Clean,1+AL916,$D$1), "")</f>
        <v/>
      </c>
      <c r="T916" s="260"/>
      <c r="U916" s="260"/>
      <c r="V916" s="261"/>
      <c r="W916" s="267"/>
      <c r="X916" s="267"/>
      <c r="Y916" s="257"/>
      <c r="Z916" s="264">
        <f t="shared" si="899"/>
        <v>0</v>
      </c>
      <c r="AA916" s="269"/>
      <c r="AB916" s="266"/>
      <c r="AC916" s="254"/>
      <c r="AD916" s="255" t="str">
        <f>IF(ISBLANK(AC916), "", VLOOKUP(AC916, Z!$A$2:$C$4127, 3, FALSE))</f>
        <v/>
      </c>
      <c r="AE916" s="270"/>
      <c r="AF916" s="265">
        <f t="shared" si="900"/>
        <v>0</v>
      </c>
      <c r="AG916" s="246"/>
      <c r="AH916" s="228">
        <f t="shared" si="923"/>
        <v>1</v>
      </c>
      <c r="AI916" s="228">
        <f t="shared" si="924"/>
        <v>1</v>
      </c>
      <c r="AJ916" s="228">
        <f t="shared" si="925"/>
        <v>0</v>
      </c>
      <c r="AK916" s="228">
        <v>0</v>
      </c>
      <c r="AL916" s="228">
        <v>0</v>
      </c>
      <c r="AM916" s="228">
        <f t="shared" si="901"/>
        <v>-100</v>
      </c>
      <c r="AN916" s="228" cm="1">
        <f t="array" ref="AN916">IF(ISBLANK(G916), 1, IFERROR(MATCH(G916, INDEX(Kat,,1), 0), IFERROR(MATCH(Kat, INDEX(Use,,2), 0), MATCH(Kat, INDEX(Use,,3), 0))))</f>
        <v>1</v>
      </c>
      <c r="AO916" s="246"/>
      <c r="AP916" s="228" cm="1">
        <f t="array" ref="AP916">IF(W916&gt;0, INDEX(Kat, AN916,4), 0)</f>
        <v>0</v>
      </c>
      <c r="AQ916" s="228">
        <f t="shared" si="926"/>
        <v>0</v>
      </c>
      <c r="AR916" s="228" cm="1">
        <f t="array" ref="AR916">IF(X916&gt;0, INDEX(Kat, $AN916, 4+AQ916), 0)</f>
        <v>0</v>
      </c>
      <c r="AS916" s="228" cm="1">
        <f t="array" ref="AS916">IF(X916&gt;0, INDEX(Kat, $AN916, 9+AQ916), 0)</f>
        <v>0</v>
      </c>
      <c r="AT916" s="246"/>
      <c r="AU916" s="262"/>
      <c r="AV916" s="262"/>
      <c r="AW916" s="263"/>
      <c r="AX916" s="263"/>
      <c r="AY916" s="263"/>
      <c r="AZ916" s="263"/>
      <c r="BA916" s="263"/>
      <c r="BB916" s="263"/>
      <c r="BC916" s="263"/>
      <c r="BD916" s="263"/>
      <c r="BE916" s="263"/>
      <c r="BF916" s="263"/>
      <c r="BG916" s="263"/>
      <c r="BH916" s="246"/>
      <c r="BI916" s="228" cm="1">
        <f t="array" ref="BI916">INDEX(Use, $AH916, 4)</f>
        <v>7</v>
      </c>
      <c r="BJ916" s="228">
        <f t="shared" si="902"/>
        <v>32</v>
      </c>
      <c r="BK916" s="228">
        <f t="shared" si="890"/>
        <v>13</v>
      </c>
      <c r="BL916" s="228">
        <f t="shared" si="891"/>
        <v>0</v>
      </c>
      <c r="BM916" s="233" cm="1">
        <f t="array" ref="BM916">L916/IF($M916&gt;0, INDEX($AY$22:$BE$76, $M916+20, $AH916), 1)</f>
        <v>0</v>
      </c>
      <c r="BN916" s="229">
        <f t="shared" si="903"/>
        <v>0</v>
      </c>
      <c r="BO916" s="228">
        <v>35</v>
      </c>
      <c r="BP916" s="229">
        <f t="shared" si="904"/>
        <v>48</v>
      </c>
      <c r="BQ916" s="234">
        <f t="shared" si="905"/>
        <v>3.0748170731707316</v>
      </c>
      <c r="BR916" s="234" cm="1">
        <f t="array" ref="BR916">$BM916 * SUMPRODUCT(INDEX($AV$76:$AX$81,,$AI916),INDEX($AY$76:$BE$81,,$AH916), N($AU$76:$AU$81&gt;$AM916)) / BQ916 / 1000</f>
        <v>0</v>
      </c>
      <c r="BS916" s="231">
        <f t="shared" si="892"/>
        <v>30</v>
      </c>
      <c r="BT916" s="229">
        <f t="shared" si="906"/>
        <v>43</v>
      </c>
      <c r="BU916" s="234">
        <f t="shared" si="907"/>
        <v>3.5018750000000001</v>
      </c>
      <c r="BV916" s="234" cm="1">
        <f t="array" ref="BV916">$BM916 * IF($AH916&lt;=2,
SUMPRODUCT(INDEX($AV$71:$AX$75,,$AI916), INDEX($AY$71:$BE$75,,$AH916), 1 / ($BF$71:$BF$75*BU916 + (1-$BF$71:$BF$75)*BQ916), N($AU$71:$AU$75&gt;$AM916)),
SUMPRODUCT(INDEX($AV$66:$AX$75,,$AI916), INDEX($AY$66:$BE$75,,$AH916), 1 / ($BG$66:$BG$75*BU916 + (1-$BG$66:$BG$75)*BQ916), N($AU$66:$AU$75&gt;$AM916))
) / 1000</f>
        <v>0</v>
      </c>
      <c r="BW916" s="231">
        <f t="shared" si="893"/>
        <v>25</v>
      </c>
      <c r="BX916" s="229">
        <f t="shared" si="908"/>
        <v>38</v>
      </c>
      <c r="BY916" s="234">
        <f t="shared" si="909"/>
        <v>4.0666935483870965</v>
      </c>
      <c r="BZ916" s="234" cm="1">
        <f t="array" ref="BZ916">$BM916 * IF($AH916&lt;=2,
SUMPRODUCT(INDEX($AV$66:$AX$70,,$AI916), INDEX($AY$66:$BE$70,,$AH916), 1 / ($BF$66:$BF$70*BY916 + (1-$BF$66:$BF$70)*BU916), N($AU$66:$AU$70&gt;$AM916)),
SUMPRODUCT(INDEX($AV$56:$AX$65,,$AI916), INDEX($AY$56:$BE$65,,$AH916), 1 / ($BG$56:$BG$65*BY916 + (1-$BG$56:$BG$65)*BU916), N($AU$56:$AU$65&gt;$AM916))
) / 1000</f>
        <v>0</v>
      </c>
      <c r="CA916" s="231">
        <f t="shared" si="894"/>
        <v>20</v>
      </c>
      <c r="CB916" s="229">
        <f t="shared" si="910"/>
        <v>33</v>
      </c>
      <c r="CC916" s="234">
        <f t="shared" si="911"/>
        <v>4.8487499999999999</v>
      </c>
      <c r="CD916" s="234" cm="1">
        <f t="array" ref="CD916">$BM916 * IF($AH916&lt;=2,
SUMPRODUCT(INDEX($AV$61:$AX$65,,$AI916), INDEX($AY$61:$BE$65,,$AH916), 1 / ($BF$61:$BF$65*CC916 + (1-$BF$61:$BF$65)*BY916), N($AU$61:$AU$65&gt;$AM916)),
SUMPRODUCT(INDEX($AV$46:$AX$55,,$AI916), INDEX($AY$46:$BE$55,,$AH916), 1 / ($BG$46:$BG$55*CC916 + (1-$BG$46:$BG$55)*BY916), N($AU$46:$AU$55&gt;$AM916))
) / 1000</f>
        <v>0</v>
      </c>
      <c r="CE916" s="234" cm="1">
        <f t="array" ref="CE916">$BM916 * IF($AH916&lt;=2,
SUMPRODUCT(INDEX($AV$22:$AX$60,,$AI916), INDEX($AY$22:$BE$60,,$AH916), 1 / ($BF$22:$BF$60*CC916), N($AU$22:$AU$60&gt;$AM916)),
SUMPRODUCT(INDEX($AV$22:$AX$45,,$AI916), INDEX($AY$22:$BE$45,,$AH916), 1 / ($BG$22:$BG$45*CC916), N($AU$22:$AU$45&gt;$AM916))
) / 1000</f>
        <v>0</v>
      </c>
      <c r="CF916" s="229">
        <f t="shared" si="912"/>
        <v>0</v>
      </c>
      <c r="CG916" s="246"/>
      <c r="CH916" s="229">
        <f t="shared" si="913"/>
        <v>0</v>
      </c>
      <c r="CI916" s="228">
        <v>35</v>
      </c>
      <c r="CJ916" s="229">
        <f t="shared" si="914"/>
        <v>48</v>
      </c>
      <c r="CK916" s="234">
        <f t="shared" si="915"/>
        <v>3.0748170731707316</v>
      </c>
      <c r="CL916" s="234" cm="1">
        <f t="array" ref="CL916">$BM916 * SUMPRODUCT(INDEX($AV$76:$AX$81,,$AI916),INDEX($AY$76:$BE$81,,$AH916), N($AU$76:$AU$81&gt;$AM916)) / CK916 / 1000</f>
        <v>0</v>
      </c>
      <c r="CM916" s="231">
        <f t="shared" si="895"/>
        <v>30</v>
      </c>
      <c r="CN916" s="229">
        <f t="shared" si="916"/>
        <v>43</v>
      </c>
      <c r="CO916" s="234">
        <f t="shared" si="917"/>
        <v>3.5018750000000001</v>
      </c>
      <c r="CP916" s="234" cm="1">
        <f t="array" ref="CP916">$BM916 * IF($AH916&lt;=2,
SUMPRODUCT(INDEX($AV$71:$AX$75,,$AI916), INDEX($AY$71:$BE$75,,$AH916), 1 / ($BF$71:$BF$75*CO916 + (1-$BF$71:$BF$75)*CK916), N($AU$71:$AU$75&gt;$AM916)),
SUMPRODUCT(INDEX($AV$66:$AX$75,,$AI916), INDEX($AY$66:$BE$75,,$AH916), 1 / ($BG$66:$BG$75*CO916 + (1-$BG$66:$BG$75)*CK916), N($AU$66:$AU$75&gt;$AM916))
) / 1000</f>
        <v>0</v>
      </c>
      <c r="CQ916" s="231">
        <f t="shared" si="896"/>
        <v>25</v>
      </c>
      <c r="CR916" s="229">
        <f t="shared" si="918"/>
        <v>38</v>
      </c>
      <c r="CS916" s="234">
        <f t="shared" si="919"/>
        <v>4.0666935483870965</v>
      </c>
      <c r="CT916" s="234" cm="1">
        <f t="array" ref="CT916">$BM916 * IF($AH916&lt;=2,
SUMPRODUCT(INDEX($AV$66:$AX$70,,$AI916), INDEX($AY$66:$BE$70,,$AH916), 1 / ($BF$66:$BF$70*CS916 + (1-$BF$66:$BF$70)*CO916), N($AU$66:$AU$70&gt;$AM916)),
SUMPRODUCT(INDEX($AV$56:$AX$65,,$AI916), INDEX($AY$56:$BE$65,,$AH916), 1 / ($BG$56:$BG$65*CS916 + (1-$BG$56:$BG$65)*CO916), N($AU$56:$AU$65&gt;$AM916))
) / 1000</f>
        <v>0</v>
      </c>
      <c r="CU916" s="231">
        <f t="shared" si="897"/>
        <v>20</v>
      </c>
      <c r="CV916" s="229">
        <f t="shared" si="920"/>
        <v>33</v>
      </c>
      <c r="CW916" s="234">
        <f t="shared" si="921"/>
        <v>4.8487499999999999</v>
      </c>
      <c r="CX916" s="234" cm="1">
        <f t="array" ref="CX916">$BM916 * IF($AH916&lt;=2,
SUMPRODUCT(INDEX($AV$61:$AX$65,,$AI916), INDEX($AY$61:$BE$65,,$AH916), 1 / ($BF$61:$BF$65*CW916 + (1-$BF$61:$BF$65)*CS916), N($AU$61:$AU$65&gt;$AM916)),
SUMPRODUCT(INDEX($AV$46:$AX$55,,$AI916), INDEX($AY$46:$BE$55,,$AH916), 1 / ($BG$46:$BG$55*CW916 + (1-$BG$46:$BG$55)*CS916), N($AU$46:$AU$55&gt;$AM916))
) / 1000</f>
        <v>0</v>
      </c>
      <c r="CY916" s="234" cm="1">
        <f t="array" ref="CY916">$BM916 * IF($AH916&lt;=2,
SUMPRODUCT(INDEX($AV$22:$AX$60,,$AI916), INDEX($AY$22:$BE$60,,$AH916), 1 / ($BF$22:$BF$60*CW916), N($AU$22:$AU$60&gt;$AM916)),
SUMPRODUCT(INDEX($AV$22:$AX$45,,$AI916), INDEX($AY$22:$BE$45,,$AH916), 1 / ($BG$22:$BG$45*CW916), N($AU$22:$AU$45&gt;$AM916))
) / 1000</f>
        <v>0</v>
      </c>
      <c r="CZ916" s="229">
        <f t="shared" si="922"/>
        <v>0</v>
      </c>
      <c r="DA916" s="246"/>
    </row>
    <row r="917" spans="1:105" s="75" customFormat="1" ht="14.25" customHeight="1" x14ac:dyDescent="0.2">
      <c r="A917" s="230" t="b">
        <f t="shared" ref="A917:A980" si="927">IF(OR(AND($L917&gt;80, $AH917=1), AND($L917&gt;40, $AH917=3), AND($L917&gt;30, $AH917=4),), TRUE, FALSE)</f>
        <v>0</v>
      </c>
      <c r="B917" s="253">
        <v>896</v>
      </c>
      <c r="C917" s="266"/>
      <c r="D917" s="266"/>
      <c r="E917" s="254"/>
      <c r="F917" s="255" t="str">
        <f>IF(ISBLANK(E917), "", VLOOKUP(E917, Z!$A$2:$C$4127, 3, FALSE))</f>
        <v/>
      </c>
      <c r="G917" s="256"/>
      <c r="H917" s="256"/>
      <c r="I917" s="256"/>
      <c r="J917" s="257"/>
      <c r="K917" s="258"/>
      <c r="L917" s="267"/>
      <c r="M917" s="268"/>
      <c r="N917" s="259" t="str" cm="1">
        <f t="array" ref="N917">IF($L917&gt;0, INDEX(Clean,1+AK917,$D$1), "")</f>
        <v/>
      </c>
      <c r="O917" s="260"/>
      <c r="P917" s="260"/>
      <c r="Q917" s="261"/>
      <c r="R917" s="264">
        <f t="shared" si="898"/>
        <v>0</v>
      </c>
      <c r="S917" s="259" t="str" cm="1">
        <f t="array" ref="S917">IF($L917&gt;0, INDEX(Clean,1+AL917,$D$1), "")</f>
        <v/>
      </c>
      <c r="T917" s="260"/>
      <c r="U917" s="260"/>
      <c r="V917" s="261"/>
      <c r="W917" s="267"/>
      <c r="X917" s="267"/>
      <c r="Y917" s="257"/>
      <c r="Z917" s="264">
        <f t="shared" si="899"/>
        <v>0</v>
      </c>
      <c r="AA917" s="269"/>
      <c r="AB917" s="266"/>
      <c r="AC917" s="254"/>
      <c r="AD917" s="255" t="str">
        <f>IF(ISBLANK(AC917), "", VLOOKUP(AC917, Z!$A$2:$C$4127, 3, FALSE))</f>
        <v/>
      </c>
      <c r="AE917" s="270"/>
      <c r="AF917" s="265">
        <f t="shared" si="900"/>
        <v>0</v>
      </c>
      <c r="AG917" s="246"/>
      <c r="AH917" s="228">
        <f t="shared" si="923"/>
        <v>1</v>
      </c>
      <c r="AI917" s="228">
        <f t="shared" si="924"/>
        <v>1</v>
      </c>
      <c r="AJ917" s="228">
        <f t="shared" si="925"/>
        <v>0</v>
      </c>
      <c r="AK917" s="228">
        <v>0</v>
      </c>
      <c r="AL917" s="228">
        <v>0</v>
      </c>
      <c r="AM917" s="228">
        <f t="shared" si="901"/>
        <v>-100</v>
      </c>
      <c r="AN917" s="228" cm="1">
        <f t="array" ref="AN917">IF(ISBLANK(G917), 1, IFERROR(MATCH(G917, INDEX(Kat,,1), 0), IFERROR(MATCH(Kat, INDEX(Use,,2), 0), MATCH(Kat, INDEX(Use,,3), 0))))</f>
        <v>1</v>
      </c>
      <c r="AO917" s="246"/>
      <c r="AP917" s="228" cm="1">
        <f t="array" ref="AP917">IF(W917&gt;0, INDEX(Kat, AN917,4), 0)</f>
        <v>0</v>
      </c>
      <c r="AQ917" s="228">
        <f t="shared" si="926"/>
        <v>0</v>
      </c>
      <c r="AR917" s="228" cm="1">
        <f t="array" ref="AR917">IF(X917&gt;0, INDEX(Kat, $AN917, 4+AQ917), 0)</f>
        <v>0</v>
      </c>
      <c r="AS917" s="228" cm="1">
        <f t="array" ref="AS917">IF(X917&gt;0, INDEX(Kat, $AN917, 9+AQ917), 0)</f>
        <v>0</v>
      </c>
      <c r="AT917" s="246"/>
      <c r="AU917" s="262"/>
      <c r="AV917" s="262"/>
      <c r="AW917" s="263"/>
      <c r="AX917" s="263"/>
      <c r="AY917" s="263"/>
      <c r="AZ917" s="263"/>
      <c r="BA917" s="263"/>
      <c r="BB917" s="263"/>
      <c r="BC917" s="263"/>
      <c r="BD917" s="263"/>
      <c r="BE917" s="263"/>
      <c r="BF917" s="263"/>
      <c r="BG917" s="263"/>
      <c r="BH917" s="246"/>
      <c r="BI917" s="228" cm="1">
        <f t="array" ref="BI917">INDEX(Use, $AH917, 4)</f>
        <v>7</v>
      </c>
      <c r="BJ917" s="228">
        <f t="shared" si="902"/>
        <v>32</v>
      </c>
      <c r="BK917" s="228">
        <f t="shared" si="890"/>
        <v>13</v>
      </c>
      <c r="BL917" s="228">
        <f t="shared" si="891"/>
        <v>0</v>
      </c>
      <c r="BM917" s="233" cm="1">
        <f t="array" ref="BM917">L917/IF($M917&gt;0, INDEX($AY$22:$BE$76, $M917+20, $AH917), 1)</f>
        <v>0</v>
      </c>
      <c r="BN917" s="229">
        <f t="shared" si="903"/>
        <v>0</v>
      </c>
      <c r="BO917" s="228">
        <v>35</v>
      </c>
      <c r="BP917" s="229">
        <f t="shared" si="904"/>
        <v>48</v>
      </c>
      <c r="BQ917" s="234">
        <f t="shared" si="905"/>
        <v>3.0748170731707316</v>
      </c>
      <c r="BR917" s="234" cm="1">
        <f t="array" ref="BR917">$BM917 * SUMPRODUCT(INDEX($AV$76:$AX$81,,$AI917),INDEX($AY$76:$BE$81,,$AH917), N($AU$76:$AU$81&gt;$AM917)) / BQ917 / 1000</f>
        <v>0</v>
      </c>
      <c r="BS917" s="231">
        <f t="shared" si="892"/>
        <v>30</v>
      </c>
      <c r="BT917" s="229">
        <f t="shared" si="906"/>
        <v>43</v>
      </c>
      <c r="BU917" s="234">
        <f t="shared" si="907"/>
        <v>3.5018750000000001</v>
      </c>
      <c r="BV917" s="234" cm="1">
        <f t="array" ref="BV917">$BM917 * IF($AH917&lt;=2,
SUMPRODUCT(INDEX($AV$71:$AX$75,,$AI917), INDEX($AY$71:$BE$75,,$AH917), 1 / ($BF$71:$BF$75*BU917 + (1-$BF$71:$BF$75)*BQ917), N($AU$71:$AU$75&gt;$AM917)),
SUMPRODUCT(INDEX($AV$66:$AX$75,,$AI917), INDEX($AY$66:$BE$75,,$AH917), 1 / ($BG$66:$BG$75*BU917 + (1-$BG$66:$BG$75)*BQ917), N($AU$66:$AU$75&gt;$AM917))
) / 1000</f>
        <v>0</v>
      </c>
      <c r="BW917" s="231">
        <f t="shared" si="893"/>
        <v>25</v>
      </c>
      <c r="BX917" s="229">
        <f t="shared" si="908"/>
        <v>38</v>
      </c>
      <c r="BY917" s="234">
        <f t="shared" si="909"/>
        <v>4.0666935483870965</v>
      </c>
      <c r="BZ917" s="234" cm="1">
        <f t="array" ref="BZ917">$BM917 * IF($AH917&lt;=2,
SUMPRODUCT(INDEX($AV$66:$AX$70,,$AI917), INDEX($AY$66:$BE$70,,$AH917), 1 / ($BF$66:$BF$70*BY917 + (1-$BF$66:$BF$70)*BU917), N($AU$66:$AU$70&gt;$AM917)),
SUMPRODUCT(INDEX($AV$56:$AX$65,,$AI917), INDEX($AY$56:$BE$65,,$AH917), 1 / ($BG$56:$BG$65*BY917 + (1-$BG$56:$BG$65)*BU917), N($AU$56:$AU$65&gt;$AM917))
) / 1000</f>
        <v>0</v>
      </c>
      <c r="CA917" s="231">
        <f t="shared" si="894"/>
        <v>20</v>
      </c>
      <c r="CB917" s="229">
        <f t="shared" si="910"/>
        <v>33</v>
      </c>
      <c r="CC917" s="234">
        <f t="shared" si="911"/>
        <v>4.8487499999999999</v>
      </c>
      <c r="CD917" s="234" cm="1">
        <f t="array" ref="CD917">$BM917 * IF($AH917&lt;=2,
SUMPRODUCT(INDEX($AV$61:$AX$65,,$AI917), INDEX($AY$61:$BE$65,,$AH917), 1 / ($BF$61:$BF$65*CC917 + (1-$BF$61:$BF$65)*BY917), N($AU$61:$AU$65&gt;$AM917)),
SUMPRODUCT(INDEX($AV$46:$AX$55,,$AI917), INDEX($AY$46:$BE$55,,$AH917), 1 / ($BG$46:$BG$55*CC917 + (1-$BG$46:$BG$55)*BY917), N($AU$46:$AU$55&gt;$AM917))
) / 1000</f>
        <v>0</v>
      </c>
      <c r="CE917" s="234" cm="1">
        <f t="array" ref="CE917">$BM917 * IF($AH917&lt;=2,
SUMPRODUCT(INDEX($AV$22:$AX$60,,$AI917), INDEX($AY$22:$BE$60,,$AH917), 1 / ($BF$22:$BF$60*CC917), N($AU$22:$AU$60&gt;$AM917)),
SUMPRODUCT(INDEX($AV$22:$AX$45,,$AI917), INDEX($AY$22:$BE$45,,$AH917), 1 / ($BG$22:$BG$45*CC917), N($AU$22:$AU$45&gt;$AM917))
) / 1000</f>
        <v>0</v>
      </c>
      <c r="CF917" s="229">
        <f t="shared" si="912"/>
        <v>0</v>
      </c>
      <c r="CG917" s="246"/>
      <c r="CH917" s="229">
        <f t="shared" si="913"/>
        <v>0</v>
      </c>
      <c r="CI917" s="228">
        <v>35</v>
      </c>
      <c r="CJ917" s="229">
        <f t="shared" si="914"/>
        <v>48</v>
      </c>
      <c r="CK917" s="234">
        <f t="shared" si="915"/>
        <v>3.0748170731707316</v>
      </c>
      <c r="CL917" s="234" cm="1">
        <f t="array" ref="CL917">$BM917 * SUMPRODUCT(INDEX($AV$76:$AX$81,,$AI917),INDEX($AY$76:$BE$81,,$AH917), N($AU$76:$AU$81&gt;$AM917)) / CK917 / 1000</f>
        <v>0</v>
      </c>
      <c r="CM917" s="231">
        <f t="shared" si="895"/>
        <v>30</v>
      </c>
      <c r="CN917" s="229">
        <f t="shared" si="916"/>
        <v>43</v>
      </c>
      <c r="CO917" s="234">
        <f t="shared" si="917"/>
        <v>3.5018750000000001</v>
      </c>
      <c r="CP917" s="234" cm="1">
        <f t="array" ref="CP917">$BM917 * IF($AH917&lt;=2,
SUMPRODUCT(INDEX($AV$71:$AX$75,,$AI917), INDEX($AY$71:$BE$75,,$AH917), 1 / ($BF$71:$BF$75*CO917 + (1-$BF$71:$BF$75)*CK917), N($AU$71:$AU$75&gt;$AM917)),
SUMPRODUCT(INDEX($AV$66:$AX$75,,$AI917), INDEX($AY$66:$BE$75,,$AH917), 1 / ($BG$66:$BG$75*CO917 + (1-$BG$66:$BG$75)*CK917), N($AU$66:$AU$75&gt;$AM917))
) / 1000</f>
        <v>0</v>
      </c>
      <c r="CQ917" s="231">
        <f t="shared" si="896"/>
        <v>25</v>
      </c>
      <c r="CR917" s="229">
        <f t="shared" si="918"/>
        <v>38</v>
      </c>
      <c r="CS917" s="234">
        <f t="shared" si="919"/>
        <v>4.0666935483870965</v>
      </c>
      <c r="CT917" s="234" cm="1">
        <f t="array" ref="CT917">$BM917 * IF($AH917&lt;=2,
SUMPRODUCT(INDEX($AV$66:$AX$70,,$AI917), INDEX($AY$66:$BE$70,,$AH917), 1 / ($BF$66:$BF$70*CS917 + (1-$BF$66:$BF$70)*CO917), N($AU$66:$AU$70&gt;$AM917)),
SUMPRODUCT(INDEX($AV$56:$AX$65,,$AI917), INDEX($AY$56:$BE$65,,$AH917), 1 / ($BG$56:$BG$65*CS917 + (1-$BG$56:$BG$65)*CO917), N($AU$56:$AU$65&gt;$AM917))
) / 1000</f>
        <v>0</v>
      </c>
      <c r="CU917" s="231">
        <f t="shared" si="897"/>
        <v>20</v>
      </c>
      <c r="CV917" s="229">
        <f t="shared" si="920"/>
        <v>33</v>
      </c>
      <c r="CW917" s="234">
        <f t="shared" si="921"/>
        <v>4.8487499999999999</v>
      </c>
      <c r="CX917" s="234" cm="1">
        <f t="array" ref="CX917">$BM917 * IF($AH917&lt;=2,
SUMPRODUCT(INDEX($AV$61:$AX$65,,$AI917), INDEX($AY$61:$BE$65,,$AH917), 1 / ($BF$61:$BF$65*CW917 + (1-$BF$61:$BF$65)*CS917), N($AU$61:$AU$65&gt;$AM917)),
SUMPRODUCT(INDEX($AV$46:$AX$55,,$AI917), INDEX($AY$46:$BE$55,,$AH917), 1 / ($BG$46:$BG$55*CW917 + (1-$BG$46:$BG$55)*CS917), N($AU$46:$AU$55&gt;$AM917))
) / 1000</f>
        <v>0</v>
      </c>
      <c r="CY917" s="234" cm="1">
        <f t="array" ref="CY917">$BM917 * IF($AH917&lt;=2,
SUMPRODUCT(INDEX($AV$22:$AX$60,,$AI917), INDEX($AY$22:$BE$60,,$AH917), 1 / ($BF$22:$BF$60*CW917), N($AU$22:$AU$60&gt;$AM917)),
SUMPRODUCT(INDEX($AV$22:$AX$45,,$AI917), INDEX($AY$22:$BE$45,,$AH917), 1 / ($BG$22:$BG$45*CW917), N($AU$22:$AU$45&gt;$AM917))
) / 1000</f>
        <v>0</v>
      </c>
      <c r="CZ917" s="229">
        <f t="shared" si="922"/>
        <v>0</v>
      </c>
      <c r="DA917" s="246"/>
    </row>
    <row r="918" spans="1:105" s="75" customFormat="1" ht="14.25" customHeight="1" x14ac:dyDescent="0.2">
      <c r="A918" s="230" t="b">
        <f t="shared" si="927"/>
        <v>0</v>
      </c>
      <c r="B918" s="253">
        <v>897</v>
      </c>
      <c r="C918" s="266"/>
      <c r="D918" s="266"/>
      <c r="E918" s="254"/>
      <c r="F918" s="255" t="str">
        <f>IF(ISBLANK(E918), "", VLOOKUP(E918, Z!$A$2:$C$4127, 3, FALSE))</f>
        <v/>
      </c>
      <c r="G918" s="256"/>
      <c r="H918" s="256"/>
      <c r="I918" s="256"/>
      <c r="J918" s="257"/>
      <c r="K918" s="258"/>
      <c r="L918" s="267"/>
      <c r="M918" s="268"/>
      <c r="N918" s="259" t="str" cm="1">
        <f t="array" ref="N918">IF($L918&gt;0, INDEX(Clean,1+AK918,$D$1), "")</f>
        <v/>
      </c>
      <c r="O918" s="260"/>
      <c r="P918" s="260"/>
      <c r="Q918" s="261"/>
      <c r="R918" s="264">
        <f t="shared" si="898"/>
        <v>0</v>
      </c>
      <c r="S918" s="259" t="str" cm="1">
        <f t="array" ref="S918">IF($L918&gt;0, INDEX(Clean,1+AL918,$D$1), "")</f>
        <v/>
      </c>
      <c r="T918" s="260"/>
      <c r="U918" s="260"/>
      <c r="V918" s="261"/>
      <c r="W918" s="267"/>
      <c r="X918" s="267"/>
      <c r="Y918" s="257"/>
      <c r="Z918" s="264">
        <f t="shared" si="899"/>
        <v>0</v>
      </c>
      <c r="AA918" s="269"/>
      <c r="AB918" s="266"/>
      <c r="AC918" s="254"/>
      <c r="AD918" s="255" t="str">
        <f>IF(ISBLANK(AC918), "", VLOOKUP(AC918, Z!$A$2:$C$4127, 3, FALSE))</f>
        <v/>
      </c>
      <c r="AE918" s="270"/>
      <c r="AF918" s="265">
        <f t="shared" si="900"/>
        <v>0</v>
      </c>
      <c r="AG918" s="246"/>
      <c r="AH918" s="228">
        <f t="shared" si="923"/>
        <v>1</v>
      </c>
      <c r="AI918" s="228">
        <f t="shared" si="924"/>
        <v>1</v>
      </c>
      <c r="AJ918" s="228">
        <f t="shared" si="925"/>
        <v>0</v>
      </c>
      <c r="AK918" s="228">
        <v>0</v>
      </c>
      <c r="AL918" s="228">
        <v>0</v>
      </c>
      <c r="AM918" s="228">
        <f t="shared" si="901"/>
        <v>-100</v>
      </c>
      <c r="AN918" s="228" cm="1">
        <f t="array" ref="AN918">IF(ISBLANK(G918), 1, IFERROR(MATCH(G918, INDEX(Kat,,1), 0), IFERROR(MATCH(Kat, INDEX(Use,,2), 0), MATCH(Kat, INDEX(Use,,3), 0))))</f>
        <v>1</v>
      </c>
      <c r="AO918" s="246"/>
      <c r="AP918" s="228" cm="1">
        <f t="array" ref="AP918">IF(W918&gt;0, INDEX(Kat, AN918,4), 0)</f>
        <v>0</v>
      </c>
      <c r="AQ918" s="228">
        <f t="shared" si="926"/>
        <v>0</v>
      </c>
      <c r="AR918" s="228" cm="1">
        <f t="array" ref="AR918">IF(X918&gt;0, INDEX(Kat, $AN918, 4+AQ918), 0)</f>
        <v>0</v>
      </c>
      <c r="AS918" s="228" cm="1">
        <f t="array" ref="AS918">IF(X918&gt;0, INDEX(Kat, $AN918, 9+AQ918), 0)</f>
        <v>0</v>
      </c>
      <c r="AT918" s="246"/>
      <c r="AU918" s="262"/>
      <c r="AV918" s="262"/>
      <c r="AW918" s="263"/>
      <c r="AX918" s="263"/>
      <c r="AY918" s="263"/>
      <c r="AZ918" s="263"/>
      <c r="BA918" s="263"/>
      <c r="BB918" s="263"/>
      <c r="BC918" s="263"/>
      <c r="BD918" s="263"/>
      <c r="BE918" s="263"/>
      <c r="BF918" s="263"/>
      <c r="BG918" s="263"/>
      <c r="BH918" s="246"/>
      <c r="BI918" s="228" cm="1">
        <f t="array" ref="BI918">INDEX(Use, $AH918, 4)</f>
        <v>7</v>
      </c>
      <c r="BJ918" s="228">
        <f t="shared" si="902"/>
        <v>32</v>
      </c>
      <c r="BK918" s="228">
        <f t="shared" ref="BK918:BK981" si="928">IF($AJ918=1, 6, IF($AH918=4, 10, 13))</f>
        <v>13</v>
      </c>
      <c r="BL918" s="228">
        <f t="shared" ref="BL918:BL981" si="929">IF($AJ918=1, 9, 0)</f>
        <v>0</v>
      </c>
      <c r="BM918" s="233" cm="1">
        <f t="array" ref="BM918">L918/IF($M918&gt;0, INDEX($AY$22:$BE$76, $M918+20, $AH918), 1)</f>
        <v>0</v>
      </c>
      <c r="BN918" s="229">
        <f t="shared" si="903"/>
        <v>0</v>
      </c>
      <c r="BO918" s="228">
        <v>35</v>
      </c>
      <c r="BP918" s="229">
        <f t="shared" si="904"/>
        <v>48</v>
      </c>
      <c r="BQ918" s="234">
        <f t="shared" si="905"/>
        <v>3.0748170731707316</v>
      </c>
      <c r="BR918" s="234" cm="1">
        <f t="array" ref="BR918">$BM918 * SUMPRODUCT(INDEX($AV$76:$AX$81,,$AI918),INDEX($AY$76:$BE$81,,$AH918), N($AU$76:$AU$81&gt;$AM918)) / BQ918 / 1000</f>
        <v>0</v>
      </c>
      <c r="BS918" s="231">
        <f t="shared" ref="BS918:BS981" si="930">IF($AH918&lt;=2, 30, 25)</f>
        <v>30</v>
      </c>
      <c r="BT918" s="229">
        <f t="shared" si="906"/>
        <v>43</v>
      </c>
      <c r="BU918" s="234">
        <f t="shared" si="907"/>
        <v>3.5018750000000001</v>
      </c>
      <c r="BV918" s="234" cm="1">
        <f t="array" ref="BV918">$BM918 * IF($AH918&lt;=2,
SUMPRODUCT(INDEX($AV$71:$AX$75,,$AI918), INDEX($AY$71:$BE$75,,$AH918), 1 / ($BF$71:$BF$75*BU918 + (1-$BF$71:$BF$75)*BQ918), N($AU$71:$AU$75&gt;$AM918)),
SUMPRODUCT(INDEX($AV$66:$AX$75,,$AI918), INDEX($AY$66:$BE$75,,$AH918), 1 / ($BG$66:$BG$75*BU918 + (1-$BG$66:$BG$75)*BQ918), N($AU$66:$AU$75&gt;$AM918))
) / 1000</f>
        <v>0</v>
      </c>
      <c r="BW918" s="231">
        <f t="shared" ref="BW918:BW981" si="931">IF($AH918&lt;=2, 25, 15)</f>
        <v>25</v>
      </c>
      <c r="BX918" s="229">
        <f t="shared" si="908"/>
        <v>38</v>
      </c>
      <c r="BY918" s="234">
        <f t="shared" si="909"/>
        <v>4.0666935483870965</v>
      </c>
      <c r="BZ918" s="234" cm="1">
        <f t="array" ref="BZ918">$BM918 * IF($AH918&lt;=2,
SUMPRODUCT(INDEX($AV$66:$AX$70,,$AI918), INDEX($AY$66:$BE$70,,$AH918), 1 / ($BF$66:$BF$70*BY918 + (1-$BF$66:$BF$70)*BU918), N($AU$66:$AU$70&gt;$AM918)),
SUMPRODUCT(INDEX($AV$56:$AX$65,,$AI918), INDEX($AY$56:$BE$65,,$AH918), 1 / ($BG$56:$BG$65*BY918 + (1-$BG$56:$BG$65)*BU918), N($AU$56:$AU$65&gt;$AM918))
) / 1000</f>
        <v>0</v>
      </c>
      <c r="CA918" s="231">
        <f t="shared" ref="CA918:CA981" si="932">IF($AH918&lt;=2, 20, 5)</f>
        <v>20</v>
      </c>
      <c r="CB918" s="229">
        <f t="shared" si="910"/>
        <v>33</v>
      </c>
      <c r="CC918" s="234">
        <f t="shared" si="911"/>
        <v>4.8487499999999999</v>
      </c>
      <c r="CD918" s="234" cm="1">
        <f t="array" ref="CD918">$BM918 * IF($AH918&lt;=2,
SUMPRODUCT(INDEX($AV$61:$AX$65,,$AI918), INDEX($AY$61:$BE$65,,$AH918), 1 / ($BF$61:$BF$65*CC918 + (1-$BF$61:$BF$65)*BY918), N($AU$61:$AU$65&gt;$AM918)),
SUMPRODUCT(INDEX($AV$46:$AX$55,,$AI918), INDEX($AY$46:$BE$55,,$AH918), 1 / ($BG$46:$BG$55*CC918 + (1-$BG$46:$BG$55)*BY918), N($AU$46:$AU$55&gt;$AM918))
) / 1000</f>
        <v>0</v>
      </c>
      <c r="CE918" s="234" cm="1">
        <f t="array" ref="CE918">$BM918 * IF($AH918&lt;=2,
SUMPRODUCT(INDEX($AV$22:$AX$60,,$AI918), INDEX($AY$22:$BE$60,,$AH918), 1 / ($BF$22:$BF$60*CC918), N($AU$22:$AU$60&gt;$AM918)),
SUMPRODUCT(INDEX($AV$22:$AX$45,,$AI918), INDEX($AY$22:$BE$45,,$AH918), 1 / ($BG$22:$BG$45*CC918), N($AU$22:$AU$45&gt;$AM918))
) / 1000</f>
        <v>0</v>
      </c>
      <c r="CF918" s="229">
        <f t="shared" si="912"/>
        <v>0</v>
      </c>
      <c r="CG918" s="246"/>
      <c r="CH918" s="229">
        <f t="shared" si="913"/>
        <v>0</v>
      </c>
      <c r="CI918" s="228">
        <v>35</v>
      </c>
      <c r="CJ918" s="229">
        <f t="shared" si="914"/>
        <v>48</v>
      </c>
      <c r="CK918" s="234">
        <f t="shared" si="915"/>
        <v>3.0748170731707316</v>
      </c>
      <c r="CL918" s="234" cm="1">
        <f t="array" ref="CL918">$BM918 * SUMPRODUCT(INDEX($AV$76:$AX$81,,$AI918),INDEX($AY$76:$BE$81,,$AH918), N($AU$76:$AU$81&gt;$AM918)) / CK918 / 1000</f>
        <v>0</v>
      </c>
      <c r="CM918" s="231">
        <f t="shared" ref="CM918:CM981" si="933">IF($AH918&lt;=2, 30, 25)</f>
        <v>30</v>
      </c>
      <c r="CN918" s="229">
        <f t="shared" si="916"/>
        <v>43</v>
      </c>
      <c r="CO918" s="234">
        <f t="shared" si="917"/>
        <v>3.5018750000000001</v>
      </c>
      <c r="CP918" s="234" cm="1">
        <f t="array" ref="CP918">$BM918 * IF($AH918&lt;=2,
SUMPRODUCT(INDEX($AV$71:$AX$75,,$AI918), INDEX($AY$71:$BE$75,,$AH918), 1 / ($BF$71:$BF$75*CO918 + (1-$BF$71:$BF$75)*CK918), N($AU$71:$AU$75&gt;$AM918)),
SUMPRODUCT(INDEX($AV$66:$AX$75,,$AI918), INDEX($AY$66:$BE$75,,$AH918), 1 / ($BG$66:$BG$75*CO918 + (1-$BG$66:$BG$75)*CK918), N($AU$66:$AU$75&gt;$AM918))
) / 1000</f>
        <v>0</v>
      </c>
      <c r="CQ918" s="231">
        <f t="shared" ref="CQ918:CQ981" si="934">IF($AH918&lt;=2, 25, 15)</f>
        <v>25</v>
      </c>
      <c r="CR918" s="229">
        <f t="shared" si="918"/>
        <v>38</v>
      </c>
      <c r="CS918" s="234">
        <f t="shared" si="919"/>
        <v>4.0666935483870965</v>
      </c>
      <c r="CT918" s="234" cm="1">
        <f t="array" ref="CT918">$BM918 * IF($AH918&lt;=2,
SUMPRODUCT(INDEX($AV$66:$AX$70,,$AI918), INDEX($AY$66:$BE$70,,$AH918), 1 / ($BF$66:$BF$70*CS918 + (1-$BF$66:$BF$70)*CO918), N($AU$66:$AU$70&gt;$AM918)),
SUMPRODUCT(INDEX($AV$56:$AX$65,,$AI918), INDEX($AY$56:$BE$65,,$AH918), 1 / ($BG$56:$BG$65*CS918 + (1-$BG$56:$BG$65)*CO918), N($AU$56:$AU$65&gt;$AM918))
) / 1000</f>
        <v>0</v>
      </c>
      <c r="CU918" s="231">
        <f t="shared" ref="CU918:CU981" si="935">IF($AH918&lt;=2, 20, 5)</f>
        <v>20</v>
      </c>
      <c r="CV918" s="229">
        <f t="shared" si="920"/>
        <v>33</v>
      </c>
      <c r="CW918" s="234">
        <f t="shared" si="921"/>
        <v>4.8487499999999999</v>
      </c>
      <c r="CX918" s="234" cm="1">
        <f t="array" ref="CX918">$BM918 * IF($AH918&lt;=2,
SUMPRODUCT(INDEX($AV$61:$AX$65,,$AI918), INDEX($AY$61:$BE$65,,$AH918), 1 / ($BF$61:$BF$65*CW918 + (1-$BF$61:$BF$65)*CS918), N($AU$61:$AU$65&gt;$AM918)),
SUMPRODUCT(INDEX($AV$46:$AX$55,,$AI918), INDEX($AY$46:$BE$55,,$AH918), 1 / ($BG$46:$BG$55*CW918 + (1-$BG$46:$BG$55)*CS918), N($AU$46:$AU$55&gt;$AM918))
) / 1000</f>
        <v>0</v>
      </c>
      <c r="CY918" s="234" cm="1">
        <f t="array" ref="CY918">$BM918 * IF($AH918&lt;=2,
SUMPRODUCT(INDEX($AV$22:$AX$60,,$AI918), INDEX($AY$22:$BE$60,,$AH918), 1 / ($BF$22:$BF$60*CW918), N($AU$22:$AU$60&gt;$AM918)),
SUMPRODUCT(INDEX($AV$22:$AX$45,,$AI918), INDEX($AY$22:$BE$45,,$AH918), 1 / ($BG$22:$BG$45*CW918), N($AU$22:$AU$45&gt;$AM918))
) / 1000</f>
        <v>0</v>
      </c>
      <c r="CZ918" s="229">
        <f t="shared" si="922"/>
        <v>0</v>
      </c>
      <c r="DA918" s="246"/>
    </row>
    <row r="919" spans="1:105" s="75" customFormat="1" ht="14.25" customHeight="1" x14ac:dyDescent="0.2">
      <c r="A919" s="230" t="b">
        <f t="shared" si="927"/>
        <v>0</v>
      </c>
      <c r="B919" s="253">
        <v>898</v>
      </c>
      <c r="C919" s="266"/>
      <c r="D919" s="266"/>
      <c r="E919" s="254"/>
      <c r="F919" s="255" t="str">
        <f>IF(ISBLANK(E919), "", VLOOKUP(E919, Z!$A$2:$C$4127, 3, FALSE))</f>
        <v/>
      </c>
      <c r="G919" s="256"/>
      <c r="H919" s="256"/>
      <c r="I919" s="256"/>
      <c r="J919" s="257"/>
      <c r="K919" s="258"/>
      <c r="L919" s="267"/>
      <c r="M919" s="268"/>
      <c r="N919" s="259" t="str" cm="1">
        <f t="array" ref="N919">IF($L919&gt;0, INDEX(Clean,1+AK919,$D$1), "")</f>
        <v/>
      </c>
      <c r="O919" s="260"/>
      <c r="P919" s="260"/>
      <c r="Q919" s="261"/>
      <c r="R919" s="264">
        <f t="shared" si="898"/>
        <v>0</v>
      </c>
      <c r="S919" s="259" t="str" cm="1">
        <f t="array" ref="S919">IF($L919&gt;0, INDEX(Clean,1+AL919,$D$1), "")</f>
        <v/>
      </c>
      <c r="T919" s="260"/>
      <c r="U919" s="260"/>
      <c r="V919" s="261"/>
      <c r="W919" s="267"/>
      <c r="X919" s="267"/>
      <c r="Y919" s="257"/>
      <c r="Z919" s="264">
        <f t="shared" si="899"/>
        <v>0</v>
      </c>
      <c r="AA919" s="269"/>
      <c r="AB919" s="266"/>
      <c r="AC919" s="254"/>
      <c r="AD919" s="255" t="str">
        <f>IF(ISBLANK(AC919), "", VLOOKUP(AC919, Z!$A$2:$C$4127, 3, FALSE))</f>
        <v/>
      </c>
      <c r="AE919" s="270"/>
      <c r="AF919" s="265">
        <f t="shared" si="900"/>
        <v>0</v>
      </c>
      <c r="AG919" s="246"/>
      <c r="AH919" s="228">
        <f t="shared" si="923"/>
        <v>1</v>
      </c>
      <c r="AI919" s="228">
        <f t="shared" si="924"/>
        <v>1</v>
      </c>
      <c r="AJ919" s="228">
        <f t="shared" si="925"/>
        <v>0</v>
      </c>
      <c r="AK919" s="228">
        <v>0</v>
      </c>
      <c r="AL919" s="228">
        <v>0</v>
      </c>
      <c r="AM919" s="228">
        <f t="shared" si="901"/>
        <v>-100</v>
      </c>
      <c r="AN919" s="228" cm="1">
        <f t="array" ref="AN919">IF(ISBLANK(G919), 1, IFERROR(MATCH(G919, INDEX(Kat,,1), 0), IFERROR(MATCH(Kat, INDEX(Use,,2), 0), MATCH(Kat, INDEX(Use,,3), 0))))</f>
        <v>1</v>
      </c>
      <c r="AO919" s="246"/>
      <c r="AP919" s="228" cm="1">
        <f t="array" ref="AP919">IF(W919&gt;0, INDEX(Kat, AN919,4), 0)</f>
        <v>0</v>
      </c>
      <c r="AQ919" s="228">
        <f t="shared" si="926"/>
        <v>0</v>
      </c>
      <c r="AR919" s="228" cm="1">
        <f t="array" ref="AR919">IF(X919&gt;0, INDEX(Kat, $AN919, 4+AQ919), 0)</f>
        <v>0</v>
      </c>
      <c r="AS919" s="228" cm="1">
        <f t="array" ref="AS919">IF(X919&gt;0, INDEX(Kat, $AN919, 9+AQ919), 0)</f>
        <v>0</v>
      </c>
      <c r="AT919" s="246"/>
      <c r="AU919" s="262"/>
      <c r="AV919" s="262"/>
      <c r="AW919" s="263"/>
      <c r="AX919" s="263"/>
      <c r="AY919" s="263"/>
      <c r="AZ919" s="263"/>
      <c r="BA919" s="263"/>
      <c r="BB919" s="263"/>
      <c r="BC919" s="263"/>
      <c r="BD919" s="263"/>
      <c r="BE919" s="263"/>
      <c r="BF919" s="263"/>
      <c r="BG919" s="263"/>
      <c r="BH919" s="246"/>
      <c r="BI919" s="228" cm="1">
        <f t="array" ref="BI919">INDEX(Use, $AH919, 4)</f>
        <v>7</v>
      </c>
      <c r="BJ919" s="228">
        <f t="shared" si="902"/>
        <v>32</v>
      </c>
      <c r="BK919" s="228">
        <f t="shared" si="928"/>
        <v>13</v>
      </c>
      <c r="BL919" s="228">
        <f t="shared" si="929"/>
        <v>0</v>
      </c>
      <c r="BM919" s="233" cm="1">
        <f t="array" ref="BM919">L919/IF($M919&gt;0, INDEX($AY$22:$BE$76, $M919+20, $AH919), 1)</f>
        <v>0</v>
      </c>
      <c r="BN919" s="229">
        <f t="shared" si="903"/>
        <v>0</v>
      </c>
      <c r="BO919" s="228">
        <v>35</v>
      </c>
      <c r="BP919" s="229">
        <f t="shared" si="904"/>
        <v>48</v>
      </c>
      <c r="BQ919" s="234">
        <f t="shared" si="905"/>
        <v>3.0748170731707316</v>
      </c>
      <c r="BR919" s="234" cm="1">
        <f t="array" ref="BR919">$BM919 * SUMPRODUCT(INDEX($AV$76:$AX$81,,$AI919),INDEX($AY$76:$BE$81,,$AH919), N($AU$76:$AU$81&gt;$AM919)) / BQ919 / 1000</f>
        <v>0</v>
      </c>
      <c r="BS919" s="231">
        <f t="shared" si="930"/>
        <v>30</v>
      </c>
      <c r="BT919" s="229">
        <f t="shared" si="906"/>
        <v>43</v>
      </c>
      <c r="BU919" s="234">
        <f t="shared" si="907"/>
        <v>3.5018750000000001</v>
      </c>
      <c r="BV919" s="234" cm="1">
        <f t="array" ref="BV919">$BM919 * IF($AH919&lt;=2,
SUMPRODUCT(INDEX($AV$71:$AX$75,,$AI919), INDEX($AY$71:$BE$75,,$AH919), 1 / ($BF$71:$BF$75*BU919 + (1-$BF$71:$BF$75)*BQ919), N($AU$71:$AU$75&gt;$AM919)),
SUMPRODUCT(INDEX($AV$66:$AX$75,,$AI919), INDEX($AY$66:$BE$75,,$AH919), 1 / ($BG$66:$BG$75*BU919 + (1-$BG$66:$BG$75)*BQ919), N($AU$66:$AU$75&gt;$AM919))
) / 1000</f>
        <v>0</v>
      </c>
      <c r="BW919" s="231">
        <f t="shared" si="931"/>
        <v>25</v>
      </c>
      <c r="BX919" s="229">
        <f t="shared" si="908"/>
        <v>38</v>
      </c>
      <c r="BY919" s="234">
        <f t="shared" si="909"/>
        <v>4.0666935483870965</v>
      </c>
      <c r="BZ919" s="234" cm="1">
        <f t="array" ref="BZ919">$BM919 * IF($AH919&lt;=2,
SUMPRODUCT(INDEX($AV$66:$AX$70,,$AI919), INDEX($AY$66:$BE$70,,$AH919), 1 / ($BF$66:$BF$70*BY919 + (1-$BF$66:$BF$70)*BU919), N($AU$66:$AU$70&gt;$AM919)),
SUMPRODUCT(INDEX($AV$56:$AX$65,,$AI919), INDEX($AY$56:$BE$65,,$AH919), 1 / ($BG$56:$BG$65*BY919 + (1-$BG$56:$BG$65)*BU919), N($AU$56:$AU$65&gt;$AM919))
) / 1000</f>
        <v>0</v>
      </c>
      <c r="CA919" s="231">
        <f t="shared" si="932"/>
        <v>20</v>
      </c>
      <c r="CB919" s="229">
        <f t="shared" si="910"/>
        <v>33</v>
      </c>
      <c r="CC919" s="234">
        <f t="shared" si="911"/>
        <v>4.8487499999999999</v>
      </c>
      <c r="CD919" s="234" cm="1">
        <f t="array" ref="CD919">$BM919 * IF($AH919&lt;=2,
SUMPRODUCT(INDEX($AV$61:$AX$65,,$AI919), INDEX($AY$61:$BE$65,,$AH919), 1 / ($BF$61:$BF$65*CC919 + (1-$BF$61:$BF$65)*BY919), N($AU$61:$AU$65&gt;$AM919)),
SUMPRODUCT(INDEX($AV$46:$AX$55,,$AI919), INDEX($AY$46:$BE$55,,$AH919), 1 / ($BG$46:$BG$55*CC919 + (1-$BG$46:$BG$55)*BY919), N($AU$46:$AU$55&gt;$AM919))
) / 1000</f>
        <v>0</v>
      </c>
      <c r="CE919" s="234" cm="1">
        <f t="array" ref="CE919">$BM919 * IF($AH919&lt;=2,
SUMPRODUCT(INDEX($AV$22:$AX$60,,$AI919), INDEX($AY$22:$BE$60,,$AH919), 1 / ($BF$22:$BF$60*CC919), N($AU$22:$AU$60&gt;$AM919)),
SUMPRODUCT(INDEX($AV$22:$AX$45,,$AI919), INDEX($AY$22:$BE$45,,$AH919), 1 / ($BG$22:$BG$45*CC919), N($AU$22:$AU$45&gt;$AM919))
) / 1000</f>
        <v>0</v>
      </c>
      <c r="CF919" s="229">
        <f t="shared" si="912"/>
        <v>0</v>
      </c>
      <c r="CG919" s="246"/>
      <c r="CH919" s="229">
        <f t="shared" si="913"/>
        <v>0</v>
      </c>
      <c r="CI919" s="228">
        <v>35</v>
      </c>
      <c r="CJ919" s="229">
        <f t="shared" si="914"/>
        <v>48</v>
      </c>
      <c r="CK919" s="234">
        <f t="shared" si="915"/>
        <v>3.0748170731707316</v>
      </c>
      <c r="CL919" s="234" cm="1">
        <f t="array" ref="CL919">$BM919 * SUMPRODUCT(INDEX($AV$76:$AX$81,,$AI919),INDEX($AY$76:$BE$81,,$AH919), N($AU$76:$AU$81&gt;$AM919)) / CK919 / 1000</f>
        <v>0</v>
      </c>
      <c r="CM919" s="231">
        <f t="shared" si="933"/>
        <v>30</v>
      </c>
      <c r="CN919" s="229">
        <f t="shared" si="916"/>
        <v>43</v>
      </c>
      <c r="CO919" s="234">
        <f t="shared" si="917"/>
        <v>3.5018750000000001</v>
      </c>
      <c r="CP919" s="234" cm="1">
        <f t="array" ref="CP919">$BM919 * IF($AH919&lt;=2,
SUMPRODUCT(INDEX($AV$71:$AX$75,,$AI919), INDEX($AY$71:$BE$75,,$AH919), 1 / ($BF$71:$BF$75*CO919 + (1-$BF$71:$BF$75)*CK919), N($AU$71:$AU$75&gt;$AM919)),
SUMPRODUCT(INDEX($AV$66:$AX$75,,$AI919), INDEX($AY$66:$BE$75,,$AH919), 1 / ($BG$66:$BG$75*CO919 + (1-$BG$66:$BG$75)*CK919), N($AU$66:$AU$75&gt;$AM919))
) / 1000</f>
        <v>0</v>
      </c>
      <c r="CQ919" s="231">
        <f t="shared" si="934"/>
        <v>25</v>
      </c>
      <c r="CR919" s="229">
        <f t="shared" si="918"/>
        <v>38</v>
      </c>
      <c r="CS919" s="234">
        <f t="shared" si="919"/>
        <v>4.0666935483870965</v>
      </c>
      <c r="CT919" s="234" cm="1">
        <f t="array" ref="CT919">$BM919 * IF($AH919&lt;=2,
SUMPRODUCT(INDEX($AV$66:$AX$70,,$AI919), INDEX($AY$66:$BE$70,,$AH919), 1 / ($BF$66:$BF$70*CS919 + (1-$BF$66:$BF$70)*CO919), N($AU$66:$AU$70&gt;$AM919)),
SUMPRODUCT(INDEX($AV$56:$AX$65,,$AI919), INDEX($AY$56:$BE$65,,$AH919), 1 / ($BG$56:$BG$65*CS919 + (1-$BG$56:$BG$65)*CO919), N($AU$56:$AU$65&gt;$AM919))
) / 1000</f>
        <v>0</v>
      </c>
      <c r="CU919" s="231">
        <f t="shared" si="935"/>
        <v>20</v>
      </c>
      <c r="CV919" s="229">
        <f t="shared" si="920"/>
        <v>33</v>
      </c>
      <c r="CW919" s="234">
        <f t="shared" si="921"/>
        <v>4.8487499999999999</v>
      </c>
      <c r="CX919" s="234" cm="1">
        <f t="array" ref="CX919">$BM919 * IF($AH919&lt;=2,
SUMPRODUCT(INDEX($AV$61:$AX$65,,$AI919), INDEX($AY$61:$BE$65,,$AH919), 1 / ($BF$61:$BF$65*CW919 + (1-$BF$61:$BF$65)*CS919), N($AU$61:$AU$65&gt;$AM919)),
SUMPRODUCT(INDEX($AV$46:$AX$55,,$AI919), INDEX($AY$46:$BE$55,,$AH919), 1 / ($BG$46:$BG$55*CW919 + (1-$BG$46:$BG$55)*CS919), N($AU$46:$AU$55&gt;$AM919))
) / 1000</f>
        <v>0</v>
      </c>
      <c r="CY919" s="234" cm="1">
        <f t="array" ref="CY919">$BM919 * IF($AH919&lt;=2,
SUMPRODUCT(INDEX($AV$22:$AX$60,,$AI919), INDEX($AY$22:$BE$60,,$AH919), 1 / ($BF$22:$BF$60*CW919), N($AU$22:$AU$60&gt;$AM919)),
SUMPRODUCT(INDEX($AV$22:$AX$45,,$AI919), INDEX($AY$22:$BE$45,,$AH919), 1 / ($BG$22:$BG$45*CW919), N($AU$22:$AU$45&gt;$AM919))
) / 1000</f>
        <v>0</v>
      </c>
      <c r="CZ919" s="229">
        <f t="shared" si="922"/>
        <v>0</v>
      </c>
      <c r="DA919" s="246"/>
    </row>
    <row r="920" spans="1:105" s="75" customFormat="1" ht="14.25" customHeight="1" x14ac:dyDescent="0.2">
      <c r="A920" s="230" t="b">
        <f t="shared" si="927"/>
        <v>0</v>
      </c>
      <c r="B920" s="253">
        <v>899</v>
      </c>
      <c r="C920" s="266"/>
      <c r="D920" s="266"/>
      <c r="E920" s="254"/>
      <c r="F920" s="255" t="str">
        <f>IF(ISBLANK(E920), "", VLOOKUP(E920, Z!$A$2:$C$4127, 3, FALSE))</f>
        <v/>
      </c>
      <c r="G920" s="256"/>
      <c r="H920" s="256"/>
      <c r="I920" s="256"/>
      <c r="J920" s="257"/>
      <c r="K920" s="258"/>
      <c r="L920" s="267"/>
      <c r="M920" s="268"/>
      <c r="N920" s="259" t="str" cm="1">
        <f t="array" ref="N920">IF($L920&gt;0, INDEX(Clean,1+AK920,$D$1), "")</f>
        <v/>
      </c>
      <c r="O920" s="260"/>
      <c r="P920" s="260"/>
      <c r="Q920" s="261"/>
      <c r="R920" s="264">
        <f t="shared" si="898"/>
        <v>0</v>
      </c>
      <c r="S920" s="259" t="str" cm="1">
        <f t="array" ref="S920">IF($L920&gt;0, INDEX(Clean,1+AL920,$D$1), "")</f>
        <v/>
      </c>
      <c r="T920" s="260"/>
      <c r="U920" s="260"/>
      <c r="V920" s="261"/>
      <c r="W920" s="267"/>
      <c r="X920" s="267"/>
      <c r="Y920" s="257"/>
      <c r="Z920" s="264">
        <f t="shared" si="899"/>
        <v>0</v>
      </c>
      <c r="AA920" s="269"/>
      <c r="AB920" s="266"/>
      <c r="AC920" s="254"/>
      <c r="AD920" s="255" t="str">
        <f>IF(ISBLANK(AC920), "", VLOOKUP(AC920, Z!$A$2:$C$4127, 3, FALSE))</f>
        <v/>
      </c>
      <c r="AE920" s="270"/>
      <c r="AF920" s="265">
        <f t="shared" si="900"/>
        <v>0</v>
      </c>
      <c r="AG920" s="246"/>
      <c r="AH920" s="228">
        <f t="shared" si="923"/>
        <v>1</v>
      </c>
      <c r="AI920" s="228">
        <f t="shared" si="924"/>
        <v>1</v>
      </c>
      <c r="AJ920" s="228">
        <f t="shared" si="925"/>
        <v>0</v>
      </c>
      <c r="AK920" s="228">
        <v>0</v>
      </c>
      <c r="AL920" s="228">
        <v>0</v>
      </c>
      <c r="AM920" s="228">
        <f t="shared" si="901"/>
        <v>-100</v>
      </c>
      <c r="AN920" s="228" cm="1">
        <f t="array" ref="AN920">IF(ISBLANK(G920), 1, IFERROR(MATCH(G920, INDEX(Kat,,1), 0), IFERROR(MATCH(Kat, INDEX(Use,,2), 0), MATCH(Kat, INDEX(Use,,3), 0))))</f>
        <v>1</v>
      </c>
      <c r="AO920" s="246"/>
      <c r="AP920" s="228" cm="1">
        <f t="array" ref="AP920">IF(W920&gt;0, INDEX(Kat, AN920,4), 0)</f>
        <v>0</v>
      </c>
      <c r="AQ920" s="228">
        <f t="shared" si="926"/>
        <v>0</v>
      </c>
      <c r="AR920" s="228" cm="1">
        <f t="array" ref="AR920">IF(X920&gt;0, INDEX(Kat, $AN920, 4+AQ920), 0)</f>
        <v>0</v>
      </c>
      <c r="AS920" s="228" cm="1">
        <f t="array" ref="AS920">IF(X920&gt;0, INDEX(Kat, $AN920, 9+AQ920), 0)</f>
        <v>0</v>
      </c>
      <c r="AT920" s="246"/>
      <c r="AU920" s="262"/>
      <c r="AV920" s="262"/>
      <c r="AW920" s="263"/>
      <c r="AX920" s="263"/>
      <c r="AY920" s="263"/>
      <c r="AZ920" s="263"/>
      <c r="BA920" s="263"/>
      <c r="BB920" s="263"/>
      <c r="BC920" s="263"/>
      <c r="BD920" s="263"/>
      <c r="BE920" s="263"/>
      <c r="BF920" s="263"/>
      <c r="BG920" s="263"/>
      <c r="BH920" s="246"/>
      <c r="BI920" s="228" cm="1">
        <f t="array" ref="BI920">INDEX(Use, $AH920, 4)</f>
        <v>7</v>
      </c>
      <c r="BJ920" s="228">
        <f t="shared" si="902"/>
        <v>32</v>
      </c>
      <c r="BK920" s="228">
        <f t="shared" si="928"/>
        <v>13</v>
      </c>
      <c r="BL920" s="228">
        <f t="shared" si="929"/>
        <v>0</v>
      </c>
      <c r="BM920" s="233" cm="1">
        <f t="array" ref="BM920">L920/IF($M920&gt;0, INDEX($AY$22:$BE$76, $M920+20, $AH920), 1)</f>
        <v>0</v>
      </c>
      <c r="BN920" s="229">
        <f t="shared" si="903"/>
        <v>0</v>
      </c>
      <c r="BO920" s="228">
        <v>35</v>
      </c>
      <c r="BP920" s="229">
        <f t="shared" si="904"/>
        <v>48</v>
      </c>
      <c r="BQ920" s="234">
        <f t="shared" si="905"/>
        <v>3.0748170731707316</v>
      </c>
      <c r="BR920" s="234" cm="1">
        <f t="array" ref="BR920">$BM920 * SUMPRODUCT(INDEX($AV$76:$AX$81,,$AI920),INDEX($AY$76:$BE$81,,$AH920), N($AU$76:$AU$81&gt;$AM920)) / BQ920 / 1000</f>
        <v>0</v>
      </c>
      <c r="BS920" s="231">
        <f t="shared" si="930"/>
        <v>30</v>
      </c>
      <c r="BT920" s="229">
        <f t="shared" si="906"/>
        <v>43</v>
      </c>
      <c r="BU920" s="234">
        <f t="shared" si="907"/>
        <v>3.5018750000000001</v>
      </c>
      <c r="BV920" s="234" cm="1">
        <f t="array" ref="BV920">$BM920 * IF($AH920&lt;=2,
SUMPRODUCT(INDEX($AV$71:$AX$75,,$AI920), INDEX($AY$71:$BE$75,,$AH920), 1 / ($BF$71:$BF$75*BU920 + (1-$BF$71:$BF$75)*BQ920), N($AU$71:$AU$75&gt;$AM920)),
SUMPRODUCT(INDEX($AV$66:$AX$75,,$AI920), INDEX($AY$66:$BE$75,,$AH920), 1 / ($BG$66:$BG$75*BU920 + (1-$BG$66:$BG$75)*BQ920), N($AU$66:$AU$75&gt;$AM920))
) / 1000</f>
        <v>0</v>
      </c>
      <c r="BW920" s="231">
        <f t="shared" si="931"/>
        <v>25</v>
      </c>
      <c r="BX920" s="229">
        <f t="shared" si="908"/>
        <v>38</v>
      </c>
      <c r="BY920" s="234">
        <f t="shared" si="909"/>
        <v>4.0666935483870965</v>
      </c>
      <c r="BZ920" s="234" cm="1">
        <f t="array" ref="BZ920">$BM920 * IF($AH920&lt;=2,
SUMPRODUCT(INDEX($AV$66:$AX$70,,$AI920), INDEX($AY$66:$BE$70,,$AH920), 1 / ($BF$66:$BF$70*BY920 + (1-$BF$66:$BF$70)*BU920), N($AU$66:$AU$70&gt;$AM920)),
SUMPRODUCT(INDEX($AV$56:$AX$65,,$AI920), INDEX($AY$56:$BE$65,,$AH920), 1 / ($BG$56:$BG$65*BY920 + (1-$BG$56:$BG$65)*BU920), N($AU$56:$AU$65&gt;$AM920))
) / 1000</f>
        <v>0</v>
      </c>
      <c r="CA920" s="231">
        <f t="shared" si="932"/>
        <v>20</v>
      </c>
      <c r="CB920" s="229">
        <f t="shared" si="910"/>
        <v>33</v>
      </c>
      <c r="CC920" s="234">
        <f t="shared" si="911"/>
        <v>4.8487499999999999</v>
      </c>
      <c r="CD920" s="234" cm="1">
        <f t="array" ref="CD920">$BM920 * IF($AH920&lt;=2,
SUMPRODUCT(INDEX($AV$61:$AX$65,,$AI920), INDEX($AY$61:$BE$65,,$AH920), 1 / ($BF$61:$BF$65*CC920 + (1-$BF$61:$BF$65)*BY920), N($AU$61:$AU$65&gt;$AM920)),
SUMPRODUCT(INDEX($AV$46:$AX$55,,$AI920), INDEX($AY$46:$BE$55,,$AH920), 1 / ($BG$46:$BG$55*CC920 + (1-$BG$46:$BG$55)*BY920), N($AU$46:$AU$55&gt;$AM920))
) / 1000</f>
        <v>0</v>
      </c>
      <c r="CE920" s="234" cm="1">
        <f t="array" ref="CE920">$BM920 * IF($AH920&lt;=2,
SUMPRODUCT(INDEX($AV$22:$AX$60,,$AI920), INDEX($AY$22:$BE$60,,$AH920), 1 / ($BF$22:$BF$60*CC920), N($AU$22:$AU$60&gt;$AM920)),
SUMPRODUCT(INDEX($AV$22:$AX$45,,$AI920), INDEX($AY$22:$BE$45,,$AH920), 1 / ($BG$22:$BG$45*CC920), N($AU$22:$AU$45&gt;$AM920))
) / 1000</f>
        <v>0</v>
      </c>
      <c r="CF920" s="229">
        <f t="shared" si="912"/>
        <v>0</v>
      </c>
      <c r="CG920" s="246"/>
      <c r="CH920" s="229">
        <f t="shared" si="913"/>
        <v>0</v>
      </c>
      <c r="CI920" s="228">
        <v>35</v>
      </c>
      <c r="CJ920" s="229">
        <f t="shared" si="914"/>
        <v>48</v>
      </c>
      <c r="CK920" s="234">
        <f t="shared" si="915"/>
        <v>3.0748170731707316</v>
      </c>
      <c r="CL920" s="234" cm="1">
        <f t="array" ref="CL920">$BM920 * SUMPRODUCT(INDEX($AV$76:$AX$81,,$AI920),INDEX($AY$76:$BE$81,,$AH920), N($AU$76:$AU$81&gt;$AM920)) / CK920 / 1000</f>
        <v>0</v>
      </c>
      <c r="CM920" s="231">
        <f t="shared" si="933"/>
        <v>30</v>
      </c>
      <c r="CN920" s="229">
        <f t="shared" si="916"/>
        <v>43</v>
      </c>
      <c r="CO920" s="234">
        <f t="shared" si="917"/>
        <v>3.5018750000000001</v>
      </c>
      <c r="CP920" s="234" cm="1">
        <f t="array" ref="CP920">$BM920 * IF($AH920&lt;=2,
SUMPRODUCT(INDEX($AV$71:$AX$75,,$AI920), INDEX($AY$71:$BE$75,,$AH920), 1 / ($BF$71:$BF$75*CO920 + (1-$BF$71:$BF$75)*CK920), N($AU$71:$AU$75&gt;$AM920)),
SUMPRODUCT(INDEX($AV$66:$AX$75,,$AI920), INDEX($AY$66:$BE$75,,$AH920), 1 / ($BG$66:$BG$75*CO920 + (1-$BG$66:$BG$75)*CK920), N($AU$66:$AU$75&gt;$AM920))
) / 1000</f>
        <v>0</v>
      </c>
      <c r="CQ920" s="231">
        <f t="shared" si="934"/>
        <v>25</v>
      </c>
      <c r="CR920" s="229">
        <f t="shared" si="918"/>
        <v>38</v>
      </c>
      <c r="CS920" s="234">
        <f t="shared" si="919"/>
        <v>4.0666935483870965</v>
      </c>
      <c r="CT920" s="234" cm="1">
        <f t="array" ref="CT920">$BM920 * IF($AH920&lt;=2,
SUMPRODUCT(INDEX($AV$66:$AX$70,,$AI920), INDEX($AY$66:$BE$70,,$AH920), 1 / ($BF$66:$BF$70*CS920 + (1-$BF$66:$BF$70)*CO920), N($AU$66:$AU$70&gt;$AM920)),
SUMPRODUCT(INDEX($AV$56:$AX$65,,$AI920), INDEX($AY$56:$BE$65,,$AH920), 1 / ($BG$56:$BG$65*CS920 + (1-$BG$56:$BG$65)*CO920), N($AU$56:$AU$65&gt;$AM920))
) / 1000</f>
        <v>0</v>
      </c>
      <c r="CU920" s="231">
        <f t="shared" si="935"/>
        <v>20</v>
      </c>
      <c r="CV920" s="229">
        <f t="shared" si="920"/>
        <v>33</v>
      </c>
      <c r="CW920" s="234">
        <f t="shared" si="921"/>
        <v>4.8487499999999999</v>
      </c>
      <c r="CX920" s="234" cm="1">
        <f t="array" ref="CX920">$BM920 * IF($AH920&lt;=2,
SUMPRODUCT(INDEX($AV$61:$AX$65,,$AI920), INDEX($AY$61:$BE$65,,$AH920), 1 / ($BF$61:$BF$65*CW920 + (1-$BF$61:$BF$65)*CS920), N($AU$61:$AU$65&gt;$AM920)),
SUMPRODUCT(INDEX($AV$46:$AX$55,,$AI920), INDEX($AY$46:$BE$55,,$AH920), 1 / ($BG$46:$BG$55*CW920 + (1-$BG$46:$BG$55)*CS920), N($AU$46:$AU$55&gt;$AM920))
) / 1000</f>
        <v>0</v>
      </c>
      <c r="CY920" s="234" cm="1">
        <f t="array" ref="CY920">$BM920 * IF($AH920&lt;=2,
SUMPRODUCT(INDEX($AV$22:$AX$60,,$AI920), INDEX($AY$22:$BE$60,,$AH920), 1 / ($BF$22:$BF$60*CW920), N($AU$22:$AU$60&gt;$AM920)),
SUMPRODUCT(INDEX($AV$22:$AX$45,,$AI920), INDEX($AY$22:$BE$45,,$AH920), 1 / ($BG$22:$BG$45*CW920), N($AU$22:$AU$45&gt;$AM920))
) / 1000</f>
        <v>0</v>
      </c>
      <c r="CZ920" s="229">
        <f t="shared" si="922"/>
        <v>0</v>
      </c>
      <c r="DA920" s="246"/>
    </row>
    <row r="921" spans="1:105" s="75" customFormat="1" ht="14.25" customHeight="1" x14ac:dyDescent="0.2">
      <c r="A921" s="230" t="b">
        <f t="shared" si="927"/>
        <v>0</v>
      </c>
      <c r="B921" s="253">
        <v>900</v>
      </c>
      <c r="C921" s="266"/>
      <c r="D921" s="266"/>
      <c r="E921" s="254"/>
      <c r="F921" s="255" t="str">
        <f>IF(ISBLANK(E921), "", VLOOKUP(E921, Z!$A$2:$C$4127, 3, FALSE))</f>
        <v/>
      </c>
      <c r="G921" s="256"/>
      <c r="H921" s="256"/>
      <c r="I921" s="256"/>
      <c r="J921" s="257"/>
      <c r="K921" s="258"/>
      <c r="L921" s="267"/>
      <c r="M921" s="268"/>
      <c r="N921" s="259" t="str" cm="1">
        <f t="array" ref="N921">IF($L921&gt;0, INDEX(Clean,1+AK921,$D$1), "")</f>
        <v/>
      </c>
      <c r="O921" s="260"/>
      <c r="P921" s="260"/>
      <c r="Q921" s="261"/>
      <c r="R921" s="264">
        <f t="shared" si="898"/>
        <v>0</v>
      </c>
      <c r="S921" s="259" t="str" cm="1">
        <f t="array" ref="S921">IF($L921&gt;0, INDEX(Clean,1+AL921,$D$1), "")</f>
        <v/>
      </c>
      <c r="T921" s="260"/>
      <c r="U921" s="260"/>
      <c r="V921" s="261"/>
      <c r="W921" s="267"/>
      <c r="X921" s="267"/>
      <c r="Y921" s="257"/>
      <c r="Z921" s="264">
        <f t="shared" si="899"/>
        <v>0</v>
      </c>
      <c r="AA921" s="269"/>
      <c r="AB921" s="266"/>
      <c r="AC921" s="254"/>
      <c r="AD921" s="255" t="str">
        <f>IF(ISBLANK(AC921), "", VLOOKUP(AC921, Z!$A$2:$C$4127, 3, FALSE))</f>
        <v/>
      </c>
      <c r="AE921" s="270"/>
      <c r="AF921" s="265">
        <f t="shared" si="900"/>
        <v>0</v>
      </c>
      <c r="AG921" s="246"/>
      <c r="AH921" s="228">
        <f t="shared" si="923"/>
        <v>1</v>
      </c>
      <c r="AI921" s="228">
        <f t="shared" si="924"/>
        <v>1</v>
      </c>
      <c r="AJ921" s="228">
        <f t="shared" si="925"/>
        <v>0</v>
      </c>
      <c r="AK921" s="228">
        <v>0</v>
      </c>
      <c r="AL921" s="228">
        <v>0</v>
      </c>
      <c r="AM921" s="228">
        <f t="shared" si="901"/>
        <v>-100</v>
      </c>
      <c r="AN921" s="228" cm="1">
        <f t="array" ref="AN921">IF(ISBLANK(G921), 1, IFERROR(MATCH(G921, INDEX(Kat,,1), 0), IFERROR(MATCH(Kat, INDEX(Use,,2), 0), MATCH(Kat, INDEX(Use,,3), 0))))</f>
        <v>1</v>
      </c>
      <c r="AO921" s="246"/>
      <c r="AP921" s="228" cm="1">
        <f t="array" ref="AP921">IF(W921&gt;0, INDEX(Kat, AN921,4), 0)</f>
        <v>0</v>
      </c>
      <c r="AQ921" s="228">
        <f t="shared" si="926"/>
        <v>0</v>
      </c>
      <c r="AR921" s="228" cm="1">
        <f t="array" ref="AR921">IF(X921&gt;0, INDEX(Kat, $AN921, 4+AQ921), 0)</f>
        <v>0</v>
      </c>
      <c r="AS921" s="228" cm="1">
        <f t="array" ref="AS921">IF(X921&gt;0, INDEX(Kat, $AN921, 9+AQ921), 0)</f>
        <v>0</v>
      </c>
      <c r="AT921" s="246"/>
      <c r="AU921" s="262"/>
      <c r="AV921" s="262"/>
      <c r="AW921" s="263"/>
      <c r="AX921" s="263"/>
      <c r="AY921" s="263"/>
      <c r="AZ921" s="263"/>
      <c r="BA921" s="263"/>
      <c r="BB921" s="263"/>
      <c r="BC921" s="263"/>
      <c r="BD921" s="263"/>
      <c r="BE921" s="263"/>
      <c r="BF921" s="263"/>
      <c r="BG921" s="263"/>
      <c r="BH921" s="246"/>
      <c r="BI921" s="228" cm="1">
        <f t="array" ref="BI921">INDEX(Use, $AH921, 4)</f>
        <v>7</v>
      </c>
      <c r="BJ921" s="228">
        <f t="shared" si="902"/>
        <v>32</v>
      </c>
      <c r="BK921" s="228">
        <f t="shared" si="928"/>
        <v>13</v>
      </c>
      <c r="BL921" s="228">
        <f t="shared" si="929"/>
        <v>0</v>
      </c>
      <c r="BM921" s="233" cm="1">
        <f t="array" ref="BM921">L921/IF($M921&gt;0, INDEX($AY$22:$BE$76, $M921+20, $AH921), 1)</f>
        <v>0</v>
      </c>
      <c r="BN921" s="229">
        <f t="shared" si="903"/>
        <v>0</v>
      </c>
      <c r="BO921" s="228">
        <v>35</v>
      </c>
      <c r="BP921" s="229">
        <f t="shared" si="904"/>
        <v>48</v>
      </c>
      <c r="BQ921" s="234">
        <f t="shared" si="905"/>
        <v>3.0748170731707316</v>
      </c>
      <c r="BR921" s="234" cm="1">
        <f t="array" ref="BR921">$BM921 * SUMPRODUCT(INDEX($AV$76:$AX$81,,$AI921),INDEX($AY$76:$BE$81,,$AH921), N($AU$76:$AU$81&gt;$AM921)) / BQ921 / 1000</f>
        <v>0</v>
      </c>
      <c r="BS921" s="231">
        <f t="shared" si="930"/>
        <v>30</v>
      </c>
      <c r="BT921" s="229">
        <f t="shared" si="906"/>
        <v>43</v>
      </c>
      <c r="BU921" s="234">
        <f t="shared" si="907"/>
        <v>3.5018750000000001</v>
      </c>
      <c r="BV921" s="234" cm="1">
        <f t="array" ref="BV921">$BM921 * IF($AH921&lt;=2,
SUMPRODUCT(INDEX($AV$71:$AX$75,,$AI921), INDEX($AY$71:$BE$75,,$AH921), 1 / ($BF$71:$BF$75*BU921 + (1-$BF$71:$BF$75)*BQ921), N($AU$71:$AU$75&gt;$AM921)),
SUMPRODUCT(INDEX($AV$66:$AX$75,,$AI921), INDEX($AY$66:$BE$75,,$AH921), 1 / ($BG$66:$BG$75*BU921 + (1-$BG$66:$BG$75)*BQ921), N($AU$66:$AU$75&gt;$AM921))
) / 1000</f>
        <v>0</v>
      </c>
      <c r="BW921" s="231">
        <f t="shared" si="931"/>
        <v>25</v>
      </c>
      <c r="BX921" s="229">
        <f t="shared" si="908"/>
        <v>38</v>
      </c>
      <c r="BY921" s="234">
        <f t="shared" si="909"/>
        <v>4.0666935483870965</v>
      </c>
      <c r="BZ921" s="234" cm="1">
        <f t="array" ref="BZ921">$BM921 * IF($AH921&lt;=2,
SUMPRODUCT(INDEX($AV$66:$AX$70,,$AI921), INDEX($AY$66:$BE$70,,$AH921), 1 / ($BF$66:$BF$70*BY921 + (1-$BF$66:$BF$70)*BU921), N($AU$66:$AU$70&gt;$AM921)),
SUMPRODUCT(INDEX($AV$56:$AX$65,,$AI921), INDEX($AY$56:$BE$65,,$AH921), 1 / ($BG$56:$BG$65*BY921 + (1-$BG$56:$BG$65)*BU921), N($AU$56:$AU$65&gt;$AM921))
) / 1000</f>
        <v>0</v>
      </c>
      <c r="CA921" s="231">
        <f t="shared" si="932"/>
        <v>20</v>
      </c>
      <c r="CB921" s="229">
        <f t="shared" si="910"/>
        <v>33</v>
      </c>
      <c r="CC921" s="234">
        <f t="shared" si="911"/>
        <v>4.8487499999999999</v>
      </c>
      <c r="CD921" s="234" cm="1">
        <f t="array" ref="CD921">$BM921 * IF($AH921&lt;=2,
SUMPRODUCT(INDEX($AV$61:$AX$65,,$AI921), INDEX($AY$61:$BE$65,,$AH921), 1 / ($BF$61:$BF$65*CC921 + (1-$BF$61:$BF$65)*BY921), N($AU$61:$AU$65&gt;$AM921)),
SUMPRODUCT(INDEX($AV$46:$AX$55,,$AI921), INDEX($AY$46:$BE$55,,$AH921), 1 / ($BG$46:$BG$55*CC921 + (1-$BG$46:$BG$55)*BY921), N($AU$46:$AU$55&gt;$AM921))
) / 1000</f>
        <v>0</v>
      </c>
      <c r="CE921" s="234" cm="1">
        <f t="array" ref="CE921">$BM921 * IF($AH921&lt;=2,
SUMPRODUCT(INDEX($AV$22:$AX$60,,$AI921), INDEX($AY$22:$BE$60,,$AH921), 1 / ($BF$22:$BF$60*CC921), N($AU$22:$AU$60&gt;$AM921)),
SUMPRODUCT(INDEX($AV$22:$AX$45,,$AI921), INDEX($AY$22:$BE$45,,$AH921), 1 / ($BG$22:$BG$45*CC921), N($AU$22:$AU$45&gt;$AM921))
) / 1000</f>
        <v>0</v>
      </c>
      <c r="CF921" s="229">
        <f t="shared" si="912"/>
        <v>0</v>
      </c>
      <c r="CG921" s="246"/>
      <c r="CH921" s="229">
        <f t="shared" si="913"/>
        <v>0</v>
      </c>
      <c r="CI921" s="228">
        <v>35</v>
      </c>
      <c r="CJ921" s="229">
        <f t="shared" si="914"/>
        <v>48</v>
      </c>
      <c r="CK921" s="234">
        <f t="shared" si="915"/>
        <v>3.0748170731707316</v>
      </c>
      <c r="CL921" s="234" cm="1">
        <f t="array" ref="CL921">$BM921 * SUMPRODUCT(INDEX($AV$76:$AX$81,,$AI921),INDEX($AY$76:$BE$81,,$AH921), N($AU$76:$AU$81&gt;$AM921)) / CK921 / 1000</f>
        <v>0</v>
      </c>
      <c r="CM921" s="231">
        <f t="shared" si="933"/>
        <v>30</v>
      </c>
      <c r="CN921" s="229">
        <f t="shared" si="916"/>
        <v>43</v>
      </c>
      <c r="CO921" s="234">
        <f t="shared" si="917"/>
        <v>3.5018750000000001</v>
      </c>
      <c r="CP921" s="234" cm="1">
        <f t="array" ref="CP921">$BM921 * IF($AH921&lt;=2,
SUMPRODUCT(INDEX($AV$71:$AX$75,,$AI921), INDEX($AY$71:$BE$75,,$AH921), 1 / ($BF$71:$BF$75*CO921 + (1-$BF$71:$BF$75)*CK921), N($AU$71:$AU$75&gt;$AM921)),
SUMPRODUCT(INDEX($AV$66:$AX$75,,$AI921), INDEX($AY$66:$BE$75,,$AH921), 1 / ($BG$66:$BG$75*CO921 + (1-$BG$66:$BG$75)*CK921), N($AU$66:$AU$75&gt;$AM921))
) / 1000</f>
        <v>0</v>
      </c>
      <c r="CQ921" s="231">
        <f t="shared" si="934"/>
        <v>25</v>
      </c>
      <c r="CR921" s="229">
        <f t="shared" si="918"/>
        <v>38</v>
      </c>
      <c r="CS921" s="234">
        <f t="shared" si="919"/>
        <v>4.0666935483870965</v>
      </c>
      <c r="CT921" s="234" cm="1">
        <f t="array" ref="CT921">$BM921 * IF($AH921&lt;=2,
SUMPRODUCT(INDEX($AV$66:$AX$70,,$AI921), INDEX($AY$66:$BE$70,,$AH921), 1 / ($BF$66:$BF$70*CS921 + (1-$BF$66:$BF$70)*CO921), N($AU$66:$AU$70&gt;$AM921)),
SUMPRODUCT(INDEX($AV$56:$AX$65,,$AI921), INDEX($AY$56:$BE$65,,$AH921), 1 / ($BG$56:$BG$65*CS921 + (1-$BG$56:$BG$65)*CO921), N($AU$56:$AU$65&gt;$AM921))
) / 1000</f>
        <v>0</v>
      </c>
      <c r="CU921" s="231">
        <f t="shared" si="935"/>
        <v>20</v>
      </c>
      <c r="CV921" s="229">
        <f t="shared" si="920"/>
        <v>33</v>
      </c>
      <c r="CW921" s="234">
        <f t="shared" si="921"/>
        <v>4.8487499999999999</v>
      </c>
      <c r="CX921" s="234" cm="1">
        <f t="array" ref="CX921">$BM921 * IF($AH921&lt;=2,
SUMPRODUCT(INDEX($AV$61:$AX$65,,$AI921), INDEX($AY$61:$BE$65,,$AH921), 1 / ($BF$61:$BF$65*CW921 + (1-$BF$61:$BF$65)*CS921), N($AU$61:$AU$65&gt;$AM921)),
SUMPRODUCT(INDEX($AV$46:$AX$55,,$AI921), INDEX($AY$46:$BE$55,,$AH921), 1 / ($BG$46:$BG$55*CW921 + (1-$BG$46:$BG$55)*CS921), N($AU$46:$AU$55&gt;$AM921))
) / 1000</f>
        <v>0</v>
      </c>
      <c r="CY921" s="234" cm="1">
        <f t="array" ref="CY921">$BM921 * IF($AH921&lt;=2,
SUMPRODUCT(INDEX($AV$22:$AX$60,,$AI921), INDEX($AY$22:$BE$60,,$AH921), 1 / ($BF$22:$BF$60*CW921), N($AU$22:$AU$60&gt;$AM921)),
SUMPRODUCT(INDEX($AV$22:$AX$45,,$AI921), INDEX($AY$22:$BE$45,,$AH921), 1 / ($BG$22:$BG$45*CW921), N($AU$22:$AU$45&gt;$AM921))
) / 1000</f>
        <v>0</v>
      </c>
      <c r="CZ921" s="229">
        <f t="shared" si="922"/>
        <v>0</v>
      </c>
      <c r="DA921" s="246"/>
    </row>
    <row r="922" spans="1:105" s="75" customFormat="1" ht="14.25" customHeight="1" x14ac:dyDescent="0.2">
      <c r="A922" s="230" t="b">
        <f t="shared" si="927"/>
        <v>0</v>
      </c>
      <c r="B922" s="253">
        <v>901</v>
      </c>
      <c r="C922" s="266"/>
      <c r="D922" s="266"/>
      <c r="E922" s="254"/>
      <c r="F922" s="255" t="str">
        <f>IF(ISBLANK(E922), "", VLOOKUP(E922, Z!$A$2:$C$4127, 3, FALSE))</f>
        <v/>
      </c>
      <c r="G922" s="256"/>
      <c r="H922" s="256"/>
      <c r="I922" s="256"/>
      <c r="J922" s="257"/>
      <c r="K922" s="258"/>
      <c r="L922" s="267"/>
      <c r="M922" s="268"/>
      <c r="N922" s="259" t="str" cm="1">
        <f t="array" ref="N922">IF($L922&gt;0, INDEX(Clean,1+AK922,$D$1), "")</f>
        <v/>
      </c>
      <c r="O922" s="260"/>
      <c r="P922" s="260"/>
      <c r="Q922" s="261"/>
      <c r="R922" s="264">
        <f t="shared" si="898"/>
        <v>0</v>
      </c>
      <c r="S922" s="259" t="str" cm="1">
        <f t="array" ref="S922">IF($L922&gt;0, INDEX(Clean,1+AL922,$D$1), "")</f>
        <v/>
      </c>
      <c r="T922" s="260"/>
      <c r="U922" s="260"/>
      <c r="V922" s="261"/>
      <c r="W922" s="267"/>
      <c r="X922" s="267"/>
      <c r="Y922" s="257"/>
      <c r="Z922" s="264">
        <f t="shared" si="899"/>
        <v>0</v>
      </c>
      <c r="AA922" s="269"/>
      <c r="AB922" s="266"/>
      <c r="AC922" s="254"/>
      <c r="AD922" s="255" t="str">
        <f>IF(ISBLANK(AC922), "", VLOOKUP(AC922, Z!$A$2:$C$4127, 3, FALSE))</f>
        <v/>
      </c>
      <c r="AE922" s="270"/>
      <c r="AF922" s="265">
        <f t="shared" si="900"/>
        <v>0</v>
      </c>
      <c r="AG922" s="246"/>
      <c r="AH922" s="228">
        <f t="shared" si="923"/>
        <v>1</v>
      </c>
      <c r="AI922" s="228">
        <f t="shared" si="924"/>
        <v>1</v>
      </c>
      <c r="AJ922" s="228">
        <f t="shared" si="925"/>
        <v>0</v>
      </c>
      <c r="AK922" s="228">
        <v>0</v>
      </c>
      <c r="AL922" s="228">
        <v>0</v>
      </c>
      <c r="AM922" s="228">
        <f t="shared" si="901"/>
        <v>-100</v>
      </c>
      <c r="AN922" s="228" cm="1">
        <f t="array" ref="AN922">IF(ISBLANK(G922), 1, IFERROR(MATCH(G922, INDEX(Kat,,1), 0), IFERROR(MATCH(Kat, INDEX(Use,,2), 0), MATCH(Kat, INDEX(Use,,3), 0))))</f>
        <v>1</v>
      </c>
      <c r="AO922" s="246"/>
      <c r="AP922" s="228" cm="1">
        <f t="array" ref="AP922">IF(W922&gt;0, INDEX(Kat, AN922,4), 0)</f>
        <v>0</v>
      </c>
      <c r="AQ922" s="228">
        <f t="shared" si="926"/>
        <v>0</v>
      </c>
      <c r="AR922" s="228" cm="1">
        <f t="array" ref="AR922">IF(X922&gt;0, INDEX(Kat, $AN922, 4+AQ922), 0)</f>
        <v>0</v>
      </c>
      <c r="AS922" s="228" cm="1">
        <f t="array" ref="AS922">IF(X922&gt;0, INDEX(Kat, $AN922, 9+AQ922), 0)</f>
        <v>0</v>
      </c>
      <c r="AT922" s="246"/>
      <c r="AU922" s="262"/>
      <c r="AV922" s="262"/>
      <c r="AW922" s="263"/>
      <c r="AX922" s="263"/>
      <c r="AY922" s="263"/>
      <c r="AZ922" s="263"/>
      <c r="BA922" s="263"/>
      <c r="BB922" s="263"/>
      <c r="BC922" s="263"/>
      <c r="BD922" s="263"/>
      <c r="BE922" s="263"/>
      <c r="BF922" s="263"/>
      <c r="BG922" s="263"/>
      <c r="BH922" s="246"/>
      <c r="BI922" s="228" cm="1">
        <f t="array" ref="BI922">INDEX(Use, $AH922, 4)</f>
        <v>7</v>
      </c>
      <c r="BJ922" s="228">
        <f t="shared" si="902"/>
        <v>32</v>
      </c>
      <c r="BK922" s="228">
        <f t="shared" si="928"/>
        <v>13</v>
      </c>
      <c r="BL922" s="228">
        <f t="shared" si="929"/>
        <v>0</v>
      </c>
      <c r="BM922" s="233" cm="1">
        <f t="array" ref="BM922">L922/IF($M922&gt;0, INDEX($AY$22:$BE$76, $M922+20, $AH922), 1)</f>
        <v>0</v>
      </c>
      <c r="BN922" s="229">
        <f t="shared" si="903"/>
        <v>0</v>
      </c>
      <c r="BO922" s="228">
        <v>35</v>
      </c>
      <c r="BP922" s="229">
        <f t="shared" si="904"/>
        <v>48</v>
      </c>
      <c r="BQ922" s="234">
        <f t="shared" si="905"/>
        <v>3.0748170731707316</v>
      </c>
      <c r="BR922" s="234" cm="1">
        <f t="array" ref="BR922">$BM922 * SUMPRODUCT(INDEX($AV$76:$AX$81,,$AI922),INDEX($AY$76:$BE$81,,$AH922), N($AU$76:$AU$81&gt;$AM922)) / BQ922 / 1000</f>
        <v>0</v>
      </c>
      <c r="BS922" s="231">
        <f t="shared" si="930"/>
        <v>30</v>
      </c>
      <c r="BT922" s="229">
        <f t="shared" si="906"/>
        <v>43</v>
      </c>
      <c r="BU922" s="234">
        <f t="shared" si="907"/>
        <v>3.5018750000000001</v>
      </c>
      <c r="BV922" s="234" cm="1">
        <f t="array" ref="BV922">$BM922 * IF($AH922&lt;=2,
SUMPRODUCT(INDEX($AV$71:$AX$75,,$AI922), INDEX($AY$71:$BE$75,,$AH922), 1 / ($BF$71:$BF$75*BU922 + (1-$BF$71:$BF$75)*BQ922), N($AU$71:$AU$75&gt;$AM922)),
SUMPRODUCT(INDEX($AV$66:$AX$75,,$AI922), INDEX($AY$66:$BE$75,,$AH922), 1 / ($BG$66:$BG$75*BU922 + (1-$BG$66:$BG$75)*BQ922), N($AU$66:$AU$75&gt;$AM922))
) / 1000</f>
        <v>0</v>
      </c>
      <c r="BW922" s="231">
        <f t="shared" si="931"/>
        <v>25</v>
      </c>
      <c r="BX922" s="229">
        <f t="shared" si="908"/>
        <v>38</v>
      </c>
      <c r="BY922" s="234">
        <f t="shared" si="909"/>
        <v>4.0666935483870965</v>
      </c>
      <c r="BZ922" s="234" cm="1">
        <f t="array" ref="BZ922">$BM922 * IF($AH922&lt;=2,
SUMPRODUCT(INDEX($AV$66:$AX$70,,$AI922), INDEX($AY$66:$BE$70,,$AH922), 1 / ($BF$66:$BF$70*BY922 + (1-$BF$66:$BF$70)*BU922), N($AU$66:$AU$70&gt;$AM922)),
SUMPRODUCT(INDEX($AV$56:$AX$65,,$AI922), INDEX($AY$56:$BE$65,,$AH922), 1 / ($BG$56:$BG$65*BY922 + (1-$BG$56:$BG$65)*BU922), N($AU$56:$AU$65&gt;$AM922))
) / 1000</f>
        <v>0</v>
      </c>
      <c r="CA922" s="231">
        <f t="shared" si="932"/>
        <v>20</v>
      </c>
      <c r="CB922" s="229">
        <f t="shared" si="910"/>
        <v>33</v>
      </c>
      <c r="CC922" s="234">
        <f t="shared" si="911"/>
        <v>4.8487499999999999</v>
      </c>
      <c r="CD922" s="234" cm="1">
        <f t="array" ref="CD922">$BM922 * IF($AH922&lt;=2,
SUMPRODUCT(INDEX($AV$61:$AX$65,,$AI922), INDEX($AY$61:$BE$65,,$AH922), 1 / ($BF$61:$BF$65*CC922 + (1-$BF$61:$BF$65)*BY922), N($AU$61:$AU$65&gt;$AM922)),
SUMPRODUCT(INDEX($AV$46:$AX$55,,$AI922), INDEX($AY$46:$BE$55,,$AH922), 1 / ($BG$46:$BG$55*CC922 + (1-$BG$46:$BG$55)*BY922), N($AU$46:$AU$55&gt;$AM922))
) / 1000</f>
        <v>0</v>
      </c>
      <c r="CE922" s="234" cm="1">
        <f t="array" ref="CE922">$BM922 * IF($AH922&lt;=2,
SUMPRODUCT(INDEX($AV$22:$AX$60,,$AI922), INDEX($AY$22:$BE$60,,$AH922), 1 / ($BF$22:$BF$60*CC922), N($AU$22:$AU$60&gt;$AM922)),
SUMPRODUCT(INDEX($AV$22:$AX$45,,$AI922), INDEX($AY$22:$BE$45,,$AH922), 1 / ($BG$22:$BG$45*CC922), N($AU$22:$AU$45&gt;$AM922))
) / 1000</f>
        <v>0</v>
      </c>
      <c r="CF922" s="229">
        <f t="shared" si="912"/>
        <v>0</v>
      </c>
      <c r="CG922" s="246"/>
      <c r="CH922" s="229">
        <f t="shared" si="913"/>
        <v>0</v>
      </c>
      <c r="CI922" s="228">
        <v>35</v>
      </c>
      <c r="CJ922" s="229">
        <f t="shared" si="914"/>
        <v>48</v>
      </c>
      <c r="CK922" s="234">
        <f t="shared" si="915"/>
        <v>3.0748170731707316</v>
      </c>
      <c r="CL922" s="234" cm="1">
        <f t="array" ref="CL922">$BM922 * SUMPRODUCT(INDEX($AV$76:$AX$81,,$AI922),INDEX($AY$76:$BE$81,,$AH922), N($AU$76:$AU$81&gt;$AM922)) / CK922 / 1000</f>
        <v>0</v>
      </c>
      <c r="CM922" s="231">
        <f t="shared" si="933"/>
        <v>30</v>
      </c>
      <c r="CN922" s="229">
        <f t="shared" si="916"/>
        <v>43</v>
      </c>
      <c r="CO922" s="234">
        <f t="shared" si="917"/>
        <v>3.5018750000000001</v>
      </c>
      <c r="CP922" s="234" cm="1">
        <f t="array" ref="CP922">$BM922 * IF($AH922&lt;=2,
SUMPRODUCT(INDEX($AV$71:$AX$75,,$AI922), INDEX($AY$71:$BE$75,,$AH922), 1 / ($BF$71:$BF$75*CO922 + (1-$BF$71:$BF$75)*CK922), N($AU$71:$AU$75&gt;$AM922)),
SUMPRODUCT(INDEX($AV$66:$AX$75,,$AI922), INDEX($AY$66:$BE$75,,$AH922), 1 / ($BG$66:$BG$75*CO922 + (1-$BG$66:$BG$75)*CK922), N($AU$66:$AU$75&gt;$AM922))
) / 1000</f>
        <v>0</v>
      </c>
      <c r="CQ922" s="231">
        <f t="shared" si="934"/>
        <v>25</v>
      </c>
      <c r="CR922" s="229">
        <f t="shared" si="918"/>
        <v>38</v>
      </c>
      <c r="CS922" s="234">
        <f t="shared" si="919"/>
        <v>4.0666935483870965</v>
      </c>
      <c r="CT922" s="234" cm="1">
        <f t="array" ref="CT922">$BM922 * IF($AH922&lt;=2,
SUMPRODUCT(INDEX($AV$66:$AX$70,,$AI922), INDEX($AY$66:$BE$70,,$AH922), 1 / ($BF$66:$BF$70*CS922 + (1-$BF$66:$BF$70)*CO922), N($AU$66:$AU$70&gt;$AM922)),
SUMPRODUCT(INDEX($AV$56:$AX$65,,$AI922), INDEX($AY$56:$BE$65,,$AH922), 1 / ($BG$56:$BG$65*CS922 + (1-$BG$56:$BG$65)*CO922), N($AU$56:$AU$65&gt;$AM922))
) / 1000</f>
        <v>0</v>
      </c>
      <c r="CU922" s="231">
        <f t="shared" si="935"/>
        <v>20</v>
      </c>
      <c r="CV922" s="229">
        <f t="shared" si="920"/>
        <v>33</v>
      </c>
      <c r="CW922" s="234">
        <f t="shared" si="921"/>
        <v>4.8487499999999999</v>
      </c>
      <c r="CX922" s="234" cm="1">
        <f t="array" ref="CX922">$BM922 * IF($AH922&lt;=2,
SUMPRODUCT(INDEX($AV$61:$AX$65,,$AI922), INDEX($AY$61:$BE$65,,$AH922), 1 / ($BF$61:$BF$65*CW922 + (1-$BF$61:$BF$65)*CS922), N($AU$61:$AU$65&gt;$AM922)),
SUMPRODUCT(INDEX($AV$46:$AX$55,,$AI922), INDEX($AY$46:$BE$55,,$AH922), 1 / ($BG$46:$BG$55*CW922 + (1-$BG$46:$BG$55)*CS922), N($AU$46:$AU$55&gt;$AM922))
) / 1000</f>
        <v>0</v>
      </c>
      <c r="CY922" s="234" cm="1">
        <f t="array" ref="CY922">$BM922 * IF($AH922&lt;=2,
SUMPRODUCT(INDEX($AV$22:$AX$60,,$AI922), INDEX($AY$22:$BE$60,,$AH922), 1 / ($BF$22:$BF$60*CW922), N($AU$22:$AU$60&gt;$AM922)),
SUMPRODUCT(INDEX($AV$22:$AX$45,,$AI922), INDEX($AY$22:$BE$45,,$AH922), 1 / ($BG$22:$BG$45*CW922), N($AU$22:$AU$45&gt;$AM922))
) / 1000</f>
        <v>0</v>
      </c>
      <c r="CZ922" s="229">
        <f t="shared" si="922"/>
        <v>0</v>
      </c>
      <c r="DA922" s="246"/>
    </row>
    <row r="923" spans="1:105" s="75" customFormat="1" ht="14.25" customHeight="1" x14ac:dyDescent="0.2">
      <c r="A923" s="230" t="b">
        <f t="shared" si="927"/>
        <v>0</v>
      </c>
      <c r="B923" s="253">
        <v>902</v>
      </c>
      <c r="C923" s="266"/>
      <c r="D923" s="266"/>
      <c r="E923" s="254"/>
      <c r="F923" s="255" t="str">
        <f>IF(ISBLANK(E923), "", VLOOKUP(E923, Z!$A$2:$C$4127, 3, FALSE))</f>
        <v/>
      </c>
      <c r="G923" s="256"/>
      <c r="H923" s="256"/>
      <c r="I923" s="256"/>
      <c r="J923" s="257"/>
      <c r="K923" s="258"/>
      <c r="L923" s="267"/>
      <c r="M923" s="268"/>
      <c r="N923" s="259" t="str" cm="1">
        <f t="array" ref="N923">IF($L923&gt;0, INDEX(Clean,1+AK923,$D$1), "")</f>
        <v/>
      </c>
      <c r="O923" s="260"/>
      <c r="P923" s="260"/>
      <c r="Q923" s="261"/>
      <c r="R923" s="264">
        <f t="shared" si="898"/>
        <v>0</v>
      </c>
      <c r="S923" s="259" t="str" cm="1">
        <f t="array" ref="S923">IF($L923&gt;0, INDEX(Clean,1+AL923,$D$1), "")</f>
        <v/>
      </c>
      <c r="T923" s="260"/>
      <c r="U923" s="260"/>
      <c r="V923" s="261"/>
      <c r="W923" s="267"/>
      <c r="X923" s="267"/>
      <c r="Y923" s="257"/>
      <c r="Z923" s="264">
        <f t="shared" si="899"/>
        <v>0</v>
      </c>
      <c r="AA923" s="269"/>
      <c r="AB923" s="266"/>
      <c r="AC923" s="254"/>
      <c r="AD923" s="255" t="str">
        <f>IF(ISBLANK(AC923), "", VLOOKUP(AC923, Z!$A$2:$C$4127, 3, FALSE))</f>
        <v/>
      </c>
      <c r="AE923" s="270"/>
      <c r="AF923" s="265">
        <f t="shared" si="900"/>
        <v>0</v>
      </c>
      <c r="AG923" s="246"/>
      <c r="AH923" s="228">
        <f t="shared" si="923"/>
        <v>1</v>
      </c>
      <c r="AI923" s="228">
        <f t="shared" si="924"/>
        <v>1</v>
      </c>
      <c r="AJ923" s="228">
        <f t="shared" si="925"/>
        <v>0</v>
      </c>
      <c r="AK923" s="228">
        <v>0</v>
      </c>
      <c r="AL923" s="228">
        <v>0</v>
      </c>
      <c r="AM923" s="228">
        <f t="shared" si="901"/>
        <v>-100</v>
      </c>
      <c r="AN923" s="228" cm="1">
        <f t="array" ref="AN923">IF(ISBLANK(G923), 1, IFERROR(MATCH(G923, INDEX(Kat,,1), 0), IFERROR(MATCH(Kat, INDEX(Use,,2), 0), MATCH(Kat, INDEX(Use,,3), 0))))</f>
        <v>1</v>
      </c>
      <c r="AO923" s="246"/>
      <c r="AP923" s="228" cm="1">
        <f t="array" ref="AP923">IF(W923&gt;0, INDEX(Kat, AN923,4), 0)</f>
        <v>0</v>
      </c>
      <c r="AQ923" s="228">
        <f t="shared" si="926"/>
        <v>0</v>
      </c>
      <c r="AR923" s="228" cm="1">
        <f t="array" ref="AR923">IF(X923&gt;0, INDEX(Kat, $AN923, 4+AQ923), 0)</f>
        <v>0</v>
      </c>
      <c r="AS923" s="228" cm="1">
        <f t="array" ref="AS923">IF(X923&gt;0, INDEX(Kat, $AN923, 9+AQ923), 0)</f>
        <v>0</v>
      </c>
      <c r="AT923" s="246"/>
      <c r="AU923" s="262"/>
      <c r="AV923" s="262"/>
      <c r="AW923" s="263"/>
      <c r="AX923" s="263"/>
      <c r="AY923" s="263"/>
      <c r="AZ923" s="263"/>
      <c r="BA923" s="263"/>
      <c r="BB923" s="263"/>
      <c r="BC923" s="263"/>
      <c r="BD923" s="263"/>
      <c r="BE923" s="263"/>
      <c r="BF923" s="263"/>
      <c r="BG923" s="263"/>
      <c r="BH923" s="246"/>
      <c r="BI923" s="228" cm="1">
        <f t="array" ref="BI923">INDEX(Use, $AH923, 4)</f>
        <v>7</v>
      </c>
      <c r="BJ923" s="228">
        <f t="shared" si="902"/>
        <v>32</v>
      </c>
      <c r="BK923" s="228">
        <f t="shared" si="928"/>
        <v>13</v>
      </c>
      <c r="BL923" s="228">
        <f t="shared" si="929"/>
        <v>0</v>
      </c>
      <c r="BM923" s="233" cm="1">
        <f t="array" ref="BM923">L923/IF($M923&gt;0, INDEX($AY$22:$BE$76, $M923+20, $AH923), 1)</f>
        <v>0</v>
      </c>
      <c r="BN923" s="229">
        <f t="shared" si="903"/>
        <v>0</v>
      </c>
      <c r="BO923" s="228">
        <v>35</v>
      </c>
      <c r="BP923" s="229">
        <f t="shared" si="904"/>
        <v>48</v>
      </c>
      <c r="BQ923" s="234">
        <f t="shared" si="905"/>
        <v>3.0748170731707316</v>
      </c>
      <c r="BR923" s="234" cm="1">
        <f t="array" ref="BR923">$BM923 * SUMPRODUCT(INDEX($AV$76:$AX$81,,$AI923),INDEX($AY$76:$BE$81,,$AH923), N($AU$76:$AU$81&gt;$AM923)) / BQ923 / 1000</f>
        <v>0</v>
      </c>
      <c r="BS923" s="231">
        <f t="shared" si="930"/>
        <v>30</v>
      </c>
      <c r="BT923" s="229">
        <f t="shared" si="906"/>
        <v>43</v>
      </c>
      <c r="BU923" s="234">
        <f t="shared" si="907"/>
        <v>3.5018750000000001</v>
      </c>
      <c r="BV923" s="234" cm="1">
        <f t="array" ref="BV923">$BM923 * IF($AH923&lt;=2,
SUMPRODUCT(INDEX($AV$71:$AX$75,,$AI923), INDEX($AY$71:$BE$75,,$AH923), 1 / ($BF$71:$BF$75*BU923 + (1-$BF$71:$BF$75)*BQ923), N($AU$71:$AU$75&gt;$AM923)),
SUMPRODUCT(INDEX($AV$66:$AX$75,,$AI923), INDEX($AY$66:$BE$75,,$AH923), 1 / ($BG$66:$BG$75*BU923 + (1-$BG$66:$BG$75)*BQ923), N($AU$66:$AU$75&gt;$AM923))
) / 1000</f>
        <v>0</v>
      </c>
      <c r="BW923" s="231">
        <f t="shared" si="931"/>
        <v>25</v>
      </c>
      <c r="BX923" s="229">
        <f t="shared" si="908"/>
        <v>38</v>
      </c>
      <c r="BY923" s="234">
        <f t="shared" si="909"/>
        <v>4.0666935483870965</v>
      </c>
      <c r="BZ923" s="234" cm="1">
        <f t="array" ref="BZ923">$BM923 * IF($AH923&lt;=2,
SUMPRODUCT(INDEX($AV$66:$AX$70,,$AI923), INDEX($AY$66:$BE$70,,$AH923), 1 / ($BF$66:$BF$70*BY923 + (1-$BF$66:$BF$70)*BU923), N($AU$66:$AU$70&gt;$AM923)),
SUMPRODUCT(INDEX($AV$56:$AX$65,,$AI923), INDEX($AY$56:$BE$65,,$AH923), 1 / ($BG$56:$BG$65*BY923 + (1-$BG$56:$BG$65)*BU923), N($AU$56:$AU$65&gt;$AM923))
) / 1000</f>
        <v>0</v>
      </c>
      <c r="CA923" s="231">
        <f t="shared" si="932"/>
        <v>20</v>
      </c>
      <c r="CB923" s="229">
        <f t="shared" si="910"/>
        <v>33</v>
      </c>
      <c r="CC923" s="234">
        <f t="shared" si="911"/>
        <v>4.8487499999999999</v>
      </c>
      <c r="CD923" s="234" cm="1">
        <f t="array" ref="CD923">$BM923 * IF($AH923&lt;=2,
SUMPRODUCT(INDEX($AV$61:$AX$65,,$AI923), INDEX($AY$61:$BE$65,,$AH923), 1 / ($BF$61:$BF$65*CC923 + (1-$BF$61:$BF$65)*BY923), N($AU$61:$AU$65&gt;$AM923)),
SUMPRODUCT(INDEX($AV$46:$AX$55,,$AI923), INDEX($AY$46:$BE$55,,$AH923), 1 / ($BG$46:$BG$55*CC923 + (1-$BG$46:$BG$55)*BY923), N($AU$46:$AU$55&gt;$AM923))
) / 1000</f>
        <v>0</v>
      </c>
      <c r="CE923" s="234" cm="1">
        <f t="array" ref="CE923">$BM923 * IF($AH923&lt;=2,
SUMPRODUCT(INDEX($AV$22:$AX$60,,$AI923), INDEX($AY$22:$BE$60,,$AH923), 1 / ($BF$22:$BF$60*CC923), N($AU$22:$AU$60&gt;$AM923)),
SUMPRODUCT(INDEX($AV$22:$AX$45,,$AI923), INDEX($AY$22:$BE$45,,$AH923), 1 / ($BG$22:$BG$45*CC923), N($AU$22:$AU$45&gt;$AM923))
) / 1000</f>
        <v>0</v>
      </c>
      <c r="CF923" s="229">
        <f t="shared" si="912"/>
        <v>0</v>
      </c>
      <c r="CG923" s="246"/>
      <c r="CH923" s="229">
        <f t="shared" si="913"/>
        <v>0</v>
      </c>
      <c r="CI923" s="228">
        <v>35</v>
      </c>
      <c r="CJ923" s="229">
        <f t="shared" si="914"/>
        <v>48</v>
      </c>
      <c r="CK923" s="234">
        <f t="shared" si="915"/>
        <v>3.0748170731707316</v>
      </c>
      <c r="CL923" s="234" cm="1">
        <f t="array" ref="CL923">$BM923 * SUMPRODUCT(INDEX($AV$76:$AX$81,,$AI923),INDEX($AY$76:$BE$81,,$AH923), N($AU$76:$AU$81&gt;$AM923)) / CK923 / 1000</f>
        <v>0</v>
      </c>
      <c r="CM923" s="231">
        <f t="shared" si="933"/>
        <v>30</v>
      </c>
      <c r="CN923" s="229">
        <f t="shared" si="916"/>
        <v>43</v>
      </c>
      <c r="CO923" s="234">
        <f t="shared" si="917"/>
        <v>3.5018750000000001</v>
      </c>
      <c r="CP923" s="234" cm="1">
        <f t="array" ref="CP923">$BM923 * IF($AH923&lt;=2,
SUMPRODUCT(INDEX($AV$71:$AX$75,,$AI923), INDEX($AY$71:$BE$75,,$AH923), 1 / ($BF$71:$BF$75*CO923 + (1-$BF$71:$BF$75)*CK923), N($AU$71:$AU$75&gt;$AM923)),
SUMPRODUCT(INDEX($AV$66:$AX$75,,$AI923), INDEX($AY$66:$BE$75,,$AH923), 1 / ($BG$66:$BG$75*CO923 + (1-$BG$66:$BG$75)*CK923), N($AU$66:$AU$75&gt;$AM923))
) / 1000</f>
        <v>0</v>
      </c>
      <c r="CQ923" s="231">
        <f t="shared" si="934"/>
        <v>25</v>
      </c>
      <c r="CR923" s="229">
        <f t="shared" si="918"/>
        <v>38</v>
      </c>
      <c r="CS923" s="234">
        <f t="shared" si="919"/>
        <v>4.0666935483870965</v>
      </c>
      <c r="CT923" s="234" cm="1">
        <f t="array" ref="CT923">$BM923 * IF($AH923&lt;=2,
SUMPRODUCT(INDEX($AV$66:$AX$70,,$AI923), INDEX($AY$66:$BE$70,,$AH923), 1 / ($BF$66:$BF$70*CS923 + (1-$BF$66:$BF$70)*CO923), N($AU$66:$AU$70&gt;$AM923)),
SUMPRODUCT(INDEX($AV$56:$AX$65,,$AI923), INDEX($AY$56:$BE$65,,$AH923), 1 / ($BG$56:$BG$65*CS923 + (1-$BG$56:$BG$65)*CO923), N($AU$56:$AU$65&gt;$AM923))
) / 1000</f>
        <v>0</v>
      </c>
      <c r="CU923" s="231">
        <f t="shared" si="935"/>
        <v>20</v>
      </c>
      <c r="CV923" s="229">
        <f t="shared" si="920"/>
        <v>33</v>
      </c>
      <c r="CW923" s="234">
        <f t="shared" si="921"/>
        <v>4.8487499999999999</v>
      </c>
      <c r="CX923" s="234" cm="1">
        <f t="array" ref="CX923">$BM923 * IF($AH923&lt;=2,
SUMPRODUCT(INDEX($AV$61:$AX$65,,$AI923), INDEX($AY$61:$BE$65,,$AH923), 1 / ($BF$61:$BF$65*CW923 + (1-$BF$61:$BF$65)*CS923), N($AU$61:$AU$65&gt;$AM923)),
SUMPRODUCT(INDEX($AV$46:$AX$55,,$AI923), INDEX($AY$46:$BE$55,,$AH923), 1 / ($BG$46:$BG$55*CW923 + (1-$BG$46:$BG$55)*CS923), N($AU$46:$AU$55&gt;$AM923))
) / 1000</f>
        <v>0</v>
      </c>
      <c r="CY923" s="234" cm="1">
        <f t="array" ref="CY923">$BM923 * IF($AH923&lt;=2,
SUMPRODUCT(INDEX($AV$22:$AX$60,,$AI923), INDEX($AY$22:$BE$60,,$AH923), 1 / ($BF$22:$BF$60*CW923), N($AU$22:$AU$60&gt;$AM923)),
SUMPRODUCT(INDEX($AV$22:$AX$45,,$AI923), INDEX($AY$22:$BE$45,,$AH923), 1 / ($BG$22:$BG$45*CW923), N($AU$22:$AU$45&gt;$AM923))
) / 1000</f>
        <v>0</v>
      </c>
      <c r="CZ923" s="229">
        <f t="shared" si="922"/>
        <v>0</v>
      </c>
      <c r="DA923" s="246"/>
    </row>
    <row r="924" spans="1:105" s="75" customFormat="1" ht="14.25" customHeight="1" x14ac:dyDescent="0.2">
      <c r="A924" s="230" t="b">
        <f t="shared" si="927"/>
        <v>0</v>
      </c>
      <c r="B924" s="253">
        <v>903</v>
      </c>
      <c r="C924" s="266"/>
      <c r="D924" s="266"/>
      <c r="E924" s="254"/>
      <c r="F924" s="255" t="str">
        <f>IF(ISBLANK(E924), "", VLOOKUP(E924, Z!$A$2:$C$4127, 3, FALSE))</f>
        <v/>
      </c>
      <c r="G924" s="256"/>
      <c r="H924" s="256"/>
      <c r="I924" s="256"/>
      <c r="J924" s="257"/>
      <c r="K924" s="258"/>
      <c r="L924" s="267"/>
      <c r="M924" s="268"/>
      <c r="N924" s="259" t="str" cm="1">
        <f t="array" ref="N924">IF($L924&gt;0, INDEX(Clean,1+AK924,$D$1), "")</f>
        <v/>
      </c>
      <c r="O924" s="260"/>
      <c r="P924" s="260"/>
      <c r="Q924" s="261"/>
      <c r="R924" s="264">
        <f t="shared" si="898"/>
        <v>0</v>
      </c>
      <c r="S924" s="259" t="str" cm="1">
        <f t="array" ref="S924">IF($L924&gt;0, INDEX(Clean,1+AL924,$D$1), "")</f>
        <v/>
      </c>
      <c r="T924" s="260"/>
      <c r="U924" s="260"/>
      <c r="V924" s="261"/>
      <c r="W924" s="267"/>
      <c r="X924" s="267"/>
      <c r="Y924" s="257"/>
      <c r="Z924" s="264">
        <f t="shared" si="899"/>
        <v>0</v>
      </c>
      <c r="AA924" s="269"/>
      <c r="AB924" s="266"/>
      <c r="AC924" s="254"/>
      <c r="AD924" s="255" t="str">
        <f>IF(ISBLANK(AC924), "", VLOOKUP(AC924, Z!$A$2:$C$4127, 3, FALSE))</f>
        <v/>
      </c>
      <c r="AE924" s="270"/>
      <c r="AF924" s="265">
        <f t="shared" si="900"/>
        <v>0</v>
      </c>
      <c r="AG924" s="246"/>
      <c r="AH924" s="228">
        <f t="shared" si="923"/>
        <v>1</v>
      </c>
      <c r="AI924" s="228">
        <f t="shared" si="924"/>
        <v>1</v>
      </c>
      <c r="AJ924" s="228">
        <f t="shared" si="925"/>
        <v>0</v>
      </c>
      <c r="AK924" s="228">
        <v>0</v>
      </c>
      <c r="AL924" s="228">
        <v>0</v>
      </c>
      <c r="AM924" s="228">
        <f t="shared" si="901"/>
        <v>-100</v>
      </c>
      <c r="AN924" s="228" cm="1">
        <f t="array" ref="AN924">IF(ISBLANK(G924), 1, IFERROR(MATCH(G924, INDEX(Kat,,1), 0), IFERROR(MATCH(Kat, INDEX(Use,,2), 0), MATCH(Kat, INDEX(Use,,3), 0))))</f>
        <v>1</v>
      </c>
      <c r="AO924" s="246"/>
      <c r="AP924" s="228" cm="1">
        <f t="array" ref="AP924">IF(W924&gt;0, INDEX(Kat, AN924,4), 0)</f>
        <v>0</v>
      </c>
      <c r="AQ924" s="228">
        <f t="shared" si="926"/>
        <v>0</v>
      </c>
      <c r="AR924" s="228" cm="1">
        <f t="array" ref="AR924">IF(X924&gt;0, INDEX(Kat, $AN924, 4+AQ924), 0)</f>
        <v>0</v>
      </c>
      <c r="AS924" s="228" cm="1">
        <f t="array" ref="AS924">IF(X924&gt;0, INDEX(Kat, $AN924, 9+AQ924), 0)</f>
        <v>0</v>
      </c>
      <c r="AT924" s="246"/>
      <c r="AU924" s="262"/>
      <c r="AV924" s="262"/>
      <c r="AW924" s="263"/>
      <c r="AX924" s="263"/>
      <c r="AY924" s="263"/>
      <c r="AZ924" s="263"/>
      <c r="BA924" s="263"/>
      <c r="BB924" s="263"/>
      <c r="BC924" s="263"/>
      <c r="BD924" s="263"/>
      <c r="BE924" s="263"/>
      <c r="BF924" s="263"/>
      <c r="BG924" s="263"/>
      <c r="BH924" s="246"/>
      <c r="BI924" s="228" cm="1">
        <f t="array" ref="BI924">INDEX(Use, $AH924, 4)</f>
        <v>7</v>
      </c>
      <c r="BJ924" s="228">
        <f t="shared" si="902"/>
        <v>32</v>
      </c>
      <c r="BK924" s="228">
        <f t="shared" si="928"/>
        <v>13</v>
      </c>
      <c r="BL924" s="228">
        <f t="shared" si="929"/>
        <v>0</v>
      </c>
      <c r="BM924" s="233" cm="1">
        <f t="array" ref="BM924">L924/IF($M924&gt;0, INDEX($AY$22:$BE$76, $M924+20, $AH924), 1)</f>
        <v>0</v>
      </c>
      <c r="BN924" s="229">
        <f t="shared" si="903"/>
        <v>0</v>
      </c>
      <c r="BO924" s="228">
        <v>35</v>
      </c>
      <c r="BP924" s="229">
        <f t="shared" si="904"/>
        <v>48</v>
      </c>
      <c r="BQ924" s="234">
        <f t="shared" si="905"/>
        <v>3.0748170731707316</v>
      </c>
      <c r="BR924" s="234" cm="1">
        <f t="array" ref="BR924">$BM924 * SUMPRODUCT(INDEX($AV$76:$AX$81,,$AI924),INDEX($AY$76:$BE$81,,$AH924), N($AU$76:$AU$81&gt;$AM924)) / BQ924 / 1000</f>
        <v>0</v>
      </c>
      <c r="BS924" s="231">
        <f t="shared" si="930"/>
        <v>30</v>
      </c>
      <c r="BT924" s="229">
        <f t="shared" si="906"/>
        <v>43</v>
      </c>
      <c r="BU924" s="234">
        <f t="shared" si="907"/>
        <v>3.5018750000000001</v>
      </c>
      <c r="BV924" s="234" cm="1">
        <f t="array" ref="BV924">$BM924 * IF($AH924&lt;=2,
SUMPRODUCT(INDEX($AV$71:$AX$75,,$AI924), INDEX($AY$71:$BE$75,,$AH924), 1 / ($BF$71:$BF$75*BU924 + (1-$BF$71:$BF$75)*BQ924), N($AU$71:$AU$75&gt;$AM924)),
SUMPRODUCT(INDEX($AV$66:$AX$75,,$AI924), INDEX($AY$66:$BE$75,,$AH924), 1 / ($BG$66:$BG$75*BU924 + (1-$BG$66:$BG$75)*BQ924), N($AU$66:$AU$75&gt;$AM924))
) / 1000</f>
        <v>0</v>
      </c>
      <c r="BW924" s="231">
        <f t="shared" si="931"/>
        <v>25</v>
      </c>
      <c r="BX924" s="229">
        <f t="shared" si="908"/>
        <v>38</v>
      </c>
      <c r="BY924" s="234">
        <f t="shared" si="909"/>
        <v>4.0666935483870965</v>
      </c>
      <c r="BZ924" s="234" cm="1">
        <f t="array" ref="BZ924">$BM924 * IF($AH924&lt;=2,
SUMPRODUCT(INDEX($AV$66:$AX$70,,$AI924), INDEX($AY$66:$BE$70,,$AH924), 1 / ($BF$66:$BF$70*BY924 + (1-$BF$66:$BF$70)*BU924), N($AU$66:$AU$70&gt;$AM924)),
SUMPRODUCT(INDEX($AV$56:$AX$65,,$AI924), INDEX($AY$56:$BE$65,,$AH924), 1 / ($BG$56:$BG$65*BY924 + (1-$BG$56:$BG$65)*BU924), N($AU$56:$AU$65&gt;$AM924))
) / 1000</f>
        <v>0</v>
      </c>
      <c r="CA924" s="231">
        <f t="shared" si="932"/>
        <v>20</v>
      </c>
      <c r="CB924" s="229">
        <f t="shared" si="910"/>
        <v>33</v>
      </c>
      <c r="CC924" s="234">
        <f t="shared" si="911"/>
        <v>4.8487499999999999</v>
      </c>
      <c r="CD924" s="234" cm="1">
        <f t="array" ref="CD924">$BM924 * IF($AH924&lt;=2,
SUMPRODUCT(INDEX($AV$61:$AX$65,,$AI924), INDEX($AY$61:$BE$65,,$AH924), 1 / ($BF$61:$BF$65*CC924 + (1-$BF$61:$BF$65)*BY924), N($AU$61:$AU$65&gt;$AM924)),
SUMPRODUCT(INDEX($AV$46:$AX$55,,$AI924), INDEX($AY$46:$BE$55,,$AH924), 1 / ($BG$46:$BG$55*CC924 + (1-$BG$46:$BG$55)*BY924), N($AU$46:$AU$55&gt;$AM924))
) / 1000</f>
        <v>0</v>
      </c>
      <c r="CE924" s="234" cm="1">
        <f t="array" ref="CE924">$BM924 * IF($AH924&lt;=2,
SUMPRODUCT(INDEX($AV$22:$AX$60,,$AI924), INDEX($AY$22:$BE$60,,$AH924), 1 / ($BF$22:$BF$60*CC924), N($AU$22:$AU$60&gt;$AM924)),
SUMPRODUCT(INDEX($AV$22:$AX$45,,$AI924), INDEX($AY$22:$BE$45,,$AH924), 1 / ($BG$22:$BG$45*CC924), N($AU$22:$AU$45&gt;$AM924))
) / 1000</f>
        <v>0</v>
      </c>
      <c r="CF924" s="229">
        <f t="shared" si="912"/>
        <v>0</v>
      </c>
      <c r="CG924" s="246"/>
      <c r="CH924" s="229">
        <f t="shared" si="913"/>
        <v>0</v>
      </c>
      <c r="CI924" s="228">
        <v>35</v>
      </c>
      <c r="CJ924" s="229">
        <f t="shared" si="914"/>
        <v>48</v>
      </c>
      <c r="CK924" s="234">
        <f t="shared" si="915"/>
        <v>3.0748170731707316</v>
      </c>
      <c r="CL924" s="234" cm="1">
        <f t="array" ref="CL924">$BM924 * SUMPRODUCT(INDEX($AV$76:$AX$81,,$AI924),INDEX($AY$76:$BE$81,,$AH924), N($AU$76:$AU$81&gt;$AM924)) / CK924 / 1000</f>
        <v>0</v>
      </c>
      <c r="CM924" s="231">
        <f t="shared" si="933"/>
        <v>30</v>
      </c>
      <c r="CN924" s="229">
        <f t="shared" si="916"/>
        <v>43</v>
      </c>
      <c r="CO924" s="234">
        <f t="shared" si="917"/>
        <v>3.5018750000000001</v>
      </c>
      <c r="CP924" s="234" cm="1">
        <f t="array" ref="CP924">$BM924 * IF($AH924&lt;=2,
SUMPRODUCT(INDEX($AV$71:$AX$75,,$AI924), INDEX($AY$71:$BE$75,,$AH924), 1 / ($BF$71:$BF$75*CO924 + (1-$BF$71:$BF$75)*CK924), N($AU$71:$AU$75&gt;$AM924)),
SUMPRODUCT(INDEX($AV$66:$AX$75,,$AI924), INDEX($AY$66:$BE$75,,$AH924), 1 / ($BG$66:$BG$75*CO924 + (1-$BG$66:$BG$75)*CK924), N($AU$66:$AU$75&gt;$AM924))
) / 1000</f>
        <v>0</v>
      </c>
      <c r="CQ924" s="231">
        <f t="shared" si="934"/>
        <v>25</v>
      </c>
      <c r="CR924" s="229">
        <f t="shared" si="918"/>
        <v>38</v>
      </c>
      <c r="CS924" s="234">
        <f t="shared" si="919"/>
        <v>4.0666935483870965</v>
      </c>
      <c r="CT924" s="234" cm="1">
        <f t="array" ref="CT924">$BM924 * IF($AH924&lt;=2,
SUMPRODUCT(INDEX($AV$66:$AX$70,,$AI924), INDEX($AY$66:$BE$70,,$AH924), 1 / ($BF$66:$BF$70*CS924 + (1-$BF$66:$BF$70)*CO924), N($AU$66:$AU$70&gt;$AM924)),
SUMPRODUCT(INDEX($AV$56:$AX$65,,$AI924), INDEX($AY$56:$BE$65,,$AH924), 1 / ($BG$56:$BG$65*CS924 + (1-$BG$56:$BG$65)*CO924), N($AU$56:$AU$65&gt;$AM924))
) / 1000</f>
        <v>0</v>
      </c>
      <c r="CU924" s="231">
        <f t="shared" si="935"/>
        <v>20</v>
      </c>
      <c r="CV924" s="229">
        <f t="shared" si="920"/>
        <v>33</v>
      </c>
      <c r="CW924" s="234">
        <f t="shared" si="921"/>
        <v>4.8487499999999999</v>
      </c>
      <c r="CX924" s="234" cm="1">
        <f t="array" ref="CX924">$BM924 * IF($AH924&lt;=2,
SUMPRODUCT(INDEX($AV$61:$AX$65,,$AI924), INDEX($AY$61:$BE$65,,$AH924), 1 / ($BF$61:$BF$65*CW924 + (1-$BF$61:$BF$65)*CS924), N($AU$61:$AU$65&gt;$AM924)),
SUMPRODUCT(INDEX($AV$46:$AX$55,,$AI924), INDEX($AY$46:$BE$55,,$AH924), 1 / ($BG$46:$BG$55*CW924 + (1-$BG$46:$BG$55)*CS924), N($AU$46:$AU$55&gt;$AM924))
) / 1000</f>
        <v>0</v>
      </c>
      <c r="CY924" s="234" cm="1">
        <f t="array" ref="CY924">$BM924 * IF($AH924&lt;=2,
SUMPRODUCT(INDEX($AV$22:$AX$60,,$AI924), INDEX($AY$22:$BE$60,,$AH924), 1 / ($BF$22:$BF$60*CW924), N($AU$22:$AU$60&gt;$AM924)),
SUMPRODUCT(INDEX($AV$22:$AX$45,,$AI924), INDEX($AY$22:$BE$45,,$AH924), 1 / ($BG$22:$BG$45*CW924), N($AU$22:$AU$45&gt;$AM924))
) / 1000</f>
        <v>0</v>
      </c>
      <c r="CZ924" s="229">
        <f t="shared" si="922"/>
        <v>0</v>
      </c>
      <c r="DA924" s="246"/>
    </row>
    <row r="925" spans="1:105" s="75" customFormat="1" ht="14.25" customHeight="1" x14ac:dyDescent="0.2">
      <c r="A925" s="230" t="b">
        <f t="shared" si="927"/>
        <v>0</v>
      </c>
      <c r="B925" s="253">
        <v>904</v>
      </c>
      <c r="C925" s="266"/>
      <c r="D925" s="266"/>
      <c r="E925" s="254"/>
      <c r="F925" s="255" t="str">
        <f>IF(ISBLANK(E925), "", VLOOKUP(E925, Z!$A$2:$C$4127, 3, FALSE))</f>
        <v/>
      </c>
      <c r="G925" s="256"/>
      <c r="H925" s="256"/>
      <c r="I925" s="256"/>
      <c r="J925" s="257"/>
      <c r="K925" s="258"/>
      <c r="L925" s="267"/>
      <c r="M925" s="268"/>
      <c r="N925" s="259" t="str" cm="1">
        <f t="array" ref="N925">IF($L925&gt;0, INDEX(Clean,1+AK925,$D$1), "")</f>
        <v/>
      </c>
      <c r="O925" s="260"/>
      <c r="P925" s="260"/>
      <c r="Q925" s="261"/>
      <c r="R925" s="264">
        <f t="shared" si="898"/>
        <v>0</v>
      </c>
      <c r="S925" s="259" t="str" cm="1">
        <f t="array" ref="S925">IF($L925&gt;0, INDEX(Clean,1+AL925,$D$1), "")</f>
        <v/>
      </c>
      <c r="T925" s="260"/>
      <c r="U925" s="260"/>
      <c r="V925" s="261"/>
      <c r="W925" s="267"/>
      <c r="X925" s="267"/>
      <c r="Y925" s="257"/>
      <c r="Z925" s="264">
        <f t="shared" si="899"/>
        <v>0</v>
      </c>
      <c r="AA925" s="269"/>
      <c r="AB925" s="266"/>
      <c r="AC925" s="254"/>
      <c r="AD925" s="255" t="str">
        <f>IF(ISBLANK(AC925), "", VLOOKUP(AC925, Z!$A$2:$C$4127, 3, FALSE))</f>
        <v/>
      </c>
      <c r="AE925" s="270"/>
      <c r="AF925" s="265">
        <f t="shared" si="900"/>
        <v>0</v>
      </c>
      <c r="AG925" s="246"/>
      <c r="AH925" s="228">
        <f t="shared" si="923"/>
        <v>1</v>
      </c>
      <c r="AI925" s="228">
        <f t="shared" si="924"/>
        <v>1</v>
      </c>
      <c r="AJ925" s="228">
        <f t="shared" si="925"/>
        <v>0</v>
      </c>
      <c r="AK925" s="228">
        <v>0</v>
      </c>
      <c r="AL925" s="228">
        <v>0</v>
      </c>
      <c r="AM925" s="228">
        <f t="shared" si="901"/>
        <v>-100</v>
      </c>
      <c r="AN925" s="228" cm="1">
        <f t="array" ref="AN925">IF(ISBLANK(G925), 1, IFERROR(MATCH(G925, INDEX(Kat,,1), 0), IFERROR(MATCH(Kat, INDEX(Use,,2), 0), MATCH(Kat, INDEX(Use,,3), 0))))</f>
        <v>1</v>
      </c>
      <c r="AO925" s="246"/>
      <c r="AP925" s="228" cm="1">
        <f t="array" ref="AP925">IF(W925&gt;0, INDEX(Kat, AN925,4), 0)</f>
        <v>0</v>
      </c>
      <c r="AQ925" s="228">
        <f t="shared" si="926"/>
        <v>0</v>
      </c>
      <c r="AR925" s="228" cm="1">
        <f t="array" ref="AR925">IF(X925&gt;0, INDEX(Kat, $AN925, 4+AQ925), 0)</f>
        <v>0</v>
      </c>
      <c r="AS925" s="228" cm="1">
        <f t="array" ref="AS925">IF(X925&gt;0, INDEX(Kat, $AN925, 9+AQ925), 0)</f>
        <v>0</v>
      </c>
      <c r="AT925" s="246"/>
      <c r="AU925" s="262"/>
      <c r="AV925" s="262"/>
      <c r="AW925" s="263"/>
      <c r="AX925" s="263"/>
      <c r="AY925" s="263"/>
      <c r="AZ925" s="263"/>
      <c r="BA925" s="263"/>
      <c r="BB925" s="263"/>
      <c r="BC925" s="263"/>
      <c r="BD925" s="263"/>
      <c r="BE925" s="263"/>
      <c r="BF925" s="263"/>
      <c r="BG925" s="263"/>
      <c r="BH925" s="246"/>
      <c r="BI925" s="228" cm="1">
        <f t="array" ref="BI925">INDEX(Use, $AH925, 4)</f>
        <v>7</v>
      </c>
      <c r="BJ925" s="228">
        <f t="shared" si="902"/>
        <v>32</v>
      </c>
      <c r="BK925" s="228">
        <f t="shared" si="928"/>
        <v>13</v>
      </c>
      <c r="BL925" s="228">
        <f t="shared" si="929"/>
        <v>0</v>
      </c>
      <c r="BM925" s="233" cm="1">
        <f t="array" ref="BM925">L925/IF($M925&gt;0, INDEX($AY$22:$BE$76, $M925+20, $AH925), 1)</f>
        <v>0</v>
      </c>
      <c r="BN925" s="229">
        <f t="shared" si="903"/>
        <v>0</v>
      </c>
      <c r="BO925" s="228">
        <v>35</v>
      </c>
      <c r="BP925" s="229">
        <f t="shared" si="904"/>
        <v>48</v>
      </c>
      <c r="BQ925" s="234">
        <f t="shared" si="905"/>
        <v>3.0748170731707316</v>
      </c>
      <c r="BR925" s="234" cm="1">
        <f t="array" ref="BR925">$BM925 * SUMPRODUCT(INDEX($AV$76:$AX$81,,$AI925),INDEX($AY$76:$BE$81,,$AH925), N($AU$76:$AU$81&gt;$AM925)) / BQ925 / 1000</f>
        <v>0</v>
      </c>
      <c r="BS925" s="231">
        <f t="shared" si="930"/>
        <v>30</v>
      </c>
      <c r="BT925" s="229">
        <f t="shared" si="906"/>
        <v>43</v>
      </c>
      <c r="BU925" s="234">
        <f t="shared" si="907"/>
        <v>3.5018750000000001</v>
      </c>
      <c r="BV925" s="234" cm="1">
        <f t="array" ref="BV925">$BM925 * IF($AH925&lt;=2,
SUMPRODUCT(INDEX($AV$71:$AX$75,,$AI925), INDEX($AY$71:$BE$75,,$AH925), 1 / ($BF$71:$BF$75*BU925 + (1-$BF$71:$BF$75)*BQ925), N($AU$71:$AU$75&gt;$AM925)),
SUMPRODUCT(INDEX($AV$66:$AX$75,,$AI925), INDEX($AY$66:$BE$75,,$AH925), 1 / ($BG$66:$BG$75*BU925 + (1-$BG$66:$BG$75)*BQ925), N($AU$66:$AU$75&gt;$AM925))
) / 1000</f>
        <v>0</v>
      </c>
      <c r="BW925" s="231">
        <f t="shared" si="931"/>
        <v>25</v>
      </c>
      <c r="BX925" s="229">
        <f t="shared" si="908"/>
        <v>38</v>
      </c>
      <c r="BY925" s="234">
        <f t="shared" si="909"/>
        <v>4.0666935483870965</v>
      </c>
      <c r="BZ925" s="234" cm="1">
        <f t="array" ref="BZ925">$BM925 * IF($AH925&lt;=2,
SUMPRODUCT(INDEX($AV$66:$AX$70,,$AI925), INDEX($AY$66:$BE$70,,$AH925), 1 / ($BF$66:$BF$70*BY925 + (1-$BF$66:$BF$70)*BU925), N($AU$66:$AU$70&gt;$AM925)),
SUMPRODUCT(INDEX($AV$56:$AX$65,,$AI925), INDEX($AY$56:$BE$65,,$AH925), 1 / ($BG$56:$BG$65*BY925 + (1-$BG$56:$BG$65)*BU925), N($AU$56:$AU$65&gt;$AM925))
) / 1000</f>
        <v>0</v>
      </c>
      <c r="CA925" s="231">
        <f t="shared" si="932"/>
        <v>20</v>
      </c>
      <c r="CB925" s="229">
        <f t="shared" si="910"/>
        <v>33</v>
      </c>
      <c r="CC925" s="234">
        <f t="shared" si="911"/>
        <v>4.8487499999999999</v>
      </c>
      <c r="CD925" s="234" cm="1">
        <f t="array" ref="CD925">$BM925 * IF($AH925&lt;=2,
SUMPRODUCT(INDEX($AV$61:$AX$65,,$AI925), INDEX($AY$61:$BE$65,,$AH925), 1 / ($BF$61:$BF$65*CC925 + (1-$BF$61:$BF$65)*BY925), N($AU$61:$AU$65&gt;$AM925)),
SUMPRODUCT(INDEX($AV$46:$AX$55,,$AI925), INDEX($AY$46:$BE$55,,$AH925), 1 / ($BG$46:$BG$55*CC925 + (1-$BG$46:$BG$55)*BY925), N($AU$46:$AU$55&gt;$AM925))
) / 1000</f>
        <v>0</v>
      </c>
      <c r="CE925" s="234" cm="1">
        <f t="array" ref="CE925">$BM925 * IF($AH925&lt;=2,
SUMPRODUCT(INDEX($AV$22:$AX$60,,$AI925), INDEX($AY$22:$BE$60,,$AH925), 1 / ($BF$22:$BF$60*CC925), N($AU$22:$AU$60&gt;$AM925)),
SUMPRODUCT(INDEX($AV$22:$AX$45,,$AI925), INDEX($AY$22:$BE$45,,$AH925), 1 / ($BG$22:$BG$45*CC925), N($AU$22:$AU$45&gt;$AM925))
) / 1000</f>
        <v>0</v>
      </c>
      <c r="CF925" s="229">
        <f t="shared" si="912"/>
        <v>0</v>
      </c>
      <c r="CG925" s="246"/>
      <c r="CH925" s="229">
        <f t="shared" si="913"/>
        <v>0</v>
      </c>
      <c r="CI925" s="228">
        <v>35</v>
      </c>
      <c r="CJ925" s="229">
        <f t="shared" si="914"/>
        <v>48</v>
      </c>
      <c r="CK925" s="234">
        <f t="shared" si="915"/>
        <v>3.0748170731707316</v>
      </c>
      <c r="CL925" s="234" cm="1">
        <f t="array" ref="CL925">$BM925 * SUMPRODUCT(INDEX($AV$76:$AX$81,,$AI925),INDEX($AY$76:$BE$81,,$AH925), N($AU$76:$AU$81&gt;$AM925)) / CK925 / 1000</f>
        <v>0</v>
      </c>
      <c r="CM925" s="231">
        <f t="shared" si="933"/>
        <v>30</v>
      </c>
      <c r="CN925" s="229">
        <f t="shared" si="916"/>
        <v>43</v>
      </c>
      <c r="CO925" s="234">
        <f t="shared" si="917"/>
        <v>3.5018750000000001</v>
      </c>
      <c r="CP925" s="234" cm="1">
        <f t="array" ref="CP925">$BM925 * IF($AH925&lt;=2,
SUMPRODUCT(INDEX($AV$71:$AX$75,,$AI925), INDEX($AY$71:$BE$75,,$AH925), 1 / ($BF$71:$BF$75*CO925 + (1-$BF$71:$BF$75)*CK925), N($AU$71:$AU$75&gt;$AM925)),
SUMPRODUCT(INDEX($AV$66:$AX$75,,$AI925), INDEX($AY$66:$BE$75,,$AH925), 1 / ($BG$66:$BG$75*CO925 + (1-$BG$66:$BG$75)*CK925), N($AU$66:$AU$75&gt;$AM925))
) / 1000</f>
        <v>0</v>
      </c>
      <c r="CQ925" s="231">
        <f t="shared" si="934"/>
        <v>25</v>
      </c>
      <c r="CR925" s="229">
        <f t="shared" si="918"/>
        <v>38</v>
      </c>
      <c r="CS925" s="234">
        <f t="shared" si="919"/>
        <v>4.0666935483870965</v>
      </c>
      <c r="CT925" s="234" cm="1">
        <f t="array" ref="CT925">$BM925 * IF($AH925&lt;=2,
SUMPRODUCT(INDEX($AV$66:$AX$70,,$AI925), INDEX($AY$66:$BE$70,,$AH925), 1 / ($BF$66:$BF$70*CS925 + (1-$BF$66:$BF$70)*CO925), N($AU$66:$AU$70&gt;$AM925)),
SUMPRODUCT(INDEX($AV$56:$AX$65,,$AI925), INDEX($AY$56:$BE$65,,$AH925), 1 / ($BG$56:$BG$65*CS925 + (1-$BG$56:$BG$65)*CO925), N($AU$56:$AU$65&gt;$AM925))
) / 1000</f>
        <v>0</v>
      </c>
      <c r="CU925" s="231">
        <f t="shared" si="935"/>
        <v>20</v>
      </c>
      <c r="CV925" s="229">
        <f t="shared" si="920"/>
        <v>33</v>
      </c>
      <c r="CW925" s="234">
        <f t="shared" si="921"/>
        <v>4.8487499999999999</v>
      </c>
      <c r="CX925" s="234" cm="1">
        <f t="array" ref="CX925">$BM925 * IF($AH925&lt;=2,
SUMPRODUCT(INDEX($AV$61:$AX$65,,$AI925), INDEX($AY$61:$BE$65,,$AH925), 1 / ($BF$61:$BF$65*CW925 + (1-$BF$61:$BF$65)*CS925), N($AU$61:$AU$65&gt;$AM925)),
SUMPRODUCT(INDEX($AV$46:$AX$55,,$AI925), INDEX($AY$46:$BE$55,,$AH925), 1 / ($BG$46:$BG$55*CW925 + (1-$BG$46:$BG$55)*CS925), N($AU$46:$AU$55&gt;$AM925))
) / 1000</f>
        <v>0</v>
      </c>
      <c r="CY925" s="234" cm="1">
        <f t="array" ref="CY925">$BM925 * IF($AH925&lt;=2,
SUMPRODUCT(INDEX($AV$22:$AX$60,,$AI925), INDEX($AY$22:$BE$60,,$AH925), 1 / ($BF$22:$BF$60*CW925), N($AU$22:$AU$60&gt;$AM925)),
SUMPRODUCT(INDEX($AV$22:$AX$45,,$AI925), INDEX($AY$22:$BE$45,,$AH925), 1 / ($BG$22:$BG$45*CW925), N($AU$22:$AU$45&gt;$AM925))
) / 1000</f>
        <v>0</v>
      </c>
      <c r="CZ925" s="229">
        <f t="shared" si="922"/>
        <v>0</v>
      </c>
      <c r="DA925" s="246"/>
    </row>
    <row r="926" spans="1:105" s="75" customFormat="1" ht="14.25" customHeight="1" x14ac:dyDescent="0.2">
      <c r="A926" s="230" t="b">
        <f t="shared" si="927"/>
        <v>0</v>
      </c>
      <c r="B926" s="253">
        <v>905</v>
      </c>
      <c r="C926" s="266"/>
      <c r="D926" s="266"/>
      <c r="E926" s="254"/>
      <c r="F926" s="255" t="str">
        <f>IF(ISBLANK(E926), "", VLOOKUP(E926, Z!$A$2:$C$4127, 3, FALSE))</f>
        <v/>
      </c>
      <c r="G926" s="256"/>
      <c r="H926" s="256"/>
      <c r="I926" s="256"/>
      <c r="J926" s="257"/>
      <c r="K926" s="258"/>
      <c r="L926" s="267"/>
      <c r="M926" s="268"/>
      <c r="N926" s="259" t="str" cm="1">
        <f t="array" ref="N926">IF($L926&gt;0, INDEX(Clean,1+AK926,$D$1), "")</f>
        <v/>
      </c>
      <c r="O926" s="260"/>
      <c r="P926" s="260"/>
      <c r="Q926" s="261"/>
      <c r="R926" s="264">
        <f t="shared" si="898"/>
        <v>0</v>
      </c>
      <c r="S926" s="259" t="str" cm="1">
        <f t="array" ref="S926">IF($L926&gt;0, INDEX(Clean,1+AL926,$D$1), "")</f>
        <v/>
      </c>
      <c r="T926" s="260"/>
      <c r="U926" s="260"/>
      <c r="V926" s="261"/>
      <c r="W926" s="267"/>
      <c r="X926" s="267"/>
      <c r="Y926" s="257"/>
      <c r="Z926" s="264">
        <f t="shared" si="899"/>
        <v>0</v>
      </c>
      <c r="AA926" s="269"/>
      <c r="AB926" s="266"/>
      <c r="AC926" s="254"/>
      <c r="AD926" s="255" t="str">
        <f>IF(ISBLANK(AC926), "", VLOOKUP(AC926, Z!$A$2:$C$4127, 3, FALSE))</f>
        <v/>
      </c>
      <c r="AE926" s="270"/>
      <c r="AF926" s="265">
        <f t="shared" si="900"/>
        <v>0</v>
      </c>
      <c r="AG926" s="246"/>
      <c r="AH926" s="228">
        <f t="shared" si="923"/>
        <v>1</v>
      </c>
      <c r="AI926" s="228">
        <f t="shared" si="924"/>
        <v>1</v>
      </c>
      <c r="AJ926" s="228">
        <f t="shared" si="925"/>
        <v>0</v>
      </c>
      <c r="AK926" s="228">
        <v>0</v>
      </c>
      <c r="AL926" s="228">
        <v>0</v>
      </c>
      <c r="AM926" s="228">
        <f t="shared" si="901"/>
        <v>-100</v>
      </c>
      <c r="AN926" s="228" cm="1">
        <f t="array" ref="AN926">IF(ISBLANK(G926), 1, IFERROR(MATCH(G926, INDEX(Kat,,1), 0), IFERROR(MATCH(Kat, INDEX(Use,,2), 0), MATCH(Kat, INDEX(Use,,3), 0))))</f>
        <v>1</v>
      </c>
      <c r="AO926" s="246"/>
      <c r="AP926" s="228" cm="1">
        <f t="array" ref="AP926">IF(W926&gt;0, INDEX(Kat, AN926,4), 0)</f>
        <v>0</v>
      </c>
      <c r="AQ926" s="228">
        <f t="shared" si="926"/>
        <v>0</v>
      </c>
      <c r="AR926" s="228" cm="1">
        <f t="array" ref="AR926">IF(X926&gt;0, INDEX(Kat, $AN926, 4+AQ926), 0)</f>
        <v>0</v>
      </c>
      <c r="AS926" s="228" cm="1">
        <f t="array" ref="AS926">IF(X926&gt;0, INDEX(Kat, $AN926, 9+AQ926), 0)</f>
        <v>0</v>
      </c>
      <c r="AT926" s="246"/>
      <c r="AU926" s="262"/>
      <c r="AV926" s="262"/>
      <c r="AW926" s="263"/>
      <c r="AX926" s="263"/>
      <c r="AY926" s="263"/>
      <c r="AZ926" s="263"/>
      <c r="BA926" s="263"/>
      <c r="BB926" s="263"/>
      <c r="BC926" s="263"/>
      <c r="BD926" s="263"/>
      <c r="BE926" s="263"/>
      <c r="BF926" s="263"/>
      <c r="BG926" s="263"/>
      <c r="BH926" s="246"/>
      <c r="BI926" s="228" cm="1">
        <f t="array" ref="BI926">INDEX(Use, $AH926, 4)</f>
        <v>7</v>
      </c>
      <c r="BJ926" s="228">
        <f t="shared" si="902"/>
        <v>32</v>
      </c>
      <c r="BK926" s="228">
        <f t="shared" si="928"/>
        <v>13</v>
      </c>
      <c r="BL926" s="228">
        <f t="shared" si="929"/>
        <v>0</v>
      </c>
      <c r="BM926" s="233" cm="1">
        <f t="array" ref="BM926">L926/IF($M926&gt;0, INDEX($AY$22:$BE$76, $M926+20, $AH926), 1)</f>
        <v>0</v>
      </c>
      <c r="BN926" s="229">
        <f t="shared" si="903"/>
        <v>0</v>
      </c>
      <c r="BO926" s="228">
        <v>35</v>
      </c>
      <c r="BP926" s="229">
        <f t="shared" si="904"/>
        <v>48</v>
      </c>
      <c r="BQ926" s="234">
        <f t="shared" si="905"/>
        <v>3.0748170731707316</v>
      </c>
      <c r="BR926" s="234" cm="1">
        <f t="array" ref="BR926">$BM926 * SUMPRODUCT(INDEX($AV$76:$AX$81,,$AI926),INDEX($AY$76:$BE$81,,$AH926), N($AU$76:$AU$81&gt;$AM926)) / BQ926 / 1000</f>
        <v>0</v>
      </c>
      <c r="BS926" s="231">
        <f t="shared" si="930"/>
        <v>30</v>
      </c>
      <c r="BT926" s="229">
        <f t="shared" si="906"/>
        <v>43</v>
      </c>
      <c r="BU926" s="234">
        <f t="shared" si="907"/>
        <v>3.5018750000000001</v>
      </c>
      <c r="BV926" s="234" cm="1">
        <f t="array" ref="BV926">$BM926 * IF($AH926&lt;=2,
SUMPRODUCT(INDEX($AV$71:$AX$75,,$AI926), INDEX($AY$71:$BE$75,,$AH926), 1 / ($BF$71:$BF$75*BU926 + (1-$BF$71:$BF$75)*BQ926), N($AU$71:$AU$75&gt;$AM926)),
SUMPRODUCT(INDEX($AV$66:$AX$75,,$AI926), INDEX($AY$66:$BE$75,,$AH926), 1 / ($BG$66:$BG$75*BU926 + (1-$BG$66:$BG$75)*BQ926), N($AU$66:$AU$75&gt;$AM926))
) / 1000</f>
        <v>0</v>
      </c>
      <c r="BW926" s="231">
        <f t="shared" si="931"/>
        <v>25</v>
      </c>
      <c r="BX926" s="229">
        <f t="shared" si="908"/>
        <v>38</v>
      </c>
      <c r="BY926" s="234">
        <f t="shared" si="909"/>
        <v>4.0666935483870965</v>
      </c>
      <c r="BZ926" s="234" cm="1">
        <f t="array" ref="BZ926">$BM926 * IF($AH926&lt;=2,
SUMPRODUCT(INDEX($AV$66:$AX$70,,$AI926), INDEX($AY$66:$BE$70,,$AH926), 1 / ($BF$66:$BF$70*BY926 + (1-$BF$66:$BF$70)*BU926), N($AU$66:$AU$70&gt;$AM926)),
SUMPRODUCT(INDEX($AV$56:$AX$65,,$AI926), INDEX($AY$56:$BE$65,,$AH926), 1 / ($BG$56:$BG$65*BY926 + (1-$BG$56:$BG$65)*BU926), N($AU$56:$AU$65&gt;$AM926))
) / 1000</f>
        <v>0</v>
      </c>
      <c r="CA926" s="231">
        <f t="shared" si="932"/>
        <v>20</v>
      </c>
      <c r="CB926" s="229">
        <f t="shared" si="910"/>
        <v>33</v>
      </c>
      <c r="CC926" s="234">
        <f t="shared" si="911"/>
        <v>4.8487499999999999</v>
      </c>
      <c r="CD926" s="234" cm="1">
        <f t="array" ref="CD926">$BM926 * IF($AH926&lt;=2,
SUMPRODUCT(INDEX($AV$61:$AX$65,,$AI926), INDEX($AY$61:$BE$65,,$AH926), 1 / ($BF$61:$BF$65*CC926 + (1-$BF$61:$BF$65)*BY926), N($AU$61:$AU$65&gt;$AM926)),
SUMPRODUCT(INDEX($AV$46:$AX$55,,$AI926), INDEX($AY$46:$BE$55,,$AH926), 1 / ($BG$46:$BG$55*CC926 + (1-$BG$46:$BG$55)*BY926), N($AU$46:$AU$55&gt;$AM926))
) / 1000</f>
        <v>0</v>
      </c>
      <c r="CE926" s="234" cm="1">
        <f t="array" ref="CE926">$BM926 * IF($AH926&lt;=2,
SUMPRODUCT(INDEX($AV$22:$AX$60,,$AI926), INDEX($AY$22:$BE$60,,$AH926), 1 / ($BF$22:$BF$60*CC926), N($AU$22:$AU$60&gt;$AM926)),
SUMPRODUCT(INDEX($AV$22:$AX$45,,$AI926), INDEX($AY$22:$BE$45,,$AH926), 1 / ($BG$22:$BG$45*CC926), N($AU$22:$AU$45&gt;$AM926))
) / 1000</f>
        <v>0</v>
      </c>
      <c r="CF926" s="229">
        <f t="shared" si="912"/>
        <v>0</v>
      </c>
      <c r="CG926" s="246"/>
      <c r="CH926" s="229">
        <f t="shared" si="913"/>
        <v>0</v>
      </c>
      <c r="CI926" s="228">
        <v>35</v>
      </c>
      <c r="CJ926" s="229">
        <f t="shared" si="914"/>
        <v>48</v>
      </c>
      <c r="CK926" s="234">
        <f t="shared" si="915"/>
        <v>3.0748170731707316</v>
      </c>
      <c r="CL926" s="234" cm="1">
        <f t="array" ref="CL926">$BM926 * SUMPRODUCT(INDEX($AV$76:$AX$81,,$AI926),INDEX($AY$76:$BE$81,,$AH926), N($AU$76:$AU$81&gt;$AM926)) / CK926 / 1000</f>
        <v>0</v>
      </c>
      <c r="CM926" s="231">
        <f t="shared" si="933"/>
        <v>30</v>
      </c>
      <c r="CN926" s="229">
        <f t="shared" si="916"/>
        <v>43</v>
      </c>
      <c r="CO926" s="234">
        <f t="shared" si="917"/>
        <v>3.5018750000000001</v>
      </c>
      <c r="CP926" s="234" cm="1">
        <f t="array" ref="CP926">$BM926 * IF($AH926&lt;=2,
SUMPRODUCT(INDEX($AV$71:$AX$75,,$AI926), INDEX($AY$71:$BE$75,,$AH926), 1 / ($BF$71:$BF$75*CO926 + (1-$BF$71:$BF$75)*CK926), N($AU$71:$AU$75&gt;$AM926)),
SUMPRODUCT(INDEX($AV$66:$AX$75,,$AI926), INDEX($AY$66:$BE$75,,$AH926), 1 / ($BG$66:$BG$75*CO926 + (1-$BG$66:$BG$75)*CK926), N($AU$66:$AU$75&gt;$AM926))
) / 1000</f>
        <v>0</v>
      </c>
      <c r="CQ926" s="231">
        <f t="shared" si="934"/>
        <v>25</v>
      </c>
      <c r="CR926" s="229">
        <f t="shared" si="918"/>
        <v>38</v>
      </c>
      <c r="CS926" s="234">
        <f t="shared" si="919"/>
        <v>4.0666935483870965</v>
      </c>
      <c r="CT926" s="234" cm="1">
        <f t="array" ref="CT926">$BM926 * IF($AH926&lt;=2,
SUMPRODUCT(INDEX($AV$66:$AX$70,,$AI926), INDEX($AY$66:$BE$70,,$AH926), 1 / ($BF$66:$BF$70*CS926 + (1-$BF$66:$BF$70)*CO926), N($AU$66:$AU$70&gt;$AM926)),
SUMPRODUCT(INDEX($AV$56:$AX$65,,$AI926), INDEX($AY$56:$BE$65,,$AH926), 1 / ($BG$56:$BG$65*CS926 + (1-$BG$56:$BG$65)*CO926), N($AU$56:$AU$65&gt;$AM926))
) / 1000</f>
        <v>0</v>
      </c>
      <c r="CU926" s="231">
        <f t="shared" si="935"/>
        <v>20</v>
      </c>
      <c r="CV926" s="229">
        <f t="shared" si="920"/>
        <v>33</v>
      </c>
      <c r="CW926" s="234">
        <f t="shared" si="921"/>
        <v>4.8487499999999999</v>
      </c>
      <c r="CX926" s="234" cm="1">
        <f t="array" ref="CX926">$BM926 * IF($AH926&lt;=2,
SUMPRODUCT(INDEX($AV$61:$AX$65,,$AI926), INDEX($AY$61:$BE$65,,$AH926), 1 / ($BF$61:$BF$65*CW926 + (1-$BF$61:$BF$65)*CS926), N($AU$61:$AU$65&gt;$AM926)),
SUMPRODUCT(INDEX($AV$46:$AX$55,,$AI926), INDEX($AY$46:$BE$55,,$AH926), 1 / ($BG$46:$BG$55*CW926 + (1-$BG$46:$BG$55)*CS926), N($AU$46:$AU$55&gt;$AM926))
) / 1000</f>
        <v>0</v>
      </c>
      <c r="CY926" s="234" cm="1">
        <f t="array" ref="CY926">$BM926 * IF($AH926&lt;=2,
SUMPRODUCT(INDEX($AV$22:$AX$60,,$AI926), INDEX($AY$22:$BE$60,,$AH926), 1 / ($BF$22:$BF$60*CW926), N($AU$22:$AU$60&gt;$AM926)),
SUMPRODUCT(INDEX($AV$22:$AX$45,,$AI926), INDEX($AY$22:$BE$45,,$AH926), 1 / ($BG$22:$BG$45*CW926), N($AU$22:$AU$45&gt;$AM926))
) / 1000</f>
        <v>0</v>
      </c>
      <c r="CZ926" s="229">
        <f t="shared" si="922"/>
        <v>0</v>
      </c>
      <c r="DA926" s="246"/>
    </row>
    <row r="927" spans="1:105" s="75" customFormat="1" ht="14.25" customHeight="1" x14ac:dyDescent="0.2">
      <c r="A927" s="230" t="b">
        <f t="shared" si="927"/>
        <v>0</v>
      </c>
      <c r="B927" s="253">
        <v>906</v>
      </c>
      <c r="C927" s="266"/>
      <c r="D927" s="266"/>
      <c r="E927" s="254"/>
      <c r="F927" s="255" t="str">
        <f>IF(ISBLANK(E927), "", VLOOKUP(E927, Z!$A$2:$C$4127, 3, FALSE))</f>
        <v/>
      </c>
      <c r="G927" s="256"/>
      <c r="H927" s="256"/>
      <c r="I927" s="256"/>
      <c r="J927" s="257"/>
      <c r="K927" s="258"/>
      <c r="L927" s="267"/>
      <c r="M927" s="268"/>
      <c r="N927" s="259" t="str" cm="1">
        <f t="array" ref="N927">IF($L927&gt;0, INDEX(Clean,1+AK927,$D$1), "")</f>
        <v/>
      </c>
      <c r="O927" s="260"/>
      <c r="P927" s="260"/>
      <c r="Q927" s="261"/>
      <c r="R927" s="264">
        <f t="shared" si="898"/>
        <v>0</v>
      </c>
      <c r="S927" s="259" t="str" cm="1">
        <f t="array" ref="S927">IF($L927&gt;0, INDEX(Clean,1+AL927,$D$1), "")</f>
        <v/>
      </c>
      <c r="T927" s="260"/>
      <c r="U927" s="260"/>
      <c r="V927" s="261"/>
      <c r="W927" s="267"/>
      <c r="X927" s="267"/>
      <c r="Y927" s="257"/>
      <c r="Z927" s="264">
        <f t="shared" si="899"/>
        <v>0</v>
      </c>
      <c r="AA927" s="269"/>
      <c r="AB927" s="266"/>
      <c r="AC927" s="254"/>
      <c r="AD927" s="255" t="str">
        <f>IF(ISBLANK(AC927), "", VLOOKUP(AC927, Z!$A$2:$C$4127, 3, FALSE))</f>
        <v/>
      </c>
      <c r="AE927" s="270"/>
      <c r="AF927" s="265">
        <f t="shared" si="900"/>
        <v>0</v>
      </c>
      <c r="AG927" s="246"/>
      <c r="AH927" s="228">
        <f t="shared" si="923"/>
        <v>1</v>
      </c>
      <c r="AI927" s="228">
        <f t="shared" si="924"/>
        <v>1</v>
      </c>
      <c r="AJ927" s="228">
        <f t="shared" si="925"/>
        <v>0</v>
      </c>
      <c r="AK927" s="228">
        <v>0</v>
      </c>
      <c r="AL927" s="228">
        <v>0</v>
      </c>
      <c r="AM927" s="228">
        <f t="shared" si="901"/>
        <v>-100</v>
      </c>
      <c r="AN927" s="228" cm="1">
        <f t="array" ref="AN927">IF(ISBLANK(G927), 1, IFERROR(MATCH(G927, INDEX(Kat,,1), 0), IFERROR(MATCH(Kat, INDEX(Use,,2), 0), MATCH(Kat, INDEX(Use,,3), 0))))</f>
        <v>1</v>
      </c>
      <c r="AO927" s="246"/>
      <c r="AP927" s="228" cm="1">
        <f t="array" ref="AP927">IF(W927&gt;0, INDEX(Kat, AN927,4), 0)</f>
        <v>0</v>
      </c>
      <c r="AQ927" s="228">
        <f t="shared" si="926"/>
        <v>0</v>
      </c>
      <c r="AR927" s="228" cm="1">
        <f t="array" ref="AR927">IF(X927&gt;0, INDEX(Kat, $AN927, 4+AQ927), 0)</f>
        <v>0</v>
      </c>
      <c r="AS927" s="228" cm="1">
        <f t="array" ref="AS927">IF(X927&gt;0, INDEX(Kat, $AN927, 9+AQ927), 0)</f>
        <v>0</v>
      </c>
      <c r="AT927" s="246"/>
      <c r="AU927" s="262"/>
      <c r="AV927" s="262"/>
      <c r="AW927" s="263"/>
      <c r="AX927" s="263"/>
      <c r="AY927" s="263"/>
      <c r="AZ927" s="263"/>
      <c r="BA927" s="263"/>
      <c r="BB927" s="263"/>
      <c r="BC927" s="263"/>
      <c r="BD927" s="263"/>
      <c r="BE927" s="263"/>
      <c r="BF927" s="263"/>
      <c r="BG927" s="263"/>
      <c r="BH927" s="246"/>
      <c r="BI927" s="228" cm="1">
        <f t="array" ref="BI927">INDEX(Use, $AH927, 4)</f>
        <v>7</v>
      </c>
      <c r="BJ927" s="228">
        <f t="shared" si="902"/>
        <v>32</v>
      </c>
      <c r="BK927" s="228">
        <f t="shared" si="928"/>
        <v>13</v>
      </c>
      <c r="BL927" s="228">
        <f t="shared" si="929"/>
        <v>0</v>
      </c>
      <c r="BM927" s="233" cm="1">
        <f t="array" ref="BM927">L927/IF($M927&gt;0, INDEX($AY$22:$BE$76, $M927+20, $AH927), 1)</f>
        <v>0</v>
      </c>
      <c r="BN927" s="229">
        <f t="shared" si="903"/>
        <v>0</v>
      </c>
      <c r="BO927" s="228">
        <v>35</v>
      </c>
      <c r="BP927" s="229">
        <f t="shared" si="904"/>
        <v>48</v>
      </c>
      <c r="BQ927" s="234">
        <f t="shared" si="905"/>
        <v>3.0748170731707316</v>
      </c>
      <c r="BR927" s="234" cm="1">
        <f t="array" ref="BR927">$BM927 * SUMPRODUCT(INDEX($AV$76:$AX$81,,$AI927),INDEX($AY$76:$BE$81,,$AH927), N($AU$76:$AU$81&gt;$AM927)) / BQ927 / 1000</f>
        <v>0</v>
      </c>
      <c r="BS927" s="231">
        <f t="shared" si="930"/>
        <v>30</v>
      </c>
      <c r="BT927" s="229">
        <f t="shared" si="906"/>
        <v>43</v>
      </c>
      <c r="BU927" s="234">
        <f t="shared" si="907"/>
        <v>3.5018750000000001</v>
      </c>
      <c r="BV927" s="234" cm="1">
        <f t="array" ref="BV927">$BM927 * IF($AH927&lt;=2,
SUMPRODUCT(INDEX($AV$71:$AX$75,,$AI927), INDEX($AY$71:$BE$75,,$AH927), 1 / ($BF$71:$BF$75*BU927 + (1-$BF$71:$BF$75)*BQ927), N($AU$71:$AU$75&gt;$AM927)),
SUMPRODUCT(INDEX($AV$66:$AX$75,,$AI927), INDEX($AY$66:$BE$75,,$AH927), 1 / ($BG$66:$BG$75*BU927 + (1-$BG$66:$BG$75)*BQ927), N($AU$66:$AU$75&gt;$AM927))
) / 1000</f>
        <v>0</v>
      </c>
      <c r="BW927" s="231">
        <f t="shared" si="931"/>
        <v>25</v>
      </c>
      <c r="BX927" s="229">
        <f t="shared" si="908"/>
        <v>38</v>
      </c>
      <c r="BY927" s="234">
        <f t="shared" si="909"/>
        <v>4.0666935483870965</v>
      </c>
      <c r="BZ927" s="234" cm="1">
        <f t="array" ref="BZ927">$BM927 * IF($AH927&lt;=2,
SUMPRODUCT(INDEX($AV$66:$AX$70,,$AI927), INDEX($AY$66:$BE$70,,$AH927), 1 / ($BF$66:$BF$70*BY927 + (1-$BF$66:$BF$70)*BU927), N($AU$66:$AU$70&gt;$AM927)),
SUMPRODUCT(INDEX($AV$56:$AX$65,,$AI927), INDEX($AY$56:$BE$65,,$AH927), 1 / ($BG$56:$BG$65*BY927 + (1-$BG$56:$BG$65)*BU927), N($AU$56:$AU$65&gt;$AM927))
) / 1000</f>
        <v>0</v>
      </c>
      <c r="CA927" s="231">
        <f t="shared" si="932"/>
        <v>20</v>
      </c>
      <c r="CB927" s="229">
        <f t="shared" si="910"/>
        <v>33</v>
      </c>
      <c r="CC927" s="234">
        <f t="shared" si="911"/>
        <v>4.8487499999999999</v>
      </c>
      <c r="CD927" s="234" cm="1">
        <f t="array" ref="CD927">$BM927 * IF($AH927&lt;=2,
SUMPRODUCT(INDEX($AV$61:$AX$65,,$AI927), INDEX($AY$61:$BE$65,,$AH927), 1 / ($BF$61:$BF$65*CC927 + (1-$BF$61:$BF$65)*BY927), N($AU$61:$AU$65&gt;$AM927)),
SUMPRODUCT(INDEX($AV$46:$AX$55,,$AI927), INDEX($AY$46:$BE$55,,$AH927), 1 / ($BG$46:$BG$55*CC927 + (1-$BG$46:$BG$55)*BY927), N($AU$46:$AU$55&gt;$AM927))
) / 1000</f>
        <v>0</v>
      </c>
      <c r="CE927" s="234" cm="1">
        <f t="array" ref="CE927">$BM927 * IF($AH927&lt;=2,
SUMPRODUCT(INDEX($AV$22:$AX$60,,$AI927), INDEX($AY$22:$BE$60,,$AH927), 1 / ($BF$22:$BF$60*CC927), N($AU$22:$AU$60&gt;$AM927)),
SUMPRODUCT(INDEX($AV$22:$AX$45,,$AI927), INDEX($AY$22:$BE$45,,$AH927), 1 / ($BG$22:$BG$45*CC927), N($AU$22:$AU$45&gt;$AM927))
) / 1000</f>
        <v>0</v>
      </c>
      <c r="CF927" s="229">
        <f t="shared" si="912"/>
        <v>0</v>
      </c>
      <c r="CG927" s="246"/>
      <c r="CH927" s="229">
        <f t="shared" si="913"/>
        <v>0</v>
      </c>
      <c r="CI927" s="228">
        <v>35</v>
      </c>
      <c r="CJ927" s="229">
        <f t="shared" si="914"/>
        <v>48</v>
      </c>
      <c r="CK927" s="234">
        <f t="shared" si="915"/>
        <v>3.0748170731707316</v>
      </c>
      <c r="CL927" s="234" cm="1">
        <f t="array" ref="CL927">$BM927 * SUMPRODUCT(INDEX($AV$76:$AX$81,,$AI927),INDEX($AY$76:$BE$81,,$AH927), N($AU$76:$AU$81&gt;$AM927)) / CK927 / 1000</f>
        <v>0</v>
      </c>
      <c r="CM927" s="231">
        <f t="shared" si="933"/>
        <v>30</v>
      </c>
      <c r="CN927" s="229">
        <f t="shared" si="916"/>
        <v>43</v>
      </c>
      <c r="CO927" s="234">
        <f t="shared" si="917"/>
        <v>3.5018750000000001</v>
      </c>
      <c r="CP927" s="234" cm="1">
        <f t="array" ref="CP927">$BM927 * IF($AH927&lt;=2,
SUMPRODUCT(INDEX($AV$71:$AX$75,,$AI927), INDEX($AY$71:$BE$75,,$AH927), 1 / ($BF$71:$BF$75*CO927 + (1-$BF$71:$BF$75)*CK927), N($AU$71:$AU$75&gt;$AM927)),
SUMPRODUCT(INDEX($AV$66:$AX$75,,$AI927), INDEX($AY$66:$BE$75,,$AH927), 1 / ($BG$66:$BG$75*CO927 + (1-$BG$66:$BG$75)*CK927), N($AU$66:$AU$75&gt;$AM927))
) / 1000</f>
        <v>0</v>
      </c>
      <c r="CQ927" s="231">
        <f t="shared" si="934"/>
        <v>25</v>
      </c>
      <c r="CR927" s="229">
        <f t="shared" si="918"/>
        <v>38</v>
      </c>
      <c r="CS927" s="234">
        <f t="shared" si="919"/>
        <v>4.0666935483870965</v>
      </c>
      <c r="CT927" s="234" cm="1">
        <f t="array" ref="CT927">$BM927 * IF($AH927&lt;=2,
SUMPRODUCT(INDEX($AV$66:$AX$70,,$AI927), INDEX($AY$66:$BE$70,,$AH927), 1 / ($BF$66:$BF$70*CS927 + (1-$BF$66:$BF$70)*CO927), N($AU$66:$AU$70&gt;$AM927)),
SUMPRODUCT(INDEX($AV$56:$AX$65,,$AI927), INDEX($AY$56:$BE$65,,$AH927), 1 / ($BG$56:$BG$65*CS927 + (1-$BG$56:$BG$65)*CO927), N($AU$56:$AU$65&gt;$AM927))
) / 1000</f>
        <v>0</v>
      </c>
      <c r="CU927" s="231">
        <f t="shared" si="935"/>
        <v>20</v>
      </c>
      <c r="CV927" s="229">
        <f t="shared" si="920"/>
        <v>33</v>
      </c>
      <c r="CW927" s="234">
        <f t="shared" si="921"/>
        <v>4.8487499999999999</v>
      </c>
      <c r="CX927" s="234" cm="1">
        <f t="array" ref="CX927">$BM927 * IF($AH927&lt;=2,
SUMPRODUCT(INDEX($AV$61:$AX$65,,$AI927), INDEX($AY$61:$BE$65,,$AH927), 1 / ($BF$61:$BF$65*CW927 + (1-$BF$61:$BF$65)*CS927), N($AU$61:$AU$65&gt;$AM927)),
SUMPRODUCT(INDEX($AV$46:$AX$55,,$AI927), INDEX($AY$46:$BE$55,,$AH927), 1 / ($BG$46:$BG$55*CW927 + (1-$BG$46:$BG$55)*CS927), N($AU$46:$AU$55&gt;$AM927))
) / 1000</f>
        <v>0</v>
      </c>
      <c r="CY927" s="234" cm="1">
        <f t="array" ref="CY927">$BM927 * IF($AH927&lt;=2,
SUMPRODUCT(INDEX($AV$22:$AX$60,,$AI927), INDEX($AY$22:$BE$60,,$AH927), 1 / ($BF$22:$BF$60*CW927), N($AU$22:$AU$60&gt;$AM927)),
SUMPRODUCT(INDEX($AV$22:$AX$45,,$AI927), INDEX($AY$22:$BE$45,,$AH927), 1 / ($BG$22:$BG$45*CW927), N($AU$22:$AU$45&gt;$AM927))
) / 1000</f>
        <v>0</v>
      </c>
      <c r="CZ927" s="229">
        <f t="shared" si="922"/>
        <v>0</v>
      </c>
      <c r="DA927" s="246"/>
    </row>
    <row r="928" spans="1:105" s="75" customFormat="1" ht="14.25" customHeight="1" x14ac:dyDescent="0.2">
      <c r="A928" s="230" t="b">
        <f t="shared" si="927"/>
        <v>0</v>
      </c>
      <c r="B928" s="253">
        <v>907</v>
      </c>
      <c r="C928" s="266"/>
      <c r="D928" s="266"/>
      <c r="E928" s="254"/>
      <c r="F928" s="255" t="str">
        <f>IF(ISBLANK(E928), "", VLOOKUP(E928, Z!$A$2:$C$4127, 3, FALSE))</f>
        <v/>
      </c>
      <c r="G928" s="256"/>
      <c r="H928" s="256"/>
      <c r="I928" s="256"/>
      <c r="J928" s="257"/>
      <c r="K928" s="258"/>
      <c r="L928" s="267"/>
      <c r="M928" s="268"/>
      <c r="N928" s="259" t="str" cm="1">
        <f t="array" ref="N928">IF($L928&gt;0, INDEX(Clean,1+AK928,$D$1), "")</f>
        <v/>
      </c>
      <c r="O928" s="260"/>
      <c r="P928" s="260"/>
      <c r="Q928" s="261"/>
      <c r="R928" s="264">
        <f t="shared" si="898"/>
        <v>0</v>
      </c>
      <c r="S928" s="259" t="str" cm="1">
        <f t="array" ref="S928">IF($L928&gt;0, INDEX(Clean,1+AL928,$D$1), "")</f>
        <v/>
      </c>
      <c r="T928" s="260"/>
      <c r="U928" s="260"/>
      <c r="V928" s="261"/>
      <c r="W928" s="267"/>
      <c r="X928" s="267"/>
      <c r="Y928" s="257"/>
      <c r="Z928" s="264">
        <f t="shared" si="899"/>
        <v>0</v>
      </c>
      <c r="AA928" s="269"/>
      <c r="AB928" s="266"/>
      <c r="AC928" s="254"/>
      <c r="AD928" s="255" t="str">
        <f>IF(ISBLANK(AC928), "", VLOOKUP(AC928, Z!$A$2:$C$4127, 3, FALSE))</f>
        <v/>
      </c>
      <c r="AE928" s="270"/>
      <c r="AF928" s="265">
        <f t="shared" si="900"/>
        <v>0</v>
      </c>
      <c r="AG928" s="246"/>
      <c r="AH928" s="228">
        <f t="shared" si="923"/>
        <v>1</v>
      </c>
      <c r="AI928" s="228">
        <f t="shared" si="924"/>
        <v>1</v>
      </c>
      <c r="AJ928" s="228">
        <f t="shared" si="925"/>
        <v>0</v>
      </c>
      <c r="AK928" s="228">
        <v>0</v>
      </c>
      <c r="AL928" s="228">
        <v>0</v>
      </c>
      <c r="AM928" s="228">
        <f t="shared" si="901"/>
        <v>-100</v>
      </c>
      <c r="AN928" s="228" cm="1">
        <f t="array" ref="AN928">IF(ISBLANK(G928), 1, IFERROR(MATCH(G928, INDEX(Kat,,1), 0), IFERROR(MATCH(Kat, INDEX(Use,,2), 0), MATCH(Kat, INDEX(Use,,3), 0))))</f>
        <v>1</v>
      </c>
      <c r="AO928" s="246"/>
      <c r="AP928" s="228" cm="1">
        <f t="array" ref="AP928">IF(W928&gt;0, INDEX(Kat, AN928,4), 0)</f>
        <v>0</v>
      </c>
      <c r="AQ928" s="228">
        <f t="shared" si="926"/>
        <v>0</v>
      </c>
      <c r="AR928" s="228" cm="1">
        <f t="array" ref="AR928">IF(X928&gt;0, INDEX(Kat, $AN928, 4+AQ928), 0)</f>
        <v>0</v>
      </c>
      <c r="AS928" s="228" cm="1">
        <f t="array" ref="AS928">IF(X928&gt;0, INDEX(Kat, $AN928, 9+AQ928), 0)</f>
        <v>0</v>
      </c>
      <c r="AT928" s="246"/>
      <c r="AU928" s="262"/>
      <c r="AV928" s="262"/>
      <c r="AW928" s="263"/>
      <c r="AX928" s="263"/>
      <c r="AY928" s="263"/>
      <c r="AZ928" s="263"/>
      <c r="BA928" s="263"/>
      <c r="BB928" s="263"/>
      <c r="BC928" s="263"/>
      <c r="BD928" s="263"/>
      <c r="BE928" s="263"/>
      <c r="BF928" s="263"/>
      <c r="BG928" s="263"/>
      <c r="BH928" s="246"/>
      <c r="BI928" s="228" cm="1">
        <f t="array" ref="BI928">INDEX(Use, $AH928, 4)</f>
        <v>7</v>
      </c>
      <c r="BJ928" s="228">
        <f t="shared" si="902"/>
        <v>32</v>
      </c>
      <c r="BK928" s="228">
        <f t="shared" si="928"/>
        <v>13</v>
      </c>
      <c r="BL928" s="228">
        <f t="shared" si="929"/>
        <v>0</v>
      </c>
      <c r="BM928" s="233" cm="1">
        <f t="array" ref="BM928">L928/IF($M928&gt;0, INDEX($AY$22:$BE$76, $M928+20, $AH928), 1)</f>
        <v>0</v>
      </c>
      <c r="BN928" s="229">
        <f t="shared" si="903"/>
        <v>0</v>
      </c>
      <c r="BO928" s="228">
        <v>35</v>
      </c>
      <c r="BP928" s="229">
        <f t="shared" si="904"/>
        <v>48</v>
      </c>
      <c r="BQ928" s="234">
        <f t="shared" si="905"/>
        <v>3.0748170731707316</v>
      </c>
      <c r="BR928" s="234" cm="1">
        <f t="array" ref="BR928">$BM928 * SUMPRODUCT(INDEX($AV$76:$AX$81,,$AI928),INDEX($AY$76:$BE$81,,$AH928), N($AU$76:$AU$81&gt;$AM928)) / BQ928 / 1000</f>
        <v>0</v>
      </c>
      <c r="BS928" s="231">
        <f t="shared" si="930"/>
        <v>30</v>
      </c>
      <c r="BT928" s="229">
        <f t="shared" si="906"/>
        <v>43</v>
      </c>
      <c r="BU928" s="234">
        <f t="shared" si="907"/>
        <v>3.5018750000000001</v>
      </c>
      <c r="BV928" s="234" cm="1">
        <f t="array" ref="BV928">$BM928 * IF($AH928&lt;=2,
SUMPRODUCT(INDEX($AV$71:$AX$75,,$AI928), INDEX($AY$71:$BE$75,,$AH928), 1 / ($BF$71:$BF$75*BU928 + (1-$BF$71:$BF$75)*BQ928), N($AU$71:$AU$75&gt;$AM928)),
SUMPRODUCT(INDEX($AV$66:$AX$75,,$AI928), INDEX($AY$66:$BE$75,,$AH928), 1 / ($BG$66:$BG$75*BU928 + (1-$BG$66:$BG$75)*BQ928), N($AU$66:$AU$75&gt;$AM928))
) / 1000</f>
        <v>0</v>
      </c>
      <c r="BW928" s="231">
        <f t="shared" si="931"/>
        <v>25</v>
      </c>
      <c r="BX928" s="229">
        <f t="shared" si="908"/>
        <v>38</v>
      </c>
      <c r="BY928" s="234">
        <f t="shared" si="909"/>
        <v>4.0666935483870965</v>
      </c>
      <c r="BZ928" s="234" cm="1">
        <f t="array" ref="BZ928">$BM928 * IF($AH928&lt;=2,
SUMPRODUCT(INDEX($AV$66:$AX$70,,$AI928), INDEX($AY$66:$BE$70,,$AH928), 1 / ($BF$66:$BF$70*BY928 + (1-$BF$66:$BF$70)*BU928), N($AU$66:$AU$70&gt;$AM928)),
SUMPRODUCT(INDEX($AV$56:$AX$65,,$AI928), INDEX($AY$56:$BE$65,,$AH928), 1 / ($BG$56:$BG$65*BY928 + (1-$BG$56:$BG$65)*BU928), N($AU$56:$AU$65&gt;$AM928))
) / 1000</f>
        <v>0</v>
      </c>
      <c r="CA928" s="231">
        <f t="shared" si="932"/>
        <v>20</v>
      </c>
      <c r="CB928" s="229">
        <f t="shared" si="910"/>
        <v>33</v>
      </c>
      <c r="CC928" s="234">
        <f t="shared" si="911"/>
        <v>4.8487499999999999</v>
      </c>
      <c r="CD928" s="234" cm="1">
        <f t="array" ref="CD928">$BM928 * IF($AH928&lt;=2,
SUMPRODUCT(INDEX($AV$61:$AX$65,,$AI928), INDEX($AY$61:$BE$65,,$AH928), 1 / ($BF$61:$BF$65*CC928 + (1-$BF$61:$BF$65)*BY928), N($AU$61:$AU$65&gt;$AM928)),
SUMPRODUCT(INDEX($AV$46:$AX$55,,$AI928), INDEX($AY$46:$BE$55,,$AH928), 1 / ($BG$46:$BG$55*CC928 + (1-$BG$46:$BG$55)*BY928), N($AU$46:$AU$55&gt;$AM928))
) / 1000</f>
        <v>0</v>
      </c>
      <c r="CE928" s="234" cm="1">
        <f t="array" ref="CE928">$BM928 * IF($AH928&lt;=2,
SUMPRODUCT(INDEX($AV$22:$AX$60,,$AI928), INDEX($AY$22:$BE$60,,$AH928), 1 / ($BF$22:$BF$60*CC928), N($AU$22:$AU$60&gt;$AM928)),
SUMPRODUCT(INDEX($AV$22:$AX$45,,$AI928), INDEX($AY$22:$BE$45,,$AH928), 1 / ($BG$22:$BG$45*CC928), N($AU$22:$AU$45&gt;$AM928))
) / 1000</f>
        <v>0</v>
      </c>
      <c r="CF928" s="229">
        <f t="shared" si="912"/>
        <v>0</v>
      </c>
      <c r="CG928" s="246"/>
      <c r="CH928" s="229">
        <f t="shared" si="913"/>
        <v>0</v>
      </c>
      <c r="CI928" s="228">
        <v>35</v>
      </c>
      <c r="CJ928" s="229">
        <f t="shared" si="914"/>
        <v>48</v>
      </c>
      <c r="CK928" s="234">
        <f t="shared" si="915"/>
        <v>3.0748170731707316</v>
      </c>
      <c r="CL928" s="234" cm="1">
        <f t="array" ref="CL928">$BM928 * SUMPRODUCT(INDEX($AV$76:$AX$81,,$AI928),INDEX($AY$76:$BE$81,,$AH928), N($AU$76:$AU$81&gt;$AM928)) / CK928 / 1000</f>
        <v>0</v>
      </c>
      <c r="CM928" s="231">
        <f t="shared" si="933"/>
        <v>30</v>
      </c>
      <c r="CN928" s="229">
        <f t="shared" si="916"/>
        <v>43</v>
      </c>
      <c r="CO928" s="234">
        <f t="shared" si="917"/>
        <v>3.5018750000000001</v>
      </c>
      <c r="CP928" s="234" cm="1">
        <f t="array" ref="CP928">$BM928 * IF($AH928&lt;=2,
SUMPRODUCT(INDEX($AV$71:$AX$75,,$AI928), INDEX($AY$71:$BE$75,,$AH928), 1 / ($BF$71:$BF$75*CO928 + (1-$BF$71:$BF$75)*CK928), N($AU$71:$AU$75&gt;$AM928)),
SUMPRODUCT(INDEX($AV$66:$AX$75,,$AI928), INDEX($AY$66:$BE$75,,$AH928), 1 / ($BG$66:$BG$75*CO928 + (1-$BG$66:$BG$75)*CK928), N($AU$66:$AU$75&gt;$AM928))
) / 1000</f>
        <v>0</v>
      </c>
      <c r="CQ928" s="231">
        <f t="shared" si="934"/>
        <v>25</v>
      </c>
      <c r="CR928" s="229">
        <f t="shared" si="918"/>
        <v>38</v>
      </c>
      <c r="CS928" s="234">
        <f t="shared" si="919"/>
        <v>4.0666935483870965</v>
      </c>
      <c r="CT928" s="234" cm="1">
        <f t="array" ref="CT928">$BM928 * IF($AH928&lt;=2,
SUMPRODUCT(INDEX($AV$66:$AX$70,,$AI928), INDEX($AY$66:$BE$70,,$AH928), 1 / ($BF$66:$BF$70*CS928 + (1-$BF$66:$BF$70)*CO928), N($AU$66:$AU$70&gt;$AM928)),
SUMPRODUCT(INDEX($AV$56:$AX$65,,$AI928), INDEX($AY$56:$BE$65,,$AH928), 1 / ($BG$56:$BG$65*CS928 + (1-$BG$56:$BG$65)*CO928), N($AU$56:$AU$65&gt;$AM928))
) / 1000</f>
        <v>0</v>
      </c>
      <c r="CU928" s="231">
        <f t="shared" si="935"/>
        <v>20</v>
      </c>
      <c r="CV928" s="229">
        <f t="shared" si="920"/>
        <v>33</v>
      </c>
      <c r="CW928" s="234">
        <f t="shared" si="921"/>
        <v>4.8487499999999999</v>
      </c>
      <c r="CX928" s="234" cm="1">
        <f t="array" ref="CX928">$BM928 * IF($AH928&lt;=2,
SUMPRODUCT(INDEX($AV$61:$AX$65,,$AI928), INDEX($AY$61:$BE$65,,$AH928), 1 / ($BF$61:$BF$65*CW928 + (1-$BF$61:$BF$65)*CS928), N($AU$61:$AU$65&gt;$AM928)),
SUMPRODUCT(INDEX($AV$46:$AX$55,,$AI928), INDEX($AY$46:$BE$55,,$AH928), 1 / ($BG$46:$BG$55*CW928 + (1-$BG$46:$BG$55)*CS928), N($AU$46:$AU$55&gt;$AM928))
) / 1000</f>
        <v>0</v>
      </c>
      <c r="CY928" s="234" cm="1">
        <f t="array" ref="CY928">$BM928 * IF($AH928&lt;=2,
SUMPRODUCT(INDEX($AV$22:$AX$60,,$AI928), INDEX($AY$22:$BE$60,,$AH928), 1 / ($BF$22:$BF$60*CW928), N($AU$22:$AU$60&gt;$AM928)),
SUMPRODUCT(INDEX($AV$22:$AX$45,,$AI928), INDEX($AY$22:$BE$45,,$AH928), 1 / ($BG$22:$BG$45*CW928), N($AU$22:$AU$45&gt;$AM928))
) / 1000</f>
        <v>0</v>
      </c>
      <c r="CZ928" s="229">
        <f t="shared" si="922"/>
        <v>0</v>
      </c>
      <c r="DA928" s="246"/>
    </row>
    <row r="929" spans="1:105" s="75" customFormat="1" ht="14.25" customHeight="1" x14ac:dyDescent="0.2">
      <c r="A929" s="230" t="b">
        <f t="shared" si="927"/>
        <v>0</v>
      </c>
      <c r="B929" s="253">
        <v>908</v>
      </c>
      <c r="C929" s="266"/>
      <c r="D929" s="266"/>
      <c r="E929" s="254"/>
      <c r="F929" s="255" t="str">
        <f>IF(ISBLANK(E929), "", VLOOKUP(E929, Z!$A$2:$C$4127, 3, FALSE))</f>
        <v/>
      </c>
      <c r="G929" s="256"/>
      <c r="H929" s="256"/>
      <c r="I929" s="256"/>
      <c r="J929" s="257"/>
      <c r="K929" s="258"/>
      <c r="L929" s="267"/>
      <c r="M929" s="268"/>
      <c r="N929" s="259" t="str" cm="1">
        <f t="array" ref="N929">IF($L929&gt;0, INDEX(Clean,1+AK929,$D$1), "")</f>
        <v/>
      </c>
      <c r="O929" s="260"/>
      <c r="P929" s="260"/>
      <c r="Q929" s="261"/>
      <c r="R929" s="264">
        <f t="shared" si="898"/>
        <v>0</v>
      </c>
      <c r="S929" s="259" t="str" cm="1">
        <f t="array" ref="S929">IF($L929&gt;0, INDEX(Clean,1+AL929,$D$1), "")</f>
        <v/>
      </c>
      <c r="T929" s="260"/>
      <c r="U929" s="260"/>
      <c r="V929" s="261"/>
      <c r="W929" s="267"/>
      <c r="X929" s="267"/>
      <c r="Y929" s="257"/>
      <c r="Z929" s="264">
        <f t="shared" si="899"/>
        <v>0</v>
      </c>
      <c r="AA929" s="269"/>
      <c r="AB929" s="266"/>
      <c r="AC929" s="254"/>
      <c r="AD929" s="255" t="str">
        <f>IF(ISBLANK(AC929), "", VLOOKUP(AC929, Z!$A$2:$C$4127, 3, FALSE))</f>
        <v/>
      </c>
      <c r="AE929" s="270"/>
      <c r="AF929" s="265">
        <f t="shared" si="900"/>
        <v>0</v>
      </c>
      <c r="AG929" s="246"/>
      <c r="AH929" s="228">
        <f t="shared" si="923"/>
        <v>1</v>
      </c>
      <c r="AI929" s="228">
        <f t="shared" si="924"/>
        <v>1</v>
      </c>
      <c r="AJ929" s="228">
        <f t="shared" si="925"/>
        <v>0</v>
      </c>
      <c r="AK929" s="228">
        <v>0</v>
      </c>
      <c r="AL929" s="228">
        <v>0</v>
      </c>
      <c r="AM929" s="228">
        <f t="shared" si="901"/>
        <v>-100</v>
      </c>
      <c r="AN929" s="228" cm="1">
        <f t="array" ref="AN929">IF(ISBLANK(G929), 1, IFERROR(MATCH(G929, INDEX(Kat,,1), 0), IFERROR(MATCH(Kat, INDEX(Use,,2), 0), MATCH(Kat, INDEX(Use,,3), 0))))</f>
        <v>1</v>
      </c>
      <c r="AO929" s="246"/>
      <c r="AP929" s="228" cm="1">
        <f t="array" ref="AP929">IF(W929&gt;0, INDEX(Kat, AN929,4), 0)</f>
        <v>0</v>
      </c>
      <c r="AQ929" s="228">
        <f t="shared" si="926"/>
        <v>0</v>
      </c>
      <c r="AR929" s="228" cm="1">
        <f t="array" ref="AR929">IF(X929&gt;0, INDEX(Kat, $AN929, 4+AQ929), 0)</f>
        <v>0</v>
      </c>
      <c r="AS929" s="228" cm="1">
        <f t="array" ref="AS929">IF(X929&gt;0, INDEX(Kat, $AN929, 9+AQ929), 0)</f>
        <v>0</v>
      </c>
      <c r="AT929" s="246"/>
      <c r="AU929" s="262"/>
      <c r="AV929" s="262"/>
      <c r="AW929" s="263"/>
      <c r="AX929" s="263"/>
      <c r="AY929" s="263"/>
      <c r="AZ929" s="263"/>
      <c r="BA929" s="263"/>
      <c r="BB929" s="263"/>
      <c r="BC929" s="263"/>
      <c r="BD929" s="263"/>
      <c r="BE929" s="263"/>
      <c r="BF929" s="263"/>
      <c r="BG929" s="263"/>
      <c r="BH929" s="246"/>
      <c r="BI929" s="228" cm="1">
        <f t="array" ref="BI929">INDEX(Use, $AH929, 4)</f>
        <v>7</v>
      </c>
      <c r="BJ929" s="228">
        <f t="shared" si="902"/>
        <v>32</v>
      </c>
      <c r="BK929" s="228">
        <f t="shared" si="928"/>
        <v>13</v>
      </c>
      <c r="BL929" s="228">
        <f t="shared" si="929"/>
        <v>0</v>
      </c>
      <c r="BM929" s="233" cm="1">
        <f t="array" ref="BM929">L929/IF($M929&gt;0, INDEX($AY$22:$BE$76, $M929+20, $AH929), 1)</f>
        <v>0</v>
      </c>
      <c r="BN929" s="229">
        <f t="shared" si="903"/>
        <v>0</v>
      </c>
      <c r="BO929" s="228">
        <v>35</v>
      </c>
      <c r="BP929" s="229">
        <f t="shared" si="904"/>
        <v>48</v>
      </c>
      <c r="BQ929" s="234">
        <f t="shared" si="905"/>
        <v>3.0748170731707316</v>
      </c>
      <c r="BR929" s="234" cm="1">
        <f t="array" ref="BR929">$BM929 * SUMPRODUCT(INDEX($AV$76:$AX$81,,$AI929),INDEX($AY$76:$BE$81,,$AH929), N($AU$76:$AU$81&gt;$AM929)) / BQ929 / 1000</f>
        <v>0</v>
      </c>
      <c r="BS929" s="231">
        <f t="shared" si="930"/>
        <v>30</v>
      </c>
      <c r="BT929" s="229">
        <f t="shared" si="906"/>
        <v>43</v>
      </c>
      <c r="BU929" s="234">
        <f t="shared" si="907"/>
        <v>3.5018750000000001</v>
      </c>
      <c r="BV929" s="234" cm="1">
        <f t="array" ref="BV929">$BM929 * IF($AH929&lt;=2,
SUMPRODUCT(INDEX($AV$71:$AX$75,,$AI929), INDEX($AY$71:$BE$75,,$AH929), 1 / ($BF$71:$BF$75*BU929 + (1-$BF$71:$BF$75)*BQ929), N($AU$71:$AU$75&gt;$AM929)),
SUMPRODUCT(INDEX($AV$66:$AX$75,,$AI929), INDEX($AY$66:$BE$75,,$AH929), 1 / ($BG$66:$BG$75*BU929 + (1-$BG$66:$BG$75)*BQ929), N($AU$66:$AU$75&gt;$AM929))
) / 1000</f>
        <v>0</v>
      </c>
      <c r="BW929" s="231">
        <f t="shared" si="931"/>
        <v>25</v>
      </c>
      <c r="BX929" s="229">
        <f t="shared" si="908"/>
        <v>38</v>
      </c>
      <c r="BY929" s="234">
        <f t="shared" si="909"/>
        <v>4.0666935483870965</v>
      </c>
      <c r="BZ929" s="234" cm="1">
        <f t="array" ref="BZ929">$BM929 * IF($AH929&lt;=2,
SUMPRODUCT(INDEX($AV$66:$AX$70,,$AI929), INDEX($AY$66:$BE$70,,$AH929), 1 / ($BF$66:$BF$70*BY929 + (1-$BF$66:$BF$70)*BU929), N($AU$66:$AU$70&gt;$AM929)),
SUMPRODUCT(INDEX($AV$56:$AX$65,,$AI929), INDEX($AY$56:$BE$65,,$AH929), 1 / ($BG$56:$BG$65*BY929 + (1-$BG$56:$BG$65)*BU929), N($AU$56:$AU$65&gt;$AM929))
) / 1000</f>
        <v>0</v>
      </c>
      <c r="CA929" s="231">
        <f t="shared" si="932"/>
        <v>20</v>
      </c>
      <c r="CB929" s="229">
        <f t="shared" si="910"/>
        <v>33</v>
      </c>
      <c r="CC929" s="234">
        <f t="shared" si="911"/>
        <v>4.8487499999999999</v>
      </c>
      <c r="CD929" s="234" cm="1">
        <f t="array" ref="CD929">$BM929 * IF($AH929&lt;=2,
SUMPRODUCT(INDEX($AV$61:$AX$65,,$AI929), INDEX($AY$61:$BE$65,,$AH929), 1 / ($BF$61:$BF$65*CC929 + (1-$BF$61:$BF$65)*BY929), N($AU$61:$AU$65&gt;$AM929)),
SUMPRODUCT(INDEX($AV$46:$AX$55,,$AI929), INDEX($AY$46:$BE$55,,$AH929), 1 / ($BG$46:$BG$55*CC929 + (1-$BG$46:$BG$55)*BY929), N($AU$46:$AU$55&gt;$AM929))
) / 1000</f>
        <v>0</v>
      </c>
      <c r="CE929" s="234" cm="1">
        <f t="array" ref="CE929">$BM929 * IF($AH929&lt;=2,
SUMPRODUCT(INDEX($AV$22:$AX$60,,$AI929), INDEX($AY$22:$BE$60,,$AH929), 1 / ($BF$22:$BF$60*CC929), N($AU$22:$AU$60&gt;$AM929)),
SUMPRODUCT(INDEX($AV$22:$AX$45,,$AI929), INDEX($AY$22:$BE$45,,$AH929), 1 / ($BG$22:$BG$45*CC929), N($AU$22:$AU$45&gt;$AM929))
) / 1000</f>
        <v>0</v>
      </c>
      <c r="CF929" s="229">
        <f t="shared" si="912"/>
        <v>0</v>
      </c>
      <c r="CG929" s="246"/>
      <c r="CH929" s="229">
        <f t="shared" si="913"/>
        <v>0</v>
      </c>
      <c r="CI929" s="228">
        <v>35</v>
      </c>
      <c r="CJ929" s="229">
        <f t="shared" si="914"/>
        <v>48</v>
      </c>
      <c r="CK929" s="234">
        <f t="shared" si="915"/>
        <v>3.0748170731707316</v>
      </c>
      <c r="CL929" s="234" cm="1">
        <f t="array" ref="CL929">$BM929 * SUMPRODUCT(INDEX($AV$76:$AX$81,,$AI929),INDEX($AY$76:$BE$81,,$AH929), N($AU$76:$AU$81&gt;$AM929)) / CK929 / 1000</f>
        <v>0</v>
      </c>
      <c r="CM929" s="231">
        <f t="shared" si="933"/>
        <v>30</v>
      </c>
      <c r="CN929" s="229">
        <f t="shared" si="916"/>
        <v>43</v>
      </c>
      <c r="CO929" s="234">
        <f t="shared" si="917"/>
        <v>3.5018750000000001</v>
      </c>
      <c r="CP929" s="234" cm="1">
        <f t="array" ref="CP929">$BM929 * IF($AH929&lt;=2,
SUMPRODUCT(INDEX($AV$71:$AX$75,,$AI929), INDEX($AY$71:$BE$75,,$AH929), 1 / ($BF$71:$BF$75*CO929 + (1-$BF$71:$BF$75)*CK929), N($AU$71:$AU$75&gt;$AM929)),
SUMPRODUCT(INDEX($AV$66:$AX$75,,$AI929), INDEX($AY$66:$BE$75,,$AH929), 1 / ($BG$66:$BG$75*CO929 + (1-$BG$66:$BG$75)*CK929), N($AU$66:$AU$75&gt;$AM929))
) / 1000</f>
        <v>0</v>
      </c>
      <c r="CQ929" s="231">
        <f t="shared" si="934"/>
        <v>25</v>
      </c>
      <c r="CR929" s="229">
        <f t="shared" si="918"/>
        <v>38</v>
      </c>
      <c r="CS929" s="234">
        <f t="shared" si="919"/>
        <v>4.0666935483870965</v>
      </c>
      <c r="CT929" s="234" cm="1">
        <f t="array" ref="CT929">$BM929 * IF($AH929&lt;=2,
SUMPRODUCT(INDEX($AV$66:$AX$70,,$AI929), INDEX($AY$66:$BE$70,,$AH929), 1 / ($BF$66:$BF$70*CS929 + (1-$BF$66:$BF$70)*CO929), N($AU$66:$AU$70&gt;$AM929)),
SUMPRODUCT(INDEX($AV$56:$AX$65,,$AI929), INDEX($AY$56:$BE$65,,$AH929), 1 / ($BG$56:$BG$65*CS929 + (1-$BG$56:$BG$65)*CO929), N($AU$56:$AU$65&gt;$AM929))
) / 1000</f>
        <v>0</v>
      </c>
      <c r="CU929" s="231">
        <f t="shared" si="935"/>
        <v>20</v>
      </c>
      <c r="CV929" s="229">
        <f t="shared" si="920"/>
        <v>33</v>
      </c>
      <c r="CW929" s="234">
        <f t="shared" si="921"/>
        <v>4.8487499999999999</v>
      </c>
      <c r="CX929" s="234" cm="1">
        <f t="array" ref="CX929">$BM929 * IF($AH929&lt;=2,
SUMPRODUCT(INDEX($AV$61:$AX$65,,$AI929), INDEX($AY$61:$BE$65,,$AH929), 1 / ($BF$61:$BF$65*CW929 + (1-$BF$61:$BF$65)*CS929), N($AU$61:$AU$65&gt;$AM929)),
SUMPRODUCT(INDEX($AV$46:$AX$55,,$AI929), INDEX($AY$46:$BE$55,,$AH929), 1 / ($BG$46:$BG$55*CW929 + (1-$BG$46:$BG$55)*CS929), N($AU$46:$AU$55&gt;$AM929))
) / 1000</f>
        <v>0</v>
      </c>
      <c r="CY929" s="234" cm="1">
        <f t="array" ref="CY929">$BM929 * IF($AH929&lt;=2,
SUMPRODUCT(INDEX($AV$22:$AX$60,,$AI929), INDEX($AY$22:$BE$60,,$AH929), 1 / ($BF$22:$BF$60*CW929), N($AU$22:$AU$60&gt;$AM929)),
SUMPRODUCT(INDEX($AV$22:$AX$45,,$AI929), INDEX($AY$22:$BE$45,,$AH929), 1 / ($BG$22:$BG$45*CW929), N($AU$22:$AU$45&gt;$AM929))
) / 1000</f>
        <v>0</v>
      </c>
      <c r="CZ929" s="229">
        <f t="shared" si="922"/>
        <v>0</v>
      </c>
      <c r="DA929" s="246"/>
    </row>
    <row r="930" spans="1:105" s="75" customFormat="1" ht="14.25" customHeight="1" x14ac:dyDescent="0.2">
      <c r="A930" s="230" t="b">
        <f t="shared" si="927"/>
        <v>0</v>
      </c>
      <c r="B930" s="253">
        <v>909</v>
      </c>
      <c r="C930" s="266"/>
      <c r="D930" s="266"/>
      <c r="E930" s="254"/>
      <c r="F930" s="255" t="str">
        <f>IF(ISBLANK(E930), "", VLOOKUP(E930, Z!$A$2:$C$4127, 3, FALSE))</f>
        <v/>
      </c>
      <c r="G930" s="256"/>
      <c r="H930" s="256"/>
      <c r="I930" s="256"/>
      <c r="J930" s="257"/>
      <c r="K930" s="258"/>
      <c r="L930" s="267"/>
      <c r="M930" s="268"/>
      <c r="N930" s="259" t="str" cm="1">
        <f t="array" ref="N930">IF($L930&gt;0, INDEX(Clean,1+AK930,$D$1), "")</f>
        <v/>
      </c>
      <c r="O930" s="260"/>
      <c r="P930" s="260"/>
      <c r="Q930" s="261"/>
      <c r="R930" s="264">
        <f t="shared" si="898"/>
        <v>0</v>
      </c>
      <c r="S930" s="259" t="str" cm="1">
        <f t="array" ref="S930">IF($L930&gt;0, INDEX(Clean,1+AL930,$D$1), "")</f>
        <v/>
      </c>
      <c r="T930" s="260"/>
      <c r="U930" s="260"/>
      <c r="V930" s="261"/>
      <c r="W930" s="267"/>
      <c r="X930" s="267"/>
      <c r="Y930" s="257"/>
      <c r="Z930" s="264">
        <f t="shared" si="899"/>
        <v>0</v>
      </c>
      <c r="AA930" s="269"/>
      <c r="AB930" s="266"/>
      <c r="AC930" s="254"/>
      <c r="AD930" s="255" t="str">
        <f>IF(ISBLANK(AC930), "", VLOOKUP(AC930, Z!$A$2:$C$4127, 3, FALSE))</f>
        <v/>
      </c>
      <c r="AE930" s="270"/>
      <c r="AF930" s="265">
        <f t="shared" si="900"/>
        <v>0</v>
      </c>
      <c r="AG930" s="246"/>
      <c r="AH930" s="228">
        <f t="shared" si="923"/>
        <v>1</v>
      </c>
      <c r="AI930" s="228">
        <f t="shared" si="924"/>
        <v>1</v>
      </c>
      <c r="AJ930" s="228">
        <f t="shared" si="925"/>
        <v>0</v>
      </c>
      <c r="AK930" s="228">
        <v>0</v>
      </c>
      <c r="AL930" s="228">
        <v>0</v>
      </c>
      <c r="AM930" s="228">
        <f t="shared" si="901"/>
        <v>-100</v>
      </c>
      <c r="AN930" s="228" cm="1">
        <f t="array" ref="AN930">IF(ISBLANK(G930), 1, IFERROR(MATCH(G930, INDEX(Kat,,1), 0), IFERROR(MATCH(Kat, INDEX(Use,,2), 0), MATCH(Kat, INDEX(Use,,3), 0))))</f>
        <v>1</v>
      </c>
      <c r="AO930" s="246"/>
      <c r="AP930" s="228" cm="1">
        <f t="array" ref="AP930">IF(W930&gt;0, INDEX(Kat, AN930,4), 0)</f>
        <v>0</v>
      </c>
      <c r="AQ930" s="228">
        <f t="shared" si="926"/>
        <v>0</v>
      </c>
      <c r="AR930" s="228" cm="1">
        <f t="array" ref="AR930">IF(X930&gt;0, INDEX(Kat, $AN930, 4+AQ930), 0)</f>
        <v>0</v>
      </c>
      <c r="AS930" s="228" cm="1">
        <f t="array" ref="AS930">IF(X930&gt;0, INDEX(Kat, $AN930, 9+AQ930), 0)</f>
        <v>0</v>
      </c>
      <c r="AT930" s="246"/>
      <c r="AU930" s="262"/>
      <c r="AV930" s="262"/>
      <c r="AW930" s="263"/>
      <c r="AX930" s="263"/>
      <c r="AY930" s="263"/>
      <c r="AZ930" s="263"/>
      <c r="BA930" s="263"/>
      <c r="BB930" s="263"/>
      <c r="BC930" s="263"/>
      <c r="BD930" s="263"/>
      <c r="BE930" s="263"/>
      <c r="BF930" s="263"/>
      <c r="BG930" s="263"/>
      <c r="BH930" s="246"/>
      <c r="BI930" s="228" cm="1">
        <f t="array" ref="BI930">INDEX(Use, $AH930, 4)</f>
        <v>7</v>
      </c>
      <c r="BJ930" s="228">
        <f t="shared" si="902"/>
        <v>32</v>
      </c>
      <c r="BK930" s="228">
        <f t="shared" si="928"/>
        <v>13</v>
      </c>
      <c r="BL930" s="228">
        <f t="shared" si="929"/>
        <v>0</v>
      </c>
      <c r="BM930" s="233" cm="1">
        <f t="array" ref="BM930">L930/IF($M930&gt;0, INDEX($AY$22:$BE$76, $M930+20, $AH930), 1)</f>
        <v>0</v>
      </c>
      <c r="BN930" s="229">
        <f t="shared" si="903"/>
        <v>0</v>
      </c>
      <c r="BO930" s="228">
        <v>35</v>
      </c>
      <c r="BP930" s="229">
        <f t="shared" si="904"/>
        <v>48</v>
      </c>
      <c r="BQ930" s="234">
        <f t="shared" si="905"/>
        <v>3.0748170731707316</v>
      </c>
      <c r="BR930" s="234" cm="1">
        <f t="array" ref="BR930">$BM930 * SUMPRODUCT(INDEX($AV$76:$AX$81,,$AI930),INDEX($AY$76:$BE$81,,$AH930), N($AU$76:$AU$81&gt;$AM930)) / BQ930 / 1000</f>
        <v>0</v>
      </c>
      <c r="BS930" s="231">
        <f t="shared" si="930"/>
        <v>30</v>
      </c>
      <c r="BT930" s="229">
        <f t="shared" si="906"/>
        <v>43</v>
      </c>
      <c r="BU930" s="234">
        <f t="shared" si="907"/>
        <v>3.5018750000000001</v>
      </c>
      <c r="BV930" s="234" cm="1">
        <f t="array" ref="BV930">$BM930 * IF($AH930&lt;=2,
SUMPRODUCT(INDEX($AV$71:$AX$75,,$AI930), INDEX($AY$71:$BE$75,,$AH930), 1 / ($BF$71:$BF$75*BU930 + (1-$BF$71:$BF$75)*BQ930), N($AU$71:$AU$75&gt;$AM930)),
SUMPRODUCT(INDEX($AV$66:$AX$75,,$AI930), INDEX($AY$66:$BE$75,,$AH930), 1 / ($BG$66:$BG$75*BU930 + (1-$BG$66:$BG$75)*BQ930), N($AU$66:$AU$75&gt;$AM930))
) / 1000</f>
        <v>0</v>
      </c>
      <c r="BW930" s="231">
        <f t="shared" si="931"/>
        <v>25</v>
      </c>
      <c r="BX930" s="229">
        <f t="shared" si="908"/>
        <v>38</v>
      </c>
      <c r="BY930" s="234">
        <f t="shared" si="909"/>
        <v>4.0666935483870965</v>
      </c>
      <c r="BZ930" s="234" cm="1">
        <f t="array" ref="BZ930">$BM930 * IF($AH930&lt;=2,
SUMPRODUCT(INDEX($AV$66:$AX$70,,$AI930), INDEX($AY$66:$BE$70,,$AH930), 1 / ($BF$66:$BF$70*BY930 + (1-$BF$66:$BF$70)*BU930), N($AU$66:$AU$70&gt;$AM930)),
SUMPRODUCT(INDEX($AV$56:$AX$65,,$AI930), INDEX($AY$56:$BE$65,,$AH930), 1 / ($BG$56:$BG$65*BY930 + (1-$BG$56:$BG$65)*BU930), N($AU$56:$AU$65&gt;$AM930))
) / 1000</f>
        <v>0</v>
      </c>
      <c r="CA930" s="231">
        <f t="shared" si="932"/>
        <v>20</v>
      </c>
      <c r="CB930" s="229">
        <f t="shared" si="910"/>
        <v>33</v>
      </c>
      <c r="CC930" s="234">
        <f t="shared" si="911"/>
        <v>4.8487499999999999</v>
      </c>
      <c r="CD930" s="234" cm="1">
        <f t="array" ref="CD930">$BM930 * IF($AH930&lt;=2,
SUMPRODUCT(INDEX($AV$61:$AX$65,,$AI930), INDEX($AY$61:$BE$65,,$AH930), 1 / ($BF$61:$BF$65*CC930 + (1-$BF$61:$BF$65)*BY930), N($AU$61:$AU$65&gt;$AM930)),
SUMPRODUCT(INDEX($AV$46:$AX$55,,$AI930), INDEX($AY$46:$BE$55,,$AH930), 1 / ($BG$46:$BG$55*CC930 + (1-$BG$46:$BG$55)*BY930), N($AU$46:$AU$55&gt;$AM930))
) / 1000</f>
        <v>0</v>
      </c>
      <c r="CE930" s="234" cm="1">
        <f t="array" ref="CE930">$BM930 * IF($AH930&lt;=2,
SUMPRODUCT(INDEX($AV$22:$AX$60,,$AI930), INDEX($AY$22:$BE$60,,$AH930), 1 / ($BF$22:$BF$60*CC930), N($AU$22:$AU$60&gt;$AM930)),
SUMPRODUCT(INDEX($AV$22:$AX$45,,$AI930), INDEX($AY$22:$BE$45,,$AH930), 1 / ($BG$22:$BG$45*CC930), N($AU$22:$AU$45&gt;$AM930))
) / 1000</f>
        <v>0</v>
      </c>
      <c r="CF930" s="229">
        <f t="shared" si="912"/>
        <v>0</v>
      </c>
      <c r="CG930" s="246"/>
      <c r="CH930" s="229">
        <f t="shared" si="913"/>
        <v>0</v>
      </c>
      <c r="CI930" s="228">
        <v>35</v>
      </c>
      <c r="CJ930" s="229">
        <f t="shared" si="914"/>
        <v>48</v>
      </c>
      <c r="CK930" s="234">
        <f t="shared" si="915"/>
        <v>3.0748170731707316</v>
      </c>
      <c r="CL930" s="234" cm="1">
        <f t="array" ref="CL930">$BM930 * SUMPRODUCT(INDEX($AV$76:$AX$81,,$AI930),INDEX($AY$76:$BE$81,,$AH930), N($AU$76:$AU$81&gt;$AM930)) / CK930 / 1000</f>
        <v>0</v>
      </c>
      <c r="CM930" s="231">
        <f t="shared" si="933"/>
        <v>30</v>
      </c>
      <c r="CN930" s="229">
        <f t="shared" si="916"/>
        <v>43</v>
      </c>
      <c r="CO930" s="234">
        <f t="shared" si="917"/>
        <v>3.5018750000000001</v>
      </c>
      <c r="CP930" s="234" cm="1">
        <f t="array" ref="CP930">$BM930 * IF($AH930&lt;=2,
SUMPRODUCT(INDEX($AV$71:$AX$75,,$AI930), INDEX($AY$71:$BE$75,,$AH930), 1 / ($BF$71:$BF$75*CO930 + (1-$BF$71:$BF$75)*CK930), N($AU$71:$AU$75&gt;$AM930)),
SUMPRODUCT(INDEX($AV$66:$AX$75,,$AI930), INDEX($AY$66:$BE$75,,$AH930), 1 / ($BG$66:$BG$75*CO930 + (1-$BG$66:$BG$75)*CK930), N($AU$66:$AU$75&gt;$AM930))
) / 1000</f>
        <v>0</v>
      </c>
      <c r="CQ930" s="231">
        <f t="shared" si="934"/>
        <v>25</v>
      </c>
      <c r="CR930" s="229">
        <f t="shared" si="918"/>
        <v>38</v>
      </c>
      <c r="CS930" s="234">
        <f t="shared" si="919"/>
        <v>4.0666935483870965</v>
      </c>
      <c r="CT930" s="234" cm="1">
        <f t="array" ref="CT930">$BM930 * IF($AH930&lt;=2,
SUMPRODUCT(INDEX($AV$66:$AX$70,,$AI930), INDEX($AY$66:$BE$70,,$AH930), 1 / ($BF$66:$BF$70*CS930 + (1-$BF$66:$BF$70)*CO930), N($AU$66:$AU$70&gt;$AM930)),
SUMPRODUCT(INDEX($AV$56:$AX$65,,$AI930), INDEX($AY$56:$BE$65,,$AH930), 1 / ($BG$56:$BG$65*CS930 + (1-$BG$56:$BG$65)*CO930), N($AU$56:$AU$65&gt;$AM930))
) / 1000</f>
        <v>0</v>
      </c>
      <c r="CU930" s="231">
        <f t="shared" si="935"/>
        <v>20</v>
      </c>
      <c r="CV930" s="229">
        <f t="shared" si="920"/>
        <v>33</v>
      </c>
      <c r="CW930" s="234">
        <f t="shared" si="921"/>
        <v>4.8487499999999999</v>
      </c>
      <c r="CX930" s="234" cm="1">
        <f t="array" ref="CX930">$BM930 * IF($AH930&lt;=2,
SUMPRODUCT(INDEX($AV$61:$AX$65,,$AI930), INDEX($AY$61:$BE$65,,$AH930), 1 / ($BF$61:$BF$65*CW930 + (1-$BF$61:$BF$65)*CS930), N($AU$61:$AU$65&gt;$AM930)),
SUMPRODUCT(INDEX($AV$46:$AX$55,,$AI930), INDEX($AY$46:$BE$55,,$AH930), 1 / ($BG$46:$BG$55*CW930 + (1-$BG$46:$BG$55)*CS930), N($AU$46:$AU$55&gt;$AM930))
) / 1000</f>
        <v>0</v>
      </c>
      <c r="CY930" s="234" cm="1">
        <f t="array" ref="CY930">$BM930 * IF($AH930&lt;=2,
SUMPRODUCT(INDEX($AV$22:$AX$60,,$AI930), INDEX($AY$22:$BE$60,,$AH930), 1 / ($BF$22:$BF$60*CW930), N($AU$22:$AU$60&gt;$AM930)),
SUMPRODUCT(INDEX($AV$22:$AX$45,,$AI930), INDEX($AY$22:$BE$45,,$AH930), 1 / ($BG$22:$BG$45*CW930), N($AU$22:$AU$45&gt;$AM930))
) / 1000</f>
        <v>0</v>
      </c>
      <c r="CZ930" s="229">
        <f t="shared" si="922"/>
        <v>0</v>
      </c>
      <c r="DA930" s="246"/>
    </row>
    <row r="931" spans="1:105" s="75" customFormat="1" ht="14.25" customHeight="1" x14ac:dyDescent="0.2">
      <c r="A931" s="230" t="b">
        <f t="shared" si="927"/>
        <v>0</v>
      </c>
      <c r="B931" s="253">
        <v>910</v>
      </c>
      <c r="C931" s="266"/>
      <c r="D931" s="266"/>
      <c r="E931" s="254"/>
      <c r="F931" s="255" t="str">
        <f>IF(ISBLANK(E931), "", VLOOKUP(E931, Z!$A$2:$C$4127, 3, FALSE))</f>
        <v/>
      </c>
      <c r="G931" s="256"/>
      <c r="H931" s="256"/>
      <c r="I931" s="256"/>
      <c r="J931" s="257"/>
      <c r="K931" s="258"/>
      <c r="L931" s="267"/>
      <c r="M931" s="268"/>
      <c r="N931" s="259" t="str" cm="1">
        <f t="array" ref="N931">IF($L931&gt;0, INDEX(Clean,1+AK931,$D$1), "")</f>
        <v/>
      </c>
      <c r="O931" s="260"/>
      <c r="P931" s="260"/>
      <c r="Q931" s="261"/>
      <c r="R931" s="264">
        <f t="shared" si="898"/>
        <v>0</v>
      </c>
      <c r="S931" s="259" t="str" cm="1">
        <f t="array" ref="S931">IF($L931&gt;0, INDEX(Clean,1+AL931,$D$1), "")</f>
        <v/>
      </c>
      <c r="T931" s="260"/>
      <c r="U931" s="260"/>
      <c r="V931" s="261"/>
      <c r="W931" s="267"/>
      <c r="X931" s="267"/>
      <c r="Y931" s="257"/>
      <c r="Z931" s="264">
        <f t="shared" si="899"/>
        <v>0</v>
      </c>
      <c r="AA931" s="269"/>
      <c r="AB931" s="266"/>
      <c r="AC931" s="254"/>
      <c r="AD931" s="255" t="str">
        <f>IF(ISBLANK(AC931), "", VLOOKUP(AC931, Z!$A$2:$C$4127, 3, FALSE))</f>
        <v/>
      </c>
      <c r="AE931" s="270"/>
      <c r="AF931" s="265">
        <f t="shared" si="900"/>
        <v>0</v>
      </c>
      <c r="AG931" s="246"/>
      <c r="AH931" s="228">
        <f t="shared" si="923"/>
        <v>1</v>
      </c>
      <c r="AI931" s="228">
        <f t="shared" si="924"/>
        <v>1</v>
      </c>
      <c r="AJ931" s="228">
        <f t="shared" si="925"/>
        <v>0</v>
      </c>
      <c r="AK931" s="228">
        <v>0</v>
      </c>
      <c r="AL931" s="228">
        <v>0</v>
      </c>
      <c r="AM931" s="228">
        <f t="shared" si="901"/>
        <v>-100</v>
      </c>
      <c r="AN931" s="228" cm="1">
        <f t="array" ref="AN931">IF(ISBLANK(G931), 1, IFERROR(MATCH(G931, INDEX(Kat,,1), 0), IFERROR(MATCH(Kat, INDEX(Use,,2), 0), MATCH(Kat, INDEX(Use,,3), 0))))</f>
        <v>1</v>
      </c>
      <c r="AO931" s="246"/>
      <c r="AP931" s="228" cm="1">
        <f t="array" ref="AP931">IF(W931&gt;0, INDEX(Kat, AN931,4), 0)</f>
        <v>0</v>
      </c>
      <c r="AQ931" s="228">
        <f t="shared" si="926"/>
        <v>0</v>
      </c>
      <c r="AR931" s="228" cm="1">
        <f t="array" ref="AR931">IF(X931&gt;0, INDEX(Kat, $AN931, 4+AQ931), 0)</f>
        <v>0</v>
      </c>
      <c r="AS931" s="228" cm="1">
        <f t="array" ref="AS931">IF(X931&gt;0, INDEX(Kat, $AN931, 9+AQ931), 0)</f>
        <v>0</v>
      </c>
      <c r="AT931" s="246"/>
      <c r="AU931" s="262"/>
      <c r="AV931" s="262"/>
      <c r="AW931" s="263"/>
      <c r="AX931" s="263"/>
      <c r="AY931" s="263"/>
      <c r="AZ931" s="263"/>
      <c r="BA931" s="263"/>
      <c r="BB931" s="263"/>
      <c r="BC931" s="263"/>
      <c r="BD931" s="263"/>
      <c r="BE931" s="263"/>
      <c r="BF931" s="263"/>
      <c r="BG931" s="263"/>
      <c r="BH931" s="246"/>
      <c r="BI931" s="228" cm="1">
        <f t="array" ref="BI931">INDEX(Use, $AH931, 4)</f>
        <v>7</v>
      </c>
      <c r="BJ931" s="228">
        <f t="shared" si="902"/>
        <v>32</v>
      </c>
      <c r="BK931" s="228">
        <f t="shared" si="928"/>
        <v>13</v>
      </c>
      <c r="BL931" s="228">
        <f t="shared" si="929"/>
        <v>0</v>
      </c>
      <c r="BM931" s="233" cm="1">
        <f t="array" ref="BM931">L931/IF($M931&gt;0, INDEX($AY$22:$BE$76, $M931+20, $AH931), 1)</f>
        <v>0</v>
      </c>
      <c r="BN931" s="229">
        <f t="shared" si="903"/>
        <v>0</v>
      </c>
      <c r="BO931" s="228">
        <v>35</v>
      </c>
      <c r="BP931" s="229">
        <f t="shared" si="904"/>
        <v>48</v>
      </c>
      <c r="BQ931" s="234">
        <f t="shared" si="905"/>
        <v>3.0748170731707316</v>
      </c>
      <c r="BR931" s="234" cm="1">
        <f t="array" ref="BR931">$BM931 * SUMPRODUCT(INDEX($AV$76:$AX$81,,$AI931),INDEX($AY$76:$BE$81,,$AH931), N($AU$76:$AU$81&gt;$AM931)) / BQ931 / 1000</f>
        <v>0</v>
      </c>
      <c r="BS931" s="231">
        <f t="shared" si="930"/>
        <v>30</v>
      </c>
      <c r="BT931" s="229">
        <f t="shared" si="906"/>
        <v>43</v>
      </c>
      <c r="BU931" s="234">
        <f t="shared" si="907"/>
        <v>3.5018750000000001</v>
      </c>
      <c r="BV931" s="234" cm="1">
        <f t="array" ref="BV931">$BM931 * IF($AH931&lt;=2,
SUMPRODUCT(INDEX($AV$71:$AX$75,,$AI931), INDEX($AY$71:$BE$75,,$AH931), 1 / ($BF$71:$BF$75*BU931 + (1-$BF$71:$BF$75)*BQ931), N($AU$71:$AU$75&gt;$AM931)),
SUMPRODUCT(INDEX($AV$66:$AX$75,,$AI931), INDEX($AY$66:$BE$75,,$AH931), 1 / ($BG$66:$BG$75*BU931 + (1-$BG$66:$BG$75)*BQ931), N($AU$66:$AU$75&gt;$AM931))
) / 1000</f>
        <v>0</v>
      </c>
      <c r="BW931" s="231">
        <f t="shared" si="931"/>
        <v>25</v>
      </c>
      <c r="BX931" s="229">
        <f t="shared" si="908"/>
        <v>38</v>
      </c>
      <c r="BY931" s="234">
        <f t="shared" si="909"/>
        <v>4.0666935483870965</v>
      </c>
      <c r="BZ931" s="234" cm="1">
        <f t="array" ref="BZ931">$BM931 * IF($AH931&lt;=2,
SUMPRODUCT(INDEX($AV$66:$AX$70,,$AI931), INDEX($AY$66:$BE$70,,$AH931), 1 / ($BF$66:$BF$70*BY931 + (1-$BF$66:$BF$70)*BU931), N($AU$66:$AU$70&gt;$AM931)),
SUMPRODUCT(INDEX($AV$56:$AX$65,,$AI931), INDEX($AY$56:$BE$65,,$AH931), 1 / ($BG$56:$BG$65*BY931 + (1-$BG$56:$BG$65)*BU931), N($AU$56:$AU$65&gt;$AM931))
) / 1000</f>
        <v>0</v>
      </c>
      <c r="CA931" s="231">
        <f t="shared" si="932"/>
        <v>20</v>
      </c>
      <c r="CB931" s="229">
        <f t="shared" si="910"/>
        <v>33</v>
      </c>
      <c r="CC931" s="234">
        <f t="shared" si="911"/>
        <v>4.8487499999999999</v>
      </c>
      <c r="CD931" s="234" cm="1">
        <f t="array" ref="CD931">$BM931 * IF($AH931&lt;=2,
SUMPRODUCT(INDEX($AV$61:$AX$65,,$AI931), INDEX($AY$61:$BE$65,,$AH931), 1 / ($BF$61:$BF$65*CC931 + (1-$BF$61:$BF$65)*BY931), N($AU$61:$AU$65&gt;$AM931)),
SUMPRODUCT(INDEX($AV$46:$AX$55,,$AI931), INDEX($AY$46:$BE$55,,$AH931), 1 / ($BG$46:$BG$55*CC931 + (1-$BG$46:$BG$55)*BY931), N($AU$46:$AU$55&gt;$AM931))
) / 1000</f>
        <v>0</v>
      </c>
      <c r="CE931" s="234" cm="1">
        <f t="array" ref="CE931">$BM931 * IF($AH931&lt;=2,
SUMPRODUCT(INDEX($AV$22:$AX$60,,$AI931), INDEX($AY$22:$BE$60,,$AH931), 1 / ($BF$22:$BF$60*CC931), N($AU$22:$AU$60&gt;$AM931)),
SUMPRODUCT(INDEX($AV$22:$AX$45,,$AI931), INDEX($AY$22:$BE$45,,$AH931), 1 / ($BG$22:$BG$45*CC931), N($AU$22:$AU$45&gt;$AM931))
) / 1000</f>
        <v>0</v>
      </c>
      <c r="CF931" s="229">
        <f t="shared" si="912"/>
        <v>0</v>
      </c>
      <c r="CG931" s="246"/>
      <c r="CH931" s="229">
        <f t="shared" si="913"/>
        <v>0</v>
      </c>
      <c r="CI931" s="228">
        <v>35</v>
      </c>
      <c r="CJ931" s="229">
        <f t="shared" si="914"/>
        <v>48</v>
      </c>
      <c r="CK931" s="234">
        <f t="shared" si="915"/>
        <v>3.0748170731707316</v>
      </c>
      <c r="CL931" s="234" cm="1">
        <f t="array" ref="CL931">$BM931 * SUMPRODUCT(INDEX($AV$76:$AX$81,,$AI931),INDEX($AY$76:$BE$81,,$AH931), N($AU$76:$AU$81&gt;$AM931)) / CK931 / 1000</f>
        <v>0</v>
      </c>
      <c r="CM931" s="231">
        <f t="shared" si="933"/>
        <v>30</v>
      </c>
      <c r="CN931" s="229">
        <f t="shared" si="916"/>
        <v>43</v>
      </c>
      <c r="CO931" s="234">
        <f t="shared" si="917"/>
        <v>3.5018750000000001</v>
      </c>
      <c r="CP931" s="234" cm="1">
        <f t="array" ref="CP931">$BM931 * IF($AH931&lt;=2,
SUMPRODUCT(INDEX($AV$71:$AX$75,,$AI931), INDEX($AY$71:$BE$75,,$AH931), 1 / ($BF$71:$BF$75*CO931 + (1-$BF$71:$BF$75)*CK931), N($AU$71:$AU$75&gt;$AM931)),
SUMPRODUCT(INDEX($AV$66:$AX$75,,$AI931), INDEX($AY$66:$BE$75,,$AH931), 1 / ($BG$66:$BG$75*CO931 + (1-$BG$66:$BG$75)*CK931), N($AU$66:$AU$75&gt;$AM931))
) / 1000</f>
        <v>0</v>
      </c>
      <c r="CQ931" s="231">
        <f t="shared" si="934"/>
        <v>25</v>
      </c>
      <c r="CR931" s="229">
        <f t="shared" si="918"/>
        <v>38</v>
      </c>
      <c r="CS931" s="234">
        <f t="shared" si="919"/>
        <v>4.0666935483870965</v>
      </c>
      <c r="CT931" s="234" cm="1">
        <f t="array" ref="CT931">$BM931 * IF($AH931&lt;=2,
SUMPRODUCT(INDEX($AV$66:$AX$70,,$AI931), INDEX($AY$66:$BE$70,,$AH931), 1 / ($BF$66:$BF$70*CS931 + (1-$BF$66:$BF$70)*CO931), N($AU$66:$AU$70&gt;$AM931)),
SUMPRODUCT(INDEX($AV$56:$AX$65,,$AI931), INDEX($AY$56:$BE$65,,$AH931), 1 / ($BG$56:$BG$65*CS931 + (1-$BG$56:$BG$65)*CO931), N($AU$56:$AU$65&gt;$AM931))
) / 1000</f>
        <v>0</v>
      </c>
      <c r="CU931" s="231">
        <f t="shared" si="935"/>
        <v>20</v>
      </c>
      <c r="CV931" s="229">
        <f t="shared" si="920"/>
        <v>33</v>
      </c>
      <c r="CW931" s="234">
        <f t="shared" si="921"/>
        <v>4.8487499999999999</v>
      </c>
      <c r="CX931" s="234" cm="1">
        <f t="array" ref="CX931">$BM931 * IF($AH931&lt;=2,
SUMPRODUCT(INDEX($AV$61:$AX$65,,$AI931), INDEX($AY$61:$BE$65,,$AH931), 1 / ($BF$61:$BF$65*CW931 + (1-$BF$61:$BF$65)*CS931), N($AU$61:$AU$65&gt;$AM931)),
SUMPRODUCT(INDEX($AV$46:$AX$55,,$AI931), INDEX($AY$46:$BE$55,,$AH931), 1 / ($BG$46:$BG$55*CW931 + (1-$BG$46:$BG$55)*CS931), N($AU$46:$AU$55&gt;$AM931))
) / 1000</f>
        <v>0</v>
      </c>
      <c r="CY931" s="234" cm="1">
        <f t="array" ref="CY931">$BM931 * IF($AH931&lt;=2,
SUMPRODUCT(INDEX($AV$22:$AX$60,,$AI931), INDEX($AY$22:$BE$60,,$AH931), 1 / ($BF$22:$BF$60*CW931), N($AU$22:$AU$60&gt;$AM931)),
SUMPRODUCT(INDEX($AV$22:$AX$45,,$AI931), INDEX($AY$22:$BE$45,,$AH931), 1 / ($BG$22:$BG$45*CW931), N($AU$22:$AU$45&gt;$AM931))
) / 1000</f>
        <v>0</v>
      </c>
      <c r="CZ931" s="229">
        <f t="shared" si="922"/>
        <v>0</v>
      </c>
      <c r="DA931" s="246"/>
    </row>
    <row r="932" spans="1:105" s="75" customFormat="1" ht="14.25" customHeight="1" x14ac:dyDescent="0.2">
      <c r="A932" s="230" t="b">
        <f t="shared" si="927"/>
        <v>0</v>
      </c>
      <c r="B932" s="253">
        <v>911</v>
      </c>
      <c r="C932" s="266"/>
      <c r="D932" s="266"/>
      <c r="E932" s="254"/>
      <c r="F932" s="255" t="str">
        <f>IF(ISBLANK(E932), "", VLOOKUP(E932, Z!$A$2:$C$4127, 3, FALSE))</f>
        <v/>
      </c>
      <c r="G932" s="256"/>
      <c r="H932" s="256"/>
      <c r="I932" s="256"/>
      <c r="J932" s="257"/>
      <c r="K932" s="258"/>
      <c r="L932" s="267"/>
      <c r="M932" s="268"/>
      <c r="N932" s="259" t="str" cm="1">
        <f t="array" ref="N932">IF($L932&gt;0, INDEX(Clean,1+AK932,$D$1), "")</f>
        <v/>
      </c>
      <c r="O932" s="260"/>
      <c r="P932" s="260"/>
      <c r="Q932" s="261"/>
      <c r="R932" s="264">
        <f t="shared" si="898"/>
        <v>0</v>
      </c>
      <c r="S932" s="259" t="str" cm="1">
        <f t="array" ref="S932">IF($L932&gt;0, INDEX(Clean,1+AL932,$D$1), "")</f>
        <v/>
      </c>
      <c r="T932" s="260"/>
      <c r="U932" s="260"/>
      <c r="V932" s="261"/>
      <c r="W932" s="267"/>
      <c r="X932" s="267"/>
      <c r="Y932" s="257"/>
      <c r="Z932" s="264">
        <f t="shared" si="899"/>
        <v>0</v>
      </c>
      <c r="AA932" s="269"/>
      <c r="AB932" s="266"/>
      <c r="AC932" s="254"/>
      <c r="AD932" s="255" t="str">
        <f>IF(ISBLANK(AC932), "", VLOOKUP(AC932, Z!$A$2:$C$4127, 3, FALSE))</f>
        <v/>
      </c>
      <c r="AE932" s="270"/>
      <c r="AF932" s="265">
        <f t="shared" si="900"/>
        <v>0</v>
      </c>
      <c r="AG932" s="246"/>
      <c r="AH932" s="228">
        <f t="shared" si="923"/>
        <v>1</v>
      </c>
      <c r="AI932" s="228">
        <f t="shared" si="924"/>
        <v>1</v>
      </c>
      <c r="AJ932" s="228">
        <f t="shared" si="925"/>
        <v>0</v>
      </c>
      <c r="AK932" s="228">
        <v>0</v>
      </c>
      <c r="AL932" s="228">
        <v>0</v>
      </c>
      <c r="AM932" s="228">
        <f t="shared" si="901"/>
        <v>-100</v>
      </c>
      <c r="AN932" s="228" cm="1">
        <f t="array" ref="AN932">IF(ISBLANK(G932), 1, IFERROR(MATCH(G932, INDEX(Kat,,1), 0), IFERROR(MATCH(Kat, INDEX(Use,,2), 0), MATCH(Kat, INDEX(Use,,3), 0))))</f>
        <v>1</v>
      </c>
      <c r="AO932" s="246"/>
      <c r="AP932" s="228" cm="1">
        <f t="array" ref="AP932">IF(W932&gt;0, INDEX(Kat, AN932,4), 0)</f>
        <v>0</v>
      </c>
      <c r="AQ932" s="228">
        <f t="shared" si="926"/>
        <v>0</v>
      </c>
      <c r="AR932" s="228" cm="1">
        <f t="array" ref="AR932">IF(X932&gt;0, INDEX(Kat, $AN932, 4+AQ932), 0)</f>
        <v>0</v>
      </c>
      <c r="AS932" s="228" cm="1">
        <f t="array" ref="AS932">IF(X932&gt;0, INDEX(Kat, $AN932, 9+AQ932), 0)</f>
        <v>0</v>
      </c>
      <c r="AT932" s="246"/>
      <c r="AU932" s="262"/>
      <c r="AV932" s="262"/>
      <c r="AW932" s="263"/>
      <c r="AX932" s="263"/>
      <c r="AY932" s="263"/>
      <c r="AZ932" s="263"/>
      <c r="BA932" s="263"/>
      <c r="BB932" s="263"/>
      <c r="BC932" s="263"/>
      <c r="BD932" s="263"/>
      <c r="BE932" s="263"/>
      <c r="BF932" s="263"/>
      <c r="BG932" s="263"/>
      <c r="BH932" s="246"/>
      <c r="BI932" s="228" cm="1">
        <f t="array" ref="BI932">INDEX(Use, $AH932, 4)</f>
        <v>7</v>
      </c>
      <c r="BJ932" s="228">
        <f t="shared" si="902"/>
        <v>32</v>
      </c>
      <c r="BK932" s="228">
        <f t="shared" si="928"/>
        <v>13</v>
      </c>
      <c r="BL932" s="228">
        <f t="shared" si="929"/>
        <v>0</v>
      </c>
      <c r="BM932" s="233" cm="1">
        <f t="array" ref="BM932">L932/IF($M932&gt;0, INDEX($AY$22:$BE$76, $M932+20, $AH932), 1)</f>
        <v>0</v>
      </c>
      <c r="BN932" s="229">
        <f t="shared" si="903"/>
        <v>0</v>
      </c>
      <c r="BO932" s="228">
        <v>35</v>
      </c>
      <c r="BP932" s="229">
        <f t="shared" si="904"/>
        <v>48</v>
      </c>
      <c r="BQ932" s="234">
        <f t="shared" si="905"/>
        <v>3.0748170731707316</v>
      </c>
      <c r="BR932" s="234" cm="1">
        <f t="array" ref="BR932">$BM932 * SUMPRODUCT(INDEX($AV$76:$AX$81,,$AI932),INDEX($AY$76:$BE$81,,$AH932), N($AU$76:$AU$81&gt;$AM932)) / BQ932 / 1000</f>
        <v>0</v>
      </c>
      <c r="BS932" s="231">
        <f t="shared" si="930"/>
        <v>30</v>
      </c>
      <c r="BT932" s="229">
        <f t="shared" si="906"/>
        <v>43</v>
      </c>
      <c r="BU932" s="234">
        <f t="shared" si="907"/>
        <v>3.5018750000000001</v>
      </c>
      <c r="BV932" s="234" cm="1">
        <f t="array" ref="BV932">$BM932 * IF($AH932&lt;=2,
SUMPRODUCT(INDEX($AV$71:$AX$75,,$AI932), INDEX($AY$71:$BE$75,,$AH932), 1 / ($BF$71:$BF$75*BU932 + (1-$BF$71:$BF$75)*BQ932), N($AU$71:$AU$75&gt;$AM932)),
SUMPRODUCT(INDEX($AV$66:$AX$75,,$AI932), INDEX($AY$66:$BE$75,,$AH932), 1 / ($BG$66:$BG$75*BU932 + (1-$BG$66:$BG$75)*BQ932), N($AU$66:$AU$75&gt;$AM932))
) / 1000</f>
        <v>0</v>
      </c>
      <c r="BW932" s="231">
        <f t="shared" si="931"/>
        <v>25</v>
      </c>
      <c r="BX932" s="229">
        <f t="shared" si="908"/>
        <v>38</v>
      </c>
      <c r="BY932" s="234">
        <f t="shared" si="909"/>
        <v>4.0666935483870965</v>
      </c>
      <c r="BZ932" s="234" cm="1">
        <f t="array" ref="BZ932">$BM932 * IF($AH932&lt;=2,
SUMPRODUCT(INDEX($AV$66:$AX$70,,$AI932), INDEX($AY$66:$BE$70,,$AH932), 1 / ($BF$66:$BF$70*BY932 + (1-$BF$66:$BF$70)*BU932), N($AU$66:$AU$70&gt;$AM932)),
SUMPRODUCT(INDEX($AV$56:$AX$65,,$AI932), INDEX($AY$56:$BE$65,,$AH932), 1 / ($BG$56:$BG$65*BY932 + (1-$BG$56:$BG$65)*BU932), N($AU$56:$AU$65&gt;$AM932))
) / 1000</f>
        <v>0</v>
      </c>
      <c r="CA932" s="231">
        <f t="shared" si="932"/>
        <v>20</v>
      </c>
      <c r="CB932" s="229">
        <f t="shared" si="910"/>
        <v>33</v>
      </c>
      <c r="CC932" s="234">
        <f t="shared" si="911"/>
        <v>4.8487499999999999</v>
      </c>
      <c r="CD932" s="234" cm="1">
        <f t="array" ref="CD932">$BM932 * IF($AH932&lt;=2,
SUMPRODUCT(INDEX($AV$61:$AX$65,,$AI932), INDEX($AY$61:$BE$65,,$AH932), 1 / ($BF$61:$BF$65*CC932 + (1-$BF$61:$BF$65)*BY932), N($AU$61:$AU$65&gt;$AM932)),
SUMPRODUCT(INDEX($AV$46:$AX$55,,$AI932), INDEX($AY$46:$BE$55,,$AH932), 1 / ($BG$46:$BG$55*CC932 + (1-$BG$46:$BG$55)*BY932), N($AU$46:$AU$55&gt;$AM932))
) / 1000</f>
        <v>0</v>
      </c>
      <c r="CE932" s="234" cm="1">
        <f t="array" ref="CE932">$BM932 * IF($AH932&lt;=2,
SUMPRODUCT(INDEX($AV$22:$AX$60,,$AI932), INDEX($AY$22:$BE$60,,$AH932), 1 / ($BF$22:$BF$60*CC932), N($AU$22:$AU$60&gt;$AM932)),
SUMPRODUCT(INDEX($AV$22:$AX$45,,$AI932), INDEX($AY$22:$BE$45,,$AH932), 1 / ($BG$22:$BG$45*CC932), N($AU$22:$AU$45&gt;$AM932))
) / 1000</f>
        <v>0</v>
      </c>
      <c r="CF932" s="229">
        <f t="shared" si="912"/>
        <v>0</v>
      </c>
      <c r="CG932" s="246"/>
      <c r="CH932" s="229">
        <f t="shared" si="913"/>
        <v>0</v>
      </c>
      <c r="CI932" s="228">
        <v>35</v>
      </c>
      <c r="CJ932" s="229">
        <f t="shared" si="914"/>
        <v>48</v>
      </c>
      <c r="CK932" s="234">
        <f t="shared" si="915"/>
        <v>3.0748170731707316</v>
      </c>
      <c r="CL932" s="234" cm="1">
        <f t="array" ref="CL932">$BM932 * SUMPRODUCT(INDEX($AV$76:$AX$81,,$AI932),INDEX($AY$76:$BE$81,,$AH932), N($AU$76:$AU$81&gt;$AM932)) / CK932 / 1000</f>
        <v>0</v>
      </c>
      <c r="CM932" s="231">
        <f t="shared" si="933"/>
        <v>30</v>
      </c>
      <c r="CN932" s="229">
        <f t="shared" si="916"/>
        <v>43</v>
      </c>
      <c r="CO932" s="234">
        <f t="shared" si="917"/>
        <v>3.5018750000000001</v>
      </c>
      <c r="CP932" s="234" cm="1">
        <f t="array" ref="CP932">$BM932 * IF($AH932&lt;=2,
SUMPRODUCT(INDEX($AV$71:$AX$75,,$AI932), INDEX($AY$71:$BE$75,,$AH932), 1 / ($BF$71:$BF$75*CO932 + (1-$BF$71:$BF$75)*CK932), N($AU$71:$AU$75&gt;$AM932)),
SUMPRODUCT(INDEX($AV$66:$AX$75,,$AI932), INDEX($AY$66:$BE$75,,$AH932), 1 / ($BG$66:$BG$75*CO932 + (1-$BG$66:$BG$75)*CK932), N($AU$66:$AU$75&gt;$AM932))
) / 1000</f>
        <v>0</v>
      </c>
      <c r="CQ932" s="231">
        <f t="shared" si="934"/>
        <v>25</v>
      </c>
      <c r="CR932" s="229">
        <f t="shared" si="918"/>
        <v>38</v>
      </c>
      <c r="CS932" s="234">
        <f t="shared" si="919"/>
        <v>4.0666935483870965</v>
      </c>
      <c r="CT932" s="234" cm="1">
        <f t="array" ref="CT932">$BM932 * IF($AH932&lt;=2,
SUMPRODUCT(INDEX($AV$66:$AX$70,,$AI932), INDEX($AY$66:$BE$70,,$AH932), 1 / ($BF$66:$BF$70*CS932 + (1-$BF$66:$BF$70)*CO932), N($AU$66:$AU$70&gt;$AM932)),
SUMPRODUCT(INDEX($AV$56:$AX$65,,$AI932), INDEX($AY$56:$BE$65,,$AH932), 1 / ($BG$56:$BG$65*CS932 + (1-$BG$56:$BG$65)*CO932), N($AU$56:$AU$65&gt;$AM932))
) / 1000</f>
        <v>0</v>
      </c>
      <c r="CU932" s="231">
        <f t="shared" si="935"/>
        <v>20</v>
      </c>
      <c r="CV932" s="229">
        <f t="shared" si="920"/>
        <v>33</v>
      </c>
      <c r="CW932" s="234">
        <f t="shared" si="921"/>
        <v>4.8487499999999999</v>
      </c>
      <c r="CX932" s="234" cm="1">
        <f t="array" ref="CX932">$BM932 * IF($AH932&lt;=2,
SUMPRODUCT(INDEX($AV$61:$AX$65,,$AI932), INDEX($AY$61:$BE$65,,$AH932), 1 / ($BF$61:$BF$65*CW932 + (1-$BF$61:$BF$65)*CS932), N($AU$61:$AU$65&gt;$AM932)),
SUMPRODUCT(INDEX($AV$46:$AX$55,,$AI932), INDEX($AY$46:$BE$55,,$AH932), 1 / ($BG$46:$BG$55*CW932 + (1-$BG$46:$BG$55)*CS932), N($AU$46:$AU$55&gt;$AM932))
) / 1000</f>
        <v>0</v>
      </c>
      <c r="CY932" s="234" cm="1">
        <f t="array" ref="CY932">$BM932 * IF($AH932&lt;=2,
SUMPRODUCT(INDEX($AV$22:$AX$60,,$AI932), INDEX($AY$22:$BE$60,,$AH932), 1 / ($BF$22:$BF$60*CW932), N($AU$22:$AU$60&gt;$AM932)),
SUMPRODUCT(INDEX($AV$22:$AX$45,,$AI932), INDEX($AY$22:$BE$45,,$AH932), 1 / ($BG$22:$BG$45*CW932), N($AU$22:$AU$45&gt;$AM932))
) / 1000</f>
        <v>0</v>
      </c>
      <c r="CZ932" s="229">
        <f t="shared" si="922"/>
        <v>0</v>
      </c>
      <c r="DA932" s="246"/>
    </row>
    <row r="933" spans="1:105" s="75" customFormat="1" ht="14.25" customHeight="1" x14ac:dyDescent="0.2">
      <c r="A933" s="230" t="b">
        <f t="shared" si="927"/>
        <v>0</v>
      </c>
      <c r="B933" s="253">
        <v>912</v>
      </c>
      <c r="C933" s="266"/>
      <c r="D933" s="266"/>
      <c r="E933" s="254"/>
      <c r="F933" s="255" t="str">
        <f>IF(ISBLANK(E933), "", VLOOKUP(E933, Z!$A$2:$C$4127, 3, FALSE))</f>
        <v/>
      </c>
      <c r="G933" s="256"/>
      <c r="H933" s="256"/>
      <c r="I933" s="256"/>
      <c r="J933" s="257"/>
      <c r="K933" s="258"/>
      <c r="L933" s="267"/>
      <c r="M933" s="268"/>
      <c r="N933" s="259" t="str" cm="1">
        <f t="array" ref="N933">IF($L933&gt;0, INDEX(Clean,1+AK933,$D$1), "")</f>
        <v/>
      </c>
      <c r="O933" s="260"/>
      <c r="P933" s="260"/>
      <c r="Q933" s="261"/>
      <c r="R933" s="264">
        <f t="shared" si="898"/>
        <v>0</v>
      </c>
      <c r="S933" s="259" t="str" cm="1">
        <f t="array" ref="S933">IF($L933&gt;0, INDEX(Clean,1+AL933,$D$1), "")</f>
        <v/>
      </c>
      <c r="T933" s="260"/>
      <c r="U933" s="260"/>
      <c r="V933" s="261"/>
      <c r="W933" s="267"/>
      <c r="X933" s="267"/>
      <c r="Y933" s="257"/>
      <c r="Z933" s="264">
        <f t="shared" si="899"/>
        <v>0</v>
      </c>
      <c r="AA933" s="269"/>
      <c r="AB933" s="266"/>
      <c r="AC933" s="254"/>
      <c r="AD933" s="255" t="str">
        <f>IF(ISBLANK(AC933), "", VLOOKUP(AC933, Z!$A$2:$C$4127, 3, FALSE))</f>
        <v/>
      </c>
      <c r="AE933" s="270"/>
      <c r="AF933" s="265">
        <f t="shared" si="900"/>
        <v>0</v>
      </c>
      <c r="AG933" s="246"/>
      <c r="AH933" s="228">
        <f t="shared" si="923"/>
        <v>1</v>
      </c>
      <c r="AI933" s="228">
        <f t="shared" si="924"/>
        <v>1</v>
      </c>
      <c r="AJ933" s="228">
        <f t="shared" si="925"/>
        <v>0</v>
      </c>
      <c r="AK933" s="228">
        <v>0</v>
      </c>
      <c r="AL933" s="228">
        <v>0</v>
      </c>
      <c r="AM933" s="228">
        <f t="shared" si="901"/>
        <v>-100</v>
      </c>
      <c r="AN933" s="228" cm="1">
        <f t="array" ref="AN933">IF(ISBLANK(G933), 1, IFERROR(MATCH(G933, INDEX(Kat,,1), 0), IFERROR(MATCH(Kat, INDEX(Use,,2), 0), MATCH(Kat, INDEX(Use,,3), 0))))</f>
        <v>1</v>
      </c>
      <c r="AO933" s="246"/>
      <c r="AP933" s="228" cm="1">
        <f t="array" ref="AP933">IF(W933&gt;0, INDEX(Kat, AN933,4), 0)</f>
        <v>0</v>
      </c>
      <c r="AQ933" s="228">
        <f t="shared" si="926"/>
        <v>0</v>
      </c>
      <c r="AR933" s="228" cm="1">
        <f t="array" ref="AR933">IF(X933&gt;0, INDEX(Kat, $AN933, 4+AQ933), 0)</f>
        <v>0</v>
      </c>
      <c r="AS933" s="228" cm="1">
        <f t="array" ref="AS933">IF(X933&gt;0, INDEX(Kat, $AN933, 9+AQ933), 0)</f>
        <v>0</v>
      </c>
      <c r="AT933" s="246"/>
      <c r="AU933" s="262"/>
      <c r="AV933" s="262"/>
      <c r="AW933" s="263"/>
      <c r="AX933" s="263"/>
      <c r="AY933" s="263"/>
      <c r="AZ933" s="263"/>
      <c r="BA933" s="263"/>
      <c r="BB933" s="263"/>
      <c r="BC933" s="263"/>
      <c r="BD933" s="263"/>
      <c r="BE933" s="263"/>
      <c r="BF933" s="263"/>
      <c r="BG933" s="263"/>
      <c r="BH933" s="246"/>
      <c r="BI933" s="228" cm="1">
        <f t="array" ref="BI933">INDEX(Use, $AH933, 4)</f>
        <v>7</v>
      </c>
      <c r="BJ933" s="228">
        <f t="shared" si="902"/>
        <v>32</v>
      </c>
      <c r="BK933" s="228">
        <f t="shared" si="928"/>
        <v>13</v>
      </c>
      <c r="BL933" s="228">
        <f t="shared" si="929"/>
        <v>0</v>
      </c>
      <c r="BM933" s="233" cm="1">
        <f t="array" ref="BM933">L933/IF($M933&gt;0, INDEX($AY$22:$BE$76, $M933+20, $AH933), 1)</f>
        <v>0</v>
      </c>
      <c r="BN933" s="229">
        <f t="shared" si="903"/>
        <v>0</v>
      </c>
      <c r="BO933" s="228">
        <v>35</v>
      </c>
      <c r="BP933" s="229">
        <f t="shared" si="904"/>
        <v>48</v>
      </c>
      <c r="BQ933" s="234">
        <f t="shared" si="905"/>
        <v>3.0748170731707316</v>
      </c>
      <c r="BR933" s="234" cm="1">
        <f t="array" ref="BR933">$BM933 * SUMPRODUCT(INDEX($AV$76:$AX$81,,$AI933),INDEX($AY$76:$BE$81,,$AH933), N($AU$76:$AU$81&gt;$AM933)) / BQ933 / 1000</f>
        <v>0</v>
      </c>
      <c r="BS933" s="231">
        <f t="shared" si="930"/>
        <v>30</v>
      </c>
      <c r="BT933" s="229">
        <f t="shared" si="906"/>
        <v>43</v>
      </c>
      <c r="BU933" s="234">
        <f t="shared" si="907"/>
        <v>3.5018750000000001</v>
      </c>
      <c r="BV933" s="234" cm="1">
        <f t="array" ref="BV933">$BM933 * IF($AH933&lt;=2,
SUMPRODUCT(INDEX($AV$71:$AX$75,,$AI933), INDEX($AY$71:$BE$75,,$AH933), 1 / ($BF$71:$BF$75*BU933 + (1-$BF$71:$BF$75)*BQ933), N($AU$71:$AU$75&gt;$AM933)),
SUMPRODUCT(INDEX($AV$66:$AX$75,,$AI933), INDEX($AY$66:$BE$75,,$AH933), 1 / ($BG$66:$BG$75*BU933 + (1-$BG$66:$BG$75)*BQ933), N($AU$66:$AU$75&gt;$AM933))
) / 1000</f>
        <v>0</v>
      </c>
      <c r="BW933" s="231">
        <f t="shared" si="931"/>
        <v>25</v>
      </c>
      <c r="BX933" s="229">
        <f t="shared" si="908"/>
        <v>38</v>
      </c>
      <c r="BY933" s="234">
        <f t="shared" si="909"/>
        <v>4.0666935483870965</v>
      </c>
      <c r="BZ933" s="234" cm="1">
        <f t="array" ref="BZ933">$BM933 * IF($AH933&lt;=2,
SUMPRODUCT(INDEX($AV$66:$AX$70,,$AI933), INDEX($AY$66:$BE$70,,$AH933), 1 / ($BF$66:$BF$70*BY933 + (1-$BF$66:$BF$70)*BU933), N($AU$66:$AU$70&gt;$AM933)),
SUMPRODUCT(INDEX($AV$56:$AX$65,,$AI933), INDEX($AY$56:$BE$65,,$AH933), 1 / ($BG$56:$BG$65*BY933 + (1-$BG$56:$BG$65)*BU933), N($AU$56:$AU$65&gt;$AM933))
) / 1000</f>
        <v>0</v>
      </c>
      <c r="CA933" s="231">
        <f t="shared" si="932"/>
        <v>20</v>
      </c>
      <c r="CB933" s="229">
        <f t="shared" si="910"/>
        <v>33</v>
      </c>
      <c r="CC933" s="234">
        <f t="shared" si="911"/>
        <v>4.8487499999999999</v>
      </c>
      <c r="CD933" s="234" cm="1">
        <f t="array" ref="CD933">$BM933 * IF($AH933&lt;=2,
SUMPRODUCT(INDEX($AV$61:$AX$65,,$AI933), INDEX($AY$61:$BE$65,,$AH933), 1 / ($BF$61:$BF$65*CC933 + (1-$BF$61:$BF$65)*BY933), N($AU$61:$AU$65&gt;$AM933)),
SUMPRODUCT(INDEX($AV$46:$AX$55,,$AI933), INDEX($AY$46:$BE$55,,$AH933), 1 / ($BG$46:$BG$55*CC933 + (1-$BG$46:$BG$55)*BY933), N($AU$46:$AU$55&gt;$AM933))
) / 1000</f>
        <v>0</v>
      </c>
      <c r="CE933" s="234" cm="1">
        <f t="array" ref="CE933">$BM933 * IF($AH933&lt;=2,
SUMPRODUCT(INDEX($AV$22:$AX$60,,$AI933), INDEX($AY$22:$BE$60,,$AH933), 1 / ($BF$22:$BF$60*CC933), N($AU$22:$AU$60&gt;$AM933)),
SUMPRODUCT(INDEX($AV$22:$AX$45,,$AI933), INDEX($AY$22:$BE$45,,$AH933), 1 / ($BG$22:$BG$45*CC933), N($AU$22:$AU$45&gt;$AM933))
) / 1000</f>
        <v>0</v>
      </c>
      <c r="CF933" s="229">
        <f t="shared" si="912"/>
        <v>0</v>
      </c>
      <c r="CG933" s="246"/>
      <c r="CH933" s="229">
        <f t="shared" si="913"/>
        <v>0</v>
      </c>
      <c r="CI933" s="228">
        <v>35</v>
      </c>
      <c r="CJ933" s="229">
        <f t="shared" si="914"/>
        <v>48</v>
      </c>
      <c r="CK933" s="234">
        <f t="shared" si="915"/>
        <v>3.0748170731707316</v>
      </c>
      <c r="CL933" s="234" cm="1">
        <f t="array" ref="CL933">$BM933 * SUMPRODUCT(INDEX($AV$76:$AX$81,,$AI933),INDEX($AY$76:$BE$81,,$AH933), N($AU$76:$AU$81&gt;$AM933)) / CK933 / 1000</f>
        <v>0</v>
      </c>
      <c r="CM933" s="231">
        <f t="shared" si="933"/>
        <v>30</v>
      </c>
      <c r="CN933" s="229">
        <f t="shared" si="916"/>
        <v>43</v>
      </c>
      <c r="CO933" s="234">
        <f t="shared" si="917"/>
        <v>3.5018750000000001</v>
      </c>
      <c r="CP933" s="234" cm="1">
        <f t="array" ref="CP933">$BM933 * IF($AH933&lt;=2,
SUMPRODUCT(INDEX($AV$71:$AX$75,,$AI933), INDEX($AY$71:$BE$75,,$AH933), 1 / ($BF$71:$BF$75*CO933 + (1-$BF$71:$BF$75)*CK933), N($AU$71:$AU$75&gt;$AM933)),
SUMPRODUCT(INDEX($AV$66:$AX$75,,$AI933), INDEX($AY$66:$BE$75,,$AH933), 1 / ($BG$66:$BG$75*CO933 + (1-$BG$66:$BG$75)*CK933), N($AU$66:$AU$75&gt;$AM933))
) / 1000</f>
        <v>0</v>
      </c>
      <c r="CQ933" s="231">
        <f t="shared" si="934"/>
        <v>25</v>
      </c>
      <c r="CR933" s="229">
        <f t="shared" si="918"/>
        <v>38</v>
      </c>
      <c r="CS933" s="234">
        <f t="shared" si="919"/>
        <v>4.0666935483870965</v>
      </c>
      <c r="CT933" s="234" cm="1">
        <f t="array" ref="CT933">$BM933 * IF($AH933&lt;=2,
SUMPRODUCT(INDEX($AV$66:$AX$70,,$AI933), INDEX($AY$66:$BE$70,,$AH933), 1 / ($BF$66:$BF$70*CS933 + (1-$BF$66:$BF$70)*CO933), N($AU$66:$AU$70&gt;$AM933)),
SUMPRODUCT(INDEX($AV$56:$AX$65,,$AI933), INDEX($AY$56:$BE$65,,$AH933), 1 / ($BG$56:$BG$65*CS933 + (1-$BG$56:$BG$65)*CO933), N($AU$56:$AU$65&gt;$AM933))
) / 1000</f>
        <v>0</v>
      </c>
      <c r="CU933" s="231">
        <f t="shared" si="935"/>
        <v>20</v>
      </c>
      <c r="CV933" s="229">
        <f t="shared" si="920"/>
        <v>33</v>
      </c>
      <c r="CW933" s="234">
        <f t="shared" si="921"/>
        <v>4.8487499999999999</v>
      </c>
      <c r="CX933" s="234" cm="1">
        <f t="array" ref="CX933">$BM933 * IF($AH933&lt;=2,
SUMPRODUCT(INDEX($AV$61:$AX$65,,$AI933), INDEX($AY$61:$BE$65,,$AH933), 1 / ($BF$61:$BF$65*CW933 + (1-$BF$61:$BF$65)*CS933), N($AU$61:$AU$65&gt;$AM933)),
SUMPRODUCT(INDEX($AV$46:$AX$55,,$AI933), INDEX($AY$46:$BE$55,,$AH933), 1 / ($BG$46:$BG$55*CW933 + (1-$BG$46:$BG$55)*CS933), N($AU$46:$AU$55&gt;$AM933))
) / 1000</f>
        <v>0</v>
      </c>
      <c r="CY933" s="234" cm="1">
        <f t="array" ref="CY933">$BM933 * IF($AH933&lt;=2,
SUMPRODUCT(INDEX($AV$22:$AX$60,,$AI933), INDEX($AY$22:$BE$60,,$AH933), 1 / ($BF$22:$BF$60*CW933), N($AU$22:$AU$60&gt;$AM933)),
SUMPRODUCT(INDEX($AV$22:$AX$45,,$AI933), INDEX($AY$22:$BE$45,,$AH933), 1 / ($BG$22:$BG$45*CW933), N($AU$22:$AU$45&gt;$AM933))
) / 1000</f>
        <v>0</v>
      </c>
      <c r="CZ933" s="229">
        <f t="shared" si="922"/>
        <v>0</v>
      </c>
      <c r="DA933" s="246"/>
    </row>
    <row r="934" spans="1:105" s="75" customFormat="1" ht="14.25" customHeight="1" x14ac:dyDescent="0.2">
      <c r="A934" s="230" t="b">
        <f t="shared" si="927"/>
        <v>0</v>
      </c>
      <c r="B934" s="253">
        <v>913</v>
      </c>
      <c r="C934" s="266"/>
      <c r="D934" s="266"/>
      <c r="E934" s="254"/>
      <c r="F934" s="255" t="str">
        <f>IF(ISBLANK(E934), "", VLOOKUP(E934, Z!$A$2:$C$4127, 3, FALSE))</f>
        <v/>
      </c>
      <c r="G934" s="256"/>
      <c r="H934" s="256"/>
      <c r="I934" s="256"/>
      <c r="J934" s="257"/>
      <c r="K934" s="258"/>
      <c r="L934" s="267"/>
      <c r="M934" s="268"/>
      <c r="N934" s="259" t="str" cm="1">
        <f t="array" ref="N934">IF($L934&gt;0, INDEX(Clean,1+AK934,$D$1), "")</f>
        <v/>
      </c>
      <c r="O934" s="260"/>
      <c r="P934" s="260"/>
      <c r="Q934" s="261"/>
      <c r="R934" s="264">
        <f t="shared" si="898"/>
        <v>0</v>
      </c>
      <c r="S934" s="259" t="str" cm="1">
        <f t="array" ref="S934">IF($L934&gt;0, INDEX(Clean,1+AL934,$D$1), "")</f>
        <v/>
      </c>
      <c r="T934" s="260"/>
      <c r="U934" s="260"/>
      <c r="V934" s="261"/>
      <c r="W934" s="267"/>
      <c r="X934" s="267"/>
      <c r="Y934" s="257"/>
      <c r="Z934" s="264">
        <f t="shared" si="899"/>
        <v>0</v>
      </c>
      <c r="AA934" s="269"/>
      <c r="AB934" s="266"/>
      <c r="AC934" s="254"/>
      <c r="AD934" s="255" t="str">
        <f>IF(ISBLANK(AC934), "", VLOOKUP(AC934, Z!$A$2:$C$4127, 3, FALSE))</f>
        <v/>
      </c>
      <c r="AE934" s="270"/>
      <c r="AF934" s="265">
        <f t="shared" si="900"/>
        <v>0</v>
      </c>
      <c r="AG934" s="246"/>
      <c r="AH934" s="228">
        <f t="shared" si="923"/>
        <v>1</v>
      </c>
      <c r="AI934" s="228">
        <f t="shared" si="924"/>
        <v>1</v>
      </c>
      <c r="AJ934" s="228">
        <f t="shared" si="925"/>
        <v>0</v>
      </c>
      <c r="AK934" s="228">
        <v>0</v>
      </c>
      <c r="AL934" s="228">
        <v>0</v>
      </c>
      <c r="AM934" s="228">
        <f t="shared" si="901"/>
        <v>-100</v>
      </c>
      <c r="AN934" s="228" cm="1">
        <f t="array" ref="AN934">IF(ISBLANK(G934), 1, IFERROR(MATCH(G934, INDEX(Kat,,1), 0), IFERROR(MATCH(Kat, INDEX(Use,,2), 0), MATCH(Kat, INDEX(Use,,3), 0))))</f>
        <v>1</v>
      </c>
      <c r="AO934" s="246"/>
      <c r="AP934" s="228" cm="1">
        <f t="array" ref="AP934">IF(W934&gt;0, INDEX(Kat, AN934,4), 0)</f>
        <v>0</v>
      </c>
      <c r="AQ934" s="228">
        <f t="shared" si="926"/>
        <v>0</v>
      </c>
      <c r="AR934" s="228" cm="1">
        <f t="array" ref="AR934">IF(X934&gt;0, INDEX(Kat, $AN934, 4+AQ934), 0)</f>
        <v>0</v>
      </c>
      <c r="AS934" s="228" cm="1">
        <f t="array" ref="AS934">IF(X934&gt;0, INDEX(Kat, $AN934, 9+AQ934), 0)</f>
        <v>0</v>
      </c>
      <c r="AT934" s="246"/>
      <c r="AU934" s="262"/>
      <c r="AV934" s="262"/>
      <c r="AW934" s="263"/>
      <c r="AX934" s="263"/>
      <c r="AY934" s="263"/>
      <c r="AZ934" s="263"/>
      <c r="BA934" s="263"/>
      <c r="BB934" s="263"/>
      <c r="BC934" s="263"/>
      <c r="BD934" s="263"/>
      <c r="BE934" s="263"/>
      <c r="BF934" s="263"/>
      <c r="BG934" s="263"/>
      <c r="BH934" s="246"/>
      <c r="BI934" s="228" cm="1">
        <f t="array" ref="BI934">INDEX(Use, $AH934, 4)</f>
        <v>7</v>
      </c>
      <c r="BJ934" s="228">
        <f t="shared" si="902"/>
        <v>32</v>
      </c>
      <c r="BK934" s="228">
        <f t="shared" si="928"/>
        <v>13</v>
      </c>
      <c r="BL934" s="228">
        <f t="shared" si="929"/>
        <v>0</v>
      </c>
      <c r="BM934" s="233" cm="1">
        <f t="array" ref="BM934">L934/IF($M934&gt;0, INDEX($AY$22:$BE$76, $M934+20, $AH934), 1)</f>
        <v>0</v>
      </c>
      <c r="BN934" s="229">
        <f t="shared" si="903"/>
        <v>0</v>
      </c>
      <c r="BO934" s="228">
        <v>35</v>
      </c>
      <c r="BP934" s="229">
        <f t="shared" si="904"/>
        <v>48</v>
      </c>
      <c r="BQ934" s="234">
        <f t="shared" si="905"/>
        <v>3.0748170731707316</v>
      </c>
      <c r="BR934" s="234" cm="1">
        <f t="array" ref="BR934">$BM934 * SUMPRODUCT(INDEX($AV$76:$AX$81,,$AI934),INDEX($AY$76:$BE$81,,$AH934), N($AU$76:$AU$81&gt;$AM934)) / BQ934 / 1000</f>
        <v>0</v>
      </c>
      <c r="BS934" s="231">
        <f t="shared" si="930"/>
        <v>30</v>
      </c>
      <c r="BT934" s="229">
        <f t="shared" si="906"/>
        <v>43</v>
      </c>
      <c r="BU934" s="234">
        <f t="shared" si="907"/>
        <v>3.5018750000000001</v>
      </c>
      <c r="BV934" s="234" cm="1">
        <f t="array" ref="BV934">$BM934 * IF($AH934&lt;=2,
SUMPRODUCT(INDEX($AV$71:$AX$75,,$AI934), INDEX($AY$71:$BE$75,,$AH934), 1 / ($BF$71:$BF$75*BU934 + (1-$BF$71:$BF$75)*BQ934), N($AU$71:$AU$75&gt;$AM934)),
SUMPRODUCT(INDEX($AV$66:$AX$75,,$AI934), INDEX($AY$66:$BE$75,,$AH934), 1 / ($BG$66:$BG$75*BU934 + (1-$BG$66:$BG$75)*BQ934), N($AU$66:$AU$75&gt;$AM934))
) / 1000</f>
        <v>0</v>
      </c>
      <c r="BW934" s="231">
        <f t="shared" si="931"/>
        <v>25</v>
      </c>
      <c r="BX934" s="229">
        <f t="shared" si="908"/>
        <v>38</v>
      </c>
      <c r="BY934" s="234">
        <f t="shared" si="909"/>
        <v>4.0666935483870965</v>
      </c>
      <c r="BZ934" s="234" cm="1">
        <f t="array" ref="BZ934">$BM934 * IF($AH934&lt;=2,
SUMPRODUCT(INDEX($AV$66:$AX$70,,$AI934), INDEX($AY$66:$BE$70,,$AH934), 1 / ($BF$66:$BF$70*BY934 + (1-$BF$66:$BF$70)*BU934), N($AU$66:$AU$70&gt;$AM934)),
SUMPRODUCT(INDEX($AV$56:$AX$65,,$AI934), INDEX($AY$56:$BE$65,,$AH934), 1 / ($BG$56:$BG$65*BY934 + (1-$BG$56:$BG$65)*BU934), N($AU$56:$AU$65&gt;$AM934))
) / 1000</f>
        <v>0</v>
      </c>
      <c r="CA934" s="231">
        <f t="shared" si="932"/>
        <v>20</v>
      </c>
      <c r="CB934" s="229">
        <f t="shared" si="910"/>
        <v>33</v>
      </c>
      <c r="CC934" s="234">
        <f t="shared" si="911"/>
        <v>4.8487499999999999</v>
      </c>
      <c r="CD934" s="234" cm="1">
        <f t="array" ref="CD934">$BM934 * IF($AH934&lt;=2,
SUMPRODUCT(INDEX($AV$61:$AX$65,,$AI934), INDEX($AY$61:$BE$65,,$AH934), 1 / ($BF$61:$BF$65*CC934 + (1-$BF$61:$BF$65)*BY934), N($AU$61:$AU$65&gt;$AM934)),
SUMPRODUCT(INDEX($AV$46:$AX$55,,$AI934), INDEX($AY$46:$BE$55,,$AH934), 1 / ($BG$46:$BG$55*CC934 + (1-$BG$46:$BG$55)*BY934), N($AU$46:$AU$55&gt;$AM934))
) / 1000</f>
        <v>0</v>
      </c>
      <c r="CE934" s="234" cm="1">
        <f t="array" ref="CE934">$BM934 * IF($AH934&lt;=2,
SUMPRODUCT(INDEX($AV$22:$AX$60,,$AI934), INDEX($AY$22:$BE$60,,$AH934), 1 / ($BF$22:$BF$60*CC934), N($AU$22:$AU$60&gt;$AM934)),
SUMPRODUCT(INDEX($AV$22:$AX$45,,$AI934), INDEX($AY$22:$BE$45,,$AH934), 1 / ($BG$22:$BG$45*CC934), N($AU$22:$AU$45&gt;$AM934))
) / 1000</f>
        <v>0</v>
      </c>
      <c r="CF934" s="229">
        <f t="shared" si="912"/>
        <v>0</v>
      </c>
      <c r="CG934" s="246"/>
      <c r="CH934" s="229">
        <f t="shared" si="913"/>
        <v>0</v>
      </c>
      <c r="CI934" s="228">
        <v>35</v>
      </c>
      <c r="CJ934" s="229">
        <f t="shared" si="914"/>
        <v>48</v>
      </c>
      <c r="CK934" s="234">
        <f t="shared" si="915"/>
        <v>3.0748170731707316</v>
      </c>
      <c r="CL934" s="234" cm="1">
        <f t="array" ref="CL934">$BM934 * SUMPRODUCT(INDEX($AV$76:$AX$81,,$AI934),INDEX($AY$76:$BE$81,,$AH934), N($AU$76:$AU$81&gt;$AM934)) / CK934 / 1000</f>
        <v>0</v>
      </c>
      <c r="CM934" s="231">
        <f t="shared" si="933"/>
        <v>30</v>
      </c>
      <c r="CN934" s="229">
        <f t="shared" si="916"/>
        <v>43</v>
      </c>
      <c r="CO934" s="234">
        <f t="shared" si="917"/>
        <v>3.5018750000000001</v>
      </c>
      <c r="CP934" s="234" cm="1">
        <f t="array" ref="CP934">$BM934 * IF($AH934&lt;=2,
SUMPRODUCT(INDEX($AV$71:$AX$75,,$AI934), INDEX($AY$71:$BE$75,,$AH934), 1 / ($BF$71:$BF$75*CO934 + (1-$BF$71:$BF$75)*CK934), N($AU$71:$AU$75&gt;$AM934)),
SUMPRODUCT(INDEX($AV$66:$AX$75,,$AI934), INDEX($AY$66:$BE$75,,$AH934), 1 / ($BG$66:$BG$75*CO934 + (1-$BG$66:$BG$75)*CK934), N($AU$66:$AU$75&gt;$AM934))
) / 1000</f>
        <v>0</v>
      </c>
      <c r="CQ934" s="231">
        <f t="shared" si="934"/>
        <v>25</v>
      </c>
      <c r="CR934" s="229">
        <f t="shared" si="918"/>
        <v>38</v>
      </c>
      <c r="CS934" s="234">
        <f t="shared" si="919"/>
        <v>4.0666935483870965</v>
      </c>
      <c r="CT934" s="234" cm="1">
        <f t="array" ref="CT934">$BM934 * IF($AH934&lt;=2,
SUMPRODUCT(INDEX($AV$66:$AX$70,,$AI934), INDEX($AY$66:$BE$70,,$AH934), 1 / ($BF$66:$BF$70*CS934 + (1-$BF$66:$BF$70)*CO934), N($AU$66:$AU$70&gt;$AM934)),
SUMPRODUCT(INDEX($AV$56:$AX$65,,$AI934), INDEX($AY$56:$BE$65,,$AH934), 1 / ($BG$56:$BG$65*CS934 + (1-$BG$56:$BG$65)*CO934), N($AU$56:$AU$65&gt;$AM934))
) / 1000</f>
        <v>0</v>
      </c>
      <c r="CU934" s="231">
        <f t="shared" si="935"/>
        <v>20</v>
      </c>
      <c r="CV934" s="229">
        <f t="shared" si="920"/>
        <v>33</v>
      </c>
      <c r="CW934" s="234">
        <f t="shared" si="921"/>
        <v>4.8487499999999999</v>
      </c>
      <c r="CX934" s="234" cm="1">
        <f t="array" ref="CX934">$BM934 * IF($AH934&lt;=2,
SUMPRODUCT(INDEX($AV$61:$AX$65,,$AI934), INDEX($AY$61:$BE$65,,$AH934), 1 / ($BF$61:$BF$65*CW934 + (1-$BF$61:$BF$65)*CS934), N($AU$61:$AU$65&gt;$AM934)),
SUMPRODUCT(INDEX($AV$46:$AX$55,,$AI934), INDEX($AY$46:$BE$55,,$AH934), 1 / ($BG$46:$BG$55*CW934 + (1-$BG$46:$BG$55)*CS934), N($AU$46:$AU$55&gt;$AM934))
) / 1000</f>
        <v>0</v>
      </c>
      <c r="CY934" s="234" cm="1">
        <f t="array" ref="CY934">$BM934 * IF($AH934&lt;=2,
SUMPRODUCT(INDEX($AV$22:$AX$60,,$AI934), INDEX($AY$22:$BE$60,,$AH934), 1 / ($BF$22:$BF$60*CW934), N($AU$22:$AU$60&gt;$AM934)),
SUMPRODUCT(INDEX($AV$22:$AX$45,,$AI934), INDEX($AY$22:$BE$45,,$AH934), 1 / ($BG$22:$BG$45*CW934), N($AU$22:$AU$45&gt;$AM934))
) / 1000</f>
        <v>0</v>
      </c>
      <c r="CZ934" s="229">
        <f t="shared" si="922"/>
        <v>0</v>
      </c>
      <c r="DA934" s="246"/>
    </row>
    <row r="935" spans="1:105" s="75" customFormat="1" ht="14.25" customHeight="1" x14ac:dyDescent="0.2">
      <c r="A935" s="230" t="b">
        <f t="shared" si="927"/>
        <v>0</v>
      </c>
      <c r="B935" s="253">
        <v>914</v>
      </c>
      <c r="C935" s="266"/>
      <c r="D935" s="266"/>
      <c r="E935" s="254"/>
      <c r="F935" s="255" t="str">
        <f>IF(ISBLANK(E935), "", VLOOKUP(E935, Z!$A$2:$C$4127, 3, FALSE))</f>
        <v/>
      </c>
      <c r="G935" s="256"/>
      <c r="H935" s="256"/>
      <c r="I935" s="256"/>
      <c r="J935" s="257"/>
      <c r="K935" s="258"/>
      <c r="L935" s="267"/>
      <c r="M935" s="268"/>
      <c r="N935" s="259" t="str" cm="1">
        <f t="array" ref="N935">IF($L935&gt;0, INDEX(Clean,1+AK935,$D$1), "")</f>
        <v/>
      </c>
      <c r="O935" s="260"/>
      <c r="P935" s="260"/>
      <c r="Q935" s="261"/>
      <c r="R935" s="264">
        <f t="shared" si="898"/>
        <v>0</v>
      </c>
      <c r="S935" s="259" t="str" cm="1">
        <f t="array" ref="S935">IF($L935&gt;0, INDEX(Clean,1+AL935,$D$1), "")</f>
        <v/>
      </c>
      <c r="T935" s="260"/>
      <c r="U935" s="260"/>
      <c r="V935" s="261"/>
      <c r="W935" s="267"/>
      <c r="X935" s="267"/>
      <c r="Y935" s="257"/>
      <c r="Z935" s="264">
        <f t="shared" si="899"/>
        <v>0</v>
      </c>
      <c r="AA935" s="269"/>
      <c r="AB935" s="266"/>
      <c r="AC935" s="254"/>
      <c r="AD935" s="255" t="str">
        <f>IF(ISBLANK(AC935), "", VLOOKUP(AC935, Z!$A$2:$C$4127, 3, FALSE))</f>
        <v/>
      </c>
      <c r="AE935" s="270"/>
      <c r="AF935" s="265">
        <f t="shared" si="900"/>
        <v>0</v>
      </c>
      <c r="AG935" s="246"/>
      <c r="AH935" s="228">
        <f t="shared" si="923"/>
        <v>1</v>
      </c>
      <c r="AI935" s="228">
        <f t="shared" si="924"/>
        <v>1</v>
      </c>
      <c r="AJ935" s="228">
        <f t="shared" si="925"/>
        <v>0</v>
      </c>
      <c r="AK935" s="228">
        <v>0</v>
      </c>
      <c r="AL935" s="228">
        <v>0</v>
      </c>
      <c r="AM935" s="228">
        <f t="shared" si="901"/>
        <v>-100</v>
      </c>
      <c r="AN935" s="228" cm="1">
        <f t="array" ref="AN935">IF(ISBLANK(G935), 1, IFERROR(MATCH(G935, INDEX(Kat,,1), 0), IFERROR(MATCH(Kat, INDEX(Use,,2), 0), MATCH(Kat, INDEX(Use,,3), 0))))</f>
        <v>1</v>
      </c>
      <c r="AO935" s="246"/>
      <c r="AP935" s="228" cm="1">
        <f t="array" ref="AP935">IF(W935&gt;0, INDEX(Kat, AN935,4), 0)</f>
        <v>0</v>
      </c>
      <c r="AQ935" s="228">
        <f t="shared" si="926"/>
        <v>0</v>
      </c>
      <c r="AR935" s="228" cm="1">
        <f t="array" ref="AR935">IF(X935&gt;0, INDEX(Kat, $AN935, 4+AQ935), 0)</f>
        <v>0</v>
      </c>
      <c r="AS935" s="228" cm="1">
        <f t="array" ref="AS935">IF(X935&gt;0, INDEX(Kat, $AN935, 9+AQ935), 0)</f>
        <v>0</v>
      </c>
      <c r="AT935" s="246"/>
      <c r="AU935" s="262"/>
      <c r="AV935" s="262"/>
      <c r="AW935" s="263"/>
      <c r="AX935" s="263"/>
      <c r="AY935" s="263"/>
      <c r="AZ935" s="263"/>
      <c r="BA935" s="263"/>
      <c r="BB935" s="263"/>
      <c r="BC935" s="263"/>
      <c r="BD935" s="263"/>
      <c r="BE935" s="263"/>
      <c r="BF935" s="263"/>
      <c r="BG935" s="263"/>
      <c r="BH935" s="246"/>
      <c r="BI935" s="228" cm="1">
        <f t="array" ref="BI935">INDEX(Use, $AH935, 4)</f>
        <v>7</v>
      </c>
      <c r="BJ935" s="228">
        <f t="shared" si="902"/>
        <v>32</v>
      </c>
      <c r="BK935" s="228">
        <f t="shared" si="928"/>
        <v>13</v>
      </c>
      <c r="BL935" s="228">
        <f t="shared" si="929"/>
        <v>0</v>
      </c>
      <c r="BM935" s="233" cm="1">
        <f t="array" ref="BM935">L935/IF($M935&gt;0, INDEX($AY$22:$BE$76, $M935+20, $AH935), 1)</f>
        <v>0</v>
      </c>
      <c r="BN935" s="229">
        <f t="shared" si="903"/>
        <v>0</v>
      </c>
      <c r="BO935" s="228">
        <v>35</v>
      </c>
      <c r="BP935" s="229">
        <f t="shared" si="904"/>
        <v>48</v>
      </c>
      <c r="BQ935" s="234">
        <f t="shared" si="905"/>
        <v>3.0748170731707316</v>
      </c>
      <c r="BR935" s="234" cm="1">
        <f t="array" ref="BR935">$BM935 * SUMPRODUCT(INDEX($AV$76:$AX$81,,$AI935),INDEX($AY$76:$BE$81,,$AH935), N($AU$76:$AU$81&gt;$AM935)) / BQ935 / 1000</f>
        <v>0</v>
      </c>
      <c r="BS935" s="231">
        <f t="shared" si="930"/>
        <v>30</v>
      </c>
      <c r="BT935" s="229">
        <f t="shared" si="906"/>
        <v>43</v>
      </c>
      <c r="BU935" s="234">
        <f t="shared" si="907"/>
        <v>3.5018750000000001</v>
      </c>
      <c r="BV935" s="234" cm="1">
        <f t="array" ref="BV935">$BM935 * IF($AH935&lt;=2,
SUMPRODUCT(INDEX($AV$71:$AX$75,,$AI935), INDEX($AY$71:$BE$75,,$AH935), 1 / ($BF$71:$BF$75*BU935 + (1-$BF$71:$BF$75)*BQ935), N($AU$71:$AU$75&gt;$AM935)),
SUMPRODUCT(INDEX($AV$66:$AX$75,,$AI935), INDEX($AY$66:$BE$75,,$AH935), 1 / ($BG$66:$BG$75*BU935 + (1-$BG$66:$BG$75)*BQ935), N($AU$66:$AU$75&gt;$AM935))
) / 1000</f>
        <v>0</v>
      </c>
      <c r="BW935" s="231">
        <f t="shared" si="931"/>
        <v>25</v>
      </c>
      <c r="BX935" s="229">
        <f t="shared" si="908"/>
        <v>38</v>
      </c>
      <c r="BY935" s="234">
        <f t="shared" si="909"/>
        <v>4.0666935483870965</v>
      </c>
      <c r="BZ935" s="234" cm="1">
        <f t="array" ref="BZ935">$BM935 * IF($AH935&lt;=2,
SUMPRODUCT(INDEX($AV$66:$AX$70,,$AI935), INDEX($AY$66:$BE$70,,$AH935), 1 / ($BF$66:$BF$70*BY935 + (1-$BF$66:$BF$70)*BU935), N($AU$66:$AU$70&gt;$AM935)),
SUMPRODUCT(INDEX($AV$56:$AX$65,,$AI935), INDEX($AY$56:$BE$65,,$AH935), 1 / ($BG$56:$BG$65*BY935 + (1-$BG$56:$BG$65)*BU935), N($AU$56:$AU$65&gt;$AM935))
) / 1000</f>
        <v>0</v>
      </c>
      <c r="CA935" s="231">
        <f t="shared" si="932"/>
        <v>20</v>
      </c>
      <c r="CB935" s="229">
        <f t="shared" si="910"/>
        <v>33</v>
      </c>
      <c r="CC935" s="234">
        <f t="shared" si="911"/>
        <v>4.8487499999999999</v>
      </c>
      <c r="CD935" s="234" cm="1">
        <f t="array" ref="CD935">$BM935 * IF($AH935&lt;=2,
SUMPRODUCT(INDEX($AV$61:$AX$65,,$AI935), INDEX($AY$61:$BE$65,,$AH935), 1 / ($BF$61:$BF$65*CC935 + (1-$BF$61:$BF$65)*BY935), N($AU$61:$AU$65&gt;$AM935)),
SUMPRODUCT(INDEX($AV$46:$AX$55,,$AI935), INDEX($AY$46:$BE$55,,$AH935), 1 / ($BG$46:$BG$55*CC935 + (1-$BG$46:$BG$55)*BY935), N($AU$46:$AU$55&gt;$AM935))
) / 1000</f>
        <v>0</v>
      </c>
      <c r="CE935" s="234" cm="1">
        <f t="array" ref="CE935">$BM935 * IF($AH935&lt;=2,
SUMPRODUCT(INDEX($AV$22:$AX$60,,$AI935), INDEX($AY$22:$BE$60,,$AH935), 1 / ($BF$22:$BF$60*CC935), N($AU$22:$AU$60&gt;$AM935)),
SUMPRODUCT(INDEX($AV$22:$AX$45,,$AI935), INDEX($AY$22:$BE$45,,$AH935), 1 / ($BG$22:$BG$45*CC935), N($AU$22:$AU$45&gt;$AM935))
) / 1000</f>
        <v>0</v>
      </c>
      <c r="CF935" s="229">
        <f t="shared" si="912"/>
        <v>0</v>
      </c>
      <c r="CG935" s="246"/>
      <c r="CH935" s="229">
        <f t="shared" si="913"/>
        <v>0</v>
      </c>
      <c r="CI935" s="228">
        <v>35</v>
      </c>
      <c r="CJ935" s="229">
        <f t="shared" si="914"/>
        <v>48</v>
      </c>
      <c r="CK935" s="234">
        <f t="shared" si="915"/>
        <v>3.0748170731707316</v>
      </c>
      <c r="CL935" s="234" cm="1">
        <f t="array" ref="CL935">$BM935 * SUMPRODUCT(INDEX($AV$76:$AX$81,,$AI935),INDEX($AY$76:$BE$81,,$AH935), N($AU$76:$AU$81&gt;$AM935)) / CK935 / 1000</f>
        <v>0</v>
      </c>
      <c r="CM935" s="231">
        <f t="shared" si="933"/>
        <v>30</v>
      </c>
      <c r="CN935" s="229">
        <f t="shared" si="916"/>
        <v>43</v>
      </c>
      <c r="CO935" s="234">
        <f t="shared" si="917"/>
        <v>3.5018750000000001</v>
      </c>
      <c r="CP935" s="234" cm="1">
        <f t="array" ref="CP935">$BM935 * IF($AH935&lt;=2,
SUMPRODUCT(INDEX($AV$71:$AX$75,,$AI935), INDEX($AY$71:$BE$75,,$AH935), 1 / ($BF$71:$BF$75*CO935 + (1-$BF$71:$BF$75)*CK935), N($AU$71:$AU$75&gt;$AM935)),
SUMPRODUCT(INDEX($AV$66:$AX$75,,$AI935), INDEX($AY$66:$BE$75,,$AH935), 1 / ($BG$66:$BG$75*CO935 + (1-$BG$66:$BG$75)*CK935), N($AU$66:$AU$75&gt;$AM935))
) / 1000</f>
        <v>0</v>
      </c>
      <c r="CQ935" s="231">
        <f t="shared" si="934"/>
        <v>25</v>
      </c>
      <c r="CR935" s="229">
        <f t="shared" si="918"/>
        <v>38</v>
      </c>
      <c r="CS935" s="234">
        <f t="shared" si="919"/>
        <v>4.0666935483870965</v>
      </c>
      <c r="CT935" s="234" cm="1">
        <f t="array" ref="CT935">$BM935 * IF($AH935&lt;=2,
SUMPRODUCT(INDEX($AV$66:$AX$70,,$AI935), INDEX($AY$66:$BE$70,,$AH935), 1 / ($BF$66:$BF$70*CS935 + (1-$BF$66:$BF$70)*CO935), N($AU$66:$AU$70&gt;$AM935)),
SUMPRODUCT(INDEX($AV$56:$AX$65,,$AI935), INDEX($AY$56:$BE$65,,$AH935), 1 / ($BG$56:$BG$65*CS935 + (1-$BG$56:$BG$65)*CO935), N($AU$56:$AU$65&gt;$AM935))
) / 1000</f>
        <v>0</v>
      </c>
      <c r="CU935" s="231">
        <f t="shared" si="935"/>
        <v>20</v>
      </c>
      <c r="CV935" s="229">
        <f t="shared" si="920"/>
        <v>33</v>
      </c>
      <c r="CW935" s="234">
        <f t="shared" si="921"/>
        <v>4.8487499999999999</v>
      </c>
      <c r="CX935" s="234" cm="1">
        <f t="array" ref="CX935">$BM935 * IF($AH935&lt;=2,
SUMPRODUCT(INDEX($AV$61:$AX$65,,$AI935), INDEX($AY$61:$BE$65,,$AH935), 1 / ($BF$61:$BF$65*CW935 + (1-$BF$61:$BF$65)*CS935), N($AU$61:$AU$65&gt;$AM935)),
SUMPRODUCT(INDEX($AV$46:$AX$55,,$AI935), INDEX($AY$46:$BE$55,,$AH935), 1 / ($BG$46:$BG$55*CW935 + (1-$BG$46:$BG$55)*CS935), N($AU$46:$AU$55&gt;$AM935))
) / 1000</f>
        <v>0</v>
      </c>
      <c r="CY935" s="234" cm="1">
        <f t="array" ref="CY935">$BM935 * IF($AH935&lt;=2,
SUMPRODUCT(INDEX($AV$22:$AX$60,,$AI935), INDEX($AY$22:$BE$60,,$AH935), 1 / ($BF$22:$BF$60*CW935), N($AU$22:$AU$60&gt;$AM935)),
SUMPRODUCT(INDEX($AV$22:$AX$45,,$AI935), INDEX($AY$22:$BE$45,,$AH935), 1 / ($BG$22:$BG$45*CW935), N($AU$22:$AU$45&gt;$AM935))
) / 1000</f>
        <v>0</v>
      </c>
      <c r="CZ935" s="229">
        <f t="shared" si="922"/>
        <v>0</v>
      </c>
      <c r="DA935" s="246"/>
    </row>
    <row r="936" spans="1:105" s="75" customFormat="1" ht="14.25" customHeight="1" x14ac:dyDescent="0.2">
      <c r="A936" s="230" t="b">
        <f t="shared" si="927"/>
        <v>0</v>
      </c>
      <c r="B936" s="253">
        <v>915</v>
      </c>
      <c r="C936" s="266"/>
      <c r="D936" s="266"/>
      <c r="E936" s="254"/>
      <c r="F936" s="255" t="str">
        <f>IF(ISBLANK(E936), "", VLOOKUP(E936, Z!$A$2:$C$4127, 3, FALSE))</f>
        <v/>
      </c>
      <c r="G936" s="256"/>
      <c r="H936" s="256"/>
      <c r="I936" s="256"/>
      <c r="J936" s="257"/>
      <c r="K936" s="258"/>
      <c r="L936" s="267"/>
      <c r="M936" s="268"/>
      <c r="N936" s="259" t="str" cm="1">
        <f t="array" ref="N936">IF($L936&gt;0, INDEX(Clean,1+AK936,$D$1), "")</f>
        <v/>
      </c>
      <c r="O936" s="260"/>
      <c r="P936" s="260"/>
      <c r="Q936" s="261"/>
      <c r="R936" s="264">
        <f t="shared" si="898"/>
        <v>0</v>
      </c>
      <c r="S936" s="259" t="str" cm="1">
        <f t="array" ref="S936">IF($L936&gt;0, INDEX(Clean,1+AL936,$D$1), "")</f>
        <v/>
      </c>
      <c r="T936" s="260"/>
      <c r="U936" s="260"/>
      <c r="V936" s="261"/>
      <c r="W936" s="267"/>
      <c r="X936" s="267"/>
      <c r="Y936" s="257"/>
      <c r="Z936" s="264">
        <f t="shared" si="899"/>
        <v>0</v>
      </c>
      <c r="AA936" s="269"/>
      <c r="AB936" s="266"/>
      <c r="AC936" s="254"/>
      <c r="AD936" s="255" t="str">
        <f>IF(ISBLANK(AC936), "", VLOOKUP(AC936, Z!$A$2:$C$4127, 3, FALSE))</f>
        <v/>
      </c>
      <c r="AE936" s="270"/>
      <c r="AF936" s="265">
        <f t="shared" si="900"/>
        <v>0</v>
      </c>
      <c r="AG936" s="246"/>
      <c r="AH936" s="228">
        <f t="shared" si="923"/>
        <v>1</v>
      </c>
      <c r="AI936" s="228">
        <f t="shared" si="924"/>
        <v>1</v>
      </c>
      <c r="AJ936" s="228">
        <f t="shared" si="925"/>
        <v>0</v>
      </c>
      <c r="AK936" s="228">
        <v>0</v>
      </c>
      <c r="AL936" s="228">
        <v>0</v>
      </c>
      <c r="AM936" s="228">
        <f t="shared" si="901"/>
        <v>-100</v>
      </c>
      <c r="AN936" s="228" cm="1">
        <f t="array" ref="AN936">IF(ISBLANK(G936), 1, IFERROR(MATCH(G936, INDEX(Kat,,1), 0), IFERROR(MATCH(Kat, INDEX(Use,,2), 0), MATCH(Kat, INDEX(Use,,3), 0))))</f>
        <v>1</v>
      </c>
      <c r="AO936" s="246"/>
      <c r="AP936" s="228" cm="1">
        <f t="array" ref="AP936">IF(W936&gt;0, INDEX(Kat, AN936,4), 0)</f>
        <v>0</v>
      </c>
      <c r="AQ936" s="228">
        <f t="shared" si="926"/>
        <v>0</v>
      </c>
      <c r="AR936" s="228" cm="1">
        <f t="array" ref="AR936">IF(X936&gt;0, INDEX(Kat, $AN936, 4+AQ936), 0)</f>
        <v>0</v>
      </c>
      <c r="AS936" s="228" cm="1">
        <f t="array" ref="AS936">IF(X936&gt;0, INDEX(Kat, $AN936, 9+AQ936), 0)</f>
        <v>0</v>
      </c>
      <c r="AT936" s="246"/>
      <c r="AU936" s="262"/>
      <c r="AV936" s="262"/>
      <c r="AW936" s="263"/>
      <c r="AX936" s="263"/>
      <c r="AY936" s="263"/>
      <c r="AZ936" s="263"/>
      <c r="BA936" s="263"/>
      <c r="BB936" s="263"/>
      <c r="BC936" s="263"/>
      <c r="BD936" s="263"/>
      <c r="BE936" s="263"/>
      <c r="BF936" s="263"/>
      <c r="BG936" s="263"/>
      <c r="BH936" s="246"/>
      <c r="BI936" s="228" cm="1">
        <f t="array" ref="BI936">INDEX(Use, $AH936, 4)</f>
        <v>7</v>
      </c>
      <c r="BJ936" s="228">
        <f t="shared" si="902"/>
        <v>32</v>
      </c>
      <c r="BK936" s="228">
        <f t="shared" si="928"/>
        <v>13</v>
      </c>
      <c r="BL936" s="228">
        <f t="shared" si="929"/>
        <v>0</v>
      </c>
      <c r="BM936" s="233" cm="1">
        <f t="array" ref="BM936">L936/IF($M936&gt;0, INDEX($AY$22:$BE$76, $M936+20, $AH936), 1)</f>
        <v>0</v>
      </c>
      <c r="BN936" s="229">
        <f t="shared" si="903"/>
        <v>0</v>
      </c>
      <c r="BO936" s="228">
        <v>35</v>
      </c>
      <c r="BP936" s="229">
        <f t="shared" si="904"/>
        <v>48</v>
      </c>
      <c r="BQ936" s="234">
        <f t="shared" si="905"/>
        <v>3.0748170731707316</v>
      </c>
      <c r="BR936" s="234" cm="1">
        <f t="array" ref="BR936">$BM936 * SUMPRODUCT(INDEX($AV$76:$AX$81,,$AI936),INDEX($AY$76:$BE$81,,$AH936), N($AU$76:$AU$81&gt;$AM936)) / BQ936 / 1000</f>
        <v>0</v>
      </c>
      <c r="BS936" s="231">
        <f t="shared" si="930"/>
        <v>30</v>
      </c>
      <c r="BT936" s="229">
        <f t="shared" si="906"/>
        <v>43</v>
      </c>
      <c r="BU936" s="234">
        <f t="shared" si="907"/>
        <v>3.5018750000000001</v>
      </c>
      <c r="BV936" s="234" cm="1">
        <f t="array" ref="BV936">$BM936 * IF($AH936&lt;=2,
SUMPRODUCT(INDEX($AV$71:$AX$75,,$AI936), INDEX($AY$71:$BE$75,,$AH936), 1 / ($BF$71:$BF$75*BU936 + (1-$BF$71:$BF$75)*BQ936), N($AU$71:$AU$75&gt;$AM936)),
SUMPRODUCT(INDEX($AV$66:$AX$75,,$AI936), INDEX($AY$66:$BE$75,,$AH936), 1 / ($BG$66:$BG$75*BU936 + (1-$BG$66:$BG$75)*BQ936), N($AU$66:$AU$75&gt;$AM936))
) / 1000</f>
        <v>0</v>
      </c>
      <c r="BW936" s="231">
        <f t="shared" si="931"/>
        <v>25</v>
      </c>
      <c r="BX936" s="229">
        <f t="shared" si="908"/>
        <v>38</v>
      </c>
      <c r="BY936" s="234">
        <f t="shared" si="909"/>
        <v>4.0666935483870965</v>
      </c>
      <c r="BZ936" s="234" cm="1">
        <f t="array" ref="BZ936">$BM936 * IF($AH936&lt;=2,
SUMPRODUCT(INDEX($AV$66:$AX$70,,$AI936), INDEX($AY$66:$BE$70,,$AH936), 1 / ($BF$66:$BF$70*BY936 + (1-$BF$66:$BF$70)*BU936), N($AU$66:$AU$70&gt;$AM936)),
SUMPRODUCT(INDEX($AV$56:$AX$65,,$AI936), INDEX($AY$56:$BE$65,,$AH936), 1 / ($BG$56:$BG$65*BY936 + (1-$BG$56:$BG$65)*BU936), N($AU$56:$AU$65&gt;$AM936))
) / 1000</f>
        <v>0</v>
      </c>
      <c r="CA936" s="231">
        <f t="shared" si="932"/>
        <v>20</v>
      </c>
      <c r="CB936" s="229">
        <f t="shared" si="910"/>
        <v>33</v>
      </c>
      <c r="CC936" s="234">
        <f t="shared" si="911"/>
        <v>4.8487499999999999</v>
      </c>
      <c r="CD936" s="234" cm="1">
        <f t="array" ref="CD936">$BM936 * IF($AH936&lt;=2,
SUMPRODUCT(INDEX($AV$61:$AX$65,,$AI936), INDEX($AY$61:$BE$65,,$AH936), 1 / ($BF$61:$BF$65*CC936 + (1-$BF$61:$BF$65)*BY936), N($AU$61:$AU$65&gt;$AM936)),
SUMPRODUCT(INDEX($AV$46:$AX$55,,$AI936), INDEX($AY$46:$BE$55,,$AH936), 1 / ($BG$46:$BG$55*CC936 + (1-$BG$46:$BG$55)*BY936), N($AU$46:$AU$55&gt;$AM936))
) / 1000</f>
        <v>0</v>
      </c>
      <c r="CE936" s="234" cm="1">
        <f t="array" ref="CE936">$BM936 * IF($AH936&lt;=2,
SUMPRODUCT(INDEX($AV$22:$AX$60,,$AI936), INDEX($AY$22:$BE$60,,$AH936), 1 / ($BF$22:$BF$60*CC936), N($AU$22:$AU$60&gt;$AM936)),
SUMPRODUCT(INDEX($AV$22:$AX$45,,$AI936), INDEX($AY$22:$BE$45,,$AH936), 1 / ($BG$22:$BG$45*CC936), N($AU$22:$AU$45&gt;$AM936))
) / 1000</f>
        <v>0</v>
      </c>
      <c r="CF936" s="229">
        <f t="shared" si="912"/>
        <v>0</v>
      </c>
      <c r="CG936" s="246"/>
      <c r="CH936" s="229">
        <f t="shared" si="913"/>
        <v>0</v>
      </c>
      <c r="CI936" s="228">
        <v>35</v>
      </c>
      <c r="CJ936" s="229">
        <f t="shared" si="914"/>
        <v>48</v>
      </c>
      <c r="CK936" s="234">
        <f t="shared" si="915"/>
        <v>3.0748170731707316</v>
      </c>
      <c r="CL936" s="234" cm="1">
        <f t="array" ref="CL936">$BM936 * SUMPRODUCT(INDEX($AV$76:$AX$81,,$AI936),INDEX($AY$76:$BE$81,,$AH936), N($AU$76:$AU$81&gt;$AM936)) / CK936 / 1000</f>
        <v>0</v>
      </c>
      <c r="CM936" s="231">
        <f t="shared" si="933"/>
        <v>30</v>
      </c>
      <c r="CN936" s="229">
        <f t="shared" si="916"/>
        <v>43</v>
      </c>
      <c r="CO936" s="234">
        <f t="shared" si="917"/>
        <v>3.5018750000000001</v>
      </c>
      <c r="CP936" s="234" cm="1">
        <f t="array" ref="CP936">$BM936 * IF($AH936&lt;=2,
SUMPRODUCT(INDEX($AV$71:$AX$75,,$AI936), INDEX($AY$71:$BE$75,,$AH936), 1 / ($BF$71:$BF$75*CO936 + (1-$BF$71:$BF$75)*CK936), N($AU$71:$AU$75&gt;$AM936)),
SUMPRODUCT(INDEX($AV$66:$AX$75,,$AI936), INDEX($AY$66:$BE$75,,$AH936), 1 / ($BG$66:$BG$75*CO936 + (1-$BG$66:$BG$75)*CK936), N($AU$66:$AU$75&gt;$AM936))
) / 1000</f>
        <v>0</v>
      </c>
      <c r="CQ936" s="231">
        <f t="shared" si="934"/>
        <v>25</v>
      </c>
      <c r="CR936" s="229">
        <f t="shared" si="918"/>
        <v>38</v>
      </c>
      <c r="CS936" s="234">
        <f t="shared" si="919"/>
        <v>4.0666935483870965</v>
      </c>
      <c r="CT936" s="234" cm="1">
        <f t="array" ref="CT936">$BM936 * IF($AH936&lt;=2,
SUMPRODUCT(INDEX($AV$66:$AX$70,,$AI936), INDEX($AY$66:$BE$70,,$AH936), 1 / ($BF$66:$BF$70*CS936 + (1-$BF$66:$BF$70)*CO936), N($AU$66:$AU$70&gt;$AM936)),
SUMPRODUCT(INDEX($AV$56:$AX$65,,$AI936), INDEX($AY$56:$BE$65,,$AH936), 1 / ($BG$56:$BG$65*CS936 + (1-$BG$56:$BG$65)*CO936), N($AU$56:$AU$65&gt;$AM936))
) / 1000</f>
        <v>0</v>
      </c>
      <c r="CU936" s="231">
        <f t="shared" si="935"/>
        <v>20</v>
      </c>
      <c r="CV936" s="229">
        <f t="shared" si="920"/>
        <v>33</v>
      </c>
      <c r="CW936" s="234">
        <f t="shared" si="921"/>
        <v>4.8487499999999999</v>
      </c>
      <c r="CX936" s="234" cm="1">
        <f t="array" ref="CX936">$BM936 * IF($AH936&lt;=2,
SUMPRODUCT(INDEX($AV$61:$AX$65,,$AI936), INDEX($AY$61:$BE$65,,$AH936), 1 / ($BF$61:$BF$65*CW936 + (1-$BF$61:$BF$65)*CS936), N($AU$61:$AU$65&gt;$AM936)),
SUMPRODUCT(INDEX($AV$46:$AX$55,,$AI936), INDEX($AY$46:$BE$55,,$AH936), 1 / ($BG$46:$BG$55*CW936 + (1-$BG$46:$BG$55)*CS936), N($AU$46:$AU$55&gt;$AM936))
) / 1000</f>
        <v>0</v>
      </c>
      <c r="CY936" s="234" cm="1">
        <f t="array" ref="CY936">$BM936 * IF($AH936&lt;=2,
SUMPRODUCT(INDEX($AV$22:$AX$60,,$AI936), INDEX($AY$22:$BE$60,,$AH936), 1 / ($BF$22:$BF$60*CW936), N($AU$22:$AU$60&gt;$AM936)),
SUMPRODUCT(INDEX($AV$22:$AX$45,,$AI936), INDEX($AY$22:$BE$45,,$AH936), 1 / ($BG$22:$BG$45*CW936), N($AU$22:$AU$45&gt;$AM936))
) / 1000</f>
        <v>0</v>
      </c>
      <c r="CZ936" s="229">
        <f t="shared" si="922"/>
        <v>0</v>
      </c>
      <c r="DA936" s="246"/>
    </row>
    <row r="937" spans="1:105" s="75" customFormat="1" ht="14.25" customHeight="1" x14ac:dyDescent="0.2">
      <c r="A937" s="230" t="b">
        <f t="shared" si="927"/>
        <v>0</v>
      </c>
      <c r="B937" s="253">
        <v>916</v>
      </c>
      <c r="C937" s="266"/>
      <c r="D937" s="266"/>
      <c r="E937" s="254"/>
      <c r="F937" s="255" t="str">
        <f>IF(ISBLANK(E937), "", VLOOKUP(E937, Z!$A$2:$C$4127, 3, FALSE))</f>
        <v/>
      </c>
      <c r="G937" s="256"/>
      <c r="H937" s="256"/>
      <c r="I937" s="256"/>
      <c r="J937" s="257"/>
      <c r="K937" s="258"/>
      <c r="L937" s="267"/>
      <c r="M937" s="268"/>
      <c r="N937" s="259" t="str" cm="1">
        <f t="array" ref="N937">IF($L937&gt;0, INDEX(Clean,1+AK937,$D$1), "")</f>
        <v/>
      </c>
      <c r="O937" s="260"/>
      <c r="P937" s="260"/>
      <c r="Q937" s="261"/>
      <c r="R937" s="264">
        <f t="shared" si="898"/>
        <v>0</v>
      </c>
      <c r="S937" s="259" t="str" cm="1">
        <f t="array" ref="S937">IF($L937&gt;0, INDEX(Clean,1+AL937,$D$1), "")</f>
        <v/>
      </c>
      <c r="T937" s="260"/>
      <c r="U937" s="260"/>
      <c r="V937" s="261"/>
      <c r="W937" s="267"/>
      <c r="X937" s="267"/>
      <c r="Y937" s="257"/>
      <c r="Z937" s="264">
        <f t="shared" si="899"/>
        <v>0</v>
      </c>
      <c r="AA937" s="269"/>
      <c r="AB937" s="266"/>
      <c r="AC937" s="254"/>
      <c r="AD937" s="255" t="str">
        <f>IF(ISBLANK(AC937), "", VLOOKUP(AC937, Z!$A$2:$C$4127, 3, FALSE))</f>
        <v/>
      </c>
      <c r="AE937" s="270"/>
      <c r="AF937" s="265">
        <f t="shared" si="900"/>
        <v>0</v>
      </c>
      <c r="AG937" s="246"/>
      <c r="AH937" s="228">
        <f t="shared" si="923"/>
        <v>1</v>
      </c>
      <c r="AI937" s="228">
        <f t="shared" si="924"/>
        <v>1</v>
      </c>
      <c r="AJ937" s="228">
        <f t="shared" si="925"/>
        <v>0</v>
      </c>
      <c r="AK937" s="228">
        <v>0</v>
      </c>
      <c r="AL937" s="228">
        <v>0</v>
      </c>
      <c r="AM937" s="228">
        <f t="shared" si="901"/>
        <v>-100</v>
      </c>
      <c r="AN937" s="228" cm="1">
        <f t="array" ref="AN937">IF(ISBLANK(G937), 1, IFERROR(MATCH(G937, INDEX(Kat,,1), 0), IFERROR(MATCH(Kat, INDEX(Use,,2), 0), MATCH(Kat, INDEX(Use,,3), 0))))</f>
        <v>1</v>
      </c>
      <c r="AO937" s="246"/>
      <c r="AP937" s="228" cm="1">
        <f t="array" ref="AP937">IF(W937&gt;0, INDEX(Kat, AN937,4), 0)</f>
        <v>0</v>
      </c>
      <c r="AQ937" s="228">
        <f t="shared" si="926"/>
        <v>0</v>
      </c>
      <c r="AR937" s="228" cm="1">
        <f t="array" ref="AR937">IF(X937&gt;0, INDEX(Kat, $AN937, 4+AQ937), 0)</f>
        <v>0</v>
      </c>
      <c r="AS937" s="228" cm="1">
        <f t="array" ref="AS937">IF(X937&gt;0, INDEX(Kat, $AN937, 9+AQ937), 0)</f>
        <v>0</v>
      </c>
      <c r="AT937" s="246"/>
      <c r="AU937" s="262"/>
      <c r="AV937" s="262"/>
      <c r="AW937" s="263"/>
      <c r="AX937" s="263"/>
      <c r="AY937" s="263"/>
      <c r="AZ937" s="263"/>
      <c r="BA937" s="263"/>
      <c r="BB937" s="263"/>
      <c r="BC937" s="263"/>
      <c r="BD937" s="263"/>
      <c r="BE937" s="263"/>
      <c r="BF937" s="263"/>
      <c r="BG937" s="263"/>
      <c r="BH937" s="246"/>
      <c r="BI937" s="228" cm="1">
        <f t="array" ref="BI937">INDEX(Use, $AH937, 4)</f>
        <v>7</v>
      </c>
      <c r="BJ937" s="228">
        <f t="shared" si="902"/>
        <v>32</v>
      </c>
      <c r="BK937" s="228">
        <f t="shared" si="928"/>
        <v>13</v>
      </c>
      <c r="BL937" s="228">
        <f t="shared" si="929"/>
        <v>0</v>
      </c>
      <c r="BM937" s="233" cm="1">
        <f t="array" ref="BM937">L937/IF($M937&gt;0, INDEX($AY$22:$BE$76, $M937+20, $AH937), 1)</f>
        <v>0</v>
      </c>
      <c r="BN937" s="229">
        <f t="shared" si="903"/>
        <v>0</v>
      </c>
      <c r="BO937" s="228">
        <v>35</v>
      </c>
      <c r="BP937" s="229">
        <f t="shared" si="904"/>
        <v>48</v>
      </c>
      <c r="BQ937" s="234">
        <f t="shared" si="905"/>
        <v>3.0748170731707316</v>
      </c>
      <c r="BR937" s="234" cm="1">
        <f t="array" ref="BR937">$BM937 * SUMPRODUCT(INDEX($AV$76:$AX$81,,$AI937),INDEX($AY$76:$BE$81,,$AH937), N($AU$76:$AU$81&gt;$AM937)) / BQ937 / 1000</f>
        <v>0</v>
      </c>
      <c r="BS937" s="231">
        <f t="shared" si="930"/>
        <v>30</v>
      </c>
      <c r="BT937" s="229">
        <f t="shared" si="906"/>
        <v>43</v>
      </c>
      <c r="BU937" s="234">
        <f t="shared" si="907"/>
        <v>3.5018750000000001</v>
      </c>
      <c r="BV937" s="234" cm="1">
        <f t="array" ref="BV937">$BM937 * IF($AH937&lt;=2,
SUMPRODUCT(INDEX($AV$71:$AX$75,,$AI937), INDEX($AY$71:$BE$75,,$AH937), 1 / ($BF$71:$BF$75*BU937 + (1-$BF$71:$BF$75)*BQ937), N($AU$71:$AU$75&gt;$AM937)),
SUMPRODUCT(INDEX($AV$66:$AX$75,,$AI937), INDEX($AY$66:$BE$75,,$AH937), 1 / ($BG$66:$BG$75*BU937 + (1-$BG$66:$BG$75)*BQ937), N($AU$66:$AU$75&gt;$AM937))
) / 1000</f>
        <v>0</v>
      </c>
      <c r="BW937" s="231">
        <f t="shared" si="931"/>
        <v>25</v>
      </c>
      <c r="BX937" s="229">
        <f t="shared" si="908"/>
        <v>38</v>
      </c>
      <c r="BY937" s="234">
        <f t="shared" si="909"/>
        <v>4.0666935483870965</v>
      </c>
      <c r="BZ937" s="234" cm="1">
        <f t="array" ref="BZ937">$BM937 * IF($AH937&lt;=2,
SUMPRODUCT(INDEX($AV$66:$AX$70,,$AI937), INDEX($AY$66:$BE$70,,$AH937), 1 / ($BF$66:$BF$70*BY937 + (1-$BF$66:$BF$70)*BU937), N($AU$66:$AU$70&gt;$AM937)),
SUMPRODUCT(INDEX($AV$56:$AX$65,,$AI937), INDEX($AY$56:$BE$65,,$AH937), 1 / ($BG$56:$BG$65*BY937 + (1-$BG$56:$BG$65)*BU937), N($AU$56:$AU$65&gt;$AM937))
) / 1000</f>
        <v>0</v>
      </c>
      <c r="CA937" s="231">
        <f t="shared" si="932"/>
        <v>20</v>
      </c>
      <c r="CB937" s="229">
        <f t="shared" si="910"/>
        <v>33</v>
      </c>
      <c r="CC937" s="234">
        <f t="shared" si="911"/>
        <v>4.8487499999999999</v>
      </c>
      <c r="CD937" s="234" cm="1">
        <f t="array" ref="CD937">$BM937 * IF($AH937&lt;=2,
SUMPRODUCT(INDEX($AV$61:$AX$65,,$AI937), INDEX($AY$61:$BE$65,,$AH937), 1 / ($BF$61:$BF$65*CC937 + (1-$BF$61:$BF$65)*BY937), N($AU$61:$AU$65&gt;$AM937)),
SUMPRODUCT(INDEX($AV$46:$AX$55,,$AI937), INDEX($AY$46:$BE$55,,$AH937), 1 / ($BG$46:$BG$55*CC937 + (1-$BG$46:$BG$55)*BY937), N($AU$46:$AU$55&gt;$AM937))
) / 1000</f>
        <v>0</v>
      </c>
      <c r="CE937" s="234" cm="1">
        <f t="array" ref="CE937">$BM937 * IF($AH937&lt;=2,
SUMPRODUCT(INDEX($AV$22:$AX$60,,$AI937), INDEX($AY$22:$BE$60,,$AH937), 1 / ($BF$22:$BF$60*CC937), N($AU$22:$AU$60&gt;$AM937)),
SUMPRODUCT(INDEX($AV$22:$AX$45,,$AI937), INDEX($AY$22:$BE$45,,$AH937), 1 / ($BG$22:$BG$45*CC937), N($AU$22:$AU$45&gt;$AM937))
) / 1000</f>
        <v>0</v>
      </c>
      <c r="CF937" s="229">
        <f t="shared" si="912"/>
        <v>0</v>
      </c>
      <c r="CG937" s="246"/>
      <c r="CH937" s="229">
        <f t="shared" si="913"/>
        <v>0</v>
      </c>
      <c r="CI937" s="228">
        <v>35</v>
      </c>
      <c r="CJ937" s="229">
        <f t="shared" si="914"/>
        <v>48</v>
      </c>
      <c r="CK937" s="234">
        <f t="shared" si="915"/>
        <v>3.0748170731707316</v>
      </c>
      <c r="CL937" s="234" cm="1">
        <f t="array" ref="CL937">$BM937 * SUMPRODUCT(INDEX($AV$76:$AX$81,,$AI937),INDEX($AY$76:$BE$81,,$AH937), N($AU$76:$AU$81&gt;$AM937)) / CK937 / 1000</f>
        <v>0</v>
      </c>
      <c r="CM937" s="231">
        <f t="shared" si="933"/>
        <v>30</v>
      </c>
      <c r="CN937" s="229">
        <f t="shared" si="916"/>
        <v>43</v>
      </c>
      <c r="CO937" s="234">
        <f t="shared" si="917"/>
        <v>3.5018750000000001</v>
      </c>
      <c r="CP937" s="234" cm="1">
        <f t="array" ref="CP937">$BM937 * IF($AH937&lt;=2,
SUMPRODUCT(INDEX($AV$71:$AX$75,,$AI937), INDEX($AY$71:$BE$75,,$AH937), 1 / ($BF$71:$BF$75*CO937 + (1-$BF$71:$BF$75)*CK937), N($AU$71:$AU$75&gt;$AM937)),
SUMPRODUCT(INDEX($AV$66:$AX$75,,$AI937), INDEX($AY$66:$BE$75,,$AH937), 1 / ($BG$66:$BG$75*CO937 + (1-$BG$66:$BG$75)*CK937), N($AU$66:$AU$75&gt;$AM937))
) / 1000</f>
        <v>0</v>
      </c>
      <c r="CQ937" s="231">
        <f t="shared" si="934"/>
        <v>25</v>
      </c>
      <c r="CR937" s="229">
        <f t="shared" si="918"/>
        <v>38</v>
      </c>
      <c r="CS937" s="234">
        <f t="shared" si="919"/>
        <v>4.0666935483870965</v>
      </c>
      <c r="CT937" s="234" cm="1">
        <f t="array" ref="CT937">$BM937 * IF($AH937&lt;=2,
SUMPRODUCT(INDEX($AV$66:$AX$70,,$AI937), INDEX($AY$66:$BE$70,,$AH937), 1 / ($BF$66:$BF$70*CS937 + (1-$BF$66:$BF$70)*CO937), N($AU$66:$AU$70&gt;$AM937)),
SUMPRODUCT(INDEX($AV$56:$AX$65,,$AI937), INDEX($AY$56:$BE$65,,$AH937), 1 / ($BG$56:$BG$65*CS937 + (1-$BG$56:$BG$65)*CO937), N($AU$56:$AU$65&gt;$AM937))
) / 1000</f>
        <v>0</v>
      </c>
      <c r="CU937" s="231">
        <f t="shared" si="935"/>
        <v>20</v>
      </c>
      <c r="CV937" s="229">
        <f t="shared" si="920"/>
        <v>33</v>
      </c>
      <c r="CW937" s="234">
        <f t="shared" si="921"/>
        <v>4.8487499999999999</v>
      </c>
      <c r="CX937" s="234" cm="1">
        <f t="array" ref="CX937">$BM937 * IF($AH937&lt;=2,
SUMPRODUCT(INDEX($AV$61:$AX$65,,$AI937), INDEX($AY$61:$BE$65,,$AH937), 1 / ($BF$61:$BF$65*CW937 + (1-$BF$61:$BF$65)*CS937), N($AU$61:$AU$65&gt;$AM937)),
SUMPRODUCT(INDEX($AV$46:$AX$55,,$AI937), INDEX($AY$46:$BE$55,,$AH937), 1 / ($BG$46:$BG$55*CW937 + (1-$BG$46:$BG$55)*CS937), N($AU$46:$AU$55&gt;$AM937))
) / 1000</f>
        <v>0</v>
      </c>
      <c r="CY937" s="234" cm="1">
        <f t="array" ref="CY937">$BM937 * IF($AH937&lt;=2,
SUMPRODUCT(INDEX($AV$22:$AX$60,,$AI937), INDEX($AY$22:$BE$60,,$AH937), 1 / ($BF$22:$BF$60*CW937), N($AU$22:$AU$60&gt;$AM937)),
SUMPRODUCT(INDEX($AV$22:$AX$45,,$AI937), INDEX($AY$22:$BE$45,,$AH937), 1 / ($BG$22:$BG$45*CW937), N($AU$22:$AU$45&gt;$AM937))
) / 1000</f>
        <v>0</v>
      </c>
      <c r="CZ937" s="229">
        <f t="shared" si="922"/>
        <v>0</v>
      </c>
      <c r="DA937" s="246"/>
    </row>
    <row r="938" spans="1:105" s="75" customFormat="1" ht="14.25" customHeight="1" x14ac:dyDescent="0.2">
      <c r="A938" s="230" t="b">
        <f t="shared" si="927"/>
        <v>0</v>
      </c>
      <c r="B938" s="253">
        <v>917</v>
      </c>
      <c r="C938" s="266"/>
      <c r="D938" s="266"/>
      <c r="E938" s="254"/>
      <c r="F938" s="255" t="str">
        <f>IF(ISBLANK(E938), "", VLOOKUP(E938, Z!$A$2:$C$4127, 3, FALSE))</f>
        <v/>
      </c>
      <c r="G938" s="256"/>
      <c r="H938" s="256"/>
      <c r="I938" s="256"/>
      <c r="J938" s="257"/>
      <c r="K938" s="258"/>
      <c r="L938" s="267"/>
      <c r="M938" s="268"/>
      <c r="N938" s="259" t="str" cm="1">
        <f t="array" ref="N938">IF($L938&gt;0, INDEX(Clean,1+AK938,$D$1), "")</f>
        <v/>
      </c>
      <c r="O938" s="260"/>
      <c r="P938" s="260"/>
      <c r="Q938" s="261"/>
      <c r="R938" s="264">
        <f t="shared" si="898"/>
        <v>0</v>
      </c>
      <c r="S938" s="259" t="str" cm="1">
        <f t="array" ref="S938">IF($L938&gt;0, INDEX(Clean,1+AL938,$D$1), "")</f>
        <v/>
      </c>
      <c r="T938" s="260"/>
      <c r="U938" s="260"/>
      <c r="V938" s="261"/>
      <c r="W938" s="267"/>
      <c r="X938" s="267"/>
      <c r="Y938" s="257"/>
      <c r="Z938" s="264">
        <f t="shared" si="899"/>
        <v>0</v>
      </c>
      <c r="AA938" s="269"/>
      <c r="AB938" s="266"/>
      <c r="AC938" s="254"/>
      <c r="AD938" s="255" t="str">
        <f>IF(ISBLANK(AC938), "", VLOOKUP(AC938, Z!$A$2:$C$4127, 3, FALSE))</f>
        <v/>
      </c>
      <c r="AE938" s="270"/>
      <c r="AF938" s="265">
        <f t="shared" si="900"/>
        <v>0</v>
      </c>
      <c r="AG938" s="246"/>
      <c r="AH938" s="228">
        <f t="shared" si="923"/>
        <v>1</v>
      </c>
      <c r="AI938" s="228">
        <f t="shared" si="924"/>
        <v>1</v>
      </c>
      <c r="AJ938" s="228">
        <f t="shared" si="925"/>
        <v>0</v>
      </c>
      <c r="AK938" s="228">
        <v>0</v>
      </c>
      <c r="AL938" s="228">
        <v>0</v>
      </c>
      <c r="AM938" s="228">
        <f t="shared" si="901"/>
        <v>-100</v>
      </c>
      <c r="AN938" s="228" cm="1">
        <f t="array" ref="AN938">IF(ISBLANK(G938), 1, IFERROR(MATCH(G938, INDEX(Kat,,1), 0), IFERROR(MATCH(Kat, INDEX(Use,,2), 0), MATCH(Kat, INDEX(Use,,3), 0))))</f>
        <v>1</v>
      </c>
      <c r="AO938" s="246"/>
      <c r="AP938" s="228" cm="1">
        <f t="array" ref="AP938">IF(W938&gt;0, INDEX(Kat, AN938,4), 0)</f>
        <v>0</v>
      </c>
      <c r="AQ938" s="228">
        <f t="shared" si="926"/>
        <v>0</v>
      </c>
      <c r="AR938" s="228" cm="1">
        <f t="array" ref="AR938">IF(X938&gt;0, INDEX(Kat, $AN938, 4+AQ938), 0)</f>
        <v>0</v>
      </c>
      <c r="AS938" s="228" cm="1">
        <f t="array" ref="AS938">IF(X938&gt;0, INDEX(Kat, $AN938, 9+AQ938), 0)</f>
        <v>0</v>
      </c>
      <c r="AT938" s="246"/>
      <c r="AU938" s="262"/>
      <c r="AV938" s="262"/>
      <c r="AW938" s="263"/>
      <c r="AX938" s="263"/>
      <c r="AY938" s="263"/>
      <c r="AZ938" s="263"/>
      <c r="BA938" s="263"/>
      <c r="BB938" s="263"/>
      <c r="BC938" s="263"/>
      <c r="BD938" s="263"/>
      <c r="BE938" s="263"/>
      <c r="BF938" s="263"/>
      <c r="BG938" s="263"/>
      <c r="BH938" s="246"/>
      <c r="BI938" s="228" cm="1">
        <f t="array" ref="BI938">INDEX(Use, $AH938, 4)</f>
        <v>7</v>
      </c>
      <c r="BJ938" s="228">
        <f t="shared" si="902"/>
        <v>32</v>
      </c>
      <c r="BK938" s="228">
        <f t="shared" si="928"/>
        <v>13</v>
      </c>
      <c r="BL938" s="228">
        <f t="shared" si="929"/>
        <v>0</v>
      </c>
      <c r="BM938" s="233" cm="1">
        <f t="array" ref="BM938">L938/IF($M938&gt;0, INDEX($AY$22:$BE$76, $M938+20, $AH938), 1)</f>
        <v>0</v>
      </c>
      <c r="BN938" s="229">
        <f t="shared" si="903"/>
        <v>0</v>
      </c>
      <c r="BO938" s="228">
        <v>35</v>
      </c>
      <c r="BP938" s="229">
        <f t="shared" si="904"/>
        <v>48</v>
      </c>
      <c r="BQ938" s="234">
        <f t="shared" si="905"/>
        <v>3.0748170731707316</v>
      </c>
      <c r="BR938" s="234" cm="1">
        <f t="array" ref="BR938">$BM938 * SUMPRODUCT(INDEX($AV$76:$AX$81,,$AI938),INDEX($AY$76:$BE$81,,$AH938), N($AU$76:$AU$81&gt;$AM938)) / BQ938 / 1000</f>
        <v>0</v>
      </c>
      <c r="BS938" s="231">
        <f t="shared" si="930"/>
        <v>30</v>
      </c>
      <c r="BT938" s="229">
        <f t="shared" si="906"/>
        <v>43</v>
      </c>
      <c r="BU938" s="234">
        <f t="shared" si="907"/>
        <v>3.5018750000000001</v>
      </c>
      <c r="BV938" s="234" cm="1">
        <f t="array" ref="BV938">$BM938 * IF($AH938&lt;=2,
SUMPRODUCT(INDEX($AV$71:$AX$75,,$AI938), INDEX($AY$71:$BE$75,,$AH938), 1 / ($BF$71:$BF$75*BU938 + (1-$BF$71:$BF$75)*BQ938), N($AU$71:$AU$75&gt;$AM938)),
SUMPRODUCT(INDEX($AV$66:$AX$75,,$AI938), INDEX($AY$66:$BE$75,,$AH938), 1 / ($BG$66:$BG$75*BU938 + (1-$BG$66:$BG$75)*BQ938), N($AU$66:$AU$75&gt;$AM938))
) / 1000</f>
        <v>0</v>
      </c>
      <c r="BW938" s="231">
        <f t="shared" si="931"/>
        <v>25</v>
      </c>
      <c r="BX938" s="229">
        <f t="shared" si="908"/>
        <v>38</v>
      </c>
      <c r="BY938" s="234">
        <f t="shared" si="909"/>
        <v>4.0666935483870965</v>
      </c>
      <c r="BZ938" s="234" cm="1">
        <f t="array" ref="BZ938">$BM938 * IF($AH938&lt;=2,
SUMPRODUCT(INDEX($AV$66:$AX$70,,$AI938), INDEX($AY$66:$BE$70,,$AH938), 1 / ($BF$66:$BF$70*BY938 + (1-$BF$66:$BF$70)*BU938), N($AU$66:$AU$70&gt;$AM938)),
SUMPRODUCT(INDEX($AV$56:$AX$65,,$AI938), INDEX($AY$56:$BE$65,,$AH938), 1 / ($BG$56:$BG$65*BY938 + (1-$BG$56:$BG$65)*BU938), N($AU$56:$AU$65&gt;$AM938))
) / 1000</f>
        <v>0</v>
      </c>
      <c r="CA938" s="231">
        <f t="shared" si="932"/>
        <v>20</v>
      </c>
      <c r="CB938" s="229">
        <f t="shared" si="910"/>
        <v>33</v>
      </c>
      <c r="CC938" s="234">
        <f t="shared" si="911"/>
        <v>4.8487499999999999</v>
      </c>
      <c r="CD938" s="234" cm="1">
        <f t="array" ref="CD938">$BM938 * IF($AH938&lt;=2,
SUMPRODUCT(INDEX($AV$61:$AX$65,,$AI938), INDEX($AY$61:$BE$65,,$AH938), 1 / ($BF$61:$BF$65*CC938 + (1-$BF$61:$BF$65)*BY938), N($AU$61:$AU$65&gt;$AM938)),
SUMPRODUCT(INDEX($AV$46:$AX$55,,$AI938), INDEX($AY$46:$BE$55,,$AH938), 1 / ($BG$46:$BG$55*CC938 + (1-$BG$46:$BG$55)*BY938), N($AU$46:$AU$55&gt;$AM938))
) / 1000</f>
        <v>0</v>
      </c>
      <c r="CE938" s="234" cm="1">
        <f t="array" ref="CE938">$BM938 * IF($AH938&lt;=2,
SUMPRODUCT(INDEX($AV$22:$AX$60,,$AI938), INDEX($AY$22:$BE$60,,$AH938), 1 / ($BF$22:$BF$60*CC938), N($AU$22:$AU$60&gt;$AM938)),
SUMPRODUCT(INDEX($AV$22:$AX$45,,$AI938), INDEX($AY$22:$BE$45,,$AH938), 1 / ($BG$22:$BG$45*CC938), N($AU$22:$AU$45&gt;$AM938))
) / 1000</f>
        <v>0</v>
      </c>
      <c r="CF938" s="229">
        <f t="shared" si="912"/>
        <v>0</v>
      </c>
      <c r="CG938" s="246"/>
      <c r="CH938" s="229">
        <f t="shared" si="913"/>
        <v>0</v>
      </c>
      <c r="CI938" s="228">
        <v>35</v>
      </c>
      <c r="CJ938" s="229">
        <f t="shared" si="914"/>
        <v>48</v>
      </c>
      <c r="CK938" s="234">
        <f t="shared" si="915"/>
        <v>3.0748170731707316</v>
      </c>
      <c r="CL938" s="234" cm="1">
        <f t="array" ref="CL938">$BM938 * SUMPRODUCT(INDEX($AV$76:$AX$81,,$AI938),INDEX($AY$76:$BE$81,,$AH938), N($AU$76:$AU$81&gt;$AM938)) / CK938 / 1000</f>
        <v>0</v>
      </c>
      <c r="CM938" s="231">
        <f t="shared" si="933"/>
        <v>30</v>
      </c>
      <c r="CN938" s="229">
        <f t="shared" si="916"/>
        <v>43</v>
      </c>
      <c r="CO938" s="234">
        <f t="shared" si="917"/>
        <v>3.5018750000000001</v>
      </c>
      <c r="CP938" s="234" cm="1">
        <f t="array" ref="CP938">$BM938 * IF($AH938&lt;=2,
SUMPRODUCT(INDEX($AV$71:$AX$75,,$AI938), INDEX($AY$71:$BE$75,,$AH938), 1 / ($BF$71:$BF$75*CO938 + (1-$BF$71:$BF$75)*CK938), N($AU$71:$AU$75&gt;$AM938)),
SUMPRODUCT(INDEX($AV$66:$AX$75,,$AI938), INDEX($AY$66:$BE$75,,$AH938), 1 / ($BG$66:$BG$75*CO938 + (1-$BG$66:$BG$75)*CK938), N($AU$66:$AU$75&gt;$AM938))
) / 1000</f>
        <v>0</v>
      </c>
      <c r="CQ938" s="231">
        <f t="shared" si="934"/>
        <v>25</v>
      </c>
      <c r="CR938" s="229">
        <f t="shared" si="918"/>
        <v>38</v>
      </c>
      <c r="CS938" s="234">
        <f t="shared" si="919"/>
        <v>4.0666935483870965</v>
      </c>
      <c r="CT938" s="234" cm="1">
        <f t="array" ref="CT938">$BM938 * IF($AH938&lt;=2,
SUMPRODUCT(INDEX($AV$66:$AX$70,,$AI938), INDEX($AY$66:$BE$70,,$AH938), 1 / ($BF$66:$BF$70*CS938 + (1-$BF$66:$BF$70)*CO938), N($AU$66:$AU$70&gt;$AM938)),
SUMPRODUCT(INDEX($AV$56:$AX$65,,$AI938), INDEX($AY$56:$BE$65,,$AH938), 1 / ($BG$56:$BG$65*CS938 + (1-$BG$56:$BG$65)*CO938), N($AU$56:$AU$65&gt;$AM938))
) / 1000</f>
        <v>0</v>
      </c>
      <c r="CU938" s="231">
        <f t="shared" si="935"/>
        <v>20</v>
      </c>
      <c r="CV938" s="229">
        <f t="shared" si="920"/>
        <v>33</v>
      </c>
      <c r="CW938" s="234">
        <f t="shared" si="921"/>
        <v>4.8487499999999999</v>
      </c>
      <c r="CX938" s="234" cm="1">
        <f t="array" ref="CX938">$BM938 * IF($AH938&lt;=2,
SUMPRODUCT(INDEX($AV$61:$AX$65,,$AI938), INDEX($AY$61:$BE$65,,$AH938), 1 / ($BF$61:$BF$65*CW938 + (1-$BF$61:$BF$65)*CS938), N($AU$61:$AU$65&gt;$AM938)),
SUMPRODUCT(INDEX($AV$46:$AX$55,,$AI938), INDEX($AY$46:$BE$55,,$AH938), 1 / ($BG$46:$BG$55*CW938 + (1-$BG$46:$BG$55)*CS938), N($AU$46:$AU$55&gt;$AM938))
) / 1000</f>
        <v>0</v>
      </c>
      <c r="CY938" s="234" cm="1">
        <f t="array" ref="CY938">$BM938 * IF($AH938&lt;=2,
SUMPRODUCT(INDEX($AV$22:$AX$60,,$AI938), INDEX($AY$22:$BE$60,,$AH938), 1 / ($BF$22:$BF$60*CW938), N($AU$22:$AU$60&gt;$AM938)),
SUMPRODUCT(INDEX($AV$22:$AX$45,,$AI938), INDEX($AY$22:$BE$45,,$AH938), 1 / ($BG$22:$BG$45*CW938), N($AU$22:$AU$45&gt;$AM938))
) / 1000</f>
        <v>0</v>
      </c>
      <c r="CZ938" s="229">
        <f t="shared" si="922"/>
        <v>0</v>
      </c>
      <c r="DA938" s="246"/>
    </row>
    <row r="939" spans="1:105" s="75" customFormat="1" ht="14.25" customHeight="1" x14ac:dyDescent="0.2">
      <c r="A939" s="230" t="b">
        <f t="shared" si="927"/>
        <v>0</v>
      </c>
      <c r="B939" s="253">
        <v>918</v>
      </c>
      <c r="C939" s="266"/>
      <c r="D939" s="266"/>
      <c r="E939" s="254"/>
      <c r="F939" s="255" t="str">
        <f>IF(ISBLANK(E939), "", VLOOKUP(E939, Z!$A$2:$C$4127, 3, FALSE))</f>
        <v/>
      </c>
      <c r="G939" s="256"/>
      <c r="H939" s="256"/>
      <c r="I939" s="256"/>
      <c r="J939" s="257"/>
      <c r="K939" s="258"/>
      <c r="L939" s="267"/>
      <c r="M939" s="268"/>
      <c r="N939" s="259" t="str" cm="1">
        <f t="array" ref="N939">IF($L939&gt;0, INDEX(Clean,1+AK939,$D$1), "")</f>
        <v/>
      </c>
      <c r="O939" s="260"/>
      <c r="P939" s="260"/>
      <c r="Q939" s="261"/>
      <c r="R939" s="264">
        <f t="shared" si="898"/>
        <v>0</v>
      </c>
      <c r="S939" s="259" t="str" cm="1">
        <f t="array" ref="S939">IF($L939&gt;0, INDEX(Clean,1+AL939,$D$1), "")</f>
        <v/>
      </c>
      <c r="T939" s="260"/>
      <c r="U939" s="260"/>
      <c r="V939" s="261"/>
      <c r="W939" s="267"/>
      <c r="X939" s="267"/>
      <c r="Y939" s="257"/>
      <c r="Z939" s="264">
        <f t="shared" si="899"/>
        <v>0</v>
      </c>
      <c r="AA939" s="269"/>
      <c r="AB939" s="266"/>
      <c r="AC939" s="254"/>
      <c r="AD939" s="255" t="str">
        <f>IF(ISBLANK(AC939), "", VLOOKUP(AC939, Z!$A$2:$C$4127, 3, FALSE))</f>
        <v/>
      </c>
      <c r="AE939" s="270"/>
      <c r="AF939" s="265">
        <f t="shared" si="900"/>
        <v>0</v>
      </c>
      <c r="AG939" s="246"/>
      <c r="AH939" s="228">
        <f t="shared" si="923"/>
        <v>1</v>
      </c>
      <c r="AI939" s="228">
        <f t="shared" si="924"/>
        <v>1</v>
      </c>
      <c r="AJ939" s="228">
        <f t="shared" si="925"/>
        <v>0</v>
      </c>
      <c r="AK939" s="228">
        <v>0</v>
      </c>
      <c r="AL939" s="228">
        <v>0</v>
      </c>
      <c r="AM939" s="228">
        <f t="shared" si="901"/>
        <v>-100</v>
      </c>
      <c r="AN939" s="228" cm="1">
        <f t="array" ref="AN939">IF(ISBLANK(G939), 1, IFERROR(MATCH(G939, INDEX(Kat,,1), 0), IFERROR(MATCH(Kat, INDEX(Use,,2), 0), MATCH(Kat, INDEX(Use,,3), 0))))</f>
        <v>1</v>
      </c>
      <c r="AO939" s="246"/>
      <c r="AP939" s="228" cm="1">
        <f t="array" ref="AP939">IF(W939&gt;0, INDEX(Kat, AN939,4), 0)</f>
        <v>0</v>
      </c>
      <c r="AQ939" s="228">
        <f t="shared" si="926"/>
        <v>0</v>
      </c>
      <c r="AR939" s="228" cm="1">
        <f t="array" ref="AR939">IF(X939&gt;0, INDEX(Kat, $AN939, 4+AQ939), 0)</f>
        <v>0</v>
      </c>
      <c r="AS939" s="228" cm="1">
        <f t="array" ref="AS939">IF(X939&gt;0, INDEX(Kat, $AN939, 9+AQ939), 0)</f>
        <v>0</v>
      </c>
      <c r="AT939" s="246"/>
      <c r="AU939" s="262"/>
      <c r="AV939" s="262"/>
      <c r="AW939" s="263"/>
      <c r="AX939" s="263"/>
      <c r="AY939" s="263"/>
      <c r="AZ939" s="263"/>
      <c r="BA939" s="263"/>
      <c r="BB939" s="263"/>
      <c r="BC939" s="263"/>
      <c r="BD939" s="263"/>
      <c r="BE939" s="263"/>
      <c r="BF939" s="263"/>
      <c r="BG939" s="263"/>
      <c r="BH939" s="246"/>
      <c r="BI939" s="228" cm="1">
        <f t="array" ref="BI939">INDEX(Use, $AH939, 4)</f>
        <v>7</v>
      </c>
      <c r="BJ939" s="228">
        <f t="shared" si="902"/>
        <v>32</v>
      </c>
      <c r="BK939" s="228">
        <f t="shared" si="928"/>
        <v>13</v>
      </c>
      <c r="BL939" s="228">
        <f t="shared" si="929"/>
        <v>0</v>
      </c>
      <c r="BM939" s="233" cm="1">
        <f t="array" ref="BM939">L939/IF($M939&gt;0, INDEX($AY$22:$BE$76, $M939+20, $AH939), 1)</f>
        <v>0</v>
      </c>
      <c r="BN939" s="229">
        <f t="shared" si="903"/>
        <v>0</v>
      </c>
      <c r="BO939" s="228">
        <v>35</v>
      </c>
      <c r="BP939" s="229">
        <f t="shared" si="904"/>
        <v>48</v>
      </c>
      <c r="BQ939" s="234">
        <f t="shared" si="905"/>
        <v>3.0748170731707316</v>
      </c>
      <c r="BR939" s="234" cm="1">
        <f t="array" ref="BR939">$BM939 * SUMPRODUCT(INDEX($AV$76:$AX$81,,$AI939),INDEX($AY$76:$BE$81,,$AH939), N($AU$76:$AU$81&gt;$AM939)) / BQ939 / 1000</f>
        <v>0</v>
      </c>
      <c r="BS939" s="231">
        <f t="shared" si="930"/>
        <v>30</v>
      </c>
      <c r="BT939" s="229">
        <f t="shared" si="906"/>
        <v>43</v>
      </c>
      <c r="BU939" s="234">
        <f t="shared" si="907"/>
        <v>3.5018750000000001</v>
      </c>
      <c r="BV939" s="234" cm="1">
        <f t="array" ref="BV939">$BM939 * IF($AH939&lt;=2,
SUMPRODUCT(INDEX($AV$71:$AX$75,,$AI939), INDEX($AY$71:$BE$75,,$AH939), 1 / ($BF$71:$BF$75*BU939 + (1-$BF$71:$BF$75)*BQ939), N($AU$71:$AU$75&gt;$AM939)),
SUMPRODUCT(INDEX($AV$66:$AX$75,,$AI939), INDEX($AY$66:$BE$75,,$AH939), 1 / ($BG$66:$BG$75*BU939 + (1-$BG$66:$BG$75)*BQ939), N($AU$66:$AU$75&gt;$AM939))
) / 1000</f>
        <v>0</v>
      </c>
      <c r="BW939" s="231">
        <f t="shared" si="931"/>
        <v>25</v>
      </c>
      <c r="BX939" s="229">
        <f t="shared" si="908"/>
        <v>38</v>
      </c>
      <c r="BY939" s="234">
        <f t="shared" si="909"/>
        <v>4.0666935483870965</v>
      </c>
      <c r="BZ939" s="234" cm="1">
        <f t="array" ref="BZ939">$BM939 * IF($AH939&lt;=2,
SUMPRODUCT(INDEX($AV$66:$AX$70,,$AI939), INDEX($AY$66:$BE$70,,$AH939), 1 / ($BF$66:$BF$70*BY939 + (1-$BF$66:$BF$70)*BU939), N($AU$66:$AU$70&gt;$AM939)),
SUMPRODUCT(INDEX($AV$56:$AX$65,,$AI939), INDEX($AY$56:$BE$65,,$AH939), 1 / ($BG$56:$BG$65*BY939 + (1-$BG$56:$BG$65)*BU939), N($AU$56:$AU$65&gt;$AM939))
) / 1000</f>
        <v>0</v>
      </c>
      <c r="CA939" s="231">
        <f t="shared" si="932"/>
        <v>20</v>
      </c>
      <c r="CB939" s="229">
        <f t="shared" si="910"/>
        <v>33</v>
      </c>
      <c r="CC939" s="234">
        <f t="shared" si="911"/>
        <v>4.8487499999999999</v>
      </c>
      <c r="CD939" s="234" cm="1">
        <f t="array" ref="CD939">$BM939 * IF($AH939&lt;=2,
SUMPRODUCT(INDEX($AV$61:$AX$65,,$AI939), INDEX($AY$61:$BE$65,,$AH939), 1 / ($BF$61:$BF$65*CC939 + (1-$BF$61:$BF$65)*BY939), N($AU$61:$AU$65&gt;$AM939)),
SUMPRODUCT(INDEX($AV$46:$AX$55,,$AI939), INDEX($AY$46:$BE$55,,$AH939), 1 / ($BG$46:$BG$55*CC939 + (1-$BG$46:$BG$55)*BY939), N($AU$46:$AU$55&gt;$AM939))
) / 1000</f>
        <v>0</v>
      </c>
      <c r="CE939" s="234" cm="1">
        <f t="array" ref="CE939">$BM939 * IF($AH939&lt;=2,
SUMPRODUCT(INDEX($AV$22:$AX$60,,$AI939), INDEX($AY$22:$BE$60,,$AH939), 1 / ($BF$22:$BF$60*CC939), N($AU$22:$AU$60&gt;$AM939)),
SUMPRODUCT(INDEX($AV$22:$AX$45,,$AI939), INDEX($AY$22:$BE$45,,$AH939), 1 / ($BG$22:$BG$45*CC939), N($AU$22:$AU$45&gt;$AM939))
) / 1000</f>
        <v>0</v>
      </c>
      <c r="CF939" s="229">
        <f t="shared" si="912"/>
        <v>0</v>
      </c>
      <c r="CG939" s="246"/>
      <c r="CH939" s="229">
        <f t="shared" si="913"/>
        <v>0</v>
      </c>
      <c r="CI939" s="228">
        <v>35</v>
      </c>
      <c r="CJ939" s="229">
        <f t="shared" si="914"/>
        <v>48</v>
      </c>
      <c r="CK939" s="234">
        <f t="shared" si="915"/>
        <v>3.0748170731707316</v>
      </c>
      <c r="CL939" s="234" cm="1">
        <f t="array" ref="CL939">$BM939 * SUMPRODUCT(INDEX($AV$76:$AX$81,,$AI939),INDEX($AY$76:$BE$81,,$AH939), N($AU$76:$AU$81&gt;$AM939)) / CK939 / 1000</f>
        <v>0</v>
      </c>
      <c r="CM939" s="231">
        <f t="shared" si="933"/>
        <v>30</v>
      </c>
      <c r="CN939" s="229">
        <f t="shared" si="916"/>
        <v>43</v>
      </c>
      <c r="CO939" s="234">
        <f t="shared" si="917"/>
        <v>3.5018750000000001</v>
      </c>
      <c r="CP939" s="234" cm="1">
        <f t="array" ref="CP939">$BM939 * IF($AH939&lt;=2,
SUMPRODUCT(INDEX($AV$71:$AX$75,,$AI939), INDEX($AY$71:$BE$75,,$AH939), 1 / ($BF$71:$BF$75*CO939 + (1-$BF$71:$BF$75)*CK939), N($AU$71:$AU$75&gt;$AM939)),
SUMPRODUCT(INDEX($AV$66:$AX$75,,$AI939), INDEX($AY$66:$BE$75,,$AH939), 1 / ($BG$66:$BG$75*CO939 + (1-$BG$66:$BG$75)*CK939), N($AU$66:$AU$75&gt;$AM939))
) / 1000</f>
        <v>0</v>
      </c>
      <c r="CQ939" s="231">
        <f t="shared" si="934"/>
        <v>25</v>
      </c>
      <c r="CR939" s="229">
        <f t="shared" si="918"/>
        <v>38</v>
      </c>
      <c r="CS939" s="234">
        <f t="shared" si="919"/>
        <v>4.0666935483870965</v>
      </c>
      <c r="CT939" s="234" cm="1">
        <f t="array" ref="CT939">$BM939 * IF($AH939&lt;=2,
SUMPRODUCT(INDEX($AV$66:$AX$70,,$AI939), INDEX($AY$66:$BE$70,,$AH939), 1 / ($BF$66:$BF$70*CS939 + (1-$BF$66:$BF$70)*CO939), N($AU$66:$AU$70&gt;$AM939)),
SUMPRODUCT(INDEX($AV$56:$AX$65,,$AI939), INDEX($AY$56:$BE$65,,$AH939), 1 / ($BG$56:$BG$65*CS939 + (1-$BG$56:$BG$65)*CO939), N($AU$56:$AU$65&gt;$AM939))
) / 1000</f>
        <v>0</v>
      </c>
      <c r="CU939" s="231">
        <f t="shared" si="935"/>
        <v>20</v>
      </c>
      <c r="CV939" s="229">
        <f t="shared" si="920"/>
        <v>33</v>
      </c>
      <c r="CW939" s="234">
        <f t="shared" si="921"/>
        <v>4.8487499999999999</v>
      </c>
      <c r="CX939" s="234" cm="1">
        <f t="array" ref="CX939">$BM939 * IF($AH939&lt;=2,
SUMPRODUCT(INDEX($AV$61:$AX$65,,$AI939), INDEX($AY$61:$BE$65,,$AH939), 1 / ($BF$61:$BF$65*CW939 + (1-$BF$61:$BF$65)*CS939), N($AU$61:$AU$65&gt;$AM939)),
SUMPRODUCT(INDEX($AV$46:$AX$55,,$AI939), INDEX($AY$46:$BE$55,,$AH939), 1 / ($BG$46:$BG$55*CW939 + (1-$BG$46:$BG$55)*CS939), N($AU$46:$AU$55&gt;$AM939))
) / 1000</f>
        <v>0</v>
      </c>
      <c r="CY939" s="234" cm="1">
        <f t="array" ref="CY939">$BM939 * IF($AH939&lt;=2,
SUMPRODUCT(INDEX($AV$22:$AX$60,,$AI939), INDEX($AY$22:$BE$60,,$AH939), 1 / ($BF$22:$BF$60*CW939), N($AU$22:$AU$60&gt;$AM939)),
SUMPRODUCT(INDEX($AV$22:$AX$45,,$AI939), INDEX($AY$22:$BE$45,,$AH939), 1 / ($BG$22:$BG$45*CW939), N($AU$22:$AU$45&gt;$AM939))
) / 1000</f>
        <v>0</v>
      </c>
      <c r="CZ939" s="229">
        <f t="shared" si="922"/>
        <v>0</v>
      </c>
      <c r="DA939" s="246"/>
    </row>
    <row r="940" spans="1:105" s="75" customFormat="1" ht="14.25" customHeight="1" x14ac:dyDescent="0.2">
      <c r="A940" s="230" t="b">
        <f t="shared" si="927"/>
        <v>0</v>
      </c>
      <c r="B940" s="253">
        <v>919</v>
      </c>
      <c r="C940" s="266"/>
      <c r="D940" s="266"/>
      <c r="E940" s="254"/>
      <c r="F940" s="255" t="str">
        <f>IF(ISBLANK(E940), "", VLOOKUP(E940, Z!$A$2:$C$4127, 3, FALSE))</f>
        <v/>
      </c>
      <c r="G940" s="256"/>
      <c r="H940" s="256"/>
      <c r="I940" s="256"/>
      <c r="J940" s="257"/>
      <c r="K940" s="258"/>
      <c r="L940" s="267"/>
      <c r="M940" s="268"/>
      <c r="N940" s="259" t="str" cm="1">
        <f t="array" ref="N940">IF($L940&gt;0, INDEX(Clean,1+AK940,$D$1), "")</f>
        <v/>
      </c>
      <c r="O940" s="260"/>
      <c r="P940" s="260"/>
      <c r="Q940" s="261"/>
      <c r="R940" s="264">
        <f t="shared" si="898"/>
        <v>0</v>
      </c>
      <c r="S940" s="259" t="str" cm="1">
        <f t="array" ref="S940">IF($L940&gt;0, INDEX(Clean,1+AL940,$D$1), "")</f>
        <v/>
      </c>
      <c r="T940" s="260"/>
      <c r="U940" s="260"/>
      <c r="V940" s="261"/>
      <c r="W940" s="267"/>
      <c r="X940" s="267"/>
      <c r="Y940" s="257"/>
      <c r="Z940" s="264">
        <f t="shared" si="899"/>
        <v>0</v>
      </c>
      <c r="AA940" s="269"/>
      <c r="AB940" s="266"/>
      <c r="AC940" s="254"/>
      <c r="AD940" s="255" t="str">
        <f>IF(ISBLANK(AC940), "", VLOOKUP(AC940, Z!$A$2:$C$4127, 3, FALSE))</f>
        <v/>
      </c>
      <c r="AE940" s="270"/>
      <c r="AF940" s="265">
        <f t="shared" si="900"/>
        <v>0</v>
      </c>
      <c r="AG940" s="246"/>
      <c r="AH940" s="228">
        <f t="shared" si="923"/>
        <v>1</v>
      </c>
      <c r="AI940" s="228">
        <f t="shared" si="924"/>
        <v>1</v>
      </c>
      <c r="AJ940" s="228">
        <f t="shared" si="925"/>
        <v>0</v>
      </c>
      <c r="AK940" s="228">
        <v>0</v>
      </c>
      <c r="AL940" s="228">
        <v>0</v>
      </c>
      <c r="AM940" s="228">
        <f t="shared" si="901"/>
        <v>-100</v>
      </c>
      <c r="AN940" s="228" cm="1">
        <f t="array" ref="AN940">IF(ISBLANK(G940), 1, IFERROR(MATCH(G940, INDEX(Kat,,1), 0), IFERROR(MATCH(Kat, INDEX(Use,,2), 0), MATCH(Kat, INDEX(Use,,3), 0))))</f>
        <v>1</v>
      </c>
      <c r="AO940" s="246"/>
      <c r="AP940" s="228" cm="1">
        <f t="array" ref="AP940">IF(W940&gt;0, INDEX(Kat, AN940,4), 0)</f>
        <v>0</v>
      </c>
      <c r="AQ940" s="228">
        <f t="shared" si="926"/>
        <v>0</v>
      </c>
      <c r="AR940" s="228" cm="1">
        <f t="array" ref="AR940">IF(X940&gt;0, INDEX(Kat, $AN940, 4+AQ940), 0)</f>
        <v>0</v>
      </c>
      <c r="AS940" s="228" cm="1">
        <f t="array" ref="AS940">IF(X940&gt;0, INDEX(Kat, $AN940, 9+AQ940), 0)</f>
        <v>0</v>
      </c>
      <c r="AT940" s="246"/>
      <c r="AU940" s="262"/>
      <c r="AV940" s="262"/>
      <c r="AW940" s="263"/>
      <c r="AX940" s="263"/>
      <c r="AY940" s="263"/>
      <c r="AZ940" s="263"/>
      <c r="BA940" s="263"/>
      <c r="BB940" s="263"/>
      <c r="BC940" s="263"/>
      <c r="BD940" s="263"/>
      <c r="BE940" s="263"/>
      <c r="BF940" s="263"/>
      <c r="BG940" s="263"/>
      <c r="BH940" s="246"/>
      <c r="BI940" s="228" cm="1">
        <f t="array" ref="BI940">INDEX(Use, $AH940, 4)</f>
        <v>7</v>
      </c>
      <c r="BJ940" s="228">
        <f t="shared" si="902"/>
        <v>32</v>
      </c>
      <c r="BK940" s="228">
        <f t="shared" si="928"/>
        <v>13</v>
      </c>
      <c r="BL940" s="228">
        <f t="shared" si="929"/>
        <v>0</v>
      </c>
      <c r="BM940" s="233" cm="1">
        <f t="array" ref="BM940">L940/IF($M940&gt;0, INDEX($AY$22:$BE$76, $M940+20, $AH940), 1)</f>
        <v>0</v>
      </c>
      <c r="BN940" s="229">
        <f t="shared" si="903"/>
        <v>0</v>
      </c>
      <c r="BO940" s="228">
        <v>35</v>
      </c>
      <c r="BP940" s="229">
        <f t="shared" si="904"/>
        <v>48</v>
      </c>
      <c r="BQ940" s="234">
        <f t="shared" si="905"/>
        <v>3.0748170731707316</v>
      </c>
      <c r="BR940" s="234" cm="1">
        <f t="array" ref="BR940">$BM940 * SUMPRODUCT(INDEX($AV$76:$AX$81,,$AI940),INDEX($AY$76:$BE$81,,$AH940), N($AU$76:$AU$81&gt;$AM940)) / BQ940 / 1000</f>
        <v>0</v>
      </c>
      <c r="BS940" s="231">
        <f t="shared" si="930"/>
        <v>30</v>
      </c>
      <c r="BT940" s="229">
        <f t="shared" si="906"/>
        <v>43</v>
      </c>
      <c r="BU940" s="234">
        <f t="shared" si="907"/>
        <v>3.5018750000000001</v>
      </c>
      <c r="BV940" s="234" cm="1">
        <f t="array" ref="BV940">$BM940 * IF($AH940&lt;=2,
SUMPRODUCT(INDEX($AV$71:$AX$75,,$AI940), INDEX($AY$71:$BE$75,,$AH940), 1 / ($BF$71:$BF$75*BU940 + (1-$BF$71:$BF$75)*BQ940), N($AU$71:$AU$75&gt;$AM940)),
SUMPRODUCT(INDEX($AV$66:$AX$75,,$AI940), INDEX($AY$66:$BE$75,,$AH940), 1 / ($BG$66:$BG$75*BU940 + (1-$BG$66:$BG$75)*BQ940), N($AU$66:$AU$75&gt;$AM940))
) / 1000</f>
        <v>0</v>
      </c>
      <c r="BW940" s="231">
        <f t="shared" si="931"/>
        <v>25</v>
      </c>
      <c r="BX940" s="229">
        <f t="shared" si="908"/>
        <v>38</v>
      </c>
      <c r="BY940" s="234">
        <f t="shared" si="909"/>
        <v>4.0666935483870965</v>
      </c>
      <c r="BZ940" s="234" cm="1">
        <f t="array" ref="BZ940">$BM940 * IF($AH940&lt;=2,
SUMPRODUCT(INDEX($AV$66:$AX$70,,$AI940), INDEX($AY$66:$BE$70,,$AH940), 1 / ($BF$66:$BF$70*BY940 + (1-$BF$66:$BF$70)*BU940), N($AU$66:$AU$70&gt;$AM940)),
SUMPRODUCT(INDEX($AV$56:$AX$65,,$AI940), INDEX($AY$56:$BE$65,,$AH940), 1 / ($BG$56:$BG$65*BY940 + (1-$BG$56:$BG$65)*BU940), N($AU$56:$AU$65&gt;$AM940))
) / 1000</f>
        <v>0</v>
      </c>
      <c r="CA940" s="231">
        <f t="shared" si="932"/>
        <v>20</v>
      </c>
      <c r="CB940" s="229">
        <f t="shared" si="910"/>
        <v>33</v>
      </c>
      <c r="CC940" s="234">
        <f t="shared" si="911"/>
        <v>4.8487499999999999</v>
      </c>
      <c r="CD940" s="234" cm="1">
        <f t="array" ref="CD940">$BM940 * IF($AH940&lt;=2,
SUMPRODUCT(INDEX($AV$61:$AX$65,,$AI940), INDEX($AY$61:$BE$65,,$AH940), 1 / ($BF$61:$BF$65*CC940 + (1-$BF$61:$BF$65)*BY940), N($AU$61:$AU$65&gt;$AM940)),
SUMPRODUCT(INDEX($AV$46:$AX$55,,$AI940), INDEX($AY$46:$BE$55,,$AH940), 1 / ($BG$46:$BG$55*CC940 + (1-$BG$46:$BG$55)*BY940), N($AU$46:$AU$55&gt;$AM940))
) / 1000</f>
        <v>0</v>
      </c>
      <c r="CE940" s="234" cm="1">
        <f t="array" ref="CE940">$BM940 * IF($AH940&lt;=2,
SUMPRODUCT(INDEX($AV$22:$AX$60,,$AI940), INDEX($AY$22:$BE$60,,$AH940), 1 / ($BF$22:$BF$60*CC940), N($AU$22:$AU$60&gt;$AM940)),
SUMPRODUCT(INDEX($AV$22:$AX$45,,$AI940), INDEX($AY$22:$BE$45,,$AH940), 1 / ($BG$22:$BG$45*CC940), N($AU$22:$AU$45&gt;$AM940))
) / 1000</f>
        <v>0</v>
      </c>
      <c r="CF940" s="229">
        <f t="shared" si="912"/>
        <v>0</v>
      </c>
      <c r="CG940" s="246"/>
      <c r="CH940" s="229">
        <f t="shared" si="913"/>
        <v>0</v>
      </c>
      <c r="CI940" s="228">
        <v>35</v>
      </c>
      <c r="CJ940" s="229">
        <f t="shared" si="914"/>
        <v>48</v>
      </c>
      <c r="CK940" s="234">
        <f t="shared" si="915"/>
        <v>3.0748170731707316</v>
      </c>
      <c r="CL940" s="234" cm="1">
        <f t="array" ref="CL940">$BM940 * SUMPRODUCT(INDEX($AV$76:$AX$81,,$AI940),INDEX($AY$76:$BE$81,,$AH940), N($AU$76:$AU$81&gt;$AM940)) / CK940 / 1000</f>
        <v>0</v>
      </c>
      <c r="CM940" s="231">
        <f t="shared" si="933"/>
        <v>30</v>
      </c>
      <c r="CN940" s="229">
        <f t="shared" si="916"/>
        <v>43</v>
      </c>
      <c r="CO940" s="234">
        <f t="shared" si="917"/>
        <v>3.5018750000000001</v>
      </c>
      <c r="CP940" s="234" cm="1">
        <f t="array" ref="CP940">$BM940 * IF($AH940&lt;=2,
SUMPRODUCT(INDEX($AV$71:$AX$75,,$AI940), INDEX($AY$71:$BE$75,,$AH940), 1 / ($BF$71:$BF$75*CO940 + (1-$BF$71:$BF$75)*CK940), N($AU$71:$AU$75&gt;$AM940)),
SUMPRODUCT(INDEX($AV$66:$AX$75,,$AI940), INDEX($AY$66:$BE$75,,$AH940), 1 / ($BG$66:$BG$75*CO940 + (1-$BG$66:$BG$75)*CK940), N($AU$66:$AU$75&gt;$AM940))
) / 1000</f>
        <v>0</v>
      </c>
      <c r="CQ940" s="231">
        <f t="shared" si="934"/>
        <v>25</v>
      </c>
      <c r="CR940" s="229">
        <f t="shared" si="918"/>
        <v>38</v>
      </c>
      <c r="CS940" s="234">
        <f t="shared" si="919"/>
        <v>4.0666935483870965</v>
      </c>
      <c r="CT940" s="234" cm="1">
        <f t="array" ref="CT940">$BM940 * IF($AH940&lt;=2,
SUMPRODUCT(INDEX($AV$66:$AX$70,,$AI940), INDEX($AY$66:$BE$70,,$AH940), 1 / ($BF$66:$BF$70*CS940 + (1-$BF$66:$BF$70)*CO940), N($AU$66:$AU$70&gt;$AM940)),
SUMPRODUCT(INDEX($AV$56:$AX$65,,$AI940), INDEX($AY$56:$BE$65,,$AH940), 1 / ($BG$56:$BG$65*CS940 + (1-$BG$56:$BG$65)*CO940), N($AU$56:$AU$65&gt;$AM940))
) / 1000</f>
        <v>0</v>
      </c>
      <c r="CU940" s="231">
        <f t="shared" si="935"/>
        <v>20</v>
      </c>
      <c r="CV940" s="229">
        <f t="shared" si="920"/>
        <v>33</v>
      </c>
      <c r="CW940" s="234">
        <f t="shared" si="921"/>
        <v>4.8487499999999999</v>
      </c>
      <c r="CX940" s="234" cm="1">
        <f t="array" ref="CX940">$BM940 * IF($AH940&lt;=2,
SUMPRODUCT(INDEX($AV$61:$AX$65,,$AI940), INDEX($AY$61:$BE$65,,$AH940), 1 / ($BF$61:$BF$65*CW940 + (1-$BF$61:$BF$65)*CS940), N($AU$61:$AU$65&gt;$AM940)),
SUMPRODUCT(INDEX($AV$46:$AX$55,,$AI940), INDEX($AY$46:$BE$55,,$AH940), 1 / ($BG$46:$BG$55*CW940 + (1-$BG$46:$BG$55)*CS940), N($AU$46:$AU$55&gt;$AM940))
) / 1000</f>
        <v>0</v>
      </c>
      <c r="CY940" s="234" cm="1">
        <f t="array" ref="CY940">$BM940 * IF($AH940&lt;=2,
SUMPRODUCT(INDEX($AV$22:$AX$60,,$AI940), INDEX($AY$22:$BE$60,,$AH940), 1 / ($BF$22:$BF$60*CW940), N($AU$22:$AU$60&gt;$AM940)),
SUMPRODUCT(INDEX($AV$22:$AX$45,,$AI940), INDEX($AY$22:$BE$45,,$AH940), 1 / ($BG$22:$BG$45*CW940), N($AU$22:$AU$45&gt;$AM940))
) / 1000</f>
        <v>0</v>
      </c>
      <c r="CZ940" s="229">
        <f t="shared" si="922"/>
        <v>0</v>
      </c>
      <c r="DA940" s="246"/>
    </row>
    <row r="941" spans="1:105" s="75" customFormat="1" ht="14.25" customHeight="1" x14ac:dyDescent="0.2">
      <c r="A941" s="230" t="b">
        <f t="shared" si="927"/>
        <v>0</v>
      </c>
      <c r="B941" s="253">
        <v>920</v>
      </c>
      <c r="C941" s="266"/>
      <c r="D941" s="266"/>
      <c r="E941" s="254"/>
      <c r="F941" s="255" t="str">
        <f>IF(ISBLANK(E941), "", VLOOKUP(E941, Z!$A$2:$C$4127, 3, FALSE))</f>
        <v/>
      </c>
      <c r="G941" s="256"/>
      <c r="H941" s="256"/>
      <c r="I941" s="256"/>
      <c r="J941" s="257"/>
      <c r="K941" s="258"/>
      <c r="L941" s="267"/>
      <c r="M941" s="268"/>
      <c r="N941" s="259" t="str" cm="1">
        <f t="array" ref="N941">IF($L941&gt;0, INDEX(Clean,1+AK941,$D$1), "")</f>
        <v/>
      </c>
      <c r="O941" s="260"/>
      <c r="P941" s="260"/>
      <c r="Q941" s="261"/>
      <c r="R941" s="264">
        <f t="shared" si="898"/>
        <v>0</v>
      </c>
      <c r="S941" s="259" t="str" cm="1">
        <f t="array" ref="S941">IF($L941&gt;0, INDEX(Clean,1+AL941,$D$1), "")</f>
        <v/>
      </c>
      <c r="T941" s="260"/>
      <c r="U941" s="260"/>
      <c r="V941" s="261"/>
      <c r="W941" s="267"/>
      <c r="X941" s="267"/>
      <c r="Y941" s="257"/>
      <c r="Z941" s="264">
        <f t="shared" si="899"/>
        <v>0</v>
      </c>
      <c r="AA941" s="269"/>
      <c r="AB941" s="266"/>
      <c r="AC941" s="254"/>
      <c r="AD941" s="255" t="str">
        <f>IF(ISBLANK(AC941), "", VLOOKUP(AC941, Z!$A$2:$C$4127, 3, FALSE))</f>
        <v/>
      </c>
      <c r="AE941" s="270"/>
      <c r="AF941" s="265">
        <f t="shared" si="900"/>
        <v>0</v>
      </c>
      <c r="AG941" s="246"/>
      <c r="AH941" s="228">
        <f t="shared" si="923"/>
        <v>1</v>
      </c>
      <c r="AI941" s="228">
        <f t="shared" si="924"/>
        <v>1</v>
      </c>
      <c r="AJ941" s="228">
        <f t="shared" si="925"/>
        <v>0</v>
      </c>
      <c r="AK941" s="228">
        <v>0</v>
      </c>
      <c r="AL941" s="228">
        <v>0</v>
      </c>
      <c r="AM941" s="228">
        <f t="shared" si="901"/>
        <v>-100</v>
      </c>
      <c r="AN941" s="228" cm="1">
        <f t="array" ref="AN941">IF(ISBLANK(G941), 1, IFERROR(MATCH(G941, INDEX(Kat,,1), 0), IFERROR(MATCH(Kat, INDEX(Use,,2), 0), MATCH(Kat, INDEX(Use,,3), 0))))</f>
        <v>1</v>
      </c>
      <c r="AO941" s="246"/>
      <c r="AP941" s="228" cm="1">
        <f t="array" ref="AP941">IF(W941&gt;0, INDEX(Kat, AN941,4), 0)</f>
        <v>0</v>
      </c>
      <c r="AQ941" s="228">
        <f t="shared" si="926"/>
        <v>0</v>
      </c>
      <c r="AR941" s="228" cm="1">
        <f t="array" ref="AR941">IF(X941&gt;0, INDEX(Kat, $AN941, 4+AQ941), 0)</f>
        <v>0</v>
      </c>
      <c r="AS941" s="228" cm="1">
        <f t="array" ref="AS941">IF(X941&gt;0, INDEX(Kat, $AN941, 9+AQ941), 0)</f>
        <v>0</v>
      </c>
      <c r="AT941" s="246"/>
      <c r="AU941" s="262"/>
      <c r="AV941" s="262"/>
      <c r="AW941" s="263"/>
      <c r="AX941" s="263"/>
      <c r="AY941" s="263"/>
      <c r="AZ941" s="263"/>
      <c r="BA941" s="263"/>
      <c r="BB941" s="263"/>
      <c r="BC941" s="263"/>
      <c r="BD941" s="263"/>
      <c r="BE941" s="263"/>
      <c r="BF941" s="263"/>
      <c r="BG941" s="263"/>
      <c r="BH941" s="246"/>
      <c r="BI941" s="228" cm="1">
        <f t="array" ref="BI941">INDEX(Use, $AH941, 4)</f>
        <v>7</v>
      </c>
      <c r="BJ941" s="228">
        <f t="shared" si="902"/>
        <v>32</v>
      </c>
      <c r="BK941" s="228">
        <f t="shared" si="928"/>
        <v>13</v>
      </c>
      <c r="BL941" s="228">
        <f t="shared" si="929"/>
        <v>0</v>
      </c>
      <c r="BM941" s="233" cm="1">
        <f t="array" ref="BM941">L941/IF($M941&gt;0, INDEX($AY$22:$BE$76, $M941+20, $AH941), 1)</f>
        <v>0</v>
      </c>
      <c r="BN941" s="229">
        <f t="shared" si="903"/>
        <v>0</v>
      </c>
      <c r="BO941" s="228">
        <v>35</v>
      </c>
      <c r="BP941" s="229">
        <f t="shared" si="904"/>
        <v>48</v>
      </c>
      <c r="BQ941" s="234">
        <f t="shared" si="905"/>
        <v>3.0748170731707316</v>
      </c>
      <c r="BR941" s="234" cm="1">
        <f t="array" ref="BR941">$BM941 * SUMPRODUCT(INDEX($AV$76:$AX$81,,$AI941),INDEX($AY$76:$BE$81,,$AH941), N($AU$76:$AU$81&gt;$AM941)) / BQ941 / 1000</f>
        <v>0</v>
      </c>
      <c r="BS941" s="231">
        <f t="shared" si="930"/>
        <v>30</v>
      </c>
      <c r="BT941" s="229">
        <f t="shared" si="906"/>
        <v>43</v>
      </c>
      <c r="BU941" s="234">
        <f t="shared" si="907"/>
        <v>3.5018750000000001</v>
      </c>
      <c r="BV941" s="234" cm="1">
        <f t="array" ref="BV941">$BM941 * IF($AH941&lt;=2,
SUMPRODUCT(INDEX($AV$71:$AX$75,,$AI941), INDEX($AY$71:$BE$75,,$AH941), 1 / ($BF$71:$BF$75*BU941 + (1-$BF$71:$BF$75)*BQ941), N($AU$71:$AU$75&gt;$AM941)),
SUMPRODUCT(INDEX($AV$66:$AX$75,,$AI941), INDEX($AY$66:$BE$75,,$AH941), 1 / ($BG$66:$BG$75*BU941 + (1-$BG$66:$BG$75)*BQ941), N($AU$66:$AU$75&gt;$AM941))
) / 1000</f>
        <v>0</v>
      </c>
      <c r="BW941" s="231">
        <f t="shared" si="931"/>
        <v>25</v>
      </c>
      <c r="BX941" s="229">
        <f t="shared" si="908"/>
        <v>38</v>
      </c>
      <c r="BY941" s="234">
        <f t="shared" si="909"/>
        <v>4.0666935483870965</v>
      </c>
      <c r="BZ941" s="234" cm="1">
        <f t="array" ref="BZ941">$BM941 * IF($AH941&lt;=2,
SUMPRODUCT(INDEX($AV$66:$AX$70,,$AI941), INDEX($AY$66:$BE$70,,$AH941), 1 / ($BF$66:$BF$70*BY941 + (1-$BF$66:$BF$70)*BU941), N($AU$66:$AU$70&gt;$AM941)),
SUMPRODUCT(INDEX($AV$56:$AX$65,,$AI941), INDEX($AY$56:$BE$65,,$AH941), 1 / ($BG$56:$BG$65*BY941 + (1-$BG$56:$BG$65)*BU941), N($AU$56:$AU$65&gt;$AM941))
) / 1000</f>
        <v>0</v>
      </c>
      <c r="CA941" s="231">
        <f t="shared" si="932"/>
        <v>20</v>
      </c>
      <c r="CB941" s="229">
        <f t="shared" si="910"/>
        <v>33</v>
      </c>
      <c r="CC941" s="234">
        <f t="shared" si="911"/>
        <v>4.8487499999999999</v>
      </c>
      <c r="CD941" s="234" cm="1">
        <f t="array" ref="CD941">$BM941 * IF($AH941&lt;=2,
SUMPRODUCT(INDEX($AV$61:$AX$65,,$AI941), INDEX($AY$61:$BE$65,,$AH941), 1 / ($BF$61:$BF$65*CC941 + (1-$BF$61:$BF$65)*BY941), N($AU$61:$AU$65&gt;$AM941)),
SUMPRODUCT(INDEX($AV$46:$AX$55,,$AI941), INDEX($AY$46:$BE$55,,$AH941), 1 / ($BG$46:$BG$55*CC941 + (1-$BG$46:$BG$55)*BY941), N($AU$46:$AU$55&gt;$AM941))
) / 1000</f>
        <v>0</v>
      </c>
      <c r="CE941" s="234" cm="1">
        <f t="array" ref="CE941">$BM941 * IF($AH941&lt;=2,
SUMPRODUCT(INDEX($AV$22:$AX$60,,$AI941), INDEX($AY$22:$BE$60,,$AH941), 1 / ($BF$22:$BF$60*CC941), N($AU$22:$AU$60&gt;$AM941)),
SUMPRODUCT(INDEX($AV$22:$AX$45,,$AI941), INDEX($AY$22:$BE$45,,$AH941), 1 / ($BG$22:$BG$45*CC941), N($AU$22:$AU$45&gt;$AM941))
) / 1000</f>
        <v>0</v>
      </c>
      <c r="CF941" s="229">
        <f t="shared" si="912"/>
        <v>0</v>
      </c>
      <c r="CG941" s="246"/>
      <c r="CH941" s="229">
        <f t="shared" si="913"/>
        <v>0</v>
      </c>
      <c r="CI941" s="228">
        <v>35</v>
      </c>
      <c r="CJ941" s="229">
        <f t="shared" si="914"/>
        <v>48</v>
      </c>
      <c r="CK941" s="234">
        <f t="shared" si="915"/>
        <v>3.0748170731707316</v>
      </c>
      <c r="CL941" s="234" cm="1">
        <f t="array" ref="CL941">$BM941 * SUMPRODUCT(INDEX($AV$76:$AX$81,,$AI941),INDEX($AY$76:$BE$81,,$AH941), N($AU$76:$AU$81&gt;$AM941)) / CK941 / 1000</f>
        <v>0</v>
      </c>
      <c r="CM941" s="231">
        <f t="shared" si="933"/>
        <v>30</v>
      </c>
      <c r="CN941" s="229">
        <f t="shared" si="916"/>
        <v>43</v>
      </c>
      <c r="CO941" s="234">
        <f t="shared" si="917"/>
        <v>3.5018750000000001</v>
      </c>
      <c r="CP941" s="234" cm="1">
        <f t="array" ref="CP941">$BM941 * IF($AH941&lt;=2,
SUMPRODUCT(INDEX($AV$71:$AX$75,,$AI941), INDEX($AY$71:$BE$75,,$AH941), 1 / ($BF$71:$BF$75*CO941 + (1-$BF$71:$BF$75)*CK941), N($AU$71:$AU$75&gt;$AM941)),
SUMPRODUCT(INDEX($AV$66:$AX$75,,$AI941), INDEX($AY$66:$BE$75,,$AH941), 1 / ($BG$66:$BG$75*CO941 + (1-$BG$66:$BG$75)*CK941), N($AU$66:$AU$75&gt;$AM941))
) / 1000</f>
        <v>0</v>
      </c>
      <c r="CQ941" s="231">
        <f t="shared" si="934"/>
        <v>25</v>
      </c>
      <c r="CR941" s="229">
        <f t="shared" si="918"/>
        <v>38</v>
      </c>
      <c r="CS941" s="234">
        <f t="shared" si="919"/>
        <v>4.0666935483870965</v>
      </c>
      <c r="CT941" s="234" cm="1">
        <f t="array" ref="CT941">$BM941 * IF($AH941&lt;=2,
SUMPRODUCT(INDEX($AV$66:$AX$70,,$AI941), INDEX($AY$66:$BE$70,,$AH941), 1 / ($BF$66:$BF$70*CS941 + (1-$BF$66:$BF$70)*CO941), N($AU$66:$AU$70&gt;$AM941)),
SUMPRODUCT(INDEX($AV$56:$AX$65,,$AI941), INDEX($AY$56:$BE$65,,$AH941), 1 / ($BG$56:$BG$65*CS941 + (1-$BG$56:$BG$65)*CO941), N($AU$56:$AU$65&gt;$AM941))
) / 1000</f>
        <v>0</v>
      </c>
      <c r="CU941" s="231">
        <f t="shared" si="935"/>
        <v>20</v>
      </c>
      <c r="CV941" s="229">
        <f t="shared" si="920"/>
        <v>33</v>
      </c>
      <c r="CW941" s="234">
        <f t="shared" si="921"/>
        <v>4.8487499999999999</v>
      </c>
      <c r="CX941" s="234" cm="1">
        <f t="array" ref="CX941">$BM941 * IF($AH941&lt;=2,
SUMPRODUCT(INDEX($AV$61:$AX$65,,$AI941), INDEX($AY$61:$BE$65,,$AH941), 1 / ($BF$61:$BF$65*CW941 + (1-$BF$61:$BF$65)*CS941), N($AU$61:$AU$65&gt;$AM941)),
SUMPRODUCT(INDEX($AV$46:$AX$55,,$AI941), INDEX($AY$46:$BE$55,,$AH941), 1 / ($BG$46:$BG$55*CW941 + (1-$BG$46:$BG$55)*CS941), N($AU$46:$AU$55&gt;$AM941))
) / 1000</f>
        <v>0</v>
      </c>
      <c r="CY941" s="234" cm="1">
        <f t="array" ref="CY941">$BM941 * IF($AH941&lt;=2,
SUMPRODUCT(INDEX($AV$22:$AX$60,,$AI941), INDEX($AY$22:$BE$60,,$AH941), 1 / ($BF$22:$BF$60*CW941), N($AU$22:$AU$60&gt;$AM941)),
SUMPRODUCT(INDEX($AV$22:$AX$45,,$AI941), INDEX($AY$22:$BE$45,,$AH941), 1 / ($BG$22:$BG$45*CW941), N($AU$22:$AU$45&gt;$AM941))
) / 1000</f>
        <v>0</v>
      </c>
      <c r="CZ941" s="229">
        <f t="shared" si="922"/>
        <v>0</v>
      </c>
      <c r="DA941" s="246"/>
    </row>
    <row r="942" spans="1:105" s="75" customFormat="1" ht="14.25" customHeight="1" x14ac:dyDescent="0.2">
      <c r="A942" s="230" t="b">
        <f t="shared" si="927"/>
        <v>0</v>
      </c>
      <c r="B942" s="253">
        <v>921</v>
      </c>
      <c r="C942" s="266"/>
      <c r="D942" s="266"/>
      <c r="E942" s="254"/>
      <c r="F942" s="255" t="str">
        <f>IF(ISBLANK(E942), "", VLOOKUP(E942, Z!$A$2:$C$4127, 3, FALSE))</f>
        <v/>
      </c>
      <c r="G942" s="256"/>
      <c r="H942" s="256"/>
      <c r="I942" s="256"/>
      <c r="J942" s="257"/>
      <c r="K942" s="258"/>
      <c r="L942" s="267"/>
      <c r="M942" s="268"/>
      <c r="N942" s="259" t="str" cm="1">
        <f t="array" ref="N942">IF($L942&gt;0, INDEX(Clean,1+AK942,$D$1), "")</f>
        <v/>
      </c>
      <c r="O942" s="260"/>
      <c r="P942" s="260"/>
      <c r="Q942" s="261"/>
      <c r="R942" s="264">
        <f t="shared" si="898"/>
        <v>0</v>
      </c>
      <c r="S942" s="259" t="str" cm="1">
        <f t="array" ref="S942">IF($L942&gt;0, INDEX(Clean,1+AL942,$D$1), "")</f>
        <v/>
      </c>
      <c r="T942" s="260"/>
      <c r="U942" s="260"/>
      <c r="V942" s="261"/>
      <c r="W942" s="267"/>
      <c r="X942" s="267"/>
      <c r="Y942" s="257"/>
      <c r="Z942" s="264">
        <f t="shared" si="899"/>
        <v>0</v>
      </c>
      <c r="AA942" s="269"/>
      <c r="AB942" s="266"/>
      <c r="AC942" s="254"/>
      <c r="AD942" s="255" t="str">
        <f>IF(ISBLANK(AC942), "", VLOOKUP(AC942, Z!$A$2:$C$4127, 3, FALSE))</f>
        <v/>
      </c>
      <c r="AE942" s="270"/>
      <c r="AF942" s="265">
        <f t="shared" si="900"/>
        <v>0</v>
      </c>
      <c r="AG942" s="246"/>
      <c r="AH942" s="228">
        <f t="shared" si="923"/>
        <v>1</v>
      </c>
      <c r="AI942" s="228">
        <f t="shared" si="924"/>
        <v>1</v>
      </c>
      <c r="AJ942" s="228">
        <f t="shared" si="925"/>
        <v>0</v>
      </c>
      <c r="AK942" s="228">
        <v>0</v>
      </c>
      <c r="AL942" s="228">
        <v>0</v>
      </c>
      <c r="AM942" s="228">
        <f t="shared" si="901"/>
        <v>-100</v>
      </c>
      <c r="AN942" s="228" cm="1">
        <f t="array" ref="AN942">IF(ISBLANK(G942), 1, IFERROR(MATCH(G942, INDEX(Kat,,1), 0), IFERROR(MATCH(Kat, INDEX(Use,,2), 0), MATCH(Kat, INDEX(Use,,3), 0))))</f>
        <v>1</v>
      </c>
      <c r="AO942" s="246"/>
      <c r="AP942" s="228" cm="1">
        <f t="array" ref="AP942">IF(W942&gt;0, INDEX(Kat, AN942,4), 0)</f>
        <v>0</v>
      </c>
      <c r="AQ942" s="228">
        <f t="shared" si="926"/>
        <v>0</v>
      </c>
      <c r="AR942" s="228" cm="1">
        <f t="array" ref="AR942">IF(X942&gt;0, INDEX(Kat, $AN942, 4+AQ942), 0)</f>
        <v>0</v>
      </c>
      <c r="AS942" s="228" cm="1">
        <f t="array" ref="AS942">IF(X942&gt;0, INDEX(Kat, $AN942, 9+AQ942), 0)</f>
        <v>0</v>
      </c>
      <c r="AT942" s="246"/>
      <c r="AU942" s="262"/>
      <c r="AV942" s="262"/>
      <c r="AW942" s="263"/>
      <c r="AX942" s="263"/>
      <c r="AY942" s="263"/>
      <c r="AZ942" s="263"/>
      <c r="BA942" s="263"/>
      <c r="BB942" s="263"/>
      <c r="BC942" s="263"/>
      <c r="BD942" s="263"/>
      <c r="BE942" s="263"/>
      <c r="BF942" s="263"/>
      <c r="BG942" s="263"/>
      <c r="BH942" s="246"/>
      <c r="BI942" s="228" cm="1">
        <f t="array" ref="BI942">INDEX(Use, $AH942, 4)</f>
        <v>7</v>
      </c>
      <c r="BJ942" s="228">
        <f t="shared" si="902"/>
        <v>32</v>
      </c>
      <c r="BK942" s="228">
        <f t="shared" si="928"/>
        <v>13</v>
      </c>
      <c r="BL942" s="228">
        <f t="shared" si="929"/>
        <v>0</v>
      </c>
      <c r="BM942" s="233" cm="1">
        <f t="array" ref="BM942">L942/IF($M942&gt;0, INDEX($AY$22:$BE$76, $M942+20, $AH942), 1)</f>
        <v>0</v>
      </c>
      <c r="BN942" s="229">
        <f t="shared" si="903"/>
        <v>0</v>
      </c>
      <c r="BO942" s="228">
        <v>35</v>
      </c>
      <c r="BP942" s="229">
        <f t="shared" si="904"/>
        <v>48</v>
      </c>
      <c r="BQ942" s="234">
        <f t="shared" si="905"/>
        <v>3.0748170731707316</v>
      </c>
      <c r="BR942" s="234" cm="1">
        <f t="array" ref="BR942">$BM942 * SUMPRODUCT(INDEX($AV$76:$AX$81,,$AI942),INDEX($AY$76:$BE$81,,$AH942), N($AU$76:$AU$81&gt;$AM942)) / BQ942 / 1000</f>
        <v>0</v>
      </c>
      <c r="BS942" s="231">
        <f t="shared" si="930"/>
        <v>30</v>
      </c>
      <c r="BT942" s="229">
        <f t="shared" si="906"/>
        <v>43</v>
      </c>
      <c r="BU942" s="234">
        <f t="shared" si="907"/>
        <v>3.5018750000000001</v>
      </c>
      <c r="BV942" s="234" cm="1">
        <f t="array" ref="BV942">$BM942 * IF($AH942&lt;=2,
SUMPRODUCT(INDEX($AV$71:$AX$75,,$AI942), INDEX($AY$71:$BE$75,,$AH942), 1 / ($BF$71:$BF$75*BU942 + (1-$BF$71:$BF$75)*BQ942), N($AU$71:$AU$75&gt;$AM942)),
SUMPRODUCT(INDEX($AV$66:$AX$75,,$AI942), INDEX($AY$66:$BE$75,,$AH942), 1 / ($BG$66:$BG$75*BU942 + (1-$BG$66:$BG$75)*BQ942), N($AU$66:$AU$75&gt;$AM942))
) / 1000</f>
        <v>0</v>
      </c>
      <c r="BW942" s="231">
        <f t="shared" si="931"/>
        <v>25</v>
      </c>
      <c r="BX942" s="229">
        <f t="shared" si="908"/>
        <v>38</v>
      </c>
      <c r="BY942" s="234">
        <f t="shared" si="909"/>
        <v>4.0666935483870965</v>
      </c>
      <c r="BZ942" s="234" cm="1">
        <f t="array" ref="BZ942">$BM942 * IF($AH942&lt;=2,
SUMPRODUCT(INDEX($AV$66:$AX$70,,$AI942), INDEX($AY$66:$BE$70,,$AH942), 1 / ($BF$66:$BF$70*BY942 + (1-$BF$66:$BF$70)*BU942), N($AU$66:$AU$70&gt;$AM942)),
SUMPRODUCT(INDEX($AV$56:$AX$65,,$AI942), INDEX($AY$56:$BE$65,,$AH942), 1 / ($BG$56:$BG$65*BY942 + (1-$BG$56:$BG$65)*BU942), N($AU$56:$AU$65&gt;$AM942))
) / 1000</f>
        <v>0</v>
      </c>
      <c r="CA942" s="231">
        <f t="shared" si="932"/>
        <v>20</v>
      </c>
      <c r="CB942" s="229">
        <f t="shared" si="910"/>
        <v>33</v>
      </c>
      <c r="CC942" s="234">
        <f t="shared" si="911"/>
        <v>4.8487499999999999</v>
      </c>
      <c r="CD942" s="234" cm="1">
        <f t="array" ref="CD942">$BM942 * IF($AH942&lt;=2,
SUMPRODUCT(INDEX($AV$61:$AX$65,,$AI942), INDEX($AY$61:$BE$65,,$AH942), 1 / ($BF$61:$BF$65*CC942 + (1-$BF$61:$BF$65)*BY942), N($AU$61:$AU$65&gt;$AM942)),
SUMPRODUCT(INDEX($AV$46:$AX$55,,$AI942), INDEX($AY$46:$BE$55,,$AH942), 1 / ($BG$46:$BG$55*CC942 + (1-$BG$46:$BG$55)*BY942), N($AU$46:$AU$55&gt;$AM942))
) / 1000</f>
        <v>0</v>
      </c>
      <c r="CE942" s="234" cm="1">
        <f t="array" ref="CE942">$BM942 * IF($AH942&lt;=2,
SUMPRODUCT(INDEX($AV$22:$AX$60,,$AI942), INDEX($AY$22:$BE$60,,$AH942), 1 / ($BF$22:$BF$60*CC942), N($AU$22:$AU$60&gt;$AM942)),
SUMPRODUCT(INDEX($AV$22:$AX$45,,$AI942), INDEX($AY$22:$BE$45,,$AH942), 1 / ($BG$22:$BG$45*CC942), N($AU$22:$AU$45&gt;$AM942))
) / 1000</f>
        <v>0</v>
      </c>
      <c r="CF942" s="229">
        <f t="shared" si="912"/>
        <v>0</v>
      </c>
      <c r="CG942" s="246"/>
      <c r="CH942" s="229">
        <f t="shared" si="913"/>
        <v>0</v>
      </c>
      <c r="CI942" s="228">
        <v>35</v>
      </c>
      <c r="CJ942" s="229">
        <f t="shared" si="914"/>
        <v>48</v>
      </c>
      <c r="CK942" s="234">
        <f t="shared" si="915"/>
        <v>3.0748170731707316</v>
      </c>
      <c r="CL942" s="234" cm="1">
        <f t="array" ref="CL942">$BM942 * SUMPRODUCT(INDEX($AV$76:$AX$81,,$AI942),INDEX($AY$76:$BE$81,,$AH942), N($AU$76:$AU$81&gt;$AM942)) / CK942 / 1000</f>
        <v>0</v>
      </c>
      <c r="CM942" s="231">
        <f t="shared" si="933"/>
        <v>30</v>
      </c>
      <c r="CN942" s="229">
        <f t="shared" si="916"/>
        <v>43</v>
      </c>
      <c r="CO942" s="234">
        <f t="shared" si="917"/>
        <v>3.5018750000000001</v>
      </c>
      <c r="CP942" s="234" cm="1">
        <f t="array" ref="CP942">$BM942 * IF($AH942&lt;=2,
SUMPRODUCT(INDEX($AV$71:$AX$75,,$AI942), INDEX($AY$71:$BE$75,,$AH942), 1 / ($BF$71:$BF$75*CO942 + (1-$BF$71:$BF$75)*CK942), N($AU$71:$AU$75&gt;$AM942)),
SUMPRODUCT(INDEX($AV$66:$AX$75,,$AI942), INDEX($AY$66:$BE$75,,$AH942), 1 / ($BG$66:$BG$75*CO942 + (1-$BG$66:$BG$75)*CK942), N($AU$66:$AU$75&gt;$AM942))
) / 1000</f>
        <v>0</v>
      </c>
      <c r="CQ942" s="231">
        <f t="shared" si="934"/>
        <v>25</v>
      </c>
      <c r="CR942" s="229">
        <f t="shared" si="918"/>
        <v>38</v>
      </c>
      <c r="CS942" s="234">
        <f t="shared" si="919"/>
        <v>4.0666935483870965</v>
      </c>
      <c r="CT942" s="234" cm="1">
        <f t="array" ref="CT942">$BM942 * IF($AH942&lt;=2,
SUMPRODUCT(INDEX($AV$66:$AX$70,,$AI942), INDEX($AY$66:$BE$70,,$AH942), 1 / ($BF$66:$BF$70*CS942 + (1-$BF$66:$BF$70)*CO942), N($AU$66:$AU$70&gt;$AM942)),
SUMPRODUCT(INDEX($AV$56:$AX$65,,$AI942), INDEX($AY$56:$BE$65,,$AH942), 1 / ($BG$56:$BG$65*CS942 + (1-$BG$56:$BG$65)*CO942), N($AU$56:$AU$65&gt;$AM942))
) / 1000</f>
        <v>0</v>
      </c>
      <c r="CU942" s="231">
        <f t="shared" si="935"/>
        <v>20</v>
      </c>
      <c r="CV942" s="229">
        <f t="shared" si="920"/>
        <v>33</v>
      </c>
      <c r="CW942" s="234">
        <f t="shared" si="921"/>
        <v>4.8487499999999999</v>
      </c>
      <c r="CX942" s="234" cm="1">
        <f t="array" ref="CX942">$BM942 * IF($AH942&lt;=2,
SUMPRODUCT(INDEX($AV$61:$AX$65,,$AI942), INDEX($AY$61:$BE$65,,$AH942), 1 / ($BF$61:$BF$65*CW942 + (1-$BF$61:$BF$65)*CS942), N($AU$61:$AU$65&gt;$AM942)),
SUMPRODUCT(INDEX($AV$46:$AX$55,,$AI942), INDEX($AY$46:$BE$55,,$AH942), 1 / ($BG$46:$BG$55*CW942 + (1-$BG$46:$BG$55)*CS942), N($AU$46:$AU$55&gt;$AM942))
) / 1000</f>
        <v>0</v>
      </c>
      <c r="CY942" s="234" cm="1">
        <f t="array" ref="CY942">$BM942 * IF($AH942&lt;=2,
SUMPRODUCT(INDEX($AV$22:$AX$60,,$AI942), INDEX($AY$22:$BE$60,,$AH942), 1 / ($BF$22:$BF$60*CW942), N($AU$22:$AU$60&gt;$AM942)),
SUMPRODUCT(INDEX($AV$22:$AX$45,,$AI942), INDEX($AY$22:$BE$45,,$AH942), 1 / ($BG$22:$BG$45*CW942), N($AU$22:$AU$45&gt;$AM942))
) / 1000</f>
        <v>0</v>
      </c>
      <c r="CZ942" s="229">
        <f t="shared" si="922"/>
        <v>0</v>
      </c>
      <c r="DA942" s="246"/>
    </row>
    <row r="943" spans="1:105" s="75" customFormat="1" ht="14.25" customHeight="1" x14ac:dyDescent="0.2">
      <c r="A943" s="230" t="b">
        <f t="shared" si="927"/>
        <v>0</v>
      </c>
      <c r="B943" s="253">
        <v>922</v>
      </c>
      <c r="C943" s="266"/>
      <c r="D943" s="266"/>
      <c r="E943" s="254"/>
      <c r="F943" s="255" t="str">
        <f>IF(ISBLANK(E943), "", VLOOKUP(E943, Z!$A$2:$C$4127, 3, FALSE))</f>
        <v/>
      </c>
      <c r="G943" s="256"/>
      <c r="H943" s="256"/>
      <c r="I943" s="256"/>
      <c r="J943" s="257"/>
      <c r="K943" s="258"/>
      <c r="L943" s="267"/>
      <c r="M943" s="268"/>
      <c r="N943" s="259" t="str" cm="1">
        <f t="array" ref="N943">IF($L943&gt;0, INDEX(Clean,1+AK943,$D$1), "")</f>
        <v/>
      </c>
      <c r="O943" s="260"/>
      <c r="P943" s="260"/>
      <c r="Q943" s="261"/>
      <c r="R943" s="264">
        <f t="shared" si="898"/>
        <v>0</v>
      </c>
      <c r="S943" s="259" t="str" cm="1">
        <f t="array" ref="S943">IF($L943&gt;0, INDEX(Clean,1+AL943,$D$1), "")</f>
        <v/>
      </c>
      <c r="T943" s="260"/>
      <c r="U943" s="260"/>
      <c r="V943" s="261"/>
      <c r="W943" s="267"/>
      <c r="X943" s="267"/>
      <c r="Y943" s="257"/>
      <c r="Z943" s="264">
        <f t="shared" si="899"/>
        <v>0</v>
      </c>
      <c r="AA943" s="269"/>
      <c r="AB943" s="266"/>
      <c r="AC943" s="254"/>
      <c r="AD943" s="255" t="str">
        <f>IF(ISBLANK(AC943), "", VLOOKUP(AC943, Z!$A$2:$C$4127, 3, FALSE))</f>
        <v/>
      </c>
      <c r="AE943" s="270"/>
      <c r="AF943" s="265">
        <f t="shared" si="900"/>
        <v>0</v>
      </c>
      <c r="AG943" s="246"/>
      <c r="AH943" s="228">
        <f t="shared" si="923"/>
        <v>1</v>
      </c>
      <c r="AI943" s="228">
        <f t="shared" si="924"/>
        <v>1</v>
      </c>
      <c r="AJ943" s="228">
        <f t="shared" si="925"/>
        <v>0</v>
      </c>
      <c r="AK943" s="228">
        <v>0</v>
      </c>
      <c r="AL943" s="228">
        <v>0</v>
      </c>
      <c r="AM943" s="228">
        <f t="shared" si="901"/>
        <v>-100</v>
      </c>
      <c r="AN943" s="228" cm="1">
        <f t="array" ref="AN943">IF(ISBLANK(G943), 1, IFERROR(MATCH(G943, INDEX(Kat,,1), 0), IFERROR(MATCH(Kat, INDEX(Use,,2), 0), MATCH(Kat, INDEX(Use,,3), 0))))</f>
        <v>1</v>
      </c>
      <c r="AO943" s="246"/>
      <c r="AP943" s="228" cm="1">
        <f t="array" ref="AP943">IF(W943&gt;0, INDEX(Kat, AN943,4), 0)</f>
        <v>0</v>
      </c>
      <c r="AQ943" s="228">
        <f t="shared" si="926"/>
        <v>0</v>
      </c>
      <c r="AR943" s="228" cm="1">
        <f t="array" ref="AR943">IF(X943&gt;0, INDEX(Kat, $AN943, 4+AQ943), 0)</f>
        <v>0</v>
      </c>
      <c r="AS943" s="228" cm="1">
        <f t="array" ref="AS943">IF(X943&gt;0, INDEX(Kat, $AN943, 9+AQ943), 0)</f>
        <v>0</v>
      </c>
      <c r="AT943" s="246"/>
      <c r="AU943" s="262"/>
      <c r="AV943" s="262"/>
      <c r="AW943" s="263"/>
      <c r="AX943" s="263"/>
      <c r="AY943" s="263"/>
      <c r="AZ943" s="263"/>
      <c r="BA943" s="263"/>
      <c r="BB943" s="263"/>
      <c r="BC943" s="263"/>
      <c r="BD943" s="263"/>
      <c r="BE943" s="263"/>
      <c r="BF943" s="263"/>
      <c r="BG943" s="263"/>
      <c r="BH943" s="246"/>
      <c r="BI943" s="228" cm="1">
        <f t="array" ref="BI943">INDEX(Use, $AH943, 4)</f>
        <v>7</v>
      </c>
      <c r="BJ943" s="228">
        <f t="shared" si="902"/>
        <v>32</v>
      </c>
      <c r="BK943" s="228">
        <f t="shared" si="928"/>
        <v>13</v>
      </c>
      <c r="BL943" s="228">
        <f t="shared" si="929"/>
        <v>0</v>
      </c>
      <c r="BM943" s="233" cm="1">
        <f t="array" ref="BM943">L943/IF($M943&gt;0, INDEX($AY$22:$BE$76, $M943+20, $AH943), 1)</f>
        <v>0</v>
      </c>
      <c r="BN943" s="229">
        <f t="shared" si="903"/>
        <v>0</v>
      </c>
      <c r="BO943" s="228">
        <v>35</v>
      </c>
      <c r="BP943" s="229">
        <f t="shared" si="904"/>
        <v>48</v>
      </c>
      <c r="BQ943" s="234">
        <f t="shared" si="905"/>
        <v>3.0748170731707316</v>
      </c>
      <c r="BR943" s="234" cm="1">
        <f t="array" ref="BR943">$BM943 * SUMPRODUCT(INDEX($AV$76:$AX$81,,$AI943),INDEX($AY$76:$BE$81,,$AH943), N($AU$76:$AU$81&gt;$AM943)) / BQ943 / 1000</f>
        <v>0</v>
      </c>
      <c r="BS943" s="231">
        <f t="shared" si="930"/>
        <v>30</v>
      </c>
      <c r="BT943" s="229">
        <f t="shared" si="906"/>
        <v>43</v>
      </c>
      <c r="BU943" s="234">
        <f t="shared" si="907"/>
        <v>3.5018750000000001</v>
      </c>
      <c r="BV943" s="234" cm="1">
        <f t="array" ref="BV943">$BM943 * IF($AH943&lt;=2,
SUMPRODUCT(INDEX($AV$71:$AX$75,,$AI943), INDEX($AY$71:$BE$75,,$AH943), 1 / ($BF$71:$BF$75*BU943 + (1-$BF$71:$BF$75)*BQ943), N($AU$71:$AU$75&gt;$AM943)),
SUMPRODUCT(INDEX($AV$66:$AX$75,,$AI943), INDEX($AY$66:$BE$75,,$AH943), 1 / ($BG$66:$BG$75*BU943 + (1-$BG$66:$BG$75)*BQ943), N($AU$66:$AU$75&gt;$AM943))
) / 1000</f>
        <v>0</v>
      </c>
      <c r="BW943" s="231">
        <f t="shared" si="931"/>
        <v>25</v>
      </c>
      <c r="BX943" s="229">
        <f t="shared" si="908"/>
        <v>38</v>
      </c>
      <c r="BY943" s="234">
        <f t="shared" si="909"/>
        <v>4.0666935483870965</v>
      </c>
      <c r="BZ943" s="234" cm="1">
        <f t="array" ref="BZ943">$BM943 * IF($AH943&lt;=2,
SUMPRODUCT(INDEX($AV$66:$AX$70,,$AI943), INDEX($AY$66:$BE$70,,$AH943), 1 / ($BF$66:$BF$70*BY943 + (1-$BF$66:$BF$70)*BU943), N($AU$66:$AU$70&gt;$AM943)),
SUMPRODUCT(INDEX($AV$56:$AX$65,,$AI943), INDEX($AY$56:$BE$65,,$AH943), 1 / ($BG$56:$BG$65*BY943 + (1-$BG$56:$BG$65)*BU943), N($AU$56:$AU$65&gt;$AM943))
) / 1000</f>
        <v>0</v>
      </c>
      <c r="CA943" s="231">
        <f t="shared" si="932"/>
        <v>20</v>
      </c>
      <c r="CB943" s="229">
        <f t="shared" si="910"/>
        <v>33</v>
      </c>
      <c r="CC943" s="234">
        <f t="shared" si="911"/>
        <v>4.8487499999999999</v>
      </c>
      <c r="CD943" s="234" cm="1">
        <f t="array" ref="CD943">$BM943 * IF($AH943&lt;=2,
SUMPRODUCT(INDEX($AV$61:$AX$65,,$AI943), INDEX($AY$61:$BE$65,,$AH943), 1 / ($BF$61:$BF$65*CC943 + (1-$BF$61:$BF$65)*BY943), N($AU$61:$AU$65&gt;$AM943)),
SUMPRODUCT(INDEX($AV$46:$AX$55,,$AI943), INDEX($AY$46:$BE$55,,$AH943), 1 / ($BG$46:$BG$55*CC943 + (1-$BG$46:$BG$55)*BY943), N($AU$46:$AU$55&gt;$AM943))
) / 1000</f>
        <v>0</v>
      </c>
      <c r="CE943" s="234" cm="1">
        <f t="array" ref="CE943">$BM943 * IF($AH943&lt;=2,
SUMPRODUCT(INDEX($AV$22:$AX$60,,$AI943), INDEX($AY$22:$BE$60,,$AH943), 1 / ($BF$22:$BF$60*CC943), N($AU$22:$AU$60&gt;$AM943)),
SUMPRODUCT(INDEX($AV$22:$AX$45,,$AI943), INDEX($AY$22:$BE$45,,$AH943), 1 / ($BG$22:$BG$45*CC943), N($AU$22:$AU$45&gt;$AM943))
) / 1000</f>
        <v>0</v>
      </c>
      <c r="CF943" s="229">
        <f t="shared" si="912"/>
        <v>0</v>
      </c>
      <c r="CG943" s="246"/>
      <c r="CH943" s="229">
        <f t="shared" si="913"/>
        <v>0</v>
      </c>
      <c r="CI943" s="228">
        <v>35</v>
      </c>
      <c r="CJ943" s="229">
        <f t="shared" si="914"/>
        <v>48</v>
      </c>
      <c r="CK943" s="234">
        <f t="shared" si="915"/>
        <v>3.0748170731707316</v>
      </c>
      <c r="CL943" s="234" cm="1">
        <f t="array" ref="CL943">$BM943 * SUMPRODUCT(INDEX($AV$76:$AX$81,,$AI943),INDEX($AY$76:$BE$81,,$AH943), N($AU$76:$AU$81&gt;$AM943)) / CK943 / 1000</f>
        <v>0</v>
      </c>
      <c r="CM943" s="231">
        <f t="shared" si="933"/>
        <v>30</v>
      </c>
      <c r="CN943" s="229">
        <f t="shared" si="916"/>
        <v>43</v>
      </c>
      <c r="CO943" s="234">
        <f t="shared" si="917"/>
        <v>3.5018750000000001</v>
      </c>
      <c r="CP943" s="234" cm="1">
        <f t="array" ref="CP943">$BM943 * IF($AH943&lt;=2,
SUMPRODUCT(INDEX($AV$71:$AX$75,,$AI943), INDEX($AY$71:$BE$75,,$AH943), 1 / ($BF$71:$BF$75*CO943 + (1-$BF$71:$BF$75)*CK943), N($AU$71:$AU$75&gt;$AM943)),
SUMPRODUCT(INDEX($AV$66:$AX$75,,$AI943), INDEX($AY$66:$BE$75,,$AH943), 1 / ($BG$66:$BG$75*CO943 + (1-$BG$66:$BG$75)*CK943), N($AU$66:$AU$75&gt;$AM943))
) / 1000</f>
        <v>0</v>
      </c>
      <c r="CQ943" s="231">
        <f t="shared" si="934"/>
        <v>25</v>
      </c>
      <c r="CR943" s="229">
        <f t="shared" si="918"/>
        <v>38</v>
      </c>
      <c r="CS943" s="234">
        <f t="shared" si="919"/>
        <v>4.0666935483870965</v>
      </c>
      <c r="CT943" s="234" cm="1">
        <f t="array" ref="CT943">$BM943 * IF($AH943&lt;=2,
SUMPRODUCT(INDEX($AV$66:$AX$70,,$AI943), INDEX($AY$66:$BE$70,,$AH943), 1 / ($BF$66:$BF$70*CS943 + (1-$BF$66:$BF$70)*CO943), N($AU$66:$AU$70&gt;$AM943)),
SUMPRODUCT(INDEX($AV$56:$AX$65,,$AI943), INDEX($AY$56:$BE$65,,$AH943), 1 / ($BG$56:$BG$65*CS943 + (1-$BG$56:$BG$65)*CO943), N($AU$56:$AU$65&gt;$AM943))
) / 1000</f>
        <v>0</v>
      </c>
      <c r="CU943" s="231">
        <f t="shared" si="935"/>
        <v>20</v>
      </c>
      <c r="CV943" s="229">
        <f t="shared" si="920"/>
        <v>33</v>
      </c>
      <c r="CW943" s="234">
        <f t="shared" si="921"/>
        <v>4.8487499999999999</v>
      </c>
      <c r="CX943" s="234" cm="1">
        <f t="array" ref="CX943">$BM943 * IF($AH943&lt;=2,
SUMPRODUCT(INDEX($AV$61:$AX$65,,$AI943), INDEX($AY$61:$BE$65,,$AH943), 1 / ($BF$61:$BF$65*CW943 + (1-$BF$61:$BF$65)*CS943), N($AU$61:$AU$65&gt;$AM943)),
SUMPRODUCT(INDEX($AV$46:$AX$55,,$AI943), INDEX($AY$46:$BE$55,,$AH943), 1 / ($BG$46:$BG$55*CW943 + (1-$BG$46:$BG$55)*CS943), N($AU$46:$AU$55&gt;$AM943))
) / 1000</f>
        <v>0</v>
      </c>
      <c r="CY943" s="234" cm="1">
        <f t="array" ref="CY943">$BM943 * IF($AH943&lt;=2,
SUMPRODUCT(INDEX($AV$22:$AX$60,,$AI943), INDEX($AY$22:$BE$60,,$AH943), 1 / ($BF$22:$BF$60*CW943), N($AU$22:$AU$60&gt;$AM943)),
SUMPRODUCT(INDEX($AV$22:$AX$45,,$AI943), INDEX($AY$22:$BE$45,,$AH943), 1 / ($BG$22:$BG$45*CW943), N($AU$22:$AU$45&gt;$AM943))
) / 1000</f>
        <v>0</v>
      </c>
      <c r="CZ943" s="229">
        <f t="shared" si="922"/>
        <v>0</v>
      </c>
      <c r="DA943" s="246"/>
    </row>
    <row r="944" spans="1:105" s="75" customFormat="1" ht="14.25" customHeight="1" x14ac:dyDescent="0.2">
      <c r="A944" s="230" t="b">
        <f t="shared" si="927"/>
        <v>0</v>
      </c>
      <c r="B944" s="253">
        <v>923</v>
      </c>
      <c r="C944" s="266"/>
      <c r="D944" s="266"/>
      <c r="E944" s="254"/>
      <c r="F944" s="255" t="str">
        <f>IF(ISBLANK(E944), "", VLOOKUP(E944, Z!$A$2:$C$4127, 3, FALSE))</f>
        <v/>
      </c>
      <c r="G944" s="256"/>
      <c r="H944" s="256"/>
      <c r="I944" s="256"/>
      <c r="J944" s="257"/>
      <c r="K944" s="258"/>
      <c r="L944" s="267"/>
      <c r="M944" s="268"/>
      <c r="N944" s="259" t="str" cm="1">
        <f t="array" ref="N944">IF($L944&gt;0, INDEX(Clean,1+AK944,$D$1), "")</f>
        <v/>
      </c>
      <c r="O944" s="260"/>
      <c r="P944" s="260"/>
      <c r="Q944" s="261"/>
      <c r="R944" s="264">
        <f t="shared" si="898"/>
        <v>0</v>
      </c>
      <c r="S944" s="259" t="str" cm="1">
        <f t="array" ref="S944">IF($L944&gt;0, INDEX(Clean,1+AL944,$D$1), "")</f>
        <v/>
      </c>
      <c r="T944" s="260"/>
      <c r="U944" s="260"/>
      <c r="V944" s="261"/>
      <c r="W944" s="267"/>
      <c r="X944" s="267"/>
      <c r="Y944" s="257"/>
      <c r="Z944" s="264">
        <f t="shared" si="899"/>
        <v>0</v>
      </c>
      <c r="AA944" s="269"/>
      <c r="AB944" s="266"/>
      <c r="AC944" s="254"/>
      <c r="AD944" s="255" t="str">
        <f>IF(ISBLANK(AC944), "", VLOOKUP(AC944, Z!$A$2:$C$4127, 3, FALSE))</f>
        <v/>
      </c>
      <c r="AE944" s="270"/>
      <c r="AF944" s="265">
        <f t="shared" si="900"/>
        <v>0</v>
      </c>
      <c r="AG944" s="246"/>
      <c r="AH944" s="228">
        <f t="shared" si="923"/>
        <v>1</v>
      </c>
      <c r="AI944" s="228">
        <f t="shared" si="924"/>
        <v>1</v>
      </c>
      <c r="AJ944" s="228">
        <f t="shared" si="925"/>
        <v>0</v>
      </c>
      <c r="AK944" s="228">
        <v>0</v>
      </c>
      <c r="AL944" s="228">
        <v>0</v>
      </c>
      <c r="AM944" s="228">
        <f t="shared" si="901"/>
        <v>-100</v>
      </c>
      <c r="AN944" s="228" cm="1">
        <f t="array" ref="AN944">IF(ISBLANK(G944), 1, IFERROR(MATCH(G944, INDEX(Kat,,1), 0), IFERROR(MATCH(Kat, INDEX(Use,,2), 0), MATCH(Kat, INDEX(Use,,3), 0))))</f>
        <v>1</v>
      </c>
      <c r="AO944" s="246"/>
      <c r="AP944" s="228" cm="1">
        <f t="array" ref="AP944">IF(W944&gt;0, INDEX(Kat, AN944,4), 0)</f>
        <v>0</v>
      </c>
      <c r="AQ944" s="228">
        <f t="shared" si="926"/>
        <v>0</v>
      </c>
      <c r="AR944" s="228" cm="1">
        <f t="array" ref="AR944">IF(X944&gt;0, INDEX(Kat, $AN944, 4+AQ944), 0)</f>
        <v>0</v>
      </c>
      <c r="AS944" s="228" cm="1">
        <f t="array" ref="AS944">IF(X944&gt;0, INDEX(Kat, $AN944, 9+AQ944), 0)</f>
        <v>0</v>
      </c>
      <c r="AT944" s="246"/>
      <c r="AU944" s="262"/>
      <c r="AV944" s="262"/>
      <c r="AW944" s="263"/>
      <c r="AX944" s="263"/>
      <c r="AY944" s="263"/>
      <c r="AZ944" s="263"/>
      <c r="BA944" s="263"/>
      <c r="BB944" s="263"/>
      <c r="BC944" s="263"/>
      <c r="BD944" s="263"/>
      <c r="BE944" s="263"/>
      <c r="BF944" s="263"/>
      <c r="BG944" s="263"/>
      <c r="BH944" s="246"/>
      <c r="BI944" s="228" cm="1">
        <f t="array" ref="BI944">INDEX(Use, $AH944, 4)</f>
        <v>7</v>
      </c>
      <c r="BJ944" s="228">
        <f t="shared" si="902"/>
        <v>32</v>
      </c>
      <c r="BK944" s="228">
        <f t="shared" si="928"/>
        <v>13</v>
      </c>
      <c r="BL944" s="228">
        <f t="shared" si="929"/>
        <v>0</v>
      </c>
      <c r="BM944" s="233" cm="1">
        <f t="array" ref="BM944">L944/IF($M944&gt;0, INDEX($AY$22:$BE$76, $M944+20, $AH944), 1)</f>
        <v>0</v>
      </c>
      <c r="BN944" s="229">
        <f t="shared" si="903"/>
        <v>0</v>
      </c>
      <c r="BO944" s="228">
        <v>35</v>
      </c>
      <c r="BP944" s="229">
        <f t="shared" si="904"/>
        <v>48</v>
      </c>
      <c r="BQ944" s="234">
        <f t="shared" si="905"/>
        <v>3.0748170731707316</v>
      </c>
      <c r="BR944" s="234" cm="1">
        <f t="array" ref="BR944">$BM944 * SUMPRODUCT(INDEX($AV$76:$AX$81,,$AI944),INDEX($AY$76:$BE$81,,$AH944), N($AU$76:$AU$81&gt;$AM944)) / BQ944 / 1000</f>
        <v>0</v>
      </c>
      <c r="BS944" s="231">
        <f t="shared" si="930"/>
        <v>30</v>
      </c>
      <c r="BT944" s="229">
        <f t="shared" si="906"/>
        <v>43</v>
      </c>
      <c r="BU944" s="234">
        <f t="shared" si="907"/>
        <v>3.5018750000000001</v>
      </c>
      <c r="BV944" s="234" cm="1">
        <f t="array" ref="BV944">$BM944 * IF($AH944&lt;=2,
SUMPRODUCT(INDEX($AV$71:$AX$75,,$AI944), INDEX($AY$71:$BE$75,,$AH944), 1 / ($BF$71:$BF$75*BU944 + (1-$BF$71:$BF$75)*BQ944), N($AU$71:$AU$75&gt;$AM944)),
SUMPRODUCT(INDEX($AV$66:$AX$75,,$AI944), INDEX($AY$66:$BE$75,,$AH944), 1 / ($BG$66:$BG$75*BU944 + (1-$BG$66:$BG$75)*BQ944), N($AU$66:$AU$75&gt;$AM944))
) / 1000</f>
        <v>0</v>
      </c>
      <c r="BW944" s="231">
        <f t="shared" si="931"/>
        <v>25</v>
      </c>
      <c r="BX944" s="229">
        <f t="shared" si="908"/>
        <v>38</v>
      </c>
      <c r="BY944" s="234">
        <f t="shared" si="909"/>
        <v>4.0666935483870965</v>
      </c>
      <c r="BZ944" s="234" cm="1">
        <f t="array" ref="BZ944">$BM944 * IF($AH944&lt;=2,
SUMPRODUCT(INDEX($AV$66:$AX$70,,$AI944), INDEX($AY$66:$BE$70,,$AH944), 1 / ($BF$66:$BF$70*BY944 + (1-$BF$66:$BF$70)*BU944), N($AU$66:$AU$70&gt;$AM944)),
SUMPRODUCT(INDEX($AV$56:$AX$65,,$AI944), INDEX($AY$56:$BE$65,,$AH944), 1 / ($BG$56:$BG$65*BY944 + (1-$BG$56:$BG$65)*BU944), N($AU$56:$AU$65&gt;$AM944))
) / 1000</f>
        <v>0</v>
      </c>
      <c r="CA944" s="231">
        <f t="shared" si="932"/>
        <v>20</v>
      </c>
      <c r="CB944" s="229">
        <f t="shared" si="910"/>
        <v>33</v>
      </c>
      <c r="CC944" s="234">
        <f t="shared" si="911"/>
        <v>4.8487499999999999</v>
      </c>
      <c r="CD944" s="234" cm="1">
        <f t="array" ref="CD944">$BM944 * IF($AH944&lt;=2,
SUMPRODUCT(INDEX($AV$61:$AX$65,,$AI944), INDEX($AY$61:$BE$65,,$AH944), 1 / ($BF$61:$BF$65*CC944 + (1-$BF$61:$BF$65)*BY944), N($AU$61:$AU$65&gt;$AM944)),
SUMPRODUCT(INDEX($AV$46:$AX$55,,$AI944), INDEX($AY$46:$BE$55,,$AH944), 1 / ($BG$46:$BG$55*CC944 + (1-$BG$46:$BG$55)*BY944), N($AU$46:$AU$55&gt;$AM944))
) / 1000</f>
        <v>0</v>
      </c>
      <c r="CE944" s="234" cm="1">
        <f t="array" ref="CE944">$BM944 * IF($AH944&lt;=2,
SUMPRODUCT(INDEX($AV$22:$AX$60,,$AI944), INDEX($AY$22:$BE$60,,$AH944), 1 / ($BF$22:$BF$60*CC944), N($AU$22:$AU$60&gt;$AM944)),
SUMPRODUCT(INDEX($AV$22:$AX$45,,$AI944), INDEX($AY$22:$BE$45,,$AH944), 1 / ($BG$22:$BG$45*CC944), N($AU$22:$AU$45&gt;$AM944))
) / 1000</f>
        <v>0</v>
      </c>
      <c r="CF944" s="229">
        <f t="shared" si="912"/>
        <v>0</v>
      </c>
      <c r="CG944" s="246"/>
      <c r="CH944" s="229">
        <f t="shared" si="913"/>
        <v>0</v>
      </c>
      <c r="CI944" s="228">
        <v>35</v>
      </c>
      <c r="CJ944" s="229">
        <f t="shared" si="914"/>
        <v>48</v>
      </c>
      <c r="CK944" s="234">
        <f t="shared" si="915"/>
        <v>3.0748170731707316</v>
      </c>
      <c r="CL944" s="234" cm="1">
        <f t="array" ref="CL944">$BM944 * SUMPRODUCT(INDEX($AV$76:$AX$81,,$AI944),INDEX($AY$76:$BE$81,,$AH944), N($AU$76:$AU$81&gt;$AM944)) / CK944 / 1000</f>
        <v>0</v>
      </c>
      <c r="CM944" s="231">
        <f t="shared" si="933"/>
        <v>30</v>
      </c>
      <c r="CN944" s="229">
        <f t="shared" si="916"/>
        <v>43</v>
      </c>
      <c r="CO944" s="234">
        <f t="shared" si="917"/>
        <v>3.5018750000000001</v>
      </c>
      <c r="CP944" s="234" cm="1">
        <f t="array" ref="CP944">$BM944 * IF($AH944&lt;=2,
SUMPRODUCT(INDEX($AV$71:$AX$75,,$AI944), INDEX($AY$71:$BE$75,,$AH944), 1 / ($BF$71:$BF$75*CO944 + (1-$BF$71:$BF$75)*CK944), N($AU$71:$AU$75&gt;$AM944)),
SUMPRODUCT(INDEX($AV$66:$AX$75,,$AI944), INDEX($AY$66:$BE$75,,$AH944), 1 / ($BG$66:$BG$75*CO944 + (1-$BG$66:$BG$75)*CK944), N($AU$66:$AU$75&gt;$AM944))
) / 1000</f>
        <v>0</v>
      </c>
      <c r="CQ944" s="231">
        <f t="shared" si="934"/>
        <v>25</v>
      </c>
      <c r="CR944" s="229">
        <f t="shared" si="918"/>
        <v>38</v>
      </c>
      <c r="CS944" s="234">
        <f t="shared" si="919"/>
        <v>4.0666935483870965</v>
      </c>
      <c r="CT944" s="234" cm="1">
        <f t="array" ref="CT944">$BM944 * IF($AH944&lt;=2,
SUMPRODUCT(INDEX($AV$66:$AX$70,,$AI944), INDEX($AY$66:$BE$70,,$AH944), 1 / ($BF$66:$BF$70*CS944 + (1-$BF$66:$BF$70)*CO944), N($AU$66:$AU$70&gt;$AM944)),
SUMPRODUCT(INDEX($AV$56:$AX$65,,$AI944), INDEX($AY$56:$BE$65,,$AH944), 1 / ($BG$56:$BG$65*CS944 + (1-$BG$56:$BG$65)*CO944), N($AU$56:$AU$65&gt;$AM944))
) / 1000</f>
        <v>0</v>
      </c>
      <c r="CU944" s="231">
        <f t="shared" si="935"/>
        <v>20</v>
      </c>
      <c r="CV944" s="229">
        <f t="shared" si="920"/>
        <v>33</v>
      </c>
      <c r="CW944" s="234">
        <f t="shared" si="921"/>
        <v>4.8487499999999999</v>
      </c>
      <c r="CX944" s="234" cm="1">
        <f t="array" ref="CX944">$BM944 * IF($AH944&lt;=2,
SUMPRODUCT(INDEX($AV$61:$AX$65,,$AI944), INDEX($AY$61:$BE$65,,$AH944), 1 / ($BF$61:$BF$65*CW944 + (1-$BF$61:$BF$65)*CS944), N($AU$61:$AU$65&gt;$AM944)),
SUMPRODUCT(INDEX($AV$46:$AX$55,,$AI944), INDEX($AY$46:$BE$55,,$AH944), 1 / ($BG$46:$BG$55*CW944 + (1-$BG$46:$BG$55)*CS944), N($AU$46:$AU$55&gt;$AM944))
) / 1000</f>
        <v>0</v>
      </c>
      <c r="CY944" s="234" cm="1">
        <f t="array" ref="CY944">$BM944 * IF($AH944&lt;=2,
SUMPRODUCT(INDEX($AV$22:$AX$60,,$AI944), INDEX($AY$22:$BE$60,,$AH944), 1 / ($BF$22:$BF$60*CW944), N($AU$22:$AU$60&gt;$AM944)),
SUMPRODUCT(INDEX($AV$22:$AX$45,,$AI944), INDEX($AY$22:$BE$45,,$AH944), 1 / ($BG$22:$BG$45*CW944), N($AU$22:$AU$45&gt;$AM944))
) / 1000</f>
        <v>0</v>
      </c>
      <c r="CZ944" s="229">
        <f t="shared" si="922"/>
        <v>0</v>
      </c>
      <c r="DA944" s="246"/>
    </row>
    <row r="945" spans="1:105" s="75" customFormat="1" ht="14.25" customHeight="1" x14ac:dyDescent="0.2">
      <c r="A945" s="230" t="b">
        <f t="shared" si="927"/>
        <v>0</v>
      </c>
      <c r="B945" s="253">
        <v>924</v>
      </c>
      <c r="C945" s="266"/>
      <c r="D945" s="266"/>
      <c r="E945" s="254"/>
      <c r="F945" s="255" t="str">
        <f>IF(ISBLANK(E945), "", VLOOKUP(E945, Z!$A$2:$C$4127, 3, FALSE))</f>
        <v/>
      </c>
      <c r="G945" s="256"/>
      <c r="H945" s="256"/>
      <c r="I945" s="256"/>
      <c r="J945" s="257"/>
      <c r="K945" s="258"/>
      <c r="L945" s="267"/>
      <c r="M945" s="268"/>
      <c r="N945" s="259" t="str" cm="1">
        <f t="array" ref="N945">IF($L945&gt;0, INDEX(Clean,1+AK945,$D$1), "")</f>
        <v/>
      </c>
      <c r="O945" s="260"/>
      <c r="P945" s="260"/>
      <c r="Q945" s="261"/>
      <c r="R945" s="264">
        <f t="shared" si="898"/>
        <v>0</v>
      </c>
      <c r="S945" s="259" t="str" cm="1">
        <f t="array" ref="S945">IF($L945&gt;0, INDEX(Clean,1+AL945,$D$1), "")</f>
        <v/>
      </c>
      <c r="T945" s="260"/>
      <c r="U945" s="260"/>
      <c r="V945" s="261"/>
      <c r="W945" s="267"/>
      <c r="X945" s="267"/>
      <c r="Y945" s="257"/>
      <c r="Z945" s="264">
        <f t="shared" si="899"/>
        <v>0</v>
      </c>
      <c r="AA945" s="269"/>
      <c r="AB945" s="266"/>
      <c r="AC945" s="254"/>
      <c r="AD945" s="255" t="str">
        <f>IF(ISBLANK(AC945), "", VLOOKUP(AC945, Z!$A$2:$C$4127, 3, FALSE))</f>
        <v/>
      </c>
      <c r="AE945" s="270"/>
      <c r="AF945" s="265">
        <f t="shared" si="900"/>
        <v>0</v>
      </c>
      <c r="AG945" s="246"/>
      <c r="AH945" s="228">
        <f t="shared" si="923"/>
        <v>1</v>
      </c>
      <c r="AI945" s="228">
        <f t="shared" si="924"/>
        <v>1</v>
      </c>
      <c r="AJ945" s="228">
        <f t="shared" si="925"/>
        <v>0</v>
      </c>
      <c r="AK945" s="228">
        <v>0</v>
      </c>
      <c r="AL945" s="228">
        <v>0</v>
      </c>
      <c r="AM945" s="228">
        <f t="shared" si="901"/>
        <v>-100</v>
      </c>
      <c r="AN945" s="228" cm="1">
        <f t="array" ref="AN945">IF(ISBLANK(G945), 1, IFERROR(MATCH(G945, INDEX(Kat,,1), 0), IFERROR(MATCH(Kat, INDEX(Use,,2), 0), MATCH(Kat, INDEX(Use,,3), 0))))</f>
        <v>1</v>
      </c>
      <c r="AO945" s="246"/>
      <c r="AP945" s="228" cm="1">
        <f t="array" ref="AP945">IF(W945&gt;0, INDEX(Kat, AN945,4), 0)</f>
        <v>0</v>
      </c>
      <c r="AQ945" s="228">
        <f t="shared" si="926"/>
        <v>0</v>
      </c>
      <c r="AR945" s="228" cm="1">
        <f t="array" ref="AR945">IF(X945&gt;0, INDEX(Kat, $AN945, 4+AQ945), 0)</f>
        <v>0</v>
      </c>
      <c r="AS945" s="228" cm="1">
        <f t="array" ref="AS945">IF(X945&gt;0, INDEX(Kat, $AN945, 9+AQ945), 0)</f>
        <v>0</v>
      </c>
      <c r="AT945" s="246"/>
      <c r="AU945" s="262"/>
      <c r="AV945" s="262"/>
      <c r="AW945" s="263"/>
      <c r="AX945" s="263"/>
      <c r="AY945" s="263"/>
      <c r="AZ945" s="263"/>
      <c r="BA945" s="263"/>
      <c r="BB945" s="263"/>
      <c r="BC945" s="263"/>
      <c r="BD945" s="263"/>
      <c r="BE945" s="263"/>
      <c r="BF945" s="263"/>
      <c r="BG945" s="263"/>
      <c r="BH945" s="246"/>
      <c r="BI945" s="228" cm="1">
        <f t="array" ref="BI945">INDEX(Use, $AH945, 4)</f>
        <v>7</v>
      </c>
      <c r="BJ945" s="228">
        <f t="shared" si="902"/>
        <v>32</v>
      </c>
      <c r="BK945" s="228">
        <f t="shared" si="928"/>
        <v>13</v>
      </c>
      <c r="BL945" s="228">
        <f t="shared" si="929"/>
        <v>0</v>
      </c>
      <c r="BM945" s="233" cm="1">
        <f t="array" ref="BM945">L945/IF($M945&gt;0, INDEX($AY$22:$BE$76, $M945+20, $AH945), 1)</f>
        <v>0</v>
      </c>
      <c r="BN945" s="229">
        <f t="shared" si="903"/>
        <v>0</v>
      </c>
      <c r="BO945" s="228">
        <v>35</v>
      </c>
      <c r="BP945" s="229">
        <f t="shared" si="904"/>
        <v>48</v>
      </c>
      <c r="BQ945" s="234">
        <f t="shared" si="905"/>
        <v>3.0748170731707316</v>
      </c>
      <c r="BR945" s="234" cm="1">
        <f t="array" ref="BR945">$BM945 * SUMPRODUCT(INDEX($AV$76:$AX$81,,$AI945),INDEX($AY$76:$BE$81,,$AH945), N($AU$76:$AU$81&gt;$AM945)) / BQ945 / 1000</f>
        <v>0</v>
      </c>
      <c r="BS945" s="231">
        <f t="shared" si="930"/>
        <v>30</v>
      </c>
      <c r="BT945" s="229">
        <f t="shared" si="906"/>
        <v>43</v>
      </c>
      <c r="BU945" s="234">
        <f t="shared" si="907"/>
        <v>3.5018750000000001</v>
      </c>
      <c r="BV945" s="234" cm="1">
        <f t="array" ref="BV945">$BM945 * IF($AH945&lt;=2,
SUMPRODUCT(INDEX($AV$71:$AX$75,,$AI945), INDEX($AY$71:$BE$75,,$AH945), 1 / ($BF$71:$BF$75*BU945 + (1-$BF$71:$BF$75)*BQ945), N($AU$71:$AU$75&gt;$AM945)),
SUMPRODUCT(INDEX($AV$66:$AX$75,,$AI945), INDEX($AY$66:$BE$75,,$AH945), 1 / ($BG$66:$BG$75*BU945 + (1-$BG$66:$BG$75)*BQ945), N($AU$66:$AU$75&gt;$AM945))
) / 1000</f>
        <v>0</v>
      </c>
      <c r="BW945" s="231">
        <f t="shared" si="931"/>
        <v>25</v>
      </c>
      <c r="BX945" s="229">
        <f t="shared" si="908"/>
        <v>38</v>
      </c>
      <c r="BY945" s="234">
        <f t="shared" si="909"/>
        <v>4.0666935483870965</v>
      </c>
      <c r="BZ945" s="234" cm="1">
        <f t="array" ref="BZ945">$BM945 * IF($AH945&lt;=2,
SUMPRODUCT(INDEX($AV$66:$AX$70,,$AI945), INDEX($AY$66:$BE$70,,$AH945), 1 / ($BF$66:$BF$70*BY945 + (1-$BF$66:$BF$70)*BU945), N($AU$66:$AU$70&gt;$AM945)),
SUMPRODUCT(INDEX($AV$56:$AX$65,,$AI945), INDEX($AY$56:$BE$65,,$AH945), 1 / ($BG$56:$BG$65*BY945 + (1-$BG$56:$BG$65)*BU945), N($AU$56:$AU$65&gt;$AM945))
) / 1000</f>
        <v>0</v>
      </c>
      <c r="CA945" s="231">
        <f t="shared" si="932"/>
        <v>20</v>
      </c>
      <c r="CB945" s="229">
        <f t="shared" si="910"/>
        <v>33</v>
      </c>
      <c r="CC945" s="234">
        <f t="shared" si="911"/>
        <v>4.8487499999999999</v>
      </c>
      <c r="CD945" s="234" cm="1">
        <f t="array" ref="CD945">$BM945 * IF($AH945&lt;=2,
SUMPRODUCT(INDEX($AV$61:$AX$65,,$AI945), INDEX($AY$61:$BE$65,,$AH945), 1 / ($BF$61:$BF$65*CC945 + (1-$BF$61:$BF$65)*BY945), N($AU$61:$AU$65&gt;$AM945)),
SUMPRODUCT(INDEX($AV$46:$AX$55,,$AI945), INDEX($AY$46:$BE$55,,$AH945), 1 / ($BG$46:$BG$55*CC945 + (1-$BG$46:$BG$55)*BY945), N($AU$46:$AU$55&gt;$AM945))
) / 1000</f>
        <v>0</v>
      </c>
      <c r="CE945" s="234" cm="1">
        <f t="array" ref="CE945">$BM945 * IF($AH945&lt;=2,
SUMPRODUCT(INDEX($AV$22:$AX$60,,$AI945), INDEX($AY$22:$BE$60,,$AH945), 1 / ($BF$22:$BF$60*CC945), N($AU$22:$AU$60&gt;$AM945)),
SUMPRODUCT(INDEX($AV$22:$AX$45,,$AI945), INDEX($AY$22:$BE$45,,$AH945), 1 / ($BG$22:$BG$45*CC945), N($AU$22:$AU$45&gt;$AM945))
) / 1000</f>
        <v>0</v>
      </c>
      <c r="CF945" s="229">
        <f t="shared" si="912"/>
        <v>0</v>
      </c>
      <c r="CG945" s="246"/>
      <c r="CH945" s="229">
        <f t="shared" si="913"/>
        <v>0</v>
      </c>
      <c r="CI945" s="228">
        <v>35</v>
      </c>
      <c r="CJ945" s="229">
        <f t="shared" si="914"/>
        <v>48</v>
      </c>
      <c r="CK945" s="234">
        <f t="shared" si="915"/>
        <v>3.0748170731707316</v>
      </c>
      <c r="CL945" s="234" cm="1">
        <f t="array" ref="CL945">$BM945 * SUMPRODUCT(INDEX($AV$76:$AX$81,,$AI945),INDEX($AY$76:$BE$81,,$AH945), N($AU$76:$AU$81&gt;$AM945)) / CK945 / 1000</f>
        <v>0</v>
      </c>
      <c r="CM945" s="231">
        <f t="shared" si="933"/>
        <v>30</v>
      </c>
      <c r="CN945" s="229">
        <f t="shared" si="916"/>
        <v>43</v>
      </c>
      <c r="CO945" s="234">
        <f t="shared" si="917"/>
        <v>3.5018750000000001</v>
      </c>
      <c r="CP945" s="234" cm="1">
        <f t="array" ref="CP945">$BM945 * IF($AH945&lt;=2,
SUMPRODUCT(INDEX($AV$71:$AX$75,,$AI945), INDEX($AY$71:$BE$75,,$AH945), 1 / ($BF$71:$BF$75*CO945 + (1-$BF$71:$BF$75)*CK945), N($AU$71:$AU$75&gt;$AM945)),
SUMPRODUCT(INDEX($AV$66:$AX$75,,$AI945), INDEX($AY$66:$BE$75,,$AH945), 1 / ($BG$66:$BG$75*CO945 + (1-$BG$66:$BG$75)*CK945), N($AU$66:$AU$75&gt;$AM945))
) / 1000</f>
        <v>0</v>
      </c>
      <c r="CQ945" s="231">
        <f t="shared" si="934"/>
        <v>25</v>
      </c>
      <c r="CR945" s="229">
        <f t="shared" si="918"/>
        <v>38</v>
      </c>
      <c r="CS945" s="234">
        <f t="shared" si="919"/>
        <v>4.0666935483870965</v>
      </c>
      <c r="CT945" s="234" cm="1">
        <f t="array" ref="CT945">$BM945 * IF($AH945&lt;=2,
SUMPRODUCT(INDEX($AV$66:$AX$70,,$AI945), INDEX($AY$66:$BE$70,,$AH945), 1 / ($BF$66:$BF$70*CS945 + (1-$BF$66:$BF$70)*CO945), N($AU$66:$AU$70&gt;$AM945)),
SUMPRODUCT(INDEX($AV$56:$AX$65,,$AI945), INDEX($AY$56:$BE$65,,$AH945), 1 / ($BG$56:$BG$65*CS945 + (1-$BG$56:$BG$65)*CO945), N($AU$56:$AU$65&gt;$AM945))
) / 1000</f>
        <v>0</v>
      </c>
      <c r="CU945" s="231">
        <f t="shared" si="935"/>
        <v>20</v>
      </c>
      <c r="CV945" s="229">
        <f t="shared" si="920"/>
        <v>33</v>
      </c>
      <c r="CW945" s="234">
        <f t="shared" si="921"/>
        <v>4.8487499999999999</v>
      </c>
      <c r="CX945" s="234" cm="1">
        <f t="array" ref="CX945">$BM945 * IF($AH945&lt;=2,
SUMPRODUCT(INDEX($AV$61:$AX$65,,$AI945), INDEX($AY$61:$BE$65,,$AH945), 1 / ($BF$61:$BF$65*CW945 + (1-$BF$61:$BF$65)*CS945), N($AU$61:$AU$65&gt;$AM945)),
SUMPRODUCT(INDEX($AV$46:$AX$55,,$AI945), INDEX($AY$46:$BE$55,,$AH945), 1 / ($BG$46:$BG$55*CW945 + (1-$BG$46:$BG$55)*CS945), N($AU$46:$AU$55&gt;$AM945))
) / 1000</f>
        <v>0</v>
      </c>
      <c r="CY945" s="234" cm="1">
        <f t="array" ref="CY945">$BM945 * IF($AH945&lt;=2,
SUMPRODUCT(INDEX($AV$22:$AX$60,,$AI945), INDEX($AY$22:$BE$60,,$AH945), 1 / ($BF$22:$BF$60*CW945), N($AU$22:$AU$60&gt;$AM945)),
SUMPRODUCT(INDEX($AV$22:$AX$45,,$AI945), INDEX($AY$22:$BE$45,,$AH945), 1 / ($BG$22:$BG$45*CW945), N($AU$22:$AU$45&gt;$AM945))
) / 1000</f>
        <v>0</v>
      </c>
      <c r="CZ945" s="229">
        <f t="shared" si="922"/>
        <v>0</v>
      </c>
      <c r="DA945" s="246"/>
    </row>
    <row r="946" spans="1:105" s="75" customFormat="1" ht="14.25" customHeight="1" x14ac:dyDescent="0.2">
      <c r="A946" s="230" t="b">
        <f t="shared" si="927"/>
        <v>0</v>
      </c>
      <c r="B946" s="253">
        <v>925</v>
      </c>
      <c r="C946" s="266"/>
      <c r="D946" s="266"/>
      <c r="E946" s="254"/>
      <c r="F946" s="255" t="str">
        <f>IF(ISBLANK(E946), "", VLOOKUP(E946, Z!$A$2:$C$4127, 3, FALSE))</f>
        <v/>
      </c>
      <c r="G946" s="256"/>
      <c r="H946" s="256"/>
      <c r="I946" s="256"/>
      <c r="J946" s="257"/>
      <c r="K946" s="258"/>
      <c r="L946" s="267"/>
      <c r="M946" s="268"/>
      <c r="N946" s="259" t="str" cm="1">
        <f t="array" ref="N946">IF($L946&gt;0, INDEX(Clean,1+AK946,$D$1), "")</f>
        <v/>
      </c>
      <c r="O946" s="260"/>
      <c r="P946" s="260"/>
      <c r="Q946" s="261"/>
      <c r="R946" s="264">
        <f t="shared" si="898"/>
        <v>0</v>
      </c>
      <c r="S946" s="259" t="str" cm="1">
        <f t="array" ref="S946">IF($L946&gt;0, INDEX(Clean,1+AL946,$D$1), "")</f>
        <v/>
      </c>
      <c r="T946" s="260"/>
      <c r="U946" s="260"/>
      <c r="V946" s="261"/>
      <c r="W946" s="267"/>
      <c r="X946" s="267"/>
      <c r="Y946" s="257"/>
      <c r="Z946" s="264">
        <f t="shared" si="899"/>
        <v>0</v>
      </c>
      <c r="AA946" s="269"/>
      <c r="AB946" s="266"/>
      <c r="AC946" s="254"/>
      <c r="AD946" s="255" t="str">
        <f>IF(ISBLANK(AC946), "", VLOOKUP(AC946, Z!$A$2:$C$4127, 3, FALSE))</f>
        <v/>
      </c>
      <c r="AE946" s="270"/>
      <c r="AF946" s="265">
        <f t="shared" si="900"/>
        <v>0</v>
      </c>
      <c r="AG946" s="246"/>
      <c r="AH946" s="228">
        <f t="shared" si="923"/>
        <v>1</v>
      </c>
      <c r="AI946" s="228">
        <f t="shared" si="924"/>
        <v>1</v>
      </c>
      <c r="AJ946" s="228">
        <f t="shared" si="925"/>
        <v>0</v>
      </c>
      <c r="AK946" s="228">
        <v>0</v>
      </c>
      <c r="AL946" s="228">
        <v>0</v>
      </c>
      <c r="AM946" s="228">
        <f t="shared" si="901"/>
        <v>-100</v>
      </c>
      <c r="AN946" s="228" cm="1">
        <f t="array" ref="AN946">IF(ISBLANK(G946), 1, IFERROR(MATCH(G946, INDEX(Kat,,1), 0), IFERROR(MATCH(Kat, INDEX(Use,,2), 0), MATCH(Kat, INDEX(Use,,3), 0))))</f>
        <v>1</v>
      </c>
      <c r="AO946" s="246"/>
      <c r="AP946" s="228" cm="1">
        <f t="array" ref="AP946">IF(W946&gt;0, INDEX(Kat, AN946,4), 0)</f>
        <v>0</v>
      </c>
      <c r="AQ946" s="228">
        <f t="shared" si="926"/>
        <v>0</v>
      </c>
      <c r="AR946" s="228" cm="1">
        <f t="array" ref="AR946">IF(X946&gt;0, INDEX(Kat, $AN946, 4+AQ946), 0)</f>
        <v>0</v>
      </c>
      <c r="AS946" s="228" cm="1">
        <f t="array" ref="AS946">IF(X946&gt;0, INDEX(Kat, $AN946, 9+AQ946), 0)</f>
        <v>0</v>
      </c>
      <c r="AT946" s="246"/>
      <c r="AU946" s="262"/>
      <c r="AV946" s="262"/>
      <c r="AW946" s="263"/>
      <c r="AX946" s="263"/>
      <c r="AY946" s="263"/>
      <c r="AZ946" s="263"/>
      <c r="BA946" s="263"/>
      <c r="BB946" s="263"/>
      <c r="BC946" s="263"/>
      <c r="BD946" s="263"/>
      <c r="BE946" s="263"/>
      <c r="BF946" s="263"/>
      <c r="BG946" s="263"/>
      <c r="BH946" s="246"/>
      <c r="BI946" s="228" cm="1">
        <f t="array" ref="BI946">INDEX(Use, $AH946, 4)</f>
        <v>7</v>
      </c>
      <c r="BJ946" s="228">
        <f t="shared" si="902"/>
        <v>32</v>
      </c>
      <c r="BK946" s="228">
        <f t="shared" si="928"/>
        <v>13</v>
      </c>
      <c r="BL946" s="228">
        <f t="shared" si="929"/>
        <v>0</v>
      </c>
      <c r="BM946" s="233" cm="1">
        <f t="array" ref="BM946">L946/IF($M946&gt;0, INDEX($AY$22:$BE$76, $M946+20, $AH946), 1)</f>
        <v>0</v>
      </c>
      <c r="BN946" s="229">
        <f t="shared" si="903"/>
        <v>0</v>
      </c>
      <c r="BO946" s="228">
        <v>35</v>
      </c>
      <c r="BP946" s="229">
        <f t="shared" si="904"/>
        <v>48</v>
      </c>
      <c r="BQ946" s="234">
        <f t="shared" si="905"/>
        <v>3.0748170731707316</v>
      </c>
      <c r="BR946" s="234" cm="1">
        <f t="array" ref="BR946">$BM946 * SUMPRODUCT(INDEX($AV$76:$AX$81,,$AI946),INDEX($AY$76:$BE$81,,$AH946), N($AU$76:$AU$81&gt;$AM946)) / BQ946 / 1000</f>
        <v>0</v>
      </c>
      <c r="BS946" s="231">
        <f t="shared" si="930"/>
        <v>30</v>
      </c>
      <c r="BT946" s="229">
        <f t="shared" si="906"/>
        <v>43</v>
      </c>
      <c r="BU946" s="234">
        <f t="shared" si="907"/>
        <v>3.5018750000000001</v>
      </c>
      <c r="BV946" s="234" cm="1">
        <f t="array" ref="BV946">$BM946 * IF($AH946&lt;=2,
SUMPRODUCT(INDEX($AV$71:$AX$75,,$AI946), INDEX($AY$71:$BE$75,,$AH946), 1 / ($BF$71:$BF$75*BU946 + (1-$BF$71:$BF$75)*BQ946), N($AU$71:$AU$75&gt;$AM946)),
SUMPRODUCT(INDEX($AV$66:$AX$75,,$AI946), INDEX($AY$66:$BE$75,,$AH946), 1 / ($BG$66:$BG$75*BU946 + (1-$BG$66:$BG$75)*BQ946), N($AU$66:$AU$75&gt;$AM946))
) / 1000</f>
        <v>0</v>
      </c>
      <c r="BW946" s="231">
        <f t="shared" si="931"/>
        <v>25</v>
      </c>
      <c r="BX946" s="229">
        <f t="shared" si="908"/>
        <v>38</v>
      </c>
      <c r="BY946" s="234">
        <f t="shared" si="909"/>
        <v>4.0666935483870965</v>
      </c>
      <c r="BZ946" s="234" cm="1">
        <f t="array" ref="BZ946">$BM946 * IF($AH946&lt;=2,
SUMPRODUCT(INDEX($AV$66:$AX$70,,$AI946), INDEX($AY$66:$BE$70,,$AH946), 1 / ($BF$66:$BF$70*BY946 + (1-$BF$66:$BF$70)*BU946), N($AU$66:$AU$70&gt;$AM946)),
SUMPRODUCT(INDEX($AV$56:$AX$65,,$AI946), INDEX($AY$56:$BE$65,,$AH946), 1 / ($BG$56:$BG$65*BY946 + (1-$BG$56:$BG$65)*BU946), N($AU$56:$AU$65&gt;$AM946))
) / 1000</f>
        <v>0</v>
      </c>
      <c r="CA946" s="231">
        <f t="shared" si="932"/>
        <v>20</v>
      </c>
      <c r="CB946" s="229">
        <f t="shared" si="910"/>
        <v>33</v>
      </c>
      <c r="CC946" s="234">
        <f t="shared" si="911"/>
        <v>4.8487499999999999</v>
      </c>
      <c r="CD946" s="234" cm="1">
        <f t="array" ref="CD946">$BM946 * IF($AH946&lt;=2,
SUMPRODUCT(INDEX($AV$61:$AX$65,,$AI946), INDEX($AY$61:$BE$65,,$AH946), 1 / ($BF$61:$BF$65*CC946 + (1-$BF$61:$BF$65)*BY946), N($AU$61:$AU$65&gt;$AM946)),
SUMPRODUCT(INDEX($AV$46:$AX$55,,$AI946), INDEX($AY$46:$BE$55,,$AH946), 1 / ($BG$46:$BG$55*CC946 + (1-$BG$46:$BG$55)*BY946), N($AU$46:$AU$55&gt;$AM946))
) / 1000</f>
        <v>0</v>
      </c>
      <c r="CE946" s="234" cm="1">
        <f t="array" ref="CE946">$BM946 * IF($AH946&lt;=2,
SUMPRODUCT(INDEX($AV$22:$AX$60,,$AI946), INDEX($AY$22:$BE$60,,$AH946), 1 / ($BF$22:$BF$60*CC946), N($AU$22:$AU$60&gt;$AM946)),
SUMPRODUCT(INDEX($AV$22:$AX$45,,$AI946), INDEX($AY$22:$BE$45,,$AH946), 1 / ($BG$22:$BG$45*CC946), N($AU$22:$AU$45&gt;$AM946))
) / 1000</f>
        <v>0</v>
      </c>
      <c r="CF946" s="229">
        <f t="shared" si="912"/>
        <v>0</v>
      </c>
      <c r="CG946" s="246"/>
      <c r="CH946" s="229">
        <f t="shared" si="913"/>
        <v>0</v>
      </c>
      <c r="CI946" s="228">
        <v>35</v>
      </c>
      <c r="CJ946" s="229">
        <f t="shared" si="914"/>
        <v>48</v>
      </c>
      <c r="CK946" s="234">
        <f t="shared" si="915"/>
        <v>3.0748170731707316</v>
      </c>
      <c r="CL946" s="234" cm="1">
        <f t="array" ref="CL946">$BM946 * SUMPRODUCT(INDEX($AV$76:$AX$81,,$AI946),INDEX($AY$76:$BE$81,,$AH946), N($AU$76:$AU$81&gt;$AM946)) / CK946 / 1000</f>
        <v>0</v>
      </c>
      <c r="CM946" s="231">
        <f t="shared" si="933"/>
        <v>30</v>
      </c>
      <c r="CN946" s="229">
        <f t="shared" si="916"/>
        <v>43</v>
      </c>
      <c r="CO946" s="234">
        <f t="shared" si="917"/>
        <v>3.5018750000000001</v>
      </c>
      <c r="CP946" s="234" cm="1">
        <f t="array" ref="CP946">$BM946 * IF($AH946&lt;=2,
SUMPRODUCT(INDEX($AV$71:$AX$75,,$AI946), INDEX($AY$71:$BE$75,,$AH946), 1 / ($BF$71:$BF$75*CO946 + (1-$BF$71:$BF$75)*CK946), N($AU$71:$AU$75&gt;$AM946)),
SUMPRODUCT(INDEX($AV$66:$AX$75,,$AI946), INDEX($AY$66:$BE$75,,$AH946), 1 / ($BG$66:$BG$75*CO946 + (1-$BG$66:$BG$75)*CK946), N($AU$66:$AU$75&gt;$AM946))
) / 1000</f>
        <v>0</v>
      </c>
      <c r="CQ946" s="231">
        <f t="shared" si="934"/>
        <v>25</v>
      </c>
      <c r="CR946" s="229">
        <f t="shared" si="918"/>
        <v>38</v>
      </c>
      <c r="CS946" s="234">
        <f t="shared" si="919"/>
        <v>4.0666935483870965</v>
      </c>
      <c r="CT946" s="234" cm="1">
        <f t="array" ref="CT946">$BM946 * IF($AH946&lt;=2,
SUMPRODUCT(INDEX($AV$66:$AX$70,,$AI946), INDEX($AY$66:$BE$70,,$AH946), 1 / ($BF$66:$BF$70*CS946 + (1-$BF$66:$BF$70)*CO946), N($AU$66:$AU$70&gt;$AM946)),
SUMPRODUCT(INDEX($AV$56:$AX$65,,$AI946), INDEX($AY$56:$BE$65,,$AH946), 1 / ($BG$56:$BG$65*CS946 + (1-$BG$56:$BG$65)*CO946), N($AU$56:$AU$65&gt;$AM946))
) / 1000</f>
        <v>0</v>
      </c>
      <c r="CU946" s="231">
        <f t="shared" si="935"/>
        <v>20</v>
      </c>
      <c r="CV946" s="229">
        <f t="shared" si="920"/>
        <v>33</v>
      </c>
      <c r="CW946" s="234">
        <f t="shared" si="921"/>
        <v>4.8487499999999999</v>
      </c>
      <c r="CX946" s="234" cm="1">
        <f t="array" ref="CX946">$BM946 * IF($AH946&lt;=2,
SUMPRODUCT(INDEX($AV$61:$AX$65,,$AI946), INDEX($AY$61:$BE$65,,$AH946), 1 / ($BF$61:$BF$65*CW946 + (1-$BF$61:$BF$65)*CS946), N($AU$61:$AU$65&gt;$AM946)),
SUMPRODUCT(INDEX($AV$46:$AX$55,,$AI946), INDEX($AY$46:$BE$55,,$AH946), 1 / ($BG$46:$BG$55*CW946 + (1-$BG$46:$BG$55)*CS946), N($AU$46:$AU$55&gt;$AM946))
) / 1000</f>
        <v>0</v>
      </c>
      <c r="CY946" s="234" cm="1">
        <f t="array" ref="CY946">$BM946 * IF($AH946&lt;=2,
SUMPRODUCT(INDEX($AV$22:$AX$60,,$AI946), INDEX($AY$22:$BE$60,,$AH946), 1 / ($BF$22:$BF$60*CW946), N($AU$22:$AU$60&gt;$AM946)),
SUMPRODUCT(INDEX($AV$22:$AX$45,,$AI946), INDEX($AY$22:$BE$45,,$AH946), 1 / ($BG$22:$BG$45*CW946), N($AU$22:$AU$45&gt;$AM946))
) / 1000</f>
        <v>0</v>
      </c>
      <c r="CZ946" s="229">
        <f t="shared" si="922"/>
        <v>0</v>
      </c>
      <c r="DA946" s="246"/>
    </row>
    <row r="947" spans="1:105" s="75" customFormat="1" ht="14.25" customHeight="1" x14ac:dyDescent="0.2">
      <c r="A947" s="230" t="b">
        <f t="shared" si="927"/>
        <v>0</v>
      </c>
      <c r="B947" s="253">
        <v>926</v>
      </c>
      <c r="C947" s="266"/>
      <c r="D947" s="266"/>
      <c r="E947" s="254"/>
      <c r="F947" s="255" t="str">
        <f>IF(ISBLANK(E947), "", VLOOKUP(E947, Z!$A$2:$C$4127, 3, FALSE))</f>
        <v/>
      </c>
      <c r="G947" s="256"/>
      <c r="H947" s="256"/>
      <c r="I947" s="256"/>
      <c r="J947" s="257"/>
      <c r="K947" s="258"/>
      <c r="L947" s="267"/>
      <c r="M947" s="268"/>
      <c r="N947" s="259" t="str" cm="1">
        <f t="array" ref="N947">IF($L947&gt;0, INDEX(Clean,1+AK947,$D$1), "")</f>
        <v/>
      </c>
      <c r="O947" s="260"/>
      <c r="P947" s="260"/>
      <c r="Q947" s="261"/>
      <c r="R947" s="264">
        <f t="shared" si="898"/>
        <v>0</v>
      </c>
      <c r="S947" s="259" t="str" cm="1">
        <f t="array" ref="S947">IF($L947&gt;0, INDEX(Clean,1+AL947,$D$1), "")</f>
        <v/>
      </c>
      <c r="T947" s="260"/>
      <c r="U947" s="260"/>
      <c r="V947" s="261"/>
      <c r="W947" s="267"/>
      <c r="X947" s="267"/>
      <c r="Y947" s="257"/>
      <c r="Z947" s="264">
        <f t="shared" si="899"/>
        <v>0</v>
      </c>
      <c r="AA947" s="269"/>
      <c r="AB947" s="266"/>
      <c r="AC947" s="254"/>
      <c r="AD947" s="255" t="str">
        <f>IF(ISBLANK(AC947), "", VLOOKUP(AC947, Z!$A$2:$C$4127, 3, FALSE))</f>
        <v/>
      </c>
      <c r="AE947" s="270"/>
      <c r="AF947" s="265">
        <f t="shared" si="900"/>
        <v>0</v>
      </c>
      <c r="AG947" s="246"/>
      <c r="AH947" s="228">
        <f t="shared" si="923"/>
        <v>1</v>
      </c>
      <c r="AI947" s="228">
        <f t="shared" si="924"/>
        <v>1</v>
      </c>
      <c r="AJ947" s="228">
        <f t="shared" si="925"/>
        <v>0</v>
      </c>
      <c r="AK947" s="228">
        <v>0</v>
      </c>
      <c r="AL947" s="228">
        <v>0</v>
      </c>
      <c r="AM947" s="228">
        <f t="shared" si="901"/>
        <v>-100</v>
      </c>
      <c r="AN947" s="228" cm="1">
        <f t="array" ref="AN947">IF(ISBLANK(G947), 1, IFERROR(MATCH(G947, INDEX(Kat,,1), 0), IFERROR(MATCH(Kat, INDEX(Use,,2), 0), MATCH(Kat, INDEX(Use,,3), 0))))</f>
        <v>1</v>
      </c>
      <c r="AO947" s="246"/>
      <c r="AP947" s="228" cm="1">
        <f t="array" ref="AP947">IF(W947&gt;0, INDEX(Kat, AN947,4), 0)</f>
        <v>0</v>
      </c>
      <c r="AQ947" s="228">
        <f t="shared" si="926"/>
        <v>0</v>
      </c>
      <c r="AR947" s="228" cm="1">
        <f t="array" ref="AR947">IF(X947&gt;0, INDEX(Kat, $AN947, 4+AQ947), 0)</f>
        <v>0</v>
      </c>
      <c r="AS947" s="228" cm="1">
        <f t="array" ref="AS947">IF(X947&gt;0, INDEX(Kat, $AN947, 9+AQ947), 0)</f>
        <v>0</v>
      </c>
      <c r="AT947" s="246"/>
      <c r="AU947" s="262"/>
      <c r="AV947" s="262"/>
      <c r="AW947" s="263"/>
      <c r="AX947" s="263"/>
      <c r="AY947" s="263"/>
      <c r="AZ947" s="263"/>
      <c r="BA947" s="263"/>
      <c r="BB947" s="263"/>
      <c r="BC947" s="263"/>
      <c r="BD947" s="263"/>
      <c r="BE947" s="263"/>
      <c r="BF947" s="263"/>
      <c r="BG947" s="263"/>
      <c r="BH947" s="246"/>
      <c r="BI947" s="228" cm="1">
        <f t="array" ref="BI947">INDEX(Use, $AH947, 4)</f>
        <v>7</v>
      </c>
      <c r="BJ947" s="228">
        <f t="shared" si="902"/>
        <v>32</v>
      </c>
      <c r="BK947" s="228">
        <f t="shared" si="928"/>
        <v>13</v>
      </c>
      <c r="BL947" s="228">
        <f t="shared" si="929"/>
        <v>0</v>
      </c>
      <c r="BM947" s="233" cm="1">
        <f t="array" ref="BM947">L947/IF($M947&gt;0, INDEX($AY$22:$BE$76, $M947+20, $AH947), 1)</f>
        <v>0</v>
      </c>
      <c r="BN947" s="229">
        <f t="shared" si="903"/>
        <v>0</v>
      </c>
      <c r="BO947" s="228">
        <v>35</v>
      </c>
      <c r="BP947" s="229">
        <f t="shared" si="904"/>
        <v>48</v>
      </c>
      <c r="BQ947" s="234">
        <f t="shared" si="905"/>
        <v>3.0748170731707316</v>
      </c>
      <c r="BR947" s="234" cm="1">
        <f t="array" ref="BR947">$BM947 * SUMPRODUCT(INDEX($AV$76:$AX$81,,$AI947),INDEX($AY$76:$BE$81,,$AH947), N($AU$76:$AU$81&gt;$AM947)) / BQ947 / 1000</f>
        <v>0</v>
      </c>
      <c r="BS947" s="231">
        <f t="shared" si="930"/>
        <v>30</v>
      </c>
      <c r="BT947" s="229">
        <f t="shared" si="906"/>
        <v>43</v>
      </c>
      <c r="BU947" s="234">
        <f t="shared" si="907"/>
        <v>3.5018750000000001</v>
      </c>
      <c r="BV947" s="234" cm="1">
        <f t="array" ref="BV947">$BM947 * IF($AH947&lt;=2,
SUMPRODUCT(INDEX($AV$71:$AX$75,,$AI947), INDEX($AY$71:$BE$75,,$AH947), 1 / ($BF$71:$BF$75*BU947 + (1-$BF$71:$BF$75)*BQ947), N($AU$71:$AU$75&gt;$AM947)),
SUMPRODUCT(INDEX($AV$66:$AX$75,,$AI947), INDEX($AY$66:$BE$75,,$AH947), 1 / ($BG$66:$BG$75*BU947 + (1-$BG$66:$BG$75)*BQ947), N($AU$66:$AU$75&gt;$AM947))
) / 1000</f>
        <v>0</v>
      </c>
      <c r="BW947" s="231">
        <f t="shared" si="931"/>
        <v>25</v>
      </c>
      <c r="BX947" s="229">
        <f t="shared" si="908"/>
        <v>38</v>
      </c>
      <c r="BY947" s="234">
        <f t="shared" si="909"/>
        <v>4.0666935483870965</v>
      </c>
      <c r="BZ947" s="234" cm="1">
        <f t="array" ref="BZ947">$BM947 * IF($AH947&lt;=2,
SUMPRODUCT(INDEX($AV$66:$AX$70,,$AI947), INDEX($AY$66:$BE$70,,$AH947), 1 / ($BF$66:$BF$70*BY947 + (1-$BF$66:$BF$70)*BU947), N($AU$66:$AU$70&gt;$AM947)),
SUMPRODUCT(INDEX($AV$56:$AX$65,,$AI947), INDEX($AY$56:$BE$65,,$AH947), 1 / ($BG$56:$BG$65*BY947 + (1-$BG$56:$BG$65)*BU947), N($AU$56:$AU$65&gt;$AM947))
) / 1000</f>
        <v>0</v>
      </c>
      <c r="CA947" s="231">
        <f t="shared" si="932"/>
        <v>20</v>
      </c>
      <c r="CB947" s="229">
        <f t="shared" si="910"/>
        <v>33</v>
      </c>
      <c r="CC947" s="234">
        <f t="shared" si="911"/>
        <v>4.8487499999999999</v>
      </c>
      <c r="CD947" s="234" cm="1">
        <f t="array" ref="CD947">$BM947 * IF($AH947&lt;=2,
SUMPRODUCT(INDEX($AV$61:$AX$65,,$AI947), INDEX($AY$61:$BE$65,,$AH947), 1 / ($BF$61:$BF$65*CC947 + (1-$BF$61:$BF$65)*BY947), N($AU$61:$AU$65&gt;$AM947)),
SUMPRODUCT(INDEX($AV$46:$AX$55,,$AI947), INDEX($AY$46:$BE$55,,$AH947), 1 / ($BG$46:$BG$55*CC947 + (1-$BG$46:$BG$55)*BY947), N($AU$46:$AU$55&gt;$AM947))
) / 1000</f>
        <v>0</v>
      </c>
      <c r="CE947" s="234" cm="1">
        <f t="array" ref="CE947">$BM947 * IF($AH947&lt;=2,
SUMPRODUCT(INDEX($AV$22:$AX$60,,$AI947), INDEX($AY$22:$BE$60,,$AH947), 1 / ($BF$22:$BF$60*CC947), N($AU$22:$AU$60&gt;$AM947)),
SUMPRODUCT(INDEX($AV$22:$AX$45,,$AI947), INDEX($AY$22:$BE$45,,$AH947), 1 / ($BG$22:$BG$45*CC947), N($AU$22:$AU$45&gt;$AM947))
) / 1000</f>
        <v>0</v>
      </c>
      <c r="CF947" s="229">
        <f t="shared" si="912"/>
        <v>0</v>
      </c>
      <c r="CG947" s="246"/>
      <c r="CH947" s="229">
        <f t="shared" si="913"/>
        <v>0</v>
      </c>
      <c r="CI947" s="228">
        <v>35</v>
      </c>
      <c r="CJ947" s="229">
        <f t="shared" si="914"/>
        <v>48</v>
      </c>
      <c r="CK947" s="234">
        <f t="shared" si="915"/>
        <v>3.0748170731707316</v>
      </c>
      <c r="CL947" s="234" cm="1">
        <f t="array" ref="CL947">$BM947 * SUMPRODUCT(INDEX($AV$76:$AX$81,,$AI947),INDEX($AY$76:$BE$81,,$AH947), N($AU$76:$AU$81&gt;$AM947)) / CK947 / 1000</f>
        <v>0</v>
      </c>
      <c r="CM947" s="231">
        <f t="shared" si="933"/>
        <v>30</v>
      </c>
      <c r="CN947" s="229">
        <f t="shared" si="916"/>
        <v>43</v>
      </c>
      <c r="CO947" s="234">
        <f t="shared" si="917"/>
        <v>3.5018750000000001</v>
      </c>
      <c r="CP947" s="234" cm="1">
        <f t="array" ref="CP947">$BM947 * IF($AH947&lt;=2,
SUMPRODUCT(INDEX($AV$71:$AX$75,,$AI947), INDEX($AY$71:$BE$75,,$AH947), 1 / ($BF$71:$BF$75*CO947 + (1-$BF$71:$BF$75)*CK947), N($AU$71:$AU$75&gt;$AM947)),
SUMPRODUCT(INDEX($AV$66:$AX$75,,$AI947), INDEX($AY$66:$BE$75,,$AH947), 1 / ($BG$66:$BG$75*CO947 + (1-$BG$66:$BG$75)*CK947), N($AU$66:$AU$75&gt;$AM947))
) / 1000</f>
        <v>0</v>
      </c>
      <c r="CQ947" s="231">
        <f t="shared" si="934"/>
        <v>25</v>
      </c>
      <c r="CR947" s="229">
        <f t="shared" si="918"/>
        <v>38</v>
      </c>
      <c r="CS947" s="234">
        <f t="shared" si="919"/>
        <v>4.0666935483870965</v>
      </c>
      <c r="CT947" s="234" cm="1">
        <f t="array" ref="CT947">$BM947 * IF($AH947&lt;=2,
SUMPRODUCT(INDEX($AV$66:$AX$70,,$AI947), INDEX($AY$66:$BE$70,,$AH947), 1 / ($BF$66:$BF$70*CS947 + (1-$BF$66:$BF$70)*CO947), N($AU$66:$AU$70&gt;$AM947)),
SUMPRODUCT(INDEX($AV$56:$AX$65,,$AI947), INDEX($AY$56:$BE$65,,$AH947), 1 / ($BG$56:$BG$65*CS947 + (1-$BG$56:$BG$65)*CO947), N($AU$56:$AU$65&gt;$AM947))
) / 1000</f>
        <v>0</v>
      </c>
      <c r="CU947" s="231">
        <f t="shared" si="935"/>
        <v>20</v>
      </c>
      <c r="CV947" s="229">
        <f t="shared" si="920"/>
        <v>33</v>
      </c>
      <c r="CW947" s="234">
        <f t="shared" si="921"/>
        <v>4.8487499999999999</v>
      </c>
      <c r="CX947" s="234" cm="1">
        <f t="array" ref="CX947">$BM947 * IF($AH947&lt;=2,
SUMPRODUCT(INDEX($AV$61:$AX$65,,$AI947), INDEX($AY$61:$BE$65,,$AH947), 1 / ($BF$61:$BF$65*CW947 + (1-$BF$61:$BF$65)*CS947), N($AU$61:$AU$65&gt;$AM947)),
SUMPRODUCT(INDEX($AV$46:$AX$55,,$AI947), INDEX($AY$46:$BE$55,,$AH947), 1 / ($BG$46:$BG$55*CW947 + (1-$BG$46:$BG$55)*CS947), N($AU$46:$AU$55&gt;$AM947))
) / 1000</f>
        <v>0</v>
      </c>
      <c r="CY947" s="234" cm="1">
        <f t="array" ref="CY947">$BM947 * IF($AH947&lt;=2,
SUMPRODUCT(INDEX($AV$22:$AX$60,,$AI947), INDEX($AY$22:$BE$60,,$AH947), 1 / ($BF$22:$BF$60*CW947), N($AU$22:$AU$60&gt;$AM947)),
SUMPRODUCT(INDEX($AV$22:$AX$45,,$AI947), INDEX($AY$22:$BE$45,,$AH947), 1 / ($BG$22:$BG$45*CW947), N($AU$22:$AU$45&gt;$AM947))
) / 1000</f>
        <v>0</v>
      </c>
      <c r="CZ947" s="229">
        <f t="shared" si="922"/>
        <v>0</v>
      </c>
      <c r="DA947" s="246"/>
    </row>
    <row r="948" spans="1:105" s="75" customFormat="1" ht="14.25" customHeight="1" x14ac:dyDescent="0.2">
      <c r="A948" s="230" t="b">
        <f t="shared" si="927"/>
        <v>0</v>
      </c>
      <c r="B948" s="253">
        <v>927</v>
      </c>
      <c r="C948" s="266"/>
      <c r="D948" s="266"/>
      <c r="E948" s="254"/>
      <c r="F948" s="255" t="str">
        <f>IF(ISBLANK(E948), "", VLOOKUP(E948, Z!$A$2:$C$4127, 3, FALSE))</f>
        <v/>
      </c>
      <c r="G948" s="256"/>
      <c r="H948" s="256"/>
      <c r="I948" s="256"/>
      <c r="J948" s="257"/>
      <c r="K948" s="258"/>
      <c r="L948" s="267"/>
      <c r="M948" s="268"/>
      <c r="N948" s="259" t="str" cm="1">
        <f t="array" ref="N948">IF($L948&gt;0, INDEX(Clean,1+AK948,$D$1), "")</f>
        <v/>
      </c>
      <c r="O948" s="260"/>
      <c r="P948" s="260"/>
      <c r="Q948" s="261"/>
      <c r="R948" s="264">
        <f t="shared" si="898"/>
        <v>0</v>
      </c>
      <c r="S948" s="259" t="str" cm="1">
        <f t="array" ref="S948">IF($L948&gt;0, INDEX(Clean,1+AL948,$D$1), "")</f>
        <v/>
      </c>
      <c r="T948" s="260"/>
      <c r="U948" s="260"/>
      <c r="V948" s="261"/>
      <c r="W948" s="267"/>
      <c r="X948" s="267"/>
      <c r="Y948" s="257"/>
      <c r="Z948" s="264">
        <f t="shared" si="899"/>
        <v>0</v>
      </c>
      <c r="AA948" s="269"/>
      <c r="AB948" s="266"/>
      <c r="AC948" s="254"/>
      <c r="AD948" s="255" t="str">
        <f>IF(ISBLANK(AC948), "", VLOOKUP(AC948, Z!$A$2:$C$4127, 3, FALSE))</f>
        <v/>
      </c>
      <c r="AE948" s="270"/>
      <c r="AF948" s="265">
        <f t="shared" si="900"/>
        <v>0</v>
      </c>
      <c r="AG948" s="246"/>
      <c r="AH948" s="228">
        <f t="shared" si="923"/>
        <v>1</v>
      </c>
      <c r="AI948" s="228">
        <f t="shared" si="924"/>
        <v>1</v>
      </c>
      <c r="AJ948" s="228">
        <f t="shared" si="925"/>
        <v>0</v>
      </c>
      <c r="AK948" s="228">
        <v>0</v>
      </c>
      <c r="AL948" s="228">
        <v>0</v>
      </c>
      <c r="AM948" s="228">
        <f t="shared" si="901"/>
        <v>-100</v>
      </c>
      <c r="AN948" s="228" cm="1">
        <f t="array" ref="AN948">IF(ISBLANK(G948), 1, IFERROR(MATCH(G948, INDEX(Kat,,1), 0), IFERROR(MATCH(Kat, INDEX(Use,,2), 0), MATCH(Kat, INDEX(Use,,3), 0))))</f>
        <v>1</v>
      </c>
      <c r="AO948" s="246"/>
      <c r="AP948" s="228" cm="1">
        <f t="array" ref="AP948">IF(W948&gt;0, INDEX(Kat, AN948,4), 0)</f>
        <v>0</v>
      </c>
      <c r="AQ948" s="228">
        <f t="shared" si="926"/>
        <v>0</v>
      </c>
      <c r="AR948" s="228" cm="1">
        <f t="array" ref="AR948">IF(X948&gt;0, INDEX(Kat, $AN948, 4+AQ948), 0)</f>
        <v>0</v>
      </c>
      <c r="AS948" s="228" cm="1">
        <f t="array" ref="AS948">IF(X948&gt;0, INDEX(Kat, $AN948, 9+AQ948), 0)</f>
        <v>0</v>
      </c>
      <c r="AT948" s="246"/>
      <c r="AU948" s="262"/>
      <c r="AV948" s="262"/>
      <c r="AW948" s="263"/>
      <c r="AX948" s="263"/>
      <c r="AY948" s="263"/>
      <c r="AZ948" s="263"/>
      <c r="BA948" s="263"/>
      <c r="BB948" s="263"/>
      <c r="BC948" s="263"/>
      <c r="BD948" s="263"/>
      <c r="BE948" s="263"/>
      <c r="BF948" s="263"/>
      <c r="BG948" s="263"/>
      <c r="BH948" s="246"/>
      <c r="BI948" s="228" cm="1">
        <f t="array" ref="BI948">INDEX(Use, $AH948, 4)</f>
        <v>7</v>
      </c>
      <c r="BJ948" s="228">
        <f t="shared" si="902"/>
        <v>32</v>
      </c>
      <c r="BK948" s="228">
        <f t="shared" si="928"/>
        <v>13</v>
      </c>
      <c r="BL948" s="228">
        <f t="shared" si="929"/>
        <v>0</v>
      </c>
      <c r="BM948" s="233" cm="1">
        <f t="array" ref="BM948">L948/IF($M948&gt;0, INDEX($AY$22:$BE$76, $M948+20, $AH948), 1)</f>
        <v>0</v>
      </c>
      <c r="BN948" s="229">
        <f t="shared" si="903"/>
        <v>0</v>
      </c>
      <c r="BO948" s="228">
        <v>35</v>
      </c>
      <c r="BP948" s="229">
        <f t="shared" si="904"/>
        <v>48</v>
      </c>
      <c r="BQ948" s="234">
        <f t="shared" si="905"/>
        <v>3.0748170731707316</v>
      </c>
      <c r="BR948" s="234" cm="1">
        <f t="array" ref="BR948">$BM948 * SUMPRODUCT(INDEX($AV$76:$AX$81,,$AI948),INDEX($AY$76:$BE$81,,$AH948), N($AU$76:$AU$81&gt;$AM948)) / BQ948 / 1000</f>
        <v>0</v>
      </c>
      <c r="BS948" s="231">
        <f t="shared" si="930"/>
        <v>30</v>
      </c>
      <c r="BT948" s="229">
        <f t="shared" si="906"/>
        <v>43</v>
      </c>
      <c r="BU948" s="234">
        <f t="shared" si="907"/>
        <v>3.5018750000000001</v>
      </c>
      <c r="BV948" s="234" cm="1">
        <f t="array" ref="BV948">$BM948 * IF($AH948&lt;=2,
SUMPRODUCT(INDEX($AV$71:$AX$75,,$AI948), INDEX($AY$71:$BE$75,,$AH948), 1 / ($BF$71:$BF$75*BU948 + (1-$BF$71:$BF$75)*BQ948), N($AU$71:$AU$75&gt;$AM948)),
SUMPRODUCT(INDEX($AV$66:$AX$75,,$AI948), INDEX($AY$66:$BE$75,,$AH948), 1 / ($BG$66:$BG$75*BU948 + (1-$BG$66:$BG$75)*BQ948), N($AU$66:$AU$75&gt;$AM948))
) / 1000</f>
        <v>0</v>
      </c>
      <c r="BW948" s="231">
        <f t="shared" si="931"/>
        <v>25</v>
      </c>
      <c r="BX948" s="229">
        <f t="shared" si="908"/>
        <v>38</v>
      </c>
      <c r="BY948" s="234">
        <f t="shared" si="909"/>
        <v>4.0666935483870965</v>
      </c>
      <c r="BZ948" s="234" cm="1">
        <f t="array" ref="BZ948">$BM948 * IF($AH948&lt;=2,
SUMPRODUCT(INDEX($AV$66:$AX$70,,$AI948), INDEX($AY$66:$BE$70,,$AH948), 1 / ($BF$66:$BF$70*BY948 + (1-$BF$66:$BF$70)*BU948), N($AU$66:$AU$70&gt;$AM948)),
SUMPRODUCT(INDEX($AV$56:$AX$65,,$AI948), INDEX($AY$56:$BE$65,,$AH948), 1 / ($BG$56:$BG$65*BY948 + (1-$BG$56:$BG$65)*BU948), N($AU$56:$AU$65&gt;$AM948))
) / 1000</f>
        <v>0</v>
      </c>
      <c r="CA948" s="231">
        <f t="shared" si="932"/>
        <v>20</v>
      </c>
      <c r="CB948" s="229">
        <f t="shared" si="910"/>
        <v>33</v>
      </c>
      <c r="CC948" s="234">
        <f t="shared" si="911"/>
        <v>4.8487499999999999</v>
      </c>
      <c r="CD948" s="234" cm="1">
        <f t="array" ref="CD948">$BM948 * IF($AH948&lt;=2,
SUMPRODUCT(INDEX($AV$61:$AX$65,,$AI948), INDEX($AY$61:$BE$65,,$AH948), 1 / ($BF$61:$BF$65*CC948 + (1-$BF$61:$BF$65)*BY948), N($AU$61:$AU$65&gt;$AM948)),
SUMPRODUCT(INDEX($AV$46:$AX$55,,$AI948), INDEX($AY$46:$BE$55,,$AH948), 1 / ($BG$46:$BG$55*CC948 + (1-$BG$46:$BG$55)*BY948), N($AU$46:$AU$55&gt;$AM948))
) / 1000</f>
        <v>0</v>
      </c>
      <c r="CE948" s="234" cm="1">
        <f t="array" ref="CE948">$BM948 * IF($AH948&lt;=2,
SUMPRODUCT(INDEX($AV$22:$AX$60,,$AI948), INDEX($AY$22:$BE$60,,$AH948), 1 / ($BF$22:$BF$60*CC948), N($AU$22:$AU$60&gt;$AM948)),
SUMPRODUCT(INDEX($AV$22:$AX$45,,$AI948), INDEX($AY$22:$BE$45,,$AH948), 1 / ($BG$22:$BG$45*CC948), N($AU$22:$AU$45&gt;$AM948))
) / 1000</f>
        <v>0</v>
      </c>
      <c r="CF948" s="229">
        <f t="shared" si="912"/>
        <v>0</v>
      </c>
      <c r="CG948" s="246"/>
      <c r="CH948" s="229">
        <f t="shared" si="913"/>
        <v>0</v>
      </c>
      <c r="CI948" s="228">
        <v>35</v>
      </c>
      <c r="CJ948" s="229">
        <f t="shared" si="914"/>
        <v>48</v>
      </c>
      <c r="CK948" s="234">
        <f t="shared" si="915"/>
        <v>3.0748170731707316</v>
      </c>
      <c r="CL948" s="234" cm="1">
        <f t="array" ref="CL948">$BM948 * SUMPRODUCT(INDEX($AV$76:$AX$81,,$AI948),INDEX($AY$76:$BE$81,,$AH948), N($AU$76:$AU$81&gt;$AM948)) / CK948 / 1000</f>
        <v>0</v>
      </c>
      <c r="CM948" s="231">
        <f t="shared" si="933"/>
        <v>30</v>
      </c>
      <c r="CN948" s="229">
        <f t="shared" si="916"/>
        <v>43</v>
      </c>
      <c r="CO948" s="234">
        <f t="shared" si="917"/>
        <v>3.5018750000000001</v>
      </c>
      <c r="CP948" s="234" cm="1">
        <f t="array" ref="CP948">$BM948 * IF($AH948&lt;=2,
SUMPRODUCT(INDEX($AV$71:$AX$75,,$AI948), INDEX($AY$71:$BE$75,,$AH948), 1 / ($BF$71:$BF$75*CO948 + (1-$BF$71:$BF$75)*CK948), N($AU$71:$AU$75&gt;$AM948)),
SUMPRODUCT(INDEX($AV$66:$AX$75,,$AI948), INDEX($AY$66:$BE$75,,$AH948), 1 / ($BG$66:$BG$75*CO948 + (1-$BG$66:$BG$75)*CK948), N($AU$66:$AU$75&gt;$AM948))
) / 1000</f>
        <v>0</v>
      </c>
      <c r="CQ948" s="231">
        <f t="shared" si="934"/>
        <v>25</v>
      </c>
      <c r="CR948" s="229">
        <f t="shared" si="918"/>
        <v>38</v>
      </c>
      <c r="CS948" s="234">
        <f t="shared" si="919"/>
        <v>4.0666935483870965</v>
      </c>
      <c r="CT948" s="234" cm="1">
        <f t="array" ref="CT948">$BM948 * IF($AH948&lt;=2,
SUMPRODUCT(INDEX($AV$66:$AX$70,,$AI948), INDEX($AY$66:$BE$70,,$AH948), 1 / ($BF$66:$BF$70*CS948 + (1-$BF$66:$BF$70)*CO948), N($AU$66:$AU$70&gt;$AM948)),
SUMPRODUCT(INDEX($AV$56:$AX$65,,$AI948), INDEX($AY$56:$BE$65,,$AH948), 1 / ($BG$56:$BG$65*CS948 + (1-$BG$56:$BG$65)*CO948), N($AU$56:$AU$65&gt;$AM948))
) / 1000</f>
        <v>0</v>
      </c>
      <c r="CU948" s="231">
        <f t="shared" si="935"/>
        <v>20</v>
      </c>
      <c r="CV948" s="229">
        <f t="shared" si="920"/>
        <v>33</v>
      </c>
      <c r="CW948" s="234">
        <f t="shared" si="921"/>
        <v>4.8487499999999999</v>
      </c>
      <c r="CX948" s="234" cm="1">
        <f t="array" ref="CX948">$BM948 * IF($AH948&lt;=2,
SUMPRODUCT(INDEX($AV$61:$AX$65,,$AI948), INDEX($AY$61:$BE$65,,$AH948), 1 / ($BF$61:$BF$65*CW948 + (1-$BF$61:$BF$65)*CS948), N($AU$61:$AU$65&gt;$AM948)),
SUMPRODUCT(INDEX($AV$46:$AX$55,,$AI948), INDEX($AY$46:$BE$55,,$AH948), 1 / ($BG$46:$BG$55*CW948 + (1-$BG$46:$BG$55)*CS948), N($AU$46:$AU$55&gt;$AM948))
) / 1000</f>
        <v>0</v>
      </c>
      <c r="CY948" s="234" cm="1">
        <f t="array" ref="CY948">$BM948 * IF($AH948&lt;=2,
SUMPRODUCT(INDEX($AV$22:$AX$60,,$AI948), INDEX($AY$22:$BE$60,,$AH948), 1 / ($BF$22:$BF$60*CW948), N($AU$22:$AU$60&gt;$AM948)),
SUMPRODUCT(INDEX($AV$22:$AX$45,,$AI948), INDEX($AY$22:$BE$45,,$AH948), 1 / ($BG$22:$BG$45*CW948), N($AU$22:$AU$45&gt;$AM948))
) / 1000</f>
        <v>0</v>
      </c>
      <c r="CZ948" s="229">
        <f t="shared" si="922"/>
        <v>0</v>
      </c>
      <c r="DA948" s="246"/>
    </row>
    <row r="949" spans="1:105" s="75" customFormat="1" ht="14.25" customHeight="1" x14ac:dyDescent="0.2">
      <c r="A949" s="230" t="b">
        <f t="shared" si="927"/>
        <v>0</v>
      </c>
      <c r="B949" s="253">
        <v>928</v>
      </c>
      <c r="C949" s="266"/>
      <c r="D949" s="266"/>
      <c r="E949" s="254"/>
      <c r="F949" s="255" t="str">
        <f>IF(ISBLANK(E949), "", VLOOKUP(E949, Z!$A$2:$C$4127, 3, FALSE))</f>
        <v/>
      </c>
      <c r="G949" s="256"/>
      <c r="H949" s="256"/>
      <c r="I949" s="256"/>
      <c r="J949" s="257"/>
      <c r="K949" s="258"/>
      <c r="L949" s="267"/>
      <c r="M949" s="268"/>
      <c r="N949" s="259" t="str" cm="1">
        <f t="array" ref="N949">IF($L949&gt;0, INDEX(Clean,1+AK949,$D$1), "")</f>
        <v/>
      </c>
      <c r="O949" s="260"/>
      <c r="P949" s="260"/>
      <c r="Q949" s="261"/>
      <c r="R949" s="264">
        <f t="shared" si="898"/>
        <v>0</v>
      </c>
      <c r="S949" s="259" t="str" cm="1">
        <f t="array" ref="S949">IF($L949&gt;0, INDEX(Clean,1+AL949,$D$1), "")</f>
        <v/>
      </c>
      <c r="T949" s="260"/>
      <c r="U949" s="260"/>
      <c r="V949" s="261"/>
      <c r="W949" s="267"/>
      <c r="X949" s="267"/>
      <c r="Y949" s="257"/>
      <c r="Z949" s="264">
        <f t="shared" si="899"/>
        <v>0</v>
      </c>
      <c r="AA949" s="269"/>
      <c r="AB949" s="266"/>
      <c r="AC949" s="254"/>
      <c r="AD949" s="255" t="str">
        <f>IF(ISBLANK(AC949), "", VLOOKUP(AC949, Z!$A$2:$C$4127, 3, FALSE))</f>
        <v/>
      </c>
      <c r="AE949" s="270"/>
      <c r="AF949" s="265">
        <f t="shared" si="900"/>
        <v>0</v>
      </c>
      <c r="AG949" s="246"/>
      <c r="AH949" s="228">
        <f t="shared" si="923"/>
        <v>1</v>
      </c>
      <c r="AI949" s="228">
        <f t="shared" si="924"/>
        <v>1</v>
      </c>
      <c r="AJ949" s="228">
        <f t="shared" si="925"/>
        <v>0</v>
      </c>
      <c r="AK949" s="228">
        <v>0</v>
      </c>
      <c r="AL949" s="228">
        <v>0</v>
      </c>
      <c r="AM949" s="228">
        <f t="shared" si="901"/>
        <v>-100</v>
      </c>
      <c r="AN949" s="228" cm="1">
        <f t="array" ref="AN949">IF(ISBLANK(G949), 1, IFERROR(MATCH(G949, INDEX(Kat,,1), 0), IFERROR(MATCH(Kat, INDEX(Use,,2), 0), MATCH(Kat, INDEX(Use,,3), 0))))</f>
        <v>1</v>
      </c>
      <c r="AO949" s="246"/>
      <c r="AP949" s="228" cm="1">
        <f t="array" ref="AP949">IF(W949&gt;0, INDEX(Kat, AN949,4), 0)</f>
        <v>0</v>
      </c>
      <c r="AQ949" s="228">
        <f t="shared" si="926"/>
        <v>0</v>
      </c>
      <c r="AR949" s="228" cm="1">
        <f t="array" ref="AR949">IF(X949&gt;0, INDEX(Kat, $AN949, 4+AQ949), 0)</f>
        <v>0</v>
      </c>
      <c r="AS949" s="228" cm="1">
        <f t="array" ref="AS949">IF(X949&gt;0, INDEX(Kat, $AN949, 9+AQ949), 0)</f>
        <v>0</v>
      </c>
      <c r="AT949" s="246"/>
      <c r="AU949" s="262"/>
      <c r="AV949" s="262"/>
      <c r="AW949" s="263"/>
      <c r="AX949" s="263"/>
      <c r="AY949" s="263"/>
      <c r="AZ949" s="263"/>
      <c r="BA949" s="263"/>
      <c r="BB949" s="263"/>
      <c r="BC949" s="263"/>
      <c r="BD949" s="263"/>
      <c r="BE949" s="263"/>
      <c r="BF949" s="263"/>
      <c r="BG949" s="263"/>
      <c r="BH949" s="246"/>
      <c r="BI949" s="228" cm="1">
        <f t="array" ref="BI949">INDEX(Use, $AH949, 4)</f>
        <v>7</v>
      </c>
      <c r="BJ949" s="228">
        <f t="shared" si="902"/>
        <v>32</v>
      </c>
      <c r="BK949" s="228">
        <f t="shared" si="928"/>
        <v>13</v>
      </c>
      <c r="BL949" s="228">
        <f t="shared" si="929"/>
        <v>0</v>
      </c>
      <c r="BM949" s="233" cm="1">
        <f t="array" ref="BM949">L949/IF($M949&gt;0, INDEX($AY$22:$BE$76, $M949+20, $AH949), 1)</f>
        <v>0</v>
      </c>
      <c r="BN949" s="229">
        <f t="shared" si="903"/>
        <v>0</v>
      </c>
      <c r="BO949" s="228">
        <v>35</v>
      </c>
      <c r="BP949" s="229">
        <f t="shared" si="904"/>
        <v>48</v>
      </c>
      <c r="BQ949" s="234">
        <f t="shared" si="905"/>
        <v>3.0748170731707316</v>
      </c>
      <c r="BR949" s="234" cm="1">
        <f t="array" ref="BR949">$BM949 * SUMPRODUCT(INDEX($AV$76:$AX$81,,$AI949),INDEX($AY$76:$BE$81,,$AH949), N($AU$76:$AU$81&gt;$AM949)) / BQ949 / 1000</f>
        <v>0</v>
      </c>
      <c r="BS949" s="231">
        <f t="shared" si="930"/>
        <v>30</v>
      </c>
      <c r="BT949" s="229">
        <f t="shared" si="906"/>
        <v>43</v>
      </c>
      <c r="BU949" s="234">
        <f t="shared" si="907"/>
        <v>3.5018750000000001</v>
      </c>
      <c r="BV949" s="234" cm="1">
        <f t="array" ref="BV949">$BM949 * IF($AH949&lt;=2,
SUMPRODUCT(INDEX($AV$71:$AX$75,,$AI949), INDEX($AY$71:$BE$75,,$AH949), 1 / ($BF$71:$BF$75*BU949 + (1-$BF$71:$BF$75)*BQ949), N($AU$71:$AU$75&gt;$AM949)),
SUMPRODUCT(INDEX($AV$66:$AX$75,,$AI949), INDEX($AY$66:$BE$75,,$AH949), 1 / ($BG$66:$BG$75*BU949 + (1-$BG$66:$BG$75)*BQ949), N($AU$66:$AU$75&gt;$AM949))
) / 1000</f>
        <v>0</v>
      </c>
      <c r="BW949" s="231">
        <f t="shared" si="931"/>
        <v>25</v>
      </c>
      <c r="BX949" s="229">
        <f t="shared" si="908"/>
        <v>38</v>
      </c>
      <c r="BY949" s="234">
        <f t="shared" si="909"/>
        <v>4.0666935483870965</v>
      </c>
      <c r="BZ949" s="234" cm="1">
        <f t="array" ref="BZ949">$BM949 * IF($AH949&lt;=2,
SUMPRODUCT(INDEX($AV$66:$AX$70,,$AI949), INDEX($AY$66:$BE$70,,$AH949), 1 / ($BF$66:$BF$70*BY949 + (1-$BF$66:$BF$70)*BU949), N($AU$66:$AU$70&gt;$AM949)),
SUMPRODUCT(INDEX($AV$56:$AX$65,,$AI949), INDEX($AY$56:$BE$65,,$AH949), 1 / ($BG$56:$BG$65*BY949 + (1-$BG$56:$BG$65)*BU949), N($AU$56:$AU$65&gt;$AM949))
) / 1000</f>
        <v>0</v>
      </c>
      <c r="CA949" s="231">
        <f t="shared" si="932"/>
        <v>20</v>
      </c>
      <c r="CB949" s="229">
        <f t="shared" si="910"/>
        <v>33</v>
      </c>
      <c r="CC949" s="234">
        <f t="shared" si="911"/>
        <v>4.8487499999999999</v>
      </c>
      <c r="CD949" s="234" cm="1">
        <f t="array" ref="CD949">$BM949 * IF($AH949&lt;=2,
SUMPRODUCT(INDEX($AV$61:$AX$65,,$AI949), INDEX($AY$61:$BE$65,,$AH949), 1 / ($BF$61:$BF$65*CC949 + (1-$BF$61:$BF$65)*BY949), N($AU$61:$AU$65&gt;$AM949)),
SUMPRODUCT(INDEX($AV$46:$AX$55,,$AI949), INDEX($AY$46:$BE$55,,$AH949), 1 / ($BG$46:$BG$55*CC949 + (1-$BG$46:$BG$55)*BY949), N($AU$46:$AU$55&gt;$AM949))
) / 1000</f>
        <v>0</v>
      </c>
      <c r="CE949" s="234" cm="1">
        <f t="array" ref="CE949">$BM949 * IF($AH949&lt;=2,
SUMPRODUCT(INDEX($AV$22:$AX$60,,$AI949), INDEX($AY$22:$BE$60,,$AH949), 1 / ($BF$22:$BF$60*CC949), N($AU$22:$AU$60&gt;$AM949)),
SUMPRODUCT(INDEX($AV$22:$AX$45,,$AI949), INDEX($AY$22:$BE$45,,$AH949), 1 / ($BG$22:$BG$45*CC949), N($AU$22:$AU$45&gt;$AM949))
) / 1000</f>
        <v>0</v>
      </c>
      <c r="CF949" s="229">
        <f t="shared" si="912"/>
        <v>0</v>
      </c>
      <c r="CG949" s="246"/>
      <c r="CH949" s="229">
        <f t="shared" si="913"/>
        <v>0</v>
      </c>
      <c r="CI949" s="228">
        <v>35</v>
      </c>
      <c r="CJ949" s="229">
        <f t="shared" si="914"/>
        <v>48</v>
      </c>
      <c r="CK949" s="234">
        <f t="shared" si="915"/>
        <v>3.0748170731707316</v>
      </c>
      <c r="CL949" s="234" cm="1">
        <f t="array" ref="CL949">$BM949 * SUMPRODUCT(INDEX($AV$76:$AX$81,,$AI949),INDEX($AY$76:$BE$81,,$AH949), N($AU$76:$AU$81&gt;$AM949)) / CK949 / 1000</f>
        <v>0</v>
      </c>
      <c r="CM949" s="231">
        <f t="shared" si="933"/>
        <v>30</v>
      </c>
      <c r="CN949" s="229">
        <f t="shared" si="916"/>
        <v>43</v>
      </c>
      <c r="CO949" s="234">
        <f t="shared" si="917"/>
        <v>3.5018750000000001</v>
      </c>
      <c r="CP949" s="234" cm="1">
        <f t="array" ref="CP949">$BM949 * IF($AH949&lt;=2,
SUMPRODUCT(INDEX($AV$71:$AX$75,,$AI949), INDEX($AY$71:$BE$75,,$AH949), 1 / ($BF$71:$BF$75*CO949 + (1-$BF$71:$BF$75)*CK949), N($AU$71:$AU$75&gt;$AM949)),
SUMPRODUCT(INDEX($AV$66:$AX$75,,$AI949), INDEX($AY$66:$BE$75,,$AH949), 1 / ($BG$66:$BG$75*CO949 + (1-$BG$66:$BG$75)*CK949), N($AU$66:$AU$75&gt;$AM949))
) / 1000</f>
        <v>0</v>
      </c>
      <c r="CQ949" s="231">
        <f t="shared" si="934"/>
        <v>25</v>
      </c>
      <c r="CR949" s="229">
        <f t="shared" si="918"/>
        <v>38</v>
      </c>
      <c r="CS949" s="234">
        <f t="shared" si="919"/>
        <v>4.0666935483870965</v>
      </c>
      <c r="CT949" s="234" cm="1">
        <f t="array" ref="CT949">$BM949 * IF($AH949&lt;=2,
SUMPRODUCT(INDEX($AV$66:$AX$70,,$AI949), INDEX($AY$66:$BE$70,,$AH949), 1 / ($BF$66:$BF$70*CS949 + (1-$BF$66:$BF$70)*CO949), N($AU$66:$AU$70&gt;$AM949)),
SUMPRODUCT(INDEX($AV$56:$AX$65,,$AI949), INDEX($AY$56:$BE$65,,$AH949), 1 / ($BG$56:$BG$65*CS949 + (1-$BG$56:$BG$65)*CO949), N($AU$56:$AU$65&gt;$AM949))
) / 1000</f>
        <v>0</v>
      </c>
      <c r="CU949" s="231">
        <f t="shared" si="935"/>
        <v>20</v>
      </c>
      <c r="CV949" s="229">
        <f t="shared" si="920"/>
        <v>33</v>
      </c>
      <c r="CW949" s="234">
        <f t="shared" si="921"/>
        <v>4.8487499999999999</v>
      </c>
      <c r="CX949" s="234" cm="1">
        <f t="array" ref="CX949">$BM949 * IF($AH949&lt;=2,
SUMPRODUCT(INDEX($AV$61:$AX$65,,$AI949), INDEX($AY$61:$BE$65,,$AH949), 1 / ($BF$61:$BF$65*CW949 + (1-$BF$61:$BF$65)*CS949), N($AU$61:$AU$65&gt;$AM949)),
SUMPRODUCT(INDEX($AV$46:$AX$55,,$AI949), INDEX($AY$46:$BE$55,,$AH949), 1 / ($BG$46:$BG$55*CW949 + (1-$BG$46:$BG$55)*CS949), N($AU$46:$AU$55&gt;$AM949))
) / 1000</f>
        <v>0</v>
      </c>
      <c r="CY949" s="234" cm="1">
        <f t="array" ref="CY949">$BM949 * IF($AH949&lt;=2,
SUMPRODUCT(INDEX($AV$22:$AX$60,,$AI949), INDEX($AY$22:$BE$60,,$AH949), 1 / ($BF$22:$BF$60*CW949), N($AU$22:$AU$60&gt;$AM949)),
SUMPRODUCT(INDEX($AV$22:$AX$45,,$AI949), INDEX($AY$22:$BE$45,,$AH949), 1 / ($BG$22:$BG$45*CW949), N($AU$22:$AU$45&gt;$AM949))
) / 1000</f>
        <v>0</v>
      </c>
      <c r="CZ949" s="229">
        <f t="shared" si="922"/>
        <v>0</v>
      </c>
      <c r="DA949" s="246"/>
    </row>
    <row r="950" spans="1:105" s="75" customFormat="1" ht="14.25" customHeight="1" x14ac:dyDescent="0.2">
      <c r="A950" s="230" t="b">
        <f t="shared" si="927"/>
        <v>0</v>
      </c>
      <c r="B950" s="253">
        <v>929</v>
      </c>
      <c r="C950" s="266"/>
      <c r="D950" s="266"/>
      <c r="E950" s="254"/>
      <c r="F950" s="255" t="str">
        <f>IF(ISBLANK(E950), "", VLOOKUP(E950, Z!$A$2:$C$4127, 3, FALSE))</f>
        <v/>
      </c>
      <c r="G950" s="256"/>
      <c r="H950" s="256"/>
      <c r="I950" s="256"/>
      <c r="J950" s="257"/>
      <c r="K950" s="258"/>
      <c r="L950" s="267"/>
      <c r="M950" s="268"/>
      <c r="N950" s="259" t="str" cm="1">
        <f t="array" ref="N950">IF($L950&gt;0, INDEX(Clean,1+AK950,$D$1), "")</f>
        <v/>
      </c>
      <c r="O950" s="260"/>
      <c r="P950" s="260"/>
      <c r="Q950" s="261"/>
      <c r="R950" s="264">
        <f t="shared" si="898"/>
        <v>0</v>
      </c>
      <c r="S950" s="259" t="str" cm="1">
        <f t="array" ref="S950">IF($L950&gt;0, INDEX(Clean,1+AL950,$D$1), "")</f>
        <v/>
      </c>
      <c r="T950" s="260"/>
      <c r="U950" s="260"/>
      <c r="V950" s="261"/>
      <c r="W950" s="267"/>
      <c r="X950" s="267"/>
      <c r="Y950" s="257"/>
      <c r="Z950" s="264">
        <f t="shared" si="899"/>
        <v>0</v>
      </c>
      <c r="AA950" s="269"/>
      <c r="AB950" s="266"/>
      <c r="AC950" s="254"/>
      <c r="AD950" s="255" t="str">
        <f>IF(ISBLANK(AC950), "", VLOOKUP(AC950, Z!$A$2:$C$4127, 3, FALSE))</f>
        <v/>
      </c>
      <c r="AE950" s="270"/>
      <c r="AF950" s="265">
        <f t="shared" si="900"/>
        <v>0</v>
      </c>
      <c r="AG950" s="246"/>
      <c r="AH950" s="228">
        <f t="shared" si="923"/>
        <v>1</v>
      </c>
      <c r="AI950" s="228">
        <f t="shared" si="924"/>
        <v>1</v>
      </c>
      <c r="AJ950" s="228">
        <f t="shared" si="925"/>
        <v>0</v>
      </c>
      <c r="AK950" s="228">
        <v>0</v>
      </c>
      <c r="AL950" s="228">
        <v>0</v>
      </c>
      <c r="AM950" s="228">
        <f t="shared" si="901"/>
        <v>-100</v>
      </c>
      <c r="AN950" s="228" cm="1">
        <f t="array" ref="AN950">IF(ISBLANK(G950), 1, IFERROR(MATCH(G950, INDEX(Kat,,1), 0), IFERROR(MATCH(Kat, INDEX(Use,,2), 0), MATCH(Kat, INDEX(Use,,3), 0))))</f>
        <v>1</v>
      </c>
      <c r="AO950" s="246"/>
      <c r="AP950" s="228" cm="1">
        <f t="array" ref="AP950">IF(W950&gt;0, INDEX(Kat, AN950,4), 0)</f>
        <v>0</v>
      </c>
      <c r="AQ950" s="228">
        <f t="shared" si="926"/>
        <v>0</v>
      </c>
      <c r="AR950" s="228" cm="1">
        <f t="array" ref="AR950">IF(X950&gt;0, INDEX(Kat, $AN950, 4+AQ950), 0)</f>
        <v>0</v>
      </c>
      <c r="AS950" s="228" cm="1">
        <f t="array" ref="AS950">IF(X950&gt;0, INDEX(Kat, $AN950, 9+AQ950), 0)</f>
        <v>0</v>
      </c>
      <c r="AT950" s="246"/>
      <c r="AU950" s="262"/>
      <c r="AV950" s="262"/>
      <c r="AW950" s="263"/>
      <c r="AX950" s="263"/>
      <c r="AY950" s="263"/>
      <c r="AZ950" s="263"/>
      <c r="BA950" s="263"/>
      <c r="BB950" s="263"/>
      <c r="BC950" s="263"/>
      <c r="BD950" s="263"/>
      <c r="BE950" s="263"/>
      <c r="BF950" s="263"/>
      <c r="BG950" s="263"/>
      <c r="BH950" s="246"/>
      <c r="BI950" s="228" cm="1">
        <f t="array" ref="BI950">INDEX(Use, $AH950, 4)</f>
        <v>7</v>
      </c>
      <c r="BJ950" s="228">
        <f t="shared" si="902"/>
        <v>32</v>
      </c>
      <c r="BK950" s="228">
        <f t="shared" si="928"/>
        <v>13</v>
      </c>
      <c r="BL950" s="228">
        <f t="shared" si="929"/>
        <v>0</v>
      </c>
      <c r="BM950" s="233" cm="1">
        <f t="array" ref="BM950">L950/IF($M950&gt;0, INDEX($AY$22:$BE$76, $M950+20, $AH950), 1)</f>
        <v>0</v>
      </c>
      <c r="BN950" s="229">
        <f t="shared" si="903"/>
        <v>0</v>
      </c>
      <c r="BO950" s="228">
        <v>35</v>
      </c>
      <c r="BP950" s="229">
        <f t="shared" si="904"/>
        <v>48</v>
      </c>
      <c r="BQ950" s="234">
        <f t="shared" si="905"/>
        <v>3.0748170731707316</v>
      </c>
      <c r="BR950" s="234" cm="1">
        <f t="array" ref="BR950">$BM950 * SUMPRODUCT(INDEX($AV$76:$AX$81,,$AI950),INDEX($AY$76:$BE$81,,$AH950), N($AU$76:$AU$81&gt;$AM950)) / BQ950 / 1000</f>
        <v>0</v>
      </c>
      <c r="BS950" s="231">
        <f t="shared" si="930"/>
        <v>30</v>
      </c>
      <c r="BT950" s="229">
        <f t="shared" si="906"/>
        <v>43</v>
      </c>
      <c r="BU950" s="234">
        <f t="shared" si="907"/>
        <v>3.5018750000000001</v>
      </c>
      <c r="BV950" s="234" cm="1">
        <f t="array" ref="BV950">$BM950 * IF($AH950&lt;=2,
SUMPRODUCT(INDEX($AV$71:$AX$75,,$AI950), INDEX($AY$71:$BE$75,,$AH950), 1 / ($BF$71:$BF$75*BU950 + (1-$BF$71:$BF$75)*BQ950), N($AU$71:$AU$75&gt;$AM950)),
SUMPRODUCT(INDEX($AV$66:$AX$75,,$AI950), INDEX($AY$66:$BE$75,,$AH950), 1 / ($BG$66:$BG$75*BU950 + (1-$BG$66:$BG$75)*BQ950), N($AU$66:$AU$75&gt;$AM950))
) / 1000</f>
        <v>0</v>
      </c>
      <c r="BW950" s="231">
        <f t="shared" si="931"/>
        <v>25</v>
      </c>
      <c r="BX950" s="229">
        <f t="shared" si="908"/>
        <v>38</v>
      </c>
      <c r="BY950" s="234">
        <f t="shared" si="909"/>
        <v>4.0666935483870965</v>
      </c>
      <c r="BZ950" s="234" cm="1">
        <f t="array" ref="BZ950">$BM950 * IF($AH950&lt;=2,
SUMPRODUCT(INDEX($AV$66:$AX$70,,$AI950), INDEX($AY$66:$BE$70,,$AH950), 1 / ($BF$66:$BF$70*BY950 + (1-$BF$66:$BF$70)*BU950), N($AU$66:$AU$70&gt;$AM950)),
SUMPRODUCT(INDEX($AV$56:$AX$65,,$AI950), INDEX($AY$56:$BE$65,,$AH950), 1 / ($BG$56:$BG$65*BY950 + (1-$BG$56:$BG$65)*BU950), N($AU$56:$AU$65&gt;$AM950))
) / 1000</f>
        <v>0</v>
      </c>
      <c r="CA950" s="231">
        <f t="shared" si="932"/>
        <v>20</v>
      </c>
      <c r="CB950" s="229">
        <f t="shared" si="910"/>
        <v>33</v>
      </c>
      <c r="CC950" s="234">
        <f t="shared" si="911"/>
        <v>4.8487499999999999</v>
      </c>
      <c r="CD950" s="234" cm="1">
        <f t="array" ref="CD950">$BM950 * IF($AH950&lt;=2,
SUMPRODUCT(INDEX($AV$61:$AX$65,,$AI950), INDEX($AY$61:$BE$65,,$AH950), 1 / ($BF$61:$BF$65*CC950 + (1-$BF$61:$BF$65)*BY950), N($AU$61:$AU$65&gt;$AM950)),
SUMPRODUCT(INDEX($AV$46:$AX$55,,$AI950), INDEX($AY$46:$BE$55,,$AH950), 1 / ($BG$46:$BG$55*CC950 + (1-$BG$46:$BG$55)*BY950), N($AU$46:$AU$55&gt;$AM950))
) / 1000</f>
        <v>0</v>
      </c>
      <c r="CE950" s="234" cm="1">
        <f t="array" ref="CE950">$BM950 * IF($AH950&lt;=2,
SUMPRODUCT(INDEX($AV$22:$AX$60,,$AI950), INDEX($AY$22:$BE$60,,$AH950), 1 / ($BF$22:$BF$60*CC950), N($AU$22:$AU$60&gt;$AM950)),
SUMPRODUCT(INDEX($AV$22:$AX$45,,$AI950), INDEX($AY$22:$BE$45,,$AH950), 1 / ($BG$22:$BG$45*CC950), N($AU$22:$AU$45&gt;$AM950))
) / 1000</f>
        <v>0</v>
      </c>
      <c r="CF950" s="229">
        <f t="shared" si="912"/>
        <v>0</v>
      </c>
      <c r="CG950" s="246"/>
      <c r="CH950" s="229">
        <f t="shared" si="913"/>
        <v>0</v>
      </c>
      <c r="CI950" s="228">
        <v>35</v>
      </c>
      <c r="CJ950" s="229">
        <f t="shared" si="914"/>
        <v>48</v>
      </c>
      <c r="CK950" s="234">
        <f t="shared" si="915"/>
        <v>3.0748170731707316</v>
      </c>
      <c r="CL950" s="234" cm="1">
        <f t="array" ref="CL950">$BM950 * SUMPRODUCT(INDEX($AV$76:$AX$81,,$AI950),INDEX($AY$76:$BE$81,,$AH950), N($AU$76:$AU$81&gt;$AM950)) / CK950 / 1000</f>
        <v>0</v>
      </c>
      <c r="CM950" s="231">
        <f t="shared" si="933"/>
        <v>30</v>
      </c>
      <c r="CN950" s="229">
        <f t="shared" si="916"/>
        <v>43</v>
      </c>
      <c r="CO950" s="234">
        <f t="shared" si="917"/>
        <v>3.5018750000000001</v>
      </c>
      <c r="CP950" s="234" cm="1">
        <f t="array" ref="CP950">$BM950 * IF($AH950&lt;=2,
SUMPRODUCT(INDEX($AV$71:$AX$75,,$AI950), INDEX($AY$71:$BE$75,,$AH950), 1 / ($BF$71:$BF$75*CO950 + (1-$BF$71:$BF$75)*CK950), N($AU$71:$AU$75&gt;$AM950)),
SUMPRODUCT(INDEX($AV$66:$AX$75,,$AI950), INDEX($AY$66:$BE$75,,$AH950), 1 / ($BG$66:$BG$75*CO950 + (1-$BG$66:$BG$75)*CK950), N($AU$66:$AU$75&gt;$AM950))
) / 1000</f>
        <v>0</v>
      </c>
      <c r="CQ950" s="231">
        <f t="shared" si="934"/>
        <v>25</v>
      </c>
      <c r="CR950" s="229">
        <f t="shared" si="918"/>
        <v>38</v>
      </c>
      <c r="CS950" s="234">
        <f t="shared" si="919"/>
        <v>4.0666935483870965</v>
      </c>
      <c r="CT950" s="234" cm="1">
        <f t="array" ref="CT950">$BM950 * IF($AH950&lt;=2,
SUMPRODUCT(INDEX($AV$66:$AX$70,,$AI950), INDEX($AY$66:$BE$70,,$AH950), 1 / ($BF$66:$BF$70*CS950 + (1-$BF$66:$BF$70)*CO950), N($AU$66:$AU$70&gt;$AM950)),
SUMPRODUCT(INDEX($AV$56:$AX$65,,$AI950), INDEX($AY$56:$BE$65,,$AH950), 1 / ($BG$56:$BG$65*CS950 + (1-$BG$56:$BG$65)*CO950), N($AU$56:$AU$65&gt;$AM950))
) / 1000</f>
        <v>0</v>
      </c>
      <c r="CU950" s="231">
        <f t="shared" si="935"/>
        <v>20</v>
      </c>
      <c r="CV950" s="229">
        <f t="shared" si="920"/>
        <v>33</v>
      </c>
      <c r="CW950" s="234">
        <f t="shared" si="921"/>
        <v>4.8487499999999999</v>
      </c>
      <c r="CX950" s="234" cm="1">
        <f t="array" ref="CX950">$BM950 * IF($AH950&lt;=2,
SUMPRODUCT(INDEX($AV$61:$AX$65,,$AI950), INDEX($AY$61:$BE$65,,$AH950), 1 / ($BF$61:$BF$65*CW950 + (1-$BF$61:$BF$65)*CS950), N($AU$61:$AU$65&gt;$AM950)),
SUMPRODUCT(INDEX($AV$46:$AX$55,,$AI950), INDEX($AY$46:$BE$55,,$AH950), 1 / ($BG$46:$BG$55*CW950 + (1-$BG$46:$BG$55)*CS950), N($AU$46:$AU$55&gt;$AM950))
) / 1000</f>
        <v>0</v>
      </c>
      <c r="CY950" s="234" cm="1">
        <f t="array" ref="CY950">$BM950 * IF($AH950&lt;=2,
SUMPRODUCT(INDEX($AV$22:$AX$60,,$AI950), INDEX($AY$22:$BE$60,,$AH950), 1 / ($BF$22:$BF$60*CW950), N($AU$22:$AU$60&gt;$AM950)),
SUMPRODUCT(INDEX($AV$22:$AX$45,,$AI950), INDEX($AY$22:$BE$45,,$AH950), 1 / ($BG$22:$BG$45*CW950), N($AU$22:$AU$45&gt;$AM950))
) / 1000</f>
        <v>0</v>
      </c>
      <c r="CZ950" s="229">
        <f t="shared" si="922"/>
        <v>0</v>
      </c>
      <c r="DA950" s="246"/>
    </row>
    <row r="951" spans="1:105" s="75" customFormat="1" ht="14.25" customHeight="1" x14ac:dyDescent="0.2">
      <c r="A951" s="230" t="b">
        <f t="shared" si="927"/>
        <v>0</v>
      </c>
      <c r="B951" s="253">
        <v>930</v>
      </c>
      <c r="C951" s="266"/>
      <c r="D951" s="266"/>
      <c r="E951" s="254"/>
      <c r="F951" s="255" t="str">
        <f>IF(ISBLANK(E951), "", VLOOKUP(E951, Z!$A$2:$C$4127, 3, FALSE))</f>
        <v/>
      </c>
      <c r="G951" s="256"/>
      <c r="H951" s="256"/>
      <c r="I951" s="256"/>
      <c r="J951" s="257"/>
      <c r="K951" s="258"/>
      <c r="L951" s="267"/>
      <c r="M951" s="268"/>
      <c r="N951" s="259" t="str" cm="1">
        <f t="array" ref="N951">IF($L951&gt;0, INDEX(Clean,1+AK951,$D$1), "")</f>
        <v/>
      </c>
      <c r="O951" s="260"/>
      <c r="P951" s="260"/>
      <c r="Q951" s="261"/>
      <c r="R951" s="264">
        <f t="shared" si="898"/>
        <v>0</v>
      </c>
      <c r="S951" s="259" t="str" cm="1">
        <f t="array" ref="S951">IF($L951&gt;0, INDEX(Clean,1+AL951,$D$1), "")</f>
        <v/>
      </c>
      <c r="T951" s="260"/>
      <c r="U951" s="260"/>
      <c r="V951" s="261"/>
      <c r="W951" s="267"/>
      <c r="X951" s="267"/>
      <c r="Y951" s="257"/>
      <c r="Z951" s="264">
        <f t="shared" si="899"/>
        <v>0</v>
      </c>
      <c r="AA951" s="269"/>
      <c r="AB951" s="266"/>
      <c r="AC951" s="254"/>
      <c r="AD951" s="255" t="str">
        <f>IF(ISBLANK(AC951), "", VLOOKUP(AC951, Z!$A$2:$C$4127, 3, FALSE))</f>
        <v/>
      </c>
      <c r="AE951" s="270"/>
      <c r="AF951" s="265">
        <f t="shared" si="900"/>
        <v>0</v>
      </c>
      <c r="AG951" s="246"/>
      <c r="AH951" s="228">
        <f t="shared" si="923"/>
        <v>1</v>
      </c>
      <c r="AI951" s="228">
        <f t="shared" si="924"/>
        <v>1</v>
      </c>
      <c r="AJ951" s="228">
        <f t="shared" si="925"/>
        <v>0</v>
      </c>
      <c r="AK951" s="228">
        <v>0</v>
      </c>
      <c r="AL951" s="228">
        <v>0</v>
      </c>
      <c r="AM951" s="228">
        <f t="shared" si="901"/>
        <v>-100</v>
      </c>
      <c r="AN951" s="228" cm="1">
        <f t="array" ref="AN951">IF(ISBLANK(G951), 1, IFERROR(MATCH(G951, INDEX(Kat,,1), 0), IFERROR(MATCH(Kat, INDEX(Use,,2), 0), MATCH(Kat, INDEX(Use,,3), 0))))</f>
        <v>1</v>
      </c>
      <c r="AO951" s="246"/>
      <c r="AP951" s="228" cm="1">
        <f t="array" ref="AP951">IF(W951&gt;0, INDEX(Kat, AN951,4), 0)</f>
        <v>0</v>
      </c>
      <c r="AQ951" s="228">
        <f t="shared" si="926"/>
        <v>0</v>
      </c>
      <c r="AR951" s="228" cm="1">
        <f t="array" ref="AR951">IF(X951&gt;0, INDEX(Kat, $AN951, 4+AQ951), 0)</f>
        <v>0</v>
      </c>
      <c r="AS951" s="228" cm="1">
        <f t="array" ref="AS951">IF(X951&gt;0, INDEX(Kat, $AN951, 9+AQ951), 0)</f>
        <v>0</v>
      </c>
      <c r="AT951" s="246"/>
      <c r="AU951" s="262"/>
      <c r="AV951" s="262"/>
      <c r="AW951" s="263"/>
      <c r="AX951" s="263"/>
      <c r="AY951" s="263"/>
      <c r="AZ951" s="263"/>
      <c r="BA951" s="263"/>
      <c r="BB951" s="263"/>
      <c r="BC951" s="263"/>
      <c r="BD951" s="263"/>
      <c r="BE951" s="263"/>
      <c r="BF951" s="263"/>
      <c r="BG951" s="263"/>
      <c r="BH951" s="246"/>
      <c r="BI951" s="228" cm="1">
        <f t="array" ref="BI951">INDEX(Use, $AH951, 4)</f>
        <v>7</v>
      </c>
      <c r="BJ951" s="228">
        <f t="shared" si="902"/>
        <v>32</v>
      </c>
      <c r="BK951" s="228">
        <f t="shared" si="928"/>
        <v>13</v>
      </c>
      <c r="BL951" s="228">
        <f t="shared" si="929"/>
        <v>0</v>
      </c>
      <c r="BM951" s="233" cm="1">
        <f t="array" ref="BM951">L951/IF($M951&gt;0, INDEX($AY$22:$BE$76, $M951+20, $AH951), 1)</f>
        <v>0</v>
      </c>
      <c r="BN951" s="229">
        <f t="shared" si="903"/>
        <v>0</v>
      </c>
      <c r="BO951" s="228">
        <v>35</v>
      </c>
      <c r="BP951" s="229">
        <f t="shared" si="904"/>
        <v>48</v>
      </c>
      <c r="BQ951" s="234">
        <f t="shared" si="905"/>
        <v>3.0748170731707316</v>
      </c>
      <c r="BR951" s="234" cm="1">
        <f t="array" ref="BR951">$BM951 * SUMPRODUCT(INDEX($AV$76:$AX$81,,$AI951),INDEX($AY$76:$BE$81,,$AH951), N($AU$76:$AU$81&gt;$AM951)) / BQ951 / 1000</f>
        <v>0</v>
      </c>
      <c r="BS951" s="231">
        <f t="shared" si="930"/>
        <v>30</v>
      </c>
      <c r="BT951" s="229">
        <f t="shared" si="906"/>
        <v>43</v>
      </c>
      <c r="BU951" s="234">
        <f t="shared" si="907"/>
        <v>3.5018750000000001</v>
      </c>
      <c r="BV951" s="234" cm="1">
        <f t="array" ref="BV951">$BM951 * IF($AH951&lt;=2,
SUMPRODUCT(INDEX($AV$71:$AX$75,,$AI951), INDEX($AY$71:$BE$75,,$AH951), 1 / ($BF$71:$BF$75*BU951 + (1-$BF$71:$BF$75)*BQ951), N($AU$71:$AU$75&gt;$AM951)),
SUMPRODUCT(INDEX($AV$66:$AX$75,,$AI951), INDEX($AY$66:$BE$75,,$AH951), 1 / ($BG$66:$BG$75*BU951 + (1-$BG$66:$BG$75)*BQ951), N($AU$66:$AU$75&gt;$AM951))
) / 1000</f>
        <v>0</v>
      </c>
      <c r="BW951" s="231">
        <f t="shared" si="931"/>
        <v>25</v>
      </c>
      <c r="BX951" s="229">
        <f t="shared" si="908"/>
        <v>38</v>
      </c>
      <c r="BY951" s="234">
        <f t="shared" si="909"/>
        <v>4.0666935483870965</v>
      </c>
      <c r="BZ951" s="234" cm="1">
        <f t="array" ref="BZ951">$BM951 * IF($AH951&lt;=2,
SUMPRODUCT(INDEX($AV$66:$AX$70,,$AI951), INDEX($AY$66:$BE$70,,$AH951), 1 / ($BF$66:$BF$70*BY951 + (1-$BF$66:$BF$70)*BU951), N($AU$66:$AU$70&gt;$AM951)),
SUMPRODUCT(INDEX($AV$56:$AX$65,,$AI951), INDEX($AY$56:$BE$65,,$AH951), 1 / ($BG$56:$BG$65*BY951 + (1-$BG$56:$BG$65)*BU951), N($AU$56:$AU$65&gt;$AM951))
) / 1000</f>
        <v>0</v>
      </c>
      <c r="CA951" s="231">
        <f t="shared" si="932"/>
        <v>20</v>
      </c>
      <c r="CB951" s="229">
        <f t="shared" si="910"/>
        <v>33</v>
      </c>
      <c r="CC951" s="234">
        <f t="shared" si="911"/>
        <v>4.8487499999999999</v>
      </c>
      <c r="CD951" s="234" cm="1">
        <f t="array" ref="CD951">$BM951 * IF($AH951&lt;=2,
SUMPRODUCT(INDEX($AV$61:$AX$65,,$AI951), INDEX($AY$61:$BE$65,,$AH951), 1 / ($BF$61:$BF$65*CC951 + (1-$BF$61:$BF$65)*BY951), N($AU$61:$AU$65&gt;$AM951)),
SUMPRODUCT(INDEX($AV$46:$AX$55,,$AI951), INDEX($AY$46:$BE$55,,$AH951), 1 / ($BG$46:$BG$55*CC951 + (1-$BG$46:$BG$55)*BY951), N($AU$46:$AU$55&gt;$AM951))
) / 1000</f>
        <v>0</v>
      </c>
      <c r="CE951" s="234" cm="1">
        <f t="array" ref="CE951">$BM951 * IF($AH951&lt;=2,
SUMPRODUCT(INDEX($AV$22:$AX$60,,$AI951), INDEX($AY$22:$BE$60,,$AH951), 1 / ($BF$22:$BF$60*CC951), N($AU$22:$AU$60&gt;$AM951)),
SUMPRODUCT(INDEX($AV$22:$AX$45,,$AI951), INDEX($AY$22:$BE$45,,$AH951), 1 / ($BG$22:$BG$45*CC951), N($AU$22:$AU$45&gt;$AM951))
) / 1000</f>
        <v>0</v>
      </c>
      <c r="CF951" s="229">
        <f t="shared" si="912"/>
        <v>0</v>
      </c>
      <c r="CG951" s="246"/>
      <c r="CH951" s="229">
        <f t="shared" si="913"/>
        <v>0</v>
      </c>
      <c r="CI951" s="228">
        <v>35</v>
      </c>
      <c r="CJ951" s="229">
        <f t="shared" si="914"/>
        <v>48</v>
      </c>
      <c r="CK951" s="234">
        <f t="shared" si="915"/>
        <v>3.0748170731707316</v>
      </c>
      <c r="CL951" s="234" cm="1">
        <f t="array" ref="CL951">$BM951 * SUMPRODUCT(INDEX($AV$76:$AX$81,,$AI951),INDEX($AY$76:$BE$81,,$AH951), N($AU$76:$AU$81&gt;$AM951)) / CK951 / 1000</f>
        <v>0</v>
      </c>
      <c r="CM951" s="231">
        <f t="shared" si="933"/>
        <v>30</v>
      </c>
      <c r="CN951" s="229">
        <f t="shared" si="916"/>
        <v>43</v>
      </c>
      <c r="CO951" s="234">
        <f t="shared" si="917"/>
        <v>3.5018750000000001</v>
      </c>
      <c r="CP951" s="234" cm="1">
        <f t="array" ref="CP951">$BM951 * IF($AH951&lt;=2,
SUMPRODUCT(INDEX($AV$71:$AX$75,,$AI951), INDEX($AY$71:$BE$75,,$AH951), 1 / ($BF$71:$BF$75*CO951 + (1-$BF$71:$BF$75)*CK951), N($AU$71:$AU$75&gt;$AM951)),
SUMPRODUCT(INDEX($AV$66:$AX$75,,$AI951), INDEX($AY$66:$BE$75,,$AH951), 1 / ($BG$66:$BG$75*CO951 + (1-$BG$66:$BG$75)*CK951), N($AU$66:$AU$75&gt;$AM951))
) / 1000</f>
        <v>0</v>
      </c>
      <c r="CQ951" s="231">
        <f t="shared" si="934"/>
        <v>25</v>
      </c>
      <c r="CR951" s="229">
        <f t="shared" si="918"/>
        <v>38</v>
      </c>
      <c r="CS951" s="234">
        <f t="shared" si="919"/>
        <v>4.0666935483870965</v>
      </c>
      <c r="CT951" s="234" cm="1">
        <f t="array" ref="CT951">$BM951 * IF($AH951&lt;=2,
SUMPRODUCT(INDEX($AV$66:$AX$70,,$AI951), INDEX($AY$66:$BE$70,,$AH951), 1 / ($BF$66:$BF$70*CS951 + (1-$BF$66:$BF$70)*CO951), N($AU$66:$AU$70&gt;$AM951)),
SUMPRODUCT(INDEX($AV$56:$AX$65,,$AI951), INDEX($AY$56:$BE$65,,$AH951), 1 / ($BG$56:$BG$65*CS951 + (1-$BG$56:$BG$65)*CO951), N($AU$56:$AU$65&gt;$AM951))
) / 1000</f>
        <v>0</v>
      </c>
      <c r="CU951" s="231">
        <f t="shared" si="935"/>
        <v>20</v>
      </c>
      <c r="CV951" s="229">
        <f t="shared" si="920"/>
        <v>33</v>
      </c>
      <c r="CW951" s="234">
        <f t="shared" si="921"/>
        <v>4.8487499999999999</v>
      </c>
      <c r="CX951" s="234" cm="1">
        <f t="array" ref="CX951">$BM951 * IF($AH951&lt;=2,
SUMPRODUCT(INDEX($AV$61:$AX$65,,$AI951), INDEX($AY$61:$BE$65,,$AH951), 1 / ($BF$61:$BF$65*CW951 + (1-$BF$61:$BF$65)*CS951), N($AU$61:$AU$65&gt;$AM951)),
SUMPRODUCT(INDEX($AV$46:$AX$55,,$AI951), INDEX($AY$46:$BE$55,,$AH951), 1 / ($BG$46:$BG$55*CW951 + (1-$BG$46:$BG$55)*CS951), N($AU$46:$AU$55&gt;$AM951))
) / 1000</f>
        <v>0</v>
      </c>
      <c r="CY951" s="234" cm="1">
        <f t="array" ref="CY951">$BM951 * IF($AH951&lt;=2,
SUMPRODUCT(INDEX($AV$22:$AX$60,,$AI951), INDEX($AY$22:$BE$60,,$AH951), 1 / ($BF$22:$BF$60*CW951), N($AU$22:$AU$60&gt;$AM951)),
SUMPRODUCT(INDEX($AV$22:$AX$45,,$AI951), INDEX($AY$22:$BE$45,,$AH951), 1 / ($BG$22:$BG$45*CW951), N($AU$22:$AU$45&gt;$AM951))
) / 1000</f>
        <v>0</v>
      </c>
      <c r="CZ951" s="229">
        <f t="shared" si="922"/>
        <v>0</v>
      </c>
      <c r="DA951" s="246"/>
    </row>
    <row r="952" spans="1:105" s="75" customFormat="1" ht="14.25" customHeight="1" x14ac:dyDescent="0.2">
      <c r="A952" s="230" t="b">
        <f t="shared" si="927"/>
        <v>0</v>
      </c>
      <c r="B952" s="253">
        <v>931</v>
      </c>
      <c r="C952" s="266"/>
      <c r="D952" s="266"/>
      <c r="E952" s="254"/>
      <c r="F952" s="255" t="str">
        <f>IF(ISBLANK(E952), "", VLOOKUP(E952, Z!$A$2:$C$4127, 3, FALSE))</f>
        <v/>
      </c>
      <c r="G952" s="256"/>
      <c r="H952" s="256"/>
      <c r="I952" s="256"/>
      <c r="J952" s="257"/>
      <c r="K952" s="258"/>
      <c r="L952" s="267"/>
      <c r="M952" s="268"/>
      <c r="N952" s="259" t="str" cm="1">
        <f t="array" ref="N952">IF($L952&gt;0, INDEX(Clean,1+AK952,$D$1), "")</f>
        <v/>
      </c>
      <c r="O952" s="260"/>
      <c r="P952" s="260"/>
      <c r="Q952" s="261"/>
      <c r="R952" s="264">
        <f t="shared" si="898"/>
        <v>0</v>
      </c>
      <c r="S952" s="259" t="str" cm="1">
        <f t="array" ref="S952">IF($L952&gt;0, INDEX(Clean,1+AL952,$D$1), "")</f>
        <v/>
      </c>
      <c r="T952" s="260"/>
      <c r="U952" s="260"/>
      <c r="V952" s="261"/>
      <c r="W952" s="267"/>
      <c r="X952" s="267"/>
      <c r="Y952" s="257"/>
      <c r="Z952" s="264">
        <f t="shared" si="899"/>
        <v>0</v>
      </c>
      <c r="AA952" s="269"/>
      <c r="AB952" s="266"/>
      <c r="AC952" s="254"/>
      <c r="AD952" s="255" t="str">
        <f>IF(ISBLANK(AC952), "", VLOOKUP(AC952, Z!$A$2:$C$4127, 3, FALSE))</f>
        <v/>
      </c>
      <c r="AE952" s="270"/>
      <c r="AF952" s="265">
        <f t="shared" si="900"/>
        <v>0</v>
      </c>
      <c r="AG952" s="246"/>
      <c r="AH952" s="228">
        <f t="shared" si="923"/>
        <v>1</v>
      </c>
      <c r="AI952" s="228">
        <f t="shared" si="924"/>
        <v>1</v>
      </c>
      <c r="AJ952" s="228">
        <f t="shared" si="925"/>
        <v>0</v>
      </c>
      <c r="AK952" s="228">
        <v>0</v>
      </c>
      <c r="AL952" s="228">
        <v>0</v>
      </c>
      <c r="AM952" s="228">
        <f t="shared" si="901"/>
        <v>-100</v>
      </c>
      <c r="AN952" s="228" cm="1">
        <f t="array" ref="AN952">IF(ISBLANK(G952), 1, IFERROR(MATCH(G952, INDEX(Kat,,1), 0), IFERROR(MATCH(Kat, INDEX(Use,,2), 0), MATCH(Kat, INDEX(Use,,3), 0))))</f>
        <v>1</v>
      </c>
      <c r="AO952" s="246"/>
      <c r="AP952" s="228" cm="1">
        <f t="array" ref="AP952">IF(W952&gt;0, INDEX(Kat, AN952,4), 0)</f>
        <v>0</v>
      </c>
      <c r="AQ952" s="228">
        <f t="shared" si="926"/>
        <v>0</v>
      </c>
      <c r="AR952" s="228" cm="1">
        <f t="array" ref="AR952">IF(X952&gt;0, INDEX(Kat, $AN952, 4+AQ952), 0)</f>
        <v>0</v>
      </c>
      <c r="AS952" s="228" cm="1">
        <f t="array" ref="AS952">IF(X952&gt;0, INDEX(Kat, $AN952, 9+AQ952), 0)</f>
        <v>0</v>
      </c>
      <c r="AT952" s="246"/>
      <c r="AU952" s="262"/>
      <c r="AV952" s="262"/>
      <c r="AW952" s="263"/>
      <c r="AX952" s="263"/>
      <c r="AY952" s="263"/>
      <c r="AZ952" s="263"/>
      <c r="BA952" s="263"/>
      <c r="BB952" s="263"/>
      <c r="BC952" s="263"/>
      <c r="BD952" s="263"/>
      <c r="BE952" s="263"/>
      <c r="BF952" s="263"/>
      <c r="BG952" s="263"/>
      <c r="BH952" s="246"/>
      <c r="BI952" s="228" cm="1">
        <f t="array" ref="BI952">INDEX(Use, $AH952, 4)</f>
        <v>7</v>
      </c>
      <c r="BJ952" s="228">
        <f t="shared" si="902"/>
        <v>32</v>
      </c>
      <c r="BK952" s="228">
        <f t="shared" si="928"/>
        <v>13</v>
      </c>
      <c r="BL952" s="228">
        <f t="shared" si="929"/>
        <v>0</v>
      </c>
      <c r="BM952" s="233" cm="1">
        <f t="array" ref="BM952">L952/IF($M952&gt;0, INDEX($AY$22:$BE$76, $M952+20, $AH952), 1)</f>
        <v>0</v>
      </c>
      <c r="BN952" s="229">
        <f t="shared" si="903"/>
        <v>0</v>
      </c>
      <c r="BO952" s="228">
        <v>35</v>
      </c>
      <c r="BP952" s="229">
        <f t="shared" si="904"/>
        <v>48</v>
      </c>
      <c r="BQ952" s="234">
        <f t="shared" si="905"/>
        <v>3.0748170731707316</v>
      </c>
      <c r="BR952" s="234" cm="1">
        <f t="array" ref="BR952">$BM952 * SUMPRODUCT(INDEX($AV$76:$AX$81,,$AI952),INDEX($AY$76:$BE$81,,$AH952), N($AU$76:$AU$81&gt;$AM952)) / BQ952 / 1000</f>
        <v>0</v>
      </c>
      <c r="BS952" s="231">
        <f t="shared" si="930"/>
        <v>30</v>
      </c>
      <c r="BT952" s="229">
        <f t="shared" si="906"/>
        <v>43</v>
      </c>
      <c r="BU952" s="234">
        <f t="shared" si="907"/>
        <v>3.5018750000000001</v>
      </c>
      <c r="BV952" s="234" cm="1">
        <f t="array" ref="BV952">$BM952 * IF($AH952&lt;=2,
SUMPRODUCT(INDEX($AV$71:$AX$75,,$AI952), INDEX($AY$71:$BE$75,,$AH952), 1 / ($BF$71:$BF$75*BU952 + (1-$BF$71:$BF$75)*BQ952), N($AU$71:$AU$75&gt;$AM952)),
SUMPRODUCT(INDEX($AV$66:$AX$75,,$AI952), INDEX($AY$66:$BE$75,,$AH952), 1 / ($BG$66:$BG$75*BU952 + (1-$BG$66:$BG$75)*BQ952), N($AU$66:$AU$75&gt;$AM952))
) / 1000</f>
        <v>0</v>
      </c>
      <c r="BW952" s="231">
        <f t="shared" si="931"/>
        <v>25</v>
      </c>
      <c r="BX952" s="229">
        <f t="shared" si="908"/>
        <v>38</v>
      </c>
      <c r="BY952" s="234">
        <f t="shared" si="909"/>
        <v>4.0666935483870965</v>
      </c>
      <c r="BZ952" s="234" cm="1">
        <f t="array" ref="BZ952">$BM952 * IF($AH952&lt;=2,
SUMPRODUCT(INDEX($AV$66:$AX$70,,$AI952), INDEX($AY$66:$BE$70,,$AH952), 1 / ($BF$66:$BF$70*BY952 + (1-$BF$66:$BF$70)*BU952), N($AU$66:$AU$70&gt;$AM952)),
SUMPRODUCT(INDEX($AV$56:$AX$65,,$AI952), INDEX($AY$56:$BE$65,,$AH952), 1 / ($BG$56:$BG$65*BY952 + (1-$BG$56:$BG$65)*BU952), N($AU$56:$AU$65&gt;$AM952))
) / 1000</f>
        <v>0</v>
      </c>
      <c r="CA952" s="231">
        <f t="shared" si="932"/>
        <v>20</v>
      </c>
      <c r="CB952" s="229">
        <f t="shared" si="910"/>
        <v>33</v>
      </c>
      <c r="CC952" s="234">
        <f t="shared" si="911"/>
        <v>4.8487499999999999</v>
      </c>
      <c r="CD952" s="234" cm="1">
        <f t="array" ref="CD952">$BM952 * IF($AH952&lt;=2,
SUMPRODUCT(INDEX($AV$61:$AX$65,,$AI952), INDEX($AY$61:$BE$65,,$AH952), 1 / ($BF$61:$BF$65*CC952 + (1-$BF$61:$BF$65)*BY952), N($AU$61:$AU$65&gt;$AM952)),
SUMPRODUCT(INDEX($AV$46:$AX$55,,$AI952), INDEX($AY$46:$BE$55,,$AH952), 1 / ($BG$46:$BG$55*CC952 + (1-$BG$46:$BG$55)*BY952), N($AU$46:$AU$55&gt;$AM952))
) / 1000</f>
        <v>0</v>
      </c>
      <c r="CE952" s="234" cm="1">
        <f t="array" ref="CE952">$BM952 * IF($AH952&lt;=2,
SUMPRODUCT(INDEX($AV$22:$AX$60,,$AI952), INDEX($AY$22:$BE$60,,$AH952), 1 / ($BF$22:$BF$60*CC952), N($AU$22:$AU$60&gt;$AM952)),
SUMPRODUCT(INDEX($AV$22:$AX$45,,$AI952), INDEX($AY$22:$BE$45,,$AH952), 1 / ($BG$22:$BG$45*CC952), N($AU$22:$AU$45&gt;$AM952))
) / 1000</f>
        <v>0</v>
      </c>
      <c r="CF952" s="229">
        <f t="shared" si="912"/>
        <v>0</v>
      </c>
      <c r="CG952" s="246"/>
      <c r="CH952" s="229">
        <f t="shared" si="913"/>
        <v>0</v>
      </c>
      <c r="CI952" s="228">
        <v>35</v>
      </c>
      <c r="CJ952" s="229">
        <f t="shared" si="914"/>
        <v>48</v>
      </c>
      <c r="CK952" s="234">
        <f t="shared" si="915"/>
        <v>3.0748170731707316</v>
      </c>
      <c r="CL952" s="234" cm="1">
        <f t="array" ref="CL952">$BM952 * SUMPRODUCT(INDEX($AV$76:$AX$81,,$AI952),INDEX($AY$76:$BE$81,,$AH952), N($AU$76:$AU$81&gt;$AM952)) / CK952 / 1000</f>
        <v>0</v>
      </c>
      <c r="CM952" s="231">
        <f t="shared" si="933"/>
        <v>30</v>
      </c>
      <c r="CN952" s="229">
        <f t="shared" si="916"/>
        <v>43</v>
      </c>
      <c r="CO952" s="234">
        <f t="shared" si="917"/>
        <v>3.5018750000000001</v>
      </c>
      <c r="CP952" s="234" cm="1">
        <f t="array" ref="CP952">$BM952 * IF($AH952&lt;=2,
SUMPRODUCT(INDEX($AV$71:$AX$75,,$AI952), INDEX($AY$71:$BE$75,,$AH952), 1 / ($BF$71:$BF$75*CO952 + (1-$BF$71:$BF$75)*CK952), N($AU$71:$AU$75&gt;$AM952)),
SUMPRODUCT(INDEX($AV$66:$AX$75,,$AI952), INDEX($AY$66:$BE$75,,$AH952), 1 / ($BG$66:$BG$75*CO952 + (1-$BG$66:$BG$75)*CK952), N($AU$66:$AU$75&gt;$AM952))
) / 1000</f>
        <v>0</v>
      </c>
      <c r="CQ952" s="231">
        <f t="shared" si="934"/>
        <v>25</v>
      </c>
      <c r="CR952" s="229">
        <f t="shared" si="918"/>
        <v>38</v>
      </c>
      <c r="CS952" s="234">
        <f t="shared" si="919"/>
        <v>4.0666935483870965</v>
      </c>
      <c r="CT952" s="234" cm="1">
        <f t="array" ref="CT952">$BM952 * IF($AH952&lt;=2,
SUMPRODUCT(INDEX($AV$66:$AX$70,,$AI952), INDEX($AY$66:$BE$70,,$AH952), 1 / ($BF$66:$BF$70*CS952 + (1-$BF$66:$BF$70)*CO952), N($AU$66:$AU$70&gt;$AM952)),
SUMPRODUCT(INDEX($AV$56:$AX$65,,$AI952), INDEX($AY$56:$BE$65,,$AH952), 1 / ($BG$56:$BG$65*CS952 + (1-$BG$56:$BG$65)*CO952), N($AU$56:$AU$65&gt;$AM952))
) / 1000</f>
        <v>0</v>
      </c>
      <c r="CU952" s="231">
        <f t="shared" si="935"/>
        <v>20</v>
      </c>
      <c r="CV952" s="229">
        <f t="shared" si="920"/>
        <v>33</v>
      </c>
      <c r="CW952" s="234">
        <f t="shared" si="921"/>
        <v>4.8487499999999999</v>
      </c>
      <c r="CX952" s="234" cm="1">
        <f t="array" ref="CX952">$BM952 * IF($AH952&lt;=2,
SUMPRODUCT(INDEX($AV$61:$AX$65,,$AI952), INDEX($AY$61:$BE$65,,$AH952), 1 / ($BF$61:$BF$65*CW952 + (1-$BF$61:$BF$65)*CS952), N($AU$61:$AU$65&gt;$AM952)),
SUMPRODUCT(INDEX($AV$46:$AX$55,,$AI952), INDEX($AY$46:$BE$55,,$AH952), 1 / ($BG$46:$BG$55*CW952 + (1-$BG$46:$BG$55)*CS952), N($AU$46:$AU$55&gt;$AM952))
) / 1000</f>
        <v>0</v>
      </c>
      <c r="CY952" s="234" cm="1">
        <f t="array" ref="CY952">$BM952 * IF($AH952&lt;=2,
SUMPRODUCT(INDEX($AV$22:$AX$60,,$AI952), INDEX($AY$22:$BE$60,,$AH952), 1 / ($BF$22:$BF$60*CW952), N($AU$22:$AU$60&gt;$AM952)),
SUMPRODUCT(INDEX($AV$22:$AX$45,,$AI952), INDEX($AY$22:$BE$45,,$AH952), 1 / ($BG$22:$BG$45*CW952), N($AU$22:$AU$45&gt;$AM952))
) / 1000</f>
        <v>0</v>
      </c>
      <c r="CZ952" s="229">
        <f t="shared" si="922"/>
        <v>0</v>
      </c>
      <c r="DA952" s="246"/>
    </row>
    <row r="953" spans="1:105" s="75" customFormat="1" ht="14.25" customHeight="1" x14ac:dyDescent="0.2">
      <c r="A953" s="230" t="b">
        <f t="shared" si="927"/>
        <v>0</v>
      </c>
      <c r="B953" s="253">
        <v>932</v>
      </c>
      <c r="C953" s="266"/>
      <c r="D953" s="266"/>
      <c r="E953" s="254"/>
      <c r="F953" s="255" t="str">
        <f>IF(ISBLANK(E953), "", VLOOKUP(E953, Z!$A$2:$C$4127, 3, FALSE))</f>
        <v/>
      </c>
      <c r="G953" s="256"/>
      <c r="H953" s="256"/>
      <c r="I953" s="256"/>
      <c r="J953" s="257"/>
      <c r="K953" s="258"/>
      <c r="L953" s="267"/>
      <c r="M953" s="268"/>
      <c r="N953" s="259" t="str" cm="1">
        <f t="array" ref="N953">IF($L953&gt;0, INDEX(Clean,1+AK953,$D$1), "")</f>
        <v/>
      </c>
      <c r="O953" s="260"/>
      <c r="P953" s="260"/>
      <c r="Q953" s="261"/>
      <c r="R953" s="264">
        <f t="shared" si="898"/>
        <v>0</v>
      </c>
      <c r="S953" s="259" t="str" cm="1">
        <f t="array" ref="S953">IF($L953&gt;0, INDEX(Clean,1+AL953,$D$1), "")</f>
        <v/>
      </c>
      <c r="T953" s="260"/>
      <c r="U953" s="260"/>
      <c r="V953" s="261"/>
      <c r="W953" s="267"/>
      <c r="X953" s="267"/>
      <c r="Y953" s="257"/>
      <c r="Z953" s="264">
        <f t="shared" si="899"/>
        <v>0</v>
      </c>
      <c r="AA953" s="269"/>
      <c r="AB953" s="266"/>
      <c r="AC953" s="254"/>
      <c r="AD953" s="255" t="str">
        <f>IF(ISBLANK(AC953), "", VLOOKUP(AC953, Z!$A$2:$C$4127, 3, FALSE))</f>
        <v/>
      </c>
      <c r="AE953" s="270"/>
      <c r="AF953" s="265">
        <f t="shared" si="900"/>
        <v>0</v>
      </c>
      <c r="AG953" s="246"/>
      <c r="AH953" s="228">
        <f t="shared" si="923"/>
        <v>1</v>
      </c>
      <c r="AI953" s="228">
        <f t="shared" si="924"/>
        <v>1</v>
      </c>
      <c r="AJ953" s="228">
        <f t="shared" si="925"/>
        <v>0</v>
      </c>
      <c r="AK953" s="228">
        <v>0</v>
      </c>
      <c r="AL953" s="228">
        <v>0</v>
      </c>
      <c r="AM953" s="228">
        <f t="shared" si="901"/>
        <v>-100</v>
      </c>
      <c r="AN953" s="228" cm="1">
        <f t="array" ref="AN953">IF(ISBLANK(G953), 1, IFERROR(MATCH(G953, INDEX(Kat,,1), 0), IFERROR(MATCH(Kat, INDEX(Use,,2), 0), MATCH(Kat, INDEX(Use,,3), 0))))</f>
        <v>1</v>
      </c>
      <c r="AO953" s="246"/>
      <c r="AP953" s="228" cm="1">
        <f t="array" ref="AP953">IF(W953&gt;0, INDEX(Kat, AN953,4), 0)</f>
        <v>0</v>
      </c>
      <c r="AQ953" s="228">
        <f t="shared" si="926"/>
        <v>0</v>
      </c>
      <c r="AR953" s="228" cm="1">
        <f t="array" ref="AR953">IF(X953&gt;0, INDEX(Kat, $AN953, 4+AQ953), 0)</f>
        <v>0</v>
      </c>
      <c r="AS953" s="228" cm="1">
        <f t="array" ref="AS953">IF(X953&gt;0, INDEX(Kat, $AN953, 9+AQ953), 0)</f>
        <v>0</v>
      </c>
      <c r="AT953" s="246"/>
      <c r="AU953" s="262"/>
      <c r="AV953" s="262"/>
      <c r="AW953" s="263"/>
      <c r="AX953" s="263"/>
      <c r="AY953" s="263"/>
      <c r="AZ953" s="263"/>
      <c r="BA953" s="263"/>
      <c r="BB953" s="263"/>
      <c r="BC953" s="263"/>
      <c r="BD953" s="263"/>
      <c r="BE953" s="263"/>
      <c r="BF953" s="263"/>
      <c r="BG953" s="263"/>
      <c r="BH953" s="246"/>
      <c r="BI953" s="228" cm="1">
        <f t="array" ref="BI953">INDEX(Use, $AH953, 4)</f>
        <v>7</v>
      </c>
      <c r="BJ953" s="228">
        <f t="shared" si="902"/>
        <v>32</v>
      </c>
      <c r="BK953" s="228">
        <f t="shared" si="928"/>
        <v>13</v>
      </c>
      <c r="BL953" s="228">
        <f t="shared" si="929"/>
        <v>0</v>
      </c>
      <c r="BM953" s="233" cm="1">
        <f t="array" ref="BM953">L953/IF($M953&gt;0, INDEX($AY$22:$BE$76, $M953+20, $AH953), 1)</f>
        <v>0</v>
      </c>
      <c r="BN953" s="229">
        <f t="shared" si="903"/>
        <v>0</v>
      </c>
      <c r="BO953" s="228">
        <v>35</v>
      </c>
      <c r="BP953" s="229">
        <f t="shared" si="904"/>
        <v>48</v>
      </c>
      <c r="BQ953" s="234">
        <f t="shared" si="905"/>
        <v>3.0748170731707316</v>
      </c>
      <c r="BR953" s="234" cm="1">
        <f t="array" ref="BR953">$BM953 * SUMPRODUCT(INDEX($AV$76:$AX$81,,$AI953),INDEX($AY$76:$BE$81,,$AH953), N($AU$76:$AU$81&gt;$AM953)) / BQ953 / 1000</f>
        <v>0</v>
      </c>
      <c r="BS953" s="231">
        <f t="shared" si="930"/>
        <v>30</v>
      </c>
      <c r="BT953" s="229">
        <f t="shared" si="906"/>
        <v>43</v>
      </c>
      <c r="BU953" s="234">
        <f t="shared" si="907"/>
        <v>3.5018750000000001</v>
      </c>
      <c r="BV953" s="234" cm="1">
        <f t="array" ref="BV953">$BM953 * IF($AH953&lt;=2,
SUMPRODUCT(INDEX($AV$71:$AX$75,,$AI953), INDEX($AY$71:$BE$75,,$AH953), 1 / ($BF$71:$BF$75*BU953 + (1-$BF$71:$BF$75)*BQ953), N($AU$71:$AU$75&gt;$AM953)),
SUMPRODUCT(INDEX($AV$66:$AX$75,,$AI953), INDEX($AY$66:$BE$75,,$AH953), 1 / ($BG$66:$BG$75*BU953 + (1-$BG$66:$BG$75)*BQ953), N($AU$66:$AU$75&gt;$AM953))
) / 1000</f>
        <v>0</v>
      </c>
      <c r="BW953" s="231">
        <f t="shared" si="931"/>
        <v>25</v>
      </c>
      <c r="BX953" s="229">
        <f t="shared" si="908"/>
        <v>38</v>
      </c>
      <c r="BY953" s="234">
        <f t="shared" si="909"/>
        <v>4.0666935483870965</v>
      </c>
      <c r="BZ953" s="234" cm="1">
        <f t="array" ref="BZ953">$BM953 * IF($AH953&lt;=2,
SUMPRODUCT(INDEX($AV$66:$AX$70,,$AI953), INDEX($AY$66:$BE$70,,$AH953), 1 / ($BF$66:$BF$70*BY953 + (1-$BF$66:$BF$70)*BU953), N($AU$66:$AU$70&gt;$AM953)),
SUMPRODUCT(INDEX($AV$56:$AX$65,,$AI953), INDEX($AY$56:$BE$65,,$AH953), 1 / ($BG$56:$BG$65*BY953 + (1-$BG$56:$BG$65)*BU953), N($AU$56:$AU$65&gt;$AM953))
) / 1000</f>
        <v>0</v>
      </c>
      <c r="CA953" s="231">
        <f t="shared" si="932"/>
        <v>20</v>
      </c>
      <c r="CB953" s="229">
        <f t="shared" si="910"/>
        <v>33</v>
      </c>
      <c r="CC953" s="234">
        <f t="shared" si="911"/>
        <v>4.8487499999999999</v>
      </c>
      <c r="CD953" s="234" cm="1">
        <f t="array" ref="CD953">$BM953 * IF($AH953&lt;=2,
SUMPRODUCT(INDEX($AV$61:$AX$65,,$AI953), INDEX($AY$61:$BE$65,,$AH953), 1 / ($BF$61:$BF$65*CC953 + (1-$BF$61:$BF$65)*BY953), N($AU$61:$AU$65&gt;$AM953)),
SUMPRODUCT(INDEX($AV$46:$AX$55,,$AI953), INDEX($AY$46:$BE$55,,$AH953), 1 / ($BG$46:$BG$55*CC953 + (1-$BG$46:$BG$55)*BY953), N($AU$46:$AU$55&gt;$AM953))
) / 1000</f>
        <v>0</v>
      </c>
      <c r="CE953" s="234" cm="1">
        <f t="array" ref="CE953">$BM953 * IF($AH953&lt;=2,
SUMPRODUCT(INDEX($AV$22:$AX$60,,$AI953), INDEX($AY$22:$BE$60,,$AH953), 1 / ($BF$22:$BF$60*CC953), N($AU$22:$AU$60&gt;$AM953)),
SUMPRODUCT(INDEX($AV$22:$AX$45,,$AI953), INDEX($AY$22:$BE$45,,$AH953), 1 / ($BG$22:$BG$45*CC953), N($AU$22:$AU$45&gt;$AM953))
) / 1000</f>
        <v>0</v>
      </c>
      <c r="CF953" s="229">
        <f t="shared" si="912"/>
        <v>0</v>
      </c>
      <c r="CG953" s="246"/>
      <c r="CH953" s="229">
        <f t="shared" si="913"/>
        <v>0</v>
      </c>
      <c r="CI953" s="228">
        <v>35</v>
      </c>
      <c r="CJ953" s="229">
        <f t="shared" si="914"/>
        <v>48</v>
      </c>
      <c r="CK953" s="234">
        <f t="shared" si="915"/>
        <v>3.0748170731707316</v>
      </c>
      <c r="CL953" s="234" cm="1">
        <f t="array" ref="CL953">$BM953 * SUMPRODUCT(INDEX($AV$76:$AX$81,,$AI953),INDEX($AY$76:$BE$81,,$AH953), N($AU$76:$AU$81&gt;$AM953)) / CK953 / 1000</f>
        <v>0</v>
      </c>
      <c r="CM953" s="231">
        <f t="shared" si="933"/>
        <v>30</v>
      </c>
      <c r="CN953" s="229">
        <f t="shared" si="916"/>
        <v>43</v>
      </c>
      <c r="CO953" s="234">
        <f t="shared" si="917"/>
        <v>3.5018750000000001</v>
      </c>
      <c r="CP953" s="234" cm="1">
        <f t="array" ref="CP953">$BM953 * IF($AH953&lt;=2,
SUMPRODUCT(INDEX($AV$71:$AX$75,,$AI953), INDEX($AY$71:$BE$75,,$AH953), 1 / ($BF$71:$BF$75*CO953 + (1-$BF$71:$BF$75)*CK953), N($AU$71:$AU$75&gt;$AM953)),
SUMPRODUCT(INDEX($AV$66:$AX$75,,$AI953), INDEX($AY$66:$BE$75,,$AH953), 1 / ($BG$66:$BG$75*CO953 + (1-$BG$66:$BG$75)*CK953), N($AU$66:$AU$75&gt;$AM953))
) / 1000</f>
        <v>0</v>
      </c>
      <c r="CQ953" s="231">
        <f t="shared" si="934"/>
        <v>25</v>
      </c>
      <c r="CR953" s="229">
        <f t="shared" si="918"/>
        <v>38</v>
      </c>
      <c r="CS953" s="234">
        <f t="shared" si="919"/>
        <v>4.0666935483870965</v>
      </c>
      <c r="CT953" s="234" cm="1">
        <f t="array" ref="CT953">$BM953 * IF($AH953&lt;=2,
SUMPRODUCT(INDEX($AV$66:$AX$70,,$AI953), INDEX($AY$66:$BE$70,,$AH953), 1 / ($BF$66:$BF$70*CS953 + (1-$BF$66:$BF$70)*CO953), N($AU$66:$AU$70&gt;$AM953)),
SUMPRODUCT(INDEX($AV$56:$AX$65,,$AI953), INDEX($AY$56:$BE$65,,$AH953), 1 / ($BG$56:$BG$65*CS953 + (1-$BG$56:$BG$65)*CO953), N($AU$56:$AU$65&gt;$AM953))
) / 1000</f>
        <v>0</v>
      </c>
      <c r="CU953" s="231">
        <f t="shared" si="935"/>
        <v>20</v>
      </c>
      <c r="CV953" s="229">
        <f t="shared" si="920"/>
        <v>33</v>
      </c>
      <c r="CW953" s="234">
        <f t="shared" si="921"/>
        <v>4.8487499999999999</v>
      </c>
      <c r="CX953" s="234" cm="1">
        <f t="array" ref="CX953">$BM953 * IF($AH953&lt;=2,
SUMPRODUCT(INDEX($AV$61:$AX$65,,$AI953), INDEX($AY$61:$BE$65,,$AH953), 1 / ($BF$61:$BF$65*CW953 + (1-$BF$61:$BF$65)*CS953), N($AU$61:$AU$65&gt;$AM953)),
SUMPRODUCT(INDEX($AV$46:$AX$55,,$AI953), INDEX($AY$46:$BE$55,,$AH953), 1 / ($BG$46:$BG$55*CW953 + (1-$BG$46:$BG$55)*CS953), N($AU$46:$AU$55&gt;$AM953))
) / 1000</f>
        <v>0</v>
      </c>
      <c r="CY953" s="234" cm="1">
        <f t="array" ref="CY953">$BM953 * IF($AH953&lt;=2,
SUMPRODUCT(INDEX($AV$22:$AX$60,,$AI953), INDEX($AY$22:$BE$60,,$AH953), 1 / ($BF$22:$BF$60*CW953), N($AU$22:$AU$60&gt;$AM953)),
SUMPRODUCT(INDEX($AV$22:$AX$45,,$AI953), INDEX($AY$22:$BE$45,,$AH953), 1 / ($BG$22:$BG$45*CW953), N($AU$22:$AU$45&gt;$AM953))
) / 1000</f>
        <v>0</v>
      </c>
      <c r="CZ953" s="229">
        <f t="shared" si="922"/>
        <v>0</v>
      </c>
      <c r="DA953" s="246"/>
    </row>
    <row r="954" spans="1:105" s="75" customFormat="1" ht="14.25" customHeight="1" x14ac:dyDescent="0.2">
      <c r="A954" s="230" t="b">
        <f t="shared" si="927"/>
        <v>0</v>
      </c>
      <c r="B954" s="253">
        <v>933</v>
      </c>
      <c r="C954" s="266"/>
      <c r="D954" s="266"/>
      <c r="E954" s="254"/>
      <c r="F954" s="255" t="str">
        <f>IF(ISBLANK(E954), "", VLOOKUP(E954, Z!$A$2:$C$4127, 3, FALSE))</f>
        <v/>
      </c>
      <c r="G954" s="256"/>
      <c r="H954" s="256"/>
      <c r="I954" s="256"/>
      <c r="J954" s="257"/>
      <c r="K954" s="258"/>
      <c r="L954" s="267"/>
      <c r="M954" s="268"/>
      <c r="N954" s="259" t="str" cm="1">
        <f t="array" ref="N954">IF($L954&gt;0, INDEX(Clean,1+AK954,$D$1), "")</f>
        <v/>
      </c>
      <c r="O954" s="260"/>
      <c r="P954" s="260"/>
      <c r="Q954" s="261"/>
      <c r="R954" s="264">
        <f t="shared" ref="R954:R1017" si="936">CF954*1000</f>
        <v>0</v>
      </c>
      <c r="S954" s="259" t="str" cm="1">
        <f t="array" ref="S954">IF($L954&gt;0, INDEX(Clean,1+AL954,$D$1), "")</f>
        <v/>
      </c>
      <c r="T954" s="260"/>
      <c r="U954" s="260"/>
      <c r="V954" s="261"/>
      <c r="W954" s="267"/>
      <c r="X954" s="267"/>
      <c r="Y954" s="257"/>
      <c r="Z954" s="264">
        <f t="shared" ref="Z954:Z1017" si="937">(CZ954 - IF(W954&gt;0, CZ954*(W954/7)*AP954, 0) - IF(X954&gt;0, CZ954*(X954*AR954*AS954), 0))*1000</f>
        <v>0</v>
      </c>
      <c r="AA954" s="269"/>
      <c r="AB954" s="266"/>
      <c r="AC954" s="254"/>
      <c r="AD954" s="255" t="str">
        <f>IF(ISBLANK(AC954), "", VLOOKUP(AC954, Z!$A$2:$C$4127, 3, FALSE))</f>
        <v/>
      </c>
      <c r="AE954" s="270"/>
      <c r="AF954" s="265">
        <f t="shared" ref="AF954:AF1017" si="938">0.75*AO$22*(R954-Z954)</f>
        <v>0</v>
      </c>
      <c r="AG954" s="246"/>
      <c r="AH954" s="228">
        <f t="shared" si="923"/>
        <v>1</v>
      </c>
      <c r="AI954" s="228">
        <f t="shared" si="924"/>
        <v>1</v>
      </c>
      <c r="AJ954" s="228">
        <f t="shared" si="925"/>
        <v>0</v>
      </c>
      <c r="AK954" s="228">
        <v>0</v>
      </c>
      <c r="AL954" s="228">
        <v>0</v>
      </c>
      <c r="AM954" s="228">
        <f t="shared" ref="AM954:AM1017" si="939">IF(AND(K954="x", AH954=5), 11, IF(AND(K954="x", AH954=6), 19, -100))</f>
        <v>-100</v>
      </c>
      <c r="AN954" s="228" cm="1">
        <f t="array" ref="AN954">IF(ISBLANK(G954), 1, IFERROR(MATCH(G954, INDEX(Kat,,1), 0), IFERROR(MATCH(Kat, INDEX(Use,,2), 0), MATCH(Kat, INDEX(Use,,3), 0))))</f>
        <v>1</v>
      </c>
      <c r="AO954" s="246"/>
      <c r="AP954" s="228" cm="1">
        <f t="array" ref="AP954">IF(W954&gt;0, INDEX(Kat, AN954,4), 0)</f>
        <v>0</v>
      </c>
      <c r="AQ954" s="228">
        <f t="shared" si="926"/>
        <v>0</v>
      </c>
      <c r="AR954" s="228" cm="1">
        <f t="array" ref="AR954">IF(X954&gt;0, INDEX(Kat, $AN954, 4+AQ954), 0)</f>
        <v>0</v>
      </c>
      <c r="AS954" s="228" cm="1">
        <f t="array" ref="AS954">IF(X954&gt;0, INDEX(Kat, $AN954, 9+AQ954), 0)</f>
        <v>0</v>
      </c>
      <c r="AT954" s="246"/>
      <c r="AU954" s="262"/>
      <c r="AV954" s="262"/>
      <c r="AW954" s="263"/>
      <c r="AX954" s="263"/>
      <c r="AY954" s="263"/>
      <c r="AZ954" s="263"/>
      <c r="BA954" s="263"/>
      <c r="BB954" s="263"/>
      <c r="BC954" s="263"/>
      <c r="BD954" s="263"/>
      <c r="BE954" s="263"/>
      <c r="BF954" s="263"/>
      <c r="BG954" s="263"/>
      <c r="BH954" s="246"/>
      <c r="BI954" s="228" cm="1">
        <f t="array" ref="BI954">INDEX(Use, $AH954, 4)</f>
        <v>7</v>
      </c>
      <c r="BJ954" s="228">
        <f t="shared" ref="BJ954:BJ1017" si="940">MAX(25, BI954+25)</f>
        <v>32</v>
      </c>
      <c r="BK954" s="228">
        <f t="shared" si="928"/>
        <v>13</v>
      </c>
      <c r="BL954" s="228">
        <f t="shared" si="929"/>
        <v>0</v>
      </c>
      <c r="BM954" s="233" cm="1">
        <f t="array" ref="BM954">L954/IF($M954&gt;0, INDEX($AY$22:$BE$76, $M954+20, $AH954), 1)</f>
        <v>0</v>
      </c>
      <c r="BN954" s="229">
        <f t="shared" ref="BN954:BN1017" si="941">Q954 /  IF(AH954&lt;=2, 0.7 + 0.3 * (P954-20)/(35-20), 0.4 + 0.6 * (P954-5)/(35-5))</f>
        <v>0</v>
      </c>
      <c r="BO954" s="228">
        <v>35</v>
      </c>
      <c r="BP954" s="229">
        <f t="shared" ref="BP954:BP1017" si="942">MAX($O954, MAX($BJ954, $BO954 + $BK954 + $BL954 + 0.35*$AK954*$BK954 + BN954))</f>
        <v>48</v>
      </c>
      <c r="BQ954" s="234">
        <f t="shared" ref="BQ954:BQ1017" si="943">0.45*($BI954+273.15)/(BP954-$BI954)</f>
        <v>3.0748170731707316</v>
      </c>
      <c r="BR954" s="234" cm="1">
        <f t="array" ref="BR954">$BM954 * SUMPRODUCT(INDEX($AV$76:$AX$81,,$AI954),INDEX($AY$76:$BE$81,,$AH954), N($AU$76:$AU$81&gt;$AM954)) / BQ954 / 1000</f>
        <v>0</v>
      </c>
      <c r="BS954" s="231">
        <f t="shared" si="930"/>
        <v>30</v>
      </c>
      <c r="BT954" s="229">
        <f t="shared" ref="BT954:BT1017" si="944">MAX($O954, MAX($BJ954, BS954 + $BK954 + $BL954 + IF($AH954&lt;=2, (BS954-20)/(35-20), 0.6+0.4*(BS954-5)/(35-5))*0.35*$AK954*$BK954) + IF($AH954&lt;=2,0.9,0.8)*$BN954)</f>
        <v>43</v>
      </c>
      <c r="BU954" s="234">
        <f t="shared" ref="BU954:BU1017" si="945">0.45*($BI954+273.15)/(BT954-$BI954)</f>
        <v>3.5018750000000001</v>
      </c>
      <c r="BV954" s="234" cm="1">
        <f t="array" ref="BV954">$BM954 * IF($AH954&lt;=2,
SUMPRODUCT(INDEX($AV$71:$AX$75,,$AI954), INDEX($AY$71:$BE$75,,$AH954), 1 / ($BF$71:$BF$75*BU954 + (1-$BF$71:$BF$75)*BQ954), N($AU$71:$AU$75&gt;$AM954)),
SUMPRODUCT(INDEX($AV$66:$AX$75,,$AI954), INDEX($AY$66:$BE$75,,$AH954), 1 / ($BG$66:$BG$75*BU954 + (1-$BG$66:$BG$75)*BQ954), N($AU$66:$AU$75&gt;$AM954))
) / 1000</f>
        <v>0</v>
      </c>
      <c r="BW954" s="231">
        <f t="shared" si="931"/>
        <v>25</v>
      </c>
      <c r="BX954" s="229">
        <f t="shared" ref="BX954:BX1017" si="946">MAX($O954, MAX($BJ954, BW954 + $BK954 + $BL954 + IF($AH954&lt;=2, (BW954-20)/(35-20), 0.6+0.4*(BW954-5)/(35-5))*0.35*$AK954*$BK954) + IF($AH954&lt;=2,0.8,0.6)*$BN954)</f>
        <v>38</v>
      </c>
      <c r="BY954" s="234">
        <f t="shared" ref="BY954:BY1017" si="947">0.45*($BI954+273.15)/(BX954-$BI954)</f>
        <v>4.0666935483870965</v>
      </c>
      <c r="BZ954" s="234" cm="1">
        <f t="array" ref="BZ954">$BM954 * IF($AH954&lt;=2,
SUMPRODUCT(INDEX($AV$66:$AX$70,,$AI954), INDEX($AY$66:$BE$70,,$AH954), 1 / ($BF$66:$BF$70*BY954 + (1-$BF$66:$BF$70)*BU954), N($AU$66:$AU$70&gt;$AM954)),
SUMPRODUCT(INDEX($AV$56:$AX$65,,$AI954), INDEX($AY$56:$BE$65,,$AH954), 1 / ($BG$56:$BG$65*BY954 + (1-$BG$56:$BG$65)*BU954), N($AU$56:$AU$65&gt;$AM954))
) / 1000</f>
        <v>0</v>
      </c>
      <c r="CA954" s="231">
        <f t="shared" si="932"/>
        <v>20</v>
      </c>
      <c r="CB954" s="229">
        <f t="shared" ref="CB954:CB1017" si="948">MAX($O954, MAX($BJ954, CA954 + $BK954 + $BL954 + IF($AH954&lt;=2, (CA954-20)/(35-20), 0.6+0.4*(CA954-5)/(35-5))*0.35*$AK954*$BK954) + IF($AH954&lt;=2,0.7,0.4)*$BN954)</f>
        <v>33</v>
      </c>
      <c r="CC954" s="234">
        <f t="shared" ref="CC954:CC1017" si="949">0.45*($BI954+273.15)/(CB954-$BI954)</f>
        <v>4.8487499999999999</v>
      </c>
      <c r="CD954" s="234" cm="1">
        <f t="array" ref="CD954">$BM954 * IF($AH954&lt;=2,
SUMPRODUCT(INDEX($AV$61:$AX$65,,$AI954), INDEX($AY$61:$BE$65,,$AH954), 1 / ($BF$61:$BF$65*CC954 + (1-$BF$61:$BF$65)*BY954), N($AU$61:$AU$65&gt;$AM954)),
SUMPRODUCT(INDEX($AV$46:$AX$55,,$AI954), INDEX($AY$46:$BE$55,,$AH954), 1 / ($BG$46:$BG$55*CC954 + (1-$BG$46:$BG$55)*BY954), N($AU$46:$AU$55&gt;$AM954))
) / 1000</f>
        <v>0</v>
      </c>
      <c r="CE954" s="234" cm="1">
        <f t="array" ref="CE954">$BM954 * IF($AH954&lt;=2,
SUMPRODUCT(INDEX($AV$22:$AX$60,,$AI954), INDEX($AY$22:$BE$60,,$AH954), 1 / ($BF$22:$BF$60*CC954), N($AU$22:$AU$60&gt;$AM954)),
SUMPRODUCT(INDEX($AV$22:$AX$45,,$AI954), INDEX($AY$22:$BE$45,,$AH954), 1 / ($BG$22:$BG$45*CC954), N($AU$22:$AU$45&gt;$AM954))
) / 1000</f>
        <v>0</v>
      </c>
      <c r="CF954" s="229">
        <f t="shared" ref="CF954:CF1017" si="950">BR954+BV954+BZ954+CD954+CE954</f>
        <v>0</v>
      </c>
      <c r="CG954" s="246"/>
      <c r="CH954" s="229">
        <f t="shared" ref="CH954:CH1017" si="951">V954 /  IF(AH954&lt;=2, 0.7 + 0.3 * (U954-20)/(35-20), 0.4 + 0.6 * (U954-5)/(35-5))</f>
        <v>0</v>
      </c>
      <c r="CI954" s="228">
        <v>35</v>
      </c>
      <c r="CJ954" s="229">
        <f t="shared" ref="CJ954:CJ1017" si="952">MAX($T954, MAX($BJ954, $BO954 + $BK954 + $BL954 + 0.35*$AL954*$BK954 + CH954))</f>
        <v>48</v>
      </c>
      <c r="CK954" s="234">
        <f t="shared" ref="CK954:CK1017" si="953">0.45*($BI954+273.15)/(CJ954-$BI954)</f>
        <v>3.0748170731707316</v>
      </c>
      <c r="CL954" s="234" cm="1">
        <f t="array" ref="CL954">$BM954 * SUMPRODUCT(INDEX($AV$76:$AX$81,,$AI954),INDEX($AY$76:$BE$81,,$AH954), N($AU$76:$AU$81&gt;$AM954)) / CK954 / 1000</f>
        <v>0</v>
      </c>
      <c r="CM954" s="231">
        <f t="shared" si="933"/>
        <v>30</v>
      </c>
      <c r="CN954" s="229">
        <f t="shared" ref="CN954:CN1017" si="954">MAX($T954, MAX($BJ954, CM954 + $BK954 + $BL954 + IF($AH954&lt;=2, (CM954-20)/(35-20), 0.6+0.4*(CM954-5)/(35-5))*0.35*$AL954*$BK954) + IF($AH954&lt;=2,0.9,0.8)*$CH954)</f>
        <v>43</v>
      </c>
      <c r="CO954" s="234">
        <f t="shared" ref="CO954:CO1017" si="955">0.45*($BI954+273.15)/(CN954-$BI954)</f>
        <v>3.5018750000000001</v>
      </c>
      <c r="CP954" s="234" cm="1">
        <f t="array" ref="CP954">$BM954 * IF($AH954&lt;=2,
SUMPRODUCT(INDEX($AV$71:$AX$75,,$AI954), INDEX($AY$71:$BE$75,,$AH954), 1 / ($BF$71:$BF$75*CO954 + (1-$BF$71:$BF$75)*CK954), N($AU$71:$AU$75&gt;$AM954)),
SUMPRODUCT(INDEX($AV$66:$AX$75,,$AI954), INDEX($AY$66:$BE$75,,$AH954), 1 / ($BG$66:$BG$75*CO954 + (1-$BG$66:$BG$75)*CK954), N($AU$66:$AU$75&gt;$AM954))
) / 1000</f>
        <v>0</v>
      </c>
      <c r="CQ954" s="231">
        <f t="shared" si="934"/>
        <v>25</v>
      </c>
      <c r="CR954" s="229">
        <f t="shared" ref="CR954:CR1017" si="956">MAX($T954, MAX($BJ954, CQ954 + $BK954 + $BL954 + IF($AH954&lt;=2, (CQ954-20)/(35-20), 0.6+0.4*(CQ954-5)/(35-5))*0.35*$AL954*$BK954) + IF($AH954&lt;=2,0.8,0.6)*$CH954)</f>
        <v>38</v>
      </c>
      <c r="CS954" s="234">
        <f t="shared" ref="CS954:CS1017" si="957">0.45*($BI954+273.15)/(CR954-$BI954)</f>
        <v>4.0666935483870965</v>
      </c>
      <c r="CT954" s="234" cm="1">
        <f t="array" ref="CT954">$BM954 * IF($AH954&lt;=2,
SUMPRODUCT(INDEX($AV$66:$AX$70,,$AI954), INDEX($AY$66:$BE$70,,$AH954), 1 / ($BF$66:$BF$70*CS954 + (1-$BF$66:$BF$70)*CO954), N($AU$66:$AU$70&gt;$AM954)),
SUMPRODUCT(INDEX($AV$56:$AX$65,,$AI954), INDEX($AY$56:$BE$65,,$AH954), 1 / ($BG$56:$BG$65*CS954 + (1-$BG$56:$BG$65)*CO954), N($AU$56:$AU$65&gt;$AM954))
) / 1000</f>
        <v>0</v>
      </c>
      <c r="CU954" s="231">
        <f t="shared" si="935"/>
        <v>20</v>
      </c>
      <c r="CV954" s="229">
        <f t="shared" ref="CV954:CV1017" si="958">MAX($T954, MAX($BJ954, CU954 + $BK954 + $BL954 + IF($AH954&lt;=2, (CU954-20)/(35-20), 0.6+0.4*(CU954-5)/(35-5))*0.35*$AL954*$BK954) + IF($AH954&lt;=2,0.7,0.4)*$CH954)</f>
        <v>33</v>
      </c>
      <c r="CW954" s="234">
        <f t="shared" ref="CW954:CW1017" si="959">0.45*($BI954+273.15)/(CV954-$BI954)</f>
        <v>4.8487499999999999</v>
      </c>
      <c r="CX954" s="234" cm="1">
        <f t="array" ref="CX954">$BM954 * IF($AH954&lt;=2,
SUMPRODUCT(INDEX($AV$61:$AX$65,,$AI954), INDEX($AY$61:$BE$65,,$AH954), 1 / ($BF$61:$BF$65*CW954 + (1-$BF$61:$BF$65)*CS954), N($AU$61:$AU$65&gt;$AM954)),
SUMPRODUCT(INDEX($AV$46:$AX$55,,$AI954), INDEX($AY$46:$BE$55,,$AH954), 1 / ($BG$46:$BG$55*CW954 + (1-$BG$46:$BG$55)*CS954), N($AU$46:$AU$55&gt;$AM954))
) / 1000</f>
        <v>0</v>
      </c>
      <c r="CY954" s="234" cm="1">
        <f t="array" ref="CY954">$BM954 * IF($AH954&lt;=2,
SUMPRODUCT(INDEX($AV$22:$AX$60,,$AI954), INDEX($AY$22:$BE$60,,$AH954), 1 / ($BF$22:$BF$60*CW954), N($AU$22:$AU$60&gt;$AM954)),
SUMPRODUCT(INDEX($AV$22:$AX$45,,$AI954), INDEX($AY$22:$BE$45,,$AH954), 1 / ($BG$22:$BG$45*CW954), N($AU$22:$AU$45&gt;$AM954))
) / 1000</f>
        <v>0</v>
      </c>
      <c r="CZ954" s="229">
        <f t="shared" ref="CZ954:CZ1017" si="960">CL954+CP954+CT954+CX954+CY954</f>
        <v>0</v>
      </c>
      <c r="DA954" s="246"/>
    </row>
    <row r="955" spans="1:105" s="75" customFormat="1" ht="14.25" customHeight="1" x14ac:dyDescent="0.2">
      <c r="A955" s="230" t="b">
        <f t="shared" si="927"/>
        <v>0</v>
      </c>
      <c r="B955" s="253">
        <v>934</v>
      </c>
      <c r="C955" s="266"/>
      <c r="D955" s="266"/>
      <c r="E955" s="254"/>
      <c r="F955" s="255" t="str">
        <f>IF(ISBLANK(E955), "", VLOOKUP(E955, Z!$A$2:$C$4127, 3, FALSE))</f>
        <v/>
      </c>
      <c r="G955" s="256"/>
      <c r="H955" s="256"/>
      <c r="I955" s="256"/>
      <c r="J955" s="257"/>
      <c r="K955" s="258"/>
      <c r="L955" s="267"/>
      <c r="M955" s="268"/>
      <c r="N955" s="259" t="str" cm="1">
        <f t="array" ref="N955">IF($L955&gt;0, INDEX(Clean,1+AK955,$D$1), "")</f>
        <v/>
      </c>
      <c r="O955" s="260"/>
      <c r="P955" s="260"/>
      <c r="Q955" s="261"/>
      <c r="R955" s="264">
        <f t="shared" si="936"/>
        <v>0</v>
      </c>
      <c r="S955" s="259" t="str" cm="1">
        <f t="array" ref="S955">IF($L955&gt;0, INDEX(Clean,1+AL955,$D$1), "")</f>
        <v/>
      </c>
      <c r="T955" s="260"/>
      <c r="U955" s="260"/>
      <c r="V955" s="261"/>
      <c r="W955" s="267"/>
      <c r="X955" s="267"/>
      <c r="Y955" s="257"/>
      <c r="Z955" s="264">
        <f t="shared" si="937"/>
        <v>0</v>
      </c>
      <c r="AA955" s="269"/>
      <c r="AB955" s="266"/>
      <c r="AC955" s="254"/>
      <c r="AD955" s="255" t="str">
        <f>IF(ISBLANK(AC955), "", VLOOKUP(AC955, Z!$A$2:$C$4127, 3, FALSE))</f>
        <v/>
      </c>
      <c r="AE955" s="270"/>
      <c r="AF955" s="265">
        <f t="shared" si="938"/>
        <v>0</v>
      </c>
      <c r="AG955" s="246"/>
      <c r="AH955" s="228">
        <f t="shared" ref="AH955:AH1018" si="961">IF(ISBLANK(I955), 1, IFERROR(MATCH(I955, INDEX(Use,,1), 0), IFERROR(MATCH(I955, INDEX(Use,,2), 0), MATCH(I955, INDEX(Use,,3), 0))))</f>
        <v>1</v>
      </c>
      <c r="AI955" s="228">
        <f t="shared" ref="AI955:AI1018" si="962">IF(ISBLANK(H955), 1, IFERROR(MATCH(H955, INDEX(Loc,,1), 0), IFERROR(MATCH(H955, INDEX(Loc,,2), 0), MATCH(H955, INDEX(Loc,,3), 0))))</f>
        <v>1</v>
      </c>
      <c r="AJ955" s="228">
        <f t="shared" ref="AJ955:AJ1018" si="963">_xlfn.IFNA(IF(IFERROR(MATCH(J955, INDEX(Medium,,1), 0), IFERROR(MATCH(J955, INDEX(Medium,,2), 0), MATCH(J955, INDEX(Medium,,3), 0))) = 2, 1, 0), 0)</f>
        <v>0</v>
      </c>
      <c r="AK955" s="228">
        <v>0</v>
      </c>
      <c r="AL955" s="228">
        <v>0</v>
      </c>
      <c r="AM955" s="228">
        <f t="shared" si="939"/>
        <v>-100</v>
      </c>
      <c r="AN955" s="228" cm="1">
        <f t="array" ref="AN955">IF(ISBLANK(G955), 1, IFERROR(MATCH(G955, INDEX(Kat,,1), 0), IFERROR(MATCH(Kat, INDEX(Use,,2), 0), MATCH(Kat, INDEX(Use,,3), 0))))</f>
        <v>1</v>
      </c>
      <c r="AO955" s="246"/>
      <c r="AP955" s="228" cm="1">
        <f t="array" ref="AP955">IF(W955&gt;0, INDEX(Kat, AN955,4), 0)</f>
        <v>0</v>
      </c>
      <c r="AQ955" s="228">
        <f t="shared" ref="AQ955:AQ1018" si="964">IF(ISBLANK(Y955), 0, IFERROR(MATCH(Y955, INDEX(Month,,1), 0), IFERROR(MATCH(Y955, INDEX(Month,,2), 0), MATCH(Y955, INDEX(Month,,3), 0))))</f>
        <v>0</v>
      </c>
      <c r="AR955" s="228" cm="1">
        <f t="array" ref="AR955">IF(X955&gt;0, INDEX(Kat, $AN955, 4+AQ955), 0)</f>
        <v>0</v>
      </c>
      <c r="AS955" s="228" cm="1">
        <f t="array" ref="AS955">IF(X955&gt;0, INDEX(Kat, $AN955, 9+AQ955), 0)</f>
        <v>0</v>
      </c>
      <c r="AT955" s="246"/>
      <c r="AU955" s="262"/>
      <c r="AV955" s="262"/>
      <c r="AW955" s="263"/>
      <c r="AX955" s="263"/>
      <c r="AY955" s="263"/>
      <c r="AZ955" s="263"/>
      <c r="BA955" s="263"/>
      <c r="BB955" s="263"/>
      <c r="BC955" s="263"/>
      <c r="BD955" s="263"/>
      <c r="BE955" s="263"/>
      <c r="BF955" s="263"/>
      <c r="BG955" s="263"/>
      <c r="BH955" s="246"/>
      <c r="BI955" s="228" cm="1">
        <f t="array" ref="BI955">INDEX(Use, $AH955, 4)</f>
        <v>7</v>
      </c>
      <c r="BJ955" s="228">
        <f t="shared" si="940"/>
        <v>32</v>
      </c>
      <c r="BK955" s="228">
        <f t="shared" si="928"/>
        <v>13</v>
      </c>
      <c r="BL955" s="228">
        <f t="shared" si="929"/>
        <v>0</v>
      </c>
      <c r="BM955" s="233" cm="1">
        <f t="array" ref="BM955">L955/IF($M955&gt;0, INDEX($AY$22:$BE$76, $M955+20, $AH955), 1)</f>
        <v>0</v>
      </c>
      <c r="BN955" s="229">
        <f t="shared" si="941"/>
        <v>0</v>
      </c>
      <c r="BO955" s="228">
        <v>35</v>
      </c>
      <c r="BP955" s="229">
        <f t="shared" si="942"/>
        <v>48</v>
      </c>
      <c r="BQ955" s="234">
        <f t="shared" si="943"/>
        <v>3.0748170731707316</v>
      </c>
      <c r="BR955" s="234" cm="1">
        <f t="array" ref="BR955">$BM955 * SUMPRODUCT(INDEX($AV$76:$AX$81,,$AI955),INDEX($AY$76:$BE$81,,$AH955), N($AU$76:$AU$81&gt;$AM955)) / BQ955 / 1000</f>
        <v>0</v>
      </c>
      <c r="BS955" s="231">
        <f t="shared" si="930"/>
        <v>30</v>
      </c>
      <c r="BT955" s="229">
        <f t="shared" si="944"/>
        <v>43</v>
      </c>
      <c r="BU955" s="234">
        <f t="shared" si="945"/>
        <v>3.5018750000000001</v>
      </c>
      <c r="BV955" s="234" cm="1">
        <f t="array" ref="BV955">$BM955 * IF($AH955&lt;=2,
SUMPRODUCT(INDEX($AV$71:$AX$75,,$AI955), INDEX($AY$71:$BE$75,,$AH955), 1 / ($BF$71:$BF$75*BU955 + (1-$BF$71:$BF$75)*BQ955), N($AU$71:$AU$75&gt;$AM955)),
SUMPRODUCT(INDEX($AV$66:$AX$75,,$AI955), INDEX($AY$66:$BE$75,,$AH955), 1 / ($BG$66:$BG$75*BU955 + (1-$BG$66:$BG$75)*BQ955), N($AU$66:$AU$75&gt;$AM955))
) / 1000</f>
        <v>0</v>
      </c>
      <c r="BW955" s="231">
        <f t="shared" si="931"/>
        <v>25</v>
      </c>
      <c r="BX955" s="229">
        <f t="shared" si="946"/>
        <v>38</v>
      </c>
      <c r="BY955" s="234">
        <f t="shared" si="947"/>
        <v>4.0666935483870965</v>
      </c>
      <c r="BZ955" s="234" cm="1">
        <f t="array" ref="BZ955">$BM955 * IF($AH955&lt;=2,
SUMPRODUCT(INDEX($AV$66:$AX$70,,$AI955), INDEX($AY$66:$BE$70,,$AH955), 1 / ($BF$66:$BF$70*BY955 + (1-$BF$66:$BF$70)*BU955), N($AU$66:$AU$70&gt;$AM955)),
SUMPRODUCT(INDEX($AV$56:$AX$65,,$AI955), INDEX($AY$56:$BE$65,,$AH955), 1 / ($BG$56:$BG$65*BY955 + (1-$BG$56:$BG$65)*BU955), N($AU$56:$AU$65&gt;$AM955))
) / 1000</f>
        <v>0</v>
      </c>
      <c r="CA955" s="231">
        <f t="shared" si="932"/>
        <v>20</v>
      </c>
      <c r="CB955" s="229">
        <f t="shared" si="948"/>
        <v>33</v>
      </c>
      <c r="CC955" s="234">
        <f t="shared" si="949"/>
        <v>4.8487499999999999</v>
      </c>
      <c r="CD955" s="234" cm="1">
        <f t="array" ref="CD955">$BM955 * IF($AH955&lt;=2,
SUMPRODUCT(INDEX($AV$61:$AX$65,,$AI955), INDEX($AY$61:$BE$65,,$AH955), 1 / ($BF$61:$BF$65*CC955 + (1-$BF$61:$BF$65)*BY955), N($AU$61:$AU$65&gt;$AM955)),
SUMPRODUCT(INDEX($AV$46:$AX$55,,$AI955), INDEX($AY$46:$BE$55,,$AH955), 1 / ($BG$46:$BG$55*CC955 + (1-$BG$46:$BG$55)*BY955), N($AU$46:$AU$55&gt;$AM955))
) / 1000</f>
        <v>0</v>
      </c>
      <c r="CE955" s="234" cm="1">
        <f t="array" ref="CE955">$BM955 * IF($AH955&lt;=2,
SUMPRODUCT(INDEX($AV$22:$AX$60,,$AI955), INDEX($AY$22:$BE$60,,$AH955), 1 / ($BF$22:$BF$60*CC955), N($AU$22:$AU$60&gt;$AM955)),
SUMPRODUCT(INDEX($AV$22:$AX$45,,$AI955), INDEX($AY$22:$BE$45,,$AH955), 1 / ($BG$22:$BG$45*CC955), N($AU$22:$AU$45&gt;$AM955))
) / 1000</f>
        <v>0</v>
      </c>
      <c r="CF955" s="229">
        <f t="shared" si="950"/>
        <v>0</v>
      </c>
      <c r="CG955" s="246"/>
      <c r="CH955" s="229">
        <f t="shared" si="951"/>
        <v>0</v>
      </c>
      <c r="CI955" s="228">
        <v>35</v>
      </c>
      <c r="CJ955" s="229">
        <f t="shared" si="952"/>
        <v>48</v>
      </c>
      <c r="CK955" s="234">
        <f t="shared" si="953"/>
        <v>3.0748170731707316</v>
      </c>
      <c r="CL955" s="234" cm="1">
        <f t="array" ref="CL955">$BM955 * SUMPRODUCT(INDEX($AV$76:$AX$81,,$AI955),INDEX($AY$76:$BE$81,,$AH955), N($AU$76:$AU$81&gt;$AM955)) / CK955 / 1000</f>
        <v>0</v>
      </c>
      <c r="CM955" s="231">
        <f t="shared" si="933"/>
        <v>30</v>
      </c>
      <c r="CN955" s="229">
        <f t="shared" si="954"/>
        <v>43</v>
      </c>
      <c r="CO955" s="234">
        <f t="shared" si="955"/>
        <v>3.5018750000000001</v>
      </c>
      <c r="CP955" s="234" cm="1">
        <f t="array" ref="CP955">$BM955 * IF($AH955&lt;=2,
SUMPRODUCT(INDEX($AV$71:$AX$75,,$AI955), INDEX($AY$71:$BE$75,,$AH955), 1 / ($BF$71:$BF$75*CO955 + (1-$BF$71:$BF$75)*CK955), N($AU$71:$AU$75&gt;$AM955)),
SUMPRODUCT(INDEX($AV$66:$AX$75,,$AI955), INDEX($AY$66:$BE$75,,$AH955), 1 / ($BG$66:$BG$75*CO955 + (1-$BG$66:$BG$75)*CK955), N($AU$66:$AU$75&gt;$AM955))
) / 1000</f>
        <v>0</v>
      </c>
      <c r="CQ955" s="231">
        <f t="shared" si="934"/>
        <v>25</v>
      </c>
      <c r="CR955" s="229">
        <f t="shared" si="956"/>
        <v>38</v>
      </c>
      <c r="CS955" s="234">
        <f t="shared" si="957"/>
        <v>4.0666935483870965</v>
      </c>
      <c r="CT955" s="234" cm="1">
        <f t="array" ref="CT955">$BM955 * IF($AH955&lt;=2,
SUMPRODUCT(INDEX($AV$66:$AX$70,,$AI955), INDEX($AY$66:$BE$70,,$AH955), 1 / ($BF$66:$BF$70*CS955 + (1-$BF$66:$BF$70)*CO955), N($AU$66:$AU$70&gt;$AM955)),
SUMPRODUCT(INDEX($AV$56:$AX$65,,$AI955), INDEX($AY$56:$BE$65,,$AH955), 1 / ($BG$56:$BG$65*CS955 + (1-$BG$56:$BG$65)*CO955), N($AU$56:$AU$65&gt;$AM955))
) / 1000</f>
        <v>0</v>
      </c>
      <c r="CU955" s="231">
        <f t="shared" si="935"/>
        <v>20</v>
      </c>
      <c r="CV955" s="229">
        <f t="shared" si="958"/>
        <v>33</v>
      </c>
      <c r="CW955" s="234">
        <f t="shared" si="959"/>
        <v>4.8487499999999999</v>
      </c>
      <c r="CX955" s="234" cm="1">
        <f t="array" ref="CX955">$BM955 * IF($AH955&lt;=2,
SUMPRODUCT(INDEX($AV$61:$AX$65,,$AI955), INDEX($AY$61:$BE$65,,$AH955), 1 / ($BF$61:$BF$65*CW955 + (1-$BF$61:$BF$65)*CS955), N($AU$61:$AU$65&gt;$AM955)),
SUMPRODUCT(INDEX($AV$46:$AX$55,,$AI955), INDEX($AY$46:$BE$55,,$AH955), 1 / ($BG$46:$BG$55*CW955 + (1-$BG$46:$BG$55)*CS955), N($AU$46:$AU$55&gt;$AM955))
) / 1000</f>
        <v>0</v>
      </c>
      <c r="CY955" s="234" cm="1">
        <f t="array" ref="CY955">$BM955 * IF($AH955&lt;=2,
SUMPRODUCT(INDEX($AV$22:$AX$60,,$AI955), INDEX($AY$22:$BE$60,,$AH955), 1 / ($BF$22:$BF$60*CW955), N($AU$22:$AU$60&gt;$AM955)),
SUMPRODUCT(INDEX($AV$22:$AX$45,,$AI955), INDEX($AY$22:$BE$45,,$AH955), 1 / ($BG$22:$BG$45*CW955), N($AU$22:$AU$45&gt;$AM955))
) / 1000</f>
        <v>0</v>
      </c>
      <c r="CZ955" s="229">
        <f t="shared" si="960"/>
        <v>0</v>
      </c>
      <c r="DA955" s="246"/>
    </row>
    <row r="956" spans="1:105" s="75" customFormat="1" ht="14.25" customHeight="1" x14ac:dyDescent="0.2">
      <c r="A956" s="230" t="b">
        <f t="shared" si="927"/>
        <v>0</v>
      </c>
      <c r="B956" s="253">
        <v>935</v>
      </c>
      <c r="C956" s="266"/>
      <c r="D956" s="266"/>
      <c r="E956" s="254"/>
      <c r="F956" s="255" t="str">
        <f>IF(ISBLANK(E956), "", VLOOKUP(E956, Z!$A$2:$C$4127, 3, FALSE))</f>
        <v/>
      </c>
      <c r="G956" s="256"/>
      <c r="H956" s="256"/>
      <c r="I956" s="256"/>
      <c r="J956" s="257"/>
      <c r="K956" s="258"/>
      <c r="L956" s="267"/>
      <c r="M956" s="268"/>
      <c r="N956" s="259" t="str" cm="1">
        <f t="array" ref="N956">IF($L956&gt;0, INDEX(Clean,1+AK956,$D$1), "")</f>
        <v/>
      </c>
      <c r="O956" s="260"/>
      <c r="P956" s="260"/>
      <c r="Q956" s="261"/>
      <c r="R956" s="264">
        <f t="shared" si="936"/>
        <v>0</v>
      </c>
      <c r="S956" s="259" t="str" cm="1">
        <f t="array" ref="S956">IF($L956&gt;0, INDEX(Clean,1+AL956,$D$1), "")</f>
        <v/>
      </c>
      <c r="T956" s="260"/>
      <c r="U956" s="260"/>
      <c r="V956" s="261"/>
      <c r="W956" s="267"/>
      <c r="X956" s="267"/>
      <c r="Y956" s="257"/>
      <c r="Z956" s="264">
        <f t="shared" si="937"/>
        <v>0</v>
      </c>
      <c r="AA956" s="269"/>
      <c r="AB956" s="266"/>
      <c r="AC956" s="254"/>
      <c r="AD956" s="255" t="str">
        <f>IF(ISBLANK(AC956), "", VLOOKUP(AC956, Z!$A$2:$C$4127, 3, FALSE))</f>
        <v/>
      </c>
      <c r="AE956" s="270"/>
      <c r="AF956" s="265">
        <f t="shared" si="938"/>
        <v>0</v>
      </c>
      <c r="AG956" s="246"/>
      <c r="AH956" s="228">
        <f t="shared" si="961"/>
        <v>1</v>
      </c>
      <c r="AI956" s="228">
        <f t="shared" si="962"/>
        <v>1</v>
      </c>
      <c r="AJ956" s="228">
        <f t="shared" si="963"/>
        <v>0</v>
      </c>
      <c r="AK956" s="228">
        <v>0</v>
      </c>
      <c r="AL956" s="228">
        <v>0</v>
      </c>
      <c r="AM956" s="228">
        <f t="shared" si="939"/>
        <v>-100</v>
      </c>
      <c r="AN956" s="228" cm="1">
        <f t="array" ref="AN956">IF(ISBLANK(G956), 1, IFERROR(MATCH(G956, INDEX(Kat,,1), 0), IFERROR(MATCH(Kat, INDEX(Use,,2), 0), MATCH(Kat, INDEX(Use,,3), 0))))</f>
        <v>1</v>
      </c>
      <c r="AO956" s="246"/>
      <c r="AP956" s="228" cm="1">
        <f t="array" ref="AP956">IF(W956&gt;0, INDEX(Kat, AN956,4), 0)</f>
        <v>0</v>
      </c>
      <c r="AQ956" s="228">
        <f t="shared" si="964"/>
        <v>0</v>
      </c>
      <c r="AR956" s="228" cm="1">
        <f t="array" ref="AR956">IF(X956&gt;0, INDEX(Kat, $AN956, 4+AQ956), 0)</f>
        <v>0</v>
      </c>
      <c r="AS956" s="228" cm="1">
        <f t="array" ref="AS956">IF(X956&gt;0, INDEX(Kat, $AN956, 9+AQ956), 0)</f>
        <v>0</v>
      </c>
      <c r="AT956" s="246"/>
      <c r="AU956" s="262"/>
      <c r="AV956" s="262"/>
      <c r="AW956" s="263"/>
      <c r="AX956" s="263"/>
      <c r="AY956" s="263"/>
      <c r="AZ956" s="263"/>
      <c r="BA956" s="263"/>
      <c r="BB956" s="263"/>
      <c r="BC956" s="263"/>
      <c r="BD956" s="263"/>
      <c r="BE956" s="263"/>
      <c r="BF956" s="263"/>
      <c r="BG956" s="263"/>
      <c r="BH956" s="246"/>
      <c r="BI956" s="228" cm="1">
        <f t="array" ref="BI956">INDEX(Use, $AH956, 4)</f>
        <v>7</v>
      </c>
      <c r="BJ956" s="228">
        <f t="shared" si="940"/>
        <v>32</v>
      </c>
      <c r="BK956" s="228">
        <f t="shared" si="928"/>
        <v>13</v>
      </c>
      <c r="BL956" s="228">
        <f t="shared" si="929"/>
        <v>0</v>
      </c>
      <c r="BM956" s="233" cm="1">
        <f t="array" ref="BM956">L956/IF($M956&gt;0, INDEX($AY$22:$BE$76, $M956+20, $AH956), 1)</f>
        <v>0</v>
      </c>
      <c r="BN956" s="229">
        <f t="shared" si="941"/>
        <v>0</v>
      </c>
      <c r="BO956" s="228">
        <v>35</v>
      </c>
      <c r="BP956" s="229">
        <f t="shared" si="942"/>
        <v>48</v>
      </c>
      <c r="BQ956" s="234">
        <f t="shared" si="943"/>
        <v>3.0748170731707316</v>
      </c>
      <c r="BR956" s="234" cm="1">
        <f t="array" ref="BR956">$BM956 * SUMPRODUCT(INDEX($AV$76:$AX$81,,$AI956),INDEX($AY$76:$BE$81,,$AH956), N($AU$76:$AU$81&gt;$AM956)) / BQ956 / 1000</f>
        <v>0</v>
      </c>
      <c r="BS956" s="231">
        <f t="shared" si="930"/>
        <v>30</v>
      </c>
      <c r="BT956" s="229">
        <f t="shared" si="944"/>
        <v>43</v>
      </c>
      <c r="BU956" s="234">
        <f t="shared" si="945"/>
        <v>3.5018750000000001</v>
      </c>
      <c r="BV956" s="234" cm="1">
        <f t="array" ref="BV956">$BM956 * IF($AH956&lt;=2,
SUMPRODUCT(INDEX($AV$71:$AX$75,,$AI956), INDEX($AY$71:$BE$75,,$AH956), 1 / ($BF$71:$BF$75*BU956 + (1-$BF$71:$BF$75)*BQ956), N($AU$71:$AU$75&gt;$AM956)),
SUMPRODUCT(INDEX($AV$66:$AX$75,,$AI956), INDEX($AY$66:$BE$75,,$AH956), 1 / ($BG$66:$BG$75*BU956 + (1-$BG$66:$BG$75)*BQ956), N($AU$66:$AU$75&gt;$AM956))
) / 1000</f>
        <v>0</v>
      </c>
      <c r="BW956" s="231">
        <f t="shared" si="931"/>
        <v>25</v>
      </c>
      <c r="BX956" s="229">
        <f t="shared" si="946"/>
        <v>38</v>
      </c>
      <c r="BY956" s="234">
        <f t="shared" si="947"/>
        <v>4.0666935483870965</v>
      </c>
      <c r="BZ956" s="234" cm="1">
        <f t="array" ref="BZ956">$BM956 * IF($AH956&lt;=2,
SUMPRODUCT(INDEX($AV$66:$AX$70,,$AI956), INDEX($AY$66:$BE$70,,$AH956), 1 / ($BF$66:$BF$70*BY956 + (1-$BF$66:$BF$70)*BU956), N($AU$66:$AU$70&gt;$AM956)),
SUMPRODUCT(INDEX($AV$56:$AX$65,,$AI956), INDEX($AY$56:$BE$65,,$AH956), 1 / ($BG$56:$BG$65*BY956 + (1-$BG$56:$BG$65)*BU956), N($AU$56:$AU$65&gt;$AM956))
) / 1000</f>
        <v>0</v>
      </c>
      <c r="CA956" s="231">
        <f t="shared" si="932"/>
        <v>20</v>
      </c>
      <c r="CB956" s="229">
        <f t="shared" si="948"/>
        <v>33</v>
      </c>
      <c r="CC956" s="234">
        <f t="shared" si="949"/>
        <v>4.8487499999999999</v>
      </c>
      <c r="CD956" s="234" cm="1">
        <f t="array" ref="CD956">$BM956 * IF($AH956&lt;=2,
SUMPRODUCT(INDEX($AV$61:$AX$65,,$AI956), INDEX($AY$61:$BE$65,,$AH956), 1 / ($BF$61:$BF$65*CC956 + (1-$BF$61:$BF$65)*BY956), N($AU$61:$AU$65&gt;$AM956)),
SUMPRODUCT(INDEX($AV$46:$AX$55,,$AI956), INDEX($AY$46:$BE$55,,$AH956), 1 / ($BG$46:$BG$55*CC956 + (1-$BG$46:$BG$55)*BY956), N($AU$46:$AU$55&gt;$AM956))
) / 1000</f>
        <v>0</v>
      </c>
      <c r="CE956" s="234" cm="1">
        <f t="array" ref="CE956">$BM956 * IF($AH956&lt;=2,
SUMPRODUCT(INDEX($AV$22:$AX$60,,$AI956), INDEX($AY$22:$BE$60,,$AH956), 1 / ($BF$22:$BF$60*CC956), N($AU$22:$AU$60&gt;$AM956)),
SUMPRODUCT(INDEX($AV$22:$AX$45,,$AI956), INDEX($AY$22:$BE$45,,$AH956), 1 / ($BG$22:$BG$45*CC956), N($AU$22:$AU$45&gt;$AM956))
) / 1000</f>
        <v>0</v>
      </c>
      <c r="CF956" s="229">
        <f t="shared" si="950"/>
        <v>0</v>
      </c>
      <c r="CG956" s="246"/>
      <c r="CH956" s="229">
        <f t="shared" si="951"/>
        <v>0</v>
      </c>
      <c r="CI956" s="228">
        <v>35</v>
      </c>
      <c r="CJ956" s="229">
        <f t="shared" si="952"/>
        <v>48</v>
      </c>
      <c r="CK956" s="234">
        <f t="shared" si="953"/>
        <v>3.0748170731707316</v>
      </c>
      <c r="CL956" s="234" cm="1">
        <f t="array" ref="CL956">$BM956 * SUMPRODUCT(INDEX($AV$76:$AX$81,,$AI956),INDEX($AY$76:$BE$81,,$AH956), N($AU$76:$AU$81&gt;$AM956)) / CK956 / 1000</f>
        <v>0</v>
      </c>
      <c r="CM956" s="231">
        <f t="shared" si="933"/>
        <v>30</v>
      </c>
      <c r="CN956" s="229">
        <f t="shared" si="954"/>
        <v>43</v>
      </c>
      <c r="CO956" s="234">
        <f t="shared" si="955"/>
        <v>3.5018750000000001</v>
      </c>
      <c r="CP956" s="234" cm="1">
        <f t="array" ref="CP956">$BM956 * IF($AH956&lt;=2,
SUMPRODUCT(INDEX($AV$71:$AX$75,,$AI956), INDEX($AY$71:$BE$75,,$AH956), 1 / ($BF$71:$BF$75*CO956 + (1-$BF$71:$BF$75)*CK956), N($AU$71:$AU$75&gt;$AM956)),
SUMPRODUCT(INDEX($AV$66:$AX$75,,$AI956), INDEX($AY$66:$BE$75,,$AH956), 1 / ($BG$66:$BG$75*CO956 + (1-$BG$66:$BG$75)*CK956), N($AU$66:$AU$75&gt;$AM956))
) / 1000</f>
        <v>0</v>
      </c>
      <c r="CQ956" s="231">
        <f t="shared" si="934"/>
        <v>25</v>
      </c>
      <c r="CR956" s="229">
        <f t="shared" si="956"/>
        <v>38</v>
      </c>
      <c r="CS956" s="234">
        <f t="shared" si="957"/>
        <v>4.0666935483870965</v>
      </c>
      <c r="CT956" s="234" cm="1">
        <f t="array" ref="CT956">$BM956 * IF($AH956&lt;=2,
SUMPRODUCT(INDEX($AV$66:$AX$70,,$AI956), INDEX($AY$66:$BE$70,,$AH956), 1 / ($BF$66:$BF$70*CS956 + (1-$BF$66:$BF$70)*CO956), N($AU$66:$AU$70&gt;$AM956)),
SUMPRODUCT(INDEX($AV$56:$AX$65,,$AI956), INDEX($AY$56:$BE$65,,$AH956), 1 / ($BG$56:$BG$65*CS956 + (1-$BG$56:$BG$65)*CO956), N($AU$56:$AU$65&gt;$AM956))
) / 1000</f>
        <v>0</v>
      </c>
      <c r="CU956" s="231">
        <f t="shared" si="935"/>
        <v>20</v>
      </c>
      <c r="CV956" s="229">
        <f t="shared" si="958"/>
        <v>33</v>
      </c>
      <c r="CW956" s="234">
        <f t="shared" si="959"/>
        <v>4.8487499999999999</v>
      </c>
      <c r="CX956" s="234" cm="1">
        <f t="array" ref="CX956">$BM956 * IF($AH956&lt;=2,
SUMPRODUCT(INDEX($AV$61:$AX$65,,$AI956), INDEX($AY$61:$BE$65,,$AH956), 1 / ($BF$61:$BF$65*CW956 + (1-$BF$61:$BF$65)*CS956), N($AU$61:$AU$65&gt;$AM956)),
SUMPRODUCT(INDEX($AV$46:$AX$55,,$AI956), INDEX($AY$46:$BE$55,,$AH956), 1 / ($BG$46:$BG$55*CW956 + (1-$BG$46:$BG$55)*CS956), N($AU$46:$AU$55&gt;$AM956))
) / 1000</f>
        <v>0</v>
      </c>
      <c r="CY956" s="234" cm="1">
        <f t="array" ref="CY956">$BM956 * IF($AH956&lt;=2,
SUMPRODUCT(INDEX($AV$22:$AX$60,,$AI956), INDEX($AY$22:$BE$60,,$AH956), 1 / ($BF$22:$BF$60*CW956), N($AU$22:$AU$60&gt;$AM956)),
SUMPRODUCT(INDEX($AV$22:$AX$45,,$AI956), INDEX($AY$22:$BE$45,,$AH956), 1 / ($BG$22:$BG$45*CW956), N($AU$22:$AU$45&gt;$AM956))
) / 1000</f>
        <v>0</v>
      </c>
      <c r="CZ956" s="229">
        <f t="shared" si="960"/>
        <v>0</v>
      </c>
      <c r="DA956" s="246"/>
    </row>
    <row r="957" spans="1:105" s="75" customFormat="1" ht="14.25" customHeight="1" x14ac:dyDescent="0.2">
      <c r="A957" s="230" t="b">
        <f t="shared" si="927"/>
        <v>0</v>
      </c>
      <c r="B957" s="253">
        <v>936</v>
      </c>
      <c r="C957" s="266"/>
      <c r="D957" s="266"/>
      <c r="E957" s="254"/>
      <c r="F957" s="255" t="str">
        <f>IF(ISBLANK(E957), "", VLOOKUP(E957, Z!$A$2:$C$4127, 3, FALSE))</f>
        <v/>
      </c>
      <c r="G957" s="256"/>
      <c r="H957" s="256"/>
      <c r="I957" s="256"/>
      <c r="J957" s="257"/>
      <c r="K957" s="258"/>
      <c r="L957" s="267"/>
      <c r="M957" s="268"/>
      <c r="N957" s="259" t="str" cm="1">
        <f t="array" ref="N957">IF($L957&gt;0, INDEX(Clean,1+AK957,$D$1), "")</f>
        <v/>
      </c>
      <c r="O957" s="260"/>
      <c r="P957" s="260"/>
      <c r="Q957" s="261"/>
      <c r="R957" s="264">
        <f t="shared" si="936"/>
        <v>0</v>
      </c>
      <c r="S957" s="259" t="str" cm="1">
        <f t="array" ref="S957">IF($L957&gt;0, INDEX(Clean,1+AL957,$D$1), "")</f>
        <v/>
      </c>
      <c r="T957" s="260"/>
      <c r="U957" s="260"/>
      <c r="V957" s="261"/>
      <c r="W957" s="267"/>
      <c r="X957" s="267"/>
      <c r="Y957" s="257"/>
      <c r="Z957" s="264">
        <f t="shared" si="937"/>
        <v>0</v>
      </c>
      <c r="AA957" s="269"/>
      <c r="AB957" s="266"/>
      <c r="AC957" s="254"/>
      <c r="AD957" s="255" t="str">
        <f>IF(ISBLANK(AC957), "", VLOOKUP(AC957, Z!$A$2:$C$4127, 3, FALSE))</f>
        <v/>
      </c>
      <c r="AE957" s="270"/>
      <c r="AF957" s="265">
        <f t="shared" si="938"/>
        <v>0</v>
      </c>
      <c r="AG957" s="246"/>
      <c r="AH957" s="228">
        <f t="shared" si="961"/>
        <v>1</v>
      </c>
      <c r="AI957" s="228">
        <f t="shared" si="962"/>
        <v>1</v>
      </c>
      <c r="AJ957" s="228">
        <f t="shared" si="963"/>
        <v>0</v>
      </c>
      <c r="AK957" s="228">
        <v>0</v>
      </c>
      <c r="AL957" s="228">
        <v>0</v>
      </c>
      <c r="AM957" s="228">
        <f t="shared" si="939"/>
        <v>-100</v>
      </c>
      <c r="AN957" s="228" cm="1">
        <f t="array" ref="AN957">IF(ISBLANK(G957), 1, IFERROR(MATCH(G957, INDEX(Kat,,1), 0), IFERROR(MATCH(Kat, INDEX(Use,,2), 0), MATCH(Kat, INDEX(Use,,3), 0))))</f>
        <v>1</v>
      </c>
      <c r="AO957" s="246"/>
      <c r="AP957" s="228" cm="1">
        <f t="array" ref="AP957">IF(W957&gt;0, INDEX(Kat, AN957,4), 0)</f>
        <v>0</v>
      </c>
      <c r="AQ957" s="228">
        <f t="shared" si="964"/>
        <v>0</v>
      </c>
      <c r="AR957" s="228" cm="1">
        <f t="array" ref="AR957">IF(X957&gt;0, INDEX(Kat, $AN957, 4+AQ957), 0)</f>
        <v>0</v>
      </c>
      <c r="AS957" s="228" cm="1">
        <f t="array" ref="AS957">IF(X957&gt;0, INDEX(Kat, $AN957, 9+AQ957), 0)</f>
        <v>0</v>
      </c>
      <c r="AT957" s="246"/>
      <c r="AU957" s="262"/>
      <c r="AV957" s="262"/>
      <c r="AW957" s="263"/>
      <c r="AX957" s="263"/>
      <c r="AY957" s="263"/>
      <c r="AZ957" s="263"/>
      <c r="BA957" s="263"/>
      <c r="BB957" s="263"/>
      <c r="BC957" s="263"/>
      <c r="BD957" s="263"/>
      <c r="BE957" s="263"/>
      <c r="BF957" s="263"/>
      <c r="BG957" s="263"/>
      <c r="BH957" s="246"/>
      <c r="BI957" s="228" cm="1">
        <f t="array" ref="BI957">INDEX(Use, $AH957, 4)</f>
        <v>7</v>
      </c>
      <c r="BJ957" s="228">
        <f t="shared" si="940"/>
        <v>32</v>
      </c>
      <c r="BK957" s="228">
        <f t="shared" si="928"/>
        <v>13</v>
      </c>
      <c r="BL957" s="228">
        <f t="shared" si="929"/>
        <v>0</v>
      </c>
      <c r="BM957" s="233" cm="1">
        <f t="array" ref="BM957">L957/IF($M957&gt;0, INDEX($AY$22:$BE$76, $M957+20, $AH957), 1)</f>
        <v>0</v>
      </c>
      <c r="BN957" s="229">
        <f t="shared" si="941"/>
        <v>0</v>
      </c>
      <c r="BO957" s="228">
        <v>35</v>
      </c>
      <c r="BP957" s="229">
        <f t="shared" si="942"/>
        <v>48</v>
      </c>
      <c r="BQ957" s="234">
        <f t="shared" si="943"/>
        <v>3.0748170731707316</v>
      </c>
      <c r="BR957" s="234" cm="1">
        <f t="array" ref="BR957">$BM957 * SUMPRODUCT(INDEX($AV$76:$AX$81,,$AI957),INDEX($AY$76:$BE$81,,$AH957), N($AU$76:$AU$81&gt;$AM957)) / BQ957 / 1000</f>
        <v>0</v>
      </c>
      <c r="BS957" s="231">
        <f t="shared" si="930"/>
        <v>30</v>
      </c>
      <c r="BT957" s="229">
        <f t="shared" si="944"/>
        <v>43</v>
      </c>
      <c r="BU957" s="234">
        <f t="shared" si="945"/>
        <v>3.5018750000000001</v>
      </c>
      <c r="BV957" s="234" cm="1">
        <f t="array" ref="BV957">$BM957 * IF($AH957&lt;=2,
SUMPRODUCT(INDEX($AV$71:$AX$75,,$AI957), INDEX($AY$71:$BE$75,,$AH957), 1 / ($BF$71:$BF$75*BU957 + (1-$BF$71:$BF$75)*BQ957), N($AU$71:$AU$75&gt;$AM957)),
SUMPRODUCT(INDEX($AV$66:$AX$75,,$AI957), INDEX($AY$66:$BE$75,,$AH957), 1 / ($BG$66:$BG$75*BU957 + (1-$BG$66:$BG$75)*BQ957), N($AU$66:$AU$75&gt;$AM957))
) / 1000</f>
        <v>0</v>
      </c>
      <c r="BW957" s="231">
        <f t="shared" si="931"/>
        <v>25</v>
      </c>
      <c r="BX957" s="229">
        <f t="shared" si="946"/>
        <v>38</v>
      </c>
      <c r="BY957" s="234">
        <f t="shared" si="947"/>
        <v>4.0666935483870965</v>
      </c>
      <c r="BZ957" s="234" cm="1">
        <f t="array" ref="BZ957">$BM957 * IF($AH957&lt;=2,
SUMPRODUCT(INDEX($AV$66:$AX$70,,$AI957), INDEX($AY$66:$BE$70,,$AH957), 1 / ($BF$66:$BF$70*BY957 + (1-$BF$66:$BF$70)*BU957), N($AU$66:$AU$70&gt;$AM957)),
SUMPRODUCT(INDEX($AV$56:$AX$65,,$AI957), INDEX($AY$56:$BE$65,,$AH957), 1 / ($BG$56:$BG$65*BY957 + (1-$BG$56:$BG$65)*BU957), N($AU$56:$AU$65&gt;$AM957))
) / 1000</f>
        <v>0</v>
      </c>
      <c r="CA957" s="231">
        <f t="shared" si="932"/>
        <v>20</v>
      </c>
      <c r="CB957" s="229">
        <f t="shared" si="948"/>
        <v>33</v>
      </c>
      <c r="CC957" s="234">
        <f t="shared" si="949"/>
        <v>4.8487499999999999</v>
      </c>
      <c r="CD957" s="234" cm="1">
        <f t="array" ref="CD957">$BM957 * IF($AH957&lt;=2,
SUMPRODUCT(INDEX($AV$61:$AX$65,,$AI957), INDEX($AY$61:$BE$65,,$AH957), 1 / ($BF$61:$BF$65*CC957 + (1-$BF$61:$BF$65)*BY957), N($AU$61:$AU$65&gt;$AM957)),
SUMPRODUCT(INDEX($AV$46:$AX$55,,$AI957), INDEX($AY$46:$BE$55,,$AH957), 1 / ($BG$46:$BG$55*CC957 + (1-$BG$46:$BG$55)*BY957), N($AU$46:$AU$55&gt;$AM957))
) / 1000</f>
        <v>0</v>
      </c>
      <c r="CE957" s="234" cm="1">
        <f t="array" ref="CE957">$BM957 * IF($AH957&lt;=2,
SUMPRODUCT(INDEX($AV$22:$AX$60,,$AI957), INDEX($AY$22:$BE$60,,$AH957), 1 / ($BF$22:$BF$60*CC957), N($AU$22:$AU$60&gt;$AM957)),
SUMPRODUCT(INDEX($AV$22:$AX$45,,$AI957), INDEX($AY$22:$BE$45,,$AH957), 1 / ($BG$22:$BG$45*CC957), N($AU$22:$AU$45&gt;$AM957))
) / 1000</f>
        <v>0</v>
      </c>
      <c r="CF957" s="229">
        <f t="shared" si="950"/>
        <v>0</v>
      </c>
      <c r="CG957" s="246"/>
      <c r="CH957" s="229">
        <f t="shared" si="951"/>
        <v>0</v>
      </c>
      <c r="CI957" s="228">
        <v>35</v>
      </c>
      <c r="CJ957" s="229">
        <f t="shared" si="952"/>
        <v>48</v>
      </c>
      <c r="CK957" s="234">
        <f t="shared" si="953"/>
        <v>3.0748170731707316</v>
      </c>
      <c r="CL957" s="234" cm="1">
        <f t="array" ref="CL957">$BM957 * SUMPRODUCT(INDEX($AV$76:$AX$81,,$AI957),INDEX($AY$76:$BE$81,,$AH957), N($AU$76:$AU$81&gt;$AM957)) / CK957 / 1000</f>
        <v>0</v>
      </c>
      <c r="CM957" s="231">
        <f t="shared" si="933"/>
        <v>30</v>
      </c>
      <c r="CN957" s="229">
        <f t="shared" si="954"/>
        <v>43</v>
      </c>
      <c r="CO957" s="234">
        <f t="shared" si="955"/>
        <v>3.5018750000000001</v>
      </c>
      <c r="CP957" s="234" cm="1">
        <f t="array" ref="CP957">$BM957 * IF($AH957&lt;=2,
SUMPRODUCT(INDEX($AV$71:$AX$75,,$AI957), INDEX($AY$71:$BE$75,,$AH957), 1 / ($BF$71:$BF$75*CO957 + (1-$BF$71:$BF$75)*CK957), N($AU$71:$AU$75&gt;$AM957)),
SUMPRODUCT(INDEX($AV$66:$AX$75,,$AI957), INDEX($AY$66:$BE$75,,$AH957), 1 / ($BG$66:$BG$75*CO957 + (1-$BG$66:$BG$75)*CK957), N($AU$66:$AU$75&gt;$AM957))
) / 1000</f>
        <v>0</v>
      </c>
      <c r="CQ957" s="231">
        <f t="shared" si="934"/>
        <v>25</v>
      </c>
      <c r="CR957" s="229">
        <f t="shared" si="956"/>
        <v>38</v>
      </c>
      <c r="CS957" s="234">
        <f t="shared" si="957"/>
        <v>4.0666935483870965</v>
      </c>
      <c r="CT957" s="234" cm="1">
        <f t="array" ref="CT957">$BM957 * IF($AH957&lt;=2,
SUMPRODUCT(INDEX($AV$66:$AX$70,,$AI957), INDEX($AY$66:$BE$70,,$AH957), 1 / ($BF$66:$BF$70*CS957 + (1-$BF$66:$BF$70)*CO957), N($AU$66:$AU$70&gt;$AM957)),
SUMPRODUCT(INDEX($AV$56:$AX$65,,$AI957), INDEX($AY$56:$BE$65,,$AH957), 1 / ($BG$56:$BG$65*CS957 + (1-$BG$56:$BG$65)*CO957), N($AU$56:$AU$65&gt;$AM957))
) / 1000</f>
        <v>0</v>
      </c>
      <c r="CU957" s="231">
        <f t="shared" si="935"/>
        <v>20</v>
      </c>
      <c r="CV957" s="229">
        <f t="shared" si="958"/>
        <v>33</v>
      </c>
      <c r="CW957" s="234">
        <f t="shared" si="959"/>
        <v>4.8487499999999999</v>
      </c>
      <c r="CX957" s="234" cm="1">
        <f t="array" ref="CX957">$BM957 * IF($AH957&lt;=2,
SUMPRODUCT(INDEX($AV$61:$AX$65,,$AI957), INDEX($AY$61:$BE$65,,$AH957), 1 / ($BF$61:$BF$65*CW957 + (1-$BF$61:$BF$65)*CS957), N($AU$61:$AU$65&gt;$AM957)),
SUMPRODUCT(INDEX($AV$46:$AX$55,,$AI957), INDEX($AY$46:$BE$55,,$AH957), 1 / ($BG$46:$BG$55*CW957 + (1-$BG$46:$BG$55)*CS957), N($AU$46:$AU$55&gt;$AM957))
) / 1000</f>
        <v>0</v>
      </c>
      <c r="CY957" s="234" cm="1">
        <f t="array" ref="CY957">$BM957 * IF($AH957&lt;=2,
SUMPRODUCT(INDEX($AV$22:$AX$60,,$AI957), INDEX($AY$22:$BE$60,,$AH957), 1 / ($BF$22:$BF$60*CW957), N($AU$22:$AU$60&gt;$AM957)),
SUMPRODUCT(INDEX($AV$22:$AX$45,,$AI957), INDEX($AY$22:$BE$45,,$AH957), 1 / ($BG$22:$BG$45*CW957), N($AU$22:$AU$45&gt;$AM957))
) / 1000</f>
        <v>0</v>
      </c>
      <c r="CZ957" s="229">
        <f t="shared" si="960"/>
        <v>0</v>
      </c>
      <c r="DA957" s="246"/>
    </row>
    <row r="958" spans="1:105" s="75" customFormat="1" ht="14.25" customHeight="1" x14ac:dyDescent="0.2">
      <c r="A958" s="230" t="b">
        <f t="shared" si="927"/>
        <v>0</v>
      </c>
      <c r="B958" s="253">
        <v>937</v>
      </c>
      <c r="C958" s="266"/>
      <c r="D958" s="266"/>
      <c r="E958" s="254"/>
      <c r="F958" s="255" t="str">
        <f>IF(ISBLANK(E958), "", VLOOKUP(E958, Z!$A$2:$C$4127, 3, FALSE))</f>
        <v/>
      </c>
      <c r="G958" s="256"/>
      <c r="H958" s="256"/>
      <c r="I958" s="256"/>
      <c r="J958" s="257"/>
      <c r="K958" s="258"/>
      <c r="L958" s="267"/>
      <c r="M958" s="268"/>
      <c r="N958" s="259" t="str" cm="1">
        <f t="array" ref="N958">IF($L958&gt;0, INDEX(Clean,1+AK958,$D$1), "")</f>
        <v/>
      </c>
      <c r="O958" s="260"/>
      <c r="P958" s="260"/>
      <c r="Q958" s="261"/>
      <c r="R958" s="264">
        <f t="shared" si="936"/>
        <v>0</v>
      </c>
      <c r="S958" s="259" t="str" cm="1">
        <f t="array" ref="S958">IF($L958&gt;0, INDEX(Clean,1+AL958,$D$1), "")</f>
        <v/>
      </c>
      <c r="T958" s="260"/>
      <c r="U958" s="260"/>
      <c r="V958" s="261"/>
      <c r="W958" s="267"/>
      <c r="X958" s="267"/>
      <c r="Y958" s="257"/>
      <c r="Z958" s="264">
        <f t="shared" si="937"/>
        <v>0</v>
      </c>
      <c r="AA958" s="269"/>
      <c r="AB958" s="266"/>
      <c r="AC958" s="254"/>
      <c r="AD958" s="255" t="str">
        <f>IF(ISBLANK(AC958), "", VLOOKUP(AC958, Z!$A$2:$C$4127, 3, FALSE))</f>
        <v/>
      </c>
      <c r="AE958" s="270"/>
      <c r="AF958" s="265">
        <f t="shared" si="938"/>
        <v>0</v>
      </c>
      <c r="AG958" s="246"/>
      <c r="AH958" s="228">
        <f t="shared" si="961"/>
        <v>1</v>
      </c>
      <c r="AI958" s="228">
        <f t="shared" si="962"/>
        <v>1</v>
      </c>
      <c r="AJ958" s="228">
        <f t="shared" si="963"/>
        <v>0</v>
      </c>
      <c r="AK958" s="228">
        <v>0</v>
      </c>
      <c r="AL958" s="228">
        <v>0</v>
      </c>
      <c r="AM958" s="228">
        <f t="shared" si="939"/>
        <v>-100</v>
      </c>
      <c r="AN958" s="228" cm="1">
        <f t="array" ref="AN958">IF(ISBLANK(G958), 1, IFERROR(MATCH(G958, INDEX(Kat,,1), 0), IFERROR(MATCH(Kat, INDEX(Use,,2), 0), MATCH(Kat, INDEX(Use,,3), 0))))</f>
        <v>1</v>
      </c>
      <c r="AO958" s="246"/>
      <c r="AP958" s="228" cm="1">
        <f t="array" ref="AP958">IF(W958&gt;0, INDEX(Kat, AN958,4), 0)</f>
        <v>0</v>
      </c>
      <c r="AQ958" s="228">
        <f t="shared" si="964"/>
        <v>0</v>
      </c>
      <c r="AR958" s="228" cm="1">
        <f t="array" ref="AR958">IF(X958&gt;0, INDEX(Kat, $AN958, 4+AQ958), 0)</f>
        <v>0</v>
      </c>
      <c r="AS958" s="228" cm="1">
        <f t="array" ref="AS958">IF(X958&gt;0, INDEX(Kat, $AN958, 9+AQ958), 0)</f>
        <v>0</v>
      </c>
      <c r="AT958" s="246"/>
      <c r="AU958" s="262"/>
      <c r="AV958" s="262"/>
      <c r="AW958" s="263"/>
      <c r="AX958" s="263"/>
      <c r="AY958" s="263"/>
      <c r="AZ958" s="263"/>
      <c r="BA958" s="263"/>
      <c r="BB958" s="263"/>
      <c r="BC958" s="263"/>
      <c r="BD958" s="263"/>
      <c r="BE958" s="263"/>
      <c r="BF958" s="263"/>
      <c r="BG958" s="263"/>
      <c r="BH958" s="246"/>
      <c r="BI958" s="228" cm="1">
        <f t="array" ref="BI958">INDEX(Use, $AH958, 4)</f>
        <v>7</v>
      </c>
      <c r="BJ958" s="228">
        <f t="shared" si="940"/>
        <v>32</v>
      </c>
      <c r="BK958" s="228">
        <f t="shared" si="928"/>
        <v>13</v>
      </c>
      <c r="BL958" s="228">
        <f t="shared" si="929"/>
        <v>0</v>
      </c>
      <c r="BM958" s="233" cm="1">
        <f t="array" ref="BM958">L958/IF($M958&gt;0, INDEX($AY$22:$BE$76, $M958+20, $AH958), 1)</f>
        <v>0</v>
      </c>
      <c r="BN958" s="229">
        <f t="shared" si="941"/>
        <v>0</v>
      </c>
      <c r="BO958" s="228">
        <v>35</v>
      </c>
      <c r="BP958" s="229">
        <f t="shared" si="942"/>
        <v>48</v>
      </c>
      <c r="BQ958" s="234">
        <f t="shared" si="943"/>
        <v>3.0748170731707316</v>
      </c>
      <c r="BR958" s="234" cm="1">
        <f t="array" ref="BR958">$BM958 * SUMPRODUCT(INDEX($AV$76:$AX$81,,$AI958),INDEX($AY$76:$BE$81,,$AH958), N($AU$76:$AU$81&gt;$AM958)) / BQ958 / 1000</f>
        <v>0</v>
      </c>
      <c r="BS958" s="231">
        <f t="shared" si="930"/>
        <v>30</v>
      </c>
      <c r="BT958" s="229">
        <f t="shared" si="944"/>
        <v>43</v>
      </c>
      <c r="BU958" s="234">
        <f t="shared" si="945"/>
        <v>3.5018750000000001</v>
      </c>
      <c r="BV958" s="234" cm="1">
        <f t="array" ref="BV958">$BM958 * IF($AH958&lt;=2,
SUMPRODUCT(INDEX($AV$71:$AX$75,,$AI958), INDEX($AY$71:$BE$75,,$AH958), 1 / ($BF$71:$BF$75*BU958 + (1-$BF$71:$BF$75)*BQ958), N($AU$71:$AU$75&gt;$AM958)),
SUMPRODUCT(INDEX($AV$66:$AX$75,,$AI958), INDEX($AY$66:$BE$75,,$AH958), 1 / ($BG$66:$BG$75*BU958 + (1-$BG$66:$BG$75)*BQ958), N($AU$66:$AU$75&gt;$AM958))
) / 1000</f>
        <v>0</v>
      </c>
      <c r="BW958" s="231">
        <f t="shared" si="931"/>
        <v>25</v>
      </c>
      <c r="BX958" s="229">
        <f t="shared" si="946"/>
        <v>38</v>
      </c>
      <c r="BY958" s="234">
        <f t="shared" si="947"/>
        <v>4.0666935483870965</v>
      </c>
      <c r="BZ958" s="234" cm="1">
        <f t="array" ref="BZ958">$BM958 * IF($AH958&lt;=2,
SUMPRODUCT(INDEX($AV$66:$AX$70,,$AI958), INDEX($AY$66:$BE$70,,$AH958), 1 / ($BF$66:$BF$70*BY958 + (1-$BF$66:$BF$70)*BU958), N($AU$66:$AU$70&gt;$AM958)),
SUMPRODUCT(INDEX($AV$56:$AX$65,,$AI958), INDEX($AY$56:$BE$65,,$AH958), 1 / ($BG$56:$BG$65*BY958 + (1-$BG$56:$BG$65)*BU958), N($AU$56:$AU$65&gt;$AM958))
) / 1000</f>
        <v>0</v>
      </c>
      <c r="CA958" s="231">
        <f t="shared" si="932"/>
        <v>20</v>
      </c>
      <c r="CB958" s="229">
        <f t="shared" si="948"/>
        <v>33</v>
      </c>
      <c r="CC958" s="234">
        <f t="shared" si="949"/>
        <v>4.8487499999999999</v>
      </c>
      <c r="CD958" s="234" cm="1">
        <f t="array" ref="CD958">$BM958 * IF($AH958&lt;=2,
SUMPRODUCT(INDEX($AV$61:$AX$65,,$AI958), INDEX($AY$61:$BE$65,,$AH958), 1 / ($BF$61:$BF$65*CC958 + (1-$BF$61:$BF$65)*BY958), N($AU$61:$AU$65&gt;$AM958)),
SUMPRODUCT(INDEX($AV$46:$AX$55,,$AI958), INDEX($AY$46:$BE$55,,$AH958), 1 / ($BG$46:$BG$55*CC958 + (1-$BG$46:$BG$55)*BY958), N($AU$46:$AU$55&gt;$AM958))
) / 1000</f>
        <v>0</v>
      </c>
      <c r="CE958" s="234" cm="1">
        <f t="array" ref="CE958">$BM958 * IF($AH958&lt;=2,
SUMPRODUCT(INDEX($AV$22:$AX$60,,$AI958), INDEX($AY$22:$BE$60,,$AH958), 1 / ($BF$22:$BF$60*CC958), N($AU$22:$AU$60&gt;$AM958)),
SUMPRODUCT(INDEX($AV$22:$AX$45,,$AI958), INDEX($AY$22:$BE$45,,$AH958), 1 / ($BG$22:$BG$45*CC958), N($AU$22:$AU$45&gt;$AM958))
) / 1000</f>
        <v>0</v>
      </c>
      <c r="CF958" s="229">
        <f t="shared" si="950"/>
        <v>0</v>
      </c>
      <c r="CG958" s="246"/>
      <c r="CH958" s="229">
        <f t="shared" si="951"/>
        <v>0</v>
      </c>
      <c r="CI958" s="228">
        <v>35</v>
      </c>
      <c r="CJ958" s="229">
        <f t="shared" si="952"/>
        <v>48</v>
      </c>
      <c r="CK958" s="234">
        <f t="shared" si="953"/>
        <v>3.0748170731707316</v>
      </c>
      <c r="CL958" s="234" cm="1">
        <f t="array" ref="CL958">$BM958 * SUMPRODUCT(INDEX($AV$76:$AX$81,,$AI958),INDEX($AY$76:$BE$81,,$AH958), N($AU$76:$AU$81&gt;$AM958)) / CK958 / 1000</f>
        <v>0</v>
      </c>
      <c r="CM958" s="231">
        <f t="shared" si="933"/>
        <v>30</v>
      </c>
      <c r="CN958" s="229">
        <f t="shared" si="954"/>
        <v>43</v>
      </c>
      <c r="CO958" s="234">
        <f t="shared" si="955"/>
        <v>3.5018750000000001</v>
      </c>
      <c r="CP958" s="234" cm="1">
        <f t="array" ref="CP958">$BM958 * IF($AH958&lt;=2,
SUMPRODUCT(INDEX($AV$71:$AX$75,,$AI958), INDEX($AY$71:$BE$75,,$AH958), 1 / ($BF$71:$BF$75*CO958 + (1-$BF$71:$BF$75)*CK958), N($AU$71:$AU$75&gt;$AM958)),
SUMPRODUCT(INDEX($AV$66:$AX$75,,$AI958), INDEX($AY$66:$BE$75,,$AH958), 1 / ($BG$66:$BG$75*CO958 + (1-$BG$66:$BG$75)*CK958), N($AU$66:$AU$75&gt;$AM958))
) / 1000</f>
        <v>0</v>
      </c>
      <c r="CQ958" s="231">
        <f t="shared" si="934"/>
        <v>25</v>
      </c>
      <c r="CR958" s="229">
        <f t="shared" si="956"/>
        <v>38</v>
      </c>
      <c r="CS958" s="234">
        <f t="shared" si="957"/>
        <v>4.0666935483870965</v>
      </c>
      <c r="CT958" s="234" cm="1">
        <f t="array" ref="CT958">$BM958 * IF($AH958&lt;=2,
SUMPRODUCT(INDEX($AV$66:$AX$70,,$AI958), INDEX($AY$66:$BE$70,,$AH958), 1 / ($BF$66:$BF$70*CS958 + (1-$BF$66:$BF$70)*CO958), N($AU$66:$AU$70&gt;$AM958)),
SUMPRODUCT(INDEX($AV$56:$AX$65,,$AI958), INDEX($AY$56:$BE$65,,$AH958), 1 / ($BG$56:$BG$65*CS958 + (1-$BG$56:$BG$65)*CO958), N($AU$56:$AU$65&gt;$AM958))
) / 1000</f>
        <v>0</v>
      </c>
      <c r="CU958" s="231">
        <f t="shared" si="935"/>
        <v>20</v>
      </c>
      <c r="CV958" s="229">
        <f t="shared" si="958"/>
        <v>33</v>
      </c>
      <c r="CW958" s="234">
        <f t="shared" si="959"/>
        <v>4.8487499999999999</v>
      </c>
      <c r="CX958" s="234" cm="1">
        <f t="array" ref="CX958">$BM958 * IF($AH958&lt;=2,
SUMPRODUCT(INDEX($AV$61:$AX$65,,$AI958), INDEX($AY$61:$BE$65,,$AH958), 1 / ($BF$61:$BF$65*CW958 + (1-$BF$61:$BF$65)*CS958), N($AU$61:$AU$65&gt;$AM958)),
SUMPRODUCT(INDEX($AV$46:$AX$55,,$AI958), INDEX($AY$46:$BE$55,,$AH958), 1 / ($BG$46:$BG$55*CW958 + (1-$BG$46:$BG$55)*CS958), N($AU$46:$AU$55&gt;$AM958))
) / 1000</f>
        <v>0</v>
      </c>
      <c r="CY958" s="234" cm="1">
        <f t="array" ref="CY958">$BM958 * IF($AH958&lt;=2,
SUMPRODUCT(INDEX($AV$22:$AX$60,,$AI958), INDEX($AY$22:$BE$60,,$AH958), 1 / ($BF$22:$BF$60*CW958), N($AU$22:$AU$60&gt;$AM958)),
SUMPRODUCT(INDEX($AV$22:$AX$45,,$AI958), INDEX($AY$22:$BE$45,,$AH958), 1 / ($BG$22:$BG$45*CW958), N($AU$22:$AU$45&gt;$AM958))
) / 1000</f>
        <v>0</v>
      </c>
      <c r="CZ958" s="229">
        <f t="shared" si="960"/>
        <v>0</v>
      </c>
      <c r="DA958" s="246"/>
    </row>
    <row r="959" spans="1:105" s="75" customFormat="1" ht="14.25" customHeight="1" x14ac:dyDescent="0.2">
      <c r="A959" s="230" t="b">
        <f t="shared" si="927"/>
        <v>0</v>
      </c>
      <c r="B959" s="253">
        <v>938</v>
      </c>
      <c r="C959" s="266"/>
      <c r="D959" s="266"/>
      <c r="E959" s="254"/>
      <c r="F959" s="255" t="str">
        <f>IF(ISBLANK(E959), "", VLOOKUP(E959, Z!$A$2:$C$4127, 3, FALSE))</f>
        <v/>
      </c>
      <c r="G959" s="256"/>
      <c r="H959" s="256"/>
      <c r="I959" s="256"/>
      <c r="J959" s="257"/>
      <c r="K959" s="258"/>
      <c r="L959" s="267"/>
      <c r="M959" s="268"/>
      <c r="N959" s="259" t="str" cm="1">
        <f t="array" ref="N959">IF($L959&gt;0, INDEX(Clean,1+AK959,$D$1), "")</f>
        <v/>
      </c>
      <c r="O959" s="260"/>
      <c r="P959" s="260"/>
      <c r="Q959" s="261"/>
      <c r="R959" s="264">
        <f t="shared" si="936"/>
        <v>0</v>
      </c>
      <c r="S959" s="259" t="str" cm="1">
        <f t="array" ref="S959">IF($L959&gt;0, INDEX(Clean,1+AL959,$D$1), "")</f>
        <v/>
      </c>
      <c r="T959" s="260"/>
      <c r="U959" s="260"/>
      <c r="V959" s="261"/>
      <c r="W959" s="267"/>
      <c r="X959" s="267"/>
      <c r="Y959" s="257"/>
      <c r="Z959" s="264">
        <f t="shared" si="937"/>
        <v>0</v>
      </c>
      <c r="AA959" s="269"/>
      <c r="AB959" s="266"/>
      <c r="AC959" s="254"/>
      <c r="AD959" s="255" t="str">
        <f>IF(ISBLANK(AC959), "", VLOOKUP(AC959, Z!$A$2:$C$4127, 3, FALSE))</f>
        <v/>
      </c>
      <c r="AE959" s="270"/>
      <c r="AF959" s="265">
        <f t="shared" si="938"/>
        <v>0</v>
      </c>
      <c r="AG959" s="246"/>
      <c r="AH959" s="228">
        <f t="shared" si="961"/>
        <v>1</v>
      </c>
      <c r="AI959" s="228">
        <f t="shared" si="962"/>
        <v>1</v>
      </c>
      <c r="AJ959" s="228">
        <f t="shared" si="963"/>
        <v>0</v>
      </c>
      <c r="AK959" s="228">
        <v>0</v>
      </c>
      <c r="AL959" s="228">
        <v>0</v>
      </c>
      <c r="AM959" s="228">
        <f t="shared" si="939"/>
        <v>-100</v>
      </c>
      <c r="AN959" s="228" cm="1">
        <f t="array" ref="AN959">IF(ISBLANK(G959), 1, IFERROR(MATCH(G959, INDEX(Kat,,1), 0), IFERROR(MATCH(Kat, INDEX(Use,,2), 0), MATCH(Kat, INDEX(Use,,3), 0))))</f>
        <v>1</v>
      </c>
      <c r="AO959" s="246"/>
      <c r="AP959" s="228" cm="1">
        <f t="array" ref="AP959">IF(W959&gt;0, INDEX(Kat, AN959,4), 0)</f>
        <v>0</v>
      </c>
      <c r="AQ959" s="228">
        <f t="shared" si="964"/>
        <v>0</v>
      </c>
      <c r="AR959" s="228" cm="1">
        <f t="array" ref="AR959">IF(X959&gt;0, INDEX(Kat, $AN959, 4+AQ959), 0)</f>
        <v>0</v>
      </c>
      <c r="AS959" s="228" cm="1">
        <f t="array" ref="AS959">IF(X959&gt;0, INDEX(Kat, $AN959, 9+AQ959), 0)</f>
        <v>0</v>
      </c>
      <c r="AT959" s="246"/>
      <c r="AU959" s="262"/>
      <c r="AV959" s="262"/>
      <c r="AW959" s="263"/>
      <c r="AX959" s="263"/>
      <c r="AY959" s="263"/>
      <c r="AZ959" s="263"/>
      <c r="BA959" s="263"/>
      <c r="BB959" s="263"/>
      <c r="BC959" s="263"/>
      <c r="BD959" s="263"/>
      <c r="BE959" s="263"/>
      <c r="BF959" s="263"/>
      <c r="BG959" s="263"/>
      <c r="BH959" s="246"/>
      <c r="BI959" s="228" cm="1">
        <f t="array" ref="BI959">INDEX(Use, $AH959, 4)</f>
        <v>7</v>
      </c>
      <c r="BJ959" s="228">
        <f t="shared" si="940"/>
        <v>32</v>
      </c>
      <c r="BK959" s="228">
        <f t="shared" si="928"/>
        <v>13</v>
      </c>
      <c r="BL959" s="228">
        <f t="shared" si="929"/>
        <v>0</v>
      </c>
      <c r="BM959" s="233" cm="1">
        <f t="array" ref="BM959">L959/IF($M959&gt;0, INDEX($AY$22:$BE$76, $M959+20, $AH959), 1)</f>
        <v>0</v>
      </c>
      <c r="BN959" s="229">
        <f t="shared" si="941"/>
        <v>0</v>
      </c>
      <c r="BO959" s="228">
        <v>35</v>
      </c>
      <c r="BP959" s="229">
        <f t="shared" si="942"/>
        <v>48</v>
      </c>
      <c r="BQ959" s="234">
        <f t="shared" si="943"/>
        <v>3.0748170731707316</v>
      </c>
      <c r="BR959" s="234" cm="1">
        <f t="array" ref="BR959">$BM959 * SUMPRODUCT(INDEX($AV$76:$AX$81,,$AI959),INDEX($AY$76:$BE$81,,$AH959), N($AU$76:$AU$81&gt;$AM959)) / BQ959 / 1000</f>
        <v>0</v>
      </c>
      <c r="BS959" s="231">
        <f t="shared" si="930"/>
        <v>30</v>
      </c>
      <c r="BT959" s="229">
        <f t="shared" si="944"/>
        <v>43</v>
      </c>
      <c r="BU959" s="234">
        <f t="shared" si="945"/>
        <v>3.5018750000000001</v>
      </c>
      <c r="BV959" s="234" cm="1">
        <f t="array" ref="BV959">$BM959 * IF($AH959&lt;=2,
SUMPRODUCT(INDEX($AV$71:$AX$75,,$AI959), INDEX($AY$71:$BE$75,,$AH959), 1 / ($BF$71:$BF$75*BU959 + (1-$BF$71:$BF$75)*BQ959), N($AU$71:$AU$75&gt;$AM959)),
SUMPRODUCT(INDEX($AV$66:$AX$75,,$AI959), INDEX($AY$66:$BE$75,,$AH959), 1 / ($BG$66:$BG$75*BU959 + (1-$BG$66:$BG$75)*BQ959), N($AU$66:$AU$75&gt;$AM959))
) / 1000</f>
        <v>0</v>
      </c>
      <c r="BW959" s="231">
        <f t="shared" si="931"/>
        <v>25</v>
      </c>
      <c r="BX959" s="229">
        <f t="shared" si="946"/>
        <v>38</v>
      </c>
      <c r="BY959" s="234">
        <f t="shared" si="947"/>
        <v>4.0666935483870965</v>
      </c>
      <c r="BZ959" s="234" cm="1">
        <f t="array" ref="BZ959">$BM959 * IF($AH959&lt;=2,
SUMPRODUCT(INDEX($AV$66:$AX$70,,$AI959), INDEX($AY$66:$BE$70,,$AH959), 1 / ($BF$66:$BF$70*BY959 + (1-$BF$66:$BF$70)*BU959), N($AU$66:$AU$70&gt;$AM959)),
SUMPRODUCT(INDEX($AV$56:$AX$65,,$AI959), INDEX($AY$56:$BE$65,,$AH959), 1 / ($BG$56:$BG$65*BY959 + (1-$BG$56:$BG$65)*BU959), N($AU$56:$AU$65&gt;$AM959))
) / 1000</f>
        <v>0</v>
      </c>
      <c r="CA959" s="231">
        <f t="shared" si="932"/>
        <v>20</v>
      </c>
      <c r="CB959" s="229">
        <f t="shared" si="948"/>
        <v>33</v>
      </c>
      <c r="CC959" s="234">
        <f t="shared" si="949"/>
        <v>4.8487499999999999</v>
      </c>
      <c r="CD959" s="234" cm="1">
        <f t="array" ref="CD959">$BM959 * IF($AH959&lt;=2,
SUMPRODUCT(INDEX($AV$61:$AX$65,,$AI959), INDEX($AY$61:$BE$65,,$AH959), 1 / ($BF$61:$BF$65*CC959 + (1-$BF$61:$BF$65)*BY959), N($AU$61:$AU$65&gt;$AM959)),
SUMPRODUCT(INDEX($AV$46:$AX$55,,$AI959), INDEX($AY$46:$BE$55,,$AH959), 1 / ($BG$46:$BG$55*CC959 + (1-$BG$46:$BG$55)*BY959), N($AU$46:$AU$55&gt;$AM959))
) / 1000</f>
        <v>0</v>
      </c>
      <c r="CE959" s="234" cm="1">
        <f t="array" ref="CE959">$BM959 * IF($AH959&lt;=2,
SUMPRODUCT(INDEX($AV$22:$AX$60,,$AI959), INDEX($AY$22:$BE$60,,$AH959), 1 / ($BF$22:$BF$60*CC959), N($AU$22:$AU$60&gt;$AM959)),
SUMPRODUCT(INDEX($AV$22:$AX$45,,$AI959), INDEX($AY$22:$BE$45,,$AH959), 1 / ($BG$22:$BG$45*CC959), N($AU$22:$AU$45&gt;$AM959))
) / 1000</f>
        <v>0</v>
      </c>
      <c r="CF959" s="229">
        <f t="shared" si="950"/>
        <v>0</v>
      </c>
      <c r="CG959" s="246"/>
      <c r="CH959" s="229">
        <f t="shared" si="951"/>
        <v>0</v>
      </c>
      <c r="CI959" s="228">
        <v>35</v>
      </c>
      <c r="CJ959" s="229">
        <f t="shared" si="952"/>
        <v>48</v>
      </c>
      <c r="CK959" s="234">
        <f t="shared" si="953"/>
        <v>3.0748170731707316</v>
      </c>
      <c r="CL959" s="234" cm="1">
        <f t="array" ref="CL959">$BM959 * SUMPRODUCT(INDEX($AV$76:$AX$81,,$AI959),INDEX($AY$76:$BE$81,,$AH959), N($AU$76:$AU$81&gt;$AM959)) / CK959 / 1000</f>
        <v>0</v>
      </c>
      <c r="CM959" s="231">
        <f t="shared" si="933"/>
        <v>30</v>
      </c>
      <c r="CN959" s="229">
        <f t="shared" si="954"/>
        <v>43</v>
      </c>
      <c r="CO959" s="234">
        <f t="shared" si="955"/>
        <v>3.5018750000000001</v>
      </c>
      <c r="CP959" s="234" cm="1">
        <f t="array" ref="CP959">$BM959 * IF($AH959&lt;=2,
SUMPRODUCT(INDEX($AV$71:$AX$75,,$AI959), INDEX($AY$71:$BE$75,,$AH959), 1 / ($BF$71:$BF$75*CO959 + (1-$BF$71:$BF$75)*CK959), N($AU$71:$AU$75&gt;$AM959)),
SUMPRODUCT(INDEX($AV$66:$AX$75,,$AI959), INDEX($AY$66:$BE$75,,$AH959), 1 / ($BG$66:$BG$75*CO959 + (1-$BG$66:$BG$75)*CK959), N($AU$66:$AU$75&gt;$AM959))
) / 1000</f>
        <v>0</v>
      </c>
      <c r="CQ959" s="231">
        <f t="shared" si="934"/>
        <v>25</v>
      </c>
      <c r="CR959" s="229">
        <f t="shared" si="956"/>
        <v>38</v>
      </c>
      <c r="CS959" s="234">
        <f t="shared" si="957"/>
        <v>4.0666935483870965</v>
      </c>
      <c r="CT959" s="234" cm="1">
        <f t="array" ref="CT959">$BM959 * IF($AH959&lt;=2,
SUMPRODUCT(INDEX($AV$66:$AX$70,,$AI959), INDEX($AY$66:$BE$70,,$AH959), 1 / ($BF$66:$BF$70*CS959 + (1-$BF$66:$BF$70)*CO959), N($AU$66:$AU$70&gt;$AM959)),
SUMPRODUCT(INDEX($AV$56:$AX$65,,$AI959), INDEX($AY$56:$BE$65,,$AH959), 1 / ($BG$56:$BG$65*CS959 + (1-$BG$56:$BG$65)*CO959), N($AU$56:$AU$65&gt;$AM959))
) / 1000</f>
        <v>0</v>
      </c>
      <c r="CU959" s="231">
        <f t="shared" si="935"/>
        <v>20</v>
      </c>
      <c r="CV959" s="229">
        <f t="shared" si="958"/>
        <v>33</v>
      </c>
      <c r="CW959" s="234">
        <f t="shared" si="959"/>
        <v>4.8487499999999999</v>
      </c>
      <c r="CX959" s="234" cm="1">
        <f t="array" ref="CX959">$BM959 * IF($AH959&lt;=2,
SUMPRODUCT(INDEX($AV$61:$AX$65,,$AI959), INDEX($AY$61:$BE$65,,$AH959), 1 / ($BF$61:$BF$65*CW959 + (1-$BF$61:$BF$65)*CS959), N($AU$61:$AU$65&gt;$AM959)),
SUMPRODUCT(INDEX($AV$46:$AX$55,,$AI959), INDEX($AY$46:$BE$55,,$AH959), 1 / ($BG$46:$BG$55*CW959 + (1-$BG$46:$BG$55)*CS959), N($AU$46:$AU$55&gt;$AM959))
) / 1000</f>
        <v>0</v>
      </c>
      <c r="CY959" s="234" cm="1">
        <f t="array" ref="CY959">$BM959 * IF($AH959&lt;=2,
SUMPRODUCT(INDEX($AV$22:$AX$60,,$AI959), INDEX($AY$22:$BE$60,,$AH959), 1 / ($BF$22:$BF$60*CW959), N($AU$22:$AU$60&gt;$AM959)),
SUMPRODUCT(INDEX($AV$22:$AX$45,,$AI959), INDEX($AY$22:$BE$45,,$AH959), 1 / ($BG$22:$BG$45*CW959), N($AU$22:$AU$45&gt;$AM959))
) / 1000</f>
        <v>0</v>
      </c>
      <c r="CZ959" s="229">
        <f t="shared" si="960"/>
        <v>0</v>
      </c>
      <c r="DA959" s="246"/>
    </row>
    <row r="960" spans="1:105" s="75" customFormat="1" ht="14.25" customHeight="1" x14ac:dyDescent="0.2">
      <c r="A960" s="230" t="b">
        <f t="shared" si="927"/>
        <v>0</v>
      </c>
      <c r="B960" s="253">
        <v>939</v>
      </c>
      <c r="C960" s="266"/>
      <c r="D960" s="266"/>
      <c r="E960" s="254"/>
      <c r="F960" s="255" t="str">
        <f>IF(ISBLANK(E960), "", VLOOKUP(E960, Z!$A$2:$C$4127, 3, FALSE))</f>
        <v/>
      </c>
      <c r="G960" s="256"/>
      <c r="H960" s="256"/>
      <c r="I960" s="256"/>
      <c r="J960" s="257"/>
      <c r="K960" s="258"/>
      <c r="L960" s="267"/>
      <c r="M960" s="268"/>
      <c r="N960" s="259" t="str" cm="1">
        <f t="array" ref="N960">IF($L960&gt;0, INDEX(Clean,1+AK960,$D$1), "")</f>
        <v/>
      </c>
      <c r="O960" s="260"/>
      <c r="P960" s="260"/>
      <c r="Q960" s="261"/>
      <c r="R960" s="264">
        <f t="shared" si="936"/>
        <v>0</v>
      </c>
      <c r="S960" s="259" t="str" cm="1">
        <f t="array" ref="S960">IF($L960&gt;0, INDEX(Clean,1+AL960,$D$1), "")</f>
        <v/>
      </c>
      <c r="T960" s="260"/>
      <c r="U960" s="260"/>
      <c r="V960" s="261"/>
      <c r="W960" s="267"/>
      <c r="X960" s="267"/>
      <c r="Y960" s="257"/>
      <c r="Z960" s="264">
        <f t="shared" si="937"/>
        <v>0</v>
      </c>
      <c r="AA960" s="269"/>
      <c r="AB960" s="266"/>
      <c r="AC960" s="254"/>
      <c r="AD960" s="255" t="str">
        <f>IF(ISBLANK(AC960), "", VLOOKUP(AC960, Z!$A$2:$C$4127, 3, FALSE))</f>
        <v/>
      </c>
      <c r="AE960" s="270"/>
      <c r="AF960" s="265">
        <f t="shared" si="938"/>
        <v>0</v>
      </c>
      <c r="AG960" s="246"/>
      <c r="AH960" s="228">
        <f t="shared" si="961"/>
        <v>1</v>
      </c>
      <c r="AI960" s="228">
        <f t="shared" si="962"/>
        <v>1</v>
      </c>
      <c r="AJ960" s="228">
        <f t="shared" si="963"/>
        <v>0</v>
      </c>
      <c r="AK960" s="228">
        <v>0</v>
      </c>
      <c r="AL960" s="228">
        <v>0</v>
      </c>
      <c r="AM960" s="228">
        <f t="shared" si="939"/>
        <v>-100</v>
      </c>
      <c r="AN960" s="228" cm="1">
        <f t="array" ref="AN960">IF(ISBLANK(G960), 1, IFERROR(MATCH(G960, INDEX(Kat,,1), 0), IFERROR(MATCH(Kat, INDEX(Use,,2), 0), MATCH(Kat, INDEX(Use,,3), 0))))</f>
        <v>1</v>
      </c>
      <c r="AO960" s="246"/>
      <c r="AP960" s="228" cm="1">
        <f t="array" ref="AP960">IF(W960&gt;0, INDEX(Kat, AN960,4), 0)</f>
        <v>0</v>
      </c>
      <c r="AQ960" s="228">
        <f t="shared" si="964"/>
        <v>0</v>
      </c>
      <c r="AR960" s="228" cm="1">
        <f t="array" ref="AR960">IF(X960&gt;0, INDEX(Kat, $AN960, 4+AQ960), 0)</f>
        <v>0</v>
      </c>
      <c r="AS960" s="228" cm="1">
        <f t="array" ref="AS960">IF(X960&gt;0, INDEX(Kat, $AN960, 9+AQ960), 0)</f>
        <v>0</v>
      </c>
      <c r="AT960" s="246"/>
      <c r="AU960" s="262"/>
      <c r="AV960" s="262"/>
      <c r="AW960" s="263"/>
      <c r="AX960" s="263"/>
      <c r="AY960" s="263"/>
      <c r="AZ960" s="263"/>
      <c r="BA960" s="263"/>
      <c r="BB960" s="263"/>
      <c r="BC960" s="263"/>
      <c r="BD960" s="263"/>
      <c r="BE960" s="263"/>
      <c r="BF960" s="263"/>
      <c r="BG960" s="263"/>
      <c r="BH960" s="246"/>
      <c r="BI960" s="228" cm="1">
        <f t="array" ref="BI960">INDEX(Use, $AH960, 4)</f>
        <v>7</v>
      </c>
      <c r="BJ960" s="228">
        <f t="shared" si="940"/>
        <v>32</v>
      </c>
      <c r="BK960" s="228">
        <f t="shared" si="928"/>
        <v>13</v>
      </c>
      <c r="BL960" s="228">
        <f t="shared" si="929"/>
        <v>0</v>
      </c>
      <c r="BM960" s="233" cm="1">
        <f t="array" ref="BM960">L960/IF($M960&gt;0, INDEX($AY$22:$BE$76, $M960+20, $AH960), 1)</f>
        <v>0</v>
      </c>
      <c r="BN960" s="229">
        <f t="shared" si="941"/>
        <v>0</v>
      </c>
      <c r="BO960" s="228">
        <v>35</v>
      </c>
      <c r="BP960" s="229">
        <f t="shared" si="942"/>
        <v>48</v>
      </c>
      <c r="BQ960" s="234">
        <f t="shared" si="943"/>
        <v>3.0748170731707316</v>
      </c>
      <c r="BR960" s="234" cm="1">
        <f t="array" ref="BR960">$BM960 * SUMPRODUCT(INDEX($AV$76:$AX$81,,$AI960),INDEX($AY$76:$BE$81,,$AH960), N($AU$76:$AU$81&gt;$AM960)) / BQ960 / 1000</f>
        <v>0</v>
      </c>
      <c r="BS960" s="231">
        <f t="shared" si="930"/>
        <v>30</v>
      </c>
      <c r="BT960" s="229">
        <f t="shared" si="944"/>
        <v>43</v>
      </c>
      <c r="BU960" s="234">
        <f t="shared" si="945"/>
        <v>3.5018750000000001</v>
      </c>
      <c r="BV960" s="234" cm="1">
        <f t="array" ref="BV960">$BM960 * IF($AH960&lt;=2,
SUMPRODUCT(INDEX($AV$71:$AX$75,,$AI960), INDEX($AY$71:$BE$75,,$AH960), 1 / ($BF$71:$BF$75*BU960 + (1-$BF$71:$BF$75)*BQ960), N($AU$71:$AU$75&gt;$AM960)),
SUMPRODUCT(INDEX($AV$66:$AX$75,,$AI960), INDEX($AY$66:$BE$75,,$AH960), 1 / ($BG$66:$BG$75*BU960 + (1-$BG$66:$BG$75)*BQ960), N($AU$66:$AU$75&gt;$AM960))
) / 1000</f>
        <v>0</v>
      </c>
      <c r="BW960" s="231">
        <f t="shared" si="931"/>
        <v>25</v>
      </c>
      <c r="BX960" s="229">
        <f t="shared" si="946"/>
        <v>38</v>
      </c>
      <c r="BY960" s="234">
        <f t="shared" si="947"/>
        <v>4.0666935483870965</v>
      </c>
      <c r="BZ960" s="234" cm="1">
        <f t="array" ref="BZ960">$BM960 * IF($AH960&lt;=2,
SUMPRODUCT(INDEX($AV$66:$AX$70,,$AI960), INDEX($AY$66:$BE$70,,$AH960), 1 / ($BF$66:$BF$70*BY960 + (1-$BF$66:$BF$70)*BU960), N($AU$66:$AU$70&gt;$AM960)),
SUMPRODUCT(INDEX($AV$56:$AX$65,,$AI960), INDEX($AY$56:$BE$65,,$AH960), 1 / ($BG$56:$BG$65*BY960 + (1-$BG$56:$BG$65)*BU960), N($AU$56:$AU$65&gt;$AM960))
) / 1000</f>
        <v>0</v>
      </c>
      <c r="CA960" s="231">
        <f t="shared" si="932"/>
        <v>20</v>
      </c>
      <c r="CB960" s="229">
        <f t="shared" si="948"/>
        <v>33</v>
      </c>
      <c r="CC960" s="234">
        <f t="shared" si="949"/>
        <v>4.8487499999999999</v>
      </c>
      <c r="CD960" s="234" cm="1">
        <f t="array" ref="CD960">$BM960 * IF($AH960&lt;=2,
SUMPRODUCT(INDEX($AV$61:$AX$65,,$AI960), INDEX($AY$61:$BE$65,,$AH960), 1 / ($BF$61:$BF$65*CC960 + (1-$BF$61:$BF$65)*BY960), N($AU$61:$AU$65&gt;$AM960)),
SUMPRODUCT(INDEX($AV$46:$AX$55,,$AI960), INDEX($AY$46:$BE$55,,$AH960), 1 / ($BG$46:$BG$55*CC960 + (1-$BG$46:$BG$55)*BY960), N($AU$46:$AU$55&gt;$AM960))
) / 1000</f>
        <v>0</v>
      </c>
      <c r="CE960" s="234" cm="1">
        <f t="array" ref="CE960">$BM960 * IF($AH960&lt;=2,
SUMPRODUCT(INDEX($AV$22:$AX$60,,$AI960), INDEX($AY$22:$BE$60,,$AH960), 1 / ($BF$22:$BF$60*CC960), N($AU$22:$AU$60&gt;$AM960)),
SUMPRODUCT(INDEX($AV$22:$AX$45,,$AI960), INDEX($AY$22:$BE$45,,$AH960), 1 / ($BG$22:$BG$45*CC960), N($AU$22:$AU$45&gt;$AM960))
) / 1000</f>
        <v>0</v>
      </c>
      <c r="CF960" s="229">
        <f t="shared" si="950"/>
        <v>0</v>
      </c>
      <c r="CG960" s="246"/>
      <c r="CH960" s="229">
        <f t="shared" si="951"/>
        <v>0</v>
      </c>
      <c r="CI960" s="228">
        <v>35</v>
      </c>
      <c r="CJ960" s="229">
        <f t="shared" si="952"/>
        <v>48</v>
      </c>
      <c r="CK960" s="234">
        <f t="shared" si="953"/>
        <v>3.0748170731707316</v>
      </c>
      <c r="CL960" s="234" cm="1">
        <f t="array" ref="CL960">$BM960 * SUMPRODUCT(INDEX($AV$76:$AX$81,,$AI960),INDEX($AY$76:$BE$81,,$AH960), N($AU$76:$AU$81&gt;$AM960)) / CK960 / 1000</f>
        <v>0</v>
      </c>
      <c r="CM960" s="231">
        <f t="shared" si="933"/>
        <v>30</v>
      </c>
      <c r="CN960" s="229">
        <f t="shared" si="954"/>
        <v>43</v>
      </c>
      <c r="CO960" s="234">
        <f t="shared" si="955"/>
        <v>3.5018750000000001</v>
      </c>
      <c r="CP960" s="234" cm="1">
        <f t="array" ref="CP960">$BM960 * IF($AH960&lt;=2,
SUMPRODUCT(INDEX($AV$71:$AX$75,,$AI960), INDEX($AY$71:$BE$75,,$AH960), 1 / ($BF$71:$BF$75*CO960 + (1-$BF$71:$BF$75)*CK960), N($AU$71:$AU$75&gt;$AM960)),
SUMPRODUCT(INDEX($AV$66:$AX$75,,$AI960), INDEX($AY$66:$BE$75,,$AH960), 1 / ($BG$66:$BG$75*CO960 + (1-$BG$66:$BG$75)*CK960), N($AU$66:$AU$75&gt;$AM960))
) / 1000</f>
        <v>0</v>
      </c>
      <c r="CQ960" s="231">
        <f t="shared" si="934"/>
        <v>25</v>
      </c>
      <c r="CR960" s="229">
        <f t="shared" si="956"/>
        <v>38</v>
      </c>
      <c r="CS960" s="234">
        <f t="shared" si="957"/>
        <v>4.0666935483870965</v>
      </c>
      <c r="CT960" s="234" cm="1">
        <f t="array" ref="CT960">$BM960 * IF($AH960&lt;=2,
SUMPRODUCT(INDEX($AV$66:$AX$70,,$AI960), INDEX($AY$66:$BE$70,,$AH960), 1 / ($BF$66:$BF$70*CS960 + (1-$BF$66:$BF$70)*CO960), N($AU$66:$AU$70&gt;$AM960)),
SUMPRODUCT(INDEX($AV$56:$AX$65,,$AI960), INDEX($AY$56:$BE$65,,$AH960), 1 / ($BG$56:$BG$65*CS960 + (1-$BG$56:$BG$65)*CO960), N($AU$56:$AU$65&gt;$AM960))
) / 1000</f>
        <v>0</v>
      </c>
      <c r="CU960" s="231">
        <f t="shared" si="935"/>
        <v>20</v>
      </c>
      <c r="CV960" s="229">
        <f t="shared" si="958"/>
        <v>33</v>
      </c>
      <c r="CW960" s="234">
        <f t="shared" si="959"/>
        <v>4.8487499999999999</v>
      </c>
      <c r="CX960" s="234" cm="1">
        <f t="array" ref="CX960">$BM960 * IF($AH960&lt;=2,
SUMPRODUCT(INDEX($AV$61:$AX$65,,$AI960), INDEX($AY$61:$BE$65,,$AH960), 1 / ($BF$61:$BF$65*CW960 + (1-$BF$61:$BF$65)*CS960), N($AU$61:$AU$65&gt;$AM960)),
SUMPRODUCT(INDEX($AV$46:$AX$55,,$AI960), INDEX($AY$46:$BE$55,,$AH960), 1 / ($BG$46:$BG$55*CW960 + (1-$BG$46:$BG$55)*CS960), N($AU$46:$AU$55&gt;$AM960))
) / 1000</f>
        <v>0</v>
      </c>
      <c r="CY960" s="234" cm="1">
        <f t="array" ref="CY960">$BM960 * IF($AH960&lt;=2,
SUMPRODUCT(INDEX($AV$22:$AX$60,,$AI960), INDEX($AY$22:$BE$60,,$AH960), 1 / ($BF$22:$BF$60*CW960), N($AU$22:$AU$60&gt;$AM960)),
SUMPRODUCT(INDEX($AV$22:$AX$45,,$AI960), INDEX($AY$22:$BE$45,,$AH960), 1 / ($BG$22:$BG$45*CW960), N($AU$22:$AU$45&gt;$AM960))
) / 1000</f>
        <v>0</v>
      </c>
      <c r="CZ960" s="229">
        <f t="shared" si="960"/>
        <v>0</v>
      </c>
      <c r="DA960" s="246"/>
    </row>
    <row r="961" spans="1:105" s="75" customFormat="1" ht="14.25" customHeight="1" x14ac:dyDescent="0.2">
      <c r="A961" s="230" t="b">
        <f t="shared" si="927"/>
        <v>0</v>
      </c>
      <c r="B961" s="253">
        <v>940</v>
      </c>
      <c r="C961" s="266"/>
      <c r="D961" s="266"/>
      <c r="E961" s="254"/>
      <c r="F961" s="255" t="str">
        <f>IF(ISBLANK(E961), "", VLOOKUP(E961, Z!$A$2:$C$4127, 3, FALSE))</f>
        <v/>
      </c>
      <c r="G961" s="256"/>
      <c r="H961" s="256"/>
      <c r="I961" s="256"/>
      <c r="J961" s="257"/>
      <c r="K961" s="258"/>
      <c r="L961" s="267"/>
      <c r="M961" s="268"/>
      <c r="N961" s="259" t="str" cm="1">
        <f t="array" ref="N961">IF($L961&gt;0, INDEX(Clean,1+AK961,$D$1), "")</f>
        <v/>
      </c>
      <c r="O961" s="260"/>
      <c r="P961" s="260"/>
      <c r="Q961" s="261"/>
      <c r="R961" s="264">
        <f t="shared" si="936"/>
        <v>0</v>
      </c>
      <c r="S961" s="259" t="str" cm="1">
        <f t="array" ref="S961">IF($L961&gt;0, INDEX(Clean,1+AL961,$D$1), "")</f>
        <v/>
      </c>
      <c r="T961" s="260"/>
      <c r="U961" s="260"/>
      <c r="V961" s="261"/>
      <c r="W961" s="267"/>
      <c r="X961" s="267"/>
      <c r="Y961" s="257"/>
      <c r="Z961" s="264">
        <f t="shared" si="937"/>
        <v>0</v>
      </c>
      <c r="AA961" s="269"/>
      <c r="AB961" s="266"/>
      <c r="AC961" s="254"/>
      <c r="AD961" s="255" t="str">
        <f>IF(ISBLANK(AC961), "", VLOOKUP(AC961, Z!$A$2:$C$4127, 3, FALSE))</f>
        <v/>
      </c>
      <c r="AE961" s="270"/>
      <c r="AF961" s="265">
        <f t="shared" si="938"/>
        <v>0</v>
      </c>
      <c r="AG961" s="246"/>
      <c r="AH961" s="228">
        <f t="shared" si="961"/>
        <v>1</v>
      </c>
      <c r="AI961" s="228">
        <f t="shared" si="962"/>
        <v>1</v>
      </c>
      <c r="AJ961" s="228">
        <f t="shared" si="963"/>
        <v>0</v>
      </c>
      <c r="AK961" s="228">
        <v>0</v>
      </c>
      <c r="AL961" s="228">
        <v>0</v>
      </c>
      <c r="AM961" s="228">
        <f t="shared" si="939"/>
        <v>-100</v>
      </c>
      <c r="AN961" s="228" cm="1">
        <f t="array" ref="AN961">IF(ISBLANK(G961), 1, IFERROR(MATCH(G961, INDEX(Kat,,1), 0), IFERROR(MATCH(Kat, INDEX(Use,,2), 0), MATCH(Kat, INDEX(Use,,3), 0))))</f>
        <v>1</v>
      </c>
      <c r="AO961" s="246"/>
      <c r="AP961" s="228" cm="1">
        <f t="array" ref="AP961">IF(W961&gt;0, INDEX(Kat, AN961,4), 0)</f>
        <v>0</v>
      </c>
      <c r="AQ961" s="228">
        <f t="shared" si="964"/>
        <v>0</v>
      </c>
      <c r="AR961" s="228" cm="1">
        <f t="array" ref="AR961">IF(X961&gt;0, INDEX(Kat, $AN961, 4+AQ961), 0)</f>
        <v>0</v>
      </c>
      <c r="AS961" s="228" cm="1">
        <f t="array" ref="AS961">IF(X961&gt;0, INDEX(Kat, $AN961, 9+AQ961), 0)</f>
        <v>0</v>
      </c>
      <c r="AT961" s="246"/>
      <c r="AU961" s="262"/>
      <c r="AV961" s="262"/>
      <c r="AW961" s="263"/>
      <c r="AX961" s="263"/>
      <c r="AY961" s="263"/>
      <c r="AZ961" s="263"/>
      <c r="BA961" s="263"/>
      <c r="BB961" s="263"/>
      <c r="BC961" s="263"/>
      <c r="BD961" s="263"/>
      <c r="BE961" s="263"/>
      <c r="BF961" s="263"/>
      <c r="BG961" s="263"/>
      <c r="BH961" s="246"/>
      <c r="BI961" s="228" cm="1">
        <f t="array" ref="BI961">INDEX(Use, $AH961, 4)</f>
        <v>7</v>
      </c>
      <c r="BJ961" s="228">
        <f t="shared" si="940"/>
        <v>32</v>
      </c>
      <c r="BK961" s="228">
        <f t="shared" si="928"/>
        <v>13</v>
      </c>
      <c r="BL961" s="228">
        <f t="shared" si="929"/>
        <v>0</v>
      </c>
      <c r="BM961" s="233" cm="1">
        <f t="array" ref="BM961">L961/IF($M961&gt;0, INDEX($AY$22:$BE$76, $M961+20, $AH961), 1)</f>
        <v>0</v>
      </c>
      <c r="BN961" s="229">
        <f t="shared" si="941"/>
        <v>0</v>
      </c>
      <c r="BO961" s="228">
        <v>35</v>
      </c>
      <c r="BP961" s="229">
        <f t="shared" si="942"/>
        <v>48</v>
      </c>
      <c r="BQ961" s="234">
        <f t="shared" si="943"/>
        <v>3.0748170731707316</v>
      </c>
      <c r="BR961" s="234" cm="1">
        <f t="array" ref="BR961">$BM961 * SUMPRODUCT(INDEX($AV$76:$AX$81,,$AI961),INDEX($AY$76:$BE$81,,$AH961), N($AU$76:$AU$81&gt;$AM961)) / BQ961 / 1000</f>
        <v>0</v>
      </c>
      <c r="BS961" s="231">
        <f t="shared" si="930"/>
        <v>30</v>
      </c>
      <c r="BT961" s="229">
        <f t="shared" si="944"/>
        <v>43</v>
      </c>
      <c r="BU961" s="234">
        <f t="shared" si="945"/>
        <v>3.5018750000000001</v>
      </c>
      <c r="BV961" s="234" cm="1">
        <f t="array" ref="BV961">$BM961 * IF($AH961&lt;=2,
SUMPRODUCT(INDEX($AV$71:$AX$75,,$AI961), INDEX($AY$71:$BE$75,,$AH961), 1 / ($BF$71:$BF$75*BU961 + (1-$BF$71:$BF$75)*BQ961), N($AU$71:$AU$75&gt;$AM961)),
SUMPRODUCT(INDEX($AV$66:$AX$75,,$AI961), INDEX($AY$66:$BE$75,,$AH961), 1 / ($BG$66:$BG$75*BU961 + (1-$BG$66:$BG$75)*BQ961), N($AU$66:$AU$75&gt;$AM961))
) / 1000</f>
        <v>0</v>
      </c>
      <c r="BW961" s="231">
        <f t="shared" si="931"/>
        <v>25</v>
      </c>
      <c r="BX961" s="229">
        <f t="shared" si="946"/>
        <v>38</v>
      </c>
      <c r="BY961" s="234">
        <f t="shared" si="947"/>
        <v>4.0666935483870965</v>
      </c>
      <c r="BZ961" s="234" cm="1">
        <f t="array" ref="BZ961">$BM961 * IF($AH961&lt;=2,
SUMPRODUCT(INDEX($AV$66:$AX$70,,$AI961), INDEX($AY$66:$BE$70,,$AH961), 1 / ($BF$66:$BF$70*BY961 + (1-$BF$66:$BF$70)*BU961), N($AU$66:$AU$70&gt;$AM961)),
SUMPRODUCT(INDEX($AV$56:$AX$65,,$AI961), INDEX($AY$56:$BE$65,,$AH961), 1 / ($BG$56:$BG$65*BY961 + (1-$BG$56:$BG$65)*BU961), N($AU$56:$AU$65&gt;$AM961))
) / 1000</f>
        <v>0</v>
      </c>
      <c r="CA961" s="231">
        <f t="shared" si="932"/>
        <v>20</v>
      </c>
      <c r="CB961" s="229">
        <f t="shared" si="948"/>
        <v>33</v>
      </c>
      <c r="CC961" s="234">
        <f t="shared" si="949"/>
        <v>4.8487499999999999</v>
      </c>
      <c r="CD961" s="234" cm="1">
        <f t="array" ref="CD961">$BM961 * IF($AH961&lt;=2,
SUMPRODUCT(INDEX($AV$61:$AX$65,,$AI961), INDEX($AY$61:$BE$65,,$AH961), 1 / ($BF$61:$BF$65*CC961 + (1-$BF$61:$BF$65)*BY961), N($AU$61:$AU$65&gt;$AM961)),
SUMPRODUCT(INDEX($AV$46:$AX$55,,$AI961), INDEX($AY$46:$BE$55,,$AH961), 1 / ($BG$46:$BG$55*CC961 + (1-$BG$46:$BG$55)*BY961), N($AU$46:$AU$55&gt;$AM961))
) / 1000</f>
        <v>0</v>
      </c>
      <c r="CE961" s="234" cm="1">
        <f t="array" ref="CE961">$BM961 * IF($AH961&lt;=2,
SUMPRODUCT(INDEX($AV$22:$AX$60,,$AI961), INDEX($AY$22:$BE$60,,$AH961), 1 / ($BF$22:$BF$60*CC961), N($AU$22:$AU$60&gt;$AM961)),
SUMPRODUCT(INDEX($AV$22:$AX$45,,$AI961), INDEX($AY$22:$BE$45,,$AH961), 1 / ($BG$22:$BG$45*CC961), N($AU$22:$AU$45&gt;$AM961))
) / 1000</f>
        <v>0</v>
      </c>
      <c r="CF961" s="229">
        <f t="shared" si="950"/>
        <v>0</v>
      </c>
      <c r="CG961" s="246"/>
      <c r="CH961" s="229">
        <f t="shared" si="951"/>
        <v>0</v>
      </c>
      <c r="CI961" s="228">
        <v>35</v>
      </c>
      <c r="CJ961" s="229">
        <f t="shared" si="952"/>
        <v>48</v>
      </c>
      <c r="CK961" s="234">
        <f t="shared" si="953"/>
        <v>3.0748170731707316</v>
      </c>
      <c r="CL961" s="234" cm="1">
        <f t="array" ref="CL961">$BM961 * SUMPRODUCT(INDEX($AV$76:$AX$81,,$AI961),INDEX($AY$76:$BE$81,,$AH961), N($AU$76:$AU$81&gt;$AM961)) / CK961 / 1000</f>
        <v>0</v>
      </c>
      <c r="CM961" s="231">
        <f t="shared" si="933"/>
        <v>30</v>
      </c>
      <c r="CN961" s="229">
        <f t="shared" si="954"/>
        <v>43</v>
      </c>
      <c r="CO961" s="234">
        <f t="shared" si="955"/>
        <v>3.5018750000000001</v>
      </c>
      <c r="CP961" s="234" cm="1">
        <f t="array" ref="CP961">$BM961 * IF($AH961&lt;=2,
SUMPRODUCT(INDEX($AV$71:$AX$75,,$AI961), INDEX($AY$71:$BE$75,,$AH961), 1 / ($BF$71:$BF$75*CO961 + (1-$BF$71:$BF$75)*CK961), N($AU$71:$AU$75&gt;$AM961)),
SUMPRODUCT(INDEX($AV$66:$AX$75,,$AI961), INDEX($AY$66:$BE$75,,$AH961), 1 / ($BG$66:$BG$75*CO961 + (1-$BG$66:$BG$75)*CK961), N($AU$66:$AU$75&gt;$AM961))
) / 1000</f>
        <v>0</v>
      </c>
      <c r="CQ961" s="231">
        <f t="shared" si="934"/>
        <v>25</v>
      </c>
      <c r="CR961" s="229">
        <f t="shared" si="956"/>
        <v>38</v>
      </c>
      <c r="CS961" s="234">
        <f t="shared" si="957"/>
        <v>4.0666935483870965</v>
      </c>
      <c r="CT961" s="234" cm="1">
        <f t="array" ref="CT961">$BM961 * IF($AH961&lt;=2,
SUMPRODUCT(INDEX($AV$66:$AX$70,,$AI961), INDEX($AY$66:$BE$70,,$AH961), 1 / ($BF$66:$BF$70*CS961 + (1-$BF$66:$BF$70)*CO961), N($AU$66:$AU$70&gt;$AM961)),
SUMPRODUCT(INDEX($AV$56:$AX$65,,$AI961), INDEX($AY$56:$BE$65,,$AH961), 1 / ($BG$56:$BG$65*CS961 + (1-$BG$56:$BG$65)*CO961), N($AU$56:$AU$65&gt;$AM961))
) / 1000</f>
        <v>0</v>
      </c>
      <c r="CU961" s="231">
        <f t="shared" si="935"/>
        <v>20</v>
      </c>
      <c r="CV961" s="229">
        <f t="shared" si="958"/>
        <v>33</v>
      </c>
      <c r="CW961" s="234">
        <f t="shared" si="959"/>
        <v>4.8487499999999999</v>
      </c>
      <c r="CX961" s="234" cm="1">
        <f t="array" ref="CX961">$BM961 * IF($AH961&lt;=2,
SUMPRODUCT(INDEX($AV$61:$AX$65,,$AI961), INDEX($AY$61:$BE$65,,$AH961), 1 / ($BF$61:$BF$65*CW961 + (1-$BF$61:$BF$65)*CS961), N($AU$61:$AU$65&gt;$AM961)),
SUMPRODUCT(INDEX($AV$46:$AX$55,,$AI961), INDEX($AY$46:$BE$55,,$AH961), 1 / ($BG$46:$BG$55*CW961 + (1-$BG$46:$BG$55)*CS961), N($AU$46:$AU$55&gt;$AM961))
) / 1000</f>
        <v>0</v>
      </c>
      <c r="CY961" s="234" cm="1">
        <f t="array" ref="CY961">$BM961 * IF($AH961&lt;=2,
SUMPRODUCT(INDEX($AV$22:$AX$60,,$AI961), INDEX($AY$22:$BE$60,,$AH961), 1 / ($BF$22:$BF$60*CW961), N($AU$22:$AU$60&gt;$AM961)),
SUMPRODUCT(INDEX($AV$22:$AX$45,,$AI961), INDEX($AY$22:$BE$45,,$AH961), 1 / ($BG$22:$BG$45*CW961), N($AU$22:$AU$45&gt;$AM961))
) / 1000</f>
        <v>0</v>
      </c>
      <c r="CZ961" s="229">
        <f t="shared" si="960"/>
        <v>0</v>
      </c>
      <c r="DA961" s="246"/>
    </row>
    <row r="962" spans="1:105" s="75" customFormat="1" ht="14.25" customHeight="1" x14ac:dyDescent="0.2">
      <c r="A962" s="230" t="b">
        <f t="shared" si="927"/>
        <v>0</v>
      </c>
      <c r="B962" s="253">
        <v>941</v>
      </c>
      <c r="C962" s="266"/>
      <c r="D962" s="266"/>
      <c r="E962" s="254"/>
      <c r="F962" s="255" t="str">
        <f>IF(ISBLANK(E962), "", VLOOKUP(E962, Z!$A$2:$C$4127, 3, FALSE))</f>
        <v/>
      </c>
      <c r="G962" s="256"/>
      <c r="H962" s="256"/>
      <c r="I962" s="256"/>
      <c r="J962" s="257"/>
      <c r="K962" s="258"/>
      <c r="L962" s="267"/>
      <c r="M962" s="268"/>
      <c r="N962" s="259" t="str" cm="1">
        <f t="array" ref="N962">IF($L962&gt;0, INDEX(Clean,1+AK962,$D$1), "")</f>
        <v/>
      </c>
      <c r="O962" s="260"/>
      <c r="P962" s="260"/>
      <c r="Q962" s="261"/>
      <c r="R962" s="264">
        <f t="shared" si="936"/>
        <v>0</v>
      </c>
      <c r="S962" s="259" t="str" cm="1">
        <f t="array" ref="S962">IF($L962&gt;0, INDEX(Clean,1+AL962,$D$1), "")</f>
        <v/>
      </c>
      <c r="T962" s="260"/>
      <c r="U962" s="260"/>
      <c r="V962" s="261"/>
      <c r="W962" s="267"/>
      <c r="X962" s="267"/>
      <c r="Y962" s="257"/>
      <c r="Z962" s="264">
        <f t="shared" si="937"/>
        <v>0</v>
      </c>
      <c r="AA962" s="269"/>
      <c r="AB962" s="266"/>
      <c r="AC962" s="254"/>
      <c r="AD962" s="255" t="str">
        <f>IF(ISBLANK(AC962), "", VLOOKUP(AC962, Z!$A$2:$C$4127, 3, FALSE))</f>
        <v/>
      </c>
      <c r="AE962" s="270"/>
      <c r="AF962" s="265">
        <f t="shared" si="938"/>
        <v>0</v>
      </c>
      <c r="AG962" s="246"/>
      <c r="AH962" s="228">
        <f t="shared" si="961"/>
        <v>1</v>
      </c>
      <c r="AI962" s="228">
        <f t="shared" si="962"/>
        <v>1</v>
      </c>
      <c r="AJ962" s="228">
        <f t="shared" si="963"/>
        <v>0</v>
      </c>
      <c r="AK962" s="228">
        <v>0</v>
      </c>
      <c r="AL962" s="228">
        <v>0</v>
      </c>
      <c r="AM962" s="228">
        <f t="shared" si="939"/>
        <v>-100</v>
      </c>
      <c r="AN962" s="228" cm="1">
        <f t="array" ref="AN962">IF(ISBLANK(G962), 1, IFERROR(MATCH(G962, INDEX(Kat,,1), 0), IFERROR(MATCH(Kat, INDEX(Use,,2), 0), MATCH(Kat, INDEX(Use,,3), 0))))</f>
        <v>1</v>
      </c>
      <c r="AO962" s="246"/>
      <c r="AP962" s="228" cm="1">
        <f t="array" ref="AP962">IF(W962&gt;0, INDEX(Kat, AN962,4), 0)</f>
        <v>0</v>
      </c>
      <c r="AQ962" s="228">
        <f t="shared" si="964"/>
        <v>0</v>
      </c>
      <c r="AR962" s="228" cm="1">
        <f t="array" ref="AR962">IF(X962&gt;0, INDEX(Kat, $AN962, 4+AQ962), 0)</f>
        <v>0</v>
      </c>
      <c r="AS962" s="228" cm="1">
        <f t="array" ref="AS962">IF(X962&gt;0, INDEX(Kat, $AN962, 9+AQ962), 0)</f>
        <v>0</v>
      </c>
      <c r="AT962" s="246"/>
      <c r="AU962" s="262"/>
      <c r="AV962" s="262"/>
      <c r="AW962" s="263"/>
      <c r="AX962" s="263"/>
      <c r="AY962" s="263"/>
      <c r="AZ962" s="263"/>
      <c r="BA962" s="263"/>
      <c r="BB962" s="263"/>
      <c r="BC962" s="263"/>
      <c r="BD962" s="263"/>
      <c r="BE962" s="263"/>
      <c r="BF962" s="263"/>
      <c r="BG962" s="263"/>
      <c r="BH962" s="246"/>
      <c r="BI962" s="228" cm="1">
        <f t="array" ref="BI962">INDEX(Use, $AH962, 4)</f>
        <v>7</v>
      </c>
      <c r="BJ962" s="228">
        <f t="shared" si="940"/>
        <v>32</v>
      </c>
      <c r="BK962" s="228">
        <f t="shared" si="928"/>
        <v>13</v>
      </c>
      <c r="BL962" s="228">
        <f t="shared" si="929"/>
        <v>0</v>
      </c>
      <c r="BM962" s="233" cm="1">
        <f t="array" ref="BM962">L962/IF($M962&gt;0, INDEX($AY$22:$BE$76, $M962+20, $AH962), 1)</f>
        <v>0</v>
      </c>
      <c r="BN962" s="229">
        <f t="shared" si="941"/>
        <v>0</v>
      </c>
      <c r="BO962" s="228">
        <v>35</v>
      </c>
      <c r="BP962" s="229">
        <f t="shared" si="942"/>
        <v>48</v>
      </c>
      <c r="BQ962" s="234">
        <f t="shared" si="943"/>
        <v>3.0748170731707316</v>
      </c>
      <c r="BR962" s="234" cm="1">
        <f t="array" ref="BR962">$BM962 * SUMPRODUCT(INDEX($AV$76:$AX$81,,$AI962),INDEX($AY$76:$BE$81,,$AH962), N($AU$76:$AU$81&gt;$AM962)) / BQ962 / 1000</f>
        <v>0</v>
      </c>
      <c r="BS962" s="231">
        <f t="shared" si="930"/>
        <v>30</v>
      </c>
      <c r="BT962" s="229">
        <f t="shared" si="944"/>
        <v>43</v>
      </c>
      <c r="BU962" s="234">
        <f t="shared" si="945"/>
        <v>3.5018750000000001</v>
      </c>
      <c r="BV962" s="234" cm="1">
        <f t="array" ref="BV962">$BM962 * IF($AH962&lt;=2,
SUMPRODUCT(INDEX($AV$71:$AX$75,,$AI962), INDEX($AY$71:$BE$75,,$AH962), 1 / ($BF$71:$BF$75*BU962 + (1-$BF$71:$BF$75)*BQ962), N($AU$71:$AU$75&gt;$AM962)),
SUMPRODUCT(INDEX($AV$66:$AX$75,,$AI962), INDEX($AY$66:$BE$75,,$AH962), 1 / ($BG$66:$BG$75*BU962 + (1-$BG$66:$BG$75)*BQ962), N($AU$66:$AU$75&gt;$AM962))
) / 1000</f>
        <v>0</v>
      </c>
      <c r="BW962" s="231">
        <f t="shared" si="931"/>
        <v>25</v>
      </c>
      <c r="BX962" s="229">
        <f t="shared" si="946"/>
        <v>38</v>
      </c>
      <c r="BY962" s="234">
        <f t="shared" si="947"/>
        <v>4.0666935483870965</v>
      </c>
      <c r="BZ962" s="234" cm="1">
        <f t="array" ref="BZ962">$BM962 * IF($AH962&lt;=2,
SUMPRODUCT(INDEX($AV$66:$AX$70,,$AI962), INDEX($AY$66:$BE$70,,$AH962), 1 / ($BF$66:$BF$70*BY962 + (1-$BF$66:$BF$70)*BU962), N($AU$66:$AU$70&gt;$AM962)),
SUMPRODUCT(INDEX($AV$56:$AX$65,,$AI962), INDEX($AY$56:$BE$65,,$AH962), 1 / ($BG$56:$BG$65*BY962 + (1-$BG$56:$BG$65)*BU962), N($AU$56:$AU$65&gt;$AM962))
) / 1000</f>
        <v>0</v>
      </c>
      <c r="CA962" s="231">
        <f t="shared" si="932"/>
        <v>20</v>
      </c>
      <c r="CB962" s="229">
        <f t="shared" si="948"/>
        <v>33</v>
      </c>
      <c r="CC962" s="234">
        <f t="shared" si="949"/>
        <v>4.8487499999999999</v>
      </c>
      <c r="CD962" s="234" cm="1">
        <f t="array" ref="CD962">$BM962 * IF($AH962&lt;=2,
SUMPRODUCT(INDEX($AV$61:$AX$65,,$AI962), INDEX($AY$61:$BE$65,,$AH962), 1 / ($BF$61:$BF$65*CC962 + (1-$BF$61:$BF$65)*BY962), N($AU$61:$AU$65&gt;$AM962)),
SUMPRODUCT(INDEX($AV$46:$AX$55,,$AI962), INDEX($AY$46:$BE$55,,$AH962), 1 / ($BG$46:$BG$55*CC962 + (1-$BG$46:$BG$55)*BY962), N($AU$46:$AU$55&gt;$AM962))
) / 1000</f>
        <v>0</v>
      </c>
      <c r="CE962" s="234" cm="1">
        <f t="array" ref="CE962">$BM962 * IF($AH962&lt;=2,
SUMPRODUCT(INDEX($AV$22:$AX$60,,$AI962), INDEX($AY$22:$BE$60,,$AH962), 1 / ($BF$22:$BF$60*CC962), N($AU$22:$AU$60&gt;$AM962)),
SUMPRODUCT(INDEX($AV$22:$AX$45,,$AI962), INDEX($AY$22:$BE$45,,$AH962), 1 / ($BG$22:$BG$45*CC962), N($AU$22:$AU$45&gt;$AM962))
) / 1000</f>
        <v>0</v>
      </c>
      <c r="CF962" s="229">
        <f t="shared" si="950"/>
        <v>0</v>
      </c>
      <c r="CG962" s="246"/>
      <c r="CH962" s="229">
        <f t="shared" si="951"/>
        <v>0</v>
      </c>
      <c r="CI962" s="228">
        <v>35</v>
      </c>
      <c r="CJ962" s="229">
        <f t="shared" si="952"/>
        <v>48</v>
      </c>
      <c r="CK962" s="234">
        <f t="shared" si="953"/>
        <v>3.0748170731707316</v>
      </c>
      <c r="CL962" s="234" cm="1">
        <f t="array" ref="CL962">$BM962 * SUMPRODUCT(INDEX($AV$76:$AX$81,,$AI962),INDEX($AY$76:$BE$81,,$AH962), N($AU$76:$AU$81&gt;$AM962)) / CK962 / 1000</f>
        <v>0</v>
      </c>
      <c r="CM962" s="231">
        <f t="shared" si="933"/>
        <v>30</v>
      </c>
      <c r="CN962" s="229">
        <f t="shared" si="954"/>
        <v>43</v>
      </c>
      <c r="CO962" s="234">
        <f t="shared" si="955"/>
        <v>3.5018750000000001</v>
      </c>
      <c r="CP962" s="234" cm="1">
        <f t="array" ref="CP962">$BM962 * IF($AH962&lt;=2,
SUMPRODUCT(INDEX($AV$71:$AX$75,,$AI962), INDEX($AY$71:$BE$75,,$AH962), 1 / ($BF$71:$BF$75*CO962 + (1-$BF$71:$BF$75)*CK962), N($AU$71:$AU$75&gt;$AM962)),
SUMPRODUCT(INDEX($AV$66:$AX$75,,$AI962), INDEX($AY$66:$BE$75,,$AH962), 1 / ($BG$66:$BG$75*CO962 + (1-$BG$66:$BG$75)*CK962), N($AU$66:$AU$75&gt;$AM962))
) / 1000</f>
        <v>0</v>
      </c>
      <c r="CQ962" s="231">
        <f t="shared" si="934"/>
        <v>25</v>
      </c>
      <c r="CR962" s="229">
        <f t="shared" si="956"/>
        <v>38</v>
      </c>
      <c r="CS962" s="234">
        <f t="shared" si="957"/>
        <v>4.0666935483870965</v>
      </c>
      <c r="CT962" s="234" cm="1">
        <f t="array" ref="CT962">$BM962 * IF($AH962&lt;=2,
SUMPRODUCT(INDEX($AV$66:$AX$70,,$AI962), INDEX($AY$66:$BE$70,,$AH962), 1 / ($BF$66:$BF$70*CS962 + (1-$BF$66:$BF$70)*CO962), N($AU$66:$AU$70&gt;$AM962)),
SUMPRODUCT(INDEX($AV$56:$AX$65,,$AI962), INDEX($AY$56:$BE$65,,$AH962), 1 / ($BG$56:$BG$65*CS962 + (1-$BG$56:$BG$65)*CO962), N($AU$56:$AU$65&gt;$AM962))
) / 1000</f>
        <v>0</v>
      </c>
      <c r="CU962" s="231">
        <f t="shared" si="935"/>
        <v>20</v>
      </c>
      <c r="CV962" s="229">
        <f t="shared" si="958"/>
        <v>33</v>
      </c>
      <c r="CW962" s="234">
        <f t="shared" si="959"/>
        <v>4.8487499999999999</v>
      </c>
      <c r="CX962" s="234" cm="1">
        <f t="array" ref="CX962">$BM962 * IF($AH962&lt;=2,
SUMPRODUCT(INDEX($AV$61:$AX$65,,$AI962), INDEX($AY$61:$BE$65,,$AH962), 1 / ($BF$61:$BF$65*CW962 + (1-$BF$61:$BF$65)*CS962), N($AU$61:$AU$65&gt;$AM962)),
SUMPRODUCT(INDEX($AV$46:$AX$55,,$AI962), INDEX($AY$46:$BE$55,,$AH962), 1 / ($BG$46:$BG$55*CW962 + (1-$BG$46:$BG$55)*CS962), N($AU$46:$AU$55&gt;$AM962))
) / 1000</f>
        <v>0</v>
      </c>
      <c r="CY962" s="234" cm="1">
        <f t="array" ref="CY962">$BM962 * IF($AH962&lt;=2,
SUMPRODUCT(INDEX($AV$22:$AX$60,,$AI962), INDEX($AY$22:$BE$60,,$AH962), 1 / ($BF$22:$BF$60*CW962), N($AU$22:$AU$60&gt;$AM962)),
SUMPRODUCT(INDEX($AV$22:$AX$45,,$AI962), INDEX($AY$22:$BE$45,,$AH962), 1 / ($BG$22:$BG$45*CW962), N($AU$22:$AU$45&gt;$AM962))
) / 1000</f>
        <v>0</v>
      </c>
      <c r="CZ962" s="229">
        <f t="shared" si="960"/>
        <v>0</v>
      </c>
      <c r="DA962" s="246"/>
    </row>
    <row r="963" spans="1:105" s="75" customFormat="1" ht="14.25" customHeight="1" x14ac:dyDescent="0.2">
      <c r="A963" s="230" t="b">
        <f t="shared" si="927"/>
        <v>0</v>
      </c>
      <c r="B963" s="253">
        <v>942</v>
      </c>
      <c r="C963" s="266"/>
      <c r="D963" s="266"/>
      <c r="E963" s="254"/>
      <c r="F963" s="255" t="str">
        <f>IF(ISBLANK(E963), "", VLOOKUP(E963, Z!$A$2:$C$4127, 3, FALSE))</f>
        <v/>
      </c>
      <c r="G963" s="256"/>
      <c r="H963" s="256"/>
      <c r="I963" s="256"/>
      <c r="J963" s="257"/>
      <c r="K963" s="258"/>
      <c r="L963" s="267"/>
      <c r="M963" s="268"/>
      <c r="N963" s="259" t="str" cm="1">
        <f t="array" ref="N963">IF($L963&gt;0, INDEX(Clean,1+AK963,$D$1), "")</f>
        <v/>
      </c>
      <c r="O963" s="260"/>
      <c r="P963" s="260"/>
      <c r="Q963" s="261"/>
      <c r="R963" s="264">
        <f t="shared" si="936"/>
        <v>0</v>
      </c>
      <c r="S963" s="259" t="str" cm="1">
        <f t="array" ref="S963">IF($L963&gt;0, INDEX(Clean,1+AL963,$D$1), "")</f>
        <v/>
      </c>
      <c r="T963" s="260"/>
      <c r="U963" s="260"/>
      <c r="V963" s="261"/>
      <c r="W963" s="267"/>
      <c r="X963" s="267"/>
      <c r="Y963" s="257"/>
      <c r="Z963" s="264">
        <f t="shared" si="937"/>
        <v>0</v>
      </c>
      <c r="AA963" s="269"/>
      <c r="AB963" s="266"/>
      <c r="AC963" s="254"/>
      <c r="AD963" s="255" t="str">
        <f>IF(ISBLANK(AC963), "", VLOOKUP(AC963, Z!$A$2:$C$4127, 3, FALSE))</f>
        <v/>
      </c>
      <c r="AE963" s="270"/>
      <c r="AF963" s="265">
        <f t="shared" si="938"/>
        <v>0</v>
      </c>
      <c r="AG963" s="246"/>
      <c r="AH963" s="228">
        <f t="shared" si="961"/>
        <v>1</v>
      </c>
      <c r="AI963" s="228">
        <f t="shared" si="962"/>
        <v>1</v>
      </c>
      <c r="AJ963" s="228">
        <f t="shared" si="963"/>
        <v>0</v>
      </c>
      <c r="AK963" s="228">
        <v>0</v>
      </c>
      <c r="AL963" s="228">
        <v>0</v>
      </c>
      <c r="AM963" s="228">
        <f t="shared" si="939"/>
        <v>-100</v>
      </c>
      <c r="AN963" s="228" cm="1">
        <f t="array" ref="AN963">IF(ISBLANK(G963), 1, IFERROR(MATCH(G963, INDEX(Kat,,1), 0), IFERROR(MATCH(Kat, INDEX(Use,,2), 0), MATCH(Kat, INDEX(Use,,3), 0))))</f>
        <v>1</v>
      </c>
      <c r="AO963" s="246"/>
      <c r="AP963" s="228" cm="1">
        <f t="array" ref="AP963">IF(W963&gt;0, INDEX(Kat, AN963,4), 0)</f>
        <v>0</v>
      </c>
      <c r="AQ963" s="228">
        <f t="shared" si="964"/>
        <v>0</v>
      </c>
      <c r="AR963" s="228" cm="1">
        <f t="array" ref="AR963">IF(X963&gt;0, INDEX(Kat, $AN963, 4+AQ963), 0)</f>
        <v>0</v>
      </c>
      <c r="AS963" s="228" cm="1">
        <f t="array" ref="AS963">IF(X963&gt;0, INDEX(Kat, $AN963, 9+AQ963), 0)</f>
        <v>0</v>
      </c>
      <c r="AT963" s="246"/>
      <c r="AU963" s="262"/>
      <c r="AV963" s="262"/>
      <c r="AW963" s="263"/>
      <c r="AX963" s="263"/>
      <c r="AY963" s="263"/>
      <c r="AZ963" s="263"/>
      <c r="BA963" s="263"/>
      <c r="BB963" s="263"/>
      <c r="BC963" s="263"/>
      <c r="BD963" s="263"/>
      <c r="BE963" s="263"/>
      <c r="BF963" s="263"/>
      <c r="BG963" s="263"/>
      <c r="BH963" s="246"/>
      <c r="BI963" s="228" cm="1">
        <f t="array" ref="BI963">INDEX(Use, $AH963, 4)</f>
        <v>7</v>
      </c>
      <c r="BJ963" s="228">
        <f t="shared" si="940"/>
        <v>32</v>
      </c>
      <c r="BK963" s="228">
        <f t="shared" si="928"/>
        <v>13</v>
      </c>
      <c r="BL963" s="228">
        <f t="shared" si="929"/>
        <v>0</v>
      </c>
      <c r="BM963" s="233" cm="1">
        <f t="array" ref="BM963">L963/IF($M963&gt;0, INDEX($AY$22:$BE$76, $M963+20, $AH963), 1)</f>
        <v>0</v>
      </c>
      <c r="BN963" s="229">
        <f t="shared" si="941"/>
        <v>0</v>
      </c>
      <c r="BO963" s="228">
        <v>35</v>
      </c>
      <c r="BP963" s="229">
        <f t="shared" si="942"/>
        <v>48</v>
      </c>
      <c r="BQ963" s="234">
        <f t="shared" si="943"/>
        <v>3.0748170731707316</v>
      </c>
      <c r="BR963" s="234" cm="1">
        <f t="array" ref="BR963">$BM963 * SUMPRODUCT(INDEX($AV$76:$AX$81,,$AI963),INDEX($AY$76:$BE$81,,$AH963), N($AU$76:$AU$81&gt;$AM963)) / BQ963 / 1000</f>
        <v>0</v>
      </c>
      <c r="BS963" s="231">
        <f t="shared" si="930"/>
        <v>30</v>
      </c>
      <c r="BT963" s="229">
        <f t="shared" si="944"/>
        <v>43</v>
      </c>
      <c r="BU963" s="234">
        <f t="shared" si="945"/>
        <v>3.5018750000000001</v>
      </c>
      <c r="BV963" s="234" cm="1">
        <f t="array" ref="BV963">$BM963 * IF($AH963&lt;=2,
SUMPRODUCT(INDEX($AV$71:$AX$75,,$AI963), INDEX($AY$71:$BE$75,,$AH963), 1 / ($BF$71:$BF$75*BU963 + (1-$BF$71:$BF$75)*BQ963), N($AU$71:$AU$75&gt;$AM963)),
SUMPRODUCT(INDEX($AV$66:$AX$75,,$AI963), INDEX($AY$66:$BE$75,,$AH963), 1 / ($BG$66:$BG$75*BU963 + (1-$BG$66:$BG$75)*BQ963), N($AU$66:$AU$75&gt;$AM963))
) / 1000</f>
        <v>0</v>
      </c>
      <c r="BW963" s="231">
        <f t="shared" si="931"/>
        <v>25</v>
      </c>
      <c r="BX963" s="229">
        <f t="shared" si="946"/>
        <v>38</v>
      </c>
      <c r="BY963" s="234">
        <f t="shared" si="947"/>
        <v>4.0666935483870965</v>
      </c>
      <c r="BZ963" s="234" cm="1">
        <f t="array" ref="BZ963">$BM963 * IF($AH963&lt;=2,
SUMPRODUCT(INDEX($AV$66:$AX$70,,$AI963), INDEX($AY$66:$BE$70,,$AH963), 1 / ($BF$66:$BF$70*BY963 + (1-$BF$66:$BF$70)*BU963), N($AU$66:$AU$70&gt;$AM963)),
SUMPRODUCT(INDEX($AV$56:$AX$65,,$AI963), INDEX($AY$56:$BE$65,,$AH963), 1 / ($BG$56:$BG$65*BY963 + (1-$BG$56:$BG$65)*BU963), N($AU$56:$AU$65&gt;$AM963))
) / 1000</f>
        <v>0</v>
      </c>
      <c r="CA963" s="231">
        <f t="shared" si="932"/>
        <v>20</v>
      </c>
      <c r="CB963" s="229">
        <f t="shared" si="948"/>
        <v>33</v>
      </c>
      <c r="CC963" s="234">
        <f t="shared" si="949"/>
        <v>4.8487499999999999</v>
      </c>
      <c r="CD963" s="234" cm="1">
        <f t="array" ref="CD963">$BM963 * IF($AH963&lt;=2,
SUMPRODUCT(INDEX($AV$61:$AX$65,,$AI963), INDEX($AY$61:$BE$65,,$AH963), 1 / ($BF$61:$BF$65*CC963 + (1-$BF$61:$BF$65)*BY963), N($AU$61:$AU$65&gt;$AM963)),
SUMPRODUCT(INDEX($AV$46:$AX$55,,$AI963), INDEX($AY$46:$BE$55,,$AH963), 1 / ($BG$46:$BG$55*CC963 + (1-$BG$46:$BG$55)*BY963), N($AU$46:$AU$55&gt;$AM963))
) / 1000</f>
        <v>0</v>
      </c>
      <c r="CE963" s="234" cm="1">
        <f t="array" ref="CE963">$BM963 * IF($AH963&lt;=2,
SUMPRODUCT(INDEX($AV$22:$AX$60,,$AI963), INDEX($AY$22:$BE$60,,$AH963), 1 / ($BF$22:$BF$60*CC963), N($AU$22:$AU$60&gt;$AM963)),
SUMPRODUCT(INDEX($AV$22:$AX$45,,$AI963), INDEX($AY$22:$BE$45,,$AH963), 1 / ($BG$22:$BG$45*CC963), N($AU$22:$AU$45&gt;$AM963))
) / 1000</f>
        <v>0</v>
      </c>
      <c r="CF963" s="229">
        <f t="shared" si="950"/>
        <v>0</v>
      </c>
      <c r="CG963" s="246"/>
      <c r="CH963" s="229">
        <f t="shared" si="951"/>
        <v>0</v>
      </c>
      <c r="CI963" s="228">
        <v>35</v>
      </c>
      <c r="CJ963" s="229">
        <f t="shared" si="952"/>
        <v>48</v>
      </c>
      <c r="CK963" s="234">
        <f t="shared" si="953"/>
        <v>3.0748170731707316</v>
      </c>
      <c r="CL963" s="234" cm="1">
        <f t="array" ref="CL963">$BM963 * SUMPRODUCT(INDEX($AV$76:$AX$81,,$AI963),INDEX($AY$76:$BE$81,,$AH963), N($AU$76:$AU$81&gt;$AM963)) / CK963 / 1000</f>
        <v>0</v>
      </c>
      <c r="CM963" s="231">
        <f t="shared" si="933"/>
        <v>30</v>
      </c>
      <c r="CN963" s="229">
        <f t="shared" si="954"/>
        <v>43</v>
      </c>
      <c r="CO963" s="234">
        <f t="shared" si="955"/>
        <v>3.5018750000000001</v>
      </c>
      <c r="CP963" s="234" cm="1">
        <f t="array" ref="CP963">$BM963 * IF($AH963&lt;=2,
SUMPRODUCT(INDEX($AV$71:$AX$75,,$AI963), INDEX($AY$71:$BE$75,,$AH963), 1 / ($BF$71:$BF$75*CO963 + (1-$BF$71:$BF$75)*CK963), N($AU$71:$AU$75&gt;$AM963)),
SUMPRODUCT(INDEX($AV$66:$AX$75,,$AI963), INDEX($AY$66:$BE$75,,$AH963), 1 / ($BG$66:$BG$75*CO963 + (1-$BG$66:$BG$75)*CK963), N($AU$66:$AU$75&gt;$AM963))
) / 1000</f>
        <v>0</v>
      </c>
      <c r="CQ963" s="231">
        <f t="shared" si="934"/>
        <v>25</v>
      </c>
      <c r="CR963" s="229">
        <f t="shared" si="956"/>
        <v>38</v>
      </c>
      <c r="CS963" s="234">
        <f t="shared" si="957"/>
        <v>4.0666935483870965</v>
      </c>
      <c r="CT963" s="234" cm="1">
        <f t="array" ref="CT963">$BM963 * IF($AH963&lt;=2,
SUMPRODUCT(INDEX($AV$66:$AX$70,,$AI963), INDEX($AY$66:$BE$70,,$AH963), 1 / ($BF$66:$BF$70*CS963 + (1-$BF$66:$BF$70)*CO963), N($AU$66:$AU$70&gt;$AM963)),
SUMPRODUCT(INDEX($AV$56:$AX$65,,$AI963), INDEX($AY$56:$BE$65,,$AH963), 1 / ($BG$56:$BG$65*CS963 + (1-$BG$56:$BG$65)*CO963), N($AU$56:$AU$65&gt;$AM963))
) / 1000</f>
        <v>0</v>
      </c>
      <c r="CU963" s="231">
        <f t="shared" si="935"/>
        <v>20</v>
      </c>
      <c r="CV963" s="229">
        <f t="shared" si="958"/>
        <v>33</v>
      </c>
      <c r="CW963" s="234">
        <f t="shared" si="959"/>
        <v>4.8487499999999999</v>
      </c>
      <c r="CX963" s="234" cm="1">
        <f t="array" ref="CX963">$BM963 * IF($AH963&lt;=2,
SUMPRODUCT(INDEX($AV$61:$AX$65,,$AI963), INDEX($AY$61:$BE$65,,$AH963), 1 / ($BF$61:$BF$65*CW963 + (1-$BF$61:$BF$65)*CS963), N($AU$61:$AU$65&gt;$AM963)),
SUMPRODUCT(INDEX($AV$46:$AX$55,,$AI963), INDEX($AY$46:$BE$55,,$AH963), 1 / ($BG$46:$BG$55*CW963 + (1-$BG$46:$BG$55)*CS963), N($AU$46:$AU$55&gt;$AM963))
) / 1000</f>
        <v>0</v>
      </c>
      <c r="CY963" s="234" cm="1">
        <f t="array" ref="CY963">$BM963 * IF($AH963&lt;=2,
SUMPRODUCT(INDEX($AV$22:$AX$60,,$AI963), INDEX($AY$22:$BE$60,,$AH963), 1 / ($BF$22:$BF$60*CW963), N($AU$22:$AU$60&gt;$AM963)),
SUMPRODUCT(INDEX($AV$22:$AX$45,,$AI963), INDEX($AY$22:$BE$45,,$AH963), 1 / ($BG$22:$BG$45*CW963), N($AU$22:$AU$45&gt;$AM963))
) / 1000</f>
        <v>0</v>
      </c>
      <c r="CZ963" s="229">
        <f t="shared" si="960"/>
        <v>0</v>
      </c>
      <c r="DA963" s="246"/>
    </row>
    <row r="964" spans="1:105" s="75" customFormat="1" ht="14.25" customHeight="1" x14ac:dyDescent="0.2">
      <c r="A964" s="230" t="b">
        <f t="shared" si="927"/>
        <v>0</v>
      </c>
      <c r="B964" s="253">
        <v>943</v>
      </c>
      <c r="C964" s="266"/>
      <c r="D964" s="266"/>
      <c r="E964" s="254"/>
      <c r="F964" s="255" t="str">
        <f>IF(ISBLANK(E964), "", VLOOKUP(E964, Z!$A$2:$C$4127, 3, FALSE))</f>
        <v/>
      </c>
      <c r="G964" s="256"/>
      <c r="H964" s="256"/>
      <c r="I964" s="256"/>
      <c r="J964" s="257"/>
      <c r="K964" s="258"/>
      <c r="L964" s="267"/>
      <c r="M964" s="268"/>
      <c r="N964" s="259" t="str" cm="1">
        <f t="array" ref="N964">IF($L964&gt;0, INDEX(Clean,1+AK964,$D$1), "")</f>
        <v/>
      </c>
      <c r="O964" s="260"/>
      <c r="P964" s="260"/>
      <c r="Q964" s="261"/>
      <c r="R964" s="264">
        <f t="shared" si="936"/>
        <v>0</v>
      </c>
      <c r="S964" s="259" t="str" cm="1">
        <f t="array" ref="S964">IF($L964&gt;0, INDEX(Clean,1+AL964,$D$1), "")</f>
        <v/>
      </c>
      <c r="T964" s="260"/>
      <c r="U964" s="260"/>
      <c r="V964" s="261"/>
      <c r="W964" s="267"/>
      <c r="X964" s="267"/>
      <c r="Y964" s="257"/>
      <c r="Z964" s="264">
        <f t="shared" si="937"/>
        <v>0</v>
      </c>
      <c r="AA964" s="269"/>
      <c r="AB964" s="266"/>
      <c r="AC964" s="254"/>
      <c r="AD964" s="255" t="str">
        <f>IF(ISBLANK(AC964), "", VLOOKUP(AC964, Z!$A$2:$C$4127, 3, FALSE))</f>
        <v/>
      </c>
      <c r="AE964" s="270"/>
      <c r="AF964" s="265">
        <f t="shared" si="938"/>
        <v>0</v>
      </c>
      <c r="AG964" s="246"/>
      <c r="AH964" s="228">
        <f t="shared" si="961"/>
        <v>1</v>
      </c>
      <c r="AI964" s="228">
        <f t="shared" si="962"/>
        <v>1</v>
      </c>
      <c r="AJ964" s="228">
        <f t="shared" si="963"/>
        <v>0</v>
      </c>
      <c r="AK964" s="228">
        <v>0</v>
      </c>
      <c r="AL964" s="228">
        <v>0</v>
      </c>
      <c r="AM964" s="228">
        <f t="shared" si="939"/>
        <v>-100</v>
      </c>
      <c r="AN964" s="228" cm="1">
        <f t="array" ref="AN964">IF(ISBLANK(G964), 1, IFERROR(MATCH(G964, INDEX(Kat,,1), 0), IFERROR(MATCH(Kat, INDEX(Use,,2), 0), MATCH(Kat, INDEX(Use,,3), 0))))</f>
        <v>1</v>
      </c>
      <c r="AO964" s="246"/>
      <c r="AP964" s="228" cm="1">
        <f t="array" ref="AP964">IF(W964&gt;0, INDEX(Kat, AN964,4), 0)</f>
        <v>0</v>
      </c>
      <c r="AQ964" s="228">
        <f t="shared" si="964"/>
        <v>0</v>
      </c>
      <c r="AR964" s="228" cm="1">
        <f t="array" ref="AR964">IF(X964&gt;0, INDEX(Kat, $AN964, 4+AQ964), 0)</f>
        <v>0</v>
      </c>
      <c r="AS964" s="228" cm="1">
        <f t="array" ref="AS964">IF(X964&gt;0, INDEX(Kat, $AN964, 9+AQ964), 0)</f>
        <v>0</v>
      </c>
      <c r="AT964" s="246"/>
      <c r="AU964" s="262"/>
      <c r="AV964" s="262"/>
      <c r="AW964" s="263"/>
      <c r="AX964" s="263"/>
      <c r="AY964" s="263"/>
      <c r="AZ964" s="263"/>
      <c r="BA964" s="263"/>
      <c r="BB964" s="263"/>
      <c r="BC964" s="263"/>
      <c r="BD964" s="263"/>
      <c r="BE964" s="263"/>
      <c r="BF964" s="263"/>
      <c r="BG964" s="263"/>
      <c r="BH964" s="246"/>
      <c r="BI964" s="228" cm="1">
        <f t="array" ref="BI964">INDEX(Use, $AH964, 4)</f>
        <v>7</v>
      </c>
      <c r="BJ964" s="228">
        <f t="shared" si="940"/>
        <v>32</v>
      </c>
      <c r="BK964" s="228">
        <f t="shared" si="928"/>
        <v>13</v>
      </c>
      <c r="BL964" s="228">
        <f t="shared" si="929"/>
        <v>0</v>
      </c>
      <c r="BM964" s="233" cm="1">
        <f t="array" ref="BM964">L964/IF($M964&gt;0, INDEX($AY$22:$BE$76, $M964+20, $AH964), 1)</f>
        <v>0</v>
      </c>
      <c r="BN964" s="229">
        <f t="shared" si="941"/>
        <v>0</v>
      </c>
      <c r="BO964" s="228">
        <v>35</v>
      </c>
      <c r="BP964" s="229">
        <f t="shared" si="942"/>
        <v>48</v>
      </c>
      <c r="BQ964" s="234">
        <f t="shared" si="943"/>
        <v>3.0748170731707316</v>
      </c>
      <c r="BR964" s="234" cm="1">
        <f t="array" ref="BR964">$BM964 * SUMPRODUCT(INDEX($AV$76:$AX$81,,$AI964),INDEX($AY$76:$BE$81,,$AH964), N($AU$76:$AU$81&gt;$AM964)) / BQ964 / 1000</f>
        <v>0</v>
      </c>
      <c r="BS964" s="231">
        <f t="shared" si="930"/>
        <v>30</v>
      </c>
      <c r="BT964" s="229">
        <f t="shared" si="944"/>
        <v>43</v>
      </c>
      <c r="BU964" s="234">
        <f t="shared" si="945"/>
        <v>3.5018750000000001</v>
      </c>
      <c r="BV964" s="234" cm="1">
        <f t="array" ref="BV964">$BM964 * IF($AH964&lt;=2,
SUMPRODUCT(INDEX($AV$71:$AX$75,,$AI964), INDEX($AY$71:$BE$75,,$AH964), 1 / ($BF$71:$BF$75*BU964 + (1-$BF$71:$BF$75)*BQ964), N($AU$71:$AU$75&gt;$AM964)),
SUMPRODUCT(INDEX($AV$66:$AX$75,,$AI964), INDEX($AY$66:$BE$75,,$AH964), 1 / ($BG$66:$BG$75*BU964 + (1-$BG$66:$BG$75)*BQ964), N($AU$66:$AU$75&gt;$AM964))
) / 1000</f>
        <v>0</v>
      </c>
      <c r="BW964" s="231">
        <f t="shared" si="931"/>
        <v>25</v>
      </c>
      <c r="BX964" s="229">
        <f t="shared" si="946"/>
        <v>38</v>
      </c>
      <c r="BY964" s="234">
        <f t="shared" si="947"/>
        <v>4.0666935483870965</v>
      </c>
      <c r="BZ964" s="234" cm="1">
        <f t="array" ref="BZ964">$BM964 * IF($AH964&lt;=2,
SUMPRODUCT(INDEX($AV$66:$AX$70,,$AI964), INDEX($AY$66:$BE$70,,$AH964), 1 / ($BF$66:$BF$70*BY964 + (1-$BF$66:$BF$70)*BU964), N($AU$66:$AU$70&gt;$AM964)),
SUMPRODUCT(INDEX($AV$56:$AX$65,,$AI964), INDEX($AY$56:$BE$65,,$AH964), 1 / ($BG$56:$BG$65*BY964 + (1-$BG$56:$BG$65)*BU964), N($AU$56:$AU$65&gt;$AM964))
) / 1000</f>
        <v>0</v>
      </c>
      <c r="CA964" s="231">
        <f t="shared" si="932"/>
        <v>20</v>
      </c>
      <c r="CB964" s="229">
        <f t="shared" si="948"/>
        <v>33</v>
      </c>
      <c r="CC964" s="234">
        <f t="shared" si="949"/>
        <v>4.8487499999999999</v>
      </c>
      <c r="CD964" s="234" cm="1">
        <f t="array" ref="CD964">$BM964 * IF($AH964&lt;=2,
SUMPRODUCT(INDEX($AV$61:$AX$65,,$AI964), INDEX($AY$61:$BE$65,,$AH964), 1 / ($BF$61:$BF$65*CC964 + (1-$BF$61:$BF$65)*BY964), N($AU$61:$AU$65&gt;$AM964)),
SUMPRODUCT(INDEX($AV$46:$AX$55,,$AI964), INDEX($AY$46:$BE$55,,$AH964), 1 / ($BG$46:$BG$55*CC964 + (1-$BG$46:$BG$55)*BY964), N($AU$46:$AU$55&gt;$AM964))
) / 1000</f>
        <v>0</v>
      </c>
      <c r="CE964" s="234" cm="1">
        <f t="array" ref="CE964">$BM964 * IF($AH964&lt;=2,
SUMPRODUCT(INDEX($AV$22:$AX$60,,$AI964), INDEX($AY$22:$BE$60,,$AH964), 1 / ($BF$22:$BF$60*CC964), N($AU$22:$AU$60&gt;$AM964)),
SUMPRODUCT(INDEX($AV$22:$AX$45,,$AI964), INDEX($AY$22:$BE$45,,$AH964), 1 / ($BG$22:$BG$45*CC964), N($AU$22:$AU$45&gt;$AM964))
) / 1000</f>
        <v>0</v>
      </c>
      <c r="CF964" s="229">
        <f t="shared" si="950"/>
        <v>0</v>
      </c>
      <c r="CG964" s="246"/>
      <c r="CH964" s="229">
        <f t="shared" si="951"/>
        <v>0</v>
      </c>
      <c r="CI964" s="228">
        <v>35</v>
      </c>
      <c r="CJ964" s="229">
        <f t="shared" si="952"/>
        <v>48</v>
      </c>
      <c r="CK964" s="234">
        <f t="shared" si="953"/>
        <v>3.0748170731707316</v>
      </c>
      <c r="CL964" s="234" cm="1">
        <f t="array" ref="CL964">$BM964 * SUMPRODUCT(INDEX($AV$76:$AX$81,,$AI964),INDEX($AY$76:$BE$81,,$AH964), N($AU$76:$AU$81&gt;$AM964)) / CK964 / 1000</f>
        <v>0</v>
      </c>
      <c r="CM964" s="231">
        <f t="shared" si="933"/>
        <v>30</v>
      </c>
      <c r="CN964" s="229">
        <f t="shared" si="954"/>
        <v>43</v>
      </c>
      <c r="CO964" s="234">
        <f t="shared" si="955"/>
        <v>3.5018750000000001</v>
      </c>
      <c r="CP964" s="234" cm="1">
        <f t="array" ref="CP964">$BM964 * IF($AH964&lt;=2,
SUMPRODUCT(INDEX($AV$71:$AX$75,,$AI964), INDEX($AY$71:$BE$75,,$AH964), 1 / ($BF$71:$BF$75*CO964 + (1-$BF$71:$BF$75)*CK964), N($AU$71:$AU$75&gt;$AM964)),
SUMPRODUCT(INDEX($AV$66:$AX$75,,$AI964), INDEX($AY$66:$BE$75,,$AH964), 1 / ($BG$66:$BG$75*CO964 + (1-$BG$66:$BG$75)*CK964), N($AU$66:$AU$75&gt;$AM964))
) / 1000</f>
        <v>0</v>
      </c>
      <c r="CQ964" s="231">
        <f t="shared" si="934"/>
        <v>25</v>
      </c>
      <c r="CR964" s="229">
        <f t="shared" si="956"/>
        <v>38</v>
      </c>
      <c r="CS964" s="234">
        <f t="shared" si="957"/>
        <v>4.0666935483870965</v>
      </c>
      <c r="CT964" s="234" cm="1">
        <f t="array" ref="CT964">$BM964 * IF($AH964&lt;=2,
SUMPRODUCT(INDEX($AV$66:$AX$70,,$AI964), INDEX($AY$66:$BE$70,,$AH964), 1 / ($BF$66:$BF$70*CS964 + (1-$BF$66:$BF$70)*CO964), N($AU$66:$AU$70&gt;$AM964)),
SUMPRODUCT(INDEX($AV$56:$AX$65,,$AI964), INDEX($AY$56:$BE$65,,$AH964), 1 / ($BG$56:$BG$65*CS964 + (1-$BG$56:$BG$65)*CO964), N($AU$56:$AU$65&gt;$AM964))
) / 1000</f>
        <v>0</v>
      </c>
      <c r="CU964" s="231">
        <f t="shared" si="935"/>
        <v>20</v>
      </c>
      <c r="CV964" s="229">
        <f t="shared" si="958"/>
        <v>33</v>
      </c>
      <c r="CW964" s="234">
        <f t="shared" si="959"/>
        <v>4.8487499999999999</v>
      </c>
      <c r="CX964" s="234" cm="1">
        <f t="array" ref="CX964">$BM964 * IF($AH964&lt;=2,
SUMPRODUCT(INDEX($AV$61:$AX$65,,$AI964), INDEX($AY$61:$BE$65,,$AH964), 1 / ($BF$61:$BF$65*CW964 + (1-$BF$61:$BF$65)*CS964), N($AU$61:$AU$65&gt;$AM964)),
SUMPRODUCT(INDEX($AV$46:$AX$55,,$AI964), INDEX($AY$46:$BE$55,,$AH964), 1 / ($BG$46:$BG$55*CW964 + (1-$BG$46:$BG$55)*CS964), N($AU$46:$AU$55&gt;$AM964))
) / 1000</f>
        <v>0</v>
      </c>
      <c r="CY964" s="234" cm="1">
        <f t="array" ref="CY964">$BM964 * IF($AH964&lt;=2,
SUMPRODUCT(INDEX($AV$22:$AX$60,,$AI964), INDEX($AY$22:$BE$60,,$AH964), 1 / ($BF$22:$BF$60*CW964), N($AU$22:$AU$60&gt;$AM964)),
SUMPRODUCT(INDEX($AV$22:$AX$45,,$AI964), INDEX($AY$22:$BE$45,,$AH964), 1 / ($BG$22:$BG$45*CW964), N($AU$22:$AU$45&gt;$AM964))
) / 1000</f>
        <v>0</v>
      </c>
      <c r="CZ964" s="229">
        <f t="shared" si="960"/>
        <v>0</v>
      </c>
      <c r="DA964" s="246"/>
    </row>
    <row r="965" spans="1:105" s="75" customFormat="1" ht="14.25" customHeight="1" x14ac:dyDescent="0.2">
      <c r="A965" s="230" t="b">
        <f t="shared" si="927"/>
        <v>0</v>
      </c>
      <c r="B965" s="253">
        <v>944</v>
      </c>
      <c r="C965" s="266"/>
      <c r="D965" s="266"/>
      <c r="E965" s="254"/>
      <c r="F965" s="255" t="str">
        <f>IF(ISBLANK(E965), "", VLOOKUP(E965, Z!$A$2:$C$4127, 3, FALSE))</f>
        <v/>
      </c>
      <c r="G965" s="256"/>
      <c r="H965" s="256"/>
      <c r="I965" s="256"/>
      <c r="J965" s="257"/>
      <c r="K965" s="258"/>
      <c r="L965" s="267"/>
      <c r="M965" s="268"/>
      <c r="N965" s="259" t="str" cm="1">
        <f t="array" ref="N965">IF($L965&gt;0, INDEX(Clean,1+AK965,$D$1), "")</f>
        <v/>
      </c>
      <c r="O965" s="260"/>
      <c r="P965" s="260"/>
      <c r="Q965" s="261"/>
      <c r="R965" s="264">
        <f t="shared" si="936"/>
        <v>0</v>
      </c>
      <c r="S965" s="259" t="str" cm="1">
        <f t="array" ref="S965">IF($L965&gt;0, INDEX(Clean,1+AL965,$D$1), "")</f>
        <v/>
      </c>
      <c r="T965" s="260"/>
      <c r="U965" s="260"/>
      <c r="V965" s="261"/>
      <c r="W965" s="267"/>
      <c r="X965" s="267"/>
      <c r="Y965" s="257"/>
      <c r="Z965" s="264">
        <f t="shared" si="937"/>
        <v>0</v>
      </c>
      <c r="AA965" s="269"/>
      <c r="AB965" s="266"/>
      <c r="AC965" s="254"/>
      <c r="AD965" s="255" t="str">
        <f>IF(ISBLANK(AC965), "", VLOOKUP(AC965, Z!$A$2:$C$4127, 3, FALSE))</f>
        <v/>
      </c>
      <c r="AE965" s="270"/>
      <c r="AF965" s="265">
        <f t="shared" si="938"/>
        <v>0</v>
      </c>
      <c r="AG965" s="246"/>
      <c r="AH965" s="228">
        <f t="shared" si="961"/>
        <v>1</v>
      </c>
      <c r="AI965" s="228">
        <f t="shared" si="962"/>
        <v>1</v>
      </c>
      <c r="AJ965" s="228">
        <f t="shared" si="963"/>
        <v>0</v>
      </c>
      <c r="AK965" s="228">
        <v>0</v>
      </c>
      <c r="AL965" s="228">
        <v>0</v>
      </c>
      <c r="AM965" s="228">
        <f t="shared" si="939"/>
        <v>-100</v>
      </c>
      <c r="AN965" s="228" cm="1">
        <f t="array" ref="AN965">IF(ISBLANK(G965), 1, IFERROR(MATCH(G965, INDEX(Kat,,1), 0), IFERROR(MATCH(Kat, INDEX(Use,,2), 0), MATCH(Kat, INDEX(Use,,3), 0))))</f>
        <v>1</v>
      </c>
      <c r="AO965" s="246"/>
      <c r="AP965" s="228" cm="1">
        <f t="array" ref="AP965">IF(W965&gt;0, INDEX(Kat, AN965,4), 0)</f>
        <v>0</v>
      </c>
      <c r="AQ965" s="228">
        <f t="shared" si="964"/>
        <v>0</v>
      </c>
      <c r="AR965" s="228" cm="1">
        <f t="array" ref="AR965">IF(X965&gt;0, INDEX(Kat, $AN965, 4+AQ965), 0)</f>
        <v>0</v>
      </c>
      <c r="AS965" s="228" cm="1">
        <f t="array" ref="AS965">IF(X965&gt;0, INDEX(Kat, $AN965, 9+AQ965), 0)</f>
        <v>0</v>
      </c>
      <c r="AT965" s="246"/>
      <c r="AU965" s="262"/>
      <c r="AV965" s="262"/>
      <c r="AW965" s="263"/>
      <c r="AX965" s="263"/>
      <c r="AY965" s="263"/>
      <c r="AZ965" s="263"/>
      <c r="BA965" s="263"/>
      <c r="BB965" s="263"/>
      <c r="BC965" s="263"/>
      <c r="BD965" s="263"/>
      <c r="BE965" s="263"/>
      <c r="BF965" s="263"/>
      <c r="BG965" s="263"/>
      <c r="BH965" s="246"/>
      <c r="BI965" s="228" cm="1">
        <f t="array" ref="BI965">INDEX(Use, $AH965, 4)</f>
        <v>7</v>
      </c>
      <c r="BJ965" s="228">
        <f t="shared" si="940"/>
        <v>32</v>
      </c>
      <c r="BK965" s="228">
        <f t="shared" si="928"/>
        <v>13</v>
      </c>
      <c r="BL965" s="228">
        <f t="shared" si="929"/>
        <v>0</v>
      </c>
      <c r="BM965" s="233" cm="1">
        <f t="array" ref="BM965">L965/IF($M965&gt;0, INDEX($AY$22:$BE$76, $M965+20, $AH965), 1)</f>
        <v>0</v>
      </c>
      <c r="BN965" s="229">
        <f t="shared" si="941"/>
        <v>0</v>
      </c>
      <c r="BO965" s="228">
        <v>35</v>
      </c>
      <c r="BP965" s="229">
        <f t="shared" si="942"/>
        <v>48</v>
      </c>
      <c r="BQ965" s="234">
        <f t="shared" si="943"/>
        <v>3.0748170731707316</v>
      </c>
      <c r="BR965" s="234" cm="1">
        <f t="array" ref="BR965">$BM965 * SUMPRODUCT(INDEX($AV$76:$AX$81,,$AI965),INDEX($AY$76:$BE$81,,$AH965), N($AU$76:$AU$81&gt;$AM965)) / BQ965 / 1000</f>
        <v>0</v>
      </c>
      <c r="BS965" s="231">
        <f t="shared" si="930"/>
        <v>30</v>
      </c>
      <c r="BT965" s="229">
        <f t="shared" si="944"/>
        <v>43</v>
      </c>
      <c r="BU965" s="234">
        <f t="shared" si="945"/>
        <v>3.5018750000000001</v>
      </c>
      <c r="BV965" s="234" cm="1">
        <f t="array" ref="BV965">$BM965 * IF($AH965&lt;=2,
SUMPRODUCT(INDEX($AV$71:$AX$75,,$AI965), INDEX($AY$71:$BE$75,,$AH965), 1 / ($BF$71:$BF$75*BU965 + (1-$BF$71:$BF$75)*BQ965), N($AU$71:$AU$75&gt;$AM965)),
SUMPRODUCT(INDEX($AV$66:$AX$75,,$AI965), INDEX($AY$66:$BE$75,,$AH965), 1 / ($BG$66:$BG$75*BU965 + (1-$BG$66:$BG$75)*BQ965), N($AU$66:$AU$75&gt;$AM965))
) / 1000</f>
        <v>0</v>
      </c>
      <c r="BW965" s="231">
        <f t="shared" si="931"/>
        <v>25</v>
      </c>
      <c r="BX965" s="229">
        <f t="shared" si="946"/>
        <v>38</v>
      </c>
      <c r="BY965" s="234">
        <f t="shared" si="947"/>
        <v>4.0666935483870965</v>
      </c>
      <c r="BZ965" s="234" cm="1">
        <f t="array" ref="BZ965">$BM965 * IF($AH965&lt;=2,
SUMPRODUCT(INDEX($AV$66:$AX$70,,$AI965), INDEX($AY$66:$BE$70,,$AH965), 1 / ($BF$66:$BF$70*BY965 + (1-$BF$66:$BF$70)*BU965), N($AU$66:$AU$70&gt;$AM965)),
SUMPRODUCT(INDEX($AV$56:$AX$65,,$AI965), INDEX($AY$56:$BE$65,,$AH965), 1 / ($BG$56:$BG$65*BY965 + (1-$BG$56:$BG$65)*BU965), N($AU$56:$AU$65&gt;$AM965))
) / 1000</f>
        <v>0</v>
      </c>
      <c r="CA965" s="231">
        <f t="shared" si="932"/>
        <v>20</v>
      </c>
      <c r="CB965" s="229">
        <f t="shared" si="948"/>
        <v>33</v>
      </c>
      <c r="CC965" s="234">
        <f t="shared" si="949"/>
        <v>4.8487499999999999</v>
      </c>
      <c r="CD965" s="234" cm="1">
        <f t="array" ref="CD965">$BM965 * IF($AH965&lt;=2,
SUMPRODUCT(INDEX($AV$61:$AX$65,,$AI965), INDEX($AY$61:$BE$65,,$AH965), 1 / ($BF$61:$BF$65*CC965 + (1-$BF$61:$BF$65)*BY965), N($AU$61:$AU$65&gt;$AM965)),
SUMPRODUCT(INDEX($AV$46:$AX$55,,$AI965), INDEX($AY$46:$BE$55,,$AH965), 1 / ($BG$46:$BG$55*CC965 + (1-$BG$46:$BG$55)*BY965), N($AU$46:$AU$55&gt;$AM965))
) / 1000</f>
        <v>0</v>
      </c>
      <c r="CE965" s="234" cm="1">
        <f t="array" ref="CE965">$BM965 * IF($AH965&lt;=2,
SUMPRODUCT(INDEX($AV$22:$AX$60,,$AI965), INDEX($AY$22:$BE$60,,$AH965), 1 / ($BF$22:$BF$60*CC965), N($AU$22:$AU$60&gt;$AM965)),
SUMPRODUCT(INDEX($AV$22:$AX$45,,$AI965), INDEX($AY$22:$BE$45,,$AH965), 1 / ($BG$22:$BG$45*CC965), N($AU$22:$AU$45&gt;$AM965))
) / 1000</f>
        <v>0</v>
      </c>
      <c r="CF965" s="229">
        <f t="shared" si="950"/>
        <v>0</v>
      </c>
      <c r="CG965" s="246"/>
      <c r="CH965" s="229">
        <f t="shared" si="951"/>
        <v>0</v>
      </c>
      <c r="CI965" s="228">
        <v>35</v>
      </c>
      <c r="CJ965" s="229">
        <f t="shared" si="952"/>
        <v>48</v>
      </c>
      <c r="CK965" s="234">
        <f t="shared" si="953"/>
        <v>3.0748170731707316</v>
      </c>
      <c r="CL965" s="234" cm="1">
        <f t="array" ref="CL965">$BM965 * SUMPRODUCT(INDEX($AV$76:$AX$81,,$AI965),INDEX($AY$76:$BE$81,,$AH965), N($AU$76:$AU$81&gt;$AM965)) / CK965 / 1000</f>
        <v>0</v>
      </c>
      <c r="CM965" s="231">
        <f t="shared" si="933"/>
        <v>30</v>
      </c>
      <c r="CN965" s="229">
        <f t="shared" si="954"/>
        <v>43</v>
      </c>
      <c r="CO965" s="234">
        <f t="shared" si="955"/>
        <v>3.5018750000000001</v>
      </c>
      <c r="CP965" s="234" cm="1">
        <f t="array" ref="CP965">$BM965 * IF($AH965&lt;=2,
SUMPRODUCT(INDEX($AV$71:$AX$75,,$AI965), INDEX($AY$71:$BE$75,,$AH965), 1 / ($BF$71:$BF$75*CO965 + (1-$BF$71:$BF$75)*CK965), N($AU$71:$AU$75&gt;$AM965)),
SUMPRODUCT(INDEX($AV$66:$AX$75,,$AI965), INDEX($AY$66:$BE$75,,$AH965), 1 / ($BG$66:$BG$75*CO965 + (1-$BG$66:$BG$75)*CK965), N($AU$66:$AU$75&gt;$AM965))
) / 1000</f>
        <v>0</v>
      </c>
      <c r="CQ965" s="231">
        <f t="shared" si="934"/>
        <v>25</v>
      </c>
      <c r="CR965" s="229">
        <f t="shared" si="956"/>
        <v>38</v>
      </c>
      <c r="CS965" s="234">
        <f t="shared" si="957"/>
        <v>4.0666935483870965</v>
      </c>
      <c r="CT965" s="234" cm="1">
        <f t="array" ref="CT965">$BM965 * IF($AH965&lt;=2,
SUMPRODUCT(INDEX($AV$66:$AX$70,,$AI965), INDEX($AY$66:$BE$70,,$AH965), 1 / ($BF$66:$BF$70*CS965 + (1-$BF$66:$BF$70)*CO965), N($AU$66:$AU$70&gt;$AM965)),
SUMPRODUCT(INDEX($AV$56:$AX$65,,$AI965), INDEX($AY$56:$BE$65,,$AH965), 1 / ($BG$56:$BG$65*CS965 + (1-$BG$56:$BG$65)*CO965), N($AU$56:$AU$65&gt;$AM965))
) / 1000</f>
        <v>0</v>
      </c>
      <c r="CU965" s="231">
        <f t="shared" si="935"/>
        <v>20</v>
      </c>
      <c r="CV965" s="229">
        <f t="shared" si="958"/>
        <v>33</v>
      </c>
      <c r="CW965" s="234">
        <f t="shared" si="959"/>
        <v>4.8487499999999999</v>
      </c>
      <c r="CX965" s="234" cm="1">
        <f t="array" ref="CX965">$BM965 * IF($AH965&lt;=2,
SUMPRODUCT(INDEX($AV$61:$AX$65,,$AI965), INDEX($AY$61:$BE$65,,$AH965), 1 / ($BF$61:$BF$65*CW965 + (1-$BF$61:$BF$65)*CS965), N($AU$61:$AU$65&gt;$AM965)),
SUMPRODUCT(INDEX($AV$46:$AX$55,,$AI965), INDEX($AY$46:$BE$55,,$AH965), 1 / ($BG$46:$BG$55*CW965 + (1-$BG$46:$BG$55)*CS965), N($AU$46:$AU$55&gt;$AM965))
) / 1000</f>
        <v>0</v>
      </c>
      <c r="CY965" s="234" cm="1">
        <f t="array" ref="CY965">$BM965 * IF($AH965&lt;=2,
SUMPRODUCT(INDEX($AV$22:$AX$60,,$AI965), INDEX($AY$22:$BE$60,,$AH965), 1 / ($BF$22:$BF$60*CW965), N($AU$22:$AU$60&gt;$AM965)),
SUMPRODUCT(INDEX($AV$22:$AX$45,,$AI965), INDEX($AY$22:$BE$45,,$AH965), 1 / ($BG$22:$BG$45*CW965), N($AU$22:$AU$45&gt;$AM965))
) / 1000</f>
        <v>0</v>
      </c>
      <c r="CZ965" s="229">
        <f t="shared" si="960"/>
        <v>0</v>
      </c>
      <c r="DA965" s="246"/>
    </row>
    <row r="966" spans="1:105" s="75" customFormat="1" ht="14.25" customHeight="1" x14ac:dyDescent="0.2">
      <c r="A966" s="230" t="b">
        <f t="shared" si="927"/>
        <v>0</v>
      </c>
      <c r="B966" s="253">
        <v>945</v>
      </c>
      <c r="C966" s="266"/>
      <c r="D966" s="266"/>
      <c r="E966" s="254"/>
      <c r="F966" s="255" t="str">
        <f>IF(ISBLANK(E966), "", VLOOKUP(E966, Z!$A$2:$C$4127, 3, FALSE))</f>
        <v/>
      </c>
      <c r="G966" s="256"/>
      <c r="H966" s="256"/>
      <c r="I966" s="256"/>
      <c r="J966" s="257"/>
      <c r="K966" s="258"/>
      <c r="L966" s="267"/>
      <c r="M966" s="268"/>
      <c r="N966" s="259" t="str" cm="1">
        <f t="array" ref="N966">IF($L966&gt;0, INDEX(Clean,1+AK966,$D$1), "")</f>
        <v/>
      </c>
      <c r="O966" s="260"/>
      <c r="P966" s="260"/>
      <c r="Q966" s="261"/>
      <c r="R966" s="264">
        <f t="shared" si="936"/>
        <v>0</v>
      </c>
      <c r="S966" s="259" t="str" cm="1">
        <f t="array" ref="S966">IF($L966&gt;0, INDEX(Clean,1+AL966,$D$1), "")</f>
        <v/>
      </c>
      <c r="T966" s="260"/>
      <c r="U966" s="260"/>
      <c r="V966" s="261"/>
      <c r="W966" s="267"/>
      <c r="X966" s="267"/>
      <c r="Y966" s="257"/>
      <c r="Z966" s="264">
        <f t="shared" si="937"/>
        <v>0</v>
      </c>
      <c r="AA966" s="269"/>
      <c r="AB966" s="266"/>
      <c r="AC966" s="254"/>
      <c r="AD966" s="255" t="str">
        <f>IF(ISBLANK(AC966), "", VLOOKUP(AC966, Z!$A$2:$C$4127, 3, FALSE))</f>
        <v/>
      </c>
      <c r="AE966" s="270"/>
      <c r="AF966" s="265">
        <f t="shared" si="938"/>
        <v>0</v>
      </c>
      <c r="AG966" s="246"/>
      <c r="AH966" s="228">
        <f t="shared" si="961"/>
        <v>1</v>
      </c>
      <c r="AI966" s="228">
        <f t="shared" si="962"/>
        <v>1</v>
      </c>
      <c r="AJ966" s="228">
        <f t="shared" si="963"/>
        <v>0</v>
      </c>
      <c r="AK966" s="228">
        <v>0</v>
      </c>
      <c r="AL966" s="228">
        <v>0</v>
      </c>
      <c r="AM966" s="228">
        <f t="shared" si="939"/>
        <v>-100</v>
      </c>
      <c r="AN966" s="228" cm="1">
        <f t="array" ref="AN966">IF(ISBLANK(G966), 1, IFERROR(MATCH(G966, INDEX(Kat,,1), 0), IFERROR(MATCH(Kat, INDEX(Use,,2), 0), MATCH(Kat, INDEX(Use,,3), 0))))</f>
        <v>1</v>
      </c>
      <c r="AO966" s="246"/>
      <c r="AP966" s="228" cm="1">
        <f t="array" ref="AP966">IF(W966&gt;0, INDEX(Kat, AN966,4), 0)</f>
        <v>0</v>
      </c>
      <c r="AQ966" s="228">
        <f t="shared" si="964"/>
        <v>0</v>
      </c>
      <c r="AR966" s="228" cm="1">
        <f t="array" ref="AR966">IF(X966&gt;0, INDEX(Kat, $AN966, 4+AQ966), 0)</f>
        <v>0</v>
      </c>
      <c r="AS966" s="228" cm="1">
        <f t="array" ref="AS966">IF(X966&gt;0, INDEX(Kat, $AN966, 9+AQ966), 0)</f>
        <v>0</v>
      </c>
      <c r="AT966" s="246"/>
      <c r="AU966" s="262"/>
      <c r="AV966" s="262"/>
      <c r="AW966" s="263"/>
      <c r="AX966" s="263"/>
      <c r="AY966" s="263"/>
      <c r="AZ966" s="263"/>
      <c r="BA966" s="263"/>
      <c r="BB966" s="263"/>
      <c r="BC966" s="263"/>
      <c r="BD966" s="263"/>
      <c r="BE966" s="263"/>
      <c r="BF966" s="263"/>
      <c r="BG966" s="263"/>
      <c r="BH966" s="246"/>
      <c r="BI966" s="228" cm="1">
        <f t="array" ref="BI966">INDEX(Use, $AH966, 4)</f>
        <v>7</v>
      </c>
      <c r="BJ966" s="228">
        <f t="shared" si="940"/>
        <v>32</v>
      </c>
      <c r="BK966" s="228">
        <f t="shared" si="928"/>
        <v>13</v>
      </c>
      <c r="BL966" s="228">
        <f t="shared" si="929"/>
        <v>0</v>
      </c>
      <c r="BM966" s="233" cm="1">
        <f t="array" ref="BM966">L966/IF($M966&gt;0, INDEX($AY$22:$BE$76, $M966+20, $AH966), 1)</f>
        <v>0</v>
      </c>
      <c r="BN966" s="229">
        <f t="shared" si="941"/>
        <v>0</v>
      </c>
      <c r="BO966" s="228">
        <v>35</v>
      </c>
      <c r="BP966" s="229">
        <f t="shared" si="942"/>
        <v>48</v>
      </c>
      <c r="BQ966" s="234">
        <f t="shared" si="943"/>
        <v>3.0748170731707316</v>
      </c>
      <c r="BR966" s="234" cm="1">
        <f t="array" ref="BR966">$BM966 * SUMPRODUCT(INDEX($AV$76:$AX$81,,$AI966),INDEX($AY$76:$BE$81,,$AH966), N($AU$76:$AU$81&gt;$AM966)) / BQ966 / 1000</f>
        <v>0</v>
      </c>
      <c r="BS966" s="231">
        <f t="shared" si="930"/>
        <v>30</v>
      </c>
      <c r="BT966" s="229">
        <f t="shared" si="944"/>
        <v>43</v>
      </c>
      <c r="BU966" s="234">
        <f t="shared" si="945"/>
        <v>3.5018750000000001</v>
      </c>
      <c r="BV966" s="234" cm="1">
        <f t="array" ref="BV966">$BM966 * IF($AH966&lt;=2,
SUMPRODUCT(INDEX($AV$71:$AX$75,,$AI966), INDEX($AY$71:$BE$75,,$AH966), 1 / ($BF$71:$BF$75*BU966 + (1-$BF$71:$BF$75)*BQ966), N($AU$71:$AU$75&gt;$AM966)),
SUMPRODUCT(INDEX($AV$66:$AX$75,,$AI966), INDEX($AY$66:$BE$75,,$AH966), 1 / ($BG$66:$BG$75*BU966 + (1-$BG$66:$BG$75)*BQ966), N($AU$66:$AU$75&gt;$AM966))
) / 1000</f>
        <v>0</v>
      </c>
      <c r="BW966" s="231">
        <f t="shared" si="931"/>
        <v>25</v>
      </c>
      <c r="BX966" s="229">
        <f t="shared" si="946"/>
        <v>38</v>
      </c>
      <c r="BY966" s="234">
        <f t="shared" si="947"/>
        <v>4.0666935483870965</v>
      </c>
      <c r="BZ966" s="234" cm="1">
        <f t="array" ref="BZ966">$BM966 * IF($AH966&lt;=2,
SUMPRODUCT(INDEX($AV$66:$AX$70,,$AI966), INDEX($AY$66:$BE$70,,$AH966), 1 / ($BF$66:$BF$70*BY966 + (1-$BF$66:$BF$70)*BU966), N($AU$66:$AU$70&gt;$AM966)),
SUMPRODUCT(INDEX($AV$56:$AX$65,,$AI966), INDEX($AY$56:$BE$65,,$AH966), 1 / ($BG$56:$BG$65*BY966 + (1-$BG$56:$BG$65)*BU966), N($AU$56:$AU$65&gt;$AM966))
) / 1000</f>
        <v>0</v>
      </c>
      <c r="CA966" s="231">
        <f t="shared" si="932"/>
        <v>20</v>
      </c>
      <c r="CB966" s="229">
        <f t="shared" si="948"/>
        <v>33</v>
      </c>
      <c r="CC966" s="234">
        <f t="shared" si="949"/>
        <v>4.8487499999999999</v>
      </c>
      <c r="CD966" s="234" cm="1">
        <f t="array" ref="CD966">$BM966 * IF($AH966&lt;=2,
SUMPRODUCT(INDEX($AV$61:$AX$65,,$AI966), INDEX($AY$61:$BE$65,,$AH966), 1 / ($BF$61:$BF$65*CC966 + (1-$BF$61:$BF$65)*BY966), N($AU$61:$AU$65&gt;$AM966)),
SUMPRODUCT(INDEX($AV$46:$AX$55,,$AI966), INDEX($AY$46:$BE$55,,$AH966), 1 / ($BG$46:$BG$55*CC966 + (1-$BG$46:$BG$55)*BY966), N($AU$46:$AU$55&gt;$AM966))
) / 1000</f>
        <v>0</v>
      </c>
      <c r="CE966" s="234" cm="1">
        <f t="array" ref="CE966">$BM966 * IF($AH966&lt;=2,
SUMPRODUCT(INDEX($AV$22:$AX$60,,$AI966), INDEX($AY$22:$BE$60,,$AH966), 1 / ($BF$22:$BF$60*CC966), N($AU$22:$AU$60&gt;$AM966)),
SUMPRODUCT(INDEX($AV$22:$AX$45,,$AI966), INDEX($AY$22:$BE$45,,$AH966), 1 / ($BG$22:$BG$45*CC966), N($AU$22:$AU$45&gt;$AM966))
) / 1000</f>
        <v>0</v>
      </c>
      <c r="CF966" s="229">
        <f t="shared" si="950"/>
        <v>0</v>
      </c>
      <c r="CG966" s="246"/>
      <c r="CH966" s="229">
        <f t="shared" si="951"/>
        <v>0</v>
      </c>
      <c r="CI966" s="228">
        <v>35</v>
      </c>
      <c r="CJ966" s="229">
        <f t="shared" si="952"/>
        <v>48</v>
      </c>
      <c r="CK966" s="234">
        <f t="shared" si="953"/>
        <v>3.0748170731707316</v>
      </c>
      <c r="CL966" s="234" cm="1">
        <f t="array" ref="CL966">$BM966 * SUMPRODUCT(INDEX($AV$76:$AX$81,,$AI966),INDEX($AY$76:$BE$81,,$AH966), N($AU$76:$AU$81&gt;$AM966)) / CK966 / 1000</f>
        <v>0</v>
      </c>
      <c r="CM966" s="231">
        <f t="shared" si="933"/>
        <v>30</v>
      </c>
      <c r="CN966" s="229">
        <f t="shared" si="954"/>
        <v>43</v>
      </c>
      <c r="CO966" s="234">
        <f t="shared" si="955"/>
        <v>3.5018750000000001</v>
      </c>
      <c r="CP966" s="234" cm="1">
        <f t="array" ref="CP966">$BM966 * IF($AH966&lt;=2,
SUMPRODUCT(INDEX($AV$71:$AX$75,,$AI966), INDEX($AY$71:$BE$75,,$AH966), 1 / ($BF$71:$BF$75*CO966 + (1-$BF$71:$BF$75)*CK966), N($AU$71:$AU$75&gt;$AM966)),
SUMPRODUCT(INDEX($AV$66:$AX$75,,$AI966), INDEX($AY$66:$BE$75,,$AH966), 1 / ($BG$66:$BG$75*CO966 + (1-$BG$66:$BG$75)*CK966), N($AU$66:$AU$75&gt;$AM966))
) / 1000</f>
        <v>0</v>
      </c>
      <c r="CQ966" s="231">
        <f t="shared" si="934"/>
        <v>25</v>
      </c>
      <c r="CR966" s="229">
        <f t="shared" si="956"/>
        <v>38</v>
      </c>
      <c r="CS966" s="234">
        <f t="shared" si="957"/>
        <v>4.0666935483870965</v>
      </c>
      <c r="CT966" s="234" cm="1">
        <f t="array" ref="CT966">$BM966 * IF($AH966&lt;=2,
SUMPRODUCT(INDEX($AV$66:$AX$70,,$AI966), INDEX($AY$66:$BE$70,,$AH966), 1 / ($BF$66:$BF$70*CS966 + (1-$BF$66:$BF$70)*CO966), N($AU$66:$AU$70&gt;$AM966)),
SUMPRODUCT(INDEX($AV$56:$AX$65,,$AI966), INDEX($AY$56:$BE$65,,$AH966), 1 / ($BG$56:$BG$65*CS966 + (1-$BG$56:$BG$65)*CO966), N($AU$56:$AU$65&gt;$AM966))
) / 1000</f>
        <v>0</v>
      </c>
      <c r="CU966" s="231">
        <f t="shared" si="935"/>
        <v>20</v>
      </c>
      <c r="CV966" s="229">
        <f t="shared" si="958"/>
        <v>33</v>
      </c>
      <c r="CW966" s="234">
        <f t="shared" si="959"/>
        <v>4.8487499999999999</v>
      </c>
      <c r="CX966" s="234" cm="1">
        <f t="array" ref="CX966">$BM966 * IF($AH966&lt;=2,
SUMPRODUCT(INDEX($AV$61:$AX$65,,$AI966), INDEX($AY$61:$BE$65,,$AH966), 1 / ($BF$61:$BF$65*CW966 + (1-$BF$61:$BF$65)*CS966), N($AU$61:$AU$65&gt;$AM966)),
SUMPRODUCT(INDEX($AV$46:$AX$55,,$AI966), INDEX($AY$46:$BE$55,,$AH966), 1 / ($BG$46:$BG$55*CW966 + (1-$BG$46:$BG$55)*CS966), N($AU$46:$AU$55&gt;$AM966))
) / 1000</f>
        <v>0</v>
      </c>
      <c r="CY966" s="234" cm="1">
        <f t="array" ref="CY966">$BM966 * IF($AH966&lt;=2,
SUMPRODUCT(INDEX($AV$22:$AX$60,,$AI966), INDEX($AY$22:$BE$60,,$AH966), 1 / ($BF$22:$BF$60*CW966), N($AU$22:$AU$60&gt;$AM966)),
SUMPRODUCT(INDEX($AV$22:$AX$45,,$AI966), INDEX($AY$22:$BE$45,,$AH966), 1 / ($BG$22:$BG$45*CW966), N($AU$22:$AU$45&gt;$AM966))
) / 1000</f>
        <v>0</v>
      </c>
      <c r="CZ966" s="229">
        <f t="shared" si="960"/>
        <v>0</v>
      </c>
      <c r="DA966" s="246"/>
    </row>
    <row r="967" spans="1:105" s="75" customFormat="1" ht="14.25" customHeight="1" x14ac:dyDescent="0.2">
      <c r="A967" s="230" t="b">
        <f t="shared" si="927"/>
        <v>0</v>
      </c>
      <c r="B967" s="253">
        <v>946</v>
      </c>
      <c r="C967" s="266"/>
      <c r="D967" s="266"/>
      <c r="E967" s="254"/>
      <c r="F967" s="255" t="str">
        <f>IF(ISBLANK(E967), "", VLOOKUP(E967, Z!$A$2:$C$4127, 3, FALSE))</f>
        <v/>
      </c>
      <c r="G967" s="256"/>
      <c r="H967" s="256"/>
      <c r="I967" s="256"/>
      <c r="J967" s="257"/>
      <c r="K967" s="258"/>
      <c r="L967" s="267"/>
      <c r="M967" s="268"/>
      <c r="N967" s="259" t="str" cm="1">
        <f t="array" ref="N967">IF($L967&gt;0, INDEX(Clean,1+AK967,$D$1), "")</f>
        <v/>
      </c>
      <c r="O967" s="260"/>
      <c r="P967" s="260"/>
      <c r="Q967" s="261"/>
      <c r="R967" s="264">
        <f t="shared" si="936"/>
        <v>0</v>
      </c>
      <c r="S967" s="259" t="str" cm="1">
        <f t="array" ref="S967">IF($L967&gt;0, INDEX(Clean,1+AL967,$D$1), "")</f>
        <v/>
      </c>
      <c r="T967" s="260"/>
      <c r="U967" s="260"/>
      <c r="V967" s="261"/>
      <c r="W967" s="267"/>
      <c r="X967" s="267"/>
      <c r="Y967" s="257"/>
      <c r="Z967" s="264">
        <f t="shared" si="937"/>
        <v>0</v>
      </c>
      <c r="AA967" s="269"/>
      <c r="AB967" s="266"/>
      <c r="AC967" s="254"/>
      <c r="AD967" s="255" t="str">
        <f>IF(ISBLANK(AC967), "", VLOOKUP(AC967, Z!$A$2:$C$4127, 3, FALSE))</f>
        <v/>
      </c>
      <c r="AE967" s="270"/>
      <c r="AF967" s="265">
        <f t="shared" si="938"/>
        <v>0</v>
      </c>
      <c r="AG967" s="246"/>
      <c r="AH967" s="228">
        <f t="shared" si="961"/>
        <v>1</v>
      </c>
      <c r="AI967" s="228">
        <f t="shared" si="962"/>
        <v>1</v>
      </c>
      <c r="AJ967" s="228">
        <f t="shared" si="963"/>
        <v>0</v>
      </c>
      <c r="AK967" s="228">
        <v>0</v>
      </c>
      <c r="AL967" s="228">
        <v>0</v>
      </c>
      <c r="AM967" s="228">
        <f t="shared" si="939"/>
        <v>-100</v>
      </c>
      <c r="AN967" s="228" cm="1">
        <f t="array" ref="AN967">IF(ISBLANK(G967), 1, IFERROR(MATCH(G967, INDEX(Kat,,1), 0), IFERROR(MATCH(Kat, INDEX(Use,,2), 0), MATCH(Kat, INDEX(Use,,3), 0))))</f>
        <v>1</v>
      </c>
      <c r="AO967" s="246"/>
      <c r="AP967" s="228" cm="1">
        <f t="array" ref="AP967">IF(W967&gt;0, INDEX(Kat, AN967,4), 0)</f>
        <v>0</v>
      </c>
      <c r="AQ967" s="228">
        <f t="shared" si="964"/>
        <v>0</v>
      </c>
      <c r="AR967" s="228" cm="1">
        <f t="array" ref="AR967">IF(X967&gt;0, INDEX(Kat, $AN967, 4+AQ967), 0)</f>
        <v>0</v>
      </c>
      <c r="AS967" s="228" cm="1">
        <f t="array" ref="AS967">IF(X967&gt;0, INDEX(Kat, $AN967, 9+AQ967), 0)</f>
        <v>0</v>
      </c>
      <c r="AT967" s="246"/>
      <c r="AU967" s="262"/>
      <c r="AV967" s="262"/>
      <c r="AW967" s="263"/>
      <c r="AX967" s="263"/>
      <c r="AY967" s="263"/>
      <c r="AZ967" s="263"/>
      <c r="BA967" s="263"/>
      <c r="BB967" s="263"/>
      <c r="BC967" s="263"/>
      <c r="BD967" s="263"/>
      <c r="BE967" s="263"/>
      <c r="BF967" s="263"/>
      <c r="BG967" s="263"/>
      <c r="BH967" s="246"/>
      <c r="BI967" s="228" cm="1">
        <f t="array" ref="BI967">INDEX(Use, $AH967, 4)</f>
        <v>7</v>
      </c>
      <c r="BJ967" s="228">
        <f t="shared" si="940"/>
        <v>32</v>
      </c>
      <c r="BK967" s="228">
        <f t="shared" si="928"/>
        <v>13</v>
      </c>
      <c r="BL967" s="228">
        <f t="shared" si="929"/>
        <v>0</v>
      </c>
      <c r="BM967" s="233" cm="1">
        <f t="array" ref="BM967">L967/IF($M967&gt;0, INDEX($AY$22:$BE$76, $M967+20, $AH967), 1)</f>
        <v>0</v>
      </c>
      <c r="BN967" s="229">
        <f t="shared" si="941"/>
        <v>0</v>
      </c>
      <c r="BO967" s="228">
        <v>35</v>
      </c>
      <c r="BP967" s="229">
        <f t="shared" si="942"/>
        <v>48</v>
      </c>
      <c r="BQ967" s="234">
        <f t="shared" si="943"/>
        <v>3.0748170731707316</v>
      </c>
      <c r="BR967" s="234" cm="1">
        <f t="array" ref="BR967">$BM967 * SUMPRODUCT(INDEX($AV$76:$AX$81,,$AI967),INDEX($AY$76:$BE$81,,$AH967), N($AU$76:$AU$81&gt;$AM967)) / BQ967 / 1000</f>
        <v>0</v>
      </c>
      <c r="BS967" s="231">
        <f t="shared" si="930"/>
        <v>30</v>
      </c>
      <c r="BT967" s="229">
        <f t="shared" si="944"/>
        <v>43</v>
      </c>
      <c r="BU967" s="234">
        <f t="shared" si="945"/>
        <v>3.5018750000000001</v>
      </c>
      <c r="BV967" s="234" cm="1">
        <f t="array" ref="BV967">$BM967 * IF($AH967&lt;=2,
SUMPRODUCT(INDEX($AV$71:$AX$75,,$AI967), INDEX($AY$71:$BE$75,,$AH967), 1 / ($BF$71:$BF$75*BU967 + (1-$BF$71:$BF$75)*BQ967), N($AU$71:$AU$75&gt;$AM967)),
SUMPRODUCT(INDEX($AV$66:$AX$75,,$AI967), INDEX($AY$66:$BE$75,,$AH967), 1 / ($BG$66:$BG$75*BU967 + (1-$BG$66:$BG$75)*BQ967), N($AU$66:$AU$75&gt;$AM967))
) / 1000</f>
        <v>0</v>
      </c>
      <c r="BW967" s="231">
        <f t="shared" si="931"/>
        <v>25</v>
      </c>
      <c r="BX967" s="229">
        <f t="shared" si="946"/>
        <v>38</v>
      </c>
      <c r="BY967" s="234">
        <f t="shared" si="947"/>
        <v>4.0666935483870965</v>
      </c>
      <c r="BZ967" s="234" cm="1">
        <f t="array" ref="BZ967">$BM967 * IF($AH967&lt;=2,
SUMPRODUCT(INDEX($AV$66:$AX$70,,$AI967), INDEX($AY$66:$BE$70,,$AH967), 1 / ($BF$66:$BF$70*BY967 + (1-$BF$66:$BF$70)*BU967), N($AU$66:$AU$70&gt;$AM967)),
SUMPRODUCT(INDEX($AV$56:$AX$65,,$AI967), INDEX($AY$56:$BE$65,,$AH967), 1 / ($BG$56:$BG$65*BY967 + (1-$BG$56:$BG$65)*BU967), N($AU$56:$AU$65&gt;$AM967))
) / 1000</f>
        <v>0</v>
      </c>
      <c r="CA967" s="231">
        <f t="shared" si="932"/>
        <v>20</v>
      </c>
      <c r="CB967" s="229">
        <f t="shared" si="948"/>
        <v>33</v>
      </c>
      <c r="CC967" s="234">
        <f t="shared" si="949"/>
        <v>4.8487499999999999</v>
      </c>
      <c r="CD967" s="234" cm="1">
        <f t="array" ref="CD967">$BM967 * IF($AH967&lt;=2,
SUMPRODUCT(INDEX($AV$61:$AX$65,,$AI967), INDEX($AY$61:$BE$65,,$AH967), 1 / ($BF$61:$BF$65*CC967 + (1-$BF$61:$BF$65)*BY967), N($AU$61:$AU$65&gt;$AM967)),
SUMPRODUCT(INDEX($AV$46:$AX$55,,$AI967), INDEX($AY$46:$BE$55,,$AH967), 1 / ($BG$46:$BG$55*CC967 + (1-$BG$46:$BG$55)*BY967), N($AU$46:$AU$55&gt;$AM967))
) / 1000</f>
        <v>0</v>
      </c>
      <c r="CE967" s="234" cm="1">
        <f t="array" ref="CE967">$BM967 * IF($AH967&lt;=2,
SUMPRODUCT(INDEX($AV$22:$AX$60,,$AI967), INDEX($AY$22:$BE$60,,$AH967), 1 / ($BF$22:$BF$60*CC967), N($AU$22:$AU$60&gt;$AM967)),
SUMPRODUCT(INDEX($AV$22:$AX$45,,$AI967), INDEX($AY$22:$BE$45,,$AH967), 1 / ($BG$22:$BG$45*CC967), N($AU$22:$AU$45&gt;$AM967))
) / 1000</f>
        <v>0</v>
      </c>
      <c r="CF967" s="229">
        <f t="shared" si="950"/>
        <v>0</v>
      </c>
      <c r="CG967" s="246"/>
      <c r="CH967" s="229">
        <f t="shared" si="951"/>
        <v>0</v>
      </c>
      <c r="CI967" s="228">
        <v>35</v>
      </c>
      <c r="CJ967" s="229">
        <f t="shared" si="952"/>
        <v>48</v>
      </c>
      <c r="CK967" s="234">
        <f t="shared" si="953"/>
        <v>3.0748170731707316</v>
      </c>
      <c r="CL967" s="234" cm="1">
        <f t="array" ref="CL967">$BM967 * SUMPRODUCT(INDEX($AV$76:$AX$81,,$AI967),INDEX($AY$76:$BE$81,,$AH967), N($AU$76:$AU$81&gt;$AM967)) / CK967 / 1000</f>
        <v>0</v>
      </c>
      <c r="CM967" s="231">
        <f t="shared" si="933"/>
        <v>30</v>
      </c>
      <c r="CN967" s="229">
        <f t="shared" si="954"/>
        <v>43</v>
      </c>
      <c r="CO967" s="234">
        <f t="shared" si="955"/>
        <v>3.5018750000000001</v>
      </c>
      <c r="CP967" s="234" cm="1">
        <f t="array" ref="CP967">$BM967 * IF($AH967&lt;=2,
SUMPRODUCT(INDEX($AV$71:$AX$75,,$AI967), INDEX($AY$71:$BE$75,,$AH967), 1 / ($BF$71:$BF$75*CO967 + (1-$BF$71:$BF$75)*CK967), N($AU$71:$AU$75&gt;$AM967)),
SUMPRODUCT(INDEX($AV$66:$AX$75,,$AI967), INDEX($AY$66:$BE$75,,$AH967), 1 / ($BG$66:$BG$75*CO967 + (1-$BG$66:$BG$75)*CK967), N($AU$66:$AU$75&gt;$AM967))
) / 1000</f>
        <v>0</v>
      </c>
      <c r="CQ967" s="231">
        <f t="shared" si="934"/>
        <v>25</v>
      </c>
      <c r="CR967" s="229">
        <f t="shared" si="956"/>
        <v>38</v>
      </c>
      <c r="CS967" s="234">
        <f t="shared" si="957"/>
        <v>4.0666935483870965</v>
      </c>
      <c r="CT967" s="234" cm="1">
        <f t="array" ref="CT967">$BM967 * IF($AH967&lt;=2,
SUMPRODUCT(INDEX($AV$66:$AX$70,,$AI967), INDEX($AY$66:$BE$70,,$AH967), 1 / ($BF$66:$BF$70*CS967 + (1-$BF$66:$BF$70)*CO967), N($AU$66:$AU$70&gt;$AM967)),
SUMPRODUCT(INDEX($AV$56:$AX$65,,$AI967), INDEX($AY$56:$BE$65,,$AH967), 1 / ($BG$56:$BG$65*CS967 + (1-$BG$56:$BG$65)*CO967), N($AU$56:$AU$65&gt;$AM967))
) / 1000</f>
        <v>0</v>
      </c>
      <c r="CU967" s="231">
        <f t="shared" si="935"/>
        <v>20</v>
      </c>
      <c r="CV967" s="229">
        <f t="shared" si="958"/>
        <v>33</v>
      </c>
      <c r="CW967" s="234">
        <f t="shared" si="959"/>
        <v>4.8487499999999999</v>
      </c>
      <c r="CX967" s="234" cm="1">
        <f t="array" ref="CX967">$BM967 * IF($AH967&lt;=2,
SUMPRODUCT(INDEX($AV$61:$AX$65,,$AI967), INDEX($AY$61:$BE$65,,$AH967), 1 / ($BF$61:$BF$65*CW967 + (1-$BF$61:$BF$65)*CS967), N($AU$61:$AU$65&gt;$AM967)),
SUMPRODUCT(INDEX($AV$46:$AX$55,,$AI967), INDEX($AY$46:$BE$55,,$AH967), 1 / ($BG$46:$BG$55*CW967 + (1-$BG$46:$BG$55)*CS967), N($AU$46:$AU$55&gt;$AM967))
) / 1000</f>
        <v>0</v>
      </c>
      <c r="CY967" s="234" cm="1">
        <f t="array" ref="CY967">$BM967 * IF($AH967&lt;=2,
SUMPRODUCT(INDEX($AV$22:$AX$60,,$AI967), INDEX($AY$22:$BE$60,,$AH967), 1 / ($BF$22:$BF$60*CW967), N($AU$22:$AU$60&gt;$AM967)),
SUMPRODUCT(INDEX($AV$22:$AX$45,,$AI967), INDEX($AY$22:$BE$45,,$AH967), 1 / ($BG$22:$BG$45*CW967), N($AU$22:$AU$45&gt;$AM967))
) / 1000</f>
        <v>0</v>
      </c>
      <c r="CZ967" s="229">
        <f t="shared" si="960"/>
        <v>0</v>
      </c>
      <c r="DA967" s="246"/>
    </row>
    <row r="968" spans="1:105" s="75" customFormat="1" ht="14.25" customHeight="1" x14ac:dyDescent="0.2">
      <c r="A968" s="230" t="b">
        <f t="shared" si="927"/>
        <v>0</v>
      </c>
      <c r="B968" s="253">
        <v>947</v>
      </c>
      <c r="C968" s="266"/>
      <c r="D968" s="266"/>
      <c r="E968" s="254"/>
      <c r="F968" s="255" t="str">
        <f>IF(ISBLANK(E968), "", VLOOKUP(E968, Z!$A$2:$C$4127, 3, FALSE))</f>
        <v/>
      </c>
      <c r="G968" s="256"/>
      <c r="H968" s="256"/>
      <c r="I968" s="256"/>
      <c r="J968" s="257"/>
      <c r="K968" s="258"/>
      <c r="L968" s="267"/>
      <c r="M968" s="268"/>
      <c r="N968" s="259" t="str" cm="1">
        <f t="array" ref="N968">IF($L968&gt;0, INDEX(Clean,1+AK968,$D$1), "")</f>
        <v/>
      </c>
      <c r="O968" s="260"/>
      <c r="P968" s="260"/>
      <c r="Q968" s="261"/>
      <c r="R968" s="264">
        <f t="shared" si="936"/>
        <v>0</v>
      </c>
      <c r="S968" s="259" t="str" cm="1">
        <f t="array" ref="S968">IF($L968&gt;0, INDEX(Clean,1+AL968,$D$1), "")</f>
        <v/>
      </c>
      <c r="T968" s="260"/>
      <c r="U968" s="260"/>
      <c r="V968" s="261"/>
      <c r="W968" s="267"/>
      <c r="X968" s="267"/>
      <c r="Y968" s="257"/>
      <c r="Z968" s="264">
        <f t="shared" si="937"/>
        <v>0</v>
      </c>
      <c r="AA968" s="269"/>
      <c r="AB968" s="266"/>
      <c r="AC968" s="254"/>
      <c r="AD968" s="255" t="str">
        <f>IF(ISBLANK(AC968), "", VLOOKUP(AC968, Z!$A$2:$C$4127, 3, FALSE))</f>
        <v/>
      </c>
      <c r="AE968" s="270"/>
      <c r="AF968" s="265">
        <f t="shared" si="938"/>
        <v>0</v>
      </c>
      <c r="AG968" s="246"/>
      <c r="AH968" s="228">
        <f t="shared" si="961"/>
        <v>1</v>
      </c>
      <c r="AI968" s="228">
        <f t="shared" si="962"/>
        <v>1</v>
      </c>
      <c r="AJ968" s="228">
        <f t="shared" si="963"/>
        <v>0</v>
      </c>
      <c r="AK968" s="228">
        <v>0</v>
      </c>
      <c r="AL968" s="228">
        <v>0</v>
      </c>
      <c r="AM968" s="228">
        <f t="shared" si="939"/>
        <v>-100</v>
      </c>
      <c r="AN968" s="228" cm="1">
        <f t="array" ref="AN968">IF(ISBLANK(G968), 1, IFERROR(MATCH(G968, INDEX(Kat,,1), 0), IFERROR(MATCH(Kat, INDEX(Use,,2), 0), MATCH(Kat, INDEX(Use,,3), 0))))</f>
        <v>1</v>
      </c>
      <c r="AO968" s="246"/>
      <c r="AP968" s="228" cm="1">
        <f t="array" ref="AP968">IF(W968&gt;0, INDEX(Kat, AN968,4), 0)</f>
        <v>0</v>
      </c>
      <c r="AQ968" s="228">
        <f t="shared" si="964"/>
        <v>0</v>
      </c>
      <c r="AR968" s="228" cm="1">
        <f t="array" ref="AR968">IF(X968&gt;0, INDEX(Kat, $AN968, 4+AQ968), 0)</f>
        <v>0</v>
      </c>
      <c r="AS968" s="228" cm="1">
        <f t="array" ref="AS968">IF(X968&gt;0, INDEX(Kat, $AN968, 9+AQ968), 0)</f>
        <v>0</v>
      </c>
      <c r="AT968" s="246"/>
      <c r="AU968" s="262"/>
      <c r="AV968" s="262"/>
      <c r="AW968" s="263"/>
      <c r="AX968" s="263"/>
      <c r="AY968" s="263"/>
      <c r="AZ968" s="263"/>
      <c r="BA968" s="263"/>
      <c r="BB968" s="263"/>
      <c r="BC968" s="263"/>
      <c r="BD968" s="263"/>
      <c r="BE968" s="263"/>
      <c r="BF968" s="263"/>
      <c r="BG968" s="263"/>
      <c r="BH968" s="246"/>
      <c r="BI968" s="228" cm="1">
        <f t="array" ref="BI968">INDEX(Use, $AH968, 4)</f>
        <v>7</v>
      </c>
      <c r="BJ968" s="228">
        <f t="shared" si="940"/>
        <v>32</v>
      </c>
      <c r="BK968" s="228">
        <f t="shared" si="928"/>
        <v>13</v>
      </c>
      <c r="BL968" s="228">
        <f t="shared" si="929"/>
        <v>0</v>
      </c>
      <c r="BM968" s="233" cm="1">
        <f t="array" ref="BM968">L968/IF($M968&gt;0, INDEX($AY$22:$BE$76, $M968+20, $AH968), 1)</f>
        <v>0</v>
      </c>
      <c r="BN968" s="229">
        <f t="shared" si="941"/>
        <v>0</v>
      </c>
      <c r="BO968" s="228">
        <v>35</v>
      </c>
      <c r="BP968" s="229">
        <f t="shared" si="942"/>
        <v>48</v>
      </c>
      <c r="BQ968" s="234">
        <f t="shared" si="943"/>
        <v>3.0748170731707316</v>
      </c>
      <c r="BR968" s="234" cm="1">
        <f t="array" ref="BR968">$BM968 * SUMPRODUCT(INDEX($AV$76:$AX$81,,$AI968),INDEX($AY$76:$BE$81,,$AH968), N($AU$76:$AU$81&gt;$AM968)) / BQ968 / 1000</f>
        <v>0</v>
      </c>
      <c r="BS968" s="231">
        <f t="shared" si="930"/>
        <v>30</v>
      </c>
      <c r="BT968" s="229">
        <f t="shared" si="944"/>
        <v>43</v>
      </c>
      <c r="BU968" s="234">
        <f t="shared" si="945"/>
        <v>3.5018750000000001</v>
      </c>
      <c r="BV968" s="234" cm="1">
        <f t="array" ref="BV968">$BM968 * IF($AH968&lt;=2,
SUMPRODUCT(INDEX($AV$71:$AX$75,,$AI968), INDEX($AY$71:$BE$75,,$AH968), 1 / ($BF$71:$BF$75*BU968 + (1-$BF$71:$BF$75)*BQ968), N($AU$71:$AU$75&gt;$AM968)),
SUMPRODUCT(INDEX($AV$66:$AX$75,,$AI968), INDEX($AY$66:$BE$75,,$AH968), 1 / ($BG$66:$BG$75*BU968 + (1-$BG$66:$BG$75)*BQ968), N($AU$66:$AU$75&gt;$AM968))
) / 1000</f>
        <v>0</v>
      </c>
      <c r="BW968" s="231">
        <f t="shared" si="931"/>
        <v>25</v>
      </c>
      <c r="BX968" s="229">
        <f t="shared" si="946"/>
        <v>38</v>
      </c>
      <c r="BY968" s="234">
        <f t="shared" si="947"/>
        <v>4.0666935483870965</v>
      </c>
      <c r="BZ968" s="234" cm="1">
        <f t="array" ref="BZ968">$BM968 * IF($AH968&lt;=2,
SUMPRODUCT(INDEX($AV$66:$AX$70,,$AI968), INDEX($AY$66:$BE$70,,$AH968), 1 / ($BF$66:$BF$70*BY968 + (1-$BF$66:$BF$70)*BU968), N($AU$66:$AU$70&gt;$AM968)),
SUMPRODUCT(INDEX($AV$56:$AX$65,,$AI968), INDEX($AY$56:$BE$65,,$AH968), 1 / ($BG$56:$BG$65*BY968 + (1-$BG$56:$BG$65)*BU968), N($AU$56:$AU$65&gt;$AM968))
) / 1000</f>
        <v>0</v>
      </c>
      <c r="CA968" s="231">
        <f t="shared" si="932"/>
        <v>20</v>
      </c>
      <c r="CB968" s="229">
        <f t="shared" si="948"/>
        <v>33</v>
      </c>
      <c r="CC968" s="234">
        <f t="shared" si="949"/>
        <v>4.8487499999999999</v>
      </c>
      <c r="CD968" s="234" cm="1">
        <f t="array" ref="CD968">$BM968 * IF($AH968&lt;=2,
SUMPRODUCT(INDEX($AV$61:$AX$65,,$AI968), INDEX($AY$61:$BE$65,,$AH968), 1 / ($BF$61:$BF$65*CC968 + (1-$BF$61:$BF$65)*BY968), N($AU$61:$AU$65&gt;$AM968)),
SUMPRODUCT(INDEX($AV$46:$AX$55,,$AI968), INDEX($AY$46:$BE$55,,$AH968), 1 / ($BG$46:$BG$55*CC968 + (1-$BG$46:$BG$55)*BY968), N($AU$46:$AU$55&gt;$AM968))
) / 1000</f>
        <v>0</v>
      </c>
      <c r="CE968" s="234" cm="1">
        <f t="array" ref="CE968">$BM968 * IF($AH968&lt;=2,
SUMPRODUCT(INDEX($AV$22:$AX$60,,$AI968), INDEX($AY$22:$BE$60,,$AH968), 1 / ($BF$22:$BF$60*CC968), N($AU$22:$AU$60&gt;$AM968)),
SUMPRODUCT(INDEX($AV$22:$AX$45,,$AI968), INDEX($AY$22:$BE$45,,$AH968), 1 / ($BG$22:$BG$45*CC968), N($AU$22:$AU$45&gt;$AM968))
) / 1000</f>
        <v>0</v>
      </c>
      <c r="CF968" s="229">
        <f t="shared" si="950"/>
        <v>0</v>
      </c>
      <c r="CG968" s="246"/>
      <c r="CH968" s="229">
        <f t="shared" si="951"/>
        <v>0</v>
      </c>
      <c r="CI968" s="228">
        <v>35</v>
      </c>
      <c r="CJ968" s="229">
        <f t="shared" si="952"/>
        <v>48</v>
      </c>
      <c r="CK968" s="234">
        <f t="shared" si="953"/>
        <v>3.0748170731707316</v>
      </c>
      <c r="CL968" s="234" cm="1">
        <f t="array" ref="CL968">$BM968 * SUMPRODUCT(INDEX($AV$76:$AX$81,,$AI968),INDEX($AY$76:$BE$81,,$AH968), N($AU$76:$AU$81&gt;$AM968)) / CK968 / 1000</f>
        <v>0</v>
      </c>
      <c r="CM968" s="231">
        <f t="shared" si="933"/>
        <v>30</v>
      </c>
      <c r="CN968" s="229">
        <f t="shared" si="954"/>
        <v>43</v>
      </c>
      <c r="CO968" s="234">
        <f t="shared" si="955"/>
        <v>3.5018750000000001</v>
      </c>
      <c r="CP968" s="234" cm="1">
        <f t="array" ref="CP968">$BM968 * IF($AH968&lt;=2,
SUMPRODUCT(INDEX($AV$71:$AX$75,,$AI968), INDEX($AY$71:$BE$75,,$AH968), 1 / ($BF$71:$BF$75*CO968 + (1-$BF$71:$BF$75)*CK968), N($AU$71:$AU$75&gt;$AM968)),
SUMPRODUCT(INDEX($AV$66:$AX$75,,$AI968), INDEX($AY$66:$BE$75,,$AH968), 1 / ($BG$66:$BG$75*CO968 + (1-$BG$66:$BG$75)*CK968), N($AU$66:$AU$75&gt;$AM968))
) / 1000</f>
        <v>0</v>
      </c>
      <c r="CQ968" s="231">
        <f t="shared" si="934"/>
        <v>25</v>
      </c>
      <c r="CR968" s="229">
        <f t="shared" si="956"/>
        <v>38</v>
      </c>
      <c r="CS968" s="234">
        <f t="shared" si="957"/>
        <v>4.0666935483870965</v>
      </c>
      <c r="CT968" s="234" cm="1">
        <f t="array" ref="CT968">$BM968 * IF($AH968&lt;=2,
SUMPRODUCT(INDEX($AV$66:$AX$70,,$AI968), INDEX($AY$66:$BE$70,,$AH968), 1 / ($BF$66:$BF$70*CS968 + (1-$BF$66:$BF$70)*CO968), N($AU$66:$AU$70&gt;$AM968)),
SUMPRODUCT(INDEX($AV$56:$AX$65,,$AI968), INDEX($AY$56:$BE$65,,$AH968), 1 / ($BG$56:$BG$65*CS968 + (1-$BG$56:$BG$65)*CO968), N($AU$56:$AU$65&gt;$AM968))
) / 1000</f>
        <v>0</v>
      </c>
      <c r="CU968" s="231">
        <f t="shared" si="935"/>
        <v>20</v>
      </c>
      <c r="CV968" s="229">
        <f t="shared" si="958"/>
        <v>33</v>
      </c>
      <c r="CW968" s="234">
        <f t="shared" si="959"/>
        <v>4.8487499999999999</v>
      </c>
      <c r="CX968" s="234" cm="1">
        <f t="array" ref="CX968">$BM968 * IF($AH968&lt;=2,
SUMPRODUCT(INDEX($AV$61:$AX$65,,$AI968), INDEX($AY$61:$BE$65,,$AH968), 1 / ($BF$61:$BF$65*CW968 + (1-$BF$61:$BF$65)*CS968), N($AU$61:$AU$65&gt;$AM968)),
SUMPRODUCT(INDEX($AV$46:$AX$55,,$AI968), INDEX($AY$46:$BE$55,,$AH968), 1 / ($BG$46:$BG$55*CW968 + (1-$BG$46:$BG$55)*CS968), N($AU$46:$AU$55&gt;$AM968))
) / 1000</f>
        <v>0</v>
      </c>
      <c r="CY968" s="234" cm="1">
        <f t="array" ref="CY968">$BM968 * IF($AH968&lt;=2,
SUMPRODUCT(INDEX($AV$22:$AX$60,,$AI968), INDEX($AY$22:$BE$60,,$AH968), 1 / ($BF$22:$BF$60*CW968), N($AU$22:$AU$60&gt;$AM968)),
SUMPRODUCT(INDEX($AV$22:$AX$45,,$AI968), INDEX($AY$22:$BE$45,,$AH968), 1 / ($BG$22:$BG$45*CW968), N($AU$22:$AU$45&gt;$AM968))
) / 1000</f>
        <v>0</v>
      </c>
      <c r="CZ968" s="229">
        <f t="shared" si="960"/>
        <v>0</v>
      </c>
      <c r="DA968" s="246"/>
    </row>
    <row r="969" spans="1:105" s="75" customFormat="1" ht="14.25" customHeight="1" x14ac:dyDescent="0.2">
      <c r="A969" s="230" t="b">
        <f t="shared" si="927"/>
        <v>0</v>
      </c>
      <c r="B969" s="253">
        <v>948</v>
      </c>
      <c r="C969" s="266"/>
      <c r="D969" s="266"/>
      <c r="E969" s="254"/>
      <c r="F969" s="255" t="str">
        <f>IF(ISBLANK(E969), "", VLOOKUP(E969, Z!$A$2:$C$4127, 3, FALSE))</f>
        <v/>
      </c>
      <c r="G969" s="256"/>
      <c r="H969" s="256"/>
      <c r="I969" s="256"/>
      <c r="J969" s="257"/>
      <c r="K969" s="258"/>
      <c r="L969" s="267"/>
      <c r="M969" s="268"/>
      <c r="N969" s="259" t="str" cm="1">
        <f t="array" ref="N969">IF($L969&gt;0, INDEX(Clean,1+AK969,$D$1), "")</f>
        <v/>
      </c>
      <c r="O969" s="260"/>
      <c r="P969" s="260"/>
      <c r="Q969" s="261"/>
      <c r="R969" s="264">
        <f t="shared" si="936"/>
        <v>0</v>
      </c>
      <c r="S969" s="259" t="str" cm="1">
        <f t="array" ref="S969">IF($L969&gt;0, INDEX(Clean,1+AL969,$D$1), "")</f>
        <v/>
      </c>
      <c r="T969" s="260"/>
      <c r="U969" s="260"/>
      <c r="V969" s="261"/>
      <c r="W969" s="267"/>
      <c r="X969" s="267"/>
      <c r="Y969" s="257"/>
      <c r="Z969" s="264">
        <f t="shared" si="937"/>
        <v>0</v>
      </c>
      <c r="AA969" s="269"/>
      <c r="AB969" s="266"/>
      <c r="AC969" s="254"/>
      <c r="AD969" s="255" t="str">
        <f>IF(ISBLANK(AC969), "", VLOOKUP(AC969, Z!$A$2:$C$4127, 3, FALSE))</f>
        <v/>
      </c>
      <c r="AE969" s="270"/>
      <c r="AF969" s="265">
        <f t="shared" si="938"/>
        <v>0</v>
      </c>
      <c r="AG969" s="246"/>
      <c r="AH969" s="228">
        <f t="shared" si="961"/>
        <v>1</v>
      </c>
      <c r="AI969" s="228">
        <f t="shared" si="962"/>
        <v>1</v>
      </c>
      <c r="AJ969" s="228">
        <f t="shared" si="963"/>
        <v>0</v>
      </c>
      <c r="AK969" s="228">
        <v>0</v>
      </c>
      <c r="AL969" s="228">
        <v>0</v>
      </c>
      <c r="AM969" s="228">
        <f t="shared" si="939"/>
        <v>-100</v>
      </c>
      <c r="AN969" s="228" cm="1">
        <f t="array" ref="AN969">IF(ISBLANK(G969), 1, IFERROR(MATCH(G969, INDEX(Kat,,1), 0), IFERROR(MATCH(Kat, INDEX(Use,,2), 0), MATCH(Kat, INDEX(Use,,3), 0))))</f>
        <v>1</v>
      </c>
      <c r="AO969" s="246"/>
      <c r="AP969" s="228" cm="1">
        <f t="array" ref="AP969">IF(W969&gt;0, INDEX(Kat, AN969,4), 0)</f>
        <v>0</v>
      </c>
      <c r="AQ969" s="228">
        <f t="shared" si="964"/>
        <v>0</v>
      </c>
      <c r="AR969" s="228" cm="1">
        <f t="array" ref="AR969">IF(X969&gt;0, INDEX(Kat, $AN969, 4+AQ969), 0)</f>
        <v>0</v>
      </c>
      <c r="AS969" s="228" cm="1">
        <f t="array" ref="AS969">IF(X969&gt;0, INDEX(Kat, $AN969, 9+AQ969), 0)</f>
        <v>0</v>
      </c>
      <c r="AT969" s="246"/>
      <c r="AU969" s="262"/>
      <c r="AV969" s="262"/>
      <c r="AW969" s="263"/>
      <c r="AX969" s="263"/>
      <c r="AY969" s="263"/>
      <c r="AZ969" s="263"/>
      <c r="BA969" s="263"/>
      <c r="BB969" s="263"/>
      <c r="BC969" s="263"/>
      <c r="BD969" s="263"/>
      <c r="BE969" s="263"/>
      <c r="BF969" s="263"/>
      <c r="BG969" s="263"/>
      <c r="BH969" s="246"/>
      <c r="BI969" s="228" cm="1">
        <f t="array" ref="BI969">INDEX(Use, $AH969, 4)</f>
        <v>7</v>
      </c>
      <c r="BJ969" s="228">
        <f t="shared" si="940"/>
        <v>32</v>
      </c>
      <c r="BK969" s="228">
        <f t="shared" si="928"/>
        <v>13</v>
      </c>
      <c r="BL969" s="228">
        <f t="shared" si="929"/>
        <v>0</v>
      </c>
      <c r="BM969" s="233" cm="1">
        <f t="array" ref="BM969">L969/IF($M969&gt;0, INDEX($AY$22:$BE$76, $M969+20, $AH969), 1)</f>
        <v>0</v>
      </c>
      <c r="BN969" s="229">
        <f t="shared" si="941"/>
        <v>0</v>
      </c>
      <c r="BO969" s="228">
        <v>35</v>
      </c>
      <c r="BP969" s="229">
        <f t="shared" si="942"/>
        <v>48</v>
      </c>
      <c r="BQ969" s="234">
        <f t="shared" si="943"/>
        <v>3.0748170731707316</v>
      </c>
      <c r="BR969" s="234" cm="1">
        <f t="array" ref="BR969">$BM969 * SUMPRODUCT(INDEX($AV$76:$AX$81,,$AI969),INDEX($AY$76:$BE$81,,$AH969), N($AU$76:$AU$81&gt;$AM969)) / BQ969 / 1000</f>
        <v>0</v>
      </c>
      <c r="BS969" s="231">
        <f t="shared" si="930"/>
        <v>30</v>
      </c>
      <c r="BT969" s="229">
        <f t="shared" si="944"/>
        <v>43</v>
      </c>
      <c r="BU969" s="234">
        <f t="shared" si="945"/>
        <v>3.5018750000000001</v>
      </c>
      <c r="BV969" s="234" cm="1">
        <f t="array" ref="BV969">$BM969 * IF($AH969&lt;=2,
SUMPRODUCT(INDEX($AV$71:$AX$75,,$AI969), INDEX($AY$71:$BE$75,,$AH969), 1 / ($BF$71:$BF$75*BU969 + (1-$BF$71:$BF$75)*BQ969), N($AU$71:$AU$75&gt;$AM969)),
SUMPRODUCT(INDEX($AV$66:$AX$75,,$AI969), INDEX($AY$66:$BE$75,,$AH969), 1 / ($BG$66:$BG$75*BU969 + (1-$BG$66:$BG$75)*BQ969), N($AU$66:$AU$75&gt;$AM969))
) / 1000</f>
        <v>0</v>
      </c>
      <c r="BW969" s="231">
        <f t="shared" si="931"/>
        <v>25</v>
      </c>
      <c r="BX969" s="229">
        <f t="shared" si="946"/>
        <v>38</v>
      </c>
      <c r="BY969" s="234">
        <f t="shared" si="947"/>
        <v>4.0666935483870965</v>
      </c>
      <c r="BZ969" s="234" cm="1">
        <f t="array" ref="BZ969">$BM969 * IF($AH969&lt;=2,
SUMPRODUCT(INDEX($AV$66:$AX$70,,$AI969), INDEX($AY$66:$BE$70,,$AH969), 1 / ($BF$66:$BF$70*BY969 + (1-$BF$66:$BF$70)*BU969), N($AU$66:$AU$70&gt;$AM969)),
SUMPRODUCT(INDEX($AV$56:$AX$65,,$AI969), INDEX($AY$56:$BE$65,,$AH969), 1 / ($BG$56:$BG$65*BY969 + (1-$BG$56:$BG$65)*BU969), N($AU$56:$AU$65&gt;$AM969))
) / 1000</f>
        <v>0</v>
      </c>
      <c r="CA969" s="231">
        <f t="shared" si="932"/>
        <v>20</v>
      </c>
      <c r="CB969" s="229">
        <f t="shared" si="948"/>
        <v>33</v>
      </c>
      <c r="CC969" s="234">
        <f t="shared" si="949"/>
        <v>4.8487499999999999</v>
      </c>
      <c r="CD969" s="234" cm="1">
        <f t="array" ref="CD969">$BM969 * IF($AH969&lt;=2,
SUMPRODUCT(INDEX($AV$61:$AX$65,,$AI969), INDEX($AY$61:$BE$65,,$AH969), 1 / ($BF$61:$BF$65*CC969 + (1-$BF$61:$BF$65)*BY969), N($AU$61:$AU$65&gt;$AM969)),
SUMPRODUCT(INDEX($AV$46:$AX$55,,$AI969), INDEX($AY$46:$BE$55,,$AH969), 1 / ($BG$46:$BG$55*CC969 + (1-$BG$46:$BG$55)*BY969), N($AU$46:$AU$55&gt;$AM969))
) / 1000</f>
        <v>0</v>
      </c>
      <c r="CE969" s="234" cm="1">
        <f t="array" ref="CE969">$BM969 * IF($AH969&lt;=2,
SUMPRODUCT(INDEX($AV$22:$AX$60,,$AI969), INDEX($AY$22:$BE$60,,$AH969), 1 / ($BF$22:$BF$60*CC969), N($AU$22:$AU$60&gt;$AM969)),
SUMPRODUCT(INDEX($AV$22:$AX$45,,$AI969), INDEX($AY$22:$BE$45,,$AH969), 1 / ($BG$22:$BG$45*CC969), N($AU$22:$AU$45&gt;$AM969))
) / 1000</f>
        <v>0</v>
      </c>
      <c r="CF969" s="229">
        <f t="shared" si="950"/>
        <v>0</v>
      </c>
      <c r="CG969" s="246"/>
      <c r="CH969" s="229">
        <f t="shared" si="951"/>
        <v>0</v>
      </c>
      <c r="CI969" s="228">
        <v>35</v>
      </c>
      <c r="CJ969" s="229">
        <f t="shared" si="952"/>
        <v>48</v>
      </c>
      <c r="CK969" s="234">
        <f t="shared" si="953"/>
        <v>3.0748170731707316</v>
      </c>
      <c r="CL969" s="234" cm="1">
        <f t="array" ref="CL969">$BM969 * SUMPRODUCT(INDEX($AV$76:$AX$81,,$AI969),INDEX($AY$76:$BE$81,,$AH969), N($AU$76:$AU$81&gt;$AM969)) / CK969 / 1000</f>
        <v>0</v>
      </c>
      <c r="CM969" s="231">
        <f t="shared" si="933"/>
        <v>30</v>
      </c>
      <c r="CN969" s="229">
        <f t="shared" si="954"/>
        <v>43</v>
      </c>
      <c r="CO969" s="234">
        <f t="shared" si="955"/>
        <v>3.5018750000000001</v>
      </c>
      <c r="CP969" s="234" cm="1">
        <f t="array" ref="CP969">$BM969 * IF($AH969&lt;=2,
SUMPRODUCT(INDEX($AV$71:$AX$75,,$AI969), INDEX($AY$71:$BE$75,,$AH969), 1 / ($BF$71:$BF$75*CO969 + (1-$BF$71:$BF$75)*CK969), N($AU$71:$AU$75&gt;$AM969)),
SUMPRODUCT(INDEX($AV$66:$AX$75,,$AI969), INDEX($AY$66:$BE$75,,$AH969), 1 / ($BG$66:$BG$75*CO969 + (1-$BG$66:$BG$75)*CK969), N($AU$66:$AU$75&gt;$AM969))
) / 1000</f>
        <v>0</v>
      </c>
      <c r="CQ969" s="231">
        <f t="shared" si="934"/>
        <v>25</v>
      </c>
      <c r="CR969" s="229">
        <f t="shared" si="956"/>
        <v>38</v>
      </c>
      <c r="CS969" s="234">
        <f t="shared" si="957"/>
        <v>4.0666935483870965</v>
      </c>
      <c r="CT969" s="234" cm="1">
        <f t="array" ref="CT969">$BM969 * IF($AH969&lt;=2,
SUMPRODUCT(INDEX($AV$66:$AX$70,,$AI969), INDEX($AY$66:$BE$70,,$AH969), 1 / ($BF$66:$BF$70*CS969 + (1-$BF$66:$BF$70)*CO969), N($AU$66:$AU$70&gt;$AM969)),
SUMPRODUCT(INDEX($AV$56:$AX$65,,$AI969), INDEX($AY$56:$BE$65,,$AH969), 1 / ($BG$56:$BG$65*CS969 + (1-$BG$56:$BG$65)*CO969), N($AU$56:$AU$65&gt;$AM969))
) / 1000</f>
        <v>0</v>
      </c>
      <c r="CU969" s="231">
        <f t="shared" si="935"/>
        <v>20</v>
      </c>
      <c r="CV969" s="229">
        <f t="shared" si="958"/>
        <v>33</v>
      </c>
      <c r="CW969" s="234">
        <f t="shared" si="959"/>
        <v>4.8487499999999999</v>
      </c>
      <c r="CX969" s="234" cm="1">
        <f t="array" ref="CX969">$BM969 * IF($AH969&lt;=2,
SUMPRODUCT(INDEX($AV$61:$AX$65,,$AI969), INDEX($AY$61:$BE$65,,$AH969), 1 / ($BF$61:$BF$65*CW969 + (1-$BF$61:$BF$65)*CS969), N($AU$61:$AU$65&gt;$AM969)),
SUMPRODUCT(INDEX($AV$46:$AX$55,,$AI969), INDEX($AY$46:$BE$55,,$AH969), 1 / ($BG$46:$BG$55*CW969 + (1-$BG$46:$BG$55)*CS969), N($AU$46:$AU$55&gt;$AM969))
) / 1000</f>
        <v>0</v>
      </c>
      <c r="CY969" s="234" cm="1">
        <f t="array" ref="CY969">$BM969 * IF($AH969&lt;=2,
SUMPRODUCT(INDEX($AV$22:$AX$60,,$AI969), INDEX($AY$22:$BE$60,,$AH969), 1 / ($BF$22:$BF$60*CW969), N($AU$22:$AU$60&gt;$AM969)),
SUMPRODUCT(INDEX($AV$22:$AX$45,,$AI969), INDEX($AY$22:$BE$45,,$AH969), 1 / ($BG$22:$BG$45*CW969), N($AU$22:$AU$45&gt;$AM969))
) / 1000</f>
        <v>0</v>
      </c>
      <c r="CZ969" s="229">
        <f t="shared" si="960"/>
        <v>0</v>
      </c>
      <c r="DA969" s="246"/>
    </row>
    <row r="970" spans="1:105" s="75" customFormat="1" ht="14.25" customHeight="1" x14ac:dyDescent="0.2">
      <c r="A970" s="230" t="b">
        <f t="shared" si="927"/>
        <v>0</v>
      </c>
      <c r="B970" s="253">
        <v>949</v>
      </c>
      <c r="C970" s="266"/>
      <c r="D970" s="266"/>
      <c r="E970" s="254"/>
      <c r="F970" s="255" t="str">
        <f>IF(ISBLANK(E970), "", VLOOKUP(E970, Z!$A$2:$C$4127, 3, FALSE))</f>
        <v/>
      </c>
      <c r="G970" s="256"/>
      <c r="H970" s="256"/>
      <c r="I970" s="256"/>
      <c r="J970" s="257"/>
      <c r="K970" s="258"/>
      <c r="L970" s="267"/>
      <c r="M970" s="268"/>
      <c r="N970" s="259" t="str" cm="1">
        <f t="array" ref="N970">IF($L970&gt;0, INDEX(Clean,1+AK970,$D$1), "")</f>
        <v/>
      </c>
      <c r="O970" s="260"/>
      <c r="P970" s="260"/>
      <c r="Q970" s="261"/>
      <c r="R970" s="264">
        <f t="shared" si="936"/>
        <v>0</v>
      </c>
      <c r="S970" s="259" t="str" cm="1">
        <f t="array" ref="S970">IF($L970&gt;0, INDEX(Clean,1+AL970,$D$1), "")</f>
        <v/>
      </c>
      <c r="T970" s="260"/>
      <c r="U970" s="260"/>
      <c r="V970" s="261"/>
      <c r="W970" s="267"/>
      <c r="X970" s="267"/>
      <c r="Y970" s="257"/>
      <c r="Z970" s="264">
        <f t="shared" si="937"/>
        <v>0</v>
      </c>
      <c r="AA970" s="269"/>
      <c r="AB970" s="266"/>
      <c r="AC970" s="254"/>
      <c r="AD970" s="255" t="str">
        <f>IF(ISBLANK(AC970), "", VLOOKUP(AC970, Z!$A$2:$C$4127, 3, FALSE))</f>
        <v/>
      </c>
      <c r="AE970" s="270"/>
      <c r="AF970" s="265">
        <f t="shared" si="938"/>
        <v>0</v>
      </c>
      <c r="AG970" s="246"/>
      <c r="AH970" s="228">
        <f t="shared" si="961"/>
        <v>1</v>
      </c>
      <c r="AI970" s="228">
        <f t="shared" si="962"/>
        <v>1</v>
      </c>
      <c r="AJ970" s="228">
        <f t="shared" si="963"/>
        <v>0</v>
      </c>
      <c r="AK970" s="228">
        <v>0</v>
      </c>
      <c r="AL970" s="228">
        <v>0</v>
      </c>
      <c r="AM970" s="228">
        <f t="shared" si="939"/>
        <v>-100</v>
      </c>
      <c r="AN970" s="228" cm="1">
        <f t="array" ref="AN970">IF(ISBLANK(G970), 1, IFERROR(MATCH(G970, INDEX(Kat,,1), 0), IFERROR(MATCH(Kat, INDEX(Use,,2), 0), MATCH(Kat, INDEX(Use,,3), 0))))</f>
        <v>1</v>
      </c>
      <c r="AO970" s="246"/>
      <c r="AP970" s="228" cm="1">
        <f t="array" ref="AP970">IF(W970&gt;0, INDEX(Kat, AN970,4), 0)</f>
        <v>0</v>
      </c>
      <c r="AQ970" s="228">
        <f t="shared" si="964"/>
        <v>0</v>
      </c>
      <c r="AR970" s="228" cm="1">
        <f t="array" ref="AR970">IF(X970&gt;0, INDEX(Kat, $AN970, 4+AQ970), 0)</f>
        <v>0</v>
      </c>
      <c r="AS970" s="228" cm="1">
        <f t="array" ref="AS970">IF(X970&gt;0, INDEX(Kat, $AN970, 9+AQ970), 0)</f>
        <v>0</v>
      </c>
      <c r="AT970" s="246"/>
      <c r="AU970" s="262"/>
      <c r="AV970" s="262"/>
      <c r="AW970" s="263"/>
      <c r="AX970" s="263"/>
      <c r="AY970" s="263"/>
      <c r="AZ970" s="263"/>
      <c r="BA970" s="263"/>
      <c r="BB970" s="263"/>
      <c r="BC970" s="263"/>
      <c r="BD970" s="263"/>
      <c r="BE970" s="263"/>
      <c r="BF970" s="263"/>
      <c r="BG970" s="263"/>
      <c r="BH970" s="246"/>
      <c r="BI970" s="228" cm="1">
        <f t="array" ref="BI970">INDEX(Use, $AH970, 4)</f>
        <v>7</v>
      </c>
      <c r="BJ970" s="228">
        <f t="shared" si="940"/>
        <v>32</v>
      </c>
      <c r="BK970" s="228">
        <f t="shared" si="928"/>
        <v>13</v>
      </c>
      <c r="BL970" s="228">
        <f t="shared" si="929"/>
        <v>0</v>
      </c>
      <c r="BM970" s="233" cm="1">
        <f t="array" ref="BM970">L970/IF($M970&gt;0, INDEX($AY$22:$BE$76, $M970+20, $AH970), 1)</f>
        <v>0</v>
      </c>
      <c r="BN970" s="229">
        <f t="shared" si="941"/>
        <v>0</v>
      </c>
      <c r="BO970" s="228">
        <v>35</v>
      </c>
      <c r="BP970" s="229">
        <f t="shared" si="942"/>
        <v>48</v>
      </c>
      <c r="BQ970" s="234">
        <f t="shared" si="943"/>
        <v>3.0748170731707316</v>
      </c>
      <c r="BR970" s="234" cm="1">
        <f t="array" ref="BR970">$BM970 * SUMPRODUCT(INDEX($AV$76:$AX$81,,$AI970),INDEX($AY$76:$BE$81,,$AH970), N($AU$76:$AU$81&gt;$AM970)) / BQ970 / 1000</f>
        <v>0</v>
      </c>
      <c r="BS970" s="231">
        <f t="shared" si="930"/>
        <v>30</v>
      </c>
      <c r="BT970" s="229">
        <f t="shared" si="944"/>
        <v>43</v>
      </c>
      <c r="BU970" s="234">
        <f t="shared" si="945"/>
        <v>3.5018750000000001</v>
      </c>
      <c r="BV970" s="234" cm="1">
        <f t="array" ref="BV970">$BM970 * IF($AH970&lt;=2,
SUMPRODUCT(INDEX($AV$71:$AX$75,,$AI970), INDEX($AY$71:$BE$75,,$AH970), 1 / ($BF$71:$BF$75*BU970 + (1-$BF$71:$BF$75)*BQ970), N($AU$71:$AU$75&gt;$AM970)),
SUMPRODUCT(INDEX($AV$66:$AX$75,,$AI970), INDEX($AY$66:$BE$75,,$AH970), 1 / ($BG$66:$BG$75*BU970 + (1-$BG$66:$BG$75)*BQ970), N($AU$66:$AU$75&gt;$AM970))
) / 1000</f>
        <v>0</v>
      </c>
      <c r="BW970" s="231">
        <f t="shared" si="931"/>
        <v>25</v>
      </c>
      <c r="BX970" s="229">
        <f t="shared" si="946"/>
        <v>38</v>
      </c>
      <c r="BY970" s="234">
        <f t="shared" si="947"/>
        <v>4.0666935483870965</v>
      </c>
      <c r="BZ970" s="234" cm="1">
        <f t="array" ref="BZ970">$BM970 * IF($AH970&lt;=2,
SUMPRODUCT(INDEX($AV$66:$AX$70,,$AI970), INDEX($AY$66:$BE$70,,$AH970), 1 / ($BF$66:$BF$70*BY970 + (1-$BF$66:$BF$70)*BU970), N($AU$66:$AU$70&gt;$AM970)),
SUMPRODUCT(INDEX($AV$56:$AX$65,,$AI970), INDEX($AY$56:$BE$65,,$AH970), 1 / ($BG$56:$BG$65*BY970 + (1-$BG$56:$BG$65)*BU970), N($AU$56:$AU$65&gt;$AM970))
) / 1000</f>
        <v>0</v>
      </c>
      <c r="CA970" s="231">
        <f t="shared" si="932"/>
        <v>20</v>
      </c>
      <c r="CB970" s="229">
        <f t="shared" si="948"/>
        <v>33</v>
      </c>
      <c r="CC970" s="234">
        <f t="shared" si="949"/>
        <v>4.8487499999999999</v>
      </c>
      <c r="CD970" s="234" cm="1">
        <f t="array" ref="CD970">$BM970 * IF($AH970&lt;=2,
SUMPRODUCT(INDEX($AV$61:$AX$65,,$AI970), INDEX($AY$61:$BE$65,,$AH970), 1 / ($BF$61:$BF$65*CC970 + (1-$BF$61:$BF$65)*BY970), N($AU$61:$AU$65&gt;$AM970)),
SUMPRODUCT(INDEX($AV$46:$AX$55,,$AI970), INDEX($AY$46:$BE$55,,$AH970), 1 / ($BG$46:$BG$55*CC970 + (1-$BG$46:$BG$55)*BY970), N($AU$46:$AU$55&gt;$AM970))
) / 1000</f>
        <v>0</v>
      </c>
      <c r="CE970" s="234" cm="1">
        <f t="array" ref="CE970">$BM970 * IF($AH970&lt;=2,
SUMPRODUCT(INDEX($AV$22:$AX$60,,$AI970), INDEX($AY$22:$BE$60,,$AH970), 1 / ($BF$22:$BF$60*CC970), N($AU$22:$AU$60&gt;$AM970)),
SUMPRODUCT(INDEX($AV$22:$AX$45,,$AI970), INDEX($AY$22:$BE$45,,$AH970), 1 / ($BG$22:$BG$45*CC970), N($AU$22:$AU$45&gt;$AM970))
) / 1000</f>
        <v>0</v>
      </c>
      <c r="CF970" s="229">
        <f t="shared" si="950"/>
        <v>0</v>
      </c>
      <c r="CG970" s="246"/>
      <c r="CH970" s="229">
        <f t="shared" si="951"/>
        <v>0</v>
      </c>
      <c r="CI970" s="228">
        <v>35</v>
      </c>
      <c r="CJ970" s="229">
        <f t="shared" si="952"/>
        <v>48</v>
      </c>
      <c r="CK970" s="234">
        <f t="shared" si="953"/>
        <v>3.0748170731707316</v>
      </c>
      <c r="CL970" s="234" cm="1">
        <f t="array" ref="CL970">$BM970 * SUMPRODUCT(INDEX($AV$76:$AX$81,,$AI970),INDEX($AY$76:$BE$81,,$AH970), N($AU$76:$AU$81&gt;$AM970)) / CK970 / 1000</f>
        <v>0</v>
      </c>
      <c r="CM970" s="231">
        <f t="shared" si="933"/>
        <v>30</v>
      </c>
      <c r="CN970" s="229">
        <f t="shared" si="954"/>
        <v>43</v>
      </c>
      <c r="CO970" s="234">
        <f t="shared" si="955"/>
        <v>3.5018750000000001</v>
      </c>
      <c r="CP970" s="234" cm="1">
        <f t="array" ref="CP970">$BM970 * IF($AH970&lt;=2,
SUMPRODUCT(INDEX($AV$71:$AX$75,,$AI970), INDEX($AY$71:$BE$75,,$AH970), 1 / ($BF$71:$BF$75*CO970 + (1-$BF$71:$BF$75)*CK970), N($AU$71:$AU$75&gt;$AM970)),
SUMPRODUCT(INDEX($AV$66:$AX$75,,$AI970), INDEX($AY$66:$BE$75,,$AH970), 1 / ($BG$66:$BG$75*CO970 + (1-$BG$66:$BG$75)*CK970), N($AU$66:$AU$75&gt;$AM970))
) / 1000</f>
        <v>0</v>
      </c>
      <c r="CQ970" s="231">
        <f t="shared" si="934"/>
        <v>25</v>
      </c>
      <c r="CR970" s="229">
        <f t="shared" si="956"/>
        <v>38</v>
      </c>
      <c r="CS970" s="234">
        <f t="shared" si="957"/>
        <v>4.0666935483870965</v>
      </c>
      <c r="CT970" s="234" cm="1">
        <f t="array" ref="CT970">$BM970 * IF($AH970&lt;=2,
SUMPRODUCT(INDEX($AV$66:$AX$70,,$AI970), INDEX($AY$66:$BE$70,,$AH970), 1 / ($BF$66:$BF$70*CS970 + (1-$BF$66:$BF$70)*CO970), N($AU$66:$AU$70&gt;$AM970)),
SUMPRODUCT(INDEX($AV$56:$AX$65,,$AI970), INDEX($AY$56:$BE$65,,$AH970), 1 / ($BG$56:$BG$65*CS970 + (1-$BG$56:$BG$65)*CO970), N($AU$56:$AU$65&gt;$AM970))
) / 1000</f>
        <v>0</v>
      </c>
      <c r="CU970" s="231">
        <f t="shared" si="935"/>
        <v>20</v>
      </c>
      <c r="CV970" s="229">
        <f t="shared" si="958"/>
        <v>33</v>
      </c>
      <c r="CW970" s="234">
        <f t="shared" si="959"/>
        <v>4.8487499999999999</v>
      </c>
      <c r="CX970" s="234" cm="1">
        <f t="array" ref="CX970">$BM970 * IF($AH970&lt;=2,
SUMPRODUCT(INDEX($AV$61:$AX$65,,$AI970), INDEX($AY$61:$BE$65,,$AH970), 1 / ($BF$61:$BF$65*CW970 + (1-$BF$61:$BF$65)*CS970), N($AU$61:$AU$65&gt;$AM970)),
SUMPRODUCT(INDEX($AV$46:$AX$55,,$AI970), INDEX($AY$46:$BE$55,,$AH970), 1 / ($BG$46:$BG$55*CW970 + (1-$BG$46:$BG$55)*CS970), N($AU$46:$AU$55&gt;$AM970))
) / 1000</f>
        <v>0</v>
      </c>
      <c r="CY970" s="234" cm="1">
        <f t="array" ref="CY970">$BM970 * IF($AH970&lt;=2,
SUMPRODUCT(INDEX($AV$22:$AX$60,,$AI970), INDEX($AY$22:$BE$60,,$AH970), 1 / ($BF$22:$BF$60*CW970), N($AU$22:$AU$60&gt;$AM970)),
SUMPRODUCT(INDEX($AV$22:$AX$45,,$AI970), INDEX($AY$22:$BE$45,,$AH970), 1 / ($BG$22:$BG$45*CW970), N($AU$22:$AU$45&gt;$AM970))
) / 1000</f>
        <v>0</v>
      </c>
      <c r="CZ970" s="229">
        <f t="shared" si="960"/>
        <v>0</v>
      </c>
      <c r="DA970" s="246"/>
    </row>
    <row r="971" spans="1:105" s="75" customFormat="1" ht="14.25" customHeight="1" x14ac:dyDescent="0.2">
      <c r="A971" s="230" t="b">
        <f t="shared" si="927"/>
        <v>0</v>
      </c>
      <c r="B971" s="253">
        <v>950</v>
      </c>
      <c r="C971" s="266"/>
      <c r="D971" s="266"/>
      <c r="E971" s="254"/>
      <c r="F971" s="255" t="str">
        <f>IF(ISBLANK(E971), "", VLOOKUP(E971, Z!$A$2:$C$4127, 3, FALSE))</f>
        <v/>
      </c>
      <c r="G971" s="256"/>
      <c r="H971" s="256"/>
      <c r="I971" s="256"/>
      <c r="J971" s="257"/>
      <c r="K971" s="258"/>
      <c r="L971" s="267"/>
      <c r="M971" s="268"/>
      <c r="N971" s="259" t="str" cm="1">
        <f t="array" ref="N971">IF($L971&gt;0, INDEX(Clean,1+AK971,$D$1), "")</f>
        <v/>
      </c>
      <c r="O971" s="260"/>
      <c r="P971" s="260"/>
      <c r="Q971" s="261"/>
      <c r="R971" s="264">
        <f t="shared" si="936"/>
        <v>0</v>
      </c>
      <c r="S971" s="259" t="str" cm="1">
        <f t="array" ref="S971">IF($L971&gt;0, INDEX(Clean,1+AL971,$D$1), "")</f>
        <v/>
      </c>
      <c r="T971" s="260"/>
      <c r="U971" s="260"/>
      <c r="V971" s="261"/>
      <c r="W971" s="267"/>
      <c r="X971" s="267"/>
      <c r="Y971" s="257"/>
      <c r="Z971" s="264">
        <f t="shared" si="937"/>
        <v>0</v>
      </c>
      <c r="AA971" s="269"/>
      <c r="AB971" s="266"/>
      <c r="AC971" s="254"/>
      <c r="AD971" s="255" t="str">
        <f>IF(ISBLANK(AC971), "", VLOOKUP(AC971, Z!$A$2:$C$4127, 3, FALSE))</f>
        <v/>
      </c>
      <c r="AE971" s="270"/>
      <c r="AF971" s="265">
        <f t="shared" si="938"/>
        <v>0</v>
      </c>
      <c r="AG971" s="246"/>
      <c r="AH971" s="228">
        <f t="shared" si="961"/>
        <v>1</v>
      </c>
      <c r="AI971" s="228">
        <f t="shared" si="962"/>
        <v>1</v>
      </c>
      <c r="AJ971" s="228">
        <f t="shared" si="963"/>
        <v>0</v>
      </c>
      <c r="AK971" s="228">
        <v>0</v>
      </c>
      <c r="AL971" s="228">
        <v>0</v>
      </c>
      <c r="AM971" s="228">
        <f t="shared" si="939"/>
        <v>-100</v>
      </c>
      <c r="AN971" s="228" cm="1">
        <f t="array" ref="AN971">IF(ISBLANK(G971), 1, IFERROR(MATCH(G971, INDEX(Kat,,1), 0), IFERROR(MATCH(Kat, INDEX(Use,,2), 0), MATCH(Kat, INDEX(Use,,3), 0))))</f>
        <v>1</v>
      </c>
      <c r="AO971" s="246"/>
      <c r="AP971" s="228" cm="1">
        <f t="array" ref="AP971">IF(W971&gt;0, INDEX(Kat, AN971,4), 0)</f>
        <v>0</v>
      </c>
      <c r="AQ971" s="228">
        <f t="shared" si="964"/>
        <v>0</v>
      </c>
      <c r="AR971" s="228" cm="1">
        <f t="array" ref="AR971">IF(X971&gt;0, INDEX(Kat, $AN971, 4+AQ971), 0)</f>
        <v>0</v>
      </c>
      <c r="AS971" s="228" cm="1">
        <f t="array" ref="AS971">IF(X971&gt;0, INDEX(Kat, $AN971, 9+AQ971), 0)</f>
        <v>0</v>
      </c>
      <c r="AT971" s="246"/>
      <c r="AU971" s="262"/>
      <c r="AV971" s="262"/>
      <c r="AW971" s="263"/>
      <c r="AX971" s="263"/>
      <c r="AY971" s="263"/>
      <c r="AZ971" s="263"/>
      <c r="BA971" s="263"/>
      <c r="BB971" s="263"/>
      <c r="BC971" s="263"/>
      <c r="BD971" s="263"/>
      <c r="BE971" s="263"/>
      <c r="BF971" s="263"/>
      <c r="BG971" s="263"/>
      <c r="BH971" s="246"/>
      <c r="BI971" s="228" cm="1">
        <f t="array" ref="BI971">INDEX(Use, $AH971, 4)</f>
        <v>7</v>
      </c>
      <c r="BJ971" s="228">
        <f t="shared" si="940"/>
        <v>32</v>
      </c>
      <c r="BK971" s="228">
        <f t="shared" si="928"/>
        <v>13</v>
      </c>
      <c r="BL971" s="228">
        <f t="shared" si="929"/>
        <v>0</v>
      </c>
      <c r="BM971" s="233" cm="1">
        <f t="array" ref="BM971">L971/IF($M971&gt;0, INDEX($AY$22:$BE$76, $M971+20, $AH971), 1)</f>
        <v>0</v>
      </c>
      <c r="BN971" s="229">
        <f t="shared" si="941"/>
        <v>0</v>
      </c>
      <c r="BO971" s="228">
        <v>35</v>
      </c>
      <c r="BP971" s="229">
        <f t="shared" si="942"/>
        <v>48</v>
      </c>
      <c r="BQ971" s="234">
        <f t="shared" si="943"/>
        <v>3.0748170731707316</v>
      </c>
      <c r="BR971" s="234" cm="1">
        <f t="array" ref="BR971">$BM971 * SUMPRODUCT(INDEX($AV$76:$AX$81,,$AI971),INDEX($AY$76:$BE$81,,$AH971), N($AU$76:$AU$81&gt;$AM971)) / BQ971 / 1000</f>
        <v>0</v>
      </c>
      <c r="BS971" s="231">
        <f t="shared" si="930"/>
        <v>30</v>
      </c>
      <c r="BT971" s="229">
        <f t="shared" si="944"/>
        <v>43</v>
      </c>
      <c r="BU971" s="234">
        <f t="shared" si="945"/>
        <v>3.5018750000000001</v>
      </c>
      <c r="BV971" s="234" cm="1">
        <f t="array" ref="BV971">$BM971 * IF($AH971&lt;=2,
SUMPRODUCT(INDEX($AV$71:$AX$75,,$AI971), INDEX($AY$71:$BE$75,,$AH971), 1 / ($BF$71:$BF$75*BU971 + (1-$BF$71:$BF$75)*BQ971), N($AU$71:$AU$75&gt;$AM971)),
SUMPRODUCT(INDEX($AV$66:$AX$75,,$AI971), INDEX($AY$66:$BE$75,,$AH971), 1 / ($BG$66:$BG$75*BU971 + (1-$BG$66:$BG$75)*BQ971), N($AU$66:$AU$75&gt;$AM971))
) / 1000</f>
        <v>0</v>
      </c>
      <c r="BW971" s="231">
        <f t="shared" si="931"/>
        <v>25</v>
      </c>
      <c r="BX971" s="229">
        <f t="shared" si="946"/>
        <v>38</v>
      </c>
      <c r="BY971" s="234">
        <f t="shared" si="947"/>
        <v>4.0666935483870965</v>
      </c>
      <c r="BZ971" s="234" cm="1">
        <f t="array" ref="BZ971">$BM971 * IF($AH971&lt;=2,
SUMPRODUCT(INDEX($AV$66:$AX$70,,$AI971), INDEX($AY$66:$BE$70,,$AH971), 1 / ($BF$66:$BF$70*BY971 + (1-$BF$66:$BF$70)*BU971), N($AU$66:$AU$70&gt;$AM971)),
SUMPRODUCT(INDEX($AV$56:$AX$65,,$AI971), INDEX($AY$56:$BE$65,,$AH971), 1 / ($BG$56:$BG$65*BY971 + (1-$BG$56:$BG$65)*BU971), N($AU$56:$AU$65&gt;$AM971))
) / 1000</f>
        <v>0</v>
      </c>
      <c r="CA971" s="231">
        <f t="shared" si="932"/>
        <v>20</v>
      </c>
      <c r="CB971" s="229">
        <f t="shared" si="948"/>
        <v>33</v>
      </c>
      <c r="CC971" s="234">
        <f t="shared" si="949"/>
        <v>4.8487499999999999</v>
      </c>
      <c r="CD971" s="234" cm="1">
        <f t="array" ref="CD971">$BM971 * IF($AH971&lt;=2,
SUMPRODUCT(INDEX($AV$61:$AX$65,,$AI971), INDEX($AY$61:$BE$65,,$AH971), 1 / ($BF$61:$BF$65*CC971 + (1-$BF$61:$BF$65)*BY971), N($AU$61:$AU$65&gt;$AM971)),
SUMPRODUCT(INDEX($AV$46:$AX$55,,$AI971), INDEX($AY$46:$BE$55,,$AH971), 1 / ($BG$46:$BG$55*CC971 + (1-$BG$46:$BG$55)*BY971), N($AU$46:$AU$55&gt;$AM971))
) / 1000</f>
        <v>0</v>
      </c>
      <c r="CE971" s="234" cm="1">
        <f t="array" ref="CE971">$BM971 * IF($AH971&lt;=2,
SUMPRODUCT(INDEX($AV$22:$AX$60,,$AI971), INDEX($AY$22:$BE$60,,$AH971), 1 / ($BF$22:$BF$60*CC971), N($AU$22:$AU$60&gt;$AM971)),
SUMPRODUCT(INDEX($AV$22:$AX$45,,$AI971), INDEX($AY$22:$BE$45,,$AH971), 1 / ($BG$22:$BG$45*CC971), N($AU$22:$AU$45&gt;$AM971))
) / 1000</f>
        <v>0</v>
      </c>
      <c r="CF971" s="229">
        <f t="shared" si="950"/>
        <v>0</v>
      </c>
      <c r="CG971" s="246"/>
      <c r="CH971" s="229">
        <f t="shared" si="951"/>
        <v>0</v>
      </c>
      <c r="CI971" s="228">
        <v>35</v>
      </c>
      <c r="CJ971" s="229">
        <f t="shared" si="952"/>
        <v>48</v>
      </c>
      <c r="CK971" s="234">
        <f t="shared" si="953"/>
        <v>3.0748170731707316</v>
      </c>
      <c r="CL971" s="234" cm="1">
        <f t="array" ref="CL971">$BM971 * SUMPRODUCT(INDEX($AV$76:$AX$81,,$AI971),INDEX($AY$76:$BE$81,,$AH971), N($AU$76:$AU$81&gt;$AM971)) / CK971 / 1000</f>
        <v>0</v>
      </c>
      <c r="CM971" s="231">
        <f t="shared" si="933"/>
        <v>30</v>
      </c>
      <c r="CN971" s="229">
        <f t="shared" si="954"/>
        <v>43</v>
      </c>
      <c r="CO971" s="234">
        <f t="shared" si="955"/>
        <v>3.5018750000000001</v>
      </c>
      <c r="CP971" s="234" cm="1">
        <f t="array" ref="CP971">$BM971 * IF($AH971&lt;=2,
SUMPRODUCT(INDEX($AV$71:$AX$75,,$AI971), INDEX($AY$71:$BE$75,,$AH971), 1 / ($BF$71:$BF$75*CO971 + (1-$BF$71:$BF$75)*CK971), N($AU$71:$AU$75&gt;$AM971)),
SUMPRODUCT(INDEX($AV$66:$AX$75,,$AI971), INDEX($AY$66:$BE$75,,$AH971), 1 / ($BG$66:$BG$75*CO971 + (1-$BG$66:$BG$75)*CK971), N($AU$66:$AU$75&gt;$AM971))
) / 1000</f>
        <v>0</v>
      </c>
      <c r="CQ971" s="231">
        <f t="shared" si="934"/>
        <v>25</v>
      </c>
      <c r="CR971" s="229">
        <f t="shared" si="956"/>
        <v>38</v>
      </c>
      <c r="CS971" s="234">
        <f t="shared" si="957"/>
        <v>4.0666935483870965</v>
      </c>
      <c r="CT971" s="234" cm="1">
        <f t="array" ref="CT971">$BM971 * IF($AH971&lt;=2,
SUMPRODUCT(INDEX($AV$66:$AX$70,,$AI971), INDEX($AY$66:$BE$70,,$AH971), 1 / ($BF$66:$BF$70*CS971 + (1-$BF$66:$BF$70)*CO971), N($AU$66:$AU$70&gt;$AM971)),
SUMPRODUCT(INDEX($AV$56:$AX$65,,$AI971), INDEX($AY$56:$BE$65,,$AH971), 1 / ($BG$56:$BG$65*CS971 + (1-$BG$56:$BG$65)*CO971), N($AU$56:$AU$65&gt;$AM971))
) / 1000</f>
        <v>0</v>
      </c>
      <c r="CU971" s="231">
        <f t="shared" si="935"/>
        <v>20</v>
      </c>
      <c r="CV971" s="229">
        <f t="shared" si="958"/>
        <v>33</v>
      </c>
      <c r="CW971" s="234">
        <f t="shared" si="959"/>
        <v>4.8487499999999999</v>
      </c>
      <c r="CX971" s="234" cm="1">
        <f t="array" ref="CX971">$BM971 * IF($AH971&lt;=2,
SUMPRODUCT(INDEX($AV$61:$AX$65,,$AI971), INDEX($AY$61:$BE$65,,$AH971), 1 / ($BF$61:$BF$65*CW971 + (1-$BF$61:$BF$65)*CS971), N($AU$61:$AU$65&gt;$AM971)),
SUMPRODUCT(INDEX($AV$46:$AX$55,,$AI971), INDEX($AY$46:$BE$55,,$AH971), 1 / ($BG$46:$BG$55*CW971 + (1-$BG$46:$BG$55)*CS971), N($AU$46:$AU$55&gt;$AM971))
) / 1000</f>
        <v>0</v>
      </c>
      <c r="CY971" s="234" cm="1">
        <f t="array" ref="CY971">$BM971 * IF($AH971&lt;=2,
SUMPRODUCT(INDEX($AV$22:$AX$60,,$AI971), INDEX($AY$22:$BE$60,,$AH971), 1 / ($BF$22:$BF$60*CW971), N($AU$22:$AU$60&gt;$AM971)),
SUMPRODUCT(INDEX($AV$22:$AX$45,,$AI971), INDEX($AY$22:$BE$45,,$AH971), 1 / ($BG$22:$BG$45*CW971), N($AU$22:$AU$45&gt;$AM971))
) / 1000</f>
        <v>0</v>
      </c>
      <c r="CZ971" s="229">
        <f t="shared" si="960"/>
        <v>0</v>
      </c>
      <c r="DA971" s="246"/>
    </row>
    <row r="972" spans="1:105" s="75" customFormat="1" ht="14.25" customHeight="1" x14ac:dyDescent="0.2">
      <c r="A972" s="230" t="b">
        <f t="shared" si="927"/>
        <v>0</v>
      </c>
      <c r="B972" s="253">
        <v>951</v>
      </c>
      <c r="C972" s="266"/>
      <c r="D972" s="266"/>
      <c r="E972" s="254"/>
      <c r="F972" s="255" t="str">
        <f>IF(ISBLANK(E972), "", VLOOKUP(E972, Z!$A$2:$C$4127, 3, FALSE))</f>
        <v/>
      </c>
      <c r="G972" s="256"/>
      <c r="H972" s="256"/>
      <c r="I972" s="256"/>
      <c r="J972" s="257"/>
      <c r="K972" s="258"/>
      <c r="L972" s="267"/>
      <c r="M972" s="268"/>
      <c r="N972" s="259" t="str" cm="1">
        <f t="array" ref="N972">IF($L972&gt;0, INDEX(Clean,1+AK972,$D$1), "")</f>
        <v/>
      </c>
      <c r="O972" s="260"/>
      <c r="P972" s="260"/>
      <c r="Q972" s="261"/>
      <c r="R972" s="264">
        <f t="shared" si="936"/>
        <v>0</v>
      </c>
      <c r="S972" s="259" t="str" cm="1">
        <f t="array" ref="S972">IF($L972&gt;0, INDEX(Clean,1+AL972,$D$1), "")</f>
        <v/>
      </c>
      <c r="T972" s="260"/>
      <c r="U972" s="260"/>
      <c r="V972" s="261"/>
      <c r="W972" s="267"/>
      <c r="X972" s="267"/>
      <c r="Y972" s="257"/>
      <c r="Z972" s="264">
        <f t="shared" si="937"/>
        <v>0</v>
      </c>
      <c r="AA972" s="269"/>
      <c r="AB972" s="266"/>
      <c r="AC972" s="254"/>
      <c r="AD972" s="255" t="str">
        <f>IF(ISBLANK(AC972), "", VLOOKUP(AC972, Z!$A$2:$C$4127, 3, FALSE))</f>
        <v/>
      </c>
      <c r="AE972" s="270"/>
      <c r="AF972" s="265">
        <f t="shared" si="938"/>
        <v>0</v>
      </c>
      <c r="AG972" s="246"/>
      <c r="AH972" s="228">
        <f t="shared" si="961"/>
        <v>1</v>
      </c>
      <c r="AI972" s="228">
        <f t="shared" si="962"/>
        <v>1</v>
      </c>
      <c r="AJ972" s="228">
        <f t="shared" si="963"/>
        <v>0</v>
      </c>
      <c r="AK972" s="228">
        <v>0</v>
      </c>
      <c r="AL972" s="228">
        <v>0</v>
      </c>
      <c r="AM972" s="228">
        <f t="shared" si="939"/>
        <v>-100</v>
      </c>
      <c r="AN972" s="228" cm="1">
        <f t="array" ref="AN972">IF(ISBLANK(G972), 1, IFERROR(MATCH(G972, INDEX(Kat,,1), 0), IFERROR(MATCH(Kat, INDEX(Use,,2), 0), MATCH(Kat, INDEX(Use,,3), 0))))</f>
        <v>1</v>
      </c>
      <c r="AO972" s="246"/>
      <c r="AP972" s="228" cm="1">
        <f t="array" ref="AP972">IF(W972&gt;0, INDEX(Kat, AN972,4), 0)</f>
        <v>0</v>
      </c>
      <c r="AQ972" s="228">
        <f t="shared" si="964"/>
        <v>0</v>
      </c>
      <c r="AR972" s="228" cm="1">
        <f t="array" ref="AR972">IF(X972&gt;0, INDEX(Kat, $AN972, 4+AQ972), 0)</f>
        <v>0</v>
      </c>
      <c r="AS972" s="228" cm="1">
        <f t="array" ref="AS972">IF(X972&gt;0, INDEX(Kat, $AN972, 9+AQ972), 0)</f>
        <v>0</v>
      </c>
      <c r="AT972" s="246"/>
      <c r="AU972" s="262"/>
      <c r="AV972" s="262"/>
      <c r="AW972" s="263"/>
      <c r="AX972" s="263"/>
      <c r="AY972" s="263"/>
      <c r="AZ972" s="263"/>
      <c r="BA972" s="263"/>
      <c r="BB972" s="263"/>
      <c r="BC972" s="263"/>
      <c r="BD972" s="263"/>
      <c r="BE972" s="263"/>
      <c r="BF972" s="263"/>
      <c r="BG972" s="263"/>
      <c r="BH972" s="246"/>
      <c r="BI972" s="228" cm="1">
        <f t="array" ref="BI972">INDEX(Use, $AH972, 4)</f>
        <v>7</v>
      </c>
      <c r="BJ972" s="228">
        <f t="shared" si="940"/>
        <v>32</v>
      </c>
      <c r="BK972" s="228">
        <f t="shared" si="928"/>
        <v>13</v>
      </c>
      <c r="BL972" s="228">
        <f t="shared" si="929"/>
        <v>0</v>
      </c>
      <c r="BM972" s="233" cm="1">
        <f t="array" ref="BM972">L972/IF($M972&gt;0, INDEX($AY$22:$BE$76, $M972+20, $AH972), 1)</f>
        <v>0</v>
      </c>
      <c r="BN972" s="229">
        <f t="shared" si="941"/>
        <v>0</v>
      </c>
      <c r="BO972" s="228">
        <v>35</v>
      </c>
      <c r="BP972" s="229">
        <f t="shared" si="942"/>
        <v>48</v>
      </c>
      <c r="BQ972" s="234">
        <f t="shared" si="943"/>
        <v>3.0748170731707316</v>
      </c>
      <c r="BR972" s="234" cm="1">
        <f t="array" ref="BR972">$BM972 * SUMPRODUCT(INDEX($AV$76:$AX$81,,$AI972),INDEX($AY$76:$BE$81,,$AH972), N($AU$76:$AU$81&gt;$AM972)) / BQ972 / 1000</f>
        <v>0</v>
      </c>
      <c r="BS972" s="231">
        <f t="shared" si="930"/>
        <v>30</v>
      </c>
      <c r="BT972" s="229">
        <f t="shared" si="944"/>
        <v>43</v>
      </c>
      <c r="BU972" s="234">
        <f t="shared" si="945"/>
        <v>3.5018750000000001</v>
      </c>
      <c r="BV972" s="234" cm="1">
        <f t="array" ref="BV972">$BM972 * IF($AH972&lt;=2,
SUMPRODUCT(INDEX($AV$71:$AX$75,,$AI972), INDEX($AY$71:$BE$75,,$AH972), 1 / ($BF$71:$BF$75*BU972 + (1-$BF$71:$BF$75)*BQ972), N($AU$71:$AU$75&gt;$AM972)),
SUMPRODUCT(INDEX($AV$66:$AX$75,,$AI972), INDEX($AY$66:$BE$75,,$AH972), 1 / ($BG$66:$BG$75*BU972 + (1-$BG$66:$BG$75)*BQ972), N($AU$66:$AU$75&gt;$AM972))
) / 1000</f>
        <v>0</v>
      </c>
      <c r="BW972" s="231">
        <f t="shared" si="931"/>
        <v>25</v>
      </c>
      <c r="BX972" s="229">
        <f t="shared" si="946"/>
        <v>38</v>
      </c>
      <c r="BY972" s="234">
        <f t="shared" si="947"/>
        <v>4.0666935483870965</v>
      </c>
      <c r="BZ972" s="234" cm="1">
        <f t="array" ref="BZ972">$BM972 * IF($AH972&lt;=2,
SUMPRODUCT(INDEX($AV$66:$AX$70,,$AI972), INDEX($AY$66:$BE$70,,$AH972), 1 / ($BF$66:$BF$70*BY972 + (1-$BF$66:$BF$70)*BU972), N($AU$66:$AU$70&gt;$AM972)),
SUMPRODUCT(INDEX($AV$56:$AX$65,,$AI972), INDEX($AY$56:$BE$65,,$AH972), 1 / ($BG$56:$BG$65*BY972 + (1-$BG$56:$BG$65)*BU972), N($AU$56:$AU$65&gt;$AM972))
) / 1000</f>
        <v>0</v>
      </c>
      <c r="CA972" s="231">
        <f t="shared" si="932"/>
        <v>20</v>
      </c>
      <c r="CB972" s="229">
        <f t="shared" si="948"/>
        <v>33</v>
      </c>
      <c r="CC972" s="234">
        <f t="shared" si="949"/>
        <v>4.8487499999999999</v>
      </c>
      <c r="CD972" s="234" cm="1">
        <f t="array" ref="CD972">$BM972 * IF($AH972&lt;=2,
SUMPRODUCT(INDEX($AV$61:$AX$65,,$AI972), INDEX($AY$61:$BE$65,,$AH972), 1 / ($BF$61:$BF$65*CC972 + (1-$BF$61:$BF$65)*BY972), N($AU$61:$AU$65&gt;$AM972)),
SUMPRODUCT(INDEX($AV$46:$AX$55,,$AI972), INDEX($AY$46:$BE$55,,$AH972), 1 / ($BG$46:$BG$55*CC972 + (1-$BG$46:$BG$55)*BY972), N($AU$46:$AU$55&gt;$AM972))
) / 1000</f>
        <v>0</v>
      </c>
      <c r="CE972" s="234" cm="1">
        <f t="array" ref="CE972">$BM972 * IF($AH972&lt;=2,
SUMPRODUCT(INDEX($AV$22:$AX$60,,$AI972), INDEX($AY$22:$BE$60,,$AH972), 1 / ($BF$22:$BF$60*CC972), N($AU$22:$AU$60&gt;$AM972)),
SUMPRODUCT(INDEX($AV$22:$AX$45,,$AI972), INDEX($AY$22:$BE$45,,$AH972), 1 / ($BG$22:$BG$45*CC972), N($AU$22:$AU$45&gt;$AM972))
) / 1000</f>
        <v>0</v>
      </c>
      <c r="CF972" s="229">
        <f t="shared" si="950"/>
        <v>0</v>
      </c>
      <c r="CG972" s="246"/>
      <c r="CH972" s="229">
        <f t="shared" si="951"/>
        <v>0</v>
      </c>
      <c r="CI972" s="228">
        <v>35</v>
      </c>
      <c r="CJ972" s="229">
        <f t="shared" si="952"/>
        <v>48</v>
      </c>
      <c r="CK972" s="234">
        <f t="shared" si="953"/>
        <v>3.0748170731707316</v>
      </c>
      <c r="CL972" s="234" cm="1">
        <f t="array" ref="CL972">$BM972 * SUMPRODUCT(INDEX($AV$76:$AX$81,,$AI972),INDEX($AY$76:$BE$81,,$AH972), N($AU$76:$AU$81&gt;$AM972)) / CK972 / 1000</f>
        <v>0</v>
      </c>
      <c r="CM972" s="231">
        <f t="shared" si="933"/>
        <v>30</v>
      </c>
      <c r="CN972" s="229">
        <f t="shared" si="954"/>
        <v>43</v>
      </c>
      <c r="CO972" s="234">
        <f t="shared" si="955"/>
        <v>3.5018750000000001</v>
      </c>
      <c r="CP972" s="234" cm="1">
        <f t="array" ref="CP972">$BM972 * IF($AH972&lt;=2,
SUMPRODUCT(INDEX($AV$71:$AX$75,,$AI972), INDEX($AY$71:$BE$75,,$AH972), 1 / ($BF$71:$BF$75*CO972 + (1-$BF$71:$BF$75)*CK972), N($AU$71:$AU$75&gt;$AM972)),
SUMPRODUCT(INDEX($AV$66:$AX$75,,$AI972), INDEX($AY$66:$BE$75,,$AH972), 1 / ($BG$66:$BG$75*CO972 + (1-$BG$66:$BG$75)*CK972), N($AU$66:$AU$75&gt;$AM972))
) / 1000</f>
        <v>0</v>
      </c>
      <c r="CQ972" s="231">
        <f t="shared" si="934"/>
        <v>25</v>
      </c>
      <c r="CR972" s="229">
        <f t="shared" si="956"/>
        <v>38</v>
      </c>
      <c r="CS972" s="234">
        <f t="shared" si="957"/>
        <v>4.0666935483870965</v>
      </c>
      <c r="CT972" s="234" cm="1">
        <f t="array" ref="CT972">$BM972 * IF($AH972&lt;=2,
SUMPRODUCT(INDEX($AV$66:$AX$70,,$AI972), INDEX($AY$66:$BE$70,,$AH972), 1 / ($BF$66:$BF$70*CS972 + (1-$BF$66:$BF$70)*CO972), N($AU$66:$AU$70&gt;$AM972)),
SUMPRODUCT(INDEX($AV$56:$AX$65,,$AI972), INDEX($AY$56:$BE$65,,$AH972), 1 / ($BG$56:$BG$65*CS972 + (1-$BG$56:$BG$65)*CO972), N($AU$56:$AU$65&gt;$AM972))
) / 1000</f>
        <v>0</v>
      </c>
      <c r="CU972" s="231">
        <f t="shared" si="935"/>
        <v>20</v>
      </c>
      <c r="CV972" s="229">
        <f t="shared" si="958"/>
        <v>33</v>
      </c>
      <c r="CW972" s="234">
        <f t="shared" si="959"/>
        <v>4.8487499999999999</v>
      </c>
      <c r="CX972" s="234" cm="1">
        <f t="array" ref="CX972">$BM972 * IF($AH972&lt;=2,
SUMPRODUCT(INDEX($AV$61:$AX$65,,$AI972), INDEX($AY$61:$BE$65,,$AH972), 1 / ($BF$61:$BF$65*CW972 + (1-$BF$61:$BF$65)*CS972), N($AU$61:$AU$65&gt;$AM972)),
SUMPRODUCT(INDEX($AV$46:$AX$55,,$AI972), INDEX($AY$46:$BE$55,,$AH972), 1 / ($BG$46:$BG$55*CW972 + (1-$BG$46:$BG$55)*CS972), N($AU$46:$AU$55&gt;$AM972))
) / 1000</f>
        <v>0</v>
      </c>
      <c r="CY972" s="234" cm="1">
        <f t="array" ref="CY972">$BM972 * IF($AH972&lt;=2,
SUMPRODUCT(INDEX($AV$22:$AX$60,,$AI972), INDEX($AY$22:$BE$60,,$AH972), 1 / ($BF$22:$BF$60*CW972), N($AU$22:$AU$60&gt;$AM972)),
SUMPRODUCT(INDEX($AV$22:$AX$45,,$AI972), INDEX($AY$22:$BE$45,,$AH972), 1 / ($BG$22:$BG$45*CW972), N($AU$22:$AU$45&gt;$AM972))
) / 1000</f>
        <v>0</v>
      </c>
      <c r="CZ972" s="229">
        <f t="shared" si="960"/>
        <v>0</v>
      </c>
      <c r="DA972" s="246"/>
    </row>
    <row r="973" spans="1:105" s="75" customFormat="1" ht="14.25" customHeight="1" x14ac:dyDescent="0.2">
      <c r="A973" s="230" t="b">
        <f t="shared" si="927"/>
        <v>0</v>
      </c>
      <c r="B973" s="253">
        <v>952</v>
      </c>
      <c r="C973" s="266"/>
      <c r="D973" s="266"/>
      <c r="E973" s="254"/>
      <c r="F973" s="255" t="str">
        <f>IF(ISBLANK(E973), "", VLOOKUP(E973, Z!$A$2:$C$4127, 3, FALSE))</f>
        <v/>
      </c>
      <c r="G973" s="256"/>
      <c r="H973" s="256"/>
      <c r="I973" s="256"/>
      <c r="J973" s="257"/>
      <c r="K973" s="258"/>
      <c r="L973" s="267"/>
      <c r="M973" s="268"/>
      <c r="N973" s="259" t="str" cm="1">
        <f t="array" ref="N973">IF($L973&gt;0, INDEX(Clean,1+AK973,$D$1), "")</f>
        <v/>
      </c>
      <c r="O973" s="260"/>
      <c r="P973" s="260"/>
      <c r="Q973" s="261"/>
      <c r="R973" s="264">
        <f t="shared" si="936"/>
        <v>0</v>
      </c>
      <c r="S973" s="259" t="str" cm="1">
        <f t="array" ref="S973">IF($L973&gt;0, INDEX(Clean,1+AL973,$D$1), "")</f>
        <v/>
      </c>
      <c r="T973" s="260"/>
      <c r="U973" s="260"/>
      <c r="V973" s="261"/>
      <c r="W973" s="267"/>
      <c r="X973" s="267"/>
      <c r="Y973" s="257"/>
      <c r="Z973" s="264">
        <f t="shared" si="937"/>
        <v>0</v>
      </c>
      <c r="AA973" s="269"/>
      <c r="AB973" s="266"/>
      <c r="AC973" s="254"/>
      <c r="AD973" s="255" t="str">
        <f>IF(ISBLANK(AC973), "", VLOOKUP(AC973, Z!$A$2:$C$4127, 3, FALSE))</f>
        <v/>
      </c>
      <c r="AE973" s="270"/>
      <c r="AF973" s="265">
        <f t="shared" si="938"/>
        <v>0</v>
      </c>
      <c r="AG973" s="246"/>
      <c r="AH973" s="228">
        <f t="shared" si="961"/>
        <v>1</v>
      </c>
      <c r="AI973" s="228">
        <f t="shared" si="962"/>
        <v>1</v>
      </c>
      <c r="AJ973" s="228">
        <f t="shared" si="963"/>
        <v>0</v>
      </c>
      <c r="AK973" s="228">
        <v>0</v>
      </c>
      <c r="AL973" s="228">
        <v>0</v>
      </c>
      <c r="AM973" s="228">
        <f t="shared" si="939"/>
        <v>-100</v>
      </c>
      <c r="AN973" s="228" cm="1">
        <f t="array" ref="AN973">IF(ISBLANK(G973), 1, IFERROR(MATCH(G973, INDEX(Kat,,1), 0), IFERROR(MATCH(Kat, INDEX(Use,,2), 0), MATCH(Kat, INDEX(Use,,3), 0))))</f>
        <v>1</v>
      </c>
      <c r="AO973" s="246"/>
      <c r="AP973" s="228" cm="1">
        <f t="array" ref="AP973">IF(W973&gt;0, INDEX(Kat, AN973,4), 0)</f>
        <v>0</v>
      </c>
      <c r="AQ973" s="228">
        <f t="shared" si="964"/>
        <v>0</v>
      </c>
      <c r="AR973" s="228" cm="1">
        <f t="array" ref="AR973">IF(X973&gt;0, INDEX(Kat, $AN973, 4+AQ973), 0)</f>
        <v>0</v>
      </c>
      <c r="AS973" s="228" cm="1">
        <f t="array" ref="AS973">IF(X973&gt;0, INDEX(Kat, $AN973, 9+AQ973), 0)</f>
        <v>0</v>
      </c>
      <c r="AT973" s="246"/>
      <c r="AU973" s="262"/>
      <c r="AV973" s="262"/>
      <c r="AW973" s="263"/>
      <c r="AX973" s="263"/>
      <c r="AY973" s="263"/>
      <c r="AZ973" s="263"/>
      <c r="BA973" s="263"/>
      <c r="BB973" s="263"/>
      <c r="BC973" s="263"/>
      <c r="BD973" s="263"/>
      <c r="BE973" s="263"/>
      <c r="BF973" s="263"/>
      <c r="BG973" s="263"/>
      <c r="BH973" s="246"/>
      <c r="BI973" s="228" cm="1">
        <f t="array" ref="BI973">INDEX(Use, $AH973, 4)</f>
        <v>7</v>
      </c>
      <c r="BJ973" s="228">
        <f t="shared" si="940"/>
        <v>32</v>
      </c>
      <c r="BK973" s="228">
        <f t="shared" si="928"/>
        <v>13</v>
      </c>
      <c r="BL973" s="228">
        <f t="shared" si="929"/>
        <v>0</v>
      </c>
      <c r="BM973" s="233" cm="1">
        <f t="array" ref="BM973">L973/IF($M973&gt;0, INDEX($AY$22:$BE$76, $M973+20, $AH973), 1)</f>
        <v>0</v>
      </c>
      <c r="BN973" s="229">
        <f t="shared" si="941"/>
        <v>0</v>
      </c>
      <c r="BO973" s="228">
        <v>35</v>
      </c>
      <c r="BP973" s="229">
        <f t="shared" si="942"/>
        <v>48</v>
      </c>
      <c r="BQ973" s="234">
        <f t="shared" si="943"/>
        <v>3.0748170731707316</v>
      </c>
      <c r="BR973" s="234" cm="1">
        <f t="array" ref="BR973">$BM973 * SUMPRODUCT(INDEX($AV$76:$AX$81,,$AI973),INDEX($AY$76:$BE$81,,$AH973), N($AU$76:$AU$81&gt;$AM973)) / BQ973 / 1000</f>
        <v>0</v>
      </c>
      <c r="BS973" s="231">
        <f t="shared" si="930"/>
        <v>30</v>
      </c>
      <c r="BT973" s="229">
        <f t="shared" si="944"/>
        <v>43</v>
      </c>
      <c r="BU973" s="234">
        <f t="shared" si="945"/>
        <v>3.5018750000000001</v>
      </c>
      <c r="BV973" s="234" cm="1">
        <f t="array" ref="BV973">$BM973 * IF($AH973&lt;=2,
SUMPRODUCT(INDEX($AV$71:$AX$75,,$AI973), INDEX($AY$71:$BE$75,,$AH973), 1 / ($BF$71:$BF$75*BU973 + (1-$BF$71:$BF$75)*BQ973), N($AU$71:$AU$75&gt;$AM973)),
SUMPRODUCT(INDEX($AV$66:$AX$75,,$AI973), INDEX($AY$66:$BE$75,,$AH973), 1 / ($BG$66:$BG$75*BU973 + (1-$BG$66:$BG$75)*BQ973), N($AU$66:$AU$75&gt;$AM973))
) / 1000</f>
        <v>0</v>
      </c>
      <c r="BW973" s="231">
        <f t="shared" si="931"/>
        <v>25</v>
      </c>
      <c r="BX973" s="229">
        <f t="shared" si="946"/>
        <v>38</v>
      </c>
      <c r="BY973" s="234">
        <f t="shared" si="947"/>
        <v>4.0666935483870965</v>
      </c>
      <c r="BZ973" s="234" cm="1">
        <f t="array" ref="BZ973">$BM973 * IF($AH973&lt;=2,
SUMPRODUCT(INDEX($AV$66:$AX$70,,$AI973), INDEX($AY$66:$BE$70,,$AH973), 1 / ($BF$66:$BF$70*BY973 + (1-$BF$66:$BF$70)*BU973), N($AU$66:$AU$70&gt;$AM973)),
SUMPRODUCT(INDEX($AV$56:$AX$65,,$AI973), INDEX($AY$56:$BE$65,,$AH973), 1 / ($BG$56:$BG$65*BY973 + (1-$BG$56:$BG$65)*BU973), N($AU$56:$AU$65&gt;$AM973))
) / 1000</f>
        <v>0</v>
      </c>
      <c r="CA973" s="231">
        <f t="shared" si="932"/>
        <v>20</v>
      </c>
      <c r="CB973" s="229">
        <f t="shared" si="948"/>
        <v>33</v>
      </c>
      <c r="CC973" s="234">
        <f t="shared" si="949"/>
        <v>4.8487499999999999</v>
      </c>
      <c r="CD973" s="234" cm="1">
        <f t="array" ref="CD973">$BM973 * IF($AH973&lt;=2,
SUMPRODUCT(INDEX($AV$61:$AX$65,,$AI973), INDEX($AY$61:$BE$65,,$AH973), 1 / ($BF$61:$BF$65*CC973 + (1-$BF$61:$BF$65)*BY973), N($AU$61:$AU$65&gt;$AM973)),
SUMPRODUCT(INDEX($AV$46:$AX$55,,$AI973), INDEX($AY$46:$BE$55,,$AH973), 1 / ($BG$46:$BG$55*CC973 + (1-$BG$46:$BG$55)*BY973), N($AU$46:$AU$55&gt;$AM973))
) / 1000</f>
        <v>0</v>
      </c>
      <c r="CE973" s="234" cm="1">
        <f t="array" ref="CE973">$BM973 * IF($AH973&lt;=2,
SUMPRODUCT(INDEX($AV$22:$AX$60,,$AI973), INDEX($AY$22:$BE$60,,$AH973), 1 / ($BF$22:$BF$60*CC973), N($AU$22:$AU$60&gt;$AM973)),
SUMPRODUCT(INDEX($AV$22:$AX$45,,$AI973), INDEX($AY$22:$BE$45,,$AH973), 1 / ($BG$22:$BG$45*CC973), N($AU$22:$AU$45&gt;$AM973))
) / 1000</f>
        <v>0</v>
      </c>
      <c r="CF973" s="229">
        <f t="shared" si="950"/>
        <v>0</v>
      </c>
      <c r="CG973" s="246"/>
      <c r="CH973" s="229">
        <f t="shared" si="951"/>
        <v>0</v>
      </c>
      <c r="CI973" s="228">
        <v>35</v>
      </c>
      <c r="CJ973" s="229">
        <f t="shared" si="952"/>
        <v>48</v>
      </c>
      <c r="CK973" s="234">
        <f t="shared" si="953"/>
        <v>3.0748170731707316</v>
      </c>
      <c r="CL973" s="234" cm="1">
        <f t="array" ref="CL973">$BM973 * SUMPRODUCT(INDEX($AV$76:$AX$81,,$AI973),INDEX($AY$76:$BE$81,,$AH973), N($AU$76:$AU$81&gt;$AM973)) / CK973 / 1000</f>
        <v>0</v>
      </c>
      <c r="CM973" s="231">
        <f t="shared" si="933"/>
        <v>30</v>
      </c>
      <c r="CN973" s="229">
        <f t="shared" si="954"/>
        <v>43</v>
      </c>
      <c r="CO973" s="234">
        <f t="shared" si="955"/>
        <v>3.5018750000000001</v>
      </c>
      <c r="CP973" s="234" cm="1">
        <f t="array" ref="CP973">$BM973 * IF($AH973&lt;=2,
SUMPRODUCT(INDEX($AV$71:$AX$75,,$AI973), INDEX($AY$71:$BE$75,,$AH973), 1 / ($BF$71:$BF$75*CO973 + (1-$BF$71:$BF$75)*CK973), N($AU$71:$AU$75&gt;$AM973)),
SUMPRODUCT(INDEX($AV$66:$AX$75,,$AI973), INDEX($AY$66:$BE$75,,$AH973), 1 / ($BG$66:$BG$75*CO973 + (1-$BG$66:$BG$75)*CK973), N($AU$66:$AU$75&gt;$AM973))
) / 1000</f>
        <v>0</v>
      </c>
      <c r="CQ973" s="231">
        <f t="shared" si="934"/>
        <v>25</v>
      </c>
      <c r="CR973" s="229">
        <f t="shared" si="956"/>
        <v>38</v>
      </c>
      <c r="CS973" s="234">
        <f t="shared" si="957"/>
        <v>4.0666935483870965</v>
      </c>
      <c r="CT973" s="234" cm="1">
        <f t="array" ref="CT973">$BM973 * IF($AH973&lt;=2,
SUMPRODUCT(INDEX($AV$66:$AX$70,,$AI973), INDEX($AY$66:$BE$70,,$AH973), 1 / ($BF$66:$BF$70*CS973 + (1-$BF$66:$BF$70)*CO973), N($AU$66:$AU$70&gt;$AM973)),
SUMPRODUCT(INDEX($AV$56:$AX$65,,$AI973), INDEX($AY$56:$BE$65,,$AH973), 1 / ($BG$56:$BG$65*CS973 + (1-$BG$56:$BG$65)*CO973), N($AU$56:$AU$65&gt;$AM973))
) / 1000</f>
        <v>0</v>
      </c>
      <c r="CU973" s="231">
        <f t="shared" si="935"/>
        <v>20</v>
      </c>
      <c r="CV973" s="229">
        <f t="shared" si="958"/>
        <v>33</v>
      </c>
      <c r="CW973" s="234">
        <f t="shared" si="959"/>
        <v>4.8487499999999999</v>
      </c>
      <c r="CX973" s="234" cm="1">
        <f t="array" ref="CX973">$BM973 * IF($AH973&lt;=2,
SUMPRODUCT(INDEX($AV$61:$AX$65,,$AI973), INDEX($AY$61:$BE$65,,$AH973), 1 / ($BF$61:$BF$65*CW973 + (1-$BF$61:$BF$65)*CS973), N($AU$61:$AU$65&gt;$AM973)),
SUMPRODUCT(INDEX($AV$46:$AX$55,,$AI973), INDEX($AY$46:$BE$55,,$AH973), 1 / ($BG$46:$BG$55*CW973 + (1-$BG$46:$BG$55)*CS973), N($AU$46:$AU$55&gt;$AM973))
) / 1000</f>
        <v>0</v>
      </c>
      <c r="CY973" s="234" cm="1">
        <f t="array" ref="CY973">$BM973 * IF($AH973&lt;=2,
SUMPRODUCT(INDEX($AV$22:$AX$60,,$AI973), INDEX($AY$22:$BE$60,,$AH973), 1 / ($BF$22:$BF$60*CW973), N($AU$22:$AU$60&gt;$AM973)),
SUMPRODUCT(INDEX($AV$22:$AX$45,,$AI973), INDEX($AY$22:$BE$45,,$AH973), 1 / ($BG$22:$BG$45*CW973), N($AU$22:$AU$45&gt;$AM973))
) / 1000</f>
        <v>0</v>
      </c>
      <c r="CZ973" s="229">
        <f t="shared" si="960"/>
        <v>0</v>
      </c>
      <c r="DA973" s="246"/>
    </row>
    <row r="974" spans="1:105" s="75" customFormat="1" ht="14.25" customHeight="1" x14ac:dyDescent="0.2">
      <c r="A974" s="230" t="b">
        <f t="shared" si="927"/>
        <v>0</v>
      </c>
      <c r="B974" s="253">
        <v>953</v>
      </c>
      <c r="C974" s="266"/>
      <c r="D974" s="266"/>
      <c r="E974" s="254"/>
      <c r="F974" s="255" t="str">
        <f>IF(ISBLANK(E974), "", VLOOKUP(E974, Z!$A$2:$C$4127, 3, FALSE))</f>
        <v/>
      </c>
      <c r="G974" s="256"/>
      <c r="H974" s="256"/>
      <c r="I974" s="256"/>
      <c r="J974" s="257"/>
      <c r="K974" s="258"/>
      <c r="L974" s="267"/>
      <c r="M974" s="268"/>
      <c r="N974" s="259" t="str" cm="1">
        <f t="array" ref="N974">IF($L974&gt;0, INDEX(Clean,1+AK974,$D$1), "")</f>
        <v/>
      </c>
      <c r="O974" s="260"/>
      <c r="P974" s="260"/>
      <c r="Q974" s="261"/>
      <c r="R974" s="264">
        <f t="shared" si="936"/>
        <v>0</v>
      </c>
      <c r="S974" s="259" t="str" cm="1">
        <f t="array" ref="S974">IF($L974&gt;0, INDEX(Clean,1+AL974,$D$1), "")</f>
        <v/>
      </c>
      <c r="T974" s="260"/>
      <c r="U974" s="260"/>
      <c r="V974" s="261"/>
      <c r="W974" s="267"/>
      <c r="X974" s="267"/>
      <c r="Y974" s="257"/>
      <c r="Z974" s="264">
        <f t="shared" si="937"/>
        <v>0</v>
      </c>
      <c r="AA974" s="269"/>
      <c r="AB974" s="266"/>
      <c r="AC974" s="254"/>
      <c r="AD974" s="255" t="str">
        <f>IF(ISBLANK(AC974), "", VLOOKUP(AC974, Z!$A$2:$C$4127, 3, FALSE))</f>
        <v/>
      </c>
      <c r="AE974" s="270"/>
      <c r="AF974" s="265">
        <f t="shared" si="938"/>
        <v>0</v>
      </c>
      <c r="AG974" s="246"/>
      <c r="AH974" s="228">
        <f t="shared" si="961"/>
        <v>1</v>
      </c>
      <c r="AI974" s="228">
        <f t="shared" si="962"/>
        <v>1</v>
      </c>
      <c r="AJ974" s="228">
        <f t="shared" si="963"/>
        <v>0</v>
      </c>
      <c r="AK974" s="228">
        <v>0</v>
      </c>
      <c r="AL974" s="228">
        <v>0</v>
      </c>
      <c r="AM974" s="228">
        <f t="shared" si="939"/>
        <v>-100</v>
      </c>
      <c r="AN974" s="228" cm="1">
        <f t="array" ref="AN974">IF(ISBLANK(G974), 1, IFERROR(MATCH(G974, INDEX(Kat,,1), 0), IFERROR(MATCH(Kat, INDEX(Use,,2), 0), MATCH(Kat, INDEX(Use,,3), 0))))</f>
        <v>1</v>
      </c>
      <c r="AO974" s="246"/>
      <c r="AP974" s="228" cm="1">
        <f t="array" ref="AP974">IF(W974&gt;0, INDEX(Kat, AN974,4), 0)</f>
        <v>0</v>
      </c>
      <c r="AQ974" s="228">
        <f t="shared" si="964"/>
        <v>0</v>
      </c>
      <c r="AR974" s="228" cm="1">
        <f t="array" ref="AR974">IF(X974&gt;0, INDEX(Kat, $AN974, 4+AQ974), 0)</f>
        <v>0</v>
      </c>
      <c r="AS974" s="228" cm="1">
        <f t="array" ref="AS974">IF(X974&gt;0, INDEX(Kat, $AN974, 9+AQ974), 0)</f>
        <v>0</v>
      </c>
      <c r="AT974" s="246"/>
      <c r="AU974" s="262"/>
      <c r="AV974" s="262"/>
      <c r="AW974" s="263"/>
      <c r="AX974" s="263"/>
      <c r="AY974" s="263"/>
      <c r="AZ974" s="263"/>
      <c r="BA974" s="263"/>
      <c r="BB974" s="263"/>
      <c r="BC974" s="263"/>
      <c r="BD974" s="263"/>
      <c r="BE974" s="263"/>
      <c r="BF974" s="263"/>
      <c r="BG974" s="263"/>
      <c r="BH974" s="246"/>
      <c r="BI974" s="228" cm="1">
        <f t="array" ref="BI974">INDEX(Use, $AH974, 4)</f>
        <v>7</v>
      </c>
      <c r="BJ974" s="228">
        <f t="shared" si="940"/>
        <v>32</v>
      </c>
      <c r="BK974" s="228">
        <f t="shared" si="928"/>
        <v>13</v>
      </c>
      <c r="BL974" s="228">
        <f t="shared" si="929"/>
        <v>0</v>
      </c>
      <c r="BM974" s="233" cm="1">
        <f t="array" ref="BM974">L974/IF($M974&gt;0, INDEX($AY$22:$BE$76, $M974+20, $AH974), 1)</f>
        <v>0</v>
      </c>
      <c r="BN974" s="229">
        <f t="shared" si="941"/>
        <v>0</v>
      </c>
      <c r="BO974" s="228">
        <v>35</v>
      </c>
      <c r="BP974" s="229">
        <f t="shared" si="942"/>
        <v>48</v>
      </c>
      <c r="BQ974" s="234">
        <f t="shared" si="943"/>
        <v>3.0748170731707316</v>
      </c>
      <c r="BR974" s="234" cm="1">
        <f t="array" ref="BR974">$BM974 * SUMPRODUCT(INDEX($AV$76:$AX$81,,$AI974),INDEX($AY$76:$BE$81,,$AH974), N($AU$76:$AU$81&gt;$AM974)) / BQ974 / 1000</f>
        <v>0</v>
      </c>
      <c r="BS974" s="231">
        <f t="shared" si="930"/>
        <v>30</v>
      </c>
      <c r="BT974" s="229">
        <f t="shared" si="944"/>
        <v>43</v>
      </c>
      <c r="BU974" s="234">
        <f t="shared" si="945"/>
        <v>3.5018750000000001</v>
      </c>
      <c r="BV974" s="234" cm="1">
        <f t="array" ref="BV974">$BM974 * IF($AH974&lt;=2,
SUMPRODUCT(INDEX($AV$71:$AX$75,,$AI974), INDEX($AY$71:$BE$75,,$AH974), 1 / ($BF$71:$BF$75*BU974 + (1-$BF$71:$BF$75)*BQ974), N($AU$71:$AU$75&gt;$AM974)),
SUMPRODUCT(INDEX($AV$66:$AX$75,,$AI974), INDEX($AY$66:$BE$75,,$AH974), 1 / ($BG$66:$BG$75*BU974 + (1-$BG$66:$BG$75)*BQ974), N($AU$66:$AU$75&gt;$AM974))
) / 1000</f>
        <v>0</v>
      </c>
      <c r="BW974" s="231">
        <f t="shared" si="931"/>
        <v>25</v>
      </c>
      <c r="BX974" s="229">
        <f t="shared" si="946"/>
        <v>38</v>
      </c>
      <c r="BY974" s="234">
        <f t="shared" si="947"/>
        <v>4.0666935483870965</v>
      </c>
      <c r="BZ974" s="234" cm="1">
        <f t="array" ref="BZ974">$BM974 * IF($AH974&lt;=2,
SUMPRODUCT(INDEX($AV$66:$AX$70,,$AI974), INDEX($AY$66:$BE$70,,$AH974), 1 / ($BF$66:$BF$70*BY974 + (1-$BF$66:$BF$70)*BU974), N($AU$66:$AU$70&gt;$AM974)),
SUMPRODUCT(INDEX($AV$56:$AX$65,,$AI974), INDEX($AY$56:$BE$65,,$AH974), 1 / ($BG$56:$BG$65*BY974 + (1-$BG$56:$BG$65)*BU974), N($AU$56:$AU$65&gt;$AM974))
) / 1000</f>
        <v>0</v>
      </c>
      <c r="CA974" s="231">
        <f t="shared" si="932"/>
        <v>20</v>
      </c>
      <c r="CB974" s="229">
        <f t="shared" si="948"/>
        <v>33</v>
      </c>
      <c r="CC974" s="234">
        <f t="shared" si="949"/>
        <v>4.8487499999999999</v>
      </c>
      <c r="CD974" s="234" cm="1">
        <f t="array" ref="CD974">$BM974 * IF($AH974&lt;=2,
SUMPRODUCT(INDEX($AV$61:$AX$65,,$AI974), INDEX($AY$61:$BE$65,,$AH974), 1 / ($BF$61:$BF$65*CC974 + (1-$BF$61:$BF$65)*BY974), N($AU$61:$AU$65&gt;$AM974)),
SUMPRODUCT(INDEX($AV$46:$AX$55,,$AI974), INDEX($AY$46:$BE$55,,$AH974), 1 / ($BG$46:$BG$55*CC974 + (1-$BG$46:$BG$55)*BY974), N($AU$46:$AU$55&gt;$AM974))
) / 1000</f>
        <v>0</v>
      </c>
      <c r="CE974" s="234" cm="1">
        <f t="array" ref="CE974">$BM974 * IF($AH974&lt;=2,
SUMPRODUCT(INDEX($AV$22:$AX$60,,$AI974), INDEX($AY$22:$BE$60,,$AH974), 1 / ($BF$22:$BF$60*CC974), N($AU$22:$AU$60&gt;$AM974)),
SUMPRODUCT(INDEX($AV$22:$AX$45,,$AI974), INDEX($AY$22:$BE$45,,$AH974), 1 / ($BG$22:$BG$45*CC974), N($AU$22:$AU$45&gt;$AM974))
) / 1000</f>
        <v>0</v>
      </c>
      <c r="CF974" s="229">
        <f t="shared" si="950"/>
        <v>0</v>
      </c>
      <c r="CG974" s="246"/>
      <c r="CH974" s="229">
        <f t="shared" si="951"/>
        <v>0</v>
      </c>
      <c r="CI974" s="228">
        <v>35</v>
      </c>
      <c r="CJ974" s="229">
        <f t="shared" si="952"/>
        <v>48</v>
      </c>
      <c r="CK974" s="234">
        <f t="shared" si="953"/>
        <v>3.0748170731707316</v>
      </c>
      <c r="CL974" s="234" cm="1">
        <f t="array" ref="CL974">$BM974 * SUMPRODUCT(INDEX($AV$76:$AX$81,,$AI974),INDEX($AY$76:$BE$81,,$AH974), N($AU$76:$AU$81&gt;$AM974)) / CK974 / 1000</f>
        <v>0</v>
      </c>
      <c r="CM974" s="231">
        <f t="shared" si="933"/>
        <v>30</v>
      </c>
      <c r="CN974" s="229">
        <f t="shared" si="954"/>
        <v>43</v>
      </c>
      <c r="CO974" s="234">
        <f t="shared" si="955"/>
        <v>3.5018750000000001</v>
      </c>
      <c r="CP974" s="234" cm="1">
        <f t="array" ref="CP974">$BM974 * IF($AH974&lt;=2,
SUMPRODUCT(INDEX($AV$71:$AX$75,,$AI974), INDEX($AY$71:$BE$75,,$AH974), 1 / ($BF$71:$BF$75*CO974 + (1-$BF$71:$BF$75)*CK974), N($AU$71:$AU$75&gt;$AM974)),
SUMPRODUCT(INDEX($AV$66:$AX$75,,$AI974), INDEX($AY$66:$BE$75,,$AH974), 1 / ($BG$66:$BG$75*CO974 + (1-$BG$66:$BG$75)*CK974), N($AU$66:$AU$75&gt;$AM974))
) / 1000</f>
        <v>0</v>
      </c>
      <c r="CQ974" s="231">
        <f t="shared" si="934"/>
        <v>25</v>
      </c>
      <c r="CR974" s="229">
        <f t="shared" si="956"/>
        <v>38</v>
      </c>
      <c r="CS974" s="234">
        <f t="shared" si="957"/>
        <v>4.0666935483870965</v>
      </c>
      <c r="CT974" s="234" cm="1">
        <f t="array" ref="CT974">$BM974 * IF($AH974&lt;=2,
SUMPRODUCT(INDEX($AV$66:$AX$70,,$AI974), INDEX($AY$66:$BE$70,,$AH974), 1 / ($BF$66:$BF$70*CS974 + (1-$BF$66:$BF$70)*CO974), N($AU$66:$AU$70&gt;$AM974)),
SUMPRODUCT(INDEX($AV$56:$AX$65,,$AI974), INDEX($AY$56:$BE$65,,$AH974), 1 / ($BG$56:$BG$65*CS974 + (1-$BG$56:$BG$65)*CO974), N($AU$56:$AU$65&gt;$AM974))
) / 1000</f>
        <v>0</v>
      </c>
      <c r="CU974" s="231">
        <f t="shared" si="935"/>
        <v>20</v>
      </c>
      <c r="CV974" s="229">
        <f t="shared" si="958"/>
        <v>33</v>
      </c>
      <c r="CW974" s="234">
        <f t="shared" si="959"/>
        <v>4.8487499999999999</v>
      </c>
      <c r="CX974" s="234" cm="1">
        <f t="array" ref="CX974">$BM974 * IF($AH974&lt;=2,
SUMPRODUCT(INDEX($AV$61:$AX$65,,$AI974), INDEX($AY$61:$BE$65,,$AH974), 1 / ($BF$61:$BF$65*CW974 + (1-$BF$61:$BF$65)*CS974), N($AU$61:$AU$65&gt;$AM974)),
SUMPRODUCT(INDEX($AV$46:$AX$55,,$AI974), INDEX($AY$46:$BE$55,,$AH974), 1 / ($BG$46:$BG$55*CW974 + (1-$BG$46:$BG$55)*CS974), N($AU$46:$AU$55&gt;$AM974))
) / 1000</f>
        <v>0</v>
      </c>
      <c r="CY974" s="234" cm="1">
        <f t="array" ref="CY974">$BM974 * IF($AH974&lt;=2,
SUMPRODUCT(INDEX($AV$22:$AX$60,,$AI974), INDEX($AY$22:$BE$60,,$AH974), 1 / ($BF$22:$BF$60*CW974), N($AU$22:$AU$60&gt;$AM974)),
SUMPRODUCT(INDEX($AV$22:$AX$45,,$AI974), INDEX($AY$22:$BE$45,,$AH974), 1 / ($BG$22:$BG$45*CW974), N($AU$22:$AU$45&gt;$AM974))
) / 1000</f>
        <v>0</v>
      </c>
      <c r="CZ974" s="229">
        <f t="shared" si="960"/>
        <v>0</v>
      </c>
      <c r="DA974" s="246"/>
    </row>
    <row r="975" spans="1:105" s="75" customFormat="1" ht="14.25" customHeight="1" x14ac:dyDescent="0.2">
      <c r="A975" s="230" t="b">
        <f t="shared" si="927"/>
        <v>0</v>
      </c>
      <c r="B975" s="253">
        <v>954</v>
      </c>
      <c r="C975" s="266"/>
      <c r="D975" s="266"/>
      <c r="E975" s="254"/>
      <c r="F975" s="255" t="str">
        <f>IF(ISBLANK(E975), "", VLOOKUP(E975, Z!$A$2:$C$4127, 3, FALSE))</f>
        <v/>
      </c>
      <c r="G975" s="256"/>
      <c r="H975" s="256"/>
      <c r="I975" s="256"/>
      <c r="J975" s="257"/>
      <c r="K975" s="258"/>
      <c r="L975" s="267"/>
      <c r="M975" s="268"/>
      <c r="N975" s="259" t="str" cm="1">
        <f t="array" ref="N975">IF($L975&gt;0, INDEX(Clean,1+AK975,$D$1), "")</f>
        <v/>
      </c>
      <c r="O975" s="260"/>
      <c r="P975" s="260"/>
      <c r="Q975" s="261"/>
      <c r="R975" s="264">
        <f t="shared" si="936"/>
        <v>0</v>
      </c>
      <c r="S975" s="259" t="str" cm="1">
        <f t="array" ref="S975">IF($L975&gt;0, INDEX(Clean,1+AL975,$D$1), "")</f>
        <v/>
      </c>
      <c r="T975" s="260"/>
      <c r="U975" s="260"/>
      <c r="V975" s="261"/>
      <c r="W975" s="267"/>
      <c r="X975" s="267"/>
      <c r="Y975" s="257"/>
      <c r="Z975" s="264">
        <f t="shared" si="937"/>
        <v>0</v>
      </c>
      <c r="AA975" s="269"/>
      <c r="AB975" s="266"/>
      <c r="AC975" s="254"/>
      <c r="AD975" s="255" t="str">
        <f>IF(ISBLANK(AC975), "", VLOOKUP(AC975, Z!$A$2:$C$4127, 3, FALSE))</f>
        <v/>
      </c>
      <c r="AE975" s="270"/>
      <c r="AF975" s="265">
        <f t="shared" si="938"/>
        <v>0</v>
      </c>
      <c r="AG975" s="246"/>
      <c r="AH975" s="228">
        <f t="shared" si="961"/>
        <v>1</v>
      </c>
      <c r="AI975" s="228">
        <f t="shared" si="962"/>
        <v>1</v>
      </c>
      <c r="AJ975" s="228">
        <f t="shared" si="963"/>
        <v>0</v>
      </c>
      <c r="AK975" s="228">
        <v>0</v>
      </c>
      <c r="AL975" s="228">
        <v>0</v>
      </c>
      <c r="AM975" s="228">
        <f t="shared" si="939"/>
        <v>-100</v>
      </c>
      <c r="AN975" s="228" cm="1">
        <f t="array" ref="AN975">IF(ISBLANK(G975), 1, IFERROR(MATCH(G975, INDEX(Kat,,1), 0), IFERROR(MATCH(Kat, INDEX(Use,,2), 0), MATCH(Kat, INDEX(Use,,3), 0))))</f>
        <v>1</v>
      </c>
      <c r="AO975" s="246"/>
      <c r="AP975" s="228" cm="1">
        <f t="array" ref="AP975">IF(W975&gt;0, INDEX(Kat, AN975,4), 0)</f>
        <v>0</v>
      </c>
      <c r="AQ975" s="228">
        <f t="shared" si="964"/>
        <v>0</v>
      </c>
      <c r="AR975" s="228" cm="1">
        <f t="array" ref="AR975">IF(X975&gt;0, INDEX(Kat, $AN975, 4+AQ975), 0)</f>
        <v>0</v>
      </c>
      <c r="AS975" s="228" cm="1">
        <f t="array" ref="AS975">IF(X975&gt;0, INDEX(Kat, $AN975, 9+AQ975), 0)</f>
        <v>0</v>
      </c>
      <c r="AT975" s="246"/>
      <c r="AU975" s="262"/>
      <c r="AV975" s="262"/>
      <c r="AW975" s="263"/>
      <c r="AX975" s="263"/>
      <c r="AY975" s="263"/>
      <c r="AZ975" s="263"/>
      <c r="BA975" s="263"/>
      <c r="BB975" s="263"/>
      <c r="BC975" s="263"/>
      <c r="BD975" s="263"/>
      <c r="BE975" s="263"/>
      <c r="BF975" s="263"/>
      <c r="BG975" s="263"/>
      <c r="BH975" s="246"/>
      <c r="BI975" s="228" cm="1">
        <f t="array" ref="BI975">INDEX(Use, $AH975, 4)</f>
        <v>7</v>
      </c>
      <c r="BJ975" s="228">
        <f t="shared" si="940"/>
        <v>32</v>
      </c>
      <c r="BK975" s="228">
        <f t="shared" si="928"/>
        <v>13</v>
      </c>
      <c r="BL975" s="228">
        <f t="shared" si="929"/>
        <v>0</v>
      </c>
      <c r="BM975" s="233" cm="1">
        <f t="array" ref="BM975">L975/IF($M975&gt;0, INDEX($AY$22:$BE$76, $M975+20, $AH975), 1)</f>
        <v>0</v>
      </c>
      <c r="BN975" s="229">
        <f t="shared" si="941"/>
        <v>0</v>
      </c>
      <c r="BO975" s="228">
        <v>35</v>
      </c>
      <c r="BP975" s="229">
        <f t="shared" si="942"/>
        <v>48</v>
      </c>
      <c r="BQ975" s="234">
        <f t="shared" si="943"/>
        <v>3.0748170731707316</v>
      </c>
      <c r="BR975" s="234" cm="1">
        <f t="array" ref="BR975">$BM975 * SUMPRODUCT(INDEX($AV$76:$AX$81,,$AI975),INDEX($AY$76:$BE$81,,$AH975), N($AU$76:$AU$81&gt;$AM975)) / BQ975 / 1000</f>
        <v>0</v>
      </c>
      <c r="BS975" s="231">
        <f t="shared" si="930"/>
        <v>30</v>
      </c>
      <c r="BT975" s="229">
        <f t="shared" si="944"/>
        <v>43</v>
      </c>
      <c r="BU975" s="234">
        <f t="shared" si="945"/>
        <v>3.5018750000000001</v>
      </c>
      <c r="BV975" s="234" cm="1">
        <f t="array" ref="BV975">$BM975 * IF($AH975&lt;=2,
SUMPRODUCT(INDEX($AV$71:$AX$75,,$AI975), INDEX($AY$71:$BE$75,,$AH975), 1 / ($BF$71:$BF$75*BU975 + (1-$BF$71:$BF$75)*BQ975), N($AU$71:$AU$75&gt;$AM975)),
SUMPRODUCT(INDEX($AV$66:$AX$75,,$AI975), INDEX($AY$66:$BE$75,,$AH975), 1 / ($BG$66:$BG$75*BU975 + (1-$BG$66:$BG$75)*BQ975), N($AU$66:$AU$75&gt;$AM975))
) / 1000</f>
        <v>0</v>
      </c>
      <c r="BW975" s="231">
        <f t="shared" si="931"/>
        <v>25</v>
      </c>
      <c r="BX975" s="229">
        <f t="shared" si="946"/>
        <v>38</v>
      </c>
      <c r="BY975" s="234">
        <f t="shared" si="947"/>
        <v>4.0666935483870965</v>
      </c>
      <c r="BZ975" s="234" cm="1">
        <f t="array" ref="BZ975">$BM975 * IF($AH975&lt;=2,
SUMPRODUCT(INDEX($AV$66:$AX$70,,$AI975), INDEX($AY$66:$BE$70,,$AH975), 1 / ($BF$66:$BF$70*BY975 + (1-$BF$66:$BF$70)*BU975), N($AU$66:$AU$70&gt;$AM975)),
SUMPRODUCT(INDEX($AV$56:$AX$65,,$AI975), INDEX($AY$56:$BE$65,,$AH975), 1 / ($BG$56:$BG$65*BY975 + (1-$BG$56:$BG$65)*BU975), N($AU$56:$AU$65&gt;$AM975))
) / 1000</f>
        <v>0</v>
      </c>
      <c r="CA975" s="231">
        <f t="shared" si="932"/>
        <v>20</v>
      </c>
      <c r="CB975" s="229">
        <f t="shared" si="948"/>
        <v>33</v>
      </c>
      <c r="CC975" s="234">
        <f t="shared" si="949"/>
        <v>4.8487499999999999</v>
      </c>
      <c r="CD975" s="234" cm="1">
        <f t="array" ref="CD975">$BM975 * IF($AH975&lt;=2,
SUMPRODUCT(INDEX($AV$61:$AX$65,,$AI975), INDEX($AY$61:$BE$65,,$AH975), 1 / ($BF$61:$BF$65*CC975 + (1-$BF$61:$BF$65)*BY975), N($AU$61:$AU$65&gt;$AM975)),
SUMPRODUCT(INDEX($AV$46:$AX$55,,$AI975), INDEX($AY$46:$BE$55,,$AH975), 1 / ($BG$46:$BG$55*CC975 + (1-$BG$46:$BG$55)*BY975), N($AU$46:$AU$55&gt;$AM975))
) / 1000</f>
        <v>0</v>
      </c>
      <c r="CE975" s="234" cm="1">
        <f t="array" ref="CE975">$BM975 * IF($AH975&lt;=2,
SUMPRODUCT(INDEX($AV$22:$AX$60,,$AI975), INDEX($AY$22:$BE$60,,$AH975), 1 / ($BF$22:$BF$60*CC975), N($AU$22:$AU$60&gt;$AM975)),
SUMPRODUCT(INDEX($AV$22:$AX$45,,$AI975), INDEX($AY$22:$BE$45,,$AH975), 1 / ($BG$22:$BG$45*CC975), N($AU$22:$AU$45&gt;$AM975))
) / 1000</f>
        <v>0</v>
      </c>
      <c r="CF975" s="229">
        <f t="shared" si="950"/>
        <v>0</v>
      </c>
      <c r="CG975" s="246"/>
      <c r="CH975" s="229">
        <f t="shared" si="951"/>
        <v>0</v>
      </c>
      <c r="CI975" s="228">
        <v>35</v>
      </c>
      <c r="CJ975" s="229">
        <f t="shared" si="952"/>
        <v>48</v>
      </c>
      <c r="CK975" s="234">
        <f t="shared" si="953"/>
        <v>3.0748170731707316</v>
      </c>
      <c r="CL975" s="234" cm="1">
        <f t="array" ref="CL975">$BM975 * SUMPRODUCT(INDEX($AV$76:$AX$81,,$AI975),INDEX($AY$76:$BE$81,,$AH975), N($AU$76:$AU$81&gt;$AM975)) / CK975 / 1000</f>
        <v>0</v>
      </c>
      <c r="CM975" s="231">
        <f t="shared" si="933"/>
        <v>30</v>
      </c>
      <c r="CN975" s="229">
        <f t="shared" si="954"/>
        <v>43</v>
      </c>
      <c r="CO975" s="234">
        <f t="shared" si="955"/>
        <v>3.5018750000000001</v>
      </c>
      <c r="CP975" s="234" cm="1">
        <f t="array" ref="CP975">$BM975 * IF($AH975&lt;=2,
SUMPRODUCT(INDEX($AV$71:$AX$75,,$AI975), INDEX($AY$71:$BE$75,,$AH975), 1 / ($BF$71:$BF$75*CO975 + (1-$BF$71:$BF$75)*CK975), N($AU$71:$AU$75&gt;$AM975)),
SUMPRODUCT(INDEX($AV$66:$AX$75,,$AI975), INDEX($AY$66:$BE$75,,$AH975), 1 / ($BG$66:$BG$75*CO975 + (1-$BG$66:$BG$75)*CK975), N($AU$66:$AU$75&gt;$AM975))
) / 1000</f>
        <v>0</v>
      </c>
      <c r="CQ975" s="231">
        <f t="shared" si="934"/>
        <v>25</v>
      </c>
      <c r="CR975" s="229">
        <f t="shared" si="956"/>
        <v>38</v>
      </c>
      <c r="CS975" s="234">
        <f t="shared" si="957"/>
        <v>4.0666935483870965</v>
      </c>
      <c r="CT975" s="234" cm="1">
        <f t="array" ref="CT975">$BM975 * IF($AH975&lt;=2,
SUMPRODUCT(INDEX($AV$66:$AX$70,,$AI975), INDEX($AY$66:$BE$70,,$AH975), 1 / ($BF$66:$BF$70*CS975 + (1-$BF$66:$BF$70)*CO975), N($AU$66:$AU$70&gt;$AM975)),
SUMPRODUCT(INDEX($AV$56:$AX$65,,$AI975), INDEX($AY$56:$BE$65,,$AH975), 1 / ($BG$56:$BG$65*CS975 + (1-$BG$56:$BG$65)*CO975), N($AU$56:$AU$65&gt;$AM975))
) / 1000</f>
        <v>0</v>
      </c>
      <c r="CU975" s="231">
        <f t="shared" si="935"/>
        <v>20</v>
      </c>
      <c r="CV975" s="229">
        <f t="shared" si="958"/>
        <v>33</v>
      </c>
      <c r="CW975" s="234">
        <f t="shared" si="959"/>
        <v>4.8487499999999999</v>
      </c>
      <c r="CX975" s="234" cm="1">
        <f t="array" ref="CX975">$BM975 * IF($AH975&lt;=2,
SUMPRODUCT(INDEX($AV$61:$AX$65,,$AI975), INDEX($AY$61:$BE$65,,$AH975), 1 / ($BF$61:$BF$65*CW975 + (1-$BF$61:$BF$65)*CS975), N($AU$61:$AU$65&gt;$AM975)),
SUMPRODUCT(INDEX($AV$46:$AX$55,,$AI975), INDEX($AY$46:$BE$55,,$AH975), 1 / ($BG$46:$BG$55*CW975 + (1-$BG$46:$BG$55)*CS975), N($AU$46:$AU$55&gt;$AM975))
) / 1000</f>
        <v>0</v>
      </c>
      <c r="CY975" s="234" cm="1">
        <f t="array" ref="CY975">$BM975 * IF($AH975&lt;=2,
SUMPRODUCT(INDEX($AV$22:$AX$60,,$AI975), INDEX($AY$22:$BE$60,,$AH975), 1 / ($BF$22:$BF$60*CW975), N($AU$22:$AU$60&gt;$AM975)),
SUMPRODUCT(INDEX($AV$22:$AX$45,,$AI975), INDEX($AY$22:$BE$45,,$AH975), 1 / ($BG$22:$BG$45*CW975), N($AU$22:$AU$45&gt;$AM975))
) / 1000</f>
        <v>0</v>
      </c>
      <c r="CZ975" s="229">
        <f t="shared" si="960"/>
        <v>0</v>
      </c>
      <c r="DA975" s="246"/>
    </row>
    <row r="976" spans="1:105" s="75" customFormat="1" ht="14.25" customHeight="1" x14ac:dyDescent="0.2">
      <c r="A976" s="230" t="b">
        <f t="shared" si="927"/>
        <v>0</v>
      </c>
      <c r="B976" s="253">
        <v>955</v>
      </c>
      <c r="C976" s="266"/>
      <c r="D976" s="266"/>
      <c r="E976" s="254"/>
      <c r="F976" s="255" t="str">
        <f>IF(ISBLANK(E976), "", VLOOKUP(E976, Z!$A$2:$C$4127, 3, FALSE))</f>
        <v/>
      </c>
      <c r="G976" s="256"/>
      <c r="H976" s="256"/>
      <c r="I976" s="256"/>
      <c r="J976" s="257"/>
      <c r="K976" s="258"/>
      <c r="L976" s="267"/>
      <c r="M976" s="268"/>
      <c r="N976" s="259" t="str" cm="1">
        <f t="array" ref="N976">IF($L976&gt;0, INDEX(Clean,1+AK976,$D$1), "")</f>
        <v/>
      </c>
      <c r="O976" s="260"/>
      <c r="P976" s="260"/>
      <c r="Q976" s="261"/>
      <c r="R976" s="264">
        <f t="shared" si="936"/>
        <v>0</v>
      </c>
      <c r="S976" s="259" t="str" cm="1">
        <f t="array" ref="S976">IF($L976&gt;0, INDEX(Clean,1+AL976,$D$1), "")</f>
        <v/>
      </c>
      <c r="T976" s="260"/>
      <c r="U976" s="260"/>
      <c r="V976" s="261"/>
      <c r="W976" s="267"/>
      <c r="X976" s="267"/>
      <c r="Y976" s="257"/>
      <c r="Z976" s="264">
        <f t="shared" si="937"/>
        <v>0</v>
      </c>
      <c r="AA976" s="269"/>
      <c r="AB976" s="266"/>
      <c r="AC976" s="254"/>
      <c r="AD976" s="255" t="str">
        <f>IF(ISBLANK(AC976), "", VLOOKUP(AC976, Z!$A$2:$C$4127, 3, FALSE))</f>
        <v/>
      </c>
      <c r="AE976" s="270"/>
      <c r="AF976" s="265">
        <f t="shared" si="938"/>
        <v>0</v>
      </c>
      <c r="AG976" s="246"/>
      <c r="AH976" s="228">
        <f t="shared" si="961"/>
        <v>1</v>
      </c>
      <c r="AI976" s="228">
        <f t="shared" si="962"/>
        <v>1</v>
      </c>
      <c r="AJ976" s="228">
        <f t="shared" si="963"/>
        <v>0</v>
      </c>
      <c r="AK976" s="228">
        <v>0</v>
      </c>
      <c r="AL976" s="228">
        <v>0</v>
      </c>
      <c r="AM976" s="228">
        <f t="shared" si="939"/>
        <v>-100</v>
      </c>
      <c r="AN976" s="228" cm="1">
        <f t="array" ref="AN976">IF(ISBLANK(G976), 1, IFERROR(MATCH(G976, INDEX(Kat,,1), 0), IFERROR(MATCH(Kat, INDEX(Use,,2), 0), MATCH(Kat, INDEX(Use,,3), 0))))</f>
        <v>1</v>
      </c>
      <c r="AO976" s="246"/>
      <c r="AP976" s="228" cm="1">
        <f t="array" ref="AP976">IF(W976&gt;0, INDEX(Kat, AN976,4), 0)</f>
        <v>0</v>
      </c>
      <c r="AQ976" s="228">
        <f t="shared" si="964"/>
        <v>0</v>
      </c>
      <c r="AR976" s="228" cm="1">
        <f t="array" ref="AR976">IF(X976&gt;0, INDEX(Kat, $AN976, 4+AQ976), 0)</f>
        <v>0</v>
      </c>
      <c r="AS976" s="228" cm="1">
        <f t="array" ref="AS976">IF(X976&gt;0, INDEX(Kat, $AN976, 9+AQ976), 0)</f>
        <v>0</v>
      </c>
      <c r="AT976" s="246"/>
      <c r="AU976" s="262"/>
      <c r="AV976" s="262"/>
      <c r="AW976" s="263"/>
      <c r="AX976" s="263"/>
      <c r="AY976" s="263"/>
      <c r="AZ976" s="263"/>
      <c r="BA976" s="263"/>
      <c r="BB976" s="263"/>
      <c r="BC976" s="263"/>
      <c r="BD976" s="263"/>
      <c r="BE976" s="263"/>
      <c r="BF976" s="263"/>
      <c r="BG976" s="263"/>
      <c r="BH976" s="246"/>
      <c r="BI976" s="228" cm="1">
        <f t="array" ref="BI976">INDEX(Use, $AH976, 4)</f>
        <v>7</v>
      </c>
      <c r="BJ976" s="228">
        <f t="shared" si="940"/>
        <v>32</v>
      </c>
      <c r="BK976" s="228">
        <f t="shared" si="928"/>
        <v>13</v>
      </c>
      <c r="BL976" s="228">
        <f t="shared" si="929"/>
        <v>0</v>
      </c>
      <c r="BM976" s="233" cm="1">
        <f t="array" ref="BM976">L976/IF($M976&gt;0, INDEX($AY$22:$BE$76, $M976+20, $AH976), 1)</f>
        <v>0</v>
      </c>
      <c r="BN976" s="229">
        <f t="shared" si="941"/>
        <v>0</v>
      </c>
      <c r="BO976" s="228">
        <v>35</v>
      </c>
      <c r="BP976" s="229">
        <f t="shared" si="942"/>
        <v>48</v>
      </c>
      <c r="BQ976" s="234">
        <f t="shared" si="943"/>
        <v>3.0748170731707316</v>
      </c>
      <c r="BR976" s="234" cm="1">
        <f t="array" ref="BR976">$BM976 * SUMPRODUCT(INDEX($AV$76:$AX$81,,$AI976),INDEX($AY$76:$BE$81,,$AH976), N($AU$76:$AU$81&gt;$AM976)) / BQ976 / 1000</f>
        <v>0</v>
      </c>
      <c r="BS976" s="231">
        <f t="shared" si="930"/>
        <v>30</v>
      </c>
      <c r="BT976" s="229">
        <f t="shared" si="944"/>
        <v>43</v>
      </c>
      <c r="BU976" s="234">
        <f t="shared" si="945"/>
        <v>3.5018750000000001</v>
      </c>
      <c r="BV976" s="234" cm="1">
        <f t="array" ref="BV976">$BM976 * IF($AH976&lt;=2,
SUMPRODUCT(INDEX($AV$71:$AX$75,,$AI976), INDEX($AY$71:$BE$75,,$AH976), 1 / ($BF$71:$BF$75*BU976 + (1-$BF$71:$BF$75)*BQ976), N($AU$71:$AU$75&gt;$AM976)),
SUMPRODUCT(INDEX($AV$66:$AX$75,,$AI976), INDEX($AY$66:$BE$75,,$AH976), 1 / ($BG$66:$BG$75*BU976 + (1-$BG$66:$BG$75)*BQ976), N($AU$66:$AU$75&gt;$AM976))
) / 1000</f>
        <v>0</v>
      </c>
      <c r="BW976" s="231">
        <f t="shared" si="931"/>
        <v>25</v>
      </c>
      <c r="BX976" s="229">
        <f t="shared" si="946"/>
        <v>38</v>
      </c>
      <c r="BY976" s="234">
        <f t="shared" si="947"/>
        <v>4.0666935483870965</v>
      </c>
      <c r="BZ976" s="234" cm="1">
        <f t="array" ref="BZ976">$BM976 * IF($AH976&lt;=2,
SUMPRODUCT(INDEX($AV$66:$AX$70,,$AI976), INDEX($AY$66:$BE$70,,$AH976), 1 / ($BF$66:$BF$70*BY976 + (1-$BF$66:$BF$70)*BU976), N($AU$66:$AU$70&gt;$AM976)),
SUMPRODUCT(INDEX($AV$56:$AX$65,,$AI976), INDEX($AY$56:$BE$65,,$AH976), 1 / ($BG$56:$BG$65*BY976 + (1-$BG$56:$BG$65)*BU976), N($AU$56:$AU$65&gt;$AM976))
) / 1000</f>
        <v>0</v>
      </c>
      <c r="CA976" s="231">
        <f t="shared" si="932"/>
        <v>20</v>
      </c>
      <c r="CB976" s="229">
        <f t="shared" si="948"/>
        <v>33</v>
      </c>
      <c r="CC976" s="234">
        <f t="shared" si="949"/>
        <v>4.8487499999999999</v>
      </c>
      <c r="CD976" s="234" cm="1">
        <f t="array" ref="CD976">$BM976 * IF($AH976&lt;=2,
SUMPRODUCT(INDEX($AV$61:$AX$65,,$AI976), INDEX($AY$61:$BE$65,,$AH976), 1 / ($BF$61:$BF$65*CC976 + (1-$BF$61:$BF$65)*BY976), N($AU$61:$AU$65&gt;$AM976)),
SUMPRODUCT(INDEX($AV$46:$AX$55,,$AI976), INDEX($AY$46:$BE$55,,$AH976), 1 / ($BG$46:$BG$55*CC976 + (1-$BG$46:$BG$55)*BY976), N($AU$46:$AU$55&gt;$AM976))
) / 1000</f>
        <v>0</v>
      </c>
      <c r="CE976" s="234" cm="1">
        <f t="array" ref="CE976">$BM976 * IF($AH976&lt;=2,
SUMPRODUCT(INDEX($AV$22:$AX$60,,$AI976), INDEX($AY$22:$BE$60,,$AH976), 1 / ($BF$22:$BF$60*CC976), N($AU$22:$AU$60&gt;$AM976)),
SUMPRODUCT(INDEX($AV$22:$AX$45,,$AI976), INDEX($AY$22:$BE$45,,$AH976), 1 / ($BG$22:$BG$45*CC976), N($AU$22:$AU$45&gt;$AM976))
) / 1000</f>
        <v>0</v>
      </c>
      <c r="CF976" s="229">
        <f t="shared" si="950"/>
        <v>0</v>
      </c>
      <c r="CG976" s="246"/>
      <c r="CH976" s="229">
        <f t="shared" si="951"/>
        <v>0</v>
      </c>
      <c r="CI976" s="228">
        <v>35</v>
      </c>
      <c r="CJ976" s="229">
        <f t="shared" si="952"/>
        <v>48</v>
      </c>
      <c r="CK976" s="234">
        <f t="shared" si="953"/>
        <v>3.0748170731707316</v>
      </c>
      <c r="CL976" s="234" cm="1">
        <f t="array" ref="CL976">$BM976 * SUMPRODUCT(INDEX($AV$76:$AX$81,,$AI976),INDEX($AY$76:$BE$81,,$AH976), N($AU$76:$AU$81&gt;$AM976)) / CK976 / 1000</f>
        <v>0</v>
      </c>
      <c r="CM976" s="231">
        <f t="shared" si="933"/>
        <v>30</v>
      </c>
      <c r="CN976" s="229">
        <f t="shared" si="954"/>
        <v>43</v>
      </c>
      <c r="CO976" s="234">
        <f t="shared" si="955"/>
        <v>3.5018750000000001</v>
      </c>
      <c r="CP976" s="234" cm="1">
        <f t="array" ref="CP976">$BM976 * IF($AH976&lt;=2,
SUMPRODUCT(INDEX($AV$71:$AX$75,,$AI976), INDEX($AY$71:$BE$75,,$AH976), 1 / ($BF$71:$BF$75*CO976 + (1-$BF$71:$BF$75)*CK976), N($AU$71:$AU$75&gt;$AM976)),
SUMPRODUCT(INDEX($AV$66:$AX$75,,$AI976), INDEX($AY$66:$BE$75,,$AH976), 1 / ($BG$66:$BG$75*CO976 + (1-$BG$66:$BG$75)*CK976), N($AU$66:$AU$75&gt;$AM976))
) / 1000</f>
        <v>0</v>
      </c>
      <c r="CQ976" s="231">
        <f t="shared" si="934"/>
        <v>25</v>
      </c>
      <c r="CR976" s="229">
        <f t="shared" si="956"/>
        <v>38</v>
      </c>
      <c r="CS976" s="234">
        <f t="shared" si="957"/>
        <v>4.0666935483870965</v>
      </c>
      <c r="CT976" s="234" cm="1">
        <f t="array" ref="CT976">$BM976 * IF($AH976&lt;=2,
SUMPRODUCT(INDEX($AV$66:$AX$70,,$AI976), INDEX($AY$66:$BE$70,,$AH976), 1 / ($BF$66:$BF$70*CS976 + (1-$BF$66:$BF$70)*CO976), N($AU$66:$AU$70&gt;$AM976)),
SUMPRODUCT(INDEX($AV$56:$AX$65,,$AI976), INDEX($AY$56:$BE$65,,$AH976), 1 / ($BG$56:$BG$65*CS976 + (1-$BG$56:$BG$65)*CO976), N($AU$56:$AU$65&gt;$AM976))
) / 1000</f>
        <v>0</v>
      </c>
      <c r="CU976" s="231">
        <f t="shared" si="935"/>
        <v>20</v>
      </c>
      <c r="CV976" s="229">
        <f t="shared" si="958"/>
        <v>33</v>
      </c>
      <c r="CW976" s="234">
        <f t="shared" si="959"/>
        <v>4.8487499999999999</v>
      </c>
      <c r="CX976" s="234" cm="1">
        <f t="array" ref="CX976">$BM976 * IF($AH976&lt;=2,
SUMPRODUCT(INDEX($AV$61:$AX$65,,$AI976), INDEX($AY$61:$BE$65,,$AH976), 1 / ($BF$61:$BF$65*CW976 + (1-$BF$61:$BF$65)*CS976), N($AU$61:$AU$65&gt;$AM976)),
SUMPRODUCT(INDEX($AV$46:$AX$55,,$AI976), INDEX($AY$46:$BE$55,,$AH976), 1 / ($BG$46:$BG$55*CW976 + (1-$BG$46:$BG$55)*CS976), N($AU$46:$AU$55&gt;$AM976))
) / 1000</f>
        <v>0</v>
      </c>
      <c r="CY976" s="234" cm="1">
        <f t="array" ref="CY976">$BM976 * IF($AH976&lt;=2,
SUMPRODUCT(INDEX($AV$22:$AX$60,,$AI976), INDEX($AY$22:$BE$60,,$AH976), 1 / ($BF$22:$BF$60*CW976), N($AU$22:$AU$60&gt;$AM976)),
SUMPRODUCT(INDEX($AV$22:$AX$45,,$AI976), INDEX($AY$22:$BE$45,,$AH976), 1 / ($BG$22:$BG$45*CW976), N($AU$22:$AU$45&gt;$AM976))
) / 1000</f>
        <v>0</v>
      </c>
      <c r="CZ976" s="229">
        <f t="shared" si="960"/>
        <v>0</v>
      </c>
      <c r="DA976" s="246"/>
    </row>
    <row r="977" spans="1:105" s="75" customFormat="1" ht="14.25" customHeight="1" x14ac:dyDescent="0.2">
      <c r="A977" s="230" t="b">
        <f t="shared" si="927"/>
        <v>0</v>
      </c>
      <c r="B977" s="253">
        <v>956</v>
      </c>
      <c r="C977" s="266"/>
      <c r="D977" s="266"/>
      <c r="E977" s="254"/>
      <c r="F977" s="255" t="str">
        <f>IF(ISBLANK(E977), "", VLOOKUP(E977, Z!$A$2:$C$4127, 3, FALSE))</f>
        <v/>
      </c>
      <c r="G977" s="256"/>
      <c r="H977" s="256"/>
      <c r="I977" s="256"/>
      <c r="J977" s="257"/>
      <c r="K977" s="258"/>
      <c r="L977" s="267"/>
      <c r="M977" s="268"/>
      <c r="N977" s="259" t="str" cm="1">
        <f t="array" ref="N977">IF($L977&gt;0, INDEX(Clean,1+AK977,$D$1), "")</f>
        <v/>
      </c>
      <c r="O977" s="260"/>
      <c r="P977" s="260"/>
      <c r="Q977" s="261"/>
      <c r="R977" s="264">
        <f t="shared" si="936"/>
        <v>0</v>
      </c>
      <c r="S977" s="259" t="str" cm="1">
        <f t="array" ref="S977">IF($L977&gt;0, INDEX(Clean,1+AL977,$D$1), "")</f>
        <v/>
      </c>
      <c r="T977" s="260"/>
      <c r="U977" s="260"/>
      <c r="V977" s="261"/>
      <c r="W977" s="267"/>
      <c r="X977" s="267"/>
      <c r="Y977" s="257"/>
      <c r="Z977" s="264">
        <f t="shared" si="937"/>
        <v>0</v>
      </c>
      <c r="AA977" s="269"/>
      <c r="AB977" s="266"/>
      <c r="AC977" s="254"/>
      <c r="AD977" s="255" t="str">
        <f>IF(ISBLANK(AC977), "", VLOOKUP(AC977, Z!$A$2:$C$4127, 3, FALSE))</f>
        <v/>
      </c>
      <c r="AE977" s="270"/>
      <c r="AF977" s="265">
        <f t="shared" si="938"/>
        <v>0</v>
      </c>
      <c r="AG977" s="246"/>
      <c r="AH977" s="228">
        <f t="shared" si="961"/>
        <v>1</v>
      </c>
      <c r="AI977" s="228">
        <f t="shared" si="962"/>
        <v>1</v>
      </c>
      <c r="AJ977" s="228">
        <f t="shared" si="963"/>
        <v>0</v>
      </c>
      <c r="AK977" s="228">
        <v>0</v>
      </c>
      <c r="AL977" s="228">
        <v>0</v>
      </c>
      <c r="AM977" s="228">
        <f t="shared" si="939"/>
        <v>-100</v>
      </c>
      <c r="AN977" s="228" cm="1">
        <f t="array" ref="AN977">IF(ISBLANK(G977), 1, IFERROR(MATCH(G977, INDEX(Kat,,1), 0), IFERROR(MATCH(Kat, INDEX(Use,,2), 0), MATCH(Kat, INDEX(Use,,3), 0))))</f>
        <v>1</v>
      </c>
      <c r="AO977" s="246"/>
      <c r="AP977" s="228" cm="1">
        <f t="array" ref="AP977">IF(W977&gt;0, INDEX(Kat, AN977,4), 0)</f>
        <v>0</v>
      </c>
      <c r="AQ977" s="228">
        <f t="shared" si="964"/>
        <v>0</v>
      </c>
      <c r="AR977" s="228" cm="1">
        <f t="array" ref="AR977">IF(X977&gt;0, INDEX(Kat, $AN977, 4+AQ977), 0)</f>
        <v>0</v>
      </c>
      <c r="AS977" s="228" cm="1">
        <f t="array" ref="AS977">IF(X977&gt;0, INDEX(Kat, $AN977, 9+AQ977), 0)</f>
        <v>0</v>
      </c>
      <c r="AT977" s="246"/>
      <c r="AU977" s="262"/>
      <c r="AV977" s="262"/>
      <c r="AW977" s="263"/>
      <c r="AX977" s="263"/>
      <c r="AY977" s="263"/>
      <c r="AZ977" s="263"/>
      <c r="BA977" s="263"/>
      <c r="BB977" s="263"/>
      <c r="BC977" s="263"/>
      <c r="BD977" s="263"/>
      <c r="BE977" s="263"/>
      <c r="BF977" s="263"/>
      <c r="BG977" s="263"/>
      <c r="BH977" s="246"/>
      <c r="BI977" s="228" cm="1">
        <f t="array" ref="BI977">INDEX(Use, $AH977, 4)</f>
        <v>7</v>
      </c>
      <c r="BJ977" s="228">
        <f t="shared" si="940"/>
        <v>32</v>
      </c>
      <c r="BK977" s="228">
        <f t="shared" si="928"/>
        <v>13</v>
      </c>
      <c r="BL977" s="228">
        <f t="shared" si="929"/>
        <v>0</v>
      </c>
      <c r="BM977" s="233" cm="1">
        <f t="array" ref="BM977">L977/IF($M977&gt;0, INDEX($AY$22:$BE$76, $M977+20, $AH977), 1)</f>
        <v>0</v>
      </c>
      <c r="BN977" s="229">
        <f t="shared" si="941"/>
        <v>0</v>
      </c>
      <c r="BO977" s="228">
        <v>35</v>
      </c>
      <c r="BP977" s="229">
        <f t="shared" si="942"/>
        <v>48</v>
      </c>
      <c r="BQ977" s="234">
        <f t="shared" si="943"/>
        <v>3.0748170731707316</v>
      </c>
      <c r="BR977" s="234" cm="1">
        <f t="array" ref="BR977">$BM977 * SUMPRODUCT(INDEX($AV$76:$AX$81,,$AI977),INDEX($AY$76:$BE$81,,$AH977), N($AU$76:$AU$81&gt;$AM977)) / BQ977 / 1000</f>
        <v>0</v>
      </c>
      <c r="BS977" s="231">
        <f t="shared" si="930"/>
        <v>30</v>
      </c>
      <c r="BT977" s="229">
        <f t="shared" si="944"/>
        <v>43</v>
      </c>
      <c r="BU977" s="234">
        <f t="shared" si="945"/>
        <v>3.5018750000000001</v>
      </c>
      <c r="BV977" s="234" cm="1">
        <f t="array" ref="BV977">$BM977 * IF($AH977&lt;=2,
SUMPRODUCT(INDEX($AV$71:$AX$75,,$AI977), INDEX($AY$71:$BE$75,,$AH977), 1 / ($BF$71:$BF$75*BU977 + (1-$BF$71:$BF$75)*BQ977), N($AU$71:$AU$75&gt;$AM977)),
SUMPRODUCT(INDEX($AV$66:$AX$75,,$AI977), INDEX($AY$66:$BE$75,,$AH977), 1 / ($BG$66:$BG$75*BU977 + (1-$BG$66:$BG$75)*BQ977), N($AU$66:$AU$75&gt;$AM977))
) / 1000</f>
        <v>0</v>
      </c>
      <c r="BW977" s="231">
        <f t="shared" si="931"/>
        <v>25</v>
      </c>
      <c r="BX977" s="229">
        <f t="shared" si="946"/>
        <v>38</v>
      </c>
      <c r="BY977" s="234">
        <f t="shared" si="947"/>
        <v>4.0666935483870965</v>
      </c>
      <c r="BZ977" s="234" cm="1">
        <f t="array" ref="BZ977">$BM977 * IF($AH977&lt;=2,
SUMPRODUCT(INDEX($AV$66:$AX$70,,$AI977), INDEX($AY$66:$BE$70,,$AH977), 1 / ($BF$66:$BF$70*BY977 + (1-$BF$66:$BF$70)*BU977), N($AU$66:$AU$70&gt;$AM977)),
SUMPRODUCT(INDEX($AV$56:$AX$65,,$AI977), INDEX($AY$56:$BE$65,,$AH977), 1 / ($BG$56:$BG$65*BY977 + (1-$BG$56:$BG$65)*BU977), N($AU$56:$AU$65&gt;$AM977))
) / 1000</f>
        <v>0</v>
      </c>
      <c r="CA977" s="231">
        <f t="shared" si="932"/>
        <v>20</v>
      </c>
      <c r="CB977" s="229">
        <f t="shared" si="948"/>
        <v>33</v>
      </c>
      <c r="CC977" s="234">
        <f t="shared" si="949"/>
        <v>4.8487499999999999</v>
      </c>
      <c r="CD977" s="234" cm="1">
        <f t="array" ref="CD977">$BM977 * IF($AH977&lt;=2,
SUMPRODUCT(INDEX($AV$61:$AX$65,,$AI977), INDEX($AY$61:$BE$65,,$AH977), 1 / ($BF$61:$BF$65*CC977 + (1-$BF$61:$BF$65)*BY977), N($AU$61:$AU$65&gt;$AM977)),
SUMPRODUCT(INDEX($AV$46:$AX$55,,$AI977), INDEX($AY$46:$BE$55,,$AH977), 1 / ($BG$46:$BG$55*CC977 + (1-$BG$46:$BG$55)*BY977), N($AU$46:$AU$55&gt;$AM977))
) / 1000</f>
        <v>0</v>
      </c>
      <c r="CE977" s="234" cm="1">
        <f t="array" ref="CE977">$BM977 * IF($AH977&lt;=2,
SUMPRODUCT(INDEX($AV$22:$AX$60,,$AI977), INDEX($AY$22:$BE$60,,$AH977), 1 / ($BF$22:$BF$60*CC977), N($AU$22:$AU$60&gt;$AM977)),
SUMPRODUCT(INDEX($AV$22:$AX$45,,$AI977), INDEX($AY$22:$BE$45,,$AH977), 1 / ($BG$22:$BG$45*CC977), N($AU$22:$AU$45&gt;$AM977))
) / 1000</f>
        <v>0</v>
      </c>
      <c r="CF977" s="229">
        <f t="shared" si="950"/>
        <v>0</v>
      </c>
      <c r="CG977" s="246"/>
      <c r="CH977" s="229">
        <f t="shared" si="951"/>
        <v>0</v>
      </c>
      <c r="CI977" s="228">
        <v>35</v>
      </c>
      <c r="CJ977" s="229">
        <f t="shared" si="952"/>
        <v>48</v>
      </c>
      <c r="CK977" s="234">
        <f t="shared" si="953"/>
        <v>3.0748170731707316</v>
      </c>
      <c r="CL977" s="234" cm="1">
        <f t="array" ref="CL977">$BM977 * SUMPRODUCT(INDEX($AV$76:$AX$81,,$AI977),INDEX($AY$76:$BE$81,,$AH977), N($AU$76:$AU$81&gt;$AM977)) / CK977 / 1000</f>
        <v>0</v>
      </c>
      <c r="CM977" s="231">
        <f t="shared" si="933"/>
        <v>30</v>
      </c>
      <c r="CN977" s="229">
        <f t="shared" si="954"/>
        <v>43</v>
      </c>
      <c r="CO977" s="234">
        <f t="shared" si="955"/>
        <v>3.5018750000000001</v>
      </c>
      <c r="CP977" s="234" cm="1">
        <f t="array" ref="CP977">$BM977 * IF($AH977&lt;=2,
SUMPRODUCT(INDEX($AV$71:$AX$75,,$AI977), INDEX($AY$71:$BE$75,,$AH977), 1 / ($BF$71:$BF$75*CO977 + (1-$BF$71:$BF$75)*CK977), N($AU$71:$AU$75&gt;$AM977)),
SUMPRODUCT(INDEX($AV$66:$AX$75,,$AI977), INDEX($AY$66:$BE$75,,$AH977), 1 / ($BG$66:$BG$75*CO977 + (1-$BG$66:$BG$75)*CK977), N($AU$66:$AU$75&gt;$AM977))
) / 1000</f>
        <v>0</v>
      </c>
      <c r="CQ977" s="231">
        <f t="shared" si="934"/>
        <v>25</v>
      </c>
      <c r="CR977" s="229">
        <f t="shared" si="956"/>
        <v>38</v>
      </c>
      <c r="CS977" s="234">
        <f t="shared" si="957"/>
        <v>4.0666935483870965</v>
      </c>
      <c r="CT977" s="234" cm="1">
        <f t="array" ref="CT977">$BM977 * IF($AH977&lt;=2,
SUMPRODUCT(INDEX($AV$66:$AX$70,,$AI977), INDEX($AY$66:$BE$70,,$AH977), 1 / ($BF$66:$BF$70*CS977 + (1-$BF$66:$BF$70)*CO977), N($AU$66:$AU$70&gt;$AM977)),
SUMPRODUCT(INDEX($AV$56:$AX$65,,$AI977), INDEX($AY$56:$BE$65,,$AH977), 1 / ($BG$56:$BG$65*CS977 + (1-$BG$56:$BG$65)*CO977), N($AU$56:$AU$65&gt;$AM977))
) / 1000</f>
        <v>0</v>
      </c>
      <c r="CU977" s="231">
        <f t="shared" si="935"/>
        <v>20</v>
      </c>
      <c r="CV977" s="229">
        <f t="shared" si="958"/>
        <v>33</v>
      </c>
      <c r="CW977" s="234">
        <f t="shared" si="959"/>
        <v>4.8487499999999999</v>
      </c>
      <c r="CX977" s="234" cm="1">
        <f t="array" ref="CX977">$BM977 * IF($AH977&lt;=2,
SUMPRODUCT(INDEX($AV$61:$AX$65,,$AI977), INDEX($AY$61:$BE$65,,$AH977), 1 / ($BF$61:$BF$65*CW977 + (1-$BF$61:$BF$65)*CS977), N($AU$61:$AU$65&gt;$AM977)),
SUMPRODUCT(INDEX($AV$46:$AX$55,,$AI977), INDEX($AY$46:$BE$55,,$AH977), 1 / ($BG$46:$BG$55*CW977 + (1-$BG$46:$BG$55)*CS977), N($AU$46:$AU$55&gt;$AM977))
) / 1000</f>
        <v>0</v>
      </c>
      <c r="CY977" s="234" cm="1">
        <f t="array" ref="CY977">$BM977 * IF($AH977&lt;=2,
SUMPRODUCT(INDEX($AV$22:$AX$60,,$AI977), INDEX($AY$22:$BE$60,,$AH977), 1 / ($BF$22:$BF$60*CW977), N($AU$22:$AU$60&gt;$AM977)),
SUMPRODUCT(INDEX($AV$22:$AX$45,,$AI977), INDEX($AY$22:$BE$45,,$AH977), 1 / ($BG$22:$BG$45*CW977), N($AU$22:$AU$45&gt;$AM977))
) / 1000</f>
        <v>0</v>
      </c>
      <c r="CZ977" s="229">
        <f t="shared" si="960"/>
        <v>0</v>
      </c>
      <c r="DA977" s="246"/>
    </row>
    <row r="978" spans="1:105" s="75" customFormat="1" ht="14.25" customHeight="1" x14ac:dyDescent="0.2">
      <c r="A978" s="230" t="b">
        <f t="shared" si="927"/>
        <v>0</v>
      </c>
      <c r="B978" s="253">
        <v>957</v>
      </c>
      <c r="C978" s="266"/>
      <c r="D978" s="266"/>
      <c r="E978" s="254"/>
      <c r="F978" s="255" t="str">
        <f>IF(ISBLANK(E978), "", VLOOKUP(E978, Z!$A$2:$C$4127, 3, FALSE))</f>
        <v/>
      </c>
      <c r="G978" s="256"/>
      <c r="H978" s="256"/>
      <c r="I978" s="256"/>
      <c r="J978" s="257"/>
      <c r="K978" s="258"/>
      <c r="L978" s="267"/>
      <c r="M978" s="268"/>
      <c r="N978" s="259" t="str" cm="1">
        <f t="array" ref="N978">IF($L978&gt;0, INDEX(Clean,1+AK978,$D$1), "")</f>
        <v/>
      </c>
      <c r="O978" s="260"/>
      <c r="P978" s="260"/>
      <c r="Q978" s="261"/>
      <c r="R978" s="264">
        <f t="shared" si="936"/>
        <v>0</v>
      </c>
      <c r="S978" s="259" t="str" cm="1">
        <f t="array" ref="S978">IF($L978&gt;0, INDEX(Clean,1+AL978,$D$1), "")</f>
        <v/>
      </c>
      <c r="T978" s="260"/>
      <c r="U978" s="260"/>
      <c r="V978" s="261"/>
      <c r="W978" s="267"/>
      <c r="X978" s="267"/>
      <c r="Y978" s="257"/>
      <c r="Z978" s="264">
        <f t="shared" si="937"/>
        <v>0</v>
      </c>
      <c r="AA978" s="269"/>
      <c r="AB978" s="266"/>
      <c r="AC978" s="254"/>
      <c r="AD978" s="255" t="str">
        <f>IF(ISBLANK(AC978), "", VLOOKUP(AC978, Z!$A$2:$C$4127, 3, FALSE))</f>
        <v/>
      </c>
      <c r="AE978" s="270"/>
      <c r="AF978" s="265">
        <f t="shared" si="938"/>
        <v>0</v>
      </c>
      <c r="AG978" s="246"/>
      <c r="AH978" s="228">
        <f t="shared" si="961"/>
        <v>1</v>
      </c>
      <c r="AI978" s="228">
        <f t="shared" si="962"/>
        <v>1</v>
      </c>
      <c r="AJ978" s="228">
        <f t="shared" si="963"/>
        <v>0</v>
      </c>
      <c r="AK978" s="228">
        <v>0</v>
      </c>
      <c r="AL978" s="228">
        <v>0</v>
      </c>
      <c r="AM978" s="228">
        <f t="shared" si="939"/>
        <v>-100</v>
      </c>
      <c r="AN978" s="228" cm="1">
        <f t="array" ref="AN978">IF(ISBLANK(G978), 1, IFERROR(MATCH(G978, INDEX(Kat,,1), 0), IFERROR(MATCH(Kat, INDEX(Use,,2), 0), MATCH(Kat, INDEX(Use,,3), 0))))</f>
        <v>1</v>
      </c>
      <c r="AO978" s="246"/>
      <c r="AP978" s="228" cm="1">
        <f t="array" ref="AP978">IF(W978&gt;0, INDEX(Kat, AN978,4), 0)</f>
        <v>0</v>
      </c>
      <c r="AQ978" s="228">
        <f t="shared" si="964"/>
        <v>0</v>
      </c>
      <c r="AR978" s="228" cm="1">
        <f t="array" ref="AR978">IF(X978&gt;0, INDEX(Kat, $AN978, 4+AQ978), 0)</f>
        <v>0</v>
      </c>
      <c r="AS978" s="228" cm="1">
        <f t="array" ref="AS978">IF(X978&gt;0, INDEX(Kat, $AN978, 9+AQ978), 0)</f>
        <v>0</v>
      </c>
      <c r="AT978" s="246"/>
      <c r="AU978" s="262"/>
      <c r="AV978" s="262"/>
      <c r="AW978" s="263"/>
      <c r="AX978" s="263"/>
      <c r="AY978" s="263"/>
      <c r="AZ978" s="263"/>
      <c r="BA978" s="263"/>
      <c r="BB978" s="263"/>
      <c r="BC978" s="263"/>
      <c r="BD978" s="263"/>
      <c r="BE978" s="263"/>
      <c r="BF978" s="263"/>
      <c r="BG978" s="263"/>
      <c r="BH978" s="246"/>
      <c r="BI978" s="228" cm="1">
        <f t="array" ref="BI978">INDEX(Use, $AH978, 4)</f>
        <v>7</v>
      </c>
      <c r="BJ978" s="228">
        <f t="shared" si="940"/>
        <v>32</v>
      </c>
      <c r="BK978" s="228">
        <f t="shared" si="928"/>
        <v>13</v>
      </c>
      <c r="BL978" s="228">
        <f t="shared" si="929"/>
        <v>0</v>
      </c>
      <c r="BM978" s="233" cm="1">
        <f t="array" ref="BM978">L978/IF($M978&gt;0, INDEX($AY$22:$BE$76, $M978+20, $AH978), 1)</f>
        <v>0</v>
      </c>
      <c r="BN978" s="229">
        <f t="shared" si="941"/>
        <v>0</v>
      </c>
      <c r="BO978" s="228">
        <v>35</v>
      </c>
      <c r="BP978" s="229">
        <f t="shared" si="942"/>
        <v>48</v>
      </c>
      <c r="BQ978" s="234">
        <f t="shared" si="943"/>
        <v>3.0748170731707316</v>
      </c>
      <c r="BR978" s="234" cm="1">
        <f t="array" ref="BR978">$BM978 * SUMPRODUCT(INDEX($AV$76:$AX$81,,$AI978),INDEX($AY$76:$BE$81,,$AH978), N($AU$76:$AU$81&gt;$AM978)) / BQ978 / 1000</f>
        <v>0</v>
      </c>
      <c r="BS978" s="231">
        <f t="shared" si="930"/>
        <v>30</v>
      </c>
      <c r="BT978" s="229">
        <f t="shared" si="944"/>
        <v>43</v>
      </c>
      <c r="BU978" s="234">
        <f t="shared" si="945"/>
        <v>3.5018750000000001</v>
      </c>
      <c r="BV978" s="234" cm="1">
        <f t="array" ref="BV978">$BM978 * IF($AH978&lt;=2,
SUMPRODUCT(INDEX($AV$71:$AX$75,,$AI978), INDEX($AY$71:$BE$75,,$AH978), 1 / ($BF$71:$BF$75*BU978 + (1-$BF$71:$BF$75)*BQ978), N($AU$71:$AU$75&gt;$AM978)),
SUMPRODUCT(INDEX($AV$66:$AX$75,,$AI978), INDEX($AY$66:$BE$75,,$AH978), 1 / ($BG$66:$BG$75*BU978 + (1-$BG$66:$BG$75)*BQ978), N($AU$66:$AU$75&gt;$AM978))
) / 1000</f>
        <v>0</v>
      </c>
      <c r="BW978" s="231">
        <f t="shared" si="931"/>
        <v>25</v>
      </c>
      <c r="BX978" s="229">
        <f t="shared" si="946"/>
        <v>38</v>
      </c>
      <c r="BY978" s="234">
        <f t="shared" si="947"/>
        <v>4.0666935483870965</v>
      </c>
      <c r="BZ978" s="234" cm="1">
        <f t="array" ref="BZ978">$BM978 * IF($AH978&lt;=2,
SUMPRODUCT(INDEX($AV$66:$AX$70,,$AI978), INDEX($AY$66:$BE$70,,$AH978), 1 / ($BF$66:$BF$70*BY978 + (1-$BF$66:$BF$70)*BU978), N($AU$66:$AU$70&gt;$AM978)),
SUMPRODUCT(INDEX($AV$56:$AX$65,,$AI978), INDEX($AY$56:$BE$65,,$AH978), 1 / ($BG$56:$BG$65*BY978 + (1-$BG$56:$BG$65)*BU978), N($AU$56:$AU$65&gt;$AM978))
) / 1000</f>
        <v>0</v>
      </c>
      <c r="CA978" s="231">
        <f t="shared" si="932"/>
        <v>20</v>
      </c>
      <c r="CB978" s="229">
        <f t="shared" si="948"/>
        <v>33</v>
      </c>
      <c r="CC978" s="234">
        <f t="shared" si="949"/>
        <v>4.8487499999999999</v>
      </c>
      <c r="CD978" s="234" cm="1">
        <f t="array" ref="CD978">$BM978 * IF($AH978&lt;=2,
SUMPRODUCT(INDEX($AV$61:$AX$65,,$AI978), INDEX($AY$61:$BE$65,,$AH978), 1 / ($BF$61:$BF$65*CC978 + (1-$BF$61:$BF$65)*BY978), N($AU$61:$AU$65&gt;$AM978)),
SUMPRODUCT(INDEX($AV$46:$AX$55,,$AI978), INDEX($AY$46:$BE$55,,$AH978), 1 / ($BG$46:$BG$55*CC978 + (1-$BG$46:$BG$55)*BY978), N($AU$46:$AU$55&gt;$AM978))
) / 1000</f>
        <v>0</v>
      </c>
      <c r="CE978" s="234" cm="1">
        <f t="array" ref="CE978">$BM978 * IF($AH978&lt;=2,
SUMPRODUCT(INDEX($AV$22:$AX$60,,$AI978), INDEX($AY$22:$BE$60,,$AH978), 1 / ($BF$22:$BF$60*CC978), N($AU$22:$AU$60&gt;$AM978)),
SUMPRODUCT(INDEX($AV$22:$AX$45,,$AI978), INDEX($AY$22:$BE$45,,$AH978), 1 / ($BG$22:$BG$45*CC978), N($AU$22:$AU$45&gt;$AM978))
) / 1000</f>
        <v>0</v>
      </c>
      <c r="CF978" s="229">
        <f t="shared" si="950"/>
        <v>0</v>
      </c>
      <c r="CG978" s="246"/>
      <c r="CH978" s="229">
        <f t="shared" si="951"/>
        <v>0</v>
      </c>
      <c r="CI978" s="228">
        <v>35</v>
      </c>
      <c r="CJ978" s="229">
        <f t="shared" si="952"/>
        <v>48</v>
      </c>
      <c r="CK978" s="234">
        <f t="shared" si="953"/>
        <v>3.0748170731707316</v>
      </c>
      <c r="CL978" s="234" cm="1">
        <f t="array" ref="CL978">$BM978 * SUMPRODUCT(INDEX($AV$76:$AX$81,,$AI978),INDEX($AY$76:$BE$81,,$AH978), N($AU$76:$AU$81&gt;$AM978)) / CK978 / 1000</f>
        <v>0</v>
      </c>
      <c r="CM978" s="231">
        <f t="shared" si="933"/>
        <v>30</v>
      </c>
      <c r="CN978" s="229">
        <f t="shared" si="954"/>
        <v>43</v>
      </c>
      <c r="CO978" s="234">
        <f t="shared" si="955"/>
        <v>3.5018750000000001</v>
      </c>
      <c r="CP978" s="234" cm="1">
        <f t="array" ref="CP978">$BM978 * IF($AH978&lt;=2,
SUMPRODUCT(INDEX($AV$71:$AX$75,,$AI978), INDEX($AY$71:$BE$75,,$AH978), 1 / ($BF$71:$BF$75*CO978 + (1-$BF$71:$BF$75)*CK978), N($AU$71:$AU$75&gt;$AM978)),
SUMPRODUCT(INDEX($AV$66:$AX$75,,$AI978), INDEX($AY$66:$BE$75,,$AH978), 1 / ($BG$66:$BG$75*CO978 + (1-$BG$66:$BG$75)*CK978), N($AU$66:$AU$75&gt;$AM978))
) / 1000</f>
        <v>0</v>
      </c>
      <c r="CQ978" s="231">
        <f t="shared" si="934"/>
        <v>25</v>
      </c>
      <c r="CR978" s="229">
        <f t="shared" si="956"/>
        <v>38</v>
      </c>
      <c r="CS978" s="234">
        <f t="shared" si="957"/>
        <v>4.0666935483870965</v>
      </c>
      <c r="CT978" s="234" cm="1">
        <f t="array" ref="CT978">$BM978 * IF($AH978&lt;=2,
SUMPRODUCT(INDEX($AV$66:$AX$70,,$AI978), INDEX($AY$66:$BE$70,,$AH978), 1 / ($BF$66:$BF$70*CS978 + (1-$BF$66:$BF$70)*CO978), N($AU$66:$AU$70&gt;$AM978)),
SUMPRODUCT(INDEX($AV$56:$AX$65,,$AI978), INDEX($AY$56:$BE$65,,$AH978), 1 / ($BG$56:$BG$65*CS978 + (1-$BG$56:$BG$65)*CO978), N($AU$56:$AU$65&gt;$AM978))
) / 1000</f>
        <v>0</v>
      </c>
      <c r="CU978" s="231">
        <f t="shared" si="935"/>
        <v>20</v>
      </c>
      <c r="CV978" s="229">
        <f t="shared" si="958"/>
        <v>33</v>
      </c>
      <c r="CW978" s="234">
        <f t="shared" si="959"/>
        <v>4.8487499999999999</v>
      </c>
      <c r="CX978" s="234" cm="1">
        <f t="array" ref="CX978">$BM978 * IF($AH978&lt;=2,
SUMPRODUCT(INDEX($AV$61:$AX$65,,$AI978), INDEX($AY$61:$BE$65,,$AH978), 1 / ($BF$61:$BF$65*CW978 + (1-$BF$61:$BF$65)*CS978), N($AU$61:$AU$65&gt;$AM978)),
SUMPRODUCT(INDEX($AV$46:$AX$55,,$AI978), INDEX($AY$46:$BE$55,,$AH978), 1 / ($BG$46:$BG$55*CW978 + (1-$BG$46:$BG$55)*CS978), N($AU$46:$AU$55&gt;$AM978))
) / 1000</f>
        <v>0</v>
      </c>
      <c r="CY978" s="234" cm="1">
        <f t="array" ref="CY978">$BM978 * IF($AH978&lt;=2,
SUMPRODUCT(INDEX($AV$22:$AX$60,,$AI978), INDEX($AY$22:$BE$60,,$AH978), 1 / ($BF$22:$BF$60*CW978), N($AU$22:$AU$60&gt;$AM978)),
SUMPRODUCT(INDEX($AV$22:$AX$45,,$AI978), INDEX($AY$22:$BE$45,,$AH978), 1 / ($BG$22:$BG$45*CW978), N($AU$22:$AU$45&gt;$AM978))
) / 1000</f>
        <v>0</v>
      </c>
      <c r="CZ978" s="229">
        <f t="shared" si="960"/>
        <v>0</v>
      </c>
      <c r="DA978" s="246"/>
    </row>
    <row r="979" spans="1:105" s="75" customFormat="1" ht="14.25" customHeight="1" x14ac:dyDescent="0.2">
      <c r="A979" s="230" t="b">
        <f t="shared" si="927"/>
        <v>0</v>
      </c>
      <c r="B979" s="253">
        <v>958</v>
      </c>
      <c r="C979" s="266"/>
      <c r="D979" s="266"/>
      <c r="E979" s="254"/>
      <c r="F979" s="255" t="str">
        <f>IF(ISBLANK(E979), "", VLOOKUP(E979, Z!$A$2:$C$4127, 3, FALSE))</f>
        <v/>
      </c>
      <c r="G979" s="256"/>
      <c r="H979" s="256"/>
      <c r="I979" s="256"/>
      <c r="J979" s="257"/>
      <c r="K979" s="258"/>
      <c r="L979" s="267"/>
      <c r="M979" s="268"/>
      <c r="N979" s="259" t="str" cm="1">
        <f t="array" ref="N979">IF($L979&gt;0, INDEX(Clean,1+AK979,$D$1), "")</f>
        <v/>
      </c>
      <c r="O979" s="260"/>
      <c r="P979" s="260"/>
      <c r="Q979" s="261"/>
      <c r="R979" s="264">
        <f t="shared" si="936"/>
        <v>0</v>
      </c>
      <c r="S979" s="259" t="str" cm="1">
        <f t="array" ref="S979">IF($L979&gt;0, INDEX(Clean,1+AL979,$D$1), "")</f>
        <v/>
      </c>
      <c r="T979" s="260"/>
      <c r="U979" s="260"/>
      <c r="V979" s="261"/>
      <c r="W979" s="267"/>
      <c r="X979" s="267"/>
      <c r="Y979" s="257"/>
      <c r="Z979" s="264">
        <f t="shared" si="937"/>
        <v>0</v>
      </c>
      <c r="AA979" s="269"/>
      <c r="AB979" s="266"/>
      <c r="AC979" s="254"/>
      <c r="AD979" s="255" t="str">
        <f>IF(ISBLANK(AC979), "", VLOOKUP(AC979, Z!$A$2:$C$4127, 3, FALSE))</f>
        <v/>
      </c>
      <c r="AE979" s="270"/>
      <c r="AF979" s="265">
        <f t="shared" si="938"/>
        <v>0</v>
      </c>
      <c r="AG979" s="246"/>
      <c r="AH979" s="228">
        <f t="shared" si="961"/>
        <v>1</v>
      </c>
      <c r="AI979" s="228">
        <f t="shared" si="962"/>
        <v>1</v>
      </c>
      <c r="AJ979" s="228">
        <f t="shared" si="963"/>
        <v>0</v>
      </c>
      <c r="AK979" s="228">
        <v>0</v>
      </c>
      <c r="AL979" s="228">
        <v>0</v>
      </c>
      <c r="AM979" s="228">
        <f t="shared" si="939"/>
        <v>-100</v>
      </c>
      <c r="AN979" s="228" cm="1">
        <f t="array" ref="AN979">IF(ISBLANK(G979), 1, IFERROR(MATCH(G979, INDEX(Kat,,1), 0), IFERROR(MATCH(Kat, INDEX(Use,,2), 0), MATCH(Kat, INDEX(Use,,3), 0))))</f>
        <v>1</v>
      </c>
      <c r="AO979" s="246"/>
      <c r="AP979" s="228" cm="1">
        <f t="array" ref="AP979">IF(W979&gt;0, INDEX(Kat, AN979,4), 0)</f>
        <v>0</v>
      </c>
      <c r="AQ979" s="228">
        <f t="shared" si="964"/>
        <v>0</v>
      </c>
      <c r="AR979" s="228" cm="1">
        <f t="array" ref="AR979">IF(X979&gt;0, INDEX(Kat, $AN979, 4+AQ979), 0)</f>
        <v>0</v>
      </c>
      <c r="AS979" s="228" cm="1">
        <f t="array" ref="AS979">IF(X979&gt;0, INDEX(Kat, $AN979, 9+AQ979), 0)</f>
        <v>0</v>
      </c>
      <c r="AT979" s="246"/>
      <c r="AU979" s="262"/>
      <c r="AV979" s="262"/>
      <c r="AW979" s="263"/>
      <c r="AX979" s="263"/>
      <c r="AY979" s="263"/>
      <c r="AZ979" s="263"/>
      <c r="BA979" s="263"/>
      <c r="BB979" s="263"/>
      <c r="BC979" s="263"/>
      <c r="BD979" s="263"/>
      <c r="BE979" s="263"/>
      <c r="BF979" s="263"/>
      <c r="BG979" s="263"/>
      <c r="BH979" s="246"/>
      <c r="BI979" s="228" cm="1">
        <f t="array" ref="BI979">INDEX(Use, $AH979, 4)</f>
        <v>7</v>
      </c>
      <c r="BJ979" s="228">
        <f t="shared" si="940"/>
        <v>32</v>
      </c>
      <c r="BK979" s="228">
        <f t="shared" si="928"/>
        <v>13</v>
      </c>
      <c r="BL979" s="228">
        <f t="shared" si="929"/>
        <v>0</v>
      </c>
      <c r="BM979" s="233" cm="1">
        <f t="array" ref="BM979">L979/IF($M979&gt;0, INDEX($AY$22:$BE$76, $M979+20, $AH979), 1)</f>
        <v>0</v>
      </c>
      <c r="BN979" s="229">
        <f t="shared" si="941"/>
        <v>0</v>
      </c>
      <c r="BO979" s="228">
        <v>35</v>
      </c>
      <c r="BP979" s="229">
        <f t="shared" si="942"/>
        <v>48</v>
      </c>
      <c r="BQ979" s="234">
        <f t="shared" si="943"/>
        <v>3.0748170731707316</v>
      </c>
      <c r="BR979" s="234" cm="1">
        <f t="array" ref="BR979">$BM979 * SUMPRODUCT(INDEX($AV$76:$AX$81,,$AI979),INDEX($AY$76:$BE$81,,$AH979), N($AU$76:$AU$81&gt;$AM979)) / BQ979 / 1000</f>
        <v>0</v>
      </c>
      <c r="BS979" s="231">
        <f t="shared" si="930"/>
        <v>30</v>
      </c>
      <c r="BT979" s="229">
        <f t="shared" si="944"/>
        <v>43</v>
      </c>
      <c r="BU979" s="234">
        <f t="shared" si="945"/>
        <v>3.5018750000000001</v>
      </c>
      <c r="BV979" s="234" cm="1">
        <f t="array" ref="BV979">$BM979 * IF($AH979&lt;=2,
SUMPRODUCT(INDEX($AV$71:$AX$75,,$AI979), INDEX($AY$71:$BE$75,,$AH979), 1 / ($BF$71:$BF$75*BU979 + (1-$BF$71:$BF$75)*BQ979), N($AU$71:$AU$75&gt;$AM979)),
SUMPRODUCT(INDEX($AV$66:$AX$75,,$AI979), INDEX($AY$66:$BE$75,,$AH979), 1 / ($BG$66:$BG$75*BU979 + (1-$BG$66:$BG$75)*BQ979), N($AU$66:$AU$75&gt;$AM979))
) / 1000</f>
        <v>0</v>
      </c>
      <c r="BW979" s="231">
        <f t="shared" si="931"/>
        <v>25</v>
      </c>
      <c r="BX979" s="229">
        <f t="shared" si="946"/>
        <v>38</v>
      </c>
      <c r="BY979" s="234">
        <f t="shared" si="947"/>
        <v>4.0666935483870965</v>
      </c>
      <c r="BZ979" s="234" cm="1">
        <f t="array" ref="BZ979">$BM979 * IF($AH979&lt;=2,
SUMPRODUCT(INDEX($AV$66:$AX$70,,$AI979), INDEX($AY$66:$BE$70,,$AH979), 1 / ($BF$66:$BF$70*BY979 + (1-$BF$66:$BF$70)*BU979), N($AU$66:$AU$70&gt;$AM979)),
SUMPRODUCT(INDEX($AV$56:$AX$65,,$AI979), INDEX($AY$56:$BE$65,,$AH979), 1 / ($BG$56:$BG$65*BY979 + (1-$BG$56:$BG$65)*BU979), N($AU$56:$AU$65&gt;$AM979))
) / 1000</f>
        <v>0</v>
      </c>
      <c r="CA979" s="231">
        <f t="shared" si="932"/>
        <v>20</v>
      </c>
      <c r="CB979" s="229">
        <f t="shared" si="948"/>
        <v>33</v>
      </c>
      <c r="CC979" s="234">
        <f t="shared" si="949"/>
        <v>4.8487499999999999</v>
      </c>
      <c r="CD979" s="234" cm="1">
        <f t="array" ref="CD979">$BM979 * IF($AH979&lt;=2,
SUMPRODUCT(INDEX($AV$61:$AX$65,,$AI979), INDEX($AY$61:$BE$65,,$AH979), 1 / ($BF$61:$BF$65*CC979 + (1-$BF$61:$BF$65)*BY979), N($AU$61:$AU$65&gt;$AM979)),
SUMPRODUCT(INDEX($AV$46:$AX$55,,$AI979), INDEX($AY$46:$BE$55,,$AH979), 1 / ($BG$46:$BG$55*CC979 + (1-$BG$46:$BG$55)*BY979), N($AU$46:$AU$55&gt;$AM979))
) / 1000</f>
        <v>0</v>
      </c>
      <c r="CE979" s="234" cm="1">
        <f t="array" ref="CE979">$BM979 * IF($AH979&lt;=2,
SUMPRODUCT(INDEX($AV$22:$AX$60,,$AI979), INDEX($AY$22:$BE$60,,$AH979), 1 / ($BF$22:$BF$60*CC979), N($AU$22:$AU$60&gt;$AM979)),
SUMPRODUCT(INDEX($AV$22:$AX$45,,$AI979), INDEX($AY$22:$BE$45,,$AH979), 1 / ($BG$22:$BG$45*CC979), N($AU$22:$AU$45&gt;$AM979))
) / 1000</f>
        <v>0</v>
      </c>
      <c r="CF979" s="229">
        <f t="shared" si="950"/>
        <v>0</v>
      </c>
      <c r="CG979" s="246"/>
      <c r="CH979" s="229">
        <f t="shared" si="951"/>
        <v>0</v>
      </c>
      <c r="CI979" s="228">
        <v>35</v>
      </c>
      <c r="CJ979" s="229">
        <f t="shared" si="952"/>
        <v>48</v>
      </c>
      <c r="CK979" s="234">
        <f t="shared" si="953"/>
        <v>3.0748170731707316</v>
      </c>
      <c r="CL979" s="234" cm="1">
        <f t="array" ref="CL979">$BM979 * SUMPRODUCT(INDEX($AV$76:$AX$81,,$AI979),INDEX($AY$76:$BE$81,,$AH979), N($AU$76:$AU$81&gt;$AM979)) / CK979 / 1000</f>
        <v>0</v>
      </c>
      <c r="CM979" s="231">
        <f t="shared" si="933"/>
        <v>30</v>
      </c>
      <c r="CN979" s="229">
        <f t="shared" si="954"/>
        <v>43</v>
      </c>
      <c r="CO979" s="234">
        <f t="shared" si="955"/>
        <v>3.5018750000000001</v>
      </c>
      <c r="CP979" s="234" cm="1">
        <f t="array" ref="CP979">$BM979 * IF($AH979&lt;=2,
SUMPRODUCT(INDEX($AV$71:$AX$75,,$AI979), INDEX($AY$71:$BE$75,,$AH979), 1 / ($BF$71:$BF$75*CO979 + (1-$BF$71:$BF$75)*CK979), N($AU$71:$AU$75&gt;$AM979)),
SUMPRODUCT(INDEX($AV$66:$AX$75,,$AI979), INDEX($AY$66:$BE$75,,$AH979), 1 / ($BG$66:$BG$75*CO979 + (1-$BG$66:$BG$75)*CK979), N($AU$66:$AU$75&gt;$AM979))
) / 1000</f>
        <v>0</v>
      </c>
      <c r="CQ979" s="231">
        <f t="shared" si="934"/>
        <v>25</v>
      </c>
      <c r="CR979" s="229">
        <f t="shared" si="956"/>
        <v>38</v>
      </c>
      <c r="CS979" s="234">
        <f t="shared" si="957"/>
        <v>4.0666935483870965</v>
      </c>
      <c r="CT979" s="234" cm="1">
        <f t="array" ref="CT979">$BM979 * IF($AH979&lt;=2,
SUMPRODUCT(INDEX($AV$66:$AX$70,,$AI979), INDEX($AY$66:$BE$70,,$AH979), 1 / ($BF$66:$BF$70*CS979 + (1-$BF$66:$BF$70)*CO979), N($AU$66:$AU$70&gt;$AM979)),
SUMPRODUCT(INDEX($AV$56:$AX$65,,$AI979), INDEX($AY$56:$BE$65,,$AH979), 1 / ($BG$56:$BG$65*CS979 + (1-$BG$56:$BG$65)*CO979), N($AU$56:$AU$65&gt;$AM979))
) / 1000</f>
        <v>0</v>
      </c>
      <c r="CU979" s="231">
        <f t="shared" si="935"/>
        <v>20</v>
      </c>
      <c r="CV979" s="229">
        <f t="shared" si="958"/>
        <v>33</v>
      </c>
      <c r="CW979" s="234">
        <f t="shared" si="959"/>
        <v>4.8487499999999999</v>
      </c>
      <c r="CX979" s="234" cm="1">
        <f t="array" ref="CX979">$BM979 * IF($AH979&lt;=2,
SUMPRODUCT(INDEX($AV$61:$AX$65,,$AI979), INDEX($AY$61:$BE$65,,$AH979), 1 / ($BF$61:$BF$65*CW979 + (1-$BF$61:$BF$65)*CS979), N($AU$61:$AU$65&gt;$AM979)),
SUMPRODUCT(INDEX($AV$46:$AX$55,,$AI979), INDEX($AY$46:$BE$55,,$AH979), 1 / ($BG$46:$BG$55*CW979 + (1-$BG$46:$BG$55)*CS979), N($AU$46:$AU$55&gt;$AM979))
) / 1000</f>
        <v>0</v>
      </c>
      <c r="CY979" s="234" cm="1">
        <f t="array" ref="CY979">$BM979 * IF($AH979&lt;=2,
SUMPRODUCT(INDEX($AV$22:$AX$60,,$AI979), INDEX($AY$22:$BE$60,,$AH979), 1 / ($BF$22:$BF$60*CW979), N($AU$22:$AU$60&gt;$AM979)),
SUMPRODUCT(INDEX($AV$22:$AX$45,,$AI979), INDEX($AY$22:$BE$45,,$AH979), 1 / ($BG$22:$BG$45*CW979), N($AU$22:$AU$45&gt;$AM979))
) / 1000</f>
        <v>0</v>
      </c>
      <c r="CZ979" s="229">
        <f t="shared" si="960"/>
        <v>0</v>
      </c>
      <c r="DA979" s="246"/>
    </row>
    <row r="980" spans="1:105" s="75" customFormat="1" ht="14.25" customHeight="1" x14ac:dyDescent="0.2">
      <c r="A980" s="230" t="b">
        <f t="shared" si="927"/>
        <v>0</v>
      </c>
      <c r="B980" s="253">
        <v>959</v>
      </c>
      <c r="C980" s="266"/>
      <c r="D980" s="266"/>
      <c r="E980" s="254"/>
      <c r="F980" s="255" t="str">
        <f>IF(ISBLANK(E980), "", VLOOKUP(E980, Z!$A$2:$C$4127, 3, FALSE))</f>
        <v/>
      </c>
      <c r="G980" s="256"/>
      <c r="H980" s="256"/>
      <c r="I980" s="256"/>
      <c r="J980" s="257"/>
      <c r="K980" s="258"/>
      <c r="L980" s="267"/>
      <c r="M980" s="268"/>
      <c r="N980" s="259" t="str" cm="1">
        <f t="array" ref="N980">IF($L980&gt;0, INDEX(Clean,1+AK980,$D$1), "")</f>
        <v/>
      </c>
      <c r="O980" s="260"/>
      <c r="P980" s="260"/>
      <c r="Q980" s="261"/>
      <c r="R980" s="264">
        <f t="shared" si="936"/>
        <v>0</v>
      </c>
      <c r="S980" s="259" t="str" cm="1">
        <f t="array" ref="S980">IF($L980&gt;0, INDEX(Clean,1+AL980,$D$1), "")</f>
        <v/>
      </c>
      <c r="T980" s="260"/>
      <c r="U980" s="260"/>
      <c r="V980" s="261"/>
      <c r="W980" s="267"/>
      <c r="X980" s="267"/>
      <c r="Y980" s="257"/>
      <c r="Z980" s="264">
        <f t="shared" si="937"/>
        <v>0</v>
      </c>
      <c r="AA980" s="269"/>
      <c r="AB980" s="266"/>
      <c r="AC980" s="254"/>
      <c r="AD980" s="255" t="str">
        <f>IF(ISBLANK(AC980), "", VLOOKUP(AC980, Z!$A$2:$C$4127, 3, FALSE))</f>
        <v/>
      </c>
      <c r="AE980" s="270"/>
      <c r="AF980" s="265">
        <f t="shared" si="938"/>
        <v>0</v>
      </c>
      <c r="AG980" s="246"/>
      <c r="AH980" s="228">
        <f t="shared" si="961"/>
        <v>1</v>
      </c>
      <c r="AI980" s="228">
        <f t="shared" si="962"/>
        <v>1</v>
      </c>
      <c r="AJ980" s="228">
        <f t="shared" si="963"/>
        <v>0</v>
      </c>
      <c r="AK980" s="228">
        <v>0</v>
      </c>
      <c r="AL980" s="228">
        <v>0</v>
      </c>
      <c r="AM980" s="228">
        <f t="shared" si="939"/>
        <v>-100</v>
      </c>
      <c r="AN980" s="228" cm="1">
        <f t="array" ref="AN980">IF(ISBLANK(G980), 1, IFERROR(MATCH(G980, INDEX(Kat,,1), 0), IFERROR(MATCH(Kat, INDEX(Use,,2), 0), MATCH(Kat, INDEX(Use,,3), 0))))</f>
        <v>1</v>
      </c>
      <c r="AO980" s="246"/>
      <c r="AP980" s="228" cm="1">
        <f t="array" ref="AP980">IF(W980&gt;0, INDEX(Kat, AN980,4), 0)</f>
        <v>0</v>
      </c>
      <c r="AQ980" s="228">
        <f t="shared" si="964"/>
        <v>0</v>
      </c>
      <c r="AR980" s="228" cm="1">
        <f t="array" ref="AR980">IF(X980&gt;0, INDEX(Kat, $AN980, 4+AQ980), 0)</f>
        <v>0</v>
      </c>
      <c r="AS980" s="228" cm="1">
        <f t="array" ref="AS980">IF(X980&gt;0, INDEX(Kat, $AN980, 9+AQ980), 0)</f>
        <v>0</v>
      </c>
      <c r="AT980" s="246"/>
      <c r="AU980" s="262"/>
      <c r="AV980" s="262"/>
      <c r="AW980" s="263"/>
      <c r="AX980" s="263"/>
      <c r="AY980" s="263"/>
      <c r="AZ980" s="263"/>
      <c r="BA980" s="263"/>
      <c r="BB980" s="263"/>
      <c r="BC980" s="263"/>
      <c r="BD980" s="263"/>
      <c r="BE980" s="263"/>
      <c r="BF980" s="263"/>
      <c r="BG980" s="263"/>
      <c r="BH980" s="246"/>
      <c r="BI980" s="228" cm="1">
        <f t="array" ref="BI980">INDEX(Use, $AH980, 4)</f>
        <v>7</v>
      </c>
      <c r="BJ980" s="228">
        <f t="shared" si="940"/>
        <v>32</v>
      </c>
      <c r="BK980" s="228">
        <f t="shared" si="928"/>
        <v>13</v>
      </c>
      <c r="BL980" s="228">
        <f t="shared" si="929"/>
        <v>0</v>
      </c>
      <c r="BM980" s="233" cm="1">
        <f t="array" ref="BM980">L980/IF($M980&gt;0, INDEX($AY$22:$BE$76, $M980+20, $AH980), 1)</f>
        <v>0</v>
      </c>
      <c r="BN980" s="229">
        <f t="shared" si="941"/>
        <v>0</v>
      </c>
      <c r="BO980" s="228">
        <v>35</v>
      </c>
      <c r="BP980" s="229">
        <f t="shared" si="942"/>
        <v>48</v>
      </c>
      <c r="BQ980" s="234">
        <f t="shared" si="943"/>
        <v>3.0748170731707316</v>
      </c>
      <c r="BR980" s="234" cm="1">
        <f t="array" ref="BR980">$BM980 * SUMPRODUCT(INDEX($AV$76:$AX$81,,$AI980),INDEX($AY$76:$BE$81,,$AH980), N($AU$76:$AU$81&gt;$AM980)) / BQ980 / 1000</f>
        <v>0</v>
      </c>
      <c r="BS980" s="231">
        <f t="shared" si="930"/>
        <v>30</v>
      </c>
      <c r="BT980" s="229">
        <f t="shared" si="944"/>
        <v>43</v>
      </c>
      <c r="BU980" s="234">
        <f t="shared" si="945"/>
        <v>3.5018750000000001</v>
      </c>
      <c r="BV980" s="234" cm="1">
        <f t="array" ref="BV980">$BM980 * IF($AH980&lt;=2,
SUMPRODUCT(INDEX($AV$71:$AX$75,,$AI980), INDEX($AY$71:$BE$75,,$AH980), 1 / ($BF$71:$BF$75*BU980 + (1-$BF$71:$BF$75)*BQ980), N($AU$71:$AU$75&gt;$AM980)),
SUMPRODUCT(INDEX($AV$66:$AX$75,,$AI980), INDEX($AY$66:$BE$75,,$AH980), 1 / ($BG$66:$BG$75*BU980 + (1-$BG$66:$BG$75)*BQ980), N($AU$66:$AU$75&gt;$AM980))
) / 1000</f>
        <v>0</v>
      </c>
      <c r="BW980" s="231">
        <f t="shared" si="931"/>
        <v>25</v>
      </c>
      <c r="BX980" s="229">
        <f t="shared" si="946"/>
        <v>38</v>
      </c>
      <c r="BY980" s="234">
        <f t="shared" si="947"/>
        <v>4.0666935483870965</v>
      </c>
      <c r="BZ980" s="234" cm="1">
        <f t="array" ref="BZ980">$BM980 * IF($AH980&lt;=2,
SUMPRODUCT(INDEX($AV$66:$AX$70,,$AI980), INDEX($AY$66:$BE$70,,$AH980), 1 / ($BF$66:$BF$70*BY980 + (1-$BF$66:$BF$70)*BU980), N($AU$66:$AU$70&gt;$AM980)),
SUMPRODUCT(INDEX($AV$56:$AX$65,,$AI980), INDEX($AY$56:$BE$65,,$AH980), 1 / ($BG$56:$BG$65*BY980 + (1-$BG$56:$BG$65)*BU980), N($AU$56:$AU$65&gt;$AM980))
) / 1000</f>
        <v>0</v>
      </c>
      <c r="CA980" s="231">
        <f t="shared" si="932"/>
        <v>20</v>
      </c>
      <c r="CB980" s="229">
        <f t="shared" si="948"/>
        <v>33</v>
      </c>
      <c r="CC980" s="234">
        <f t="shared" si="949"/>
        <v>4.8487499999999999</v>
      </c>
      <c r="CD980" s="234" cm="1">
        <f t="array" ref="CD980">$BM980 * IF($AH980&lt;=2,
SUMPRODUCT(INDEX($AV$61:$AX$65,,$AI980), INDEX($AY$61:$BE$65,,$AH980), 1 / ($BF$61:$BF$65*CC980 + (1-$BF$61:$BF$65)*BY980), N($AU$61:$AU$65&gt;$AM980)),
SUMPRODUCT(INDEX($AV$46:$AX$55,,$AI980), INDEX($AY$46:$BE$55,,$AH980), 1 / ($BG$46:$BG$55*CC980 + (1-$BG$46:$BG$55)*BY980), N($AU$46:$AU$55&gt;$AM980))
) / 1000</f>
        <v>0</v>
      </c>
      <c r="CE980" s="234" cm="1">
        <f t="array" ref="CE980">$BM980 * IF($AH980&lt;=2,
SUMPRODUCT(INDEX($AV$22:$AX$60,,$AI980), INDEX($AY$22:$BE$60,,$AH980), 1 / ($BF$22:$BF$60*CC980), N($AU$22:$AU$60&gt;$AM980)),
SUMPRODUCT(INDEX($AV$22:$AX$45,,$AI980), INDEX($AY$22:$BE$45,,$AH980), 1 / ($BG$22:$BG$45*CC980), N($AU$22:$AU$45&gt;$AM980))
) / 1000</f>
        <v>0</v>
      </c>
      <c r="CF980" s="229">
        <f t="shared" si="950"/>
        <v>0</v>
      </c>
      <c r="CG980" s="246"/>
      <c r="CH980" s="229">
        <f t="shared" si="951"/>
        <v>0</v>
      </c>
      <c r="CI980" s="228">
        <v>35</v>
      </c>
      <c r="CJ980" s="229">
        <f t="shared" si="952"/>
        <v>48</v>
      </c>
      <c r="CK980" s="234">
        <f t="shared" si="953"/>
        <v>3.0748170731707316</v>
      </c>
      <c r="CL980" s="234" cm="1">
        <f t="array" ref="CL980">$BM980 * SUMPRODUCT(INDEX($AV$76:$AX$81,,$AI980),INDEX($AY$76:$BE$81,,$AH980), N($AU$76:$AU$81&gt;$AM980)) / CK980 / 1000</f>
        <v>0</v>
      </c>
      <c r="CM980" s="231">
        <f t="shared" si="933"/>
        <v>30</v>
      </c>
      <c r="CN980" s="229">
        <f t="shared" si="954"/>
        <v>43</v>
      </c>
      <c r="CO980" s="234">
        <f t="shared" si="955"/>
        <v>3.5018750000000001</v>
      </c>
      <c r="CP980" s="234" cm="1">
        <f t="array" ref="CP980">$BM980 * IF($AH980&lt;=2,
SUMPRODUCT(INDEX($AV$71:$AX$75,,$AI980), INDEX($AY$71:$BE$75,,$AH980), 1 / ($BF$71:$BF$75*CO980 + (1-$BF$71:$BF$75)*CK980), N($AU$71:$AU$75&gt;$AM980)),
SUMPRODUCT(INDEX($AV$66:$AX$75,,$AI980), INDEX($AY$66:$BE$75,,$AH980), 1 / ($BG$66:$BG$75*CO980 + (1-$BG$66:$BG$75)*CK980), N($AU$66:$AU$75&gt;$AM980))
) / 1000</f>
        <v>0</v>
      </c>
      <c r="CQ980" s="231">
        <f t="shared" si="934"/>
        <v>25</v>
      </c>
      <c r="CR980" s="229">
        <f t="shared" si="956"/>
        <v>38</v>
      </c>
      <c r="CS980" s="234">
        <f t="shared" si="957"/>
        <v>4.0666935483870965</v>
      </c>
      <c r="CT980" s="234" cm="1">
        <f t="array" ref="CT980">$BM980 * IF($AH980&lt;=2,
SUMPRODUCT(INDEX($AV$66:$AX$70,,$AI980), INDEX($AY$66:$BE$70,,$AH980), 1 / ($BF$66:$BF$70*CS980 + (1-$BF$66:$BF$70)*CO980), N($AU$66:$AU$70&gt;$AM980)),
SUMPRODUCT(INDEX($AV$56:$AX$65,,$AI980), INDEX($AY$56:$BE$65,,$AH980), 1 / ($BG$56:$BG$65*CS980 + (1-$BG$56:$BG$65)*CO980), N($AU$56:$AU$65&gt;$AM980))
) / 1000</f>
        <v>0</v>
      </c>
      <c r="CU980" s="231">
        <f t="shared" si="935"/>
        <v>20</v>
      </c>
      <c r="CV980" s="229">
        <f t="shared" si="958"/>
        <v>33</v>
      </c>
      <c r="CW980" s="234">
        <f t="shared" si="959"/>
        <v>4.8487499999999999</v>
      </c>
      <c r="CX980" s="234" cm="1">
        <f t="array" ref="CX980">$BM980 * IF($AH980&lt;=2,
SUMPRODUCT(INDEX($AV$61:$AX$65,,$AI980), INDEX($AY$61:$BE$65,,$AH980), 1 / ($BF$61:$BF$65*CW980 + (1-$BF$61:$BF$65)*CS980), N($AU$61:$AU$65&gt;$AM980)),
SUMPRODUCT(INDEX($AV$46:$AX$55,,$AI980), INDEX($AY$46:$BE$55,,$AH980), 1 / ($BG$46:$BG$55*CW980 + (1-$BG$46:$BG$55)*CS980), N($AU$46:$AU$55&gt;$AM980))
) / 1000</f>
        <v>0</v>
      </c>
      <c r="CY980" s="234" cm="1">
        <f t="array" ref="CY980">$BM980 * IF($AH980&lt;=2,
SUMPRODUCT(INDEX($AV$22:$AX$60,,$AI980), INDEX($AY$22:$BE$60,,$AH980), 1 / ($BF$22:$BF$60*CW980), N($AU$22:$AU$60&gt;$AM980)),
SUMPRODUCT(INDEX($AV$22:$AX$45,,$AI980), INDEX($AY$22:$BE$45,,$AH980), 1 / ($BG$22:$BG$45*CW980), N($AU$22:$AU$45&gt;$AM980))
) / 1000</f>
        <v>0</v>
      </c>
      <c r="CZ980" s="229">
        <f t="shared" si="960"/>
        <v>0</v>
      </c>
      <c r="DA980" s="246"/>
    </row>
    <row r="981" spans="1:105" s="75" customFormat="1" ht="14.25" customHeight="1" x14ac:dyDescent="0.2">
      <c r="A981" s="230" t="b">
        <f t="shared" ref="A981:A1021" si="965">IF(OR(AND($L981&gt;80, $AH981=1), AND($L981&gt;40, $AH981=3), AND($L981&gt;30, $AH981=4),), TRUE, FALSE)</f>
        <v>0</v>
      </c>
      <c r="B981" s="253">
        <v>960</v>
      </c>
      <c r="C981" s="266"/>
      <c r="D981" s="266"/>
      <c r="E981" s="254"/>
      <c r="F981" s="255" t="str">
        <f>IF(ISBLANK(E981), "", VLOOKUP(E981, Z!$A$2:$C$4127, 3, FALSE))</f>
        <v/>
      </c>
      <c r="G981" s="256"/>
      <c r="H981" s="256"/>
      <c r="I981" s="256"/>
      <c r="J981" s="257"/>
      <c r="K981" s="258"/>
      <c r="L981" s="267"/>
      <c r="M981" s="268"/>
      <c r="N981" s="259" t="str" cm="1">
        <f t="array" ref="N981">IF($L981&gt;0, INDEX(Clean,1+AK981,$D$1), "")</f>
        <v/>
      </c>
      <c r="O981" s="260"/>
      <c r="P981" s="260"/>
      <c r="Q981" s="261"/>
      <c r="R981" s="264">
        <f t="shared" si="936"/>
        <v>0</v>
      </c>
      <c r="S981" s="259" t="str" cm="1">
        <f t="array" ref="S981">IF($L981&gt;0, INDEX(Clean,1+AL981,$D$1), "")</f>
        <v/>
      </c>
      <c r="T981" s="260"/>
      <c r="U981" s="260"/>
      <c r="V981" s="261"/>
      <c r="W981" s="267"/>
      <c r="X981" s="267"/>
      <c r="Y981" s="257"/>
      <c r="Z981" s="264">
        <f t="shared" si="937"/>
        <v>0</v>
      </c>
      <c r="AA981" s="269"/>
      <c r="AB981" s="266"/>
      <c r="AC981" s="254"/>
      <c r="AD981" s="255" t="str">
        <f>IF(ISBLANK(AC981), "", VLOOKUP(AC981, Z!$A$2:$C$4127, 3, FALSE))</f>
        <v/>
      </c>
      <c r="AE981" s="270"/>
      <c r="AF981" s="265">
        <f t="shared" si="938"/>
        <v>0</v>
      </c>
      <c r="AG981" s="246"/>
      <c r="AH981" s="228">
        <f t="shared" si="961"/>
        <v>1</v>
      </c>
      <c r="AI981" s="228">
        <f t="shared" si="962"/>
        <v>1</v>
      </c>
      <c r="AJ981" s="228">
        <f t="shared" si="963"/>
        <v>0</v>
      </c>
      <c r="AK981" s="228">
        <v>0</v>
      </c>
      <c r="AL981" s="228">
        <v>0</v>
      </c>
      <c r="AM981" s="228">
        <f t="shared" si="939"/>
        <v>-100</v>
      </c>
      <c r="AN981" s="228" cm="1">
        <f t="array" ref="AN981">IF(ISBLANK(G981), 1, IFERROR(MATCH(G981, INDEX(Kat,,1), 0), IFERROR(MATCH(Kat, INDEX(Use,,2), 0), MATCH(Kat, INDEX(Use,,3), 0))))</f>
        <v>1</v>
      </c>
      <c r="AO981" s="246"/>
      <c r="AP981" s="228" cm="1">
        <f t="array" ref="AP981">IF(W981&gt;0, INDEX(Kat, AN981,4), 0)</f>
        <v>0</v>
      </c>
      <c r="AQ981" s="228">
        <f t="shared" si="964"/>
        <v>0</v>
      </c>
      <c r="AR981" s="228" cm="1">
        <f t="array" ref="AR981">IF(X981&gt;0, INDEX(Kat, $AN981, 4+AQ981), 0)</f>
        <v>0</v>
      </c>
      <c r="AS981" s="228" cm="1">
        <f t="array" ref="AS981">IF(X981&gt;0, INDEX(Kat, $AN981, 9+AQ981), 0)</f>
        <v>0</v>
      </c>
      <c r="AT981" s="246"/>
      <c r="AU981" s="262"/>
      <c r="AV981" s="262"/>
      <c r="AW981" s="263"/>
      <c r="AX981" s="263"/>
      <c r="AY981" s="263"/>
      <c r="AZ981" s="263"/>
      <c r="BA981" s="263"/>
      <c r="BB981" s="263"/>
      <c r="BC981" s="263"/>
      <c r="BD981" s="263"/>
      <c r="BE981" s="263"/>
      <c r="BF981" s="263"/>
      <c r="BG981" s="263"/>
      <c r="BH981" s="246"/>
      <c r="BI981" s="228" cm="1">
        <f t="array" ref="BI981">INDEX(Use, $AH981, 4)</f>
        <v>7</v>
      </c>
      <c r="BJ981" s="228">
        <f t="shared" si="940"/>
        <v>32</v>
      </c>
      <c r="BK981" s="228">
        <f t="shared" si="928"/>
        <v>13</v>
      </c>
      <c r="BL981" s="228">
        <f t="shared" si="929"/>
        <v>0</v>
      </c>
      <c r="BM981" s="233" cm="1">
        <f t="array" ref="BM981">L981/IF($M981&gt;0, INDEX($AY$22:$BE$76, $M981+20, $AH981), 1)</f>
        <v>0</v>
      </c>
      <c r="BN981" s="229">
        <f t="shared" si="941"/>
        <v>0</v>
      </c>
      <c r="BO981" s="228">
        <v>35</v>
      </c>
      <c r="BP981" s="229">
        <f t="shared" si="942"/>
        <v>48</v>
      </c>
      <c r="BQ981" s="234">
        <f t="shared" si="943"/>
        <v>3.0748170731707316</v>
      </c>
      <c r="BR981" s="234" cm="1">
        <f t="array" ref="BR981">$BM981 * SUMPRODUCT(INDEX($AV$76:$AX$81,,$AI981),INDEX($AY$76:$BE$81,,$AH981), N($AU$76:$AU$81&gt;$AM981)) / BQ981 / 1000</f>
        <v>0</v>
      </c>
      <c r="BS981" s="231">
        <f t="shared" si="930"/>
        <v>30</v>
      </c>
      <c r="BT981" s="229">
        <f t="shared" si="944"/>
        <v>43</v>
      </c>
      <c r="BU981" s="234">
        <f t="shared" si="945"/>
        <v>3.5018750000000001</v>
      </c>
      <c r="BV981" s="234" cm="1">
        <f t="array" ref="BV981">$BM981 * IF($AH981&lt;=2,
SUMPRODUCT(INDEX($AV$71:$AX$75,,$AI981), INDEX($AY$71:$BE$75,,$AH981), 1 / ($BF$71:$BF$75*BU981 + (1-$BF$71:$BF$75)*BQ981), N($AU$71:$AU$75&gt;$AM981)),
SUMPRODUCT(INDEX($AV$66:$AX$75,,$AI981), INDEX($AY$66:$BE$75,,$AH981), 1 / ($BG$66:$BG$75*BU981 + (1-$BG$66:$BG$75)*BQ981), N($AU$66:$AU$75&gt;$AM981))
) / 1000</f>
        <v>0</v>
      </c>
      <c r="BW981" s="231">
        <f t="shared" si="931"/>
        <v>25</v>
      </c>
      <c r="BX981" s="229">
        <f t="shared" si="946"/>
        <v>38</v>
      </c>
      <c r="BY981" s="234">
        <f t="shared" si="947"/>
        <v>4.0666935483870965</v>
      </c>
      <c r="BZ981" s="234" cm="1">
        <f t="array" ref="BZ981">$BM981 * IF($AH981&lt;=2,
SUMPRODUCT(INDEX($AV$66:$AX$70,,$AI981), INDEX($AY$66:$BE$70,,$AH981), 1 / ($BF$66:$BF$70*BY981 + (1-$BF$66:$BF$70)*BU981), N($AU$66:$AU$70&gt;$AM981)),
SUMPRODUCT(INDEX($AV$56:$AX$65,,$AI981), INDEX($AY$56:$BE$65,,$AH981), 1 / ($BG$56:$BG$65*BY981 + (1-$BG$56:$BG$65)*BU981), N($AU$56:$AU$65&gt;$AM981))
) / 1000</f>
        <v>0</v>
      </c>
      <c r="CA981" s="231">
        <f t="shared" si="932"/>
        <v>20</v>
      </c>
      <c r="CB981" s="229">
        <f t="shared" si="948"/>
        <v>33</v>
      </c>
      <c r="CC981" s="234">
        <f t="shared" si="949"/>
        <v>4.8487499999999999</v>
      </c>
      <c r="CD981" s="234" cm="1">
        <f t="array" ref="CD981">$BM981 * IF($AH981&lt;=2,
SUMPRODUCT(INDEX($AV$61:$AX$65,,$AI981), INDEX($AY$61:$BE$65,,$AH981), 1 / ($BF$61:$BF$65*CC981 + (1-$BF$61:$BF$65)*BY981), N($AU$61:$AU$65&gt;$AM981)),
SUMPRODUCT(INDEX($AV$46:$AX$55,,$AI981), INDEX($AY$46:$BE$55,,$AH981), 1 / ($BG$46:$BG$55*CC981 + (1-$BG$46:$BG$55)*BY981), N($AU$46:$AU$55&gt;$AM981))
) / 1000</f>
        <v>0</v>
      </c>
      <c r="CE981" s="234" cm="1">
        <f t="array" ref="CE981">$BM981 * IF($AH981&lt;=2,
SUMPRODUCT(INDEX($AV$22:$AX$60,,$AI981), INDEX($AY$22:$BE$60,,$AH981), 1 / ($BF$22:$BF$60*CC981), N($AU$22:$AU$60&gt;$AM981)),
SUMPRODUCT(INDEX($AV$22:$AX$45,,$AI981), INDEX($AY$22:$BE$45,,$AH981), 1 / ($BG$22:$BG$45*CC981), N($AU$22:$AU$45&gt;$AM981))
) / 1000</f>
        <v>0</v>
      </c>
      <c r="CF981" s="229">
        <f t="shared" si="950"/>
        <v>0</v>
      </c>
      <c r="CG981" s="246"/>
      <c r="CH981" s="229">
        <f t="shared" si="951"/>
        <v>0</v>
      </c>
      <c r="CI981" s="228">
        <v>35</v>
      </c>
      <c r="CJ981" s="229">
        <f t="shared" si="952"/>
        <v>48</v>
      </c>
      <c r="CK981" s="234">
        <f t="shared" si="953"/>
        <v>3.0748170731707316</v>
      </c>
      <c r="CL981" s="234" cm="1">
        <f t="array" ref="CL981">$BM981 * SUMPRODUCT(INDEX($AV$76:$AX$81,,$AI981),INDEX($AY$76:$BE$81,,$AH981), N($AU$76:$AU$81&gt;$AM981)) / CK981 / 1000</f>
        <v>0</v>
      </c>
      <c r="CM981" s="231">
        <f t="shared" si="933"/>
        <v>30</v>
      </c>
      <c r="CN981" s="229">
        <f t="shared" si="954"/>
        <v>43</v>
      </c>
      <c r="CO981" s="234">
        <f t="shared" si="955"/>
        <v>3.5018750000000001</v>
      </c>
      <c r="CP981" s="234" cm="1">
        <f t="array" ref="CP981">$BM981 * IF($AH981&lt;=2,
SUMPRODUCT(INDEX($AV$71:$AX$75,,$AI981), INDEX($AY$71:$BE$75,,$AH981), 1 / ($BF$71:$BF$75*CO981 + (1-$BF$71:$BF$75)*CK981), N($AU$71:$AU$75&gt;$AM981)),
SUMPRODUCT(INDEX($AV$66:$AX$75,,$AI981), INDEX($AY$66:$BE$75,,$AH981), 1 / ($BG$66:$BG$75*CO981 + (1-$BG$66:$BG$75)*CK981), N($AU$66:$AU$75&gt;$AM981))
) / 1000</f>
        <v>0</v>
      </c>
      <c r="CQ981" s="231">
        <f t="shared" si="934"/>
        <v>25</v>
      </c>
      <c r="CR981" s="229">
        <f t="shared" si="956"/>
        <v>38</v>
      </c>
      <c r="CS981" s="234">
        <f t="shared" si="957"/>
        <v>4.0666935483870965</v>
      </c>
      <c r="CT981" s="234" cm="1">
        <f t="array" ref="CT981">$BM981 * IF($AH981&lt;=2,
SUMPRODUCT(INDEX($AV$66:$AX$70,,$AI981), INDEX($AY$66:$BE$70,,$AH981), 1 / ($BF$66:$BF$70*CS981 + (1-$BF$66:$BF$70)*CO981), N($AU$66:$AU$70&gt;$AM981)),
SUMPRODUCT(INDEX($AV$56:$AX$65,,$AI981), INDEX($AY$56:$BE$65,,$AH981), 1 / ($BG$56:$BG$65*CS981 + (1-$BG$56:$BG$65)*CO981), N($AU$56:$AU$65&gt;$AM981))
) / 1000</f>
        <v>0</v>
      </c>
      <c r="CU981" s="231">
        <f t="shared" si="935"/>
        <v>20</v>
      </c>
      <c r="CV981" s="229">
        <f t="shared" si="958"/>
        <v>33</v>
      </c>
      <c r="CW981" s="234">
        <f t="shared" si="959"/>
        <v>4.8487499999999999</v>
      </c>
      <c r="CX981" s="234" cm="1">
        <f t="array" ref="CX981">$BM981 * IF($AH981&lt;=2,
SUMPRODUCT(INDEX($AV$61:$AX$65,,$AI981), INDEX($AY$61:$BE$65,,$AH981), 1 / ($BF$61:$BF$65*CW981 + (1-$BF$61:$BF$65)*CS981), N($AU$61:$AU$65&gt;$AM981)),
SUMPRODUCT(INDEX($AV$46:$AX$55,,$AI981), INDEX($AY$46:$BE$55,,$AH981), 1 / ($BG$46:$BG$55*CW981 + (1-$BG$46:$BG$55)*CS981), N($AU$46:$AU$55&gt;$AM981))
) / 1000</f>
        <v>0</v>
      </c>
      <c r="CY981" s="234" cm="1">
        <f t="array" ref="CY981">$BM981 * IF($AH981&lt;=2,
SUMPRODUCT(INDEX($AV$22:$AX$60,,$AI981), INDEX($AY$22:$BE$60,,$AH981), 1 / ($BF$22:$BF$60*CW981), N($AU$22:$AU$60&gt;$AM981)),
SUMPRODUCT(INDEX($AV$22:$AX$45,,$AI981), INDEX($AY$22:$BE$45,,$AH981), 1 / ($BG$22:$BG$45*CW981), N($AU$22:$AU$45&gt;$AM981))
) / 1000</f>
        <v>0</v>
      </c>
      <c r="CZ981" s="229">
        <f t="shared" si="960"/>
        <v>0</v>
      </c>
      <c r="DA981" s="246"/>
    </row>
    <row r="982" spans="1:105" s="75" customFormat="1" ht="14.25" customHeight="1" x14ac:dyDescent="0.2">
      <c r="A982" s="230" t="b">
        <f t="shared" si="965"/>
        <v>0</v>
      </c>
      <c r="B982" s="253">
        <v>961</v>
      </c>
      <c r="C982" s="266"/>
      <c r="D982" s="266"/>
      <c r="E982" s="254"/>
      <c r="F982" s="255" t="str">
        <f>IF(ISBLANK(E982), "", VLOOKUP(E982, Z!$A$2:$C$4127, 3, FALSE))</f>
        <v/>
      </c>
      <c r="G982" s="256"/>
      <c r="H982" s="256"/>
      <c r="I982" s="256"/>
      <c r="J982" s="257"/>
      <c r="K982" s="258"/>
      <c r="L982" s="267"/>
      <c r="M982" s="268"/>
      <c r="N982" s="259" t="str" cm="1">
        <f t="array" ref="N982">IF($L982&gt;0, INDEX(Clean,1+AK982,$D$1), "")</f>
        <v/>
      </c>
      <c r="O982" s="260"/>
      <c r="P982" s="260"/>
      <c r="Q982" s="261"/>
      <c r="R982" s="264">
        <f t="shared" si="936"/>
        <v>0</v>
      </c>
      <c r="S982" s="259" t="str" cm="1">
        <f t="array" ref="S982">IF($L982&gt;0, INDEX(Clean,1+AL982,$D$1), "")</f>
        <v/>
      </c>
      <c r="T982" s="260"/>
      <c r="U982" s="260"/>
      <c r="V982" s="261"/>
      <c r="W982" s="267"/>
      <c r="X982" s="267"/>
      <c r="Y982" s="257"/>
      <c r="Z982" s="264">
        <f t="shared" si="937"/>
        <v>0</v>
      </c>
      <c r="AA982" s="269"/>
      <c r="AB982" s="266"/>
      <c r="AC982" s="254"/>
      <c r="AD982" s="255" t="str">
        <f>IF(ISBLANK(AC982), "", VLOOKUP(AC982, Z!$A$2:$C$4127, 3, FALSE))</f>
        <v/>
      </c>
      <c r="AE982" s="270"/>
      <c r="AF982" s="265">
        <f t="shared" si="938"/>
        <v>0</v>
      </c>
      <c r="AG982" s="246"/>
      <c r="AH982" s="228">
        <f t="shared" si="961"/>
        <v>1</v>
      </c>
      <c r="AI982" s="228">
        <f t="shared" si="962"/>
        <v>1</v>
      </c>
      <c r="AJ982" s="228">
        <f t="shared" si="963"/>
        <v>0</v>
      </c>
      <c r="AK982" s="228">
        <v>0</v>
      </c>
      <c r="AL982" s="228">
        <v>0</v>
      </c>
      <c r="AM982" s="228">
        <f t="shared" si="939"/>
        <v>-100</v>
      </c>
      <c r="AN982" s="228" cm="1">
        <f t="array" ref="AN982">IF(ISBLANK(G982), 1, IFERROR(MATCH(G982, INDEX(Kat,,1), 0), IFERROR(MATCH(Kat, INDEX(Use,,2), 0), MATCH(Kat, INDEX(Use,,3), 0))))</f>
        <v>1</v>
      </c>
      <c r="AO982" s="246"/>
      <c r="AP982" s="228" cm="1">
        <f t="array" ref="AP982">IF(W982&gt;0, INDEX(Kat, AN982,4), 0)</f>
        <v>0</v>
      </c>
      <c r="AQ982" s="228">
        <f t="shared" si="964"/>
        <v>0</v>
      </c>
      <c r="AR982" s="228" cm="1">
        <f t="array" ref="AR982">IF(X982&gt;0, INDEX(Kat, $AN982, 4+AQ982), 0)</f>
        <v>0</v>
      </c>
      <c r="AS982" s="228" cm="1">
        <f t="array" ref="AS982">IF(X982&gt;0, INDEX(Kat, $AN982, 9+AQ982), 0)</f>
        <v>0</v>
      </c>
      <c r="AT982" s="246"/>
      <c r="AU982" s="262"/>
      <c r="AV982" s="262"/>
      <c r="AW982" s="263"/>
      <c r="AX982" s="263"/>
      <c r="AY982" s="263"/>
      <c r="AZ982" s="263"/>
      <c r="BA982" s="263"/>
      <c r="BB982" s="263"/>
      <c r="BC982" s="263"/>
      <c r="BD982" s="263"/>
      <c r="BE982" s="263"/>
      <c r="BF982" s="263"/>
      <c r="BG982" s="263"/>
      <c r="BH982" s="246"/>
      <c r="BI982" s="228" cm="1">
        <f t="array" ref="BI982">INDEX(Use, $AH982, 4)</f>
        <v>7</v>
      </c>
      <c r="BJ982" s="228">
        <f t="shared" si="940"/>
        <v>32</v>
      </c>
      <c r="BK982" s="228">
        <f t="shared" ref="BK982:BK1021" si="966">IF($AJ982=1, 6, IF($AH982=4, 10, 13))</f>
        <v>13</v>
      </c>
      <c r="BL982" s="228">
        <f t="shared" ref="BL982:BL1021" si="967">IF($AJ982=1, 9, 0)</f>
        <v>0</v>
      </c>
      <c r="BM982" s="233" cm="1">
        <f t="array" ref="BM982">L982/IF($M982&gt;0, INDEX($AY$22:$BE$76, $M982+20, $AH982), 1)</f>
        <v>0</v>
      </c>
      <c r="BN982" s="229">
        <f t="shared" si="941"/>
        <v>0</v>
      </c>
      <c r="BO982" s="228">
        <v>35</v>
      </c>
      <c r="BP982" s="229">
        <f t="shared" si="942"/>
        <v>48</v>
      </c>
      <c r="BQ982" s="234">
        <f t="shared" si="943"/>
        <v>3.0748170731707316</v>
      </c>
      <c r="BR982" s="234" cm="1">
        <f t="array" ref="BR982">$BM982 * SUMPRODUCT(INDEX($AV$76:$AX$81,,$AI982),INDEX($AY$76:$BE$81,,$AH982), N($AU$76:$AU$81&gt;$AM982)) / BQ982 / 1000</f>
        <v>0</v>
      </c>
      <c r="BS982" s="231">
        <f t="shared" ref="BS982:BS1021" si="968">IF($AH982&lt;=2, 30, 25)</f>
        <v>30</v>
      </c>
      <c r="BT982" s="229">
        <f t="shared" si="944"/>
        <v>43</v>
      </c>
      <c r="BU982" s="234">
        <f t="shared" si="945"/>
        <v>3.5018750000000001</v>
      </c>
      <c r="BV982" s="234" cm="1">
        <f t="array" ref="BV982">$BM982 * IF($AH982&lt;=2,
SUMPRODUCT(INDEX($AV$71:$AX$75,,$AI982), INDEX($AY$71:$BE$75,,$AH982), 1 / ($BF$71:$BF$75*BU982 + (1-$BF$71:$BF$75)*BQ982), N($AU$71:$AU$75&gt;$AM982)),
SUMPRODUCT(INDEX($AV$66:$AX$75,,$AI982), INDEX($AY$66:$BE$75,,$AH982), 1 / ($BG$66:$BG$75*BU982 + (1-$BG$66:$BG$75)*BQ982), N($AU$66:$AU$75&gt;$AM982))
) / 1000</f>
        <v>0</v>
      </c>
      <c r="BW982" s="231">
        <f t="shared" ref="BW982:BW1021" si="969">IF($AH982&lt;=2, 25, 15)</f>
        <v>25</v>
      </c>
      <c r="BX982" s="229">
        <f t="shared" si="946"/>
        <v>38</v>
      </c>
      <c r="BY982" s="234">
        <f t="shared" si="947"/>
        <v>4.0666935483870965</v>
      </c>
      <c r="BZ982" s="234" cm="1">
        <f t="array" ref="BZ982">$BM982 * IF($AH982&lt;=2,
SUMPRODUCT(INDEX($AV$66:$AX$70,,$AI982), INDEX($AY$66:$BE$70,,$AH982), 1 / ($BF$66:$BF$70*BY982 + (1-$BF$66:$BF$70)*BU982), N($AU$66:$AU$70&gt;$AM982)),
SUMPRODUCT(INDEX($AV$56:$AX$65,,$AI982), INDEX($AY$56:$BE$65,,$AH982), 1 / ($BG$56:$BG$65*BY982 + (1-$BG$56:$BG$65)*BU982), N($AU$56:$AU$65&gt;$AM982))
) / 1000</f>
        <v>0</v>
      </c>
      <c r="CA982" s="231">
        <f t="shared" ref="CA982:CA1021" si="970">IF($AH982&lt;=2, 20, 5)</f>
        <v>20</v>
      </c>
      <c r="CB982" s="229">
        <f t="shared" si="948"/>
        <v>33</v>
      </c>
      <c r="CC982" s="234">
        <f t="shared" si="949"/>
        <v>4.8487499999999999</v>
      </c>
      <c r="CD982" s="234" cm="1">
        <f t="array" ref="CD982">$BM982 * IF($AH982&lt;=2,
SUMPRODUCT(INDEX($AV$61:$AX$65,,$AI982), INDEX($AY$61:$BE$65,,$AH982), 1 / ($BF$61:$BF$65*CC982 + (1-$BF$61:$BF$65)*BY982), N($AU$61:$AU$65&gt;$AM982)),
SUMPRODUCT(INDEX($AV$46:$AX$55,,$AI982), INDEX($AY$46:$BE$55,,$AH982), 1 / ($BG$46:$BG$55*CC982 + (1-$BG$46:$BG$55)*BY982), N($AU$46:$AU$55&gt;$AM982))
) / 1000</f>
        <v>0</v>
      </c>
      <c r="CE982" s="234" cm="1">
        <f t="array" ref="CE982">$BM982 * IF($AH982&lt;=2,
SUMPRODUCT(INDEX($AV$22:$AX$60,,$AI982), INDEX($AY$22:$BE$60,,$AH982), 1 / ($BF$22:$BF$60*CC982), N($AU$22:$AU$60&gt;$AM982)),
SUMPRODUCT(INDEX($AV$22:$AX$45,,$AI982), INDEX($AY$22:$BE$45,,$AH982), 1 / ($BG$22:$BG$45*CC982), N($AU$22:$AU$45&gt;$AM982))
) / 1000</f>
        <v>0</v>
      </c>
      <c r="CF982" s="229">
        <f t="shared" si="950"/>
        <v>0</v>
      </c>
      <c r="CG982" s="246"/>
      <c r="CH982" s="229">
        <f t="shared" si="951"/>
        <v>0</v>
      </c>
      <c r="CI982" s="228">
        <v>35</v>
      </c>
      <c r="CJ982" s="229">
        <f t="shared" si="952"/>
        <v>48</v>
      </c>
      <c r="CK982" s="234">
        <f t="shared" si="953"/>
        <v>3.0748170731707316</v>
      </c>
      <c r="CL982" s="234" cm="1">
        <f t="array" ref="CL982">$BM982 * SUMPRODUCT(INDEX($AV$76:$AX$81,,$AI982),INDEX($AY$76:$BE$81,,$AH982), N($AU$76:$AU$81&gt;$AM982)) / CK982 / 1000</f>
        <v>0</v>
      </c>
      <c r="CM982" s="231">
        <f t="shared" ref="CM982:CM1021" si="971">IF($AH982&lt;=2, 30, 25)</f>
        <v>30</v>
      </c>
      <c r="CN982" s="229">
        <f t="shared" si="954"/>
        <v>43</v>
      </c>
      <c r="CO982" s="234">
        <f t="shared" si="955"/>
        <v>3.5018750000000001</v>
      </c>
      <c r="CP982" s="234" cm="1">
        <f t="array" ref="CP982">$BM982 * IF($AH982&lt;=2,
SUMPRODUCT(INDEX($AV$71:$AX$75,,$AI982), INDEX($AY$71:$BE$75,,$AH982), 1 / ($BF$71:$BF$75*CO982 + (1-$BF$71:$BF$75)*CK982), N($AU$71:$AU$75&gt;$AM982)),
SUMPRODUCT(INDEX($AV$66:$AX$75,,$AI982), INDEX($AY$66:$BE$75,,$AH982), 1 / ($BG$66:$BG$75*CO982 + (1-$BG$66:$BG$75)*CK982), N($AU$66:$AU$75&gt;$AM982))
) / 1000</f>
        <v>0</v>
      </c>
      <c r="CQ982" s="231">
        <f t="shared" ref="CQ982:CQ1021" si="972">IF($AH982&lt;=2, 25, 15)</f>
        <v>25</v>
      </c>
      <c r="CR982" s="229">
        <f t="shared" si="956"/>
        <v>38</v>
      </c>
      <c r="CS982" s="234">
        <f t="shared" si="957"/>
        <v>4.0666935483870965</v>
      </c>
      <c r="CT982" s="234" cm="1">
        <f t="array" ref="CT982">$BM982 * IF($AH982&lt;=2,
SUMPRODUCT(INDEX($AV$66:$AX$70,,$AI982), INDEX($AY$66:$BE$70,,$AH982), 1 / ($BF$66:$BF$70*CS982 + (1-$BF$66:$BF$70)*CO982), N($AU$66:$AU$70&gt;$AM982)),
SUMPRODUCT(INDEX($AV$56:$AX$65,,$AI982), INDEX($AY$56:$BE$65,,$AH982), 1 / ($BG$56:$BG$65*CS982 + (1-$BG$56:$BG$65)*CO982), N($AU$56:$AU$65&gt;$AM982))
) / 1000</f>
        <v>0</v>
      </c>
      <c r="CU982" s="231">
        <f t="shared" ref="CU982:CU1021" si="973">IF($AH982&lt;=2, 20, 5)</f>
        <v>20</v>
      </c>
      <c r="CV982" s="229">
        <f t="shared" si="958"/>
        <v>33</v>
      </c>
      <c r="CW982" s="234">
        <f t="shared" si="959"/>
        <v>4.8487499999999999</v>
      </c>
      <c r="CX982" s="234" cm="1">
        <f t="array" ref="CX982">$BM982 * IF($AH982&lt;=2,
SUMPRODUCT(INDEX($AV$61:$AX$65,,$AI982), INDEX($AY$61:$BE$65,,$AH982), 1 / ($BF$61:$BF$65*CW982 + (1-$BF$61:$BF$65)*CS982), N($AU$61:$AU$65&gt;$AM982)),
SUMPRODUCT(INDEX($AV$46:$AX$55,,$AI982), INDEX($AY$46:$BE$55,,$AH982), 1 / ($BG$46:$BG$55*CW982 + (1-$BG$46:$BG$55)*CS982), N($AU$46:$AU$55&gt;$AM982))
) / 1000</f>
        <v>0</v>
      </c>
      <c r="CY982" s="234" cm="1">
        <f t="array" ref="CY982">$BM982 * IF($AH982&lt;=2,
SUMPRODUCT(INDEX($AV$22:$AX$60,,$AI982), INDEX($AY$22:$BE$60,,$AH982), 1 / ($BF$22:$BF$60*CW982), N($AU$22:$AU$60&gt;$AM982)),
SUMPRODUCT(INDEX($AV$22:$AX$45,,$AI982), INDEX($AY$22:$BE$45,,$AH982), 1 / ($BG$22:$BG$45*CW982), N($AU$22:$AU$45&gt;$AM982))
) / 1000</f>
        <v>0</v>
      </c>
      <c r="CZ982" s="229">
        <f t="shared" si="960"/>
        <v>0</v>
      </c>
      <c r="DA982" s="246"/>
    </row>
    <row r="983" spans="1:105" s="75" customFormat="1" ht="14.25" customHeight="1" x14ac:dyDescent="0.2">
      <c r="A983" s="230" t="b">
        <f t="shared" si="965"/>
        <v>0</v>
      </c>
      <c r="B983" s="253">
        <v>962</v>
      </c>
      <c r="C983" s="266"/>
      <c r="D983" s="266"/>
      <c r="E983" s="254"/>
      <c r="F983" s="255" t="str">
        <f>IF(ISBLANK(E983), "", VLOOKUP(E983, Z!$A$2:$C$4127, 3, FALSE))</f>
        <v/>
      </c>
      <c r="G983" s="256"/>
      <c r="H983" s="256"/>
      <c r="I983" s="256"/>
      <c r="J983" s="257"/>
      <c r="K983" s="258"/>
      <c r="L983" s="267"/>
      <c r="M983" s="268"/>
      <c r="N983" s="259" t="str" cm="1">
        <f t="array" ref="N983">IF($L983&gt;0, INDEX(Clean,1+AK983,$D$1), "")</f>
        <v/>
      </c>
      <c r="O983" s="260"/>
      <c r="P983" s="260"/>
      <c r="Q983" s="261"/>
      <c r="R983" s="264">
        <f t="shared" si="936"/>
        <v>0</v>
      </c>
      <c r="S983" s="259" t="str" cm="1">
        <f t="array" ref="S983">IF($L983&gt;0, INDEX(Clean,1+AL983,$D$1), "")</f>
        <v/>
      </c>
      <c r="T983" s="260"/>
      <c r="U983" s="260"/>
      <c r="V983" s="261"/>
      <c r="W983" s="267"/>
      <c r="X983" s="267"/>
      <c r="Y983" s="257"/>
      <c r="Z983" s="264">
        <f t="shared" si="937"/>
        <v>0</v>
      </c>
      <c r="AA983" s="269"/>
      <c r="AB983" s="266"/>
      <c r="AC983" s="254"/>
      <c r="AD983" s="255" t="str">
        <f>IF(ISBLANK(AC983), "", VLOOKUP(AC983, Z!$A$2:$C$4127, 3, FALSE))</f>
        <v/>
      </c>
      <c r="AE983" s="270"/>
      <c r="AF983" s="265">
        <f t="shared" si="938"/>
        <v>0</v>
      </c>
      <c r="AG983" s="246"/>
      <c r="AH983" s="228">
        <f t="shared" si="961"/>
        <v>1</v>
      </c>
      <c r="AI983" s="228">
        <f t="shared" si="962"/>
        <v>1</v>
      </c>
      <c r="AJ983" s="228">
        <f t="shared" si="963"/>
        <v>0</v>
      </c>
      <c r="AK983" s="228">
        <v>0</v>
      </c>
      <c r="AL983" s="228">
        <v>0</v>
      </c>
      <c r="AM983" s="228">
        <f t="shared" si="939"/>
        <v>-100</v>
      </c>
      <c r="AN983" s="228" cm="1">
        <f t="array" ref="AN983">IF(ISBLANK(G983), 1, IFERROR(MATCH(G983, INDEX(Kat,,1), 0), IFERROR(MATCH(Kat, INDEX(Use,,2), 0), MATCH(Kat, INDEX(Use,,3), 0))))</f>
        <v>1</v>
      </c>
      <c r="AO983" s="246"/>
      <c r="AP983" s="228" cm="1">
        <f t="array" ref="AP983">IF(W983&gt;0, INDEX(Kat, AN983,4), 0)</f>
        <v>0</v>
      </c>
      <c r="AQ983" s="228">
        <f t="shared" si="964"/>
        <v>0</v>
      </c>
      <c r="AR983" s="228" cm="1">
        <f t="array" ref="AR983">IF(X983&gt;0, INDEX(Kat, $AN983, 4+AQ983), 0)</f>
        <v>0</v>
      </c>
      <c r="AS983" s="228" cm="1">
        <f t="array" ref="AS983">IF(X983&gt;0, INDEX(Kat, $AN983, 9+AQ983), 0)</f>
        <v>0</v>
      </c>
      <c r="AT983" s="246"/>
      <c r="AU983" s="262"/>
      <c r="AV983" s="262"/>
      <c r="AW983" s="263"/>
      <c r="AX983" s="263"/>
      <c r="AY983" s="263"/>
      <c r="AZ983" s="263"/>
      <c r="BA983" s="263"/>
      <c r="BB983" s="263"/>
      <c r="BC983" s="263"/>
      <c r="BD983" s="263"/>
      <c r="BE983" s="263"/>
      <c r="BF983" s="263"/>
      <c r="BG983" s="263"/>
      <c r="BH983" s="246"/>
      <c r="BI983" s="228" cm="1">
        <f t="array" ref="BI983">INDEX(Use, $AH983, 4)</f>
        <v>7</v>
      </c>
      <c r="BJ983" s="228">
        <f t="shared" si="940"/>
        <v>32</v>
      </c>
      <c r="BK983" s="228">
        <f t="shared" si="966"/>
        <v>13</v>
      </c>
      <c r="BL983" s="228">
        <f t="shared" si="967"/>
        <v>0</v>
      </c>
      <c r="BM983" s="233" cm="1">
        <f t="array" ref="BM983">L983/IF($M983&gt;0, INDEX($AY$22:$BE$76, $M983+20, $AH983), 1)</f>
        <v>0</v>
      </c>
      <c r="BN983" s="229">
        <f t="shared" si="941"/>
        <v>0</v>
      </c>
      <c r="BO983" s="228">
        <v>35</v>
      </c>
      <c r="BP983" s="229">
        <f t="shared" si="942"/>
        <v>48</v>
      </c>
      <c r="BQ983" s="234">
        <f t="shared" si="943"/>
        <v>3.0748170731707316</v>
      </c>
      <c r="BR983" s="234" cm="1">
        <f t="array" ref="BR983">$BM983 * SUMPRODUCT(INDEX($AV$76:$AX$81,,$AI983),INDEX($AY$76:$BE$81,,$AH983), N($AU$76:$AU$81&gt;$AM983)) / BQ983 / 1000</f>
        <v>0</v>
      </c>
      <c r="BS983" s="231">
        <f t="shared" si="968"/>
        <v>30</v>
      </c>
      <c r="BT983" s="229">
        <f t="shared" si="944"/>
        <v>43</v>
      </c>
      <c r="BU983" s="234">
        <f t="shared" si="945"/>
        <v>3.5018750000000001</v>
      </c>
      <c r="BV983" s="234" cm="1">
        <f t="array" ref="BV983">$BM983 * IF($AH983&lt;=2,
SUMPRODUCT(INDEX($AV$71:$AX$75,,$AI983), INDEX($AY$71:$BE$75,,$AH983), 1 / ($BF$71:$BF$75*BU983 + (1-$BF$71:$BF$75)*BQ983), N($AU$71:$AU$75&gt;$AM983)),
SUMPRODUCT(INDEX($AV$66:$AX$75,,$AI983), INDEX($AY$66:$BE$75,,$AH983), 1 / ($BG$66:$BG$75*BU983 + (1-$BG$66:$BG$75)*BQ983), N($AU$66:$AU$75&gt;$AM983))
) / 1000</f>
        <v>0</v>
      </c>
      <c r="BW983" s="231">
        <f t="shared" si="969"/>
        <v>25</v>
      </c>
      <c r="BX983" s="229">
        <f t="shared" si="946"/>
        <v>38</v>
      </c>
      <c r="BY983" s="234">
        <f t="shared" si="947"/>
        <v>4.0666935483870965</v>
      </c>
      <c r="BZ983" s="234" cm="1">
        <f t="array" ref="BZ983">$BM983 * IF($AH983&lt;=2,
SUMPRODUCT(INDEX($AV$66:$AX$70,,$AI983), INDEX($AY$66:$BE$70,,$AH983), 1 / ($BF$66:$BF$70*BY983 + (1-$BF$66:$BF$70)*BU983), N($AU$66:$AU$70&gt;$AM983)),
SUMPRODUCT(INDEX($AV$56:$AX$65,,$AI983), INDEX($AY$56:$BE$65,,$AH983), 1 / ($BG$56:$BG$65*BY983 + (1-$BG$56:$BG$65)*BU983), N($AU$56:$AU$65&gt;$AM983))
) / 1000</f>
        <v>0</v>
      </c>
      <c r="CA983" s="231">
        <f t="shared" si="970"/>
        <v>20</v>
      </c>
      <c r="CB983" s="229">
        <f t="shared" si="948"/>
        <v>33</v>
      </c>
      <c r="CC983" s="234">
        <f t="shared" si="949"/>
        <v>4.8487499999999999</v>
      </c>
      <c r="CD983" s="234" cm="1">
        <f t="array" ref="CD983">$BM983 * IF($AH983&lt;=2,
SUMPRODUCT(INDEX($AV$61:$AX$65,,$AI983), INDEX($AY$61:$BE$65,,$AH983), 1 / ($BF$61:$BF$65*CC983 + (1-$BF$61:$BF$65)*BY983), N($AU$61:$AU$65&gt;$AM983)),
SUMPRODUCT(INDEX($AV$46:$AX$55,,$AI983), INDEX($AY$46:$BE$55,,$AH983), 1 / ($BG$46:$BG$55*CC983 + (1-$BG$46:$BG$55)*BY983), N($AU$46:$AU$55&gt;$AM983))
) / 1000</f>
        <v>0</v>
      </c>
      <c r="CE983" s="234" cm="1">
        <f t="array" ref="CE983">$BM983 * IF($AH983&lt;=2,
SUMPRODUCT(INDEX($AV$22:$AX$60,,$AI983), INDEX($AY$22:$BE$60,,$AH983), 1 / ($BF$22:$BF$60*CC983), N($AU$22:$AU$60&gt;$AM983)),
SUMPRODUCT(INDEX($AV$22:$AX$45,,$AI983), INDEX($AY$22:$BE$45,,$AH983), 1 / ($BG$22:$BG$45*CC983), N($AU$22:$AU$45&gt;$AM983))
) / 1000</f>
        <v>0</v>
      </c>
      <c r="CF983" s="229">
        <f t="shared" si="950"/>
        <v>0</v>
      </c>
      <c r="CG983" s="246"/>
      <c r="CH983" s="229">
        <f t="shared" si="951"/>
        <v>0</v>
      </c>
      <c r="CI983" s="228">
        <v>35</v>
      </c>
      <c r="CJ983" s="229">
        <f t="shared" si="952"/>
        <v>48</v>
      </c>
      <c r="CK983" s="234">
        <f t="shared" si="953"/>
        <v>3.0748170731707316</v>
      </c>
      <c r="CL983" s="234" cm="1">
        <f t="array" ref="CL983">$BM983 * SUMPRODUCT(INDEX($AV$76:$AX$81,,$AI983),INDEX($AY$76:$BE$81,,$AH983), N($AU$76:$AU$81&gt;$AM983)) / CK983 / 1000</f>
        <v>0</v>
      </c>
      <c r="CM983" s="231">
        <f t="shared" si="971"/>
        <v>30</v>
      </c>
      <c r="CN983" s="229">
        <f t="shared" si="954"/>
        <v>43</v>
      </c>
      <c r="CO983" s="234">
        <f t="shared" si="955"/>
        <v>3.5018750000000001</v>
      </c>
      <c r="CP983" s="234" cm="1">
        <f t="array" ref="CP983">$BM983 * IF($AH983&lt;=2,
SUMPRODUCT(INDEX($AV$71:$AX$75,,$AI983), INDEX($AY$71:$BE$75,,$AH983), 1 / ($BF$71:$BF$75*CO983 + (1-$BF$71:$BF$75)*CK983), N($AU$71:$AU$75&gt;$AM983)),
SUMPRODUCT(INDEX($AV$66:$AX$75,,$AI983), INDEX($AY$66:$BE$75,,$AH983), 1 / ($BG$66:$BG$75*CO983 + (1-$BG$66:$BG$75)*CK983), N($AU$66:$AU$75&gt;$AM983))
) / 1000</f>
        <v>0</v>
      </c>
      <c r="CQ983" s="231">
        <f t="shared" si="972"/>
        <v>25</v>
      </c>
      <c r="CR983" s="229">
        <f t="shared" si="956"/>
        <v>38</v>
      </c>
      <c r="CS983" s="234">
        <f t="shared" si="957"/>
        <v>4.0666935483870965</v>
      </c>
      <c r="CT983" s="234" cm="1">
        <f t="array" ref="CT983">$BM983 * IF($AH983&lt;=2,
SUMPRODUCT(INDEX($AV$66:$AX$70,,$AI983), INDEX($AY$66:$BE$70,,$AH983), 1 / ($BF$66:$BF$70*CS983 + (1-$BF$66:$BF$70)*CO983), N($AU$66:$AU$70&gt;$AM983)),
SUMPRODUCT(INDEX($AV$56:$AX$65,,$AI983), INDEX($AY$56:$BE$65,,$AH983), 1 / ($BG$56:$BG$65*CS983 + (1-$BG$56:$BG$65)*CO983), N($AU$56:$AU$65&gt;$AM983))
) / 1000</f>
        <v>0</v>
      </c>
      <c r="CU983" s="231">
        <f t="shared" si="973"/>
        <v>20</v>
      </c>
      <c r="CV983" s="229">
        <f t="shared" si="958"/>
        <v>33</v>
      </c>
      <c r="CW983" s="234">
        <f t="shared" si="959"/>
        <v>4.8487499999999999</v>
      </c>
      <c r="CX983" s="234" cm="1">
        <f t="array" ref="CX983">$BM983 * IF($AH983&lt;=2,
SUMPRODUCT(INDEX($AV$61:$AX$65,,$AI983), INDEX($AY$61:$BE$65,,$AH983), 1 / ($BF$61:$BF$65*CW983 + (1-$BF$61:$BF$65)*CS983), N($AU$61:$AU$65&gt;$AM983)),
SUMPRODUCT(INDEX($AV$46:$AX$55,,$AI983), INDEX($AY$46:$BE$55,,$AH983), 1 / ($BG$46:$BG$55*CW983 + (1-$BG$46:$BG$55)*CS983), N($AU$46:$AU$55&gt;$AM983))
) / 1000</f>
        <v>0</v>
      </c>
      <c r="CY983" s="234" cm="1">
        <f t="array" ref="CY983">$BM983 * IF($AH983&lt;=2,
SUMPRODUCT(INDEX($AV$22:$AX$60,,$AI983), INDEX($AY$22:$BE$60,,$AH983), 1 / ($BF$22:$BF$60*CW983), N($AU$22:$AU$60&gt;$AM983)),
SUMPRODUCT(INDEX($AV$22:$AX$45,,$AI983), INDEX($AY$22:$BE$45,,$AH983), 1 / ($BG$22:$BG$45*CW983), N($AU$22:$AU$45&gt;$AM983))
) / 1000</f>
        <v>0</v>
      </c>
      <c r="CZ983" s="229">
        <f t="shared" si="960"/>
        <v>0</v>
      </c>
      <c r="DA983" s="246"/>
    </row>
    <row r="984" spans="1:105" s="75" customFormat="1" ht="14.25" customHeight="1" x14ac:dyDescent="0.2">
      <c r="A984" s="230" t="b">
        <f t="shared" si="965"/>
        <v>0</v>
      </c>
      <c r="B984" s="253">
        <v>963</v>
      </c>
      <c r="C984" s="266"/>
      <c r="D984" s="266"/>
      <c r="E984" s="254"/>
      <c r="F984" s="255" t="str">
        <f>IF(ISBLANK(E984), "", VLOOKUP(E984, Z!$A$2:$C$4127, 3, FALSE))</f>
        <v/>
      </c>
      <c r="G984" s="256"/>
      <c r="H984" s="256"/>
      <c r="I984" s="256"/>
      <c r="J984" s="257"/>
      <c r="K984" s="258"/>
      <c r="L984" s="267"/>
      <c r="M984" s="268"/>
      <c r="N984" s="259" t="str" cm="1">
        <f t="array" ref="N984">IF($L984&gt;0, INDEX(Clean,1+AK984,$D$1), "")</f>
        <v/>
      </c>
      <c r="O984" s="260"/>
      <c r="P984" s="260"/>
      <c r="Q984" s="261"/>
      <c r="R984" s="264">
        <f t="shared" si="936"/>
        <v>0</v>
      </c>
      <c r="S984" s="259" t="str" cm="1">
        <f t="array" ref="S984">IF($L984&gt;0, INDEX(Clean,1+AL984,$D$1), "")</f>
        <v/>
      </c>
      <c r="T984" s="260"/>
      <c r="U984" s="260"/>
      <c r="V984" s="261"/>
      <c r="W984" s="267"/>
      <c r="X984" s="267"/>
      <c r="Y984" s="257"/>
      <c r="Z984" s="264">
        <f t="shared" si="937"/>
        <v>0</v>
      </c>
      <c r="AA984" s="269"/>
      <c r="AB984" s="266"/>
      <c r="AC984" s="254"/>
      <c r="AD984" s="255" t="str">
        <f>IF(ISBLANK(AC984), "", VLOOKUP(AC984, Z!$A$2:$C$4127, 3, FALSE))</f>
        <v/>
      </c>
      <c r="AE984" s="270"/>
      <c r="AF984" s="265">
        <f t="shared" si="938"/>
        <v>0</v>
      </c>
      <c r="AG984" s="246"/>
      <c r="AH984" s="228">
        <f t="shared" si="961"/>
        <v>1</v>
      </c>
      <c r="AI984" s="228">
        <f t="shared" si="962"/>
        <v>1</v>
      </c>
      <c r="AJ984" s="228">
        <f t="shared" si="963"/>
        <v>0</v>
      </c>
      <c r="AK984" s="228">
        <v>0</v>
      </c>
      <c r="AL984" s="228">
        <v>0</v>
      </c>
      <c r="AM984" s="228">
        <f t="shared" si="939"/>
        <v>-100</v>
      </c>
      <c r="AN984" s="228" cm="1">
        <f t="array" ref="AN984">IF(ISBLANK(G984), 1, IFERROR(MATCH(G984, INDEX(Kat,,1), 0), IFERROR(MATCH(Kat, INDEX(Use,,2), 0), MATCH(Kat, INDEX(Use,,3), 0))))</f>
        <v>1</v>
      </c>
      <c r="AO984" s="246"/>
      <c r="AP984" s="228" cm="1">
        <f t="array" ref="AP984">IF(W984&gt;0, INDEX(Kat, AN984,4), 0)</f>
        <v>0</v>
      </c>
      <c r="AQ984" s="228">
        <f t="shared" si="964"/>
        <v>0</v>
      </c>
      <c r="AR984" s="228" cm="1">
        <f t="array" ref="AR984">IF(X984&gt;0, INDEX(Kat, $AN984, 4+AQ984), 0)</f>
        <v>0</v>
      </c>
      <c r="AS984" s="228" cm="1">
        <f t="array" ref="AS984">IF(X984&gt;0, INDEX(Kat, $AN984, 9+AQ984), 0)</f>
        <v>0</v>
      </c>
      <c r="AT984" s="246"/>
      <c r="AU984" s="262"/>
      <c r="AV984" s="262"/>
      <c r="AW984" s="263"/>
      <c r="AX984" s="263"/>
      <c r="AY984" s="263"/>
      <c r="AZ984" s="263"/>
      <c r="BA984" s="263"/>
      <c r="BB984" s="263"/>
      <c r="BC984" s="263"/>
      <c r="BD984" s="263"/>
      <c r="BE984" s="263"/>
      <c r="BF984" s="263"/>
      <c r="BG984" s="263"/>
      <c r="BH984" s="246"/>
      <c r="BI984" s="228" cm="1">
        <f t="array" ref="BI984">INDEX(Use, $AH984, 4)</f>
        <v>7</v>
      </c>
      <c r="BJ984" s="228">
        <f t="shared" si="940"/>
        <v>32</v>
      </c>
      <c r="BK984" s="228">
        <f t="shared" si="966"/>
        <v>13</v>
      </c>
      <c r="BL984" s="228">
        <f t="shared" si="967"/>
        <v>0</v>
      </c>
      <c r="BM984" s="233" cm="1">
        <f t="array" ref="BM984">L984/IF($M984&gt;0, INDEX($AY$22:$BE$76, $M984+20, $AH984), 1)</f>
        <v>0</v>
      </c>
      <c r="BN984" s="229">
        <f t="shared" si="941"/>
        <v>0</v>
      </c>
      <c r="BO984" s="228">
        <v>35</v>
      </c>
      <c r="BP984" s="229">
        <f t="shared" si="942"/>
        <v>48</v>
      </c>
      <c r="BQ984" s="234">
        <f t="shared" si="943"/>
        <v>3.0748170731707316</v>
      </c>
      <c r="BR984" s="234" cm="1">
        <f t="array" ref="BR984">$BM984 * SUMPRODUCT(INDEX($AV$76:$AX$81,,$AI984),INDEX($AY$76:$BE$81,,$AH984), N($AU$76:$AU$81&gt;$AM984)) / BQ984 / 1000</f>
        <v>0</v>
      </c>
      <c r="BS984" s="231">
        <f t="shared" si="968"/>
        <v>30</v>
      </c>
      <c r="BT984" s="229">
        <f t="shared" si="944"/>
        <v>43</v>
      </c>
      <c r="BU984" s="234">
        <f t="shared" si="945"/>
        <v>3.5018750000000001</v>
      </c>
      <c r="BV984" s="234" cm="1">
        <f t="array" ref="BV984">$BM984 * IF($AH984&lt;=2,
SUMPRODUCT(INDEX($AV$71:$AX$75,,$AI984), INDEX($AY$71:$BE$75,,$AH984), 1 / ($BF$71:$BF$75*BU984 + (1-$BF$71:$BF$75)*BQ984), N($AU$71:$AU$75&gt;$AM984)),
SUMPRODUCT(INDEX($AV$66:$AX$75,,$AI984), INDEX($AY$66:$BE$75,,$AH984), 1 / ($BG$66:$BG$75*BU984 + (1-$BG$66:$BG$75)*BQ984), N($AU$66:$AU$75&gt;$AM984))
) / 1000</f>
        <v>0</v>
      </c>
      <c r="BW984" s="231">
        <f t="shared" si="969"/>
        <v>25</v>
      </c>
      <c r="BX984" s="229">
        <f t="shared" si="946"/>
        <v>38</v>
      </c>
      <c r="BY984" s="234">
        <f t="shared" si="947"/>
        <v>4.0666935483870965</v>
      </c>
      <c r="BZ984" s="234" cm="1">
        <f t="array" ref="BZ984">$BM984 * IF($AH984&lt;=2,
SUMPRODUCT(INDEX($AV$66:$AX$70,,$AI984), INDEX($AY$66:$BE$70,,$AH984), 1 / ($BF$66:$BF$70*BY984 + (1-$BF$66:$BF$70)*BU984), N($AU$66:$AU$70&gt;$AM984)),
SUMPRODUCT(INDEX($AV$56:$AX$65,,$AI984), INDEX($AY$56:$BE$65,,$AH984), 1 / ($BG$56:$BG$65*BY984 + (1-$BG$56:$BG$65)*BU984), N($AU$56:$AU$65&gt;$AM984))
) / 1000</f>
        <v>0</v>
      </c>
      <c r="CA984" s="231">
        <f t="shared" si="970"/>
        <v>20</v>
      </c>
      <c r="CB984" s="229">
        <f t="shared" si="948"/>
        <v>33</v>
      </c>
      <c r="CC984" s="234">
        <f t="shared" si="949"/>
        <v>4.8487499999999999</v>
      </c>
      <c r="CD984" s="234" cm="1">
        <f t="array" ref="CD984">$BM984 * IF($AH984&lt;=2,
SUMPRODUCT(INDEX($AV$61:$AX$65,,$AI984), INDEX($AY$61:$BE$65,,$AH984), 1 / ($BF$61:$BF$65*CC984 + (1-$BF$61:$BF$65)*BY984), N($AU$61:$AU$65&gt;$AM984)),
SUMPRODUCT(INDEX($AV$46:$AX$55,,$AI984), INDEX($AY$46:$BE$55,,$AH984), 1 / ($BG$46:$BG$55*CC984 + (1-$BG$46:$BG$55)*BY984), N($AU$46:$AU$55&gt;$AM984))
) / 1000</f>
        <v>0</v>
      </c>
      <c r="CE984" s="234" cm="1">
        <f t="array" ref="CE984">$BM984 * IF($AH984&lt;=2,
SUMPRODUCT(INDEX($AV$22:$AX$60,,$AI984), INDEX($AY$22:$BE$60,,$AH984), 1 / ($BF$22:$BF$60*CC984), N($AU$22:$AU$60&gt;$AM984)),
SUMPRODUCT(INDEX($AV$22:$AX$45,,$AI984), INDEX($AY$22:$BE$45,,$AH984), 1 / ($BG$22:$BG$45*CC984), N($AU$22:$AU$45&gt;$AM984))
) / 1000</f>
        <v>0</v>
      </c>
      <c r="CF984" s="229">
        <f t="shared" si="950"/>
        <v>0</v>
      </c>
      <c r="CG984" s="246"/>
      <c r="CH984" s="229">
        <f t="shared" si="951"/>
        <v>0</v>
      </c>
      <c r="CI984" s="228">
        <v>35</v>
      </c>
      <c r="CJ984" s="229">
        <f t="shared" si="952"/>
        <v>48</v>
      </c>
      <c r="CK984" s="234">
        <f t="shared" si="953"/>
        <v>3.0748170731707316</v>
      </c>
      <c r="CL984" s="234" cm="1">
        <f t="array" ref="CL984">$BM984 * SUMPRODUCT(INDEX($AV$76:$AX$81,,$AI984),INDEX($AY$76:$BE$81,,$AH984), N($AU$76:$AU$81&gt;$AM984)) / CK984 / 1000</f>
        <v>0</v>
      </c>
      <c r="CM984" s="231">
        <f t="shared" si="971"/>
        <v>30</v>
      </c>
      <c r="CN984" s="229">
        <f t="shared" si="954"/>
        <v>43</v>
      </c>
      <c r="CO984" s="234">
        <f t="shared" si="955"/>
        <v>3.5018750000000001</v>
      </c>
      <c r="CP984" s="234" cm="1">
        <f t="array" ref="CP984">$BM984 * IF($AH984&lt;=2,
SUMPRODUCT(INDEX($AV$71:$AX$75,,$AI984), INDEX($AY$71:$BE$75,,$AH984), 1 / ($BF$71:$BF$75*CO984 + (1-$BF$71:$BF$75)*CK984), N($AU$71:$AU$75&gt;$AM984)),
SUMPRODUCT(INDEX($AV$66:$AX$75,,$AI984), INDEX($AY$66:$BE$75,,$AH984), 1 / ($BG$66:$BG$75*CO984 + (1-$BG$66:$BG$75)*CK984), N($AU$66:$AU$75&gt;$AM984))
) / 1000</f>
        <v>0</v>
      </c>
      <c r="CQ984" s="231">
        <f t="shared" si="972"/>
        <v>25</v>
      </c>
      <c r="CR984" s="229">
        <f t="shared" si="956"/>
        <v>38</v>
      </c>
      <c r="CS984" s="234">
        <f t="shared" si="957"/>
        <v>4.0666935483870965</v>
      </c>
      <c r="CT984" s="234" cm="1">
        <f t="array" ref="CT984">$BM984 * IF($AH984&lt;=2,
SUMPRODUCT(INDEX($AV$66:$AX$70,,$AI984), INDEX($AY$66:$BE$70,,$AH984), 1 / ($BF$66:$BF$70*CS984 + (1-$BF$66:$BF$70)*CO984), N($AU$66:$AU$70&gt;$AM984)),
SUMPRODUCT(INDEX($AV$56:$AX$65,,$AI984), INDEX($AY$56:$BE$65,,$AH984), 1 / ($BG$56:$BG$65*CS984 + (1-$BG$56:$BG$65)*CO984), N($AU$56:$AU$65&gt;$AM984))
) / 1000</f>
        <v>0</v>
      </c>
      <c r="CU984" s="231">
        <f t="shared" si="973"/>
        <v>20</v>
      </c>
      <c r="CV984" s="229">
        <f t="shared" si="958"/>
        <v>33</v>
      </c>
      <c r="CW984" s="234">
        <f t="shared" si="959"/>
        <v>4.8487499999999999</v>
      </c>
      <c r="CX984" s="234" cm="1">
        <f t="array" ref="CX984">$BM984 * IF($AH984&lt;=2,
SUMPRODUCT(INDEX($AV$61:$AX$65,,$AI984), INDEX($AY$61:$BE$65,,$AH984), 1 / ($BF$61:$BF$65*CW984 + (1-$BF$61:$BF$65)*CS984), N($AU$61:$AU$65&gt;$AM984)),
SUMPRODUCT(INDEX($AV$46:$AX$55,,$AI984), INDEX($AY$46:$BE$55,,$AH984), 1 / ($BG$46:$BG$55*CW984 + (1-$BG$46:$BG$55)*CS984), N($AU$46:$AU$55&gt;$AM984))
) / 1000</f>
        <v>0</v>
      </c>
      <c r="CY984" s="234" cm="1">
        <f t="array" ref="CY984">$BM984 * IF($AH984&lt;=2,
SUMPRODUCT(INDEX($AV$22:$AX$60,,$AI984), INDEX($AY$22:$BE$60,,$AH984), 1 / ($BF$22:$BF$60*CW984), N($AU$22:$AU$60&gt;$AM984)),
SUMPRODUCT(INDEX($AV$22:$AX$45,,$AI984), INDEX($AY$22:$BE$45,,$AH984), 1 / ($BG$22:$BG$45*CW984), N($AU$22:$AU$45&gt;$AM984))
) / 1000</f>
        <v>0</v>
      </c>
      <c r="CZ984" s="229">
        <f t="shared" si="960"/>
        <v>0</v>
      </c>
      <c r="DA984" s="246"/>
    </row>
    <row r="985" spans="1:105" s="75" customFormat="1" ht="14.25" customHeight="1" x14ac:dyDescent="0.2">
      <c r="A985" s="230" t="b">
        <f t="shared" si="965"/>
        <v>0</v>
      </c>
      <c r="B985" s="253">
        <v>964</v>
      </c>
      <c r="C985" s="266"/>
      <c r="D985" s="266"/>
      <c r="E985" s="254"/>
      <c r="F985" s="255" t="str">
        <f>IF(ISBLANK(E985), "", VLOOKUP(E985, Z!$A$2:$C$4127, 3, FALSE))</f>
        <v/>
      </c>
      <c r="G985" s="256"/>
      <c r="H985" s="256"/>
      <c r="I985" s="256"/>
      <c r="J985" s="257"/>
      <c r="K985" s="258"/>
      <c r="L985" s="267"/>
      <c r="M985" s="268"/>
      <c r="N985" s="259" t="str" cm="1">
        <f t="array" ref="N985">IF($L985&gt;0, INDEX(Clean,1+AK985,$D$1), "")</f>
        <v/>
      </c>
      <c r="O985" s="260"/>
      <c r="P985" s="260"/>
      <c r="Q985" s="261"/>
      <c r="R985" s="264">
        <f t="shared" si="936"/>
        <v>0</v>
      </c>
      <c r="S985" s="259" t="str" cm="1">
        <f t="array" ref="S985">IF($L985&gt;0, INDEX(Clean,1+AL985,$D$1), "")</f>
        <v/>
      </c>
      <c r="T985" s="260"/>
      <c r="U985" s="260"/>
      <c r="V985" s="261"/>
      <c r="W985" s="267"/>
      <c r="X985" s="267"/>
      <c r="Y985" s="257"/>
      <c r="Z985" s="264">
        <f t="shared" si="937"/>
        <v>0</v>
      </c>
      <c r="AA985" s="269"/>
      <c r="AB985" s="266"/>
      <c r="AC985" s="254"/>
      <c r="AD985" s="255" t="str">
        <f>IF(ISBLANK(AC985), "", VLOOKUP(AC985, Z!$A$2:$C$4127, 3, FALSE))</f>
        <v/>
      </c>
      <c r="AE985" s="270"/>
      <c r="AF985" s="265">
        <f t="shared" si="938"/>
        <v>0</v>
      </c>
      <c r="AG985" s="246"/>
      <c r="AH985" s="228">
        <f t="shared" si="961"/>
        <v>1</v>
      </c>
      <c r="AI985" s="228">
        <f t="shared" si="962"/>
        <v>1</v>
      </c>
      <c r="AJ985" s="228">
        <f t="shared" si="963"/>
        <v>0</v>
      </c>
      <c r="AK985" s="228">
        <v>0</v>
      </c>
      <c r="AL985" s="228">
        <v>0</v>
      </c>
      <c r="AM985" s="228">
        <f t="shared" si="939"/>
        <v>-100</v>
      </c>
      <c r="AN985" s="228" cm="1">
        <f t="array" ref="AN985">IF(ISBLANK(G985), 1, IFERROR(MATCH(G985, INDEX(Kat,,1), 0), IFERROR(MATCH(Kat, INDEX(Use,,2), 0), MATCH(Kat, INDEX(Use,,3), 0))))</f>
        <v>1</v>
      </c>
      <c r="AO985" s="246"/>
      <c r="AP985" s="228" cm="1">
        <f t="array" ref="AP985">IF(W985&gt;0, INDEX(Kat, AN985,4), 0)</f>
        <v>0</v>
      </c>
      <c r="AQ985" s="228">
        <f t="shared" si="964"/>
        <v>0</v>
      </c>
      <c r="AR985" s="228" cm="1">
        <f t="array" ref="AR985">IF(X985&gt;0, INDEX(Kat, $AN985, 4+AQ985), 0)</f>
        <v>0</v>
      </c>
      <c r="AS985" s="228" cm="1">
        <f t="array" ref="AS985">IF(X985&gt;0, INDEX(Kat, $AN985, 9+AQ985), 0)</f>
        <v>0</v>
      </c>
      <c r="AT985" s="246"/>
      <c r="AU985" s="262"/>
      <c r="AV985" s="262"/>
      <c r="AW985" s="263"/>
      <c r="AX985" s="263"/>
      <c r="AY985" s="263"/>
      <c r="AZ985" s="263"/>
      <c r="BA985" s="263"/>
      <c r="BB985" s="263"/>
      <c r="BC985" s="263"/>
      <c r="BD985" s="263"/>
      <c r="BE985" s="263"/>
      <c r="BF985" s="263"/>
      <c r="BG985" s="263"/>
      <c r="BH985" s="246"/>
      <c r="BI985" s="228" cm="1">
        <f t="array" ref="BI985">INDEX(Use, $AH985, 4)</f>
        <v>7</v>
      </c>
      <c r="BJ985" s="228">
        <f t="shared" si="940"/>
        <v>32</v>
      </c>
      <c r="BK985" s="228">
        <f t="shared" si="966"/>
        <v>13</v>
      </c>
      <c r="BL985" s="228">
        <f t="shared" si="967"/>
        <v>0</v>
      </c>
      <c r="BM985" s="233" cm="1">
        <f t="array" ref="BM985">L985/IF($M985&gt;0, INDEX($AY$22:$BE$76, $M985+20, $AH985), 1)</f>
        <v>0</v>
      </c>
      <c r="BN985" s="229">
        <f t="shared" si="941"/>
        <v>0</v>
      </c>
      <c r="BO985" s="228">
        <v>35</v>
      </c>
      <c r="BP985" s="229">
        <f t="shared" si="942"/>
        <v>48</v>
      </c>
      <c r="BQ985" s="234">
        <f t="shared" si="943"/>
        <v>3.0748170731707316</v>
      </c>
      <c r="BR985" s="234" cm="1">
        <f t="array" ref="BR985">$BM985 * SUMPRODUCT(INDEX($AV$76:$AX$81,,$AI985),INDEX($AY$76:$BE$81,,$AH985), N($AU$76:$AU$81&gt;$AM985)) / BQ985 / 1000</f>
        <v>0</v>
      </c>
      <c r="BS985" s="231">
        <f t="shared" si="968"/>
        <v>30</v>
      </c>
      <c r="BT985" s="229">
        <f t="shared" si="944"/>
        <v>43</v>
      </c>
      <c r="BU985" s="234">
        <f t="shared" si="945"/>
        <v>3.5018750000000001</v>
      </c>
      <c r="BV985" s="234" cm="1">
        <f t="array" ref="BV985">$BM985 * IF($AH985&lt;=2,
SUMPRODUCT(INDEX($AV$71:$AX$75,,$AI985), INDEX($AY$71:$BE$75,,$AH985), 1 / ($BF$71:$BF$75*BU985 + (1-$BF$71:$BF$75)*BQ985), N($AU$71:$AU$75&gt;$AM985)),
SUMPRODUCT(INDEX($AV$66:$AX$75,,$AI985), INDEX($AY$66:$BE$75,,$AH985), 1 / ($BG$66:$BG$75*BU985 + (1-$BG$66:$BG$75)*BQ985), N($AU$66:$AU$75&gt;$AM985))
) / 1000</f>
        <v>0</v>
      </c>
      <c r="BW985" s="231">
        <f t="shared" si="969"/>
        <v>25</v>
      </c>
      <c r="BX985" s="229">
        <f t="shared" si="946"/>
        <v>38</v>
      </c>
      <c r="BY985" s="234">
        <f t="shared" si="947"/>
        <v>4.0666935483870965</v>
      </c>
      <c r="BZ985" s="234" cm="1">
        <f t="array" ref="BZ985">$BM985 * IF($AH985&lt;=2,
SUMPRODUCT(INDEX($AV$66:$AX$70,,$AI985), INDEX($AY$66:$BE$70,,$AH985), 1 / ($BF$66:$BF$70*BY985 + (1-$BF$66:$BF$70)*BU985), N($AU$66:$AU$70&gt;$AM985)),
SUMPRODUCT(INDEX($AV$56:$AX$65,,$AI985), INDEX($AY$56:$BE$65,,$AH985), 1 / ($BG$56:$BG$65*BY985 + (1-$BG$56:$BG$65)*BU985), N($AU$56:$AU$65&gt;$AM985))
) / 1000</f>
        <v>0</v>
      </c>
      <c r="CA985" s="231">
        <f t="shared" si="970"/>
        <v>20</v>
      </c>
      <c r="CB985" s="229">
        <f t="shared" si="948"/>
        <v>33</v>
      </c>
      <c r="CC985" s="234">
        <f t="shared" si="949"/>
        <v>4.8487499999999999</v>
      </c>
      <c r="CD985" s="234" cm="1">
        <f t="array" ref="CD985">$BM985 * IF($AH985&lt;=2,
SUMPRODUCT(INDEX($AV$61:$AX$65,,$AI985), INDEX($AY$61:$BE$65,,$AH985), 1 / ($BF$61:$BF$65*CC985 + (1-$BF$61:$BF$65)*BY985), N($AU$61:$AU$65&gt;$AM985)),
SUMPRODUCT(INDEX($AV$46:$AX$55,,$AI985), INDEX($AY$46:$BE$55,,$AH985), 1 / ($BG$46:$BG$55*CC985 + (1-$BG$46:$BG$55)*BY985), N($AU$46:$AU$55&gt;$AM985))
) / 1000</f>
        <v>0</v>
      </c>
      <c r="CE985" s="234" cm="1">
        <f t="array" ref="CE985">$BM985 * IF($AH985&lt;=2,
SUMPRODUCT(INDEX($AV$22:$AX$60,,$AI985), INDEX($AY$22:$BE$60,,$AH985), 1 / ($BF$22:$BF$60*CC985), N($AU$22:$AU$60&gt;$AM985)),
SUMPRODUCT(INDEX($AV$22:$AX$45,,$AI985), INDEX($AY$22:$BE$45,,$AH985), 1 / ($BG$22:$BG$45*CC985), N($AU$22:$AU$45&gt;$AM985))
) / 1000</f>
        <v>0</v>
      </c>
      <c r="CF985" s="229">
        <f t="shared" si="950"/>
        <v>0</v>
      </c>
      <c r="CG985" s="246"/>
      <c r="CH985" s="229">
        <f t="shared" si="951"/>
        <v>0</v>
      </c>
      <c r="CI985" s="228">
        <v>35</v>
      </c>
      <c r="CJ985" s="229">
        <f t="shared" si="952"/>
        <v>48</v>
      </c>
      <c r="CK985" s="234">
        <f t="shared" si="953"/>
        <v>3.0748170731707316</v>
      </c>
      <c r="CL985" s="234" cm="1">
        <f t="array" ref="CL985">$BM985 * SUMPRODUCT(INDEX($AV$76:$AX$81,,$AI985),INDEX($AY$76:$BE$81,,$AH985), N($AU$76:$AU$81&gt;$AM985)) / CK985 / 1000</f>
        <v>0</v>
      </c>
      <c r="CM985" s="231">
        <f t="shared" si="971"/>
        <v>30</v>
      </c>
      <c r="CN985" s="229">
        <f t="shared" si="954"/>
        <v>43</v>
      </c>
      <c r="CO985" s="234">
        <f t="shared" si="955"/>
        <v>3.5018750000000001</v>
      </c>
      <c r="CP985" s="234" cm="1">
        <f t="array" ref="CP985">$BM985 * IF($AH985&lt;=2,
SUMPRODUCT(INDEX($AV$71:$AX$75,,$AI985), INDEX($AY$71:$BE$75,,$AH985), 1 / ($BF$71:$BF$75*CO985 + (1-$BF$71:$BF$75)*CK985), N($AU$71:$AU$75&gt;$AM985)),
SUMPRODUCT(INDEX($AV$66:$AX$75,,$AI985), INDEX($AY$66:$BE$75,,$AH985), 1 / ($BG$66:$BG$75*CO985 + (1-$BG$66:$BG$75)*CK985), N($AU$66:$AU$75&gt;$AM985))
) / 1000</f>
        <v>0</v>
      </c>
      <c r="CQ985" s="231">
        <f t="shared" si="972"/>
        <v>25</v>
      </c>
      <c r="CR985" s="229">
        <f t="shared" si="956"/>
        <v>38</v>
      </c>
      <c r="CS985" s="234">
        <f t="shared" si="957"/>
        <v>4.0666935483870965</v>
      </c>
      <c r="CT985" s="234" cm="1">
        <f t="array" ref="CT985">$BM985 * IF($AH985&lt;=2,
SUMPRODUCT(INDEX($AV$66:$AX$70,,$AI985), INDEX($AY$66:$BE$70,,$AH985), 1 / ($BF$66:$BF$70*CS985 + (1-$BF$66:$BF$70)*CO985), N($AU$66:$AU$70&gt;$AM985)),
SUMPRODUCT(INDEX($AV$56:$AX$65,,$AI985), INDEX($AY$56:$BE$65,,$AH985), 1 / ($BG$56:$BG$65*CS985 + (1-$BG$56:$BG$65)*CO985), N($AU$56:$AU$65&gt;$AM985))
) / 1000</f>
        <v>0</v>
      </c>
      <c r="CU985" s="231">
        <f t="shared" si="973"/>
        <v>20</v>
      </c>
      <c r="CV985" s="229">
        <f t="shared" si="958"/>
        <v>33</v>
      </c>
      <c r="CW985" s="234">
        <f t="shared" si="959"/>
        <v>4.8487499999999999</v>
      </c>
      <c r="CX985" s="234" cm="1">
        <f t="array" ref="CX985">$BM985 * IF($AH985&lt;=2,
SUMPRODUCT(INDEX($AV$61:$AX$65,,$AI985), INDEX($AY$61:$BE$65,,$AH985), 1 / ($BF$61:$BF$65*CW985 + (1-$BF$61:$BF$65)*CS985), N($AU$61:$AU$65&gt;$AM985)),
SUMPRODUCT(INDEX($AV$46:$AX$55,,$AI985), INDEX($AY$46:$BE$55,,$AH985), 1 / ($BG$46:$BG$55*CW985 + (1-$BG$46:$BG$55)*CS985), N($AU$46:$AU$55&gt;$AM985))
) / 1000</f>
        <v>0</v>
      </c>
      <c r="CY985" s="234" cm="1">
        <f t="array" ref="CY985">$BM985 * IF($AH985&lt;=2,
SUMPRODUCT(INDEX($AV$22:$AX$60,,$AI985), INDEX($AY$22:$BE$60,,$AH985), 1 / ($BF$22:$BF$60*CW985), N($AU$22:$AU$60&gt;$AM985)),
SUMPRODUCT(INDEX($AV$22:$AX$45,,$AI985), INDEX($AY$22:$BE$45,,$AH985), 1 / ($BG$22:$BG$45*CW985), N($AU$22:$AU$45&gt;$AM985))
) / 1000</f>
        <v>0</v>
      </c>
      <c r="CZ985" s="229">
        <f t="shared" si="960"/>
        <v>0</v>
      </c>
      <c r="DA985" s="246"/>
    </row>
    <row r="986" spans="1:105" s="75" customFormat="1" ht="14.25" customHeight="1" x14ac:dyDescent="0.2">
      <c r="A986" s="230" t="b">
        <f t="shared" si="965"/>
        <v>0</v>
      </c>
      <c r="B986" s="253">
        <v>965</v>
      </c>
      <c r="C986" s="266"/>
      <c r="D986" s="266"/>
      <c r="E986" s="254"/>
      <c r="F986" s="255" t="str">
        <f>IF(ISBLANK(E986), "", VLOOKUP(E986, Z!$A$2:$C$4127, 3, FALSE))</f>
        <v/>
      </c>
      <c r="G986" s="256"/>
      <c r="H986" s="256"/>
      <c r="I986" s="256"/>
      <c r="J986" s="257"/>
      <c r="K986" s="258"/>
      <c r="L986" s="267"/>
      <c r="M986" s="268"/>
      <c r="N986" s="259" t="str" cm="1">
        <f t="array" ref="N986">IF($L986&gt;0, INDEX(Clean,1+AK986,$D$1), "")</f>
        <v/>
      </c>
      <c r="O986" s="260"/>
      <c r="P986" s="260"/>
      <c r="Q986" s="261"/>
      <c r="R986" s="264">
        <f t="shared" si="936"/>
        <v>0</v>
      </c>
      <c r="S986" s="259" t="str" cm="1">
        <f t="array" ref="S986">IF($L986&gt;0, INDEX(Clean,1+AL986,$D$1), "")</f>
        <v/>
      </c>
      <c r="T986" s="260"/>
      <c r="U986" s="260"/>
      <c r="V986" s="261"/>
      <c r="W986" s="267"/>
      <c r="X986" s="267"/>
      <c r="Y986" s="257"/>
      <c r="Z986" s="264">
        <f t="shared" si="937"/>
        <v>0</v>
      </c>
      <c r="AA986" s="269"/>
      <c r="AB986" s="266"/>
      <c r="AC986" s="254"/>
      <c r="AD986" s="255" t="str">
        <f>IF(ISBLANK(AC986), "", VLOOKUP(AC986, Z!$A$2:$C$4127, 3, FALSE))</f>
        <v/>
      </c>
      <c r="AE986" s="270"/>
      <c r="AF986" s="265">
        <f t="shared" si="938"/>
        <v>0</v>
      </c>
      <c r="AG986" s="246"/>
      <c r="AH986" s="228">
        <f t="shared" si="961"/>
        <v>1</v>
      </c>
      <c r="AI986" s="228">
        <f t="shared" si="962"/>
        <v>1</v>
      </c>
      <c r="AJ986" s="228">
        <f t="shared" si="963"/>
        <v>0</v>
      </c>
      <c r="AK986" s="228">
        <v>0</v>
      </c>
      <c r="AL986" s="228">
        <v>0</v>
      </c>
      <c r="AM986" s="228">
        <f t="shared" si="939"/>
        <v>-100</v>
      </c>
      <c r="AN986" s="228" cm="1">
        <f t="array" ref="AN986">IF(ISBLANK(G986), 1, IFERROR(MATCH(G986, INDEX(Kat,,1), 0), IFERROR(MATCH(Kat, INDEX(Use,,2), 0), MATCH(Kat, INDEX(Use,,3), 0))))</f>
        <v>1</v>
      </c>
      <c r="AO986" s="246"/>
      <c r="AP986" s="228" cm="1">
        <f t="array" ref="AP986">IF(W986&gt;0, INDEX(Kat, AN986,4), 0)</f>
        <v>0</v>
      </c>
      <c r="AQ986" s="228">
        <f t="shared" si="964"/>
        <v>0</v>
      </c>
      <c r="AR986" s="228" cm="1">
        <f t="array" ref="AR986">IF(X986&gt;0, INDEX(Kat, $AN986, 4+AQ986), 0)</f>
        <v>0</v>
      </c>
      <c r="AS986" s="228" cm="1">
        <f t="array" ref="AS986">IF(X986&gt;0, INDEX(Kat, $AN986, 9+AQ986), 0)</f>
        <v>0</v>
      </c>
      <c r="AT986" s="246"/>
      <c r="AU986" s="262"/>
      <c r="AV986" s="262"/>
      <c r="AW986" s="263"/>
      <c r="AX986" s="263"/>
      <c r="AY986" s="263"/>
      <c r="AZ986" s="263"/>
      <c r="BA986" s="263"/>
      <c r="BB986" s="263"/>
      <c r="BC986" s="263"/>
      <c r="BD986" s="263"/>
      <c r="BE986" s="263"/>
      <c r="BF986" s="263"/>
      <c r="BG986" s="263"/>
      <c r="BH986" s="246"/>
      <c r="BI986" s="228" cm="1">
        <f t="array" ref="BI986">INDEX(Use, $AH986, 4)</f>
        <v>7</v>
      </c>
      <c r="BJ986" s="228">
        <f t="shared" si="940"/>
        <v>32</v>
      </c>
      <c r="BK986" s="228">
        <f t="shared" si="966"/>
        <v>13</v>
      </c>
      <c r="BL986" s="228">
        <f t="shared" si="967"/>
        <v>0</v>
      </c>
      <c r="BM986" s="233" cm="1">
        <f t="array" ref="BM986">L986/IF($M986&gt;0, INDEX($AY$22:$BE$76, $M986+20, $AH986), 1)</f>
        <v>0</v>
      </c>
      <c r="BN986" s="229">
        <f t="shared" si="941"/>
        <v>0</v>
      </c>
      <c r="BO986" s="228">
        <v>35</v>
      </c>
      <c r="BP986" s="229">
        <f t="shared" si="942"/>
        <v>48</v>
      </c>
      <c r="BQ986" s="234">
        <f t="shared" si="943"/>
        <v>3.0748170731707316</v>
      </c>
      <c r="BR986" s="234" cm="1">
        <f t="array" ref="BR986">$BM986 * SUMPRODUCT(INDEX($AV$76:$AX$81,,$AI986),INDEX($AY$76:$BE$81,,$AH986), N($AU$76:$AU$81&gt;$AM986)) / BQ986 / 1000</f>
        <v>0</v>
      </c>
      <c r="BS986" s="231">
        <f t="shared" si="968"/>
        <v>30</v>
      </c>
      <c r="BT986" s="229">
        <f t="shared" si="944"/>
        <v>43</v>
      </c>
      <c r="BU986" s="234">
        <f t="shared" si="945"/>
        <v>3.5018750000000001</v>
      </c>
      <c r="BV986" s="234" cm="1">
        <f t="array" ref="BV986">$BM986 * IF($AH986&lt;=2,
SUMPRODUCT(INDEX($AV$71:$AX$75,,$AI986), INDEX($AY$71:$BE$75,,$AH986), 1 / ($BF$71:$BF$75*BU986 + (1-$BF$71:$BF$75)*BQ986), N($AU$71:$AU$75&gt;$AM986)),
SUMPRODUCT(INDEX($AV$66:$AX$75,,$AI986), INDEX($AY$66:$BE$75,,$AH986), 1 / ($BG$66:$BG$75*BU986 + (1-$BG$66:$BG$75)*BQ986), N($AU$66:$AU$75&gt;$AM986))
) / 1000</f>
        <v>0</v>
      </c>
      <c r="BW986" s="231">
        <f t="shared" si="969"/>
        <v>25</v>
      </c>
      <c r="BX986" s="229">
        <f t="shared" si="946"/>
        <v>38</v>
      </c>
      <c r="BY986" s="234">
        <f t="shared" si="947"/>
        <v>4.0666935483870965</v>
      </c>
      <c r="BZ986" s="234" cm="1">
        <f t="array" ref="BZ986">$BM986 * IF($AH986&lt;=2,
SUMPRODUCT(INDEX($AV$66:$AX$70,,$AI986), INDEX($AY$66:$BE$70,,$AH986), 1 / ($BF$66:$BF$70*BY986 + (1-$BF$66:$BF$70)*BU986), N($AU$66:$AU$70&gt;$AM986)),
SUMPRODUCT(INDEX($AV$56:$AX$65,,$AI986), INDEX($AY$56:$BE$65,,$AH986), 1 / ($BG$56:$BG$65*BY986 + (1-$BG$56:$BG$65)*BU986), N($AU$56:$AU$65&gt;$AM986))
) / 1000</f>
        <v>0</v>
      </c>
      <c r="CA986" s="231">
        <f t="shared" si="970"/>
        <v>20</v>
      </c>
      <c r="CB986" s="229">
        <f t="shared" si="948"/>
        <v>33</v>
      </c>
      <c r="CC986" s="234">
        <f t="shared" si="949"/>
        <v>4.8487499999999999</v>
      </c>
      <c r="CD986" s="234" cm="1">
        <f t="array" ref="CD986">$BM986 * IF($AH986&lt;=2,
SUMPRODUCT(INDEX($AV$61:$AX$65,,$AI986), INDEX($AY$61:$BE$65,,$AH986), 1 / ($BF$61:$BF$65*CC986 + (1-$BF$61:$BF$65)*BY986), N($AU$61:$AU$65&gt;$AM986)),
SUMPRODUCT(INDEX($AV$46:$AX$55,,$AI986), INDEX($AY$46:$BE$55,,$AH986), 1 / ($BG$46:$BG$55*CC986 + (1-$BG$46:$BG$55)*BY986), N($AU$46:$AU$55&gt;$AM986))
) / 1000</f>
        <v>0</v>
      </c>
      <c r="CE986" s="234" cm="1">
        <f t="array" ref="CE986">$BM986 * IF($AH986&lt;=2,
SUMPRODUCT(INDEX($AV$22:$AX$60,,$AI986), INDEX($AY$22:$BE$60,,$AH986), 1 / ($BF$22:$BF$60*CC986), N($AU$22:$AU$60&gt;$AM986)),
SUMPRODUCT(INDEX($AV$22:$AX$45,,$AI986), INDEX($AY$22:$BE$45,,$AH986), 1 / ($BG$22:$BG$45*CC986), N($AU$22:$AU$45&gt;$AM986))
) / 1000</f>
        <v>0</v>
      </c>
      <c r="CF986" s="229">
        <f t="shared" si="950"/>
        <v>0</v>
      </c>
      <c r="CG986" s="246"/>
      <c r="CH986" s="229">
        <f t="shared" si="951"/>
        <v>0</v>
      </c>
      <c r="CI986" s="228">
        <v>35</v>
      </c>
      <c r="CJ986" s="229">
        <f t="shared" si="952"/>
        <v>48</v>
      </c>
      <c r="CK986" s="234">
        <f t="shared" si="953"/>
        <v>3.0748170731707316</v>
      </c>
      <c r="CL986" s="234" cm="1">
        <f t="array" ref="CL986">$BM986 * SUMPRODUCT(INDEX($AV$76:$AX$81,,$AI986),INDEX($AY$76:$BE$81,,$AH986), N($AU$76:$AU$81&gt;$AM986)) / CK986 / 1000</f>
        <v>0</v>
      </c>
      <c r="CM986" s="231">
        <f t="shared" si="971"/>
        <v>30</v>
      </c>
      <c r="CN986" s="229">
        <f t="shared" si="954"/>
        <v>43</v>
      </c>
      <c r="CO986" s="234">
        <f t="shared" si="955"/>
        <v>3.5018750000000001</v>
      </c>
      <c r="CP986" s="234" cm="1">
        <f t="array" ref="CP986">$BM986 * IF($AH986&lt;=2,
SUMPRODUCT(INDEX($AV$71:$AX$75,,$AI986), INDEX($AY$71:$BE$75,,$AH986), 1 / ($BF$71:$BF$75*CO986 + (1-$BF$71:$BF$75)*CK986), N($AU$71:$AU$75&gt;$AM986)),
SUMPRODUCT(INDEX($AV$66:$AX$75,,$AI986), INDEX($AY$66:$BE$75,,$AH986), 1 / ($BG$66:$BG$75*CO986 + (1-$BG$66:$BG$75)*CK986), N($AU$66:$AU$75&gt;$AM986))
) / 1000</f>
        <v>0</v>
      </c>
      <c r="CQ986" s="231">
        <f t="shared" si="972"/>
        <v>25</v>
      </c>
      <c r="CR986" s="229">
        <f t="shared" si="956"/>
        <v>38</v>
      </c>
      <c r="CS986" s="234">
        <f t="shared" si="957"/>
        <v>4.0666935483870965</v>
      </c>
      <c r="CT986" s="234" cm="1">
        <f t="array" ref="CT986">$BM986 * IF($AH986&lt;=2,
SUMPRODUCT(INDEX($AV$66:$AX$70,,$AI986), INDEX($AY$66:$BE$70,,$AH986), 1 / ($BF$66:$BF$70*CS986 + (1-$BF$66:$BF$70)*CO986), N($AU$66:$AU$70&gt;$AM986)),
SUMPRODUCT(INDEX($AV$56:$AX$65,,$AI986), INDEX($AY$56:$BE$65,,$AH986), 1 / ($BG$56:$BG$65*CS986 + (1-$BG$56:$BG$65)*CO986), N($AU$56:$AU$65&gt;$AM986))
) / 1000</f>
        <v>0</v>
      </c>
      <c r="CU986" s="231">
        <f t="shared" si="973"/>
        <v>20</v>
      </c>
      <c r="CV986" s="229">
        <f t="shared" si="958"/>
        <v>33</v>
      </c>
      <c r="CW986" s="234">
        <f t="shared" si="959"/>
        <v>4.8487499999999999</v>
      </c>
      <c r="CX986" s="234" cm="1">
        <f t="array" ref="CX986">$BM986 * IF($AH986&lt;=2,
SUMPRODUCT(INDEX($AV$61:$AX$65,,$AI986), INDEX($AY$61:$BE$65,,$AH986), 1 / ($BF$61:$BF$65*CW986 + (1-$BF$61:$BF$65)*CS986), N($AU$61:$AU$65&gt;$AM986)),
SUMPRODUCT(INDEX($AV$46:$AX$55,,$AI986), INDEX($AY$46:$BE$55,,$AH986), 1 / ($BG$46:$BG$55*CW986 + (1-$BG$46:$BG$55)*CS986), N($AU$46:$AU$55&gt;$AM986))
) / 1000</f>
        <v>0</v>
      </c>
      <c r="CY986" s="234" cm="1">
        <f t="array" ref="CY986">$BM986 * IF($AH986&lt;=2,
SUMPRODUCT(INDEX($AV$22:$AX$60,,$AI986), INDEX($AY$22:$BE$60,,$AH986), 1 / ($BF$22:$BF$60*CW986), N($AU$22:$AU$60&gt;$AM986)),
SUMPRODUCT(INDEX($AV$22:$AX$45,,$AI986), INDEX($AY$22:$BE$45,,$AH986), 1 / ($BG$22:$BG$45*CW986), N($AU$22:$AU$45&gt;$AM986))
) / 1000</f>
        <v>0</v>
      </c>
      <c r="CZ986" s="229">
        <f t="shared" si="960"/>
        <v>0</v>
      </c>
      <c r="DA986" s="246"/>
    </row>
    <row r="987" spans="1:105" s="75" customFormat="1" ht="14.25" customHeight="1" x14ac:dyDescent="0.2">
      <c r="A987" s="230" t="b">
        <f t="shared" si="965"/>
        <v>0</v>
      </c>
      <c r="B987" s="253">
        <v>966</v>
      </c>
      <c r="C987" s="266"/>
      <c r="D987" s="266"/>
      <c r="E987" s="254"/>
      <c r="F987" s="255" t="str">
        <f>IF(ISBLANK(E987), "", VLOOKUP(E987, Z!$A$2:$C$4127, 3, FALSE))</f>
        <v/>
      </c>
      <c r="G987" s="256"/>
      <c r="H987" s="256"/>
      <c r="I987" s="256"/>
      <c r="J987" s="257"/>
      <c r="K987" s="258"/>
      <c r="L987" s="267"/>
      <c r="M987" s="268"/>
      <c r="N987" s="259" t="str" cm="1">
        <f t="array" ref="N987">IF($L987&gt;0, INDEX(Clean,1+AK987,$D$1), "")</f>
        <v/>
      </c>
      <c r="O987" s="260"/>
      <c r="P987" s="260"/>
      <c r="Q987" s="261"/>
      <c r="R987" s="264">
        <f t="shared" si="936"/>
        <v>0</v>
      </c>
      <c r="S987" s="259" t="str" cm="1">
        <f t="array" ref="S987">IF($L987&gt;0, INDEX(Clean,1+AL987,$D$1), "")</f>
        <v/>
      </c>
      <c r="T987" s="260"/>
      <c r="U987" s="260"/>
      <c r="V987" s="261"/>
      <c r="W987" s="267"/>
      <c r="X987" s="267"/>
      <c r="Y987" s="257"/>
      <c r="Z987" s="264">
        <f t="shared" si="937"/>
        <v>0</v>
      </c>
      <c r="AA987" s="269"/>
      <c r="AB987" s="266"/>
      <c r="AC987" s="254"/>
      <c r="AD987" s="255" t="str">
        <f>IF(ISBLANK(AC987), "", VLOOKUP(AC987, Z!$A$2:$C$4127, 3, FALSE))</f>
        <v/>
      </c>
      <c r="AE987" s="270"/>
      <c r="AF987" s="265">
        <f t="shared" si="938"/>
        <v>0</v>
      </c>
      <c r="AG987" s="246"/>
      <c r="AH987" s="228">
        <f t="shared" si="961"/>
        <v>1</v>
      </c>
      <c r="AI987" s="228">
        <f t="shared" si="962"/>
        <v>1</v>
      </c>
      <c r="AJ987" s="228">
        <f t="shared" si="963"/>
        <v>0</v>
      </c>
      <c r="AK987" s="228">
        <v>0</v>
      </c>
      <c r="AL987" s="228">
        <v>0</v>
      </c>
      <c r="AM987" s="228">
        <f t="shared" si="939"/>
        <v>-100</v>
      </c>
      <c r="AN987" s="228" cm="1">
        <f t="array" ref="AN987">IF(ISBLANK(G987), 1, IFERROR(MATCH(G987, INDEX(Kat,,1), 0), IFERROR(MATCH(Kat, INDEX(Use,,2), 0), MATCH(Kat, INDEX(Use,,3), 0))))</f>
        <v>1</v>
      </c>
      <c r="AO987" s="246"/>
      <c r="AP987" s="228" cm="1">
        <f t="array" ref="AP987">IF(W987&gt;0, INDEX(Kat, AN987,4), 0)</f>
        <v>0</v>
      </c>
      <c r="AQ987" s="228">
        <f t="shared" si="964"/>
        <v>0</v>
      </c>
      <c r="AR987" s="228" cm="1">
        <f t="array" ref="AR987">IF(X987&gt;0, INDEX(Kat, $AN987, 4+AQ987), 0)</f>
        <v>0</v>
      </c>
      <c r="AS987" s="228" cm="1">
        <f t="array" ref="AS987">IF(X987&gt;0, INDEX(Kat, $AN987, 9+AQ987), 0)</f>
        <v>0</v>
      </c>
      <c r="AT987" s="246"/>
      <c r="AU987" s="262"/>
      <c r="AV987" s="262"/>
      <c r="AW987" s="263"/>
      <c r="AX987" s="263"/>
      <c r="AY987" s="263"/>
      <c r="AZ987" s="263"/>
      <c r="BA987" s="263"/>
      <c r="BB987" s="263"/>
      <c r="BC987" s="263"/>
      <c r="BD987" s="263"/>
      <c r="BE987" s="263"/>
      <c r="BF987" s="263"/>
      <c r="BG987" s="263"/>
      <c r="BH987" s="246"/>
      <c r="BI987" s="228" cm="1">
        <f t="array" ref="BI987">INDEX(Use, $AH987, 4)</f>
        <v>7</v>
      </c>
      <c r="BJ987" s="228">
        <f t="shared" si="940"/>
        <v>32</v>
      </c>
      <c r="BK987" s="228">
        <f t="shared" si="966"/>
        <v>13</v>
      </c>
      <c r="BL987" s="228">
        <f t="shared" si="967"/>
        <v>0</v>
      </c>
      <c r="BM987" s="233" cm="1">
        <f t="array" ref="BM987">L987/IF($M987&gt;0, INDEX($AY$22:$BE$76, $M987+20, $AH987), 1)</f>
        <v>0</v>
      </c>
      <c r="BN987" s="229">
        <f t="shared" si="941"/>
        <v>0</v>
      </c>
      <c r="BO987" s="228">
        <v>35</v>
      </c>
      <c r="BP987" s="229">
        <f t="shared" si="942"/>
        <v>48</v>
      </c>
      <c r="BQ987" s="234">
        <f t="shared" si="943"/>
        <v>3.0748170731707316</v>
      </c>
      <c r="BR987" s="234" cm="1">
        <f t="array" ref="BR987">$BM987 * SUMPRODUCT(INDEX($AV$76:$AX$81,,$AI987),INDEX($AY$76:$BE$81,,$AH987), N($AU$76:$AU$81&gt;$AM987)) / BQ987 / 1000</f>
        <v>0</v>
      </c>
      <c r="BS987" s="231">
        <f t="shared" si="968"/>
        <v>30</v>
      </c>
      <c r="BT987" s="229">
        <f t="shared" si="944"/>
        <v>43</v>
      </c>
      <c r="BU987" s="234">
        <f t="shared" si="945"/>
        <v>3.5018750000000001</v>
      </c>
      <c r="BV987" s="234" cm="1">
        <f t="array" ref="BV987">$BM987 * IF($AH987&lt;=2,
SUMPRODUCT(INDEX($AV$71:$AX$75,,$AI987), INDEX($AY$71:$BE$75,,$AH987), 1 / ($BF$71:$BF$75*BU987 + (1-$BF$71:$BF$75)*BQ987), N($AU$71:$AU$75&gt;$AM987)),
SUMPRODUCT(INDEX($AV$66:$AX$75,,$AI987), INDEX($AY$66:$BE$75,,$AH987), 1 / ($BG$66:$BG$75*BU987 + (1-$BG$66:$BG$75)*BQ987), N($AU$66:$AU$75&gt;$AM987))
) / 1000</f>
        <v>0</v>
      </c>
      <c r="BW987" s="231">
        <f t="shared" si="969"/>
        <v>25</v>
      </c>
      <c r="BX987" s="229">
        <f t="shared" si="946"/>
        <v>38</v>
      </c>
      <c r="BY987" s="234">
        <f t="shared" si="947"/>
        <v>4.0666935483870965</v>
      </c>
      <c r="BZ987" s="234" cm="1">
        <f t="array" ref="BZ987">$BM987 * IF($AH987&lt;=2,
SUMPRODUCT(INDEX($AV$66:$AX$70,,$AI987), INDEX($AY$66:$BE$70,,$AH987), 1 / ($BF$66:$BF$70*BY987 + (1-$BF$66:$BF$70)*BU987), N($AU$66:$AU$70&gt;$AM987)),
SUMPRODUCT(INDEX($AV$56:$AX$65,,$AI987), INDEX($AY$56:$BE$65,,$AH987), 1 / ($BG$56:$BG$65*BY987 + (1-$BG$56:$BG$65)*BU987), N($AU$56:$AU$65&gt;$AM987))
) / 1000</f>
        <v>0</v>
      </c>
      <c r="CA987" s="231">
        <f t="shared" si="970"/>
        <v>20</v>
      </c>
      <c r="CB987" s="229">
        <f t="shared" si="948"/>
        <v>33</v>
      </c>
      <c r="CC987" s="234">
        <f t="shared" si="949"/>
        <v>4.8487499999999999</v>
      </c>
      <c r="CD987" s="234" cm="1">
        <f t="array" ref="CD987">$BM987 * IF($AH987&lt;=2,
SUMPRODUCT(INDEX($AV$61:$AX$65,,$AI987), INDEX($AY$61:$BE$65,,$AH987), 1 / ($BF$61:$BF$65*CC987 + (1-$BF$61:$BF$65)*BY987), N($AU$61:$AU$65&gt;$AM987)),
SUMPRODUCT(INDEX($AV$46:$AX$55,,$AI987), INDEX($AY$46:$BE$55,,$AH987), 1 / ($BG$46:$BG$55*CC987 + (1-$BG$46:$BG$55)*BY987), N($AU$46:$AU$55&gt;$AM987))
) / 1000</f>
        <v>0</v>
      </c>
      <c r="CE987" s="234" cm="1">
        <f t="array" ref="CE987">$BM987 * IF($AH987&lt;=2,
SUMPRODUCT(INDEX($AV$22:$AX$60,,$AI987), INDEX($AY$22:$BE$60,,$AH987), 1 / ($BF$22:$BF$60*CC987), N($AU$22:$AU$60&gt;$AM987)),
SUMPRODUCT(INDEX($AV$22:$AX$45,,$AI987), INDEX($AY$22:$BE$45,,$AH987), 1 / ($BG$22:$BG$45*CC987), N($AU$22:$AU$45&gt;$AM987))
) / 1000</f>
        <v>0</v>
      </c>
      <c r="CF987" s="229">
        <f t="shared" si="950"/>
        <v>0</v>
      </c>
      <c r="CG987" s="246"/>
      <c r="CH987" s="229">
        <f t="shared" si="951"/>
        <v>0</v>
      </c>
      <c r="CI987" s="228">
        <v>35</v>
      </c>
      <c r="CJ987" s="229">
        <f t="shared" si="952"/>
        <v>48</v>
      </c>
      <c r="CK987" s="234">
        <f t="shared" si="953"/>
        <v>3.0748170731707316</v>
      </c>
      <c r="CL987" s="234" cm="1">
        <f t="array" ref="CL987">$BM987 * SUMPRODUCT(INDEX($AV$76:$AX$81,,$AI987),INDEX($AY$76:$BE$81,,$AH987), N($AU$76:$AU$81&gt;$AM987)) / CK987 / 1000</f>
        <v>0</v>
      </c>
      <c r="CM987" s="231">
        <f t="shared" si="971"/>
        <v>30</v>
      </c>
      <c r="CN987" s="229">
        <f t="shared" si="954"/>
        <v>43</v>
      </c>
      <c r="CO987" s="234">
        <f t="shared" si="955"/>
        <v>3.5018750000000001</v>
      </c>
      <c r="CP987" s="234" cm="1">
        <f t="array" ref="CP987">$BM987 * IF($AH987&lt;=2,
SUMPRODUCT(INDEX($AV$71:$AX$75,,$AI987), INDEX($AY$71:$BE$75,,$AH987), 1 / ($BF$71:$BF$75*CO987 + (1-$BF$71:$BF$75)*CK987), N($AU$71:$AU$75&gt;$AM987)),
SUMPRODUCT(INDEX($AV$66:$AX$75,,$AI987), INDEX($AY$66:$BE$75,,$AH987), 1 / ($BG$66:$BG$75*CO987 + (1-$BG$66:$BG$75)*CK987), N($AU$66:$AU$75&gt;$AM987))
) / 1000</f>
        <v>0</v>
      </c>
      <c r="CQ987" s="231">
        <f t="shared" si="972"/>
        <v>25</v>
      </c>
      <c r="CR987" s="229">
        <f t="shared" si="956"/>
        <v>38</v>
      </c>
      <c r="CS987" s="234">
        <f t="shared" si="957"/>
        <v>4.0666935483870965</v>
      </c>
      <c r="CT987" s="234" cm="1">
        <f t="array" ref="CT987">$BM987 * IF($AH987&lt;=2,
SUMPRODUCT(INDEX($AV$66:$AX$70,,$AI987), INDEX($AY$66:$BE$70,,$AH987), 1 / ($BF$66:$BF$70*CS987 + (1-$BF$66:$BF$70)*CO987), N($AU$66:$AU$70&gt;$AM987)),
SUMPRODUCT(INDEX($AV$56:$AX$65,,$AI987), INDEX($AY$56:$BE$65,,$AH987), 1 / ($BG$56:$BG$65*CS987 + (1-$BG$56:$BG$65)*CO987), N($AU$56:$AU$65&gt;$AM987))
) / 1000</f>
        <v>0</v>
      </c>
      <c r="CU987" s="231">
        <f t="shared" si="973"/>
        <v>20</v>
      </c>
      <c r="CV987" s="229">
        <f t="shared" si="958"/>
        <v>33</v>
      </c>
      <c r="CW987" s="234">
        <f t="shared" si="959"/>
        <v>4.8487499999999999</v>
      </c>
      <c r="CX987" s="234" cm="1">
        <f t="array" ref="CX987">$BM987 * IF($AH987&lt;=2,
SUMPRODUCT(INDEX($AV$61:$AX$65,,$AI987), INDEX($AY$61:$BE$65,,$AH987), 1 / ($BF$61:$BF$65*CW987 + (1-$BF$61:$BF$65)*CS987), N($AU$61:$AU$65&gt;$AM987)),
SUMPRODUCT(INDEX($AV$46:$AX$55,,$AI987), INDEX($AY$46:$BE$55,,$AH987), 1 / ($BG$46:$BG$55*CW987 + (1-$BG$46:$BG$55)*CS987), N($AU$46:$AU$55&gt;$AM987))
) / 1000</f>
        <v>0</v>
      </c>
      <c r="CY987" s="234" cm="1">
        <f t="array" ref="CY987">$BM987 * IF($AH987&lt;=2,
SUMPRODUCT(INDEX($AV$22:$AX$60,,$AI987), INDEX($AY$22:$BE$60,,$AH987), 1 / ($BF$22:$BF$60*CW987), N($AU$22:$AU$60&gt;$AM987)),
SUMPRODUCT(INDEX($AV$22:$AX$45,,$AI987), INDEX($AY$22:$BE$45,,$AH987), 1 / ($BG$22:$BG$45*CW987), N($AU$22:$AU$45&gt;$AM987))
) / 1000</f>
        <v>0</v>
      </c>
      <c r="CZ987" s="229">
        <f t="shared" si="960"/>
        <v>0</v>
      </c>
      <c r="DA987" s="246"/>
    </row>
    <row r="988" spans="1:105" s="75" customFormat="1" ht="14.25" customHeight="1" x14ac:dyDescent="0.2">
      <c r="A988" s="230" t="b">
        <f t="shared" si="965"/>
        <v>0</v>
      </c>
      <c r="B988" s="253">
        <v>967</v>
      </c>
      <c r="C988" s="266"/>
      <c r="D988" s="266"/>
      <c r="E988" s="254"/>
      <c r="F988" s="255" t="str">
        <f>IF(ISBLANK(E988), "", VLOOKUP(E988, Z!$A$2:$C$4127, 3, FALSE))</f>
        <v/>
      </c>
      <c r="G988" s="256"/>
      <c r="H988" s="256"/>
      <c r="I988" s="256"/>
      <c r="J988" s="257"/>
      <c r="K988" s="258"/>
      <c r="L988" s="267"/>
      <c r="M988" s="268"/>
      <c r="N988" s="259" t="str" cm="1">
        <f t="array" ref="N988">IF($L988&gt;0, INDEX(Clean,1+AK988,$D$1), "")</f>
        <v/>
      </c>
      <c r="O988" s="260"/>
      <c r="P988" s="260"/>
      <c r="Q988" s="261"/>
      <c r="R988" s="264">
        <f t="shared" si="936"/>
        <v>0</v>
      </c>
      <c r="S988" s="259" t="str" cm="1">
        <f t="array" ref="S988">IF($L988&gt;0, INDEX(Clean,1+AL988,$D$1), "")</f>
        <v/>
      </c>
      <c r="T988" s="260"/>
      <c r="U988" s="260"/>
      <c r="V988" s="261"/>
      <c r="W988" s="267"/>
      <c r="X988" s="267"/>
      <c r="Y988" s="257"/>
      <c r="Z988" s="264">
        <f t="shared" si="937"/>
        <v>0</v>
      </c>
      <c r="AA988" s="269"/>
      <c r="AB988" s="266"/>
      <c r="AC988" s="254"/>
      <c r="AD988" s="255" t="str">
        <f>IF(ISBLANK(AC988), "", VLOOKUP(AC988, Z!$A$2:$C$4127, 3, FALSE))</f>
        <v/>
      </c>
      <c r="AE988" s="270"/>
      <c r="AF988" s="265">
        <f t="shared" si="938"/>
        <v>0</v>
      </c>
      <c r="AG988" s="246"/>
      <c r="AH988" s="228">
        <f t="shared" si="961"/>
        <v>1</v>
      </c>
      <c r="AI988" s="228">
        <f t="shared" si="962"/>
        <v>1</v>
      </c>
      <c r="AJ988" s="228">
        <f t="shared" si="963"/>
        <v>0</v>
      </c>
      <c r="AK988" s="228">
        <v>0</v>
      </c>
      <c r="AL988" s="228">
        <v>0</v>
      </c>
      <c r="AM988" s="228">
        <f t="shared" si="939"/>
        <v>-100</v>
      </c>
      <c r="AN988" s="228" cm="1">
        <f t="array" ref="AN988">IF(ISBLANK(G988), 1, IFERROR(MATCH(G988, INDEX(Kat,,1), 0), IFERROR(MATCH(Kat, INDEX(Use,,2), 0), MATCH(Kat, INDEX(Use,,3), 0))))</f>
        <v>1</v>
      </c>
      <c r="AO988" s="246"/>
      <c r="AP988" s="228" cm="1">
        <f t="array" ref="AP988">IF(W988&gt;0, INDEX(Kat, AN988,4), 0)</f>
        <v>0</v>
      </c>
      <c r="AQ988" s="228">
        <f t="shared" si="964"/>
        <v>0</v>
      </c>
      <c r="AR988" s="228" cm="1">
        <f t="array" ref="AR988">IF(X988&gt;0, INDEX(Kat, $AN988, 4+AQ988), 0)</f>
        <v>0</v>
      </c>
      <c r="AS988" s="228" cm="1">
        <f t="array" ref="AS988">IF(X988&gt;0, INDEX(Kat, $AN988, 9+AQ988), 0)</f>
        <v>0</v>
      </c>
      <c r="AT988" s="246"/>
      <c r="AU988" s="262"/>
      <c r="AV988" s="262"/>
      <c r="AW988" s="263"/>
      <c r="AX988" s="263"/>
      <c r="AY988" s="263"/>
      <c r="AZ988" s="263"/>
      <c r="BA988" s="263"/>
      <c r="BB988" s="263"/>
      <c r="BC988" s="263"/>
      <c r="BD988" s="263"/>
      <c r="BE988" s="263"/>
      <c r="BF988" s="263"/>
      <c r="BG988" s="263"/>
      <c r="BH988" s="246"/>
      <c r="BI988" s="228" cm="1">
        <f t="array" ref="BI988">INDEX(Use, $AH988, 4)</f>
        <v>7</v>
      </c>
      <c r="BJ988" s="228">
        <f t="shared" si="940"/>
        <v>32</v>
      </c>
      <c r="BK988" s="228">
        <f t="shared" si="966"/>
        <v>13</v>
      </c>
      <c r="BL988" s="228">
        <f t="shared" si="967"/>
        <v>0</v>
      </c>
      <c r="BM988" s="233" cm="1">
        <f t="array" ref="BM988">L988/IF($M988&gt;0, INDEX($AY$22:$BE$76, $M988+20, $AH988), 1)</f>
        <v>0</v>
      </c>
      <c r="BN988" s="229">
        <f t="shared" si="941"/>
        <v>0</v>
      </c>
      <c r="BO988" s="228">
        <v>35</v>
      </c>
      <c r="BP988" s="229">
        <f t="shared" si="942"/>
        <v>48</v>
      </c>
      <c r="BQ988" s="234">
        <f t="shared" si="943"/>
        <v>3.0748170731707316</v>
      </c>
      <c r="BR988" s="234" cm="1">
        <f t="array" ref="BR988">$BM988 * SUMPRODUCT(INDEX($AV$76:$AX$81,,$AI988),INDEX($AY$76:$BE$81,,$AH988), N($AU$76:$AU$81&gt;$AM988)) / BQ988 / 1000</f>
        <v>0</v>
      </c>
      <c r="BS988" s="231">
        <f t="shared" si="968"/>
        <v>30</v>
      </c>
      <c r="BT988" s="229">
        <f t="shared" si="944"/>
        <v>43</v>
      </c>
      <c r="BU988" s="234">
        <f t="shared" si="945"/>
        <v>3.5018750000000001</v>
      </c>
      <c r="BV988" s="234" cm="1">
        <f t="array" ref="BV988">$BM988 * IF($AH988&lt;=2,
SUMPRODUCT(INDEX($AV$71:$AX$75,,$AI988), INDEX($AY$71:$BE$75,,$AH988), 1 / ($BF$71:$BF$75*BU988 + (1-$BF$71:$BF$75)*BQ988), N($AU$71:$AU$75&gt;$AM988)),
SUMPRODUCT(INDEX($AV$66:$AX$75,,$AI988), INDEX($AY$66:$BE$75,,$AH988), 1 / ($BG$66:$BG$75*BU988 + (1-$BG$66:$BG$75)*BQ988), N($AU$66:$AU$75&gt;$AM988))
) / 1000</f>
        <v>0</v>
      </c>
      <c r="BW988" s="231">
        <f t="shared" si="969"/>
        <v>25</v>
      </c>
      <c r="BX988" s="229">
        <f t="shared" si="946"/>
        <v>38</v>
      </c>
      <c r="BY988" s="234">
        <f t="shared" si="947"/>
        <v>4.0666935483870965</v>
      </c>
      <c r="BZ988" s="234" cm="1">
        <f t="array" ref="BZ988">$BM988 * IF($AH988&lt;=2,
SUMPRODUCT(INDEX($AV$66:$AX$70,,$AI988), INDEX($AY$66:$BE$70,,$AH988), 1 / ($BF$66:$BF$70*BY988 + (1-$BF$66:$BF$70)*BU988), N($AU$66:$AU$70&gt;$AM988)),
SUMPRODUCT(INDEX($AV$56:$AX$65,,$AI988), INDEX($AY$56:$BE$65,,$AH988), 1 / ($BG$56:$BG$65*BY988 + (1-$BG$56:$BG$65)*BU988), N($AU$56:$AU$65&gt;$AM988))
) / 1000</f>
        <v>0</v>
      </c>
      <c r="CA988" s="231">
        <f t="shared" si="970"/>
        <v>20</v>
      </c>
      <c r="CB988" s="229">
        <f t="shared" si="948"/>
        <v>33</v>
      </c>
      <c r="CC988" s="234">
        <f t="shared" si="949"/>
        <v>4.8487499999999999</v>
      </c>
      <c r="CD988" s="234" cm="1">
        <f t="array" ref="CD988">$BM988 * IF($AH988&lt;=2,
SUMPRODUCT(INDEX($AV$61:$AX$65,,$AI988), INDEX($AY$61:$BE$65,,$AH988), 1 / ($BF$61:$BF$65*CC988 + (1-$BF$61:$BF$65)*BY988), N($AU$61:$AU$65&gt;$AM988)),
SUMPRODUCT(INDEX($AV$46:$AX$55,,$AI988), INDEX($AY$46:$BE$55,,$AH988), 1 / ($BG$46:$BG$55*CC988 + (1-$BG$46:$BG$55)*BY988), N($AU$46:$AU$55&gt;$AM988))
) / 1000</f>
        <v>0</v>
      </c>
      <c r="CE988" s="234" cm="1">
        <f t="array" ref="CE988">$BM988 * IF($AH988&lt;=2,
SUMPRODUCT(INDEX($AV$22:$AX$60,,$AI988), INDEX($AY$22:$BE$60,,$AH988), 1 / ($BF$22:$BF$60*CC988), N($AU$22:$AU$60&gt;$AM988)),
SUMPRODUCT(INDEX($AV$22:$AX$45,,$AI988), INDEX($AY$22:$BE$45,,$AH988), 1 / ($BG$22:$BG$45*CC988), N($AU$22:$AU$45&gt;$AM988))
) / 1000</f>
        <v>0</v>
      </c>
      <c r="CF988" s="229">
        <f t="shared" si="950"/>
        <v>0</v>
      </c>
      <c r="CG988" s="246"/>
      <c r="CH988" s="229">
        <f t="shared" si="951"/>
        <v>0</v>
      </c>
      <c r="CI988" s="228">
        <v>35</v>
      </c>
      <c r="CJ988" s="229">
        <f t="shared" si="952"/>
        <v>48</v>
      </c>
      <c r="CK988" s="234">
        <f t="shared" si="953"/>
        <v>3.0748170731707316</v>
      </c>
      <c r="CL988" s="234" cm="1">
        <f t="array" ref="CL988">$BM988 * SUMPRODUCT(INDEX($AV$76:$AX$81,,$AI988),INDEX($AY$76:$BE$81,,$AH988), N($AU$76:$AU$81&gt;$AM988)) / CK988 / 1000</f>
        <v>0</v>
      </c>
      <c r="CM988" s="231">
        <f t="shared" si="971"/>
        <v>30</v>
      </c>
      <c r="CN988" s="229">
        <f t="shared" si="954"/>
        <v>43</v>
      </c>
      <c r="CO988" s="234">
        <f t="shared" si="955"/>
        <v>3.5018750000000001</v>
      </c>
      <c r="CP988" s="234" cm="1">
        <f t="array" ref="CP988">$BM988 * IF($AH988&lt;=2,
SUMPRODUCT(INDEX($AV$71:$AX$75,,$AI988), INDEX($AY$71:$BE$75,,$AH988), 1 / ($BF$71:$BF$75*CO988 + (1-$BF$71:$BF$75)*CK988), N($AU$71:$AU$75&gt;$AM988)),
SUMPRODUCT(INDEX($AV$66:$AX$75,,$AI988), INDEX($AY$66:$BE$75,,$AH988), 1 / ($BG$66:$BG$75*CO988 + (1-$BG$66:$BG$75)*CK988), N($AU$66:$AU$75&gt;$AM988))
) / 1000</f>
        <v>0</v>
      </c>
      <c r="CQ988" s="231">
        <f t="shared" si="972"/>
        <v>25</v>
      </c>
      <c r="CR988" s="229">
        <f t="shared" si="956"/>
        <v>38</v>
      </c>
      <c r="CS988" s="234">
        <f t="shared" si="957"/>
        <v>4.0666935483870965</v>
      </c>
      <c r="CT988" s="234" cm="1">
        <f t="array" ref="CT988">$BM988 * IF($AH988&lt;=2,
SUMPRODUCT(INDEX($AV$66:$AX$70,,$AI988), INDEX($AY$66:$BE$70,,$AH988), 1 / ($BF$66:$BF$70*CS988 + (1-$BF$66:$BF$70)*CO988), N($AU$66:$AU$70&gt;$AM988)),
SUMPRODUCT(INDEX($AV$56:$AX$65,,$AI988), INDEX($AY$56:$BE$65,,$AH988), 1 / ($BG$56:$BG$65*CS988 + (1-$BG$56:$BG$65)*CO988), N($AU$56:$AU$65&gt;$AM988))
) / 1000</f>
        <v>0</v>
      </c>
      <c r="CU988" s="231">
        <f t="shared" si="973"/>
        <v>20</v>
      </c>
      <c r="CV988" s="229">
        <f t="shared" si="958"/>
        <v>33</v>
      </c>
      <c r="CW988" s="234">
        <f t="shared" si="959"/>
        <v>4.8487499999999999</v>
      </c>
      <c r="CX988" s="234" cm="1">
        <f t="array" ref="CX988">$BM988 * IF($AH988&lt;=2,
SUMPRODUCT(INDEX($AV$61:$AX$65,,$AI988), INDEX($AY$61:$BE$65,,$AH988), 1 / ($BF$61:$BF$65*CW988 + (1-$BF$61:$BF$65)*CS988), N($AU$61:$AU$65&gt;$AM988)),
SUMPRODUCT(INDEX($AV$46:$AX$55,,$AI988), INDEX($AY$46:$BE$55,,$AH988), 1 / ($BG$46:$BG$55*CW988 + (1-$BG$46:$BG$55)*CS988), N($AU$46:$AU$55&gt;$AM988))
) / 1000</f>
        <v>0</v>
      </c>
      <c r="CY988" s="234" cm="1">
        <f t="array" ref="CY988">$BM988 * IF($AH988&lt;=2,
SUMPRODUCT(INDEX($AV$22:$AX$60,,$AI988), INDEX($AY$22:$BE$60,,$AH988), 1 / ($BF$22:$BF$60*CW988), N($AU$22:$AU$60&gt;$AM988)),
SUMPRODUCT(INDEX($AV$22:$AX$45,,$AI988), INDEX($AY$22:$BE$45,,$AH988), 1 / ($BG$22:$BG$45*CW988), N($AU$22:$AU$45&gt;$AM988))
) / 1000</f>
        <v>0</v>
      </c>
      <c r="CZ988" s="229">
        <f t="shared" si="960"/>
        <v>0</v>
      </c>
      <c r="DA988" s="246"/>
    </row>
    <row r="989" spans="1:105" s="75" customFormat="1" ht="14.25" customHeight="1" x14ac:dyDescent="0.2">
      <c r="A989" s="230" t="b">
        <f t="shared" si="965"/>
        <v>0</v>
      </c>
      <c r="B989" s="253">
        <v>968</v>
      </c>
      <c r="C989" s="266"/>
      <c r="D989" s="266"/>
      <c r="E989" s="254"/>
      <c r="F989" s="255" t="str">
        <f>IF(ISBLANK(E989), "", VLOOKUP(E989, Z!$A$2:$C$4127, 3, FALSE))</f>
        <v/>
      </c>
      <c r="G989" s="256"/>
      <c r="H989" s="256"/>
      <c r="I989" s="256"/>
      <c r="J989" s="257"/>
      <c r="K989" s="258"/>
      <c r="L989" s="267"/>
      <c r="M989" s="268"/>
      <c r="N989" s="259" t="str" cm="1">
        <f t="array" ref="N989">IF($L989&gt;0, INDEX(Clean,1+AK989,$D$1), "")</f>
        <v/>
      </c>
      <c r="O989" s="260"/>
      <c r="P989" s="260"/>
      <c r="Q989" s="261"/>
      <c r="R989" s="264">
        <f t="shared" si="936"/>
        <v>0</v>
      </c>
      <c r="S989" s="259" t="str" cm="1">
        <f t="array" ref="S989">IF($L989&gt;0, INDEX(Clean,1+AL989,$D$1), "")</f>
        <v/>
      </c>
      <c r="T989" s="260"/>
      <c r="U989" s="260"/>
      <c r="V989" s="261"/>
      <c r="W989" s="267"/>
      <c r="X989" s="267"/>
      <c r="Y989" s="257"/>
      <c r="Z989" s="264">
        <f t="shared" si="937"/>
        <v>0</v>
      </c>
      <c r="AA989" s="269"/>
      <c r="AB989" s="266"/>
      <c r="AC989" s="254"/>
      <c r="AD989" s="255" t="str">
        <f>IF(ISBLANK(AC989), "", VLOOKUP(AC989, Z!$A$2:$C$4127, 3, FALSE))</f>
        <v/>
      </c>
      <c r="AE989" s="270"/>
      <c r="AF989" s="265">
        <f t="shared" si="938"/>
        <v>0</v>
      </c>
      <c r="AG989" s="246"/>
      <c r="AH989" s="228">
        <f t="shared" si="961"/>
        <v>1</v>
      </c>
      <c r="AI989" s="228">
        <f t="shared" si="962"/>
        <v>1</v>
      </c>
      <c r="AJ989" s="228">
        <f t="shared" si="963"/>
        <v>0</v>
      </c>
      <c r="AK989" s="228">
        <v>0</v>
      </c>
      <c r="AL989" s="228">
        <v>0</v>
      </c>
      <c r="AM989" s="228">
        <f t="shared" si="939"/>
        <v>-100</v>
      </c>
      <c r="AN989" s="228" cm="1">
        <f t="array" ref="AN989">IF(ISBLANK(G989), 1, IFERROR(MATCH(G989, INDEX(Kat,,1), 0), IFERROR(MATCH(Kat, INDEX(Use,,2), 0), MATCH(Kat, INDEX(Use,,3), 0))))</f>
        <v>1</v>
      </c>
      <c r="AO989" s="246"/>
      <c r="AP989" s="228" cm="1">
        <f t="array" ref="AP989">IF(W989&gt;0, INDEX(Kat, AN989,4), 0)</f>
        <v>0</v>
      </c>
      <c r="AQ989" s="228">
        <f t="shared" si="964"/>
        <v>0</v>
      </c>
      <c r="AR989" s="228" cm="1">
        <f t="array" ref="AR989">IF(X989&gt;0, INDEX(Kat, $AN989, 4+AQ989), 0)</f>
        <v>0</v>
      </c>
      <c r="AS989" s="228" cm="1">
        <f t="array" ref="AS989">IF(X989&gt;0, INDEX(Kat, $AN989, 9+AQ989), 0)</f>
        <v>0</v>
      </c>
      <c r="AT989" s="246"/>
      <c r="AU989" s="262"/>
      <c r="AV989" s="262"/>
      <c r="AW989" s="263"/>
      <c r="AX989" s="263"/>
      <c r="AY989" s="263"/>
      <c r="AZ989" s="263"/>
      <c r="BA989" s="263"/>
      <c r="BB989" s="263"/>
      <c r="BC989" s="263"/>
      <c r="BD989" s="263"/>
      <c r="BE989" s="263"/>
      <c r="BF989" s="263"/>
      <c r="BG989" s="263"/>
      <c r="BH989" s="246"/>
      <c r="BI989" s="228" cm="1">
        <f t="array" ref="BI989">INDEX(Use, $AH989, 4)</f>
        <v>7</v>
      </c>
      <c r="BJ989" s="228">
        <f t="shared" si="940"/>
        <v>32</v>
      </c>
      <c r="BK989" s="228">
        <f t="shared" si="966"/>
        <v>13</v>
      </c>
      <c r="BL989" s="228">
        <f t="shared" si="967"/>
        <v>0</v>
      </c>
      <c r="BM989" s="233" cm="1">
        <f t="array" ref="BM989">L989/IF($M989&gt;0, INDEX($AY$22:$BE$76, $M989+20, $AH989), 1)</f>
        <v>0</v>
      </c>
      <c r="BN989" s="229">
        <f t="shared" si="941"/>
        <v>0</v>
      </c>
      <c r="BO989" s="228">
        <v>35</v>
      </c>
      <c r="BP989" s="229">
        <f t="shared" si="942"/>
        <v>48</v>
      </c>
      <c r="BQ989" s="234">
        <f t="shared" si="943"/>
        <v>3.0748170731707316</v>
      </c>
      <c r="BR989" s="234" cm="1">
        <f t="array" ref="BR989">$BM989 * SUMPRODUCT(INDEX($AV$76:$AX$81,,$AI989),INDEX($AY$76:$BE$81,,$AH989), N($AU$76:$AU$81&gt;$AM989)) / BQ989 / 1000</f>
        <v>0</v>
      </c>
      <c r="BS989" s="231">
        <f t="shared" si="968"/>
        <v>30</v>
      </c>
      <c r="BT989" s="229">
        <f t="shared" si="944"/>
        <v>43</v>
      </c>
      <c r="BU989" s="234">
        <f t="shared" si="945"/>
        <v>3.5018750000000001</v>
      </c>
      <c r="BV989" s="234" cm="1">
        <f t="array" ref="BV989">$BM989 * IF($AH989&lt;=2,
SUMPRODUCT(INDEX($AV$71:$AX$75,,$AI989), INDEX($AY$71:$BE$75,,$AH989), 1 / ($BF$71:$BF$75*BU989 + (1-$BF$71:$BF$75)*BQ989), N($AU$71:$AU$75&gt;$AM989)),
SUMPRODUCT(INDEX($AV$66:$AX$75,,$AI989), INDEX($AY$66:$BE$75,,$AH989), 1 / ($BG$66:$BG$75*BU989 + (1-$BG$66:$BG$75)*BQ989), N($AU$66:$AU$75&gt;$AM989))
) / 1000</f>
        <v>0</v>
      </c>
      <c r="BW989" s="231">
        <f t="shared" si="969"/>
        <v>25</v>
      </c>
      <c r="BX989" s="229">
        <f t="shared" si="946"/>
        <v>38</v>
      </c>
      <c r="BY989" s="234">
        <f t="shared" si="947"/>
        <v>4.0666935483870965</v>
      </c>
      <c r="BZ989" s="234" cm="1">
        <f t="array" ref="BZ989">$BM989 * IF($AH989&lt;=2,
SUMPRODUCT(INDEX($AV$66:$AX$70,,$AI989), INDEX($AY$66:$BE$70,,$AH989), 1 / ($BF$66:$BF$70*BY989 + (1-$BF$66:$BF$70)*BU989), N($AU$66:$AU$70&gt;$AM989)),
SUMPRODUCT(INDEX($AV$56:$AX$65,,$AI989), INDEX($AY$56:$BE$65,,$AH989), 1 / ($BG$56:$BG$65*BY989 + (1-$BG$56:$BG$65)*BU989), N($AU$56:$AU$65&gt;$AM989))
) / 1000</f>
        <v>0</v>
      </c>
      <c r="CA989" s="231">
        <f t="shared" si="970"/>
        <v>20</v>
      </c>
      <c r="CB989" s="229">
        <f t="shared" si="948"/>
        <v>33</v>
      </c>
      <c r="CC989" s="234">
        <f t="shared" si="949"/>
        <v>4.8487499999999999</v>
      </c>
      <c r="CD989" s="234" cm="1">
        <f t="array" ref="CD989">$BM989 * IF($AH989&lt;=2,
SUMPRODUCT(INDEX($AV$61:$AX$65,,$AI989), INDEX($AY$61:$BE$65,,$AH989), 1 / ($BF$61:$BF$65*CC989 + (1-$BF$61:$BF$65)*BY989), N($AU$61:$AU$65&gt;$AM989)),
SUMPRODUCT(INDEX($AV$46:$AX$55,,$AI989), INDEX($AY$46:$BE$55,,$AH989), 1 / ($BG$46:$BG$55*CC989 + (1-$BG$46:$BG$55)*BY989), N($AU$46:$AU$55&gt;$AM989))
) / 1000</f>
        <v>0</v>
      </c>
      <c r="CE989" s="234" cm="1">
        <f t="array" ref="CE989">$BM989 * IF($AH989&lt;=2,
SUMPRODUCT(INDEX($AV$22:$AX$60,,$AI989), INDEX($AY$22:$BE$60,,$AH989), 1 / ($BF$22:$BF$60*CC989), N($AU$22:$AU$60&gt;$AM989)),
SUMPRODUCT(INDEX($AV$22:$AX$45,,$AI989), INDEX($AY$22:$BE$45,,$AH989), 1 / ($BG$22:$BG$45*CC989), N($AU$22:$AU$45&gt;$AM989))
) / 1000</f>
        <v>0</v>
      </c>
      <c r="CF989" s="229">
        <f t="shared" si="950"/>
        <v>0</v>
      </c>
      <c r="CG989" s="246"/>
      <c r="CH989" s="229">
        <f t="shared" si="951"/>
        <v>0</v>
      </c>
      <c r="CI989" s="228">
        <v>35</v>
      </c>
      <c r="CJ989" s="229">
        <f t="shared" si="952"/>
        <v>48</v>
      </c>
      <c r="CK989" s="234">
        <f t="shared" si="953"/>
        <v>3.0748170731707316</v>
      </c>
      <c r="CL989" s="234" cm="1">
        <f t="array" ref="CL989">$BM989 * SUMPRODUCT(INDEX($AV$76:$AX$81,,$AI989),INDEX($AY$76:$BE$81,,$AH989), N($AU$76:$AU$81&gt;$AM989)) / CK989 / 1000</f>
        <v>0</v>
      </c>
      <c r="CM989" s="231">
        <f t="shared" si="971"/>
        <v>30</v>
      </c>
      <c r="CN989" s="229">
        <f t="shared" si="954"/>
        <v>43</v>
      </c>
      <c r="CO989" s="234">
        <f t="shared" si="955"/>
        <v>3.5018750000000001</v>
      </c>
      <c r="CP989" s="234" cm="1">
        <f t="array" ref="CP989">$BM989 * IF($AH989&lt;=2,
SUMPRODUCT(INDEX($AV$71:$AX$75,,$AI989), INDEX($AY$71:$BE$75,,$AH989), 1 / ($BF$71:$BF$75*CO989 + (1-$BF$71:$BF$75)*CK989), N($AU$71:$AU$75&gt;$AM989)),
SUMPRODUCT(INDEX($AV$66:$AX$75,,$AI989), INDEX($AY$66:$BE$75,,$AH989), 1 / ($BG$66:$BG$75*CO989 + (1-$BG$66:$BG$75)*CK989), N($AU$66:$AU$75&gt;$AM989))
) / 1000</f>
        <v>0</v>
      </c>
      <c r="CQ989" s="231">
        <f t="shared" si="972"/>
        <v>25</v>
      </c>
      <c r="CR989" s="229">
        <f t="shared" si="956"/>
        <v>38</v>
      </c>
      <c r="CS989" s="234">
        <f t="shared" si="957"/>
        <v>4.0666935483870965</v>
      </c>
      <c r="CT989" s="234" cm="1">
        <f t="array" ref="CT989">$BM989 * IF($AH989&lt;=2,
SUMPRODUCT(INDEX($AV$66:$AX$70,,$AI989), INDEX($AY$66:$BE$70,,$AH989), 1 / ($BF$66:$BF$70*CS989 + (1-$BF$66:$BF$70)*CO989), N($AU$66:$AU$70&gt;$AM989)),
SUMPRODUCT(INDEX($AV$56:$AX$65,,$AI989), INDEX($AY$56:$BE$65,,$AH989), 1 / ($BG$56:$BG$65*CS989 + (1-$BG$56:$BG$65)*CO989), N($AU$56:$AU$65&gt;$AM989))
) / 1000</f>
        <v>0</v>
      </c>
      <c r="CU989" s="231">
        <f t="shared" si="973"/>
        <v>20</v>
      </c>
      <c r="CV989" s="229">
        <f t="shared" si="958"/>
        <v>33</v>
      </c>
      <c r="CW989" s="234">
        <f t="shared" si="959"/>
        <v>4.8487499999999999</v>
      </c>
      <c r="CX989" s="234" cm="1">
        <f t="array" ref="CX989">$BM989 * IF($AH989&lt;=2,
SUMPRODUCT(INDEX($AV$61:$AX$65,,$AI989), INDEX($AY$61:$BE$65,,$AH989), 1 / ($BF$61:$BF$65*CW989 + (1-$BF$61:$BF$65)*CS989), N($AU$61:$AU$65&gt;$AM989)),
SUMPRODUCT(INDEX($AV$46:$AX$55,,$AI989), INDEX($AY$46:$BE$55,,$AH989), 1 / ($BG$46:$BG$55*CW989 + (1-$BG$46:$BG$55)*CS989), N($AU$46:$AU$55&gt;$AM989))
) / 1000</f>
        <v>0</v>
      </c>
      <c r="CY989" s="234" cm="1">
        <f t="array" ref="CY989">$BM989 * IF($AH989&lt;=2,
SUMPRODUCT(INDEX($AV$22:$AX$60,,$AI989), INDEX($AY$22:$BE$60,,$AH989), 1 / ($BF$22:$BF$60*CW989), N($AU$22:$AU$60&gt;$AM989)),
SUMPRODUCT(INDEX($AV$22:$AX$45,,$AI989), INDEX($AY$22:$BE$45,,$AH989), 1 / ($BG$22:$BG$45*CW989), N($AU$22:$AU$45&gt;$AM989))
) / 1000</f>
        <v>0</v>
      </c>
      <c r="CZ989" s="229">
        <f t="shared" si="960"/>
        <v>0</v>
      </c>
      <c r="DA989" s="246"/>
    </row>
    <row r="990" spans="1:105" s="75" customFormat="1" ht="14.25" customHeight="1" x14ac:dyDescent="0.2">
      <c r="A990" s="230" t="b">
        <f t="shared" si="965"/>
        <v>0</v>
      </c>
      <c r="B990" s="253">
        <v>969</v>
      </c>
      <c r="C990" s="266"/>
      <c r="D990" s="266"/>
      <c r="E990" s="254"/>
      <c r="F990" s="255" t="str">
        <f>IF(ISBLANK(E990), "", VLOOKUP(E990, Z!$A$2:$C$4127, 3, FALSE))</f>
        <v/>
      </c>
      <c r="G990" s="256"/>
      <c r="H990" s="256"/>
      <c r="I990" s="256"/>
      <c r="J990" s="257"/>
      <c r="K990" s="258"/>
      <c r="L990" s="267"/>
      <c r="M990" s="268"/>
      <c r="N990" s="259" t="str" cm="1">
        <f t="array" ref="N990">IF($L990&gt;0, INDEX(Clean,1+AK990,$D$1), "")</f>
        <v/>
      </c>
      <c r="O990" s="260"/>
      <c r="P990" s="260"/>
      <c r="Q990" s="261"/>
      <c r="R990" s="264">
        <f t="shared" si="936"/>
        <v>0</v>
      </c>
      <c r="S990" s="259" t="str" cm="1">
        <f t="array" ref="S990">IF($L990&gt;0, INDEX(Clean,1+AL990,$D$1), "")</f>
        <v/>
      </c>
      <c r="T990" s="260"/>
      <c r="U990" s="260"/>
      <c r="V990" s="261"/>
      <c r="W990" s="267"/>
      <c r="X990" s="267"/>
      <c r="Y990" s="257"/>
      <c r="Z990" s="264">
        <f t="shared" si="937"/>
        <v>0</v>
      </c>
      <c r="AA990" s="269"/>
      <c r="AB990" s="266"/>
      <c r="AC990" s="254"/>
      <c r="AD990" s="255" t="str">
        <f>IF(ISBLANK(AC990), "", VLOOKUP(AC990, Z!$A$2:$C$4127, 3, FALSE))</f>
        <v/>
      </c>
      <c r="AE990" s="270"/>
      <c r="AF990" s="265">
        <f t="shared" si="938"/>
        <v>0</v>
      </c>
      <c r="AG990" s="246"/>
      <c r="AH990" s="228">
        <f t="shared" si="961"/>
        <v>1</v>
      </c>
      <c r="AI990" s="228">
        <f t="shared" si="962"/>
        <v>1</v>
      </c>
      <c r="AJ990" s="228">
        <f t="shared" si="963"/>
        <v>0</v>
      </c>
      <c r="AK990" s="228">
        <v>0</v>
      </c>
      <c r="AL990" s="228">
        <v>0</v>
      </c>
      <c r="AM990" s="228">
        <f t="shared" si="939"/>
        <v>-100</v>
      </c>
      <c r="AN990" s="228" cm="1">
        <f t="array" ref="AN990">IF(ISBLANK(G990), 1, IFERROR(MATCH(G990, INDEX(Kat,,1), 0), IFERROR(MATCH(Kat, INDEX(Use,,2), 0), MATCH(Kat, INDEX(Use,,3), 0))))</f>
        <v>1</v>
      </c>
      <c r="AO990" s="246"/>
      <c r="AP990" s="228" cm="1">
        <f t="array" ref="AP990">IF(W990&gt;0, INDEX(Kat, AN990,4), 0)</f>
        <v>0</v>
      </c>
      <c r="AQ990" s="228">
        <f t="shared" si="964"/>
        <v>0</v>
      </c>
      <c r="AR990" s="228" cm="1">
        <f t="array" ref="AR990">IF(X990&gt;0, INDEX(Kat, $AN990, 4+AQ990), 0)</f>
        <v>0</v>
      </c>
      <c r="AS990" s="228" cm="1">
        <f t="array" ref="AS990">IF(X990&gt;0, INDEX(Kat, $AN990, 9+AQ990), 0)</f>
        <v>0</v>
      </c>
      <c r="AT990" s="246"/>
      <c r="AU990" s="262"/>
      <c r="AV990" s="262"/>
      <c r="AW990" s="263"/>
      <c r="AX990" s="263"/>
      <c r="AY990" s="263"/>
      <c r="AZ990" s="263"/>
      <c r="BA990" s="263"/>
      <c r="BB990" s="263"/>
      <c r="BC990" s="263"/>
      <c r="BD990" s="263"/>
      <c r="BE990" s="263"/>
      <c r="BF990" s="263"/>
      <c r="BG990" s="263"/>
      <c r="BH990" s="246"/>
      <c r="BI990" s="228" cm="1">
        <f t="array" ref="BI990">INDEX(Use, $AH990, 4)</f>
        <v>7</v>
      </c>
      <c r="BJ990" s="228">
        <f t="shared" si="940"/>
        <v>32</v>
      </c>
      <c r="BK990" s="228">
        <f t="shared" si="966"/>
        <v>13</v>
      </c>
      <c r="BL990" s="228">
        <f t="shared" si="967"/>
        <v>0</v>
      </c>
      <c r="BM990" s="233" cm="1">
        <f t="array" ref="BM990">L990/IF($M990&gt;0, INDEX($AY$22:$BE$76, $M990+20, $AH990), 1)</f>
        <v>0</v>
      </c>
      <c r="BN990" s="229">
        <f t="shared" si="941"/>
        <v>0</v>
      </c>
      <c r="BO990" s="228">
        <v>35</v>
      </c>
      <c r="BP990" s="229">
        <f t="shared" si="942"/>
        <v>48</v>
      </c>
      <c r="BQ990" s="234">
        <f t="shared" si="943"/>
        <v>3.0748170731707316</v>
      </c>
      <c r="BR990" s="234" cm="1">
        <f t="array" ref="BR990">$BM990 * SUMPRODUCT(INDEX($AV$76:$AX$81,,$AI990),INDEX($AY$76:$BE$81,,$AH990), N($AU$76:$AU$81&gt;$AM990)) / BQ990 / 1000</f>
        <v>0</v>
      </c>
      <c r="BS990" s="231">
        <f t="shared" si="968"/>
        <v>30</v>
      </c>
      <c r="BT990" s="229">
        <f t="shared" si="944"/>
        <v>43</v>
      </c>
      <c r="BU990" s="234">
        <f t="shared" si="945"/>
        <v>3.5018750000000001</v>
      </c>
      <c r="BV990" s="234" cm="1">
        <f t="array" ref="BV990">$BM990 * IF($AH990&lt;=2,
SUMPRODUCT(INDEX($AV$71:$AX$75,,$AI990), INDEX($AY$71:$BE$75,,$AH990), 1 / ($BF$71:$BF$75*BU990 + (1-$BF$71:$BF$75)*BQ990), N($AU$71:$AU$75&gt;$AM990)),
SUMPRODUCT(INDEX($AV$66:$AX$75,,$AI990), INDEX($AY$66:$BE$75,,$AH990), 1 / ($BG$66:$BG$75*BU990 + (1-$BG$66:$BG$75)*BQ990), N($AU$66:$AU$75&gt;$AM990))
) / 1000</f>
        <v>0</v>
      </c>
      <c r="BW990" s="231">
        <f t="shared" si="969"/>
        <v>25</v>
      </c>
      <c r="BX990" s="229">
        <f t="shared" si="946"/>
        <v>38</v>
      </c>
      <c r="BY990" s="234">
        <f t="shared" si="947"/>
        <v>4.0666935483870965</v>
      </c>
      <c r="BZ990" s="234" cm="1">
        <f t="array" ref="BZ990">$BM990 * IF($AH990&lt;=2,
SUMPRODUCT(INDEX($AV$66:$AX$70,,$AI990), INDEX($AY$66:$BE$70,,$AH990), 1 / ($BF$66:$BF$70*BY990 + (1-$BF$66:$BF$70)*BU990), N($AU$66:$AU$70&gt;$AM990)),
SUMPRODUCT(INDEX($AV$56:$AX$65,,$AI990), INDEX($AY$56:$BE$65,,$AH990), 1 / ($BG$56:$BG$65*BY990 + (1-$BG$56:$BG$65)*BU990), N($AU$56:$AU$65&gt;$AM990))
) / 1000</f>
        <v>0</v>
      </c>
      <c r="CA990" s="231">
        <f t="shared" si="970"/>
        <v>20</v>
      </c>
      <c r="CB990" s="229">
        <f t="shared" si="948"/>
        <v>33</v>
      </c>
      <c r="CC990" s="234">
        <f t="shared" si="949"/>
        <v>4.8487499999999999</v>
      </c>
      <c r="CD990" s="234" cm="1">
        <f t="array" ref="CD990">$BM990 * IF($AH990&lt;=2,
SUMPRODUCT(INDEX($AV$61:$AX$65,,$AI990), INDEX($AY$61:$BE$65,,$AH990), 1 / ($BF$61:$BF$65*CC990 + (1-$BF$61:$BF$65)*BY990), N($AU$61:$AU$65&gt;$AM990)),
SUMPRODUCT(INDEX($AV$46:$AX$55,,$AI990), INDEX($AY$46:$BE$55,,$AH990), 1 / ($BG$46:$BG$55*CC990 + (1-$BG$46:$BG$55)*BY990), N($AU$46:$AU$55&gt;$AM990))
) / 1000</f>
        <v>0</v>
      </c>
      <c r="CE990" s="234" cm="1">
        <f t="array" ref="CE990">$BM990 * IF($AH990&lt;=2,
SUMPRODUCT(INDEX($AV$22:$AX$60,,$AI990), INDEX($AY$22:$BE$60,,$AH990), 1 / ($BF$22:$BF$60*CC990), N($AU$22:$AU$60&gt;$AM990)),
SUMPRODUCT(INDEX($AV$22:$AX$45,,$AI990), INDEX($AY$22:$BE$45,,$AH990), 1 / ($BG$22:$BG$45*CC990), N($AU$22:$AU$45&gt;$AM990))
) / 1000</f>
        <v>0</v>
      </c>
      <c r="CF990" s="229">
        <f t="shared" si="950"/>
        <v>0</v>
      </c>
      <c r="CG990" s="246"/>
      <c r="CH990" s="229">
        <f t="shared" si="951"/>
        <v>0</v>
      </c>
      <c r="CI990" s="228">
        <v>35</v>
      </c>
      <c r="CJ990" s="229">
        <f t="shared" si="952"/>
        <v>48</v>
      </c>
      <c r="CK990" s="234">
        <f t="shared" si="953"/>
        <v>3.0748170731707316</v>
      </c>
      <c r="CL990" s="234" cm="1">
        <f t="array" ref="CL990">$BM990 * SUMPRODUCT(INDEX($AV$76:$AX$81,,$AI990),INDEX($AY$76:$BE$81,,$AH990), N($AU$76:$AU$81&gt;$AM990)) / CK990 / 1000</f>
        <v>0</v>
      </c>
      <c r="CM990" s="231">
        <f t="shared" si="971"/>
        <v>30</v>
      </c>
      <c r="CN990" s="229">
        <f t="shared" si="954"/>
        <v>43</v>
      </c>
      <c r="CO990" s="234">
        <f t="shared" si="955"/>
        <v>3.5018750000000001</v>
      </c>
      <c r="CP990" s="234" cm="1">
        <f t="array" ref="CP990">$BM990 * IF($AH990&lt;=2,
SUMPRODUCT(INDEX($AV$71:$AX$75,,$AI990), INDEX($AY$71:$BE$75,,$AH990), 1 / ($BF$71:$BF$75*CO990 + (1-$BF$71:$BF$75)*CK990), N($AU$71:$AU$75&gt;$AM990)),
SUMPRODUCT(INDEX($AV$66:$AX$75,,$AI990), INDEX($AY$66:$BE$75,,$AH990), 1 / ($BG$66:$BG$75*CO990 + (1-$BG$66:$BG$75)*CK990), N($AU$66:$AU$75&gt;$AM990))
) / 1000</f>
        <v>0</v>
      </c>
      <c r="CQ990" s="231">
        <f t="shared" si="972"/>
        <v>25</v>
      </c>
      <c r="CR990" s="229">
        <f t="shared" si="956"/>
        <v>38</v>
      </c>
      <c r="CS990" s="234">
        <f t="shared" si="957"/>
        <v>4.0666935483870965</v>
      </c>
      <c r="CT990" s="234" cm="1">
        <f t="array" ref="CT990">$BM990 * IF($AH990&lt;=2,
SUMPRODUCT(INDEX($AV$66:$AX$70,,$AI990), INDEX($AY$66:$BE$70,,$AH990), 1 / ($BF$66:$BF$70*CS990 + (1-$BF$66:$BF$70)*CO990), N($AU$66:$AU$70&gt;$AM990)),
SUMPRODUCT(INDEX($AV$56:$AX$65,,$AI990), INDEX($AY$56:$BE$65,,$AH990), 1 / ($BG$56:$BG$65*CS990 + (1-$BG$56:$BG$65)*CO990), N($AU$56:$AU$65&gt;$AM990))
) / 1000</f>
        <v>0</v>
      </c>
      <c r="CU990" s="231">
        <f t="shared" si="973"/>
        <v>20</v>
      </c>
      <c r="CV990" s="229">
        <f t="shared" si="958"/>
        <v>33</v>
      </c>
      <c r="CW990" s="234">
        <f t="shared" si="959"/>
        <v>4.8487499999999999</v>
      </c>
      <c r="CX990" s="234" cm="1">
        <f t="array" ref="CX990">$BM990 * IF($AH990&lt;=2,
SUMPRODUCT(INDEX($AV$61:$AX$65,,$AI990), INDEX($AY$61:$BE$65,,$AH990), 1 / ($BF$61:$BF$65*CW990 + (1-$BF$61:$BF$65)*CS990), N($AU$61:$AU$65&gt;$AM990)),
SUMPRODUCT(INDEX($AV$46:$AX$55,,$AI990), INDEX($AY$46:$BE$55,,$AH990), 1 / ($BG$46:$BG$55*CW990 + (1-$BG$46:$BG$55)*CS990), N($AU$46:$AU$55&gt;$AM990))
) / 1000</f>
        <v>0</v>
      </c>
      <c r="CY990" s="234" cm="1">
        <f t="array" ref="CY990">$BM990 * IF($AH990&lt;=2,
SUMPRODUCT(INDEX($AV$22:$AX$60,,$AI990), INDEX($AY$22:$BE$60,,$AH990), 1 / ($BF$22:$BF$60*CW990), N($AU$22:$AU$60&gt;$AM990)),
SUMPRODUCT(INDEX($AV$22:$AX$45,,$AI990), INDEX($AY$22:$BE$45,,$AH990), 1 / ($BG$22:$BG$45*CW990), N($AU$22:$AU$45&gt;$AM990))
) / 1000</f>
        <v>0</v>
      </c>
      <c r="CZ990" s="229">
        <f t="shared" si="960"/>
        <v>0</v>
      </c>
      <c r="DA990" s="246"/>
    </row>
    <row r="991" spans="1:105" s="75" customFormat="1" ht="14.25" customHeight="1" x14ac:dyDescent="0.2">
      <c r="A991" s="230" t="b">
        <f t="shared" si="965"/>
        <v>0</v>
      </c>
      <c r="B991" s="253">
        <v>970</v>
      </c>
      <c r="C991" s="266"/>
      <c r="D991" s="266"/>
      <c r="E991" s="254"/>
      <c r="F991" s="255" t="str">
        <f>IF(ISBLANK(E991), "", VLOOKUP(E991, Z!$A$2:$C$4127, 3, FALSE))</f>
        <v/>
      </c>
      <c r="G991" s="256"/>
      <c r="H991" s="256"/>
      <c r="I991" s="256"/>
      <c r="J991" s="257"/>
      <c r="K991" s="258"/>
      <c r="L991" s="267"/>
      <c r="M991" s="268"/>
      <c r="N991" s="259" t="str" cm="1">
        <f t="array" ref="N991">IF($L991&gt;0, INDEX(Clean,1+AK991,$D$1), "")</f>
        <v/>
      </c>
      <c r="O991" s="260"/>
      <c r="P991" s="260"/>
      <c r="Q991" s="261"/>
      <c r="R991" s="264">
        <f t="shared" si="936"/>
        <v>0</v>
      </c>
      <c r="S991" s="259" t="str" cm="1">
        <f t="array" ref="S991">IF($L991&gt;0, INDEX(Clean,1+AL991,$D$1), "")</f>
        <v/>
      </c>
      <c r="T991" s="260"/>
      <c r="U991" s="260"/>
      <c r="V991" s="261"/>
      <c r="W991" s="267"/>
      <c r="X991" s="267"/>
      <c r="Y991" s="257"/>
      <c r="Z991" s="264">
        <f t="shared" si="937"/>
        <v>0</v>
      </c>
      <c r="AA991" s="269"/>
      <c r="AB991" s="266"/>
      <c r="AC991" s="254"/>
      <c r="AD991" s="255" t="str">
        <f>IF(ISBLANK(AC991), "", VLOOKUP(AC991, Z!$A$2:$C$4127, 3, FALSE))</f>
        <v/>
      </c>
      <c r="AE991" s="270"/>
      <c r="AF991" s="265">
        <f t="shared" si="938"/>
        <v>0</v>
      </c>
      <c r="AG991" s="246"/>
      <c r="AH991" s="228">
        <f t="shared" si="961"/>
        <v>1</v>
      </c>
      <c r="AI991" s="228">
        <f t="shared" si="962"/>
        <v>1</v>
      </c>
      <c r="AJ991" s="228">
        <f t="shared" si="963"/>
        <v>0</v>
      </c>
      <c r="AK991" s="228">
        <v>0</v>
      </c>
      <c r="AL991" s="228">
        <v>0</v>
      </c>
      <c r="AM991" s="228">
        <f t="shared" si="939"/>
        <v>-100</v>
      </c>
      <c r="AN991" s="228" cm="1">
        <f t="array" ref="AN991">IF(ISBLANK(G991), 1, IFERROR(MATCH(G991, INDEX(Kat,,1), 0), IFERROR(MATCH(Kat, INDEX(Use,,2), 0), MATCH(Kat, INDEX(Use,,3), 0))))</f>
        <v>1</v>
      </c>
      <c r="AO991" s="246"/>
      <c r="AP991" s="228" cm="1">
        <f t="array" ref="AP991">IF(W991&gt;0, INDEX(Kat, AN991,4), 0)</f>
        <v>0</v>
      </c>
      <c r="AQ991" s="228">
        <f t="shared" si="964"/>
        <v>0</v>
      </c>
      <c r="AR991" s="228" cm="1">
        <f t="array" ref="AR991">IF(X991&gt;0, INDEX(Kat, $AN991, 4+AQ991), 0)</f>
        <v>0</v>
      </c>
      <c r="AS991" s="228" cm="1">
        <f t="array" ref="AS991">IF(X991&gt;0, INDEX(Kat, $AN991, 9+AQ991), 0)</f>
        <v>0</v>
      </c>
      <c r="AT991" s="246"/>
      <c r="AU991" s="262"/>
      <c r="AV991" s="262"/>
      <c r="AW991" s="263"/>
      <c r="AX991" s="263"/>
      <c r="AY991" s="263"/>
      <c r="AZ991" s="263"/>
      <c r="BA991" s="263"/>
      <c r="BB991" s="263"/>
      <c r="BC991" s="263"/>
      <c r="BD991" s="263"/>
      <c r="BE991" s="263"/>
      <c r="BF991" s="263"/>
      <c r="BG991" s="263"/>
      <c r="BH991" s="246"/>
      <c r="BI991" s="228" cm="1">
        <f t="array" ref="BI991">INDEX(Use, $AH991, 4)</f>
        <v>7</v>
      </c>
      <c r="BJ991" s="228">
        <f t="shared" si="940"/>
        <v>32</v>
      </c>
      <c r="BK991" s="228">
        <f t="shared" si="966"/>
        <v>13</v>
      </c>
      <c r="BL991" s="228">
        <f t="shared" si="967"/>
        <v>0</v>
      </c>
      <c r="BM991" s="233" cm="1">
        <f t="array" ref="BM991">L991/IF($M991&gt;0, INDEX($AY$22:$BE$76, $M991+20, $AH991), 1)</f>
        <v>0</v>
      </c>
      <c r="BN991" s="229">
        <f t="shared" si="941"/>
        <v>0</v>
      </c>
      <c r="BO991" s="228">
        <v>35</v>
      </c>
      <c r="BP991" s="229">
        <f t="shared" si="942"/>
        <v>48</v>
      </c>
      <c r="BQ991" s="234">
        <f t="shared" si="943"/>
        <v>3.0748170731707316</v>
      </c>
      <c r="BR991" s="234" cm="1">
        <f t="array" ref="BR991">$BM991 * SUMPRODUCT(INDEX($AV$76:$AX$81,,$AI991),INDEX($AY$76:$BE$81,,$AH991), N($AU$76:$AU$81&gt;$AM991)) / BQ991 / 1000</f>
        <v>0</v>
      </c>
      <c r="BS991" s="231">
        <f t="shared" si="968"/>
        <v>30</v>
      </c>
      <c r="BT991" s="229">
        <f t="shared" si="944"/>
        <v>43</v>
      </c>
      <c r="BU991" s="234">
        <f t="shared" si="945"/>
        <v>3.5018750000000001</v>
      </c>
      <c r="BV991" s="234" cm="1">
        <f t="array" ref="BV991">$BM991 * IF($AH991&lt;=2,
SUMPRODUCT(INDEX($AV$71:$AX$75,,$AI991), INDEX($AY$71:$BE$75,,$AH991), 1 / ($BF$71:$BF$75*BU991 + (1-$BF$71:$BF$75)*BQ991), N($AU$71:$AU$75&gt;$AM991)),
SUMPRODUCT(INDEX($AV$66:$AX$75,,$AI991), INDEX($AY$66:$BE$75,,$AH991), 1 / ($BG$66:$BG$75*BU991 + (1-$BG$66:$BG$75)*BQ991), N($AU$66:$AU$75&gt;$AM991))
) / 1000</f>
        <v>0</v>
      </c>
      <c r="BW991" s="231">
        <f t="shared" si="969"/>
        <v>25</v>
      </c>
      <c r="BX991" s="229">
        <f t="shared" si="946"/>
        <v>38</v>
      </c>
      <c r="BY991" s="234">
        <f t="shared" si="947"/>
        <v>4.0666935483870965</v>
      </c>
      <c r="BZ991" s="234" cm="1">
        <f t="array" ref="BZ991">$BM991 * IF($AH991&lt;=2,
SUMPRODUCT(INDEX($AV$66:$AX$70,,$AI991), INDEX($AY$66:$BE$70,,$AH991), 1 / ($BF$66:$BF$70*BY991 + (1-$BF$66:$BF$70)*BU991), N($AU$66:$AU$70&gt;$AM991)),
SUMPRODUCT(INDEX($AV$56:$AX$65,,$AI991), INDEX($AY$56:$BE$65,,$AH991), 1 / ($BG$56:$BG$65*BY991 + (1-$BG$56:$BG$65)*BU991), N($AU$56:$AU$65&gt;$AM991))
) / 1000</f>
        <v>0</v>
      </c>
      <c r="CA991" s="231">
        <f t="shared" si="970"/>
        <v>20</v>
      </c>
      <c r="CB991" s="229">
        <f t="shared" si="948"/>
        <v>33</v>
      </c>
      <c r="CC991" s="234">
        <f t="shared" si="949"/>
        <v>4.8487499999999999</v>
      </c>
      <c r="CD991" s="234" cm="1">
        <f t="array" ref="CD991">$BM991 * IF($AH991&lt;=2,
SUMPRODUCT(INDEX($AV$61:$AX$65,,$AI991), INDEX($AY$61:$BE$65,,$AH991), 1 / ($BF$61:$BF$65*CC991 + (1-$BF$61:$BF$65)*BY991), N($AU$61:$AU$65&gt;$AM991)),
SUMPRODUCT(INDEX($AV$46:$AX$55,,$AI991), INDEX($AY$46:$BE$55,,$AH991), 1 / ($BG$46:$BG$55*CC991 + (1-$BG$46:$BG$55)*BY991), N($AU$46:$AU$55&gt;$AM991))
) / 1000</f>
        <v>0</v>
      </c>
      <c r="CE991" s="234" cm="1">
        <f t="array" ref="CE991">$BM991 * IF($AH991&lt;=2,
SUMPRODUCT(INDEX($AV$22:$AX$60,,$AI991), INDEX($AY$22:$BE$60,,$AH991), 1 / ($BF$22:$BF$60*CC991), N($AU$22:$AU$60&gt;$AM991)),
SUMPRODUCT(INDEX($AV$22:$AX$45,,$AI991), INDEX($AY$22:$BE$45,,$AH991), 1 / ($BG$22:$BG$45*CC991), N($AU$22:$AU$45&gt;$AM991))
) / 1000</f>
        <v>0</v>
      </c>
      <c r="CF991" s="229">
        <f t="shared" si="950"/>
        <v>0</v>
      </c>
      <c r="CG991" s="246"/>
      <c r="CH991" s="229">
        <f t="shared" si="951"/>
        <v>0</v>
      </c>
      <c r="CI991" s="228">
        <v>35</v>
      </c>
      <c r="CJ991" s="229">
        <f t="shared" si="952"/>
        <v>48</v>
      </c>
      <c r="CK991" s="234">
        <f t="shared" si="953"/>
        <v>3.0748170731707316</v>
      </c>
      <c r="CL991" s="234" cm="1">
        <f t="array" ref="CL991">$BM991 * SUMPRODUCT(INDEX($AV$76:$AX$81,,$AI991),INDEX($AY$76:$BE$81,,$AH991), N($AU$76:$AU$81&gt;$AM991)) / CK991 / 1000</f>
        <v>0</v>
      </c>
      <c r="CM991" s="231">
        <f t="shared" si="971"/>
        <v>30</v>
      </c>
      <c r="CN991" s="229">
        <f t="shared" si="954"/>
        <v>43</v>
      </c>
      <c r="CO991" s="234">
        <f t="shared" si="955"/>
        <v>3.5018750000000001</v>
      </c>
      <c r="CP991" s="234" cm="1">
        <f t="array" ref="CP991">$BM991 * IF($AH991&lt;=2,
SUMPRODUCT(INDEX($AV$71:$AX$75,,$AI991), INDEX($AY$71:$BE$75,,$AH991), 1 / ($BF$71:$BF$75*CO991 + (1-$BF$71:$BF$75)*CK991), N($AU$71:$AU$75&gt;$AM991)),
SUMPRODUCT(INDEX($AV$66:$AX$75,,$AI991), INDEX($AY$66:$BE$75,,$AH991), 1 / ($BG$66:$BG$75*CO991 + (1-$BG$66:$BG$75)*CK991), N($AU$66:$AU$75&gt;$AM991))
) / 1000</f>
        <v>0</v>
      </c>
      <c r="CQ991" s="231">
        <f t="shared" si="972"/>
        <v>25</v>
      </c>
      <c r="CR991" s="229">
        <f t="shared" si="956"/>
        <v>38</v>
      </c>
      <c r="CS991" s="234">
        <f t="shared" si="957"/>
        <v>4.0666935483870965</v>
      </c>
      <c r="CT991" s="234" cm="1">
        <f t="array" ref="CT991">$BM991 * IF($AH991&lt;=2,
SUMPRODUCT(INDEX($AV$66:$AX$70,,$AI991), INDEX($AY$66:$BE$70,,$AH991), 1 / ($BF$66:$BF$70*CS991 + (1-$BF$66:$BF$70)*CO991), N($AU$66:$AU$70&gt;$AM991)),
SUMPRODUCT(INDEX($AV$56:$AX$65,,$AI991), INDEX($AY$56:$BE$65,,$AH991), 1 / ($BG$56:$BG$65*CS991 + (1-$BG$56:$BG$65)*CO991), N($AU$56:$AU$65&gt;$AM991))
) / 1000</f>
        <v>0</v>
      </c>
      <c r="CU991" s="231">
        <f t="shared" si="973"/>
        <v>20</v>
      </c>
      <c r="CV991" s="229">
        <f t="shared" si="958"/>
        <v>33</v>
      </c>
      <c r="CW991" s="234">
        <f t="shared" si="959"/>
        <v>4.8487499999999999</v>
      </c>
      <c r="CX991" s="234" cm="1">
        <f t="array" ref="CX991">$BM991 * IF($AH991&lt;=2,
SUMPRODUCT(INDEX($AV$61:$AX$65,,$AI991), INDEX($AY$61:$BE$65,,$AH991), 1 / ($BF$61:$BF$65*CW991 + (1-$BF$61:$BF$65)*CS991), N($AU$61:$AU$65&gt;$AM991)),
SUMPRODUCT(INDEX($AV$46:$AX$55,,$AI991), INDEX($AY$46:$BE$55,,$AH991), 1 / ($BG$46:$BG$55*CW991 + (1-$BG$46:$BG$55)*CS991), N($AU$46:$AU$55&gt;$AM991))
) / 1000</f>
        <v>0</v>
      </c>
      <c r="CY991" s="234" cm="1">
        <f t="array" ref="CY991">$BM991 * IF($AH991&lt;=2,
SUMPRODUCT(INDEX($AV$22:$AX$60,,$AI991), INDEX($AY$22:$BE$60,,$AH991), 1 / ($BF$22:$BF$60*CW991), N($AU$22:$AU$60&gt;$AM991)),
SUMPRODUCT(INDEX($AV$22:$AX$45,,$AI991), INDEX($AY$22:$BE$45,,$AH991), 1 / ($BG$22:$BG$45*CW991), N($AU$22:$AU$45&gt;$AM991))
) / 1000</f>
        <v>0</v>
      </c>
      <c r="CZ991" s="229">
        <f t="shared" si="960"/>
        <v>0</v>
      </c>
      <c r="DA991" s="246"/>
    </row>
    <row r="992" spans="1:105" s="75" customFormat="1" ht="14.25" customHeight="1" x14ac:dyDescent="0.2">
      <c r="A992" s="230" t="b">
        <f t="shared" si="965"/>
        <v>0</v>
      </c>
      <c r="B992" s="253">
        <v>971</v>
      </c>
      <c r="C992" s="266"/>
      <c r="D992" s="266"/>
      <c r="E992" s="254"/>
      <c r="F992" s="255" t="str">
        <f>IF(ISBLANK(E992), "", VLOOKUP(E992, Z!$A$2:$C$4127, 3, FALSE))</f>
        <v/>
      </c>
      <c r="G992" s="256"/>
      <c r="H992" s="256"/>
      <c r="I992" s="256"/>
      <c r="J992" s="257"/>
      <c r="K992" s="258"/>
      <c r="L992" s="267"/>
      <c r="M992" s="268"/>
      <c r="N992" s="259" t="str" cm="1">
        <f t="array" ref="N992">IF($L992&gt;0, INDEX(Clean,1+AK992,$D$1), "")</f>
        <v/>
      </c>
      <c r="O992" s="260"/>
      <c r="P992" s="260"/>
      <c r="Q992" s="261"/>
      <c r="R992" s="264">
        <f t="shared" si="936"/>
        <v>0</v>
      </c>
      <c r="S992" s="259" t="str" cm="1">
        <f t="array" ref="S992">IF($L992&gt;0, INDEX(Clean,1+AL992,$D$1), "")</f>
        <v/>
      </c>
      <c r="T992" s="260"/>
      <c r="U992" s="260"/>
      <c r="V992" s="261"/>
      <c r="W992" s="267"/>
      <c r="X992" s="267"/>
      <c r="Y992" s="257"/>
      <c r="Z992" s="264">
        <f t="shared" si="937"/>
        <v>0</v>
      </c>
      <c r="AA992" s="269"/>
      <c r="AB992" s="266"/>
      <c r="AC992" s="254"/>
      <c r="AD992" s="255" t="str">
        <f>IF(ISBLANK(AC992), "", VLOOKUP(AC992, Z!$A$2:$C$4127, 3, FALSE))</f>
        <v/>
      </c>
      <c r="AE992" s="270"/>
      <c r="AF992" s="265">
        <f t="shared" si="938"/>
        <v>0</v>
      </c>
      <c r="AG992" s="246"/>
      <c r="AH992" s="228">
        <f t="shared" si="961"/>
        <v>1</v>
      </c>
      <c r="AI992" s="228">
        <f t="shared" si="962"/>
        <v>1</v>
      </c>
      <c r="AJ992" s="228">
        <f t="shared" si="963"/>
        <v>0</v>
      </c>
      <c r="AK992" s="228">
        <v>0</v>
      </c>
      <c r="AL992" s="228">
        <v>0</v>
      </c>
      <c r="AM992" s="228">
        <f t="shared" si="939"/>
        <v>-100</v>
      </c>
      <c r="AN992" s="228" cm="1">
        <f t="array" ref="AN992">IF(ISBLANK(G992), 1, IFERROR(MATCH(G992, INDEX(Kat,,1), 0), IFERROR(MATCH(Kat, INDEX(Use,,2), 0), MATCH(Kat, INDEX(Use,,3), 0))))</f>
        <v>1</v>
      </c>
      <c r="AO992" s="246"/>
      <c r="AP992" s="228" cm="1">
        <f t="array" ref="AP992">IF(W992&gt;0, INDEX(Kat, AN992,4), 0)</f>
        <v>0</v>
      </c>
      <c r="AQ992" s="228">
        <f t="shared" si="964"/>
        <v>0</v>
      </c>
      <c r="AR992" s="228" cm="1">
        <f t="array" ref="AR992">IF(X992&gt;0, INDEX(Kat, $AN992, 4+AQ992), 0)</f>
        <v>0</v>
      </c>
      <c r="AS992" s="228" cm="1">
        <f t="array" ref="AS992">IF(X992&gt;0, INDEX(Kat, $AN992, 9+AQ992), 0)</f>
        <v>0</v>
      </c>
      <c r="AT992" s="246"/>
      <c r="AU992" s="262"/>
      <c r="AV992" s="262"/>
      <c r="AW992" s="263"/>
      <c r="AX992" s="263"/>
      <c r="AY992" s="263"/>
      <c r="AZ992" s="263"/>
      <c r="BA992" s="263"/>
      <c r="BB992" s="263"/>
      <c r="BC992" s="263"/>
      <c r="BD992" s="263"/>
      <c r="BE992" s="263"/>
      <c r="BF992" s="263"/>
      <c r="BG992" s="263"/>
      <c r="BH992" s="246"/>
      <c r="BI992" s="228" cm="1">
        <f t="array" ref="BI992">INDEX(Use, $AH992, 4)</f>
        <v>7</v>
      </c>
      <c r="BJ992" s="228">
        <f t="shared" si="940"/>
        <v>32</v>
      </c>
      <c r="BK992" s="228">
        <f t="shared" si="966"/>
        <v>13</v>
      </c>
      <c r="BL992" s="228">
        <f t="shared" si="967"/>
        <v>0</v>
      </c>
      <c r="BM992" s="233" cm="1">
        <f t="array" ref="BM992">L992/IF($M992&gt;0, INDEX($AY$22:$BE$76, $M992+20, $AH992), 1)</f>
        <v>0</v>
      </c>
      <c r="BN992" s="229">
        <f t="shared" si="941"/>
        <v>0</v>
      </c>
      <c r="BO992" s="228">
        <v>35</v>
      </c>
      <c r="BP992" s="229">
        <f t="shared" si="942"/>
        <v>48</v>
      </c>
      <c r="BQ992" s="234">
        <f t="shared" si="943"/>
        <v>3.0748170731707316</v>
      </c>
      <c r="BR992" s="234" cm="1">
        <f t="array" ref="BR992">$BM992 * SUMPRODUCT(INDEX($AV$76:$AX$81,,$AI992),INDEX($AY$76:$BE$81,,$AH992), N($AU$76:$AU$81&gt;$AM992)) / BQ992 / 1000</f>
        <v>0</v>
      </c>
      <c r="BS992" s="231">
        <f t="shared" si="968"/>
        <v>30</v>
      </c>
      <c r="BT992" s="229">
        <f t="shared" si="944"/>
        <v>43</v>
      </c>
      <c r="BU992" s="234">
        <f t="shared" si="945"/>
        <v>3.5018750000000001</v>
      </c>
      <c r="BV992" s="234" cm="1">
        <f t="array" ref="BV992">$BM992 * IF($AH992&lt;=2,
SUMPRODUCT(INDEX($AV$71:$AX$75,,$AI992), INDEX($AY$71:$BE$75,,$AH992), 1 / ($BF$71:$BF$75*BU992 + (1-$BF$71:$BF$75)*BQ992), N($AU$71:$AU$75&gt;$AM992)),
SUMPRODUCT(INDEX($AV$66:$AX$75,,$AI992), INDEX($AY$66:$BE$75,,$AH992), 1 / ($BG$66:$BG$75*BU992 + (1-$BG$66:$BG$75)*BQ992), N($AU$66:$AU$75&gt;$AM992))
) / 1000</f>
        <v>0</v>
      </c>
      <c r="BW992" s="231">
        <f t="shared" si="969"/>
        <v>25</v>
      </c>
      <c r="BX992" s="229">
        <f t="shared" si="946"/>
        <v>38</v>
      </c>
      <c r="BY992" s="234">
        <f t="shared" si="947"/>
        <v>4.0666935483870965</v>
      </c>
      <c r="BZ992" s="234" cm="1">
        <f t="array" ref="BZ992">$BM992 * IF($AH992&lt;=2,
SUMPRODUCT(INDEX($AV$66:$AX$70,,$AI992), INDEX($AY$66:$BE$70,,$AH992), 1 / ($BF$66:$BF$70*BY992 + (1-$BF$66:$BF$70)*BU992), N($AU$66:$AU$70&gt;$AM992)),
SUMPRODUCT(INDEX($AV$56:$AX$65,,$AI992), INDEX($AY$56:$BE$65,,$AH992), 1 / ($BG$56:$BG$65*BY992 + (1-$BG$56:$BG$65)*BU992), N($AU$56:$AU$65&gt;$AM992))
) / 1000</f>
        <v>0</v>
      </c>
      <c r="CA992" s="231">
        <f t="shared" si="970"/>
        <v>20</v>
      </c>
      <c r="CB992" s="229">
        <f t="shared" si="948"/>
        <v>33</v>
      </c>
      <c r="CC992" s="234">
        <f t="shared" si="949"/>
        <v>4.8487499999999999</v>
      </c>
      <c r="CD992" s="234" cm="1">
        <f t="array" ref="CD992">$BM992 * IF($AH992&lt;=2,
SUMPRODUCT(INDEX($AV$61:$AX$65,,$AI992), INDEX($AY$61:$BE$65,,$AH992), 1 / ($BF$61:$BF$65*CC992 + (1-$BF$61:$BF$65)*BY992), N($AU$61:$AU$65&gt;$AM992)),
SUMPRODUCT(INDEX($AV$46:$AX$55,,$AI992), INDEX($AY$46:$BE$55,,$AH992), 1 / ($BG$46:$BG$55*CC992 + (1-$BG$46:$BG$55)*BY992), N($AU$46:$AU$55&gt;$AM992))
) / 1000</f>
        <v>0</v>
      </c>
      <c r="CE992" s="234" cm="1">
        <f t="array" ref="CE992">$BM992 * IF($AH992&lt;=2,
SUMPRODUCT(INDEX($AV$22:$AX$60,,$AI992), INDEX($AY$22:$BE$60,,$AH992), 1 / ($BF$22:$BF$60*CC992), N($AU$22:$AU$60&gt;$AM992)),
SUMPRODUCT(INDEX($AV$22:$AX$45,,$AI992), INDEX($AY$22:$BE$45,,$AH992), 1 / ($BG$22:$BG$45*CC992), N($AU$22:$AU$45&gt;$AM992))
) / 1000</f>
        <v>0</v>
      </c>
      <c r="CF992" s="229">
        <f t="shared" si="950"/>
        <v>0</v>
      </c>
      <c r="CG992" s="246"/>
      <c r="CH992" s="229">
        <f t="shared" si="951"/>
        <v>0</v>
      </c>
      <c r="CI992" s="228">
        <v>35</v>
      </c>
      <c r="CJ992" s="229">
        <f t="shared" si="952"/>
        <v>48</v>
      </c>
      <c r="CK992" s="234">
        <f t="shared" si="953"/>
        <v>3.0748170731707316</v>
      </c>
      <c r="CL992" s="234" cm="1">
        <f t="array" ref="CL992">$BM992 * SUMPRODUCT(INDEX($AV$76:$AX$81,,$AI992),INDEX($AY$76:$BE$81,,$AH992), N($AU$76:$AU$81&gt;$AM992)) / CK992 / 1000</f>
        <v>0</v>
      </c>
      <c r="CM992" s="231">
        <f t="shared" si="971"/>
        <v>30</v>
      </c>
      <c r="CN992" s="229">
        <f t="shared" si="954"/>
        <v>43</v>
      </c>
      <c r="CO992" s="234">
        <f t="shared" si="955"/>
        <v>3.5018750000000001</v>
      </c>
      <c r="CP992" s="234" cm="1">
        <f t="array" ref="CP992">$BM992 * IF($AH992&lt;=2,
SUMPRODUCT(INDEX($AV$71:$AX$75,,$AI992), INDEX($AY$71:$BE$75,,$AH992), 1 / ($BF$71:$BF$75*CO992 + (1-$BF$71:$BF$75)*CK992), N($AU$71:$AU$75&gt;$AM992)),
SUMPRODUCT(INDEX($AV$66:$AX$75,,$AI992), INDEX($AY$66:$BE$75,,$AH992), 1 / ($BG$66:$BG$75*CO992 + (1-$BG$66:$BG$75)*CK992), N($AU$66:$AU$75&gt;$AM992))
) / 1000</f>
        <v>0</v>
      </c>
      <c r="CQ992" s="231">
        <f t="shared" si="972"/>
        <v>25</v>
      </c>
      <c r="CR992" s="229">
        <f t="shared" si="956"/>
        <v>38</v>
      </c>
      <c r="CS992" s="234">
        <f t="shared" si="957"/>
        <v>4.0666935483870965</v>
      </c>
      <c r="CT992" s="234" cm="1">
        <f t="array" ref="CT992">$BM992 * IF($AH992&lt;=2,
SUMPRODUCT(INDEX($AV$66:$AX$70,,$AI992), INDEX($AY$66:$BE$70,,$AH992), 1 / ($BF$66:$BF$70*CS992 + (1-$BF$66:$BF$70)*CO992), N($AU$66:$AU$70&gt;$AM992)),
SUMPRODUCT(INDEX($AV$56:$AX$65,,$AI992), INDEX($AY$56:$BE$65,,$AH992), 1 / ($BG$56:$BG$65*CS992 + (1-$BG$56:$BG$65)*CO992), N($AU$56:$AU$65&gt;$AM992))
) / 1000</f>
        <v>0</v>
      </c>
      <c r="CU992" s="231">
        <f t="shared" si="973"/>
        <v>20</v>
      </c>
      <c r="CV992" s="229">
        <f t="shared" si="958"/>
        <v>33</v>
      </c>
      <c r="CW992" s="234">
        <f t="shared" si="959"/>
        <v>4.8487499999999999</v>
      </c>
      <c r="CX992" s="234" cm="1">
        <f t="array" ref="CX992">$BM992 * IF($AH992&lt;=2,
SUMPRODUCT(INDEX($AV$61:$AX$65,,$AI992), INDEX($AY$61:$BE$65,,$AH992), 1 / ($BF$61:$BF$65*CW992 + (1-$BF$61:$BF$65)*CS992), N($AU$61:$AU$65&gt;$AM992)),
SUMPRODUCT(INDEX($AV$46:$AX$55,,$AI992), INDEX($AY$46:$BE$55,,$AH992), 1 / ($BG$46:$BG$55*CW992 + (1-$BG$46:$BG$55)*CS992), N($AU$46:$AU$55&gt;$AM992))
) / 1000</f>
        <v>0</v>
      </c>
      <c r="CY992" s="234" cm="1">
        <f t="array" ref="CY992">$BM992 * IF($AH992&lt;=2,
SUMPRODUCT(INDEX($AV$22:$AX$60,,$AI992), INDEX($AY$22:$BE$60,,$AH992), 1 / ($BF$22:$BF$60*CW992), N($AU$22:$AU$60&gt;$AM992)),
SUMPRODUCT(INDEX($AV$22:$AX$45,,$AI992), INDEX($AY$22:$BE$45,,$AH992), 1 / ($BG$22:$BG$45*CW992), N($AU$22:$AU$45&gt;$AM992))
) / 1000</f>
        <v>0</v>
      </c>
      <c r="CZ992" s="229">
        <f t="shared" si="960"/>
        <v>0</v>
      </c>
      <c r="DA992" s="246"/>
    </row>
    <row r="993" spans="1:105" s="75" customFormat="1" ht="14.25" customHeight="1" x14ac:dyDescent="0.2">
      <c r="A993" s="230" t="b">
        <f t="shared" si="965"/>
        <v>0</v>
      </c>
      <c r="B993" s="253">
        <v>972</v>
      </c>
      <c r="C993" s="266"/>
      <c r="D993" s="266"/>
      <c r="E993" s="254"/>
      <c r="F993" s="255" t="str">
        <f>IF(ISBLANK(E993), "", VLOOKUP(E993, Z!$A$2:$C$4127, 3, FALSE))</f>
        <v/>
      </c>
      <c r="G993" s="256"/>
      <c r="H993" s="256"/>
      <c r="I993" s="256"/>
      <c r="J993" s="257"/>
      <c r="K993" s="258"/>
      <c r="L993" s="267"/>
      <c r="M993" s="268"/>
      <c r="N993" s="259" t="str" cm="1">
        <f t="array" ref="N993">IF($L993&gt;0, INDEX(Clean,1+AK993,$D$1), "")</f>
        <v/>
      </c>
      <c r="O993" s="260"/>
      <c r="P993" s="260"/>
      <c r="Q993" s="261"/>
      <c r="R993" s="264">
        <f t="shared" si="936"/>
        <v>0</v>
      </c>
      <c r="S993" s="259" t="str" cm="1">
        <f t="array" ref="S993">IF($L993&gt;0, INDEX(Clean,1+AL993,$D$1), "")</f>
        <v/>
      </c>
      <c r="T993" s="260"/>
      <c r="U993" s="260"/>
      <c r="V993" s="261"/>
      <c r="W993" s="267"/>
      <c r="X993" s="267"/>
      <c r="Y993" s="257"/>
      <c r="Z993" s="264">
        <f t="shared" si="937"/>
        <v>0</v>
      </c>
      <c r="AA993" s="269"/>
      <c r="AB993" s="266"/>
      <c r="AC993" s="254"/>
      <c r="AD993" s="255" t="str">
        <f>IF(ISBLANK(AC993), "", VLOOKUP(AC993, Z!$A$2:$C$4127, 3, FALSE))</f>
        <v/>
      </c>
      <c r="AE993" s="270"/>
      <c r="AF993" s="265">
        <f t="shared" si="938"/>
        <v>0</v>
      </c>
      <c r="AG993" s="246"/>
      <c r="AH993" s="228">
        <f t="shared" si="961"/>
        <v>1</v>
      </c>
      <c r="AI993" s="228">
        <f t="shared" si="962"/>
        <v>1</v>
      </c>
      <c r="AJ993" s="228">
        <f t="shared" si="963"/>
        <v>0</v>
      </c>
      <c r="AK993" s="228">
        <v>0</v>
      </c>
      <c r="AL993" s="228">
        <v>0</v>
      </c>
      <c r="AM993" s="228">
        <f t="shared" si="939"/>
        <v>-100</v>
      </c>
      <c r="AN993" s="228" cm="1">
        <f t="array" ref="AN993">IF(ISBLANK(G993), 1, IFERROR(MATCH(G993, INDEX(Kat,,1), 0), IFERROR(MATCH(Kat, INDEX(Use,,2), 0), MATCH(Kat, INDEX(Use,,3), 0))))</f>
        <v>1</v>
      </c>
      <c r="AO993" s="246"/>
      <c r="AP993" s="228" cm="1">
        <f t="array" ref="AP993">IF(W993&gt;0, INDEX(Kat, AN993,4), 0)</f>
        <v>0</v>
      </c>
      <c r="AQ993" s="228">
        <f t="shared" si="964"/>
        <v>0</v>
      </c>
      <c r="AR993" s="228" cm="1">
        <f t="array" ref="AR993">IF(X993&gt;0, INDEX(Kat, $AN993, 4+AQ993), 0)</f>
        <v>0</v>
      </c>
      <c r="AS993" s="228" cm="1">
        <f t="array" ref="AS993">IF(X993&gt;0, INDEX(Kat, $AN993, 9+AQ993), 0)</f>
        <v>0</v>
      </c>
      <c r="AT993" s="246"/>
      <c r="AU993" s="262"/>
      <c r="AV993" s="262"/>
      <c r="AW993" s="263"/>
      <c r="AX993" s="263"/>
      <c r="AY993" s="263"/>
      <c r="AZ993" s="263"/>
      <c r="BA993" s="263"/>
      <c r="BB993" s="263"/>
      <c r="BC993" s="263"/>
      <c r="BD993" s="263"/>
      <c r="BE993" s="263"/>
      <c r="BF993" s="263"/>
      <c r="BG993" s="263"/>
      <c r="BH993" s="246"/>
      <c r="BI993" s="228" cm="1">
        <f t="array" ref="BI993">INDEX(Use, $AH993, 4)</f>
        <v>7</v>
      </c>
      <c r="BJ993" s="228">
        <f t="shared" si="940"/>
        <v>32</v>
      </c>
      <c r="BK993" s="228">
        <f t="shared" si="966"/>
        <v>13</v>
      </c>
      <c r="BL993" s="228">
        <f t="shared" si="967"/>
        <v>0</v>
      </c>
      <c r="BM993" s="233" cm="1">
        <f t="array" ref="BM993">L993/IF($M993&gt;0, INDEX($AY$22:$BE$76, $M993+20, $AH993), 1)</f>
        <v>0</v>
      </c>
      <c r="BN993" s="229">
        <f t="shared" si="941"/>
        <v>0</v>
      </c>
      <c r="BO993" s="228">
        <v>35</v>
      </c>
      <c r="BP993" s="229">
        <f t="shared" si="942"/>
        <v>48</v>
      </c>
      <c r="BQ993" s="234">
        <f t="shared" si="943"/>
        <v>3.0748170731707316</v>
      </c>
      <c r="BR993" s="234" cm="1">
        <f t="array" ref="BR993">$BM993 * SUMPRODUCT(INDEX($AV$76:$AX$81,,$AI993),INDEX($AY$76:$BE$81,,$AH993), N($AU$76:$AU$81&gt;$AM993)) / BQ993 / 1000</f>
        <v>0</v>
      </c>
      <c r="BS993" s="231">
        <f t="shared" si="968"/>
        <v>30</v>
      </c>
      <c r="BT993" s="229">
        <f t="shared" si="944"/>
        <v>43</v>
      </c>
      <c r="BU993" s="234">
        <f t="shared" si="945"/>
        <v>3.5018750000000001</v>
      </c>
      <c r="BV993" s="234" cm="1">
        <f t="array" ref="BV993">$BM993 * IF($AH993&lt;=2,
SUMPRODUCT(INDEX($AV$71:$AX$75,,$AI993), INDEX($AY$71:$BE$75,,$AH993), 1 / ($BF$71:$BF$75*BU993 + (1-$BF$71:$BF$75)*BQ993), N($AU$71:$AU$75&gt;$AM993)),
SUMPRODUCT(INDEX($AV$66:$AX$75,,$AI993), INDEX($AY$66:$BE$75,,$AH993), 1 / ($BG$66:$BG$75*BU993 + (1-$BG$66:$BG$75)*BQ993), N($AU$66:$AU$75&gt;$AM993))
) / 1000</f>
        <v>0</v>
      </c>
      <c r="BW993" s="231">
        <f t="shared" si="969"/>
        <v>25</v>
      </c>
      <c r="BX993" s="229">
        <f t="shared" si="946"/>
        <v>38</v>
      </c>
      <c r="BY993" s="234">
        <f t="shared" si="947"/>
        <v>4.0666935483870965</v>
      </c>
      <c r="BZ993" s="234" cm="1">
        <f t="array" ref="BZ993">$BM993 * IF($AH993&lt;=2,
SUMPRODUCT(INDEX($AV$66:$AX$70,,$AI993), INDEX($AY$66:$BE$70,,$AH993), 1 / ($BF$66:$BF$70*BY993 + (1-$BF$66:$BF$70)*BU993), N($AU$66:$AU$70&gt;$AM993)),
SUMPRODUCT(INDEX($AV$56:$AX$65,,$AI993), INDEX($AY$56:$BE$65,,$AH993), 1 / ($BG$56:$BG$65*BY993 + (1-$BG$56:$BG$65)*BU993), N($AU$56:$AU$65&gt;$AM993))
) / 1000</f>
        <v>0</v>
      </c>
      <c r="CA993" s="231">
        <f t="shared" si="970"/>
        <v>20</v>
      </c>
      <c r="CB993" s="229">
        <f t="shared" si="948"/>
        <v>33</v>
      </c>
      <c r="CC993" s="234">
        <f t="shared" si="949"/>
        <v>4.8487499999999999</v>
      </c>
      <c r="CD993" s="234" cm="1">
        <f t="array" ref="CD993">$BM993 * IF($AH993&lt;=2,
SUMPRODUCT(INDEX($AV$61:$AX$65,,$AI993), INDEX($AY$61:$BE$65,,$AH993), 1 / ($BF$61:$BF$65*CC993 + (1-$BF$61:$BF$65)*BY993), N($AU$61:$AU$65&gt;$AM993)),
SUMPRODUCT(INDEX($AV$46:$AX$55,,$AI993), INDEX($AY$46:$BE$55,,$AH993), 1 / ($BG$46:$BG$55*CC993 + (1-$BG$46:$BG$55)*BY993), N($AU$46:$AU$55&gt;$AM993))
) / 1000</f>
        <v>0</v>
      </c>
      <c r="CE993" s="234" cm="1">
        <f t="array" ref="CE993">$BM993 * IF($AH993&lt;=2,
SUMPRODUCT(INDEX($AV$22:$AX$60,,$AI993), INDEX($AY$22:$BE$60,,$AH993), 1 / ($BF$22:$BF$60*CC993), N($AU$22:$AU$60&gt;$AM993)),
SUMPRODUCT(INDEX($AV$22:$AX$45,,$AI993), INDEX($AY$22:$BE$45,,$AH993), 1 / ($BG$22:$BG$45*CC993), N($AU$22:$AU$45&gt;$AM993))
) / 1000</f>
        <v>0</v>
      </c>
      <c r="CF993" s="229">
        <f t="shared" si="950"/>
        <v>0</v>
      </c>
      <c r="CG993" s="246"/>
      <c r="CH993" s="229">
        <f t="shared" si="951"/>
        <v>0</v>
      </c>
      <c r="CI993" s="228">
        <v>35</v>
      </c>
      <c r="CJ993" s="229">
        <f t="shared" si="952"/>
        <v>48</v>
      </c>
      <c r="CK993" s="234">
        <f t="shared" si="953"/>
        <v>3.0748170731707316</v>
      </c>
      <c r="CL993" s="234" cm="1">
        <f t="array" ref="CL993">$BM993 * SUMPRODUCT(INDEX($AV$76:$AX$81,,$AI993),INDEX($AY$76:$BE$81,,$AH993), N($AU$76:$AU$81&gt;$AM993)) / CK993 / 1000</f>
        <v>0</v>
      </c>
      <c r="CM993" s="231">
        <f t="shared" si="971"/>
        <v>30</v>
      </c>
      <c r="CN993" s="229">
        <f t="shared" si="954"/>
        <v>43</v>
      </c>
      <c r="CO993" s="234">
        <f t="shared" si="955"/>
        <v>3.5018750000000001</v>
      </c>
      <c r="CP993" s="234" cm="1">
        <f t="array" ref="CP993">$BM993 * IF($AH993&lt;=2,
SUMPRODUCT(INDEX($AV$71:$AX$75,,$AI993), INDEX($AY$71:$BE$75,,$AH993), 1 / ($BF$71:$BF$75*CO993 + (1-$BF$71:$BF$75)*CK993), N($AU$71:$AU$75&gt;$AM993)),
SUMPRODUCT(INDEX($AV$66:$AX$75,,$AI993), INDEX($AY$66:$BE$75,,$AH993), 1 / ($BG$66:$BG$75*CO993 + (1-$BG$66:$BG$75)*CK993), N($AU$66:$AU$75&gt;$AM993))
) / 1000</f>
        <v>0</v>
      </c>
      <c r="CQ993" s="231">
        <f t="shared" si="972"/>
        <v>25</v>
      </c>
      <c r="CR993" s="229">
        <f t="shared" si="956"/>
        <v>38</v>
      </c>
      <c r="CS993" s="234">
        <f t="shared" si="957"/>
        <v>4.0666935483870965</v>
      </c>
      <c r="CT993" s="234" cm="1">
        <f t="array" ref="CT993">$BM993 * IF($AH993&lt;=2,
SUMPRODUCT(INDEX($AV$66:$AX$70,,$AI993), INDEX($AY$66:$BE$70,,$AH993), 1 / ($BF$66:$BF$70*CS993 + (1-$BF$66:$BF$70)*CO993), N($AU$66:$AU$70&gt;$AM993)),
SUMPRODUCT(INDEX($AV$56:$AX$65,,$AI993), INDEX($AY$56:$BE$65,,$AH993), 1 / ($BG$56:$BG$65*CS993 + (1-$BG$56:$BG$65)*CO993), N($AU$56:$AU$65&gt;$AM993))
) / 1000</f>
        <v>0</v>
      </c>
      <c r="CU993" s="231">
        <f t="shared" si="973"/>
        <v>20</v>
      </c>
      <c r="CV993" s="229">
        <f t="shared" si="958"/>
        <v>33</v>
      </c>
      <c r="CW993" s="234">
        <f t="shared" si="959"/>
        <v>4.8487499999999999</v>
      </c>
      <c r="CX993" s="234" cm="1">
        <f t="array" ref="CX993">$BM993 * IF($AH993&lt;=2,
SUMPRODUCT(INDEX($AV$61:$AX$65,,$AI993), INDEX($AY$61:$BE$65,,$AH993), 1 / ($BF$61:$BF$65*CW993 + (1-$BF$61:$BF$65)*CS993), N($AU$61:$AU$65&gt;$AM993)),
SUMPRODUCT(INDEX($AV$46:$AX$55,,$AI993), INDEX($AY$46:$BE$55,,$AH993), 1 / ($BG$46:$BG$55*CW993 + (1-$BG$46:$BG$55)*CS993), N($AU$46:$AU$55&gt;$AM993))
) / 1000</f>
        <v>0</v>
      </c>
      <c r="CY993" s="234" cm="1">
        <f t="array" ref="CY993">$BM993 * IF($AH993&lt;=2,
SUMPRODUCT(INDEX($AV$22:$AX$60,,$AI993), INDEX($AY$22:$BE$60,,$AH993), 1 / ($BF$22:$BF$60*CW993), N($AU$22:$AU$60&gt;$AM993)),
SUMPRODUCT(INDEX($AV$22:$AX$45,,$AI993), INDEX($AY$22:$BE$45,,$AH993), 1 / ($BG$22:$BG$45*CW993), N($AU$22:$AU$45&gt;$AM993))
) / 1000</f>
        <v>0</v>
      </c>
      <c r="CZ993" s="229">
        <f t="shared" si="960"/>
        <v>0</v>
      </c>
      <c r="DA993" s="246"/>
    </row>
    <row r="994" spans="1:105" s="75" customFormat="1" ht="14.25" customHeight="1" x14ac:dyDescent="0.2">
      <c r="A994" s="230" t="b">
        <f t="shared" si="965"/>
        <v>0</v>
      </c>
      <c r="B994" s="253">
        <v>973</v>
      </c>
      <c r="C994" s="266"/>
      <c r="D994" s="266"/>
      <c r="E994" s="254"/>
      <c r="F994" s="255" t="str">
        <f>IF(ISBLANK(E994), "", VLOOKUP(E994, Z!$A$2:$C$4127, 3, FALSE))</f>
        <v/>
      </c>
      <c r="G994" s="256"/>
      <c r="H994" s="256"/>
      <c r="I994" s="256"/>
      <c r="J994" s="257"/>
      <c r="K994" s="258"/>
      <c r="L994" s="267"/>
      <c r="M994" s="268"/>
      <c r="N994" s="259" t="str" cm="1">
        <f t="array" ref="N994">IF($L994&gt;0, INDEX(Clean,1+AK994,$D$1), "")</f>
        <v/>
      </c>
      <c r="O994" s="260"/>
      <c r="P994" s="260"/>
      <c r="Q994" s="261"/>
      <c r="R994" s="264">
        <f t="shared" si="936"/>
        <v>0</v>
      </c>
      <c r="S994" s="259" t="str" cm="1">
        <f t="array" ref="S994">IF($L994&gt;0, INDEX(Clean,1+AL994,$D$1), "")</f>
        <v/>
      </c>
      <c r="T994" s="260"/>
      <c r="U994" s="260"/>
      <c r="V994" s="261"/>
      <c r="W994" s="267"/>
      <c r="X994" s="267"/>
      <c r="Y994" s="257"/>
      <c r="Z994" s="264">
        <f t="shared" si="937"/>
        <v>0</v>
      </c>
      <c r="AA994" s="269"/>
      <c r="AB994" s="266"/>
      <c r="AC994" s="254"/>
      <c r="AD994" s="255" t="str">
        <f>IF(ISBLANK(AC994), "", VLOOKUP(AC994, Z!$A$2:$C$4127, 3, FALSE))</f>
        <v/>
      </c>
      <c r="AE994" s="270"/>
      <c r="AF994" s="265">
        <f t="shared" si="938"/>
        <v>0</v>
      </c>
      <c r="AG994" s="246"/>
      <c r="AH994" s="228">
        <f t="shared" si="961"/>
        <v>1</v>
      </c>
      <c r="AI994" s="228">
        <f t="shared" si="962"/>
        <v>1</v>
      </c>
      <c r="AJ994" s="228">
        <f t="shared" si="963"/>
        <v>0</v>
      </c>
      <c r="AK994" s="228">
        <v>0</v>
      </c>
      <c r="AL994" s="228">
        <v>0</v>
      </c>
      <c r="AM994" s="228">
        <f t="shared" si="939"/>
        <v>-100</v>
      </c>
      <c r="AN994" s="228" cm="1">
        <f t="array" ref="AN994">IF(ISBLANK(G994), 1, IFERROR(MATCH(G994, INDEX(Kat,,1), 0), IFERROR(MATCH(Kat, INDEX(Use,,2), 0), MATCH(Kat, INDEX(Use,,3), 0))))</f>
        <v>1</v>
      </c>
      <c r="AO994" s="246"/>
      <c r="AP994" s="228" cm="1">
        <f t="array" ref="AP994">IF(W994&gt;0, INDEX(Kat, AN994,4), 0)</f>
        <v>0</v>
      </c>
      <c r="AQ994" s="228">
        <f t="shared" si="964"/>
        <v>0</v>
      </c>
      <c r="AR994" s="228" cm="1">
        <f t="array" ref="AR994">IF(X994&gt;0, INDEX(Kat, $AN994, 4+AQ994), 0)</f>
        <v>0</v>
      </c>
      <c r="AS994" s="228" cm="1">
        <f t="array" ref="AS994">IF(X994&gt;0, INDEX(Kat, $AN994, 9+AQ994), 0)</f>
        <v>0</v>
      </c>
      <c r="AT994" s="246"/>
      <c r="AU994" s="262"/>
      <c r="AV994" s="262"/>
      <c r="AW994" s="263"/>
      <c r="AX994" s="263"/>
      <c r="AY994" s="263"/>
      <c r="AZ994" s="263"/>
      <c r="BA994" s="263"/>
      <c r="BB994" s="263"/>
      <c r="BC994" s="263"/>
      <c r="BD994" s="263"/>
      <c r="BE994" s="263"/>
      <c r="BF994" s="263"/>
      <c r="BG994" s="263"/>
      <c r="BH994" s="246"/>
      <c r="BI994" s="228" cm="1">
        <f t="array" ref="BI994">INDEX(Use, $AH994, 4)</f>
        <v>7</v>
      </c>
      <c r="BJ994" s="228">
        <f t="shared" si="940"/>
        <v>32</v>
      </c>
      <c r="BK994" s="228">
        <f t="shared" si="966"/>
        <v>13</v>
      </c>
      <c r="BL994" s="228">
        <f t="shared" si="967"/>
        <v>0</v>
      </c>
      <c r="BM994" s="233" cm="1">
        <f t="array" ref="BM994">L994/IF($M994&gt;0, INDEX($AY$22:$BE$76, $M994+20, $AH994), 1)</f>
        <v>0</v>
      </c>
      <c r="BN994" s="229">
        <f t="shared" si="941"/>
        <v>0</v>
      </c>
      <c r="BO994" s="228">
        <v>35</v>
      </c>
      <c r="BP994" s="229">
        <f t="shared" si="942"/>
        <v>48</v>
      </c>
      <c r="BQ994" s="234">
        <f t="shared" si="943"/>
        <v>3.0748170731707316</v>
      </c>
      <c r="BR994" s="234" cm="1">
        <f t="array" ref="BR994">$BM994 * SUMPRODUCT(INDEX($AV$76:$AX$81,,$AI994),INDEX($AY$76:$BE$81,,$AH994), N($AU$76:$AU$81&gt;$AM994)) / BQ994 / 1000</f>
        <v>0</v>
      </c>
      <c r="BS994" s="231">
        <f t="shared" si="968"/>
        <v>30</v>
      </c>
      <c r="BT994" s="229">
        <f t="shared" si="944"/>
        <v>43</v>
      </c>
      <c r="BU994" s="234">
        <f t="shared" si="945"/>
        <v>3.5018750000000001</v>
      </c>
      <c r="BV994" s="234" cm="1">
        <f t="array" ref="BV994">$BM994 * IF($AH994&lt;=2,
SUMPRODUCT(INDEX($AV$71:$AX$75,,$AI994), INDEX($AY$71:$BE$75,,$AH994), 1 / ($BF$71:$BF$75*BU994 + (1-$BF$71:$BF$75)*BQ994), N($AU$71:$AU$75&gt;$AM994)),
SUMPRODUCT(INDEX($AV$66:$AX$75,,$AI994), INDEX($AY$66:$BE$75,,$AH994), 1 / ($BG$66:$BG$75*BU994 + (1-$BG$66:$BG$75)*BQ994), N($AU$66:$AU$75&gt;$AM994))
) / 1000</f>
        <v>0</v>
      </c>
      <c r="BW994" s="231">
        <f t="shared" si="969"/>
        <v>25</v>
      </c>
      <c r="BX994" s="229">
        <f t="shared" si="946"/>
        <v>38</v>
      </c>
      <c r="BY994" s="234">
        <f t="shared" si="947"/>
        <v>4.0666935483870965</v>
      </c>
      <c r="BZ994" s="234" cm="1">
        <f t="array" ref="BZ994">$BM994 * IF($AH994&lt;=2,
SUMPRODUCT(INDEX($AV$66:$AX$70,,$AI994), INDEX($AY$66:$BE$70,,$AH994), 1 / ($BF$66:$BF$70*BY994 + (1-$BF$66:$BF$70)*BU994), N($AU$66:$AU$70&gt;$AM994)),
SUMPRODUCT(INDEX($AV$56:$AX$65,,$AI994), INDEX($AY$56:$BE$65,,$AH994), 1 / ($BG$56:$BG$65*BY994 + (1-$BG$56:$BG$65)*BU994), N($AU$56:$AU$65&gt;$AM994))
) / 1000</f>
        <v>0</v>
      </c>
      <c r="CA994" s="231">
        <f t="shared" si="970"/>
        <v>20</v>
      </c>
      <c r="CB994" s="229">
        <f t="shared" si="948"/>
        <v>33</v>
      </c>
      <c r="CC994" s="234">
        <f t="shared" si="949"/>
        <v>4.8487499999999999</v>
      </c>
      <c r="CD994" s="234" cm="1">
        <f t="array" ref="CD994">$BM994 * IF($AH994&lt;=2,
SUMPRODUCT(INDEX($AV$61:$AX$65,,$AI994), INDEX($AY$61:$BE$65,,$AH994), 1 / ($BF$61:$BF$65*CC994 + (1-$BF$61:$BF$65)*BY994), N($AU$61:$AU$65&gt;$AM994)),
SUMPRODUCT(INDEX($AV$46:$AX$55,,$AI994), INDEX($AY$46:$BE$55,,$AH994), 1 / ($BG$46:$BG$55*CC994 + (1-$BG$46:$BG$55)*BY994), N($AU$46:$AU$55&gt;$AM994))
) / 1000</f>
        <v>0</v>
      </c>
      <c r="CE994" s="234" cm="1">
        <f t="array" ref="CE994">$BM994 * IF($AH994&lt;=2,
SUMPRODUCT(INDEX($AV$22:$AX$60,,$AI994), INDEX($AY$22:$BE$60,,$AH994), 1 / ($BF$22:$BF$60*CC994), N($AU$22:$AU$60&gt;$AM994)),
SUMPRODUCT(INDEX($AV$22:$AX$45,,$AI994), INDEX($AY$22:$BE$45,,$AH994), 1 / ($BG$22:$BG$45*CC994), N($AU$22:$AU$45&gt;$AM994))
) / 1000</f>
        <v>0</v>
      </c>
      <c r="CF994" s="229">
        <f t="shared" si="950"/>
        <v>0</v>
      </c>
      <c r="CG994" s="246"/>
      <c r="CH994" s="229">
        <f t="shared" si="951"/>
        <v>0</v>
      </c>
      <c r="CI994" s="228">
        <v>35</v>
      </c>
      <c r="CJ994" s="229">
        <f t="shared" si="952"/>
        <v>48</v>
      </c>
      <c r="CK994" s="234">
        <f t="shared" si="953"/>
        <v>3.0748170731707316</v>
      </c>
      <c r="CL994" s="234" cm="1">
        <f t="array" ref="CL994">$BM994 * SUMPRODUCT(INDEX($AV$76:$AX$81,,$AI994),INDEX($AY$76:$BE$81,,$AH994), N($AU$76:$AU$81&gt;$AM994)) / CK994 / 1000</f>
        <v>0</v>
      </c>
      <c r="CM994" s="231">
        <f t="shared" si="971"/>
        <v>30</v>
      </c>
      <c r="CN994" s="229">
        <f t="shared" si="954"/>
        <v>43</v>
      </c>
      <c r="CO994" s="234">
        <f t="shared" si="955"/>
        <v>3.5018750000000001</v>
      </c>
      <c r="CP994" s="234" cm="1">
        <f t="array" ref="CP994">$BM994 * IF($AH994&lt;=2,
SUMPRODUCT(INDEX($AV$71:$AX$75,,$AI994), INDEX($AY$71:$BE$75,,$AH994), 1 / ($BF$71:$BF$75*CO994 + (1-$BF$71:$BF$75)*CK994), N($AU$71:$AU$75&gt;$AM994)),
SUMPRODUCT(INDEX($AV$66:$AX$75,,$AI994), INDEX($AY$66:$BE$75,,$AH994), 1 / ($BG$66:$BG$75*CO994 + (1-$BG$66:$BG$75)*CK994), N($AU$66:$AU$75&gt;$AM994))
) / 1000</f>
        <v>0</v>
      </c>
      <c r="CQ994" s="231">
        <f t="shared" si="972"/>
        <v>25</v>
      </c>
      <c r="CR994" s="229">
        <f t="shared" si="956"/>
        <v>38</v>
      </c>
      <c r="CS994" s="234">
        <f t="shared" si="957"/>
        <v>4.0666935483870965</v>
      </c>
      <c r="CT994" s="234" cm="1">
        <f t="array" ref="CT994">$BM994 * IF($AH994&lt;=2,
SUMPRODUCT(INDEX($AV$66:$AX$70,,$AI994), INDEX($AY$66:$BE$70,,$AH994), 1 / ($BF$66:$BF$70*CS994 + (1-$BF$66:$BF$70)*CO994), N($AU$66:$AU$70&gt;$AM994)),
SUMPRODUCT(INDEX($AV$56:$AX$65,,$AI994), INDEX($AY$56:$BE$65,,$AH994), 1 / ($BG$56:$BG$65*CS994 + (1-$BG$56:$BG$65)*CO994), N($AU$56:$AU$65&gt;$AM994))
) / 1000</f>
        <v>0</v>
      </c>
      <c r="CU994" s="231">
        <f t="shared" si="973"/>
        <v>20</v>
      </c>
      <c r="CV994" s="229">
        <f t="shared" si="958"/>
        <v>33</v>
      </c>
      <c r="CW994" s="234">
        <f t="shared" si="959"/>
        <v>4.8487499999999999</v>
      </c>
      <c r="CX994" s="234" cm="1">
        <f t="array" ref="CX994">$BM994 * IF($AH994&lt;=2,
SUMPRODUCT(INDEX($AV$61:$AX$65,,$AI994), INDEX($AY$61:$BE$65,,$AH994), 1 / ($BF$61:$BF$65*CW994 + (1-$BF$61:$BF$65)*CS994), N($AU$61:$AU$65&gt;$AM994)),
SUMPRODUCT(INDEX($AV$46:$AX$55,,$AI994), INDEX($AY$46:$BE$55,,$AH994), 1 / ($BG$46:$BG$55*CW994 + (1-$BG$46:$BG$55)*CS994), N($AU$46:$AU$55&gt;$AM994))
) / 1000</f>
        <v>0</v>
      </c>
      <c r="CY994" s="234" cm="1">
        <f t="array" ref="CY994">$BM994 * IF($AH994&lt;=2,
SUMPRODUCT(INDEX($AV$22:$AX$60,,$AI994), INDEX($AY$22:$BE$60,,$AH994), 1 / ($BF$22:$BF$60*CW994), N($AU$22:$AU$60&gt;$AM994)),
SUMPRODUCT(INDEX($AV$22:$AX$45,,$AI994), INDEX($AY$22:$BE$45,,$AH994), 1 / ($BG$22:$BG$45*CW994), N($AU$22:$AU$45&gt;$AM994))
) / 1000</f>
        <v>0</v>
      </c>
      <c r="CZ994" s="229">
        <f t="shared" si="960"/>
        <v>0</v>
      </c>
      <c r="DA994" s="246"/>
    </row>
    <row r="995" spans="1:105" s="75" customFormat="1" ht="14.25" customHeight="1" x14ac:dyDescent="0.2">
      <c r="A995" s="230" t="b">
        <f t="shared" si="965"/>
        <v>0</v>
      </c>
      <c r="B995" s="253">
        <v>974</v>
      </c>
      <c r="C995" s="266"/>
      <c r="D995" s="266"/>
      <c r="E995" s="254"/>
      <c r="F995" s="255" t="str">
        <f>IF(ISBLANK(E995), "", VLOOKUP(E995, Z!$A$2:$C$4127, 3, FALSE))</f>
        <v/>
      </c>
      <c r="G995" s="256"/>
      <c r="H995" s="256"/>
      <c r="I995" s="256"/>
      <c r="J995" s="257"/>
      <c r="K995" s="258"/>
      <c r="L995" s="267"/>
      <c r="M995" s="268"/>
      <c r="N995" s="259" t="str" cm="1">
        <f t="array" ref="N995">IF($L995&gt;0, INDEX(Clean,1+AK995,$D$1), "")</f>
        <v/>
      </c>
      <c r="O995" s="260"/>
      <c r="P995" s="260"/>
      <c r="Q995" s="261"/>
      <c r="R995" s="264">
        <f t="shared" si="936"/>
        <v>0</v>
      </c>
      <c r="S995" s="259" t="str" cm="1">
        <f t="array" ref="S995">IF($L995&gt;0, INDEX(Clean,1+AL995,$D$1), "")</f>
        <v/>
      </c>
      <c r="T995" s="260"/>
      <c r="U995" s="260"/>
      <c r="V995" s="261"/>
      <c r="W995" s="267"/>
      <c r="X995" s="267"/>
      <c r="Y995" s="257"/>
      <c r="Z995" s="264">
        <f t="shared" si="937"/>
        <v>0</v>
      </c>
      <c r="AA995" s="269"/>
      <c r="AB995" s="266"/>
      <c r="AC995" s="254"/>
      <c r="AD995" s="255" t="str">
        <f>IF(ISBLANK(AC995), "", VLOOKUP(AC995, Z!$A$2:$C$4127, 3, FALSE))</f>
        <v/>
      </c>
      <c r="AE995" s="270"/>
      <c r="AF995" s="265">
        <f t="shared" si="938"/>
        <v>0</v>
      </c>
      <c r="AG995" s="246"/>
      <c r="AH995" s="228">
        <f t="shared" si="961"/>
        <v>1</v>
      </c>
      <c r="AI995" s="228">
        <f t="shared" si="962"/>
        <v>1</v>
      </c>
      <c r="AJ995" s="228">
        <f t="shared" si="963"/>
        <v>0</v>
      </c>
      <c r="AK995" s="228">
        <v>0</v>
      </c>
      <c r="AL995" s="228">
        <v>0</v>
      </c>
      <c r="AM995" s="228">
        <f t="shared" si="939"/>
        <v>-100</v>
      </c>
      <c r="AN995" s="228" cm="1">
        <f t="array" ref="AN995">IF(ISBLANK(G995), 1, IFERROR(MATCH(G995, INDEX(Kat,,1), 0), IFERROR(MATCH(Kat, INDEX(Use,,2), 0), MATCH(Kat, INDEX(Use,,3), 0))))</f>
        <v>1</v>
      </c>
      <c r="AO995" s="246"/>
      <c r="AP995" s="228" cm="1">
        <f t="array" ref="AP995">IF(W995&gt;0, INDEX(Kat, AN995,4), 0)</f>
        <v>0</v>
      </c>
      <c r="AQ995" s="228">
        <f t="shared" si="964"/>
        <v>0</v>
      </c>
      <c r="AR995" s="228" cm="1">
        <f t="array" ref="AR995">IF(X995&gt;0, INDEX(Kat, $AN995, 4+AQ995), 0)</f>
        <v>0</v>
      </c>
      <c r="AS995" s="228" cm="1">
        <f t="array" ref="AS995">IF(X995&gt;0, INDEX(Kat, $AN995, 9+AQ995), 0)</f>
        <v>0</v>
      </c>
      <c r="AT995" s="246"/>
      <c r="AU995" s="262"/>
      <c r="AV995" s="262"/>
      <c r="AW995" s="263"/>
      <c r="AX995" s="263"/>
      <c r="AY995" s="263"/>
      <c r="AZ995" s="263"/>
      <c r="BA995" s="263"/>
      <c r="BB995" s="263"/>
      <c r="BC995" s="263"/>
      <c r="BD995" s="263"/>
      <c r="BE995" s="263"/>
      <c r="BF995" s="263"/>
      <c r="BG995" s="263"/>
      <c r="BH995" s="246"/>
      <c r="BI995" s="228" cm="1">
        <f t="array" ref="BI995">INDEX(Use, $AH995, 4)</f>
        <v>7</v>
      </c>
      <c r="BJ995" s="228">
        <f t="shared" si="940"/>
        <v>32</v>
      </c>
      <c r="BK995" s="228">
        <f t="shared" si="966"/>
        <v>13</v>
      </c>
      <c r="BL995" s="228">
        <f t="shared" si="967"/>
        <v>0</v>
      </c>
      <c r="BM995" s="233" cm="1">
        <f t="array" ref="BM995">L995/IF($M995&gt;0, INDEX($AY$22:$BE$76, $M995+20, $AH995), 1)</f>
        <v>0</v>
      </c>
      <c r="BN995" s="229">
        <f t="shared" si="941"/>
        <v>0</v>
      </c>
      <c r="BO995" s="228">
        <v>35</v>
      </c>
      <c r="BP995" s="229">
        <f t="shared" si="942"/>
        <v>48</v>
      </c>
      <c r="BQ995" s="234">
        <f t="shared" si="943"/>
        <v>3.0748170731707316</v>
      </c>
      <c r="BR995" s="234" cm="1">
        <f t="array" ref="BR995">$BM995 * SUMPRODUCT(INDEX($AV$76:$AX$81,,$AI995),INDEX($AY$76:$BE$81,,$AH995), N($AU$76:$AU$81&gt;$AM995)) / BQ995 / 1000</f>
        <v>0</v>
      </c>
      <c r="BS995" s="231">
        <f t="shared" si="968"/>
        <v>30</v>
      </c>
      <c r="BT995" s="229">
        <f t="shared" si="944"/>
        <v>43</v>
      </c>
      <c r="BU995" s="234">
        <f t="shared" si="945"/>
        <v>3.5018750000000001</v>
      </c>
      <c r="BV995" s="234" cm="1">
        <f t="array" ref="BV995">$BM995 * IF($AH995&lt;=2,
SUMPRODUCT(INDEX($AV$71:$AX$75,,$AI995), INDEX($AY$71:$BE$75,,$AH995), 1 / ($BF$71:$BF$75*BU995 + (1-$BF$71:$BF$75)*BQ995), N($AU$71:$AU$75&gt;$AM995)),
SUMPRODUCT(INDEX($AV$66:$AX$75,,$AI995), INDEX($AY$66:$BE$75,,$AH995), 1 / ($BG$66:$BG$75*BU995 + (1-$BG$66:$BG$75)*BQ995), N($AU$66:$AU$75&gt;$AM995))
) / 1000</f>
        <v>0</v>
      </c>
      <c r="BW995" s="231">
        <f t="shared" si="969"/>
        <v>25</v>
      </c>
      <c r="BX995" s="229">
        <f t="shared" si="946"/>
        <v>38</v>
      </c>
      <c r="BY995" s="234">
        <f t="shared" si="947"/>
        <v>4.0666935483870965</v>
      </c>
      <c r="BZ995" s="234" cm="1">
        <f t="array" ref="BZ995">$BM995 * IF($AH995&lt;=2,
SUMPRODUCT(INDEX($AV$66:$AX$70,,$AI995), INDEX($AY$66:$BE$70,,$AH995), 1 / ($BF$66:$BF$70*BY995 + (1-$BF$66:$BF$70)*BU995), N($AU$66:$AU$70&gt;$AM995)),
SUMPRODUCT(INDEX($AV$56:$AX$65,,$AI995), INDEX($AY$56:$BE$65,,$AH995), 1 / ($BG$56:$BG$65*BY995 + (1-$BG$56:$BG$65)*BU995), N($AU$56:$AU$65&gt;$AM995))
) / 1000</f>
        <v>0</v>
      </c>
      <c r="CA995" s="231">
        <f t="shared" si="970"/>
        <v>20</v>
      </c>
      <c r="CB995" s="229">
        <f t="shared" si="948"/>
        <v>33</v>
      </c>
      <c r="CC995" s="234">
        <f t="shared" si="949"/>
        <v>4.8487499999999999</v>
      </c>
      <c r="CD995" s="234" cm="1">
        <f t="array" ref="CD995">$BM995 * IF($AH995&lt;=2,
SUMPRODUCT(INDEX($AV$61:$AX$65,,$AI995), INDEX($AY$61:$BE$65,,$AH995), 1 / ($BF$61:$BF$65*CC995 + (1-$BF$61:$BF$65)*BY995), N($AU$61:$AU$65&gt;$AM995)),
SUMPRODUCT(INDEX($AV$46:$AX$55,,$AI995), INDEX($AY$46:$BE$55,,$AH995), 1 / ($BG$46:$BG$55*CC995 + (1-$BG$46:$BG$55)*BY995), N($AU$46:$AU$55&gt;$AM995))
) / 1000</f>
        <v>0</v>
      </c>
      <c r="CE995" s="234" cm="1">
        <f t="array" ref="CE995">$BM995 * IF($AH995&lt;=2,
SUMPRODUCT(INDEX($AV$22:$AX$60,,$AI995), INDEX($AY$22:$BE$60,,$AH995), 1 / ($BF$22:$BF$60*CC995), N($AU$22:$AU$60&gt;$AM995)),
SUMPRODUCT(INDEX($AV$22:$AX$45,,$AI995), INDEX($AY$22:$BE$45,,$AH995), 1 / ($BG$22:$BG$45*CC995), N($AU$22:$AU$45&gt;$AM995))
) / 1000</f>
        <v>0</v>
      </c>
      <c r="CF995" s="229">
        <f t="shared" si="950"/>
        <v>0</v>
      </c>
      <c r="CG995" s="246"/>
      <c r="CH995" s="229">
        <f t="shared" si="951"/>
        <v>0</v>
      </c>
      <c r="CI995" s="228">
        <v>35</v>
      </c>
      <c r="CJ995" s="229">
        <f t="shared" si="952"/>
        <v>48</v>
      </c>
      <c r="CK995" s="234">
        <f t="shared" si="953"/>
        <v>3.0748170731707316</v>
      </c>
      <c r="CL995" s="234" cm="1">
        <f t="array" ref="CL995">$BM995 * SUMPRODUCT(INDEX($AV$76:$AX$81,,$AI995),INDEX($AY$76:$BE$81,,$AH995), N($AU$76:$AU$81&gt;$AM995)) / CK995 / 1000</f>
        <v>0</v>
      </c>
      <c r="CM995" s="231">
        <f t="shared" si="971"/>
        <v>30</v>
      </c>
      <c r="CN995" s="229">
        <f t="shared" si="954"/>
        <v>43</v>
      </c>
      <c r="CO995" s="234">
        <f t="shared" si="955"/>
        <v>3.5018750000000001</v>
      </c>
      <c r="CP995" s="234" cm="1">
        <f t="array" ref="CP995">$BM995 * IF($AH995&lt;=2,
SUMPRODUCT(INDEX($AV$71:$AX$75,,$AI995), INDEX($AY$71:$BE$75,,$AH995), 1 / ($BF$71:$BF$75*CO995 + (1-$BF$71:$BF$75)*CK995), N($AU$71:$AU$75&gt;$AM995)),
SUMPRODUCT(INDEX($AV$66:$AX$75,,$AI995), INDEX($AY$66:$BE$75,,$AH995), 1 / ($BG$66:$BG$75*CO995 + (1-$BG$66:$BG$75)*CK995), N($AU$66:$AU$75&gt;$AM995))
) / 1000</f>
        <v>0</v>
      </c>
      <c r="CQ995" s="231">
        <f t="shared" si="972"/>
        <v>25</v>
      </c>
      <c r="CR995" s="229">
        <f t="shared" si="956"/>
        <v>38</v>
      </c>
      <c r="CS995" s="234">
        <f t="shared" si="957"/>
        <v>4.0666935483870965</v>
      </c>
      <c r="CT995" s="234" cm="1">
        <f t="array" ref="CT995">$BM995 * IF($AH995&lt;=2,
SUMPRODUCT(INDEX($AV$66:$AX$70,,$AI995), INDEX($AY$66:$BE$70,,$AH995), 1 / ($BF$66:$BF$70*CS995 + (1-$BF$66:$BF$70)*CO995), N($AU$66:$AU$70&gt;$AM995)),
SUMPRODUCT(INDEX($AV$56:$AX$65,,$AI995), INDEX($AY$56:$BE$65,,$AH995), 1 / ($BG$56:$BG$65*CS995 + (1-$BG$56:$BG$65)*CO995), N($AU$56:$AU$65&gt;$AM995))
) / 1000</f>
        <v>0</v>
      </c>
      <c r="CU995" s="231">
        <f t="shared" si="973"/>
        <v>20</v>
      </c>
      <c r="CV995" s="229">
        <f t="shared" si="958"/>
        <v>33</v>
      </c>
      <c r="CW995" s="234">
        <f t="shared" si="959"/>
        <v>4.8487499999999999</v>
      </c>
      <c r="CX995" s="234" cm="1">
        <f t="array" ref="CX995">$BM995 * IF($AH995&lt;=2,
SUMPRODUCT(INDEX($AV$61:$AX$65,,$AI995), INDEX($AY$61:$BE$65,,$AH995), 1 / ($BF$61:$BF$65*CW995 + (1-$BF$61:$BF$65)*CS995), N($AU$61:$AU$65&gt;$AM995)),
SUMPRODUCT(INDEX($AV$46:$AX$55,,$AI995), INDEX($AY$46:$BE$55,,$AH995), 1 / ($BG$46:$BG$55*CW995 + (1-$BG$46:$BG$55)*CS995), N($AU$46:$AU$55&gt;$AM995))
) / 1000</f>
        <v>0</v>
      </c>
      <c r="CY995" s="234" cm="1">
        <f t="array" ref="CY995">$BM995 * IF($AH995&lt;=2,
SUMPRODUCT(INDEX($AV$22:$AX$60,,$AI995), INDEX($AY$22:$BE$60,,$AH995), 1 / ($BF$22:$BF$60*CW995), N($AU$22:$AU$60&gt;$AM995)),
SUMPRODUCT(INDEX($AV$22:$AX$45,,$AI995), INDEX($AY$22:$BE$45,,$AH995), 1 / ($BG$22:$BG$45*CW995), N($AU$22:$AU$45&gt;$AM995))
) / 1000</f>
        <v>0</v>
      </c>
      <c r="CZ995" s="229">
        <f t="shared" si="960"/>
        <v>0</v>
      </c>
      <c r="DA995" s="246"/>
    </row>
    <row r="996" spans="1:105" s="75" customFormat="1" ht="14.25" customHeight="1" x14ac:dyDescent="0.2">
      <c r="A996" s="230" t="b">
        <f t="shared" si="965"/>
        <v>0</v>
      </c>
      <c r="B996" s="253">
        <v>975</v>
      </c>
      <c r="C996" s="266"/>
      <c r="D996" s="266"/>
      <c r="E996" s="254"/>
      <c r="F996" s="255" t="str">
        <f>IF(ISBLANK(E996), "", VLOOKUP(E996, Z!$A$2:$C$4127, 3, FALSE))</f>
        <v/>
      </c>
      <c r="G996" s="256"/>
      <c r="H996" s="256"/>
      <c r="I996" s="256"/>
      <c r="J996" s="257"/>
      <c r="K996" s="258"/>
      <c r="L996" s="267"/>
      <c r="M996" s="268"/>
      <c r="N996" s="259" t="str" cm="1">
        <f t="array" ref="N996">IF($L996&gt;0, INDEX(Clean,1+AK996,$D$1), "")</f>
        <v/>
      </c>
      <c r="O996" s="260"/>
      <c r="P996" s="260"/>
      <c r="Q996" s="261"/>
      <c r="R996" s="264">
        <f t="shared" si="936"/>
        <v>0</v>
      </c>
      <c r="S996" s="259" t="str" cm="1">
        <f t="array" ref="S996">IF($L996&gt;0, INDEX(Clean,1+AL996,$D$1), "")</f>
        <v/>
      </c>
      <c r="T996" s="260"/>
      <c r="U996" s="260"/>
      <c r="V996" s="261"/>
      <c r="W996" s="267"/>
      <c r="X996" s="267"/>
      <c r="Y996" s="257"/>
      <c r="Z996" s="264">
        <f t="shared" si="937"/>
        <v>0</v>
      </c>
      <c r="AA996" s="269"/>
      <c r="AB996" s="266"/>
      <c r="AC996" s="254"/>
      <c r="AD996" s="255" t="str">
        <f>IF(ISBLANK(AC996), "", VLOOKUP(AC996, Z!$A$2:$C$4127, 3, FALSE))</f>
        <v/>
      </c>
      <c r="AE996" s="270"/>
      <c r="AF996" s="265">
        <f t="shared" si="938"/>
        <v>0</v>
      </c>
      <c r="AG996" s="246"/>
      <c r="AH996" s="228">
        <f t="shared" si="961"/>
        <v>1</v>
      </c>
      <c r="AI996" s="228">
        <f t="shared" si="962"/>
        <v>1</v>
      </c>
      <c r="AJ996" s="228">
        <f t="shared" si="963"/>
        <v>0</v>
      </c>
      <c r="AK996" s="228">
        <v>0</v>
      </c>
      <c r="AL996" s="228">
        <v>0</v>
      </c>
      <c r="AM996" s="228">
        <f t="shared" si="939"/>
        <v>-100</v>
      </c>
      <c r="AN996" s="228" cm="1">
        <f t="array" ref="AN996">IF(ISBLANK(G996), 1, IFERROR(MATCH(G996, INDEX(Kat,,1), 0), IFERROR(MATCH(Kat, INDEX(Use,,2), 0), MATCH(Kat, INDEX(Use,,3), 0))))</f>
        <v>1</v>
      </c>
      <c r="AO996" s="246"/>
      <c r="AP996" s="228" cm="1">
        <f t="array" ref="AP996">IF(W996&gt;0, INDEX(Kat, AN996,4), 0)</f>
        <v>0</v>
      </c>
      <c r="AQ996" s="228">
        <f t="shared" si="964"/>
        <v>0</v>
      </c>
      <c r="AR996" s="228" cm="1">
        <f t="array" ref="AR996">IF(X996&gt;0, INDEX(Kat, $AN996, 4+AQ996), 0)</f>
        <v>0</v>
      </c>
      <c r="AS996" s="228" cm="1">
        <f t="array" ref="AS996">IF(X996&gt;0, INDEX(Kat, $AN996, 9+AQ996), 0)</f>
        <v>0</v>
      </c>
      <c r="AT996" s="246"/>
      <c r="AU996" s="262"/>
      <c r="AV996" s="262"/>
      <c r="AW996" s="263"/>
      <c r="AX996" s="263"/>
      <c r="AY996" s="263"/>
      <c r="AZ996" s="263"/>
      <c r="BA996" s="263"/>
      <c r="BB996" s="263"/>
      <c r="BC996" s="263"/>
      <c r="BD996" s="263"/>
      <c r="BE996" s="263"/>
      <c r="BF996" s="263"/>
      <c r="BG996" s="263"/>
      <c r="BH996" s="246"/>
      <c r="BI996" s="228" cm="1">
        <f t="array" ref="BI996">INDEX(Use, $AH996, 4)</f>
        <v>7</v>
      </c>
      <c r="BJ996" s="228">
        <f t="shared" si="940"/>
        <v>32</v>
      </c>
      <c r="BK996" s="228">
        <f t="shared" si="966"/>
        <v>13</v>
      </c>
      <c r="BL996" s="228">
        <f t="shared" si="967"/>
        <v>0</v>
      </c>
      <c r="BM996" s="233" cm="1">
        <f t="array" ref="BM996">L996/IF($M996&gt;0, INDEX($AY$22:$BE$76, $M996+20, $AH996), 1)</f>
        <v>0</v>
      </c>
      <c r="BN996" s="229">
        <f t="shared" si="941"/>
        <v>0</v>
      </c>
      <c r="BO996" s="228">
        <v>35</v>
      </c>
      <c r="BP996" s="229">
        <f t="shared" si="942"/>
        <v>48</v>
      </c>
      <c r="BQ996" s="234">
        <f t="shared" si="943"/>
        <v>3.0748170731707316</v>
      </c>
      <c r="BR996" s="234" cm="1">
        <f t="array" ref="BR996">$BM996 * SUMPRODUCT(INDEX($AV$76:$AX$81,,$AI996),INDEX($AY$76:$BE$81,,$AH996), N($AU$76:$AU$81&gt;$AM996)) / BQ996 / 1000</f>
        <v>0</v>
      </c>
      <c r="BS996" s="231">
        <f t="shared" si="968"/>
        <v>30</v>
      </c>
      <c r="BT996" s="229">
        <f t="shared" si="944"/>
        <v>43</v>
      </c>
      <c r="BU996" s="234">
        <f t="shared" si="945"/>
        <v>3.5018750000000001</v>
      </c>
      <c r="BV996" s="234" cm="1">
        <f t="array" ref="BV996">$BM996 * IF($AH996&lt;=2,
SUMPRODUCT(INDEX($AV$71:$AX$75,,$AI996), INDEX($AY$71:$BE$75,,$AH996), 1 / ($BF$71:$BF$75*BU996 + (1-$BF$71:$BF$75)*BQ996), N($AU$71:$AU$75&gt;$AM996)),
SUMPRODUCT(INDEX($AV$66:$AX$75,,$AI996), INDEX($AY$66:$BE$75,,$AH996), 1 / ($BG$66:$BG$75*BU996 + (1-$BG$66:$BG$75)*BQ996), N($AU$66:$AU$75&gt;$AM996))
) / 1000</f>
        <v>0</v>
      </c>
      <c r="BW996" s="231">
        <f t="shared" si="969"/>
        <v>25</v>
      </c>
      <c r="BX996" s="229">
        <f t="shared" si="946"/>
        <v>38</v>
      </c>
      <c r="BY996" s="234">
        <f t="shared" si="947"/>
        <v>4.0666935483870965</v>
      </c>
      <c r="BZ996" s="234" cm="1">
        <f t="array" ref="BZ996">$BM996 * IF($AH996&lt;=2,
SUMPRODUCT(INDEX($AV$66:$AX$70,,$AI996), INDEX($AY$66:$BE$70,,$AH996), 1 / ($BF$66:$BF$70*BY996 + (1-$BF$66:$BF$70)*BU996), N($AU$66:$AU$70&gt;$AM996)),
SUMPRODUCT(INDEX($AV$56:$AX$65,,$AI996), INDEX($AY$56:$BE$65,,$AH996), 1 / ($BG$56:$BG$65*BY996 + (1-$BG$56:$BG$65)*BU996), N($AU$56:$AU$65&gt;$AM996))
) / 1000</f>
        <v>0</v>
      </c>
      <c r="CA996" s="231">
        <f t="shared" si="970"/>
        <v>20</v>
      </c>
      <c r="CB996" s="229">
        <f t="shared" si="948"/>
        <v>33</v>
      </c>
      <c r="CC996" s="234">
        <f t="shared" si="949"/>
        <v>4.8487499999999999</v>
      </c>
      <c r="CD996" s="234" cm="1">
        <f t="array" ref="CD996">$BM996 * IF($AH996&lt;=2,
SUMPRODUCT(INDEX($AV$61:$AX$65,,$AI996), INDEX($AY$61:$BE$65,,$AH996), 1 / ($BF$61:$BF$65*CC996 + (1-$BF$61:$BF$65)*BY996), N($AU$61:$AU$65&gt;$AM996)),
SUMPRODUCT(INDEX($AV$46:$AX$55,,$AI996), INDEX($AY$46:$BE$55,,$AH996), 1 / ($BG$46:$BG$55*CC996 + (1-$BG$46:$BG$55)*BY996), N($AU$46:$AU$55&gt;$AM996))
) / 1000</f>
        <v>0</v>
      </c>
      <c r="CE996" s="234" cm="1">
        <f t="array" ref="CE996">$BM996 * IF($AH996&lt;=2,
SUMPRODUCT(INDEX($AV$22:$AX$60,,$AI996), INDEX($AY$22:$BE$60,,$AH996), 1 / ($BF$22:$BF$60*CC996), N($AU$22:$AU$60&gt;$AM996)),
SUMPRODUCT(INDEX($AV$22:$AX$45,,$AI996), INDEX($AY$22:$BE$45,,$AH996), 1 / ($BG$22:$BG$45*CC996), N($AU$22:$AU$45&gt;$AM996))
) / 1000</f>
        <v>0</v>
      </c>
      <c r="CF996" s="229">
        <f t="shared" si="950"/>
        <v>0</v>
      </c>
      <c r="CG996" s="246"/>
      <c r="CH996" s="229">
        <f t="shared" si="951"/>
        <v>0</v>
      </c>
      <c r="CI996" s="228">
        <v>35</v>
      </c>
      <c r="CJ996" s="229">
        <f t="shared" si="952"/>
        <v>48</v>
      </c>
      <c r="CK996" s="234">
        <f t="shared" si="953"/>
        <v>3.0748170731707316</v>
      </c>
      <c r="CL996" s="234" cm="1">
        <f t="array" ref="CL996">$BM996 * SUMPRODUCT(INDEX($AV$76:$AX$81,,$AI996),INDEX($AY$76:$BE$81,,$AH996), N($AU$76:$AU$81&gt;$AM996)) / CK996 / 1000</f>
        <v>0</v>
      </c>
      <c r="CM996" s="231">
        <f t="shared" si="971"/>
        <v>30</v>
      </c>
      <c r="CN996" s="229">
        <f t="shared" si="954"/>
        <v>43</v>
      </c>
      <c r="CO996" s="234">
        <f t="shared" si="955"/>
        <v>3.5018750000000001</v>
      </c>
      <c r="CP996" s="234" cm="1">
        <f t="array" ref="CP996">$BM996 * IF($AH996&lt;=2,
SUMPRODUCT(INDEX($AV$71:$AX$75,,$AI996), INDEX($AY$71:$BE$75,,$AH996), 1 / ($BF$71:$BF$75*CO996 + (1-$BF$71:$BF$75)*CK996), N($AU$71:$AU$75&gt;$AM996)),
SUMPRODUCT(INDEX($AV$66:$AX$75,,$AI996), INDEX($AY$66:$BE$75,,$AH996), 1 / ($BG$66:$BG$75*CO996 + (1-$BG$66:$BG$75)*CK996), N($AU$66:$AU$75&gt;$AM996))
) / 1000</f>
        <v>0</v>
      </c>
      <c r="CQ996" s="231">
        <f t="shared" si="972"/>
        <v>25</v>
      </c>
      <c r="CR996" s="229">
        <f t="shared" si="956"/>
        <v>38</v>
      </c>
      <c r="CS996" s="234">
        <f t="shared" si="957"/>
        <v>4.0666935483870965</v>
      </c>
      <c r="CT996" s="234" cm="1">
        <f t="array" ref="CT996">$BM996 * IF($AH996&lt;=2,
SUMPRODUCT(INDEX($AV$66:$AX$70,,$AI996), INDEX($AY$66:$BE$70,,$AH996), 1 / ($BF$66:$BF$70*CS996 + (1-$BF$66:$BF$70)*CO996), N($AU$66:$AU$70&gt;$AM996)),
SUMPRODUCT(INDEX($AV$56:$AX$65,,$AI996), INDEX($AY$56:$BE$65,,$AH996), 1 / ($BG$56:$BG$65*CS996 + (1-$BG$56:$BG$65)*CO996), N($AU$56:$AU$65&gt;$AM996))
) / 1000</f>
        <v>0</v>
      </c>
      <c r="CU996" s="231">
        <f t="shared" si="973"/>
        <v>20</v>
      </c>
      <c r="CV996" s="229">
        <f t="shared" si="958"/>
        <v>33</v>
      </c>
      <c r="CW996" s="234">
        <f t="shared" si="959"/>
        <v>4.8487499999999999</v>
      </c>
      <c r="CX996" s="234" cm="1">
        <f t="array" ref="CX996">$BM996 * IF($AH996&lt;=2,
SUMPRODUCT(INDEX($AV$61:$AX$65,,$AI996), INDEX($AY$61:$BE$65,,$AH996), 1 / ($BF$61:$BF$65*CW996 + (1-$BF$61:$BF$65)*CS996), N($AU$61:$AU$65&gt;$AM996)),
SUMPRODUCT(INDEX($AV$46:$AX$55,,$AI996), INDEX($AY$46:$BE$55,,$AH996), 1 / ($BG$46:$BG$55*CW996 + (1-$BG$46:$BG$55)*CS996), N($AU$46:$AU$55&gt;$AM996))
) / 1000</f>
        <v>0</v>
      </c>
      <c r="CY996" s="234" cm="1">
        <f t="array" ref="CY996">$BM996 * IF($AH996&lt;=2,
SUMPRODUCT(INDEX($AV$22:$AX$60,,$AI996), INDEX($AY$22:$BE$60,,$AH996), 1 / ($BF$22:$BF$60*CW996), N($AU$22:$AU$60&gt;$AM996)),
SUMPRODUCT(INDEX($AV$22:$AX$45,,$AI996), INDEX($AY$22:$BE$45,,$AH996), 1 / ($BG$22:$BG$45*CW996), N($AU$22:$AU$45&gt;$AM996))
) / 1000</f>
        <v>0</v>
      </c>
      <c r="CZ996" s="229">
        <f t="shared" si="960"/>
        <v>0</v>
      </c>
      <c r="DA996" s="246"/>
    </row>
    <row r="997" spans="1:105" s="75" customFormat="1" ht="14.25" customHeight="1" x14ac:dyDescent="0.2">
      <c r="A997" s="230" t="b">
        <f t="shared" si="965"/>
        <v>0</v>
      </c>
      <c r="B997" s="253">
        <v>976</v>
      </c>
      <c r="C997" s="266"/>
      <c r="D997" s="266"/>
      <c r="E997" s="254"/>
      <c r="F997" s="255" t="str">
        <f>IF(ISBLANK(E997), "", VLOOKUP(E997, Z!$A$2:$C$4127, 3, FALSE))</f>
        <v/>
      </c>
      <c r="G997" s="256"/>
      <c r="H997" s="256"/>
      <c r="I997" s="256"/>
      <c r="J997" s="257"/>
      <c r="K997" s="258"/>
      <c r="L997" s="267"/>
      <c r="M997" s="268"/>
      <c r="N997" s="259" t="str" cm="1">
        <f t="array" ref="N997">IF($L997&gt;0, INDEX(Clean,1+AK997,$D$1), "")</f>
        <v/>
      </c>
      <c r="O997" s="260"/>
      <c r="P997" s="260"/>
      <c r="Q997" s="261"/>
      <c r="R997" s="264">
        <f t="shared" si="936"/>
        <v>0</v>
      </c>
      <c r="S997" s="259" t="str" cm="1">
        <f t="array" ref="S997">IF($L997&gt;0, INDEX(Clean,1+AL997,$D$1), "")</f>
        <v/>
      </c>
      <c r="T997" s="260"/>
      <c r="U997" s="260"/>
      <c r="V997" s="261"/>
      <c r="W997" s="267"/>
      <c r="X997" s="267"/>
      <c r="Y997" s="257"/>
      <c r="Z997" s="264">
        <f t="shared" si="937"/>
        <v>0</v>
      </c>
      <c r="AA997" s="269"/>
      <c r="AB997" s="266"/>
      <c r="AC997" s="254"/>
      <c r="AD997" s="255" t="str">
        <f>IF(ISBLANK(AC997), "", VLOOKUP(AC997, Z!$A$2:$C$4127, 3, FALSE))</f>
        <v/>
      </c>
      <c r="AE997" s="270"/>
      <c r="AF997" s="265">
        <f t="shared" si="938"/>
        <v>0</v>
      </c>
      <c r="AG997" s="246"/>
      <c r="AH997" s="228">
        <f t="shared" si="961"/>
        <v>1</v>
      </c>
      <c r="AI997" s="228">
        <f t="shared" si="962"/>
        <v>1</v>
      </c>
      <c r="AJ997" s="228">
        <f t="shared" si="963"/>
        <v>0</v>
      </c>
      <c r="AK997" s="228">
        <v>0</v>
      </c>
      <c r="AL997" s="228">
        <v>0</v>
      </c>
      <c r="AM997" s="228">
        <f t="shared" si="939"/>
        <v>-100</v>
      </c>
      <c r="AN997" s="228" cm="1">
        <f t="array" ref="AN997">IF(ISBLANK(G997), 1, IFERROR(MATCH(G997, INDEX(Kat,,1), 0), IFERROR(MATCH(Kat, INDEX(Use,,2), 0), MATCH(Kat, INDEX(Use,,3), 0))))</f>
        <v>1</v>
      </c>
      <c r="AO997" s="246"/>
      <c r="AP997" s="228" cm="1">
        <f t="array" ref="AP997">IF(W997&gt;0, INDEX(Kat, AN997,4), 0)</f>
        <v>0</v>
      </c>
      <c r="AQ997" s="228">
        <f t="shared" si="964"/>
        <v>0</v>
      </c>
      <c r="AR997" s="228" cm="1">
        <f t="array" ref="AR997">IF(X997&gt;0, INDEX(Kat, $AN997, 4+AQ997), 0)</f>
        <v>0</v>
      </c>
      <c r="AS997" s="228" cm="1">
        <f t="array" ref="AS997">IF(X997&gt;0, INDEX(Kat, $AN997, 9+AQ997), 0)</f>
        <v>0</v>
      </c>
      <c r="AT997" s="246"/>
      <c r="AU997" s="262"/>
      <c r="AV997" s="262"/>
      <c r="AW997" s="263"/>
      <c r="AX997" s="263"/>
      <c r="AY997" s="263"/>
      <c r="AZ997" s="263"/>
      <c r="BA997" s="263"/>
      <c r="BB997" s="263"/>
      <c r="BC997" s="263"/>
      <c r="BD997" s="263"/>
      <c r="BE997" s="263"/>
      <c r="BF997" s="263"/>
      <c r="BG997" s="263"/>
      <c r="BH997" s="246"/>
      <c r="BI997" s="228" cm="1">
        <f t="array" ref="BI997">INDEX(Use, $AH997, 4)</f>
        <v>7</v>
      </c>
      <c r="BJ997" s="228">
        <f t="shared" si="940"/>
        <v>32</v>
      </c>
      <c r="BK997" s="228">
        <f t="shared" si="966"/>
        <v>13</v>
      </c>
      <c r="BL997" s="228">
        <f t="shared" si="967"/>
        <v>0</v>
      </c>
      <c r="BM997" s="233" cm="1">
        <f t="array" ref="BM997">L997/IF($M997&gt;0, INDEX($AY$22:$BE$76, $M997+20, $AH997), 1)</f>
        <v>0</v>
      </c>
      <c r="BN997" s="229">
        <f t="shared" si="941"/>
        <v>0</v>
      </c>
      <c r="BO997" s="228">
        <v>35</v>
      </c>
      <c r="BP997" s="229">
        <f t="shared" si="942"/>
        <v>48</v>
      </c>
      <c r="BQ997" s="234">
        <f t="shared" si="943"/>
        <v>3.0748170731707316</v>
      </c>
      <c r="BR997" s="234" cm="1">
        <f t="array" ref="BR997">$BM997 * SUMPRODUCT(INDEX($AV$76:$AX$81,,$AI997),INDEX($AY$76:$BE$81,,$AH997), N($AU$76:$AU$81&gt;$AM997)) / BQ997 / 1000</f>
        <v>0</v>
      </c>
      <c r="BS997" s="231">
        <f t="shared" si="968"/>
        <v>30</v>
      </c>
      <c r="BT997" s="229">
        <f t="shared" si="944"/>
        <v>43</v>
      </c>
      <c r="BU997" s="234">
        <f t="shared" si="945"/>
        <v>3.5018750000000001</v>
      </c>
      <c r="BV997" s="234" cm="1">
        <f t="array" ref="BV997">$BM997 * IF($AH997&lt;=2,
SUMPRODUCT(INDEX($AV$71:$AX$75,,$AI997), INDEX($AY$71:$BE$75,,$AH997), 1 / ($BF$71:$BF$75*BU997 + (1-$BF$71:$BF$75)*BQ997), N($AU$71:$AU$75&gt;$AM997)),
SUMPRODUCT(INDEX($AV$66:$AX$75,,$AI997), INDEX($AY$66:$BE$75,,$AH997), 1 / ($BG$66:$BG$75*BU997 + (1-$BG$66:$BG$75)*BQ997), N($AU$66:$AU$75&gt;$AM997))
) / 1000</f>
        <v>0</v>
      </c>
      <c r="BW997" s="231">
        <f t="shared" si="969"/>
        <v>25</v>
      </c>
      <c r="BX997" s="229">
        <f t="shared" si="946"/>
        <v>38</v>
      </c>
      <c r="BY997" s="234">
        <f t="shared" si="947"/>
        <v>4.0666935483870965</v>
      </c>
      <c r="BZ997" s="234" cm="1">
        <f t="array" ref="BZ997">$BM997 * IF($AH997&lt;=2,
SUMPRODUCT(INDEX($AV$66:$AX$70,,$AI997), INDEX($AY$66:$BE$70,,$AH997), 1 / ($BF$66:$BF$70*BY997 + (1-$BF$66:$BF$70)*BU997), N($AU$66:$AU$70&gt;$AM997)),
SUMPRODUCT(INDEX($AV$56:$AX$65,,$AI997), INDEX($AY$56:$BE$65,,$AH997), 1 / ($BG$56:$BG$65*BY997 + (1-$BG$56:$BG$65)*BU997), N($AU$56:$AU$65&gt;$AM997))
) / 1000</f>
        <v>0</v>
      </c>
      <c r="CA997" s="231">
        <f t="shared" si="970"/>
        <v>20</v>
      </c>
      <c r="CB997" s="229">
        <f t="shared" si="948"/>
        <v>33</v>
      </c>
      <c r="CC997" s="234">
        <f t="shared" si="949"/>
        <v>4.8487499999999999</v>
      </c>
      <c r="CD997" s="234" cm="1">
        <f t="array" ref="CD997">$BM997 * IF($AH997&lt;=2,
SUMPRODUCT(INDEX($AV$61:$AX$65,,$AI997), INDEX($AY$61:$BE$65,,$AH997), 1 / ($BF$61:$BF$65*CC997 + (1-$BF$61:$BF$65)*BY997), N($AU$61:$AU$65&gt;$AM997)),
SUMPRODUCT(INDEX($AV$46:$AX$55,,$AI997), INDEX($AY$46:$BE$55,,$AH997), 1 / ($BG$46:$BG$55*CC997 + (1-$BG$46:$BG$55)*BY997), N($AU$46:$AU$55&gt;$AM997))
) / 1000</f>
        <v>0</v>
      </c>
      <c r="CE997" s="234" cm="1">
        <f t="array" ref="CE997">$BM997 * IF($AH997&lt;=2,
SUMPRODUCT(INDEX($AV$22:$AX$60,,$AI997), INDEX($AY$22:$BE$60,,$AH997), 1 / ($BF$22:$BF$60*CC997), N($AU$22:$AU$60&gt;$AM997)),
SUMPRODUCT(INDEX($AV$22:$AX$45,,$AI997), INDEX($AY$22:$BE$45,,$AH997), 1 / ($BG$22:$BG$45*CC997), N($AU$22:$AU$45&gt;$AM997))
) / 1000</f>
        <v>0</v>
      </c>
      <c r="CF997" s="229">
        <f t="shared" si="950"/>
        <v>0</v>
      </c>
      <c r="CG997" s="246"/>
      <c r="CH997" s="229">
        <f t="shared" si="951"/>
        <v>0</v>
      </c>
      <c r="CI997" s="228">
        <v>35</v>
      </c>
      <c r="CJ997" s="229">
        <f t="shared" si="952"/>
        <v>48</v>
      </c>
      <c r="CK997" s="234">
        <f t="shared" si="953"/>
        <v>3.0748170731707316</v>
      </c>
      <c r="CL997" s="234" cm="1">
        <f t="array" ref="CL997">$BM997 * SUMPRODUCT(INDEX($AV$76:$AX$81,,$AI997),INDEX($AY$76:$BE$81,,$AH997), N($AU$76:$AU$81&gt;$AM997)) / CK997 / 1000</f>
        <v>0</v>
      </c>
      <c r="CM997" s="231">
        <f t="shared" si="971"/>
        <v>30</v>
      </c>
      <c r="CN997" s="229">
        <f t="shared" si="954"/>
        <v>43</v>
      </c>
      <c r="CO997" s="234">
        <f t="shared" si="955"/>
        <v>3.5018750000000001</v>
      </c>
      <c r="CP997" s="234" cm="1">
        <f t="array" ref="CP997">$BM997 * IF($AH997&lt;=2,
SUMPRODUCT(INDEX($AV$71:$AX$75,,$AI997), INDEX($AY$71:$BE$75,,$AH997), 1 / ($BF$71:$BF$75*CO997 + (1-$BF$71:$BF$75)*CK997), N($AU$71:$AU$75&gt;$AM997)),
SUMPRODUCT(INDEX($AV$66:$AX$75,,$AI997), INDEX($AY$66:$BE$75,,$AH997), 1 / ($BG$66:$BG$75*CO997 + (1-$BG$66:$BG$75)*CK997), N($AU$66:$AU$75&gt;$AM997))
) / 1000</f>
        <v>0</v>
      </c>
      <c r="CQ997" s="231">
        <f t="shared" si="972"/>
        <v>25</v>
      </c>
      <c r="CR997" s="229">
        <f t="shared" si="956"/>
        <v>38</v>
      </c>
      <c r="CS997" s="234">
        <f t="shared" si="957"/>
        <v>4.0666935483870965</v>
      </c>
      <c r="CT997" s="234" cm="1">
        <f t="array" ref="CT997">$BM997 * IF($AH997&lt;=2,
SUMPRODUCT(INDEX($AV$66:$AX$70,,$AI997), INDEX($AY$66:$BE$70,,$AH997), 1 / ($BF$66:$BF$70*CS997 + (1-$BF$66:$BF$70)*CO997), N($AU$66:$AU$70&gt;$AM997)),
SUMPRODUCT(INDEX($AV$56:$AX$65,,$AI997), INDEX($AY$56:$BE$65,,$AH997), 1 / ($BG$56:$BG$65*CS997 + (1-$BG$56:$BG$65)*CO997), N($AU$56:$AU$65&gt;$AM997))
) / 1000</f>
        <v>0</v>
      </c>
      <c r="CU997" s="231">
        <f t="shared" si="973"/>
        <v>20</v>
      </c>
      <c r="CV997" s="229">
        <f t="shared" si="958"/>
        <v>33</v>
      </c>
      <c r="CW997" s="234">
        <f t="shared" si="959"/>
        <v>4.8487499999999999</v>
      </c>
      <c r="CX997" s="234" cm="1">
        <f t="array" ref="CX997">$BM997 * IF($AH997&lt;=2,
SUMPRODUCT(INDEX($AV$61:$AX$65,,$AI997), INDEX($AY$61:$BE$65,,$AH997), 1 / ($BF$61:$BF$65*CW997 + (1-$BF$61:$BF$65)*CS997), N($AU$61:$AU$65&gt;$AM997)),
SUMPRODUCT(INDEX($AV$46:$AX$55,,$AI997), INDEX($AY$46:$BE$55,,$AH997), 1 / ($BG$46:$BG$55*CW997 + (1-$BG$46:$BG$55)*CS997), N($AU$46:$AU$55&gt;$AM997))
) / 1000</f>
        <v>0</v>
      </c>
      <c r="CY997" s="234" cm="1">
        <f t="array" ref="CY997">$BM997 * IF($AH997&lt;=2,
SUMPRODUCT(INDEX($AV$22:$AX$60,,$AI997), INDEX($AY$22:$BE$60,,$AH997), 1 / ($BF$22:$BF$60*CW997), N($AU$22:$AU$60&gt;$AM997)),
SUMPRODUCT(INDEX($AV$22:$AX$45,,$AI997), INDEX($AY$22:$BE$45,,$AH997), 1 / ($BG$22:$BG$45*CW997), N($AU$22:$AU$45&gt;$AM997))
) / 1000</f>
        <v>0</v>
      </c>
      <c r="CZ997" s="229">
        <f t="shared" si="960"/>
        <v>0</v>
      </c>
      <c r="DA997" s="246"/>
    </row>
    <row r="998" spans="1:105" s="75" customFormat="1" ht="14.25" customHeight="1" x14ac:dyDescent="0.2">
      <c r="A998" s="230" t="b">
        <f t="shared" si="965"/>
        <v>0</v>
      </c>
      <c r="B998" s="253">
        <v>977</v>
      </c>
      <c r="C998" s="266"/>
      <c r="D998" s="266"/>
      <c r="E998" s="254"/>
      <c r="F998" s="255" t="str">
        <f>IF(ISBLANK(E998), "", VLOOKUP(E998, Z!$A$2:$C$4127, 3, FALSE))</f>
        <v/>
      </c>
      <c r="G998" s="256"/>
      <c r="H998" s="256"/>
      <c r="I998" s="256"/>
      <c r="J998" s="257"/>
      <c r="K998" s="258"/>
      <c r="L998" s="267"/>
      <c r="M998" s="268"/>
      <c r="N998" s="259" t="str" cm="1">
        <f t="array" ref="N998">IF($L998&gt;0, INDEX(Clean,1+AK998,$D$1), "")</f>
        <v/>
      </c>
      <c r="O998" s="260"/>
      <c r="P998" s="260"/>
      <c r="Q998" s="261"/>
      <c r="R998" s="264">
        <f t="shared" si="936"/>
        <v>0</v>
      </c>
      <c r="S998" s="259" t="str" cm="1">
        <f t="array" ref="S998">IF($L998&gt;0, INDEX(Clean,1+AL998,$D$1), "")</f>
        <v/>
      </c>
      <c r="T998" s="260"/>
      <c r="U998" s="260"/>
      <c r="V998" s="261"/>
      <c r="W998" s="267"/>
      <c r="X998" s="267"/>
      <c r="Y998" s="257"/>
      <c r="Z998" s="264">
        <f t="shared" si="937"/>
        <v>0</v>
      </c>
      <c r="AA998" s="269"/>
      <c r="AB998" s="266"/>
      <c r="AC998" s="254"/>
      <c r="AD998" s="255" t="str">
        <f>IF(ISBLANK(AC998), "", VLOOKUP(AC998, Z!$A$2:$C$4127, 3, FALSE))</f>
        <v/>
      </c>
      <c r="AE998" s="270"/>
      <c r="AF998" s="265">
        <f t="shared" si="938"/>
        <v>0</v>
      </c>
      <c r="AG998" s="246"/>
      <c r="AH998" s="228">
        <f t="shared" si="961"/>
        <v>1</v>
      </c>
      <c r="AI998" s="228">
        <f t="shared" si="962"/>
        <v>1</v>
      </c>
      <c r="AJ998" s="228">
        <f t="shared" si="963"/>
        <v>0</v>
      </c>
      <c r="AK998" s="228">
        <v>0</v>
      </c>
      <c r="AL998" s="228">
        <v>0</v>
      </c>
      <c r="AM998" s="228">
        <f t="shared" si="939"/>
        <v>-100</v>
      </c>
      <c r="AN998" s="228" cm="1">
        <f t="array" ref="AN998">IF(ISBLANK(G998), 1, IFERROR(MATCH(G998, INDEX(Kat,,1), 0), IFERROR(MATCH(Kat, INDEX(Use,,2), 0), MATCH(Kat, INDEX(Use,,3), 0))))</f>
        <v>1</v>
      </c>
      <c r="AO998" s="246"/>
      <c r="AP998" s="228" cm="1">
        <f t="array" ref="AP998">IF(W998&gt;0, INDEX(Kat, AN998,4), 0)</f>
        <v>0</v>
      </c>
      <c r="AQ998" s="228">
        <f t="shared" si="964"/>
        <v>0</v>
      </c>
      <c r="AR998" s="228" cm="1">
        <f t="array" ref="AR998">IF(X998&gt;0, INDEX(Kat, $AN998, 4+AQ998), 0)</f>
        <v>0</v>
      </c>
      <c r="AS998" s="228" cm="1">
        <f t="array" ref="AS998">IF(X998&gt;0, INDEX(Kat, $AN998, 9+AQ998), 0)</f>
        <v>0</v>
      </c>
      <c r="AT998" s="246"/>
      <c r="AU998" s="262"/>
      <c r="AV998" s="262"/>
      <c r="AW998" s="263"/>
      <c r="AX998" s="263"/>
      <c r="AY998" s="263"/>
      <c r="AZ998" s="263"/>
      <c r="BA998" s="263"/>
      <c r="BB998" s="263"/>
      <c r="BC998" s="263"/>
      <c r="BD998" s="263"/>
      <c r="BE998" s="263"/>
      <c r="BF998" s="263"/>
      <c r="BG998" s="263"/>
      <c r="BH998" s="246"/>
      <c r="BI998" s="228" cm="1">
        <f t="array" ref="BI998">INDEX(Use, $AH998, 4)</f>
        <v>7</v>
      </c>
      <c r="BJ998" s="228">
        <f t="shared" si="940"/>
        <v>32</v>
      </c>
      <c r="BK998" s="228">
        <f t="shared" si="966"/>
        <v>13</v>
      </c>
      <c r="BL998" s="228">
        <f t="shared" si="967"/>
        <v>0</v>
      </c>
      <c r="BM998" s="233" cm="1">
        <f t="array" ref="BM998">L998/IF($M998&gt;0, INDEX($AY$22:$BE$76, $M998+20, $AH998), 1)</f>
        <v>0</v>
      </c>
      <c r="BN998" s="229">
        <f t="shared" si="941"/>
        <v>0</v>
      </c>
      <c r="BO998" s="228">
        <v>35</v>
      </c>
      <c r="BP998" s="229">
        <f t="shared" si="942"/>
        <v>48</v>
      </c>
      <c r="BQ998" s="234">
        <f t="shared" si="943"/>
        <v>3.0748170731707316</v>
      </c>
      <c r="BR998" s="234" cm="1">
        <f t="array" ref="BR998">$BM998 * SUMPRODUCT(INDEX($AV$76:$AX$81,,$AI998),INDEX($AY$76:$BE$81,,$AH998), N($AU$76:$AU$81&gt;$AM998)) / BQ998 / 1000</f>
        <v>0</v>
      </c>
      <c r="BS998" s="231">
        <f t="shared" si="968"/>
        <v>30</v>
      </c>
      <c r="BT998" s="229">
        <f t="shared" si="944"/>
        <v>43</v>
      </c>
      <c r="BU998" s="234">
        <f t="shared" si="945"/>
        <v>3.5018750000000001</v>
      </c>
      <c r="BV998" s="234" cm="1">
        <f t="array" ref="BV998">$BM998 * IF($AH998&lt;=2,
SUMPRODUCT(INDEX($AV$71:$AX$75,,$AI998), INDEX($AY$71:$BE$75,,$AH998), 1 / ($BF$71:$BF$75*BU998 + (1-$BF$71:$BF$75)*BQ998), N($AU$71:$AU$75&gt;$AM998)),
SUMPRODUCT(INDEX($AV$66:$AX$75,,$AI998), INDEX($AY$66:$BE$75,,$AH998), 1 / ($BG$66:$BG$75*BU998 + (1-$BG$66:$BG$75)*BQ998), N($AU$66:$AU$75&gt;$AM998))
) / 1000</f>
        <v>0</v>
      </c>
      <c r="BW998" s="231">
        <f t="shared" si="969"/>
        <v>25</v>
      </c>
      <c r="BX998" s="229">
        <f t="shared" si="946"/>
        <v>38</v>
      </c>
      <c r="BY998" s="234">
        <f t="shared" si="947"/>
        <v>4.0666935483870965</v>
      </c>
      <c r="BZ998" s="234" cm="1">
        <f t="array" ref="BZ998">$BM998 * IF($AH998&lt;=2,
SUMPRODUCT(INDEX($AV$66:$AX$70,,$AI998), INDEX($AY$66:$BE$70,,$AH998), 1 / ($BF$66:$BF$70*BY998 + (1-$BF$66:$BF$70)*BU998), N($AU$66:$AU$70&gt;$AM998)),
SUMPRODUCT(INDEX($AV$56:$AX$65,,$AI998), INDEX($AY$56:$BE$65,,$AH998), 1 / ($BG$56:$BG$65*BY998 + (1-$BG$56:$BG$65)*BU998), N($AU$56:$AU$65&gt;$AM998))
) / 1000</f>
        <v>0</v>
      </c>
      <c r="CA998" s="231">
        <f t="shared" si="970"/>
        <v>20</v>
      </c>
      <c r="CB998" s="229">
        <f t="shared" si="948"/>
        <v>33</v>
      </c>
      <c r="CC998" s="234">
        <f t="shared" si="949"/>
        <v>4.8487499999999999</v>
      </c>
      <c r="CD998" s="234" cm="1">
        <f t="array" ref="CD998">$BM998 * IF($AH998&lt;=2,
SUMPRODUCT(INDEX($AV$61:$AX$65,,$AI998), INDEX($AY$61:$BE$65,,$AH998), 1 / ($BF$61:$BF$65*CC998 + (1-$BF$61:$BF$65)*BY998), N($AU$61:$AU$65&gt;$AM998)),
SUMPRODUCT(INDEX($AV$46:$AX$55,,$AI998), INDEX($AY$46:$BE$55,,$AH998), 1 / ($BG$46:$BG$55*CC998 + (1-$BG$46:$BG$55)*BY998), N($AU$46:$AU$55&gt;$AM998))
) / 1000</f>
        <v>0</v>
      </c>
      <c r="CE998" s="234" cm="1">
        <f t="array" ref="CE998">$BM998 * IF($AH998&lt;=2,
SUMPRODUCT(INDEX($AV$22:$AX$60,,$AI998), INDEX($AY$22:$BE$60,,$AH998), 1 / ($BF$22:$BF$60*CC998), N($AU$22:$AU$60&gt;$AM998)),
SUMPRODUCT(INDEX($AV$22:$AX$45,,$AI998), INDEX($AY$22:$BE$45,,$AH998), 1 / ($BG$22:$BG$45*CC998), N($AU$22:$AU$45&gt;$AM998))
) / 1000</f>
        <v>0</v>
      </c>
      <c r="CF998" s="229">
        <f t="shared" si="950"/>
        <v>0</v>
      </c>
      <c r="CG998" s="246"/>
      <c r="CH998" s="229">
        <f t="shared" si="951"/>
        <v>0</v>
      </c>
      <c r="CI998" s="228">
        <v>35</v>
      </c>
      <c r="CJ998" s="229">
        <f t="shared" si="952"/>
        <v>48</v>
      </c>
      <c r="CK998" s="234">
        <f t="shared" si="953"/>
        <v>3.0748170731707316</v>
      </c>
      <c r="CL998" s="234" cm="1">
        <f t="array" ref="CL998">$BM998 * SUMPRODUCT(INDEX($AV$76:$AX$81,,$AI998),INDEX($AY$76:$BE$81,,$AH998), N($AU$76:$AU$81&gt;$AM998)) / CK998 / 1000</f>
        <v>0</v>
      </c>
      <c r="CM998" s="231">
        <f t="shared" si="971"/>
        <v>30</v>
      </c>
      <c r="CN998" s="229">
        <f t="shared" si="954"/>
        <v>43</v>
      </c>
      <c r="CO998" s="234">
        <f t="shared" si="955"/>
        <v>3.5018750000000001</v>
      </c>
      <c r="CP998" s="234" cm="1">
        <f t="array" ref="CP998">$BM998 * IF($AH998&lt;=2,
SUMPRODUCT(INDEX($AV$71:$AX$75,,$AI998), INDEX($AY$71:$BE$75,,$AH998), 1 / ($BF$71:$BF$75*CO998 + (1-$BF$71:$BF$75)*CK998), N($AU$71:$AU$75&gt;$AM998)),
SUMPRODUCT(INDEX($AV$66:$AX$75,,$AI998), INDEX($AY$66:$BE$75,,$AH998), 1 / ($BG$66:$BG$75*CO998 + (1-$BG$66:$BG$75)*CK998), N($AU$66:$AU$75&gt;$AM998))
) / 1000</f>
        <v>0</v>
      </c>
      <c r="CQ998" s="231">
        <f t="shared" si="972"/>
        <v>25</v>
      </c>
      <c r="CR998" s="229">
        <f t="shared" si="956"/>
        <v>38</v>
      </c>
      <c r="CS998" s="234">
        <f t="shared" si="957"/>
        <v>4.0666935483870965</v>
      </c>
      <c r="CT998" s="234" cm="1">
        <f t="array" ref="CT998">$BM998 * IF($AH998&lt;=2,
SUMPRODUCT(INDEX($AV$66:$AX$70,,$AI998), INDEX($AY$66:$BE$70,,$AH998), 1 / ($BF$66:$BF$70*CS998 + (1-$BF$66:$BF$70)*CO998), N($AU$66:$AU$70&gt;$AM998)),
SUMPRODUCT(INDEX($AV$56:$AX$65,,$AI998), INDEX($AY$56:$BE$65,,$AH998), 1 / ($BG$56:$BG$65*CS998 + (1-$BG$56:$BG$65)*CO998), N($AU$56:$AU$65&gt;$AM998))
) / 1000</f>
        <v>0</v>
      </c>
      <c r="CU998" s="231">
        <f t="shared" si="973"/>
        <v>20</v>
      </c>
      <c r="CV998" s="229">
        <f t="shared" si="958"/>
        <v>33</v>
      </c>
      <c r="CW998" s="234">
        <f t="shared" si="959"/>
        <v>4.8487499999999999</v>
      </c>
      <c r="CX998" s="234" cm="1">
        <f t="array" ref="CX998">$BM998 * IF($AH998&lt;=2,
SUMPRODUCT(INDEX($AV$61:$AX$65,,$AI998), INDEX($AY$61:$BE$65,,$AH998), 1 / ($BF$61:$BF$65*CW998 + (1-$BF$61:$BF$65)*CS998), N($AU$61:$AU$65&gt;$AM998)),
SUMPRODUCT(INDEX($AV$46:$AX$55,,$AI998), INDEX($AY$46:$BE$55,,$AH998), 1 / ($BG$46:$BG$55*CW998 + (1-$BG$46:$BG$55)*CS998), N($AU$46:$AU$55&gt;$AM998))
) / 1000</f>
        <v>0</v>
      </c>
      <c r="CY998" s="234" cm="1">
        <f t="array" ref="CY998">$BM998 * IF($AH998&lt;=2,
SUMPRODUCT(INDEX($AV$22:$AX$60,,$AI998), INDEX($AY$22:$BE$60,,$AH998), 1 / ($BF$22:$BF$60*CW998), N($AU$22:$AU$60&gt;$AM998)),
SUMPRODUCT(INDEX($AV$22:$AX$45,,$AI998), INDEX($AY$22:$BE$45,,$AH998), 1 / ($BG$22:$BG$45*CW998), N($AU$22:$AU$45&gt;$AM998))
) / 1000</f>
        <v>0</v>
      </c>
      <c r="CZ998" s="229">
        <f t="shared" si="960"/>
        <v>0</v>
      </c>
      <c r="DA998" s="246"/>
    </row>
    <row r="999" spans="1:105" s="75" customFormat="1" ht="14.25" customHeight="1" x14ac:dyDescent="0.2">
      <c r="A999" s="230" t="b">
        <f t="shared" si="965"/>
        <v>0</v>
      </c>
      <c r="B999" s="253">
        <v>978</v>
      </c>
      <c r="C999" s="266"/>
      <c r="D999" s="266"/>
      <c r="E999" s="254"/>
      <c r="F999" s="255" t="str">
        <f>IF(ISBLANK(E999), "", VLOOKUP(E999, Z!$A$2:$C$4127, 3, FALSE))</f>
        <v/>
      </c>
      <c r="G999" s="256"/>
      <c r="H999" s="256"/>
      <c r="I999" s="256"/>
      <c r="J999" s="257"/>
      <c r="K999" s="258"/>
      <c r="L999" s="267"/>
      <c r="M999" s="268"/>
      <c r="N999" s="259" t="str" cm="1">
        <f t="array" ref="N999">IF($L999&gt;0, INDEX(Clean,1+AK999,$D$1), "")</f>
        <v/>
      </c>
      <c r="O999" s="260"/>
      <c r="P999" s="260"/>
      <c r="Q999" s="261"/>
      <c r="R999" s="264">
        <f t="shared" si="936"/>
        <v>0</v>
      </c>
      <c r="S999" s="259" t="str" cm="1">
        <f t="array" ref="S999">IF($L999&gt;0, INDEX(Clean,1+AL999,$D$1), "")</f>
        <v/>
      </c>
      <c r="T999" s="260"/>
      <c r="U999" s="260"/>
      <c r="V999" s="261"/>
      <c r="W999" s="267"/>
      <c r="X999" s="267"/>
      <c r="Y999" s="257"/>
      <c r="Z999" s="264">
        <f t="shared" si="937"/>
        <v>0</v>
      </c>
      <c r="AA999" s="269"/>
      <c r="AB999" s="266"/>
      <c r="AC999" s="254"/>
      <c r="AD999" s="255" t="str">
        <f>IF(ISBLANK(AC999), "", VLOOKUP(AC999, Z!$A$2:$C$4127, 3, FALSE))</f>
        <v/>
      </c>
      <c r="AE999" s="270"/>
      <c r="AF999" s="265">
        <f t="shared" si="938"/>
        <v>0</v>
      </c>
      <c r="AG999" s="246"/>
      <c r="AH999" s="228">
        <f t="shared" si="961"/>
        <v>1</v>
      </c>
      <c r="AI999" s="228">
        <f t="shared" si="962"/>
        <v>1</v>
      </c>
      <c r="AJ999" s="228">
        <f t="shared" si="963"/>
        <v>0</v>
      </c>
      <c r="AK999" s="228">
        <v>0</v>
      </c>
      <c r="AL999" s="228">
        <v>0</v>
      </c>
      <c r="AM999" s="228">
        <f t="shared" si="939"/>
        <v>-100</v>
      </c>
      <c r="AN999" s="228" cm="1">
        <f t="array" ref="AN999">IF(ISBLANK(G999), 1, IFERROR(MATCH(G999, INDEX(Kat,,1), 0), IFERROR(MATCH(Kat, INDEX(Use,,2), 0), MATCH(Kat, INDEX(Use,,3), 0))))</f>
        <v>1</v>
      </c>
      <c r="AO999" s="246"/>
      <c r="AP999" s="228" cm="1">
        <f t="array" ref="AP999">IF(W999&gt;0, INDEX(Kat, AN999,4), 0)</f>
        <v>0</v>
      </c>
      <c r="AQ999" s="228">
        <f t="shared" si="964"/>
        <v>0</v>
      </c>
      <c r="AR999" s="228" cm="1">
        <f t="array" ref="AR999">IF(X999&gt;0, INDEX(Kat, $AN999, 4+AQ999), 0)</f>
        <v>0</v>
      </c>
      <c r="AS999" s="228" cm="1">
        <f t="array" ref="AS999">IF(X999&gt;0, INDEX(Kat, $AN999, 9+AQ999), 0)</f>
        <v>0</v>
      </c>
      <c r="AT999" s="246"/>
      <c r="AU999" s="262"/>
      <c r="AV999" s="262"/>
      <c r="AW999" s="263"/>
      <c r="AX999" s="263"/>
      <c r="AY999" s="263"/>
      <c r="AZ999" s="263"/>
      <c r="BA999" s="263"/>
      <c r="BB999" s="263"/>
      <c r="BC999" s="263"/>
      <c r="BD999" s="263"/>
      <c r="BE999" s="263"/>
      <c r="BF999" s="263"/>
      <c r="BG999" s="263"/>
      <c r="BH999" s="246"/>
      <c r="BI999" s="228" cm="1">
        <f t="array" ref="BI999">INDEX(Use, $AH999, 4)</f>
        <v>7</v>
      </c>
      <c r="BJ999" s="228">
        <f t="shared" si="940"/>
        <v>32</v>
      </c>
      <c r="BK999" s="228">
        <f t="shared" si="966"/>
        <v>13</v>
      </c>
      <c r="BL999" s="228">
        <f t="shared" si="967"/>
        <v>0</v>
      </c>
      <c r="BM999" s="233" cm="1">
        <f t="array" ref="BM999">L999/IF($M999&gt;0, INDEX($AY$22:$BE$76, $M999+20, $AH999), 1)</f>
        <v>0</v>
      </c>
      <c r="BN999" s="229">
        <f t="shared" si="941"/>
        <v>0</v>
      </c>
      <c r="BO999" s="228">
        <v>35</v>
      </c>
      <c r="BP999" s="229">
        <f t="shared" si="942"/>
        <v>48</v>
      </c>
      <c r="BQ999" s="234">
        <f t="shared" si="943"/>
        <v>3.0748170731707316</v>
      </c>
      <c r="BR999" s="234" cm="1">
        <f t="array" ref="BR999">$BM999 * SUMPRODUCT(INDEX($AV$76:$AX$81,,$AI999),INDEX($AY$76:$BE$81,,$AH999), N($AU$76:$AU$81&gt;$AM999)) / BQ999 / 1000</f>
        <v>0</v>
      </c>
      <c r="BS999" s="231">
        <f t="shared" si="968"/>
        <v>30</v>
      </c>
      <c r="BT999" s="229">
        <f t="shared" si="944"/>
        <v>43</v>
      </c>
      <c r="BU999" s="234">
        <f t="shared" si="945"/>
        <v>3.5018750000000001</v>
      </c>
      <c r="BV999" s="234" cm="1">
        <f t="array" ref="BV999">$BM999 * IF($AH999&lt;=2,
SUMPRODUCT(INDEX($AV$71:$AX$75,,$AI999), INDEX($AY$71:$BE$75,,$AH999), 1 / ($BF$71:$BF$75*BU999 + (1-$BF$71:$BF$75)*BQ999), N($AU$71:$AU$75&gt;$AM999)),
SUMPRODUCT(INDEX($AV$66:$AX$75,,$AI999), INDEX($AY$66:$BE$75,,$AH999), 1 / ($BG$66:$BG$75*BU999 + (1-$BG$66:$BG$75)*BQ999), N($AU$66:$AU$75&gt;$AM999))
) / 1000</f>
        <v>0</v>
      </c>
      <c r="BW999" s="231">
        <f t="shared" si="969"/>
        <v>25</v>
      </c>
      <c r="BX999" s="229">
        <f t="shared" si="946"/>
        <v>38</v>
      </c>
      <c r="BY999" s="234">
        <f t="shared" si="947"/>
        <v>4.0666935483870965</v>
      </c>
      <c r="BZ999" s="234" cm="1">
        <f t="array" ref="BZ999">$BM999 * IF($AH999&lt;=2,
SUMPRODUCT(INDEX($AV$66:$AX$70,,$AI999), INDEX($AY$66:$BE$70,,$AH999), 1 / ($BF$66:$BF$70*BY999 + (1-$BF$66:$BF$70)*BU999), N($AU$66:$AU$70&gt;$AM999)),
SUMPRODUCT(INDEX($AV$56:$AX$65,,$AI999), INDEX($AY$56:$BE$65,,$AH999), 1 / ($BG$56:$BG$65*BY999 + (1-$BG$56:$BG$65)*BU999), N($AU$56:$AU$65&gt;$AM999))
) / 1000</f>
        <v>0</v>
      </c>
      <c r="CA999" s="231">
        <f t="shared" si="970"/>
        <v>20</v>
      </c>
      <c r="CB999" s="229">
        <f t="shared" si="948"/>
        <v>33</v>
      </c>
      <c r="CC999" s="234">
        <f t="shared" si="949"/>
        <v>4.8487499999999999</v>
      </c>
      <c r="CD999" s="234" cm="1">
        <f t="array" ref="CD999">$BM999 * IF($AH999&lt;=2,
SUMPRODUCT(INDEX($AV$61:$AX$65,,$AI999), INDEX($AY$61:$BE$65,,$AH999), 1 / ($BF$61:$BF$65*CC999 + (1-$BF$61:$BF$65)*BY999), N($AU$61:$AU$65&gt;$AM999)),
SUMPRODUCT(INDEX($AV$46:$AX$55,,$AI999), INDEX($AY$46:$BE$55,,$AH999), 1 / ($BG$46:$BG$55*CC999 + (1-$BG$46:$BG$55)*BY999), N($AU$46:$AU$55&gt;$AM999))
) / 1000</f>
        <v>0</v>
      </c>
      <c r="CE999" s="234" cm="1">
        <f t="array" ref="CE999">$BM999 * IF($AH999&lt;=2,
SUMPRODUCT(INDEX($AV$22:$AX$60,,$AI999), INDEX($AY$22:$BE$60,,$AH999), 1 / ($BF$22:$BF$60*CC999), N($AU$22:$AU$60&gt;$AM999)),
SUMPRODUCT(INDEX($AV$22:$AX$45,,$AI999), INDEX($AY$22:$BE$45,,$AH999), 1 / ($BG$22:$BG$45*CC999), N($AU$22:$AU$45&gt;$AM999))
) / 1000</f>
        <v>0</v>
      </c>
      <c r="CF999" s="229">
        <f t="shared" si="950"/>
        <v>0</v>
      </c>
      <c r="CG999" s="246"/>
      <c r="CH999" s="229">
        <f t="shared" si="951"/>
        <v>0</v>
      </c>
      <c r="CI999" s="228">
        <v>35</v>
      </c>
      <c r="CJ999" s="229">
        <f t="shared" si="952"/>
        <v>48</v>
      </c>
      <c r="CK999" s="234">
        <f t="shared" si="953"/>
        <v>3.0748170731707316</v>
      </c>
      <c r="CL999" s="234" cm="1">
        <f t="array" ref="CL999">$BM999 * SUMPRODUCT(INDEX($AV$76:$AX$81,,$AI999),INDEX($AY$76:$BE$81,,$AH999), N($AU$76:$AU$81&gt;$AM999)) / CK999 / 1000</f>
        <v>0</v>
      </c>
      <c r="CM999" s="231">
        <f t="shared" si="971"/>
        <v>30</v>
      </c>
      <c r="CN999" s="229">
        <f t="shared" si="954"/>
        <v>43</v>
      </c>
      <c r="CO999" s="234">
        <f t="shared" si="955"/>
        <v>3.5018750000000001</v>
      </c>
      <c r="CP999" s="234" cm="1">
        <f t="array" ref="CP999">$BM999 * IF($AH999&lt;=2,
SUMPRODUCT(INDEX($AV$71:$AX$75,,$AI999), INDEX($AY$71:$BE$75,,$AH999), 1 / ($BF$71:$BF$75*CO999 + (1-$BF$71:$BF$75)*CK999), N($AU$71:$AU$75&gt;$AM999)),
SUMPRODUCT(INDEX($AV$66:$AX$75,,$AI999), INDEX($AY$66:$BE$75,,$AH999), 1 / ($BG$66:$BG$75*CO999 + (1-$BG$66:$BG$75)*CK999), N($AU$66:$AU$75&gt;$AM999))
) / 1000</f>
        <v>0</v>
      </c>
      <c r="CQ999" s="231">
        <f t="shared" si="972"/>
        <v>25</v>
      </c>
      <c r="CR999" s="229">
        <f t="shared" si="956"/>
        <v>38</v>
      </c>
      <c r="CS999" s="234">
        <f t="shared" si="957"/>
        <v>4.0666935483870965</v>
      </c>
      <c r="CT999" s="234" cm="1">
        <f t="array" ref="CT999">$BM999 * IF($AH999&lt;=2,
SUMPRODUCT(INDEX($AV$66:$AX$70,,$AI999), INDEX($AY$66:$BE$70,,$AH999), 1 / ($BF$66:$BF$70*CS999 + (1-$BF$66:$BF$70)*CO999), N($AU$66:$AU$70&gt;$AM999)),
SUMPRODUCT(INDEX($AV$56:$AX$65,,$AI999), INDEX($AY$56:$BE$65,,$AH999), 1 / ($BG$56:$BG$65*CS999 + (1-$BG$56:$BG$65)*CO999), N($AU$56:$AU$65&gt;$AM999))
) / 1000</f>
        <v>0</v>
      </c>
      <c r="CU999" s="231">
        <f t="shared" si="973"/>
        <v>20</v>
      </c>
      <c r="CV999" s="229">
        <f t="shared" si="958"/>
        <v>33</v>
      </c>
      <c r="CW999" s="234">
        <f t="shared" si="959"/>
        <v>4.8487499999999999</v>
      </c>
      <c r="CX999" s="234" cm="1">
        <f t="array" ref="CX999">$BM999 * IF($AH999&lt;=2,
SUMPRODUCT(INDEX($AV$61:$AX$65,,$AI999), INDEX($AY$61:$BE$65,,$AH999), 1 / ($BF$61:$BF$65*CW999 + (1-$BF$61:$BF$65)*CS999), N($AU$61:$AU$65&gt;$AM999)),
SUMPRODUCT(INDEX($AV$46:$AX$55,,$AI999), INDEX($AY$46:$BE$55,,$AH999), 1 / ($BG$46:$BG$55*CW999 + (1-$BG$46:$BG$55)*CS999), N($AU$46:$AU$55&gt;$AM999))
) / 1000</f>
        <v>0</v>
      </c>
      <c r="CY999" s="234" cm="1">
        <f t="array" ref="CY999">$BM999 * IF($AH999&lt;=2,
SUMPRODUCT(INDEX($AV$22:$AX$60,,$AI999), INDEX($AY$22:$BE$60,,$AH999), 1 / ($BF$22:$BF$60*CW999), N($AU$22:$AU$60&gt;$AM999)),
SUMPRODUCT(INDEX($AV$22:$AX$45,,$AI999), INDEX($AY$22:$BE$45,,$AH999), 1 / ($BG$22:$BG$45*CW999), N($AU$22:$AU$45&gt;$AM999))
) / 1000</f>
        <v>0</v>
      </c>
      <c r="CZ999" s="229">
        <f t="shared" si="960"/>
        <v>0</v>
      </c>
      <c r="DA999" s="246"/>
    </row>
    <row r="1000" spans="1:105" s="75" customFormat="1" ht="14.25" customHeight="1" x14ac:dyDescent="0.2">
      <c r="A1000" s="230" t="b">
        <f t="shared" si="965"/>
        <v>0</v>
      </c>
      <c r="B1000" s="253">
        <v>979</v>
      </c>
      <c r="C1000" s="266"/>
      <c r="D1000" s="266"/>
      <c r="E1000" s="254"/>
      <c r="F1000" s="255" t="str">
        <f>IF(ISBLANK(E1000), "", VLOOKUP(E1000, Z!$A$2:$C$4127, 3, FALSE))</f>
        <v/>
      </c>
      <c r="G1000" s="256"/>
      <c r="H1000" s="256"/>
      <c r="I1000" s="256"/>
      <c r="J1000" s="257"/>
      <c r="K1000" s="258"/>
      <c r="L1000" s="267"/>
      <c r="M1000" s="268"/>
      <c r="N1000" s="259" t="str" cm="1">
        <f t="array" ref="N1000">IF($L1000&gt;0, INDEX(Clean,1+AK1000,$D$1), "")</f>
        <v/>
      </c>
      <c r="O1000" s="260"/>
      <c r="P1000" s="260"/>
      <c r="Q1000" s="261"/>
      <c r="R1000" s="264">
        <f t="shared" si="936"/>
        <v>0</v>
      </c>
      <c r="S1000" s="259" t="str" cm="1">
        <f t="array" ref="S1000">IF($L1000&gt;0, INDEX(Clean,1+AL1000,$D$1), "")</f>
        <v/>
      </c>
      <c r="T1000" s="260"/>
      <c r="U1000" s="260"/>
      <c r="V1000" s="261"/>
      <c r="W1000" s="267"/>
      <c r="X1000" s="267"/>
      <c r="Y1000" s="257"/>
      <c r="Z1000" s="264">
        <f t="shared" si="937"/>
        <v>0</v>
      </c>
      <c r="AA1000" s="269"/>
      <c r="AB1000" s="266"/>
      <c r="AC1000" s="254"/>
      <c r="AD1000" s="255" t="str">
        <f>IF(ISBLANK(AC1000), "", VLOOKUP(AC1000, Z!$A$2:$C$4127, 3, FALSE))</f>
        <v/>
      </c>
      <c r="AE1000" s="270"/>
      <c r="AF1000" s="265">
        <f t="shared" si="938"/>
        <v>0</v>
      </c>
      <c r="AG1000" s="246"/>
      <c r="AH1000" s="228">
        <f t="shared" si="961"/>
        <v>1</v>
      </c>
      <c r="AI1000" s="228">
        <f t="shared" si="962"/>
        <v>1</v>
      </c>
      <c r="AJ1000" s="228">
        <f t="shared" si="963"/>
        <v>0</v>
      </c>
      <c r="AK1000" s="228">
        <v>0</v>
      </c>
      <c r="AL1000" s="228">
        <v>0</v>
      </c>
      <c r="AM1000" s="228">
        <f t="shared" si="939"/>
        <v>-100</v>
      </c>
      <c r="AN1000" s="228" cm="1">
        <f t="array" ref="AN1000">IF(ISBLANK(G1000), 1, IFERROR(MATCH(G1000, INDEX(Kat,,1), 0), IFERROR(MATCH(Kat, INDEX(Use,,2), 0), MATCH(Kat, INDEX(Use,,3), 0))))</f>
        <v>1</v>
      </c>
      <c r="AO1000" s="246"/>
      <c r="AP1000" s="228" cm="1">
        <f t="array" ref="AP1000">IF(W1000&gt;0, INDEX(Kat, AN1000,4), 0)</f>
        <v>0</v>
      </c>
      <c r="AQ1000" s="228">
        <f t="shared" si="964"/>
        <v>0</v>
      </c>
      <c r="AR1000" s="228" cm="1">
        <f t="array" ref="AR1000">IF(X1000&gt;0, INDEX(Kat, $AN1000, 4+AQ1000), 0)</f>
        <v>0</v>
      </c>
      <c r="AS1000" s="228" cm="1">
        <f t="array" ref="AS1000">IF(X1000&gt;0, INDEX(Kat, $AN1000, 9+AQ1000), 0)</f>
        <v>0</v>
      </c>
      <c r="AT1000" s="246"/>
      <c r="AU1000" s="262"/>
      <c r="AV1000" s="262"/>
      <c r="AW1000" s="263"/>
      <c r="AX1000" s="263"/>
      <c r="AY1000" s="263"/>
      <c r="AZ1000" s="263"/>
      <c r="BA1000" s="263"/>
      <c r="BB1000" s="263"/>
      <c r="BC1000" s="263"/>
      <c r="BD1000" s="263"/>
      <c r="BE1000" s="263"/>
      <c r="BF1000" s="263"/>
      <c r="BG1000" s="263"/>
      <c r="BH1000" s="246"/>
      <c r="BI1000" s="228" cm="1">
        <f t="array" ref="BI1000">INDEX(Use, $AH1000, 4)</f>
        <v>7</v>
      </c>
      <c r="BJ1000" s="228">
        <f t="shared" si="940"/>
        <v>32</v>
      </c>
      <c r="BK1000" s="228">
        <f t="shared" si="966"/>
        <v>13</v>
      </c>
      <c r="BL1000" s="228">
        <f t="shared" si="967"/>
        <v>0</v>
      </c>
      <c r="BM1000" s="233" cm="1">
        <f t="array" ref="BM1000">L1000/IF($M1000&gt;0, INDEX($AY$22:$BE$76, $M1000+20, $AH1000), 1)</f>
        <v>0</v>
      </c>
      <c r="BN1000" s="229">
        <f t="shared" si="941"/>
        <v>0</v>
      </c>
      <c r="BO1000" s="228">
        <v>35</v>
      </c>
      <c r="BP1000" s="229">
        <f t="shared" si="942"/>
        <v>48</v>
      </c>
      <c r="BQ1000" s="234">
        <f t="shared" si="943"/>
        <v>3.0748170731707316</v>
      </c>
      <c r="BR1000" s="234" cm="1">
        <f t="array" ref="BR1000">$BM1000 * SUMPRODUCT(INDEX($AV$76:$AX$81,,$AI1000),INDEX($AY$76:$BE$81,,$AH1000), N($AU$76:$AU$81&gt;$AM1000)) / BQ1000 / 1000</f>
        <v>0</v>
      </c>
      <c r="BS1000" s="231">
        <f t="shared" si="968"/>
        <v>30</v>
      </c>
      <c r="BT1000" s="229">
        <f t="shared" si="944"/>
        <v>43</v>
      </c>
      <c r="BU1000" s="234">
        <f t="shared" si="945"/>
        <v>3.5018750000000001</v>
      </c>
      <c r="BV1000" s="234" cm="1">
        <f t="array" ref="BV1000">$BM1000 * IF($AH1000&lt;=2,
SUMPRODUCT(INDEX($AV$71:$AX$75,,$AI1000), INDEX($AY$71:$BE$75,,$AH1000), 1 / ($BF$71:$BF$75*BU1000 + (1-$BF$71:$BF$75)*BQ1000), N($AU$71:$AU$75&gt;$AM1000)),
SUMPRODUCT(INDEX($AV$66:$AX$75,,$AI1000), INDEX($AY$66:$BE$75,,$AH1000), 1 / ($BG$66:$BG$75*BU1000 + (1-$BG$66:$BG$75)*BQ1000), N($AU$66:$AU$75&gt;$AM1000))
) / 1000</f>
        <v>0</v>
      </c>
      <c r="BW1000" s="231">
        <f t="shared" si="969"/>
        <v>25</v>
      </c>
      <c r="BX1000" s="229">
        <f t="shared" si="946"/>
        <v>38</v>
      </c>
      <c r="BY1000" s="234">
        <f t="shared" si="947"/>
        <v>4.0666935483870965</v>
      </c>
      <c r="BZ1000" s="234" cm="1">
        <f t="array" ref="BZ1000">$BM1000 * IF($AH1000&lt;=2,
SUMPRODUCT(INDEX($AV$66:$AX$70,,$AI1000), INDEX($AY$66:$BE$70,,$AH1000), 1 / ($BF$66:$BF$70*BY1000 + (1-$BF$66:$BF$70)*BU1000), N($AU$66:$AU$70&gt;$AM1000)),
SUMPRODUCT(INDEX($AV$56:$AX$65,,$AI1000), INDEX($AY$56:$BE$65,,$AH1000), 1 / ($BG$56:$BG$65*BY1000 + (1-$BG$56:$BG$65)*BU1000), N($AU$56:$AU$65&gt;$AM1000))
) / 1000</f>
        <v>0</v>
      </c>
      <c r="CA1000" s="231">
        <f t="shared" si="970"/>
        <v>20</v>
      </c>
      <c r="CB1000" s="229">
        <f t="shared" si="948"/>
        <v>33</v>
      </c>
      <c r="CC1000" s="234">
        <f t="shared" si="949"/>
        <v>4.8487499999999999</v>
      </c>
      <c r="CD1000" s="234" cm="1">
        <f t="array" ref="CD1000">$BM1000 * IF($AH1000&lt;=2,
SUMPRODUCT(INDEX($AV$61:$AX$65,,$AI1000), INDEX($AY$61:$BE$65,,$AH1000), 1 / ($BF$61:$BF$65*CC1000 + (1-$BF$61:$BF$65)*BY1000), N($AU$61:$AU$65&gt;$AM1000)),
SUMPRODUCT(INDEX($AV$46:$AX$55,,$AI1000), INDEX($AY$46:$BE$55,,$AH1000), 1 / ($BG$46:$BG$55*CC1000 + (1-$BG$46:$BG$55)*BY1000), N($AU$46:$AU$55&gt;$AM1000))
) / 1000</f>
        <v>0</v>
      </c>
      <c r="CE1000" s="234" cm="1">
        <f t="array" ref="CE1000">$BM1000 * IF($AH1000&lt;=2,
SUMPRODUCT(INDEX($AV$22:$AX$60,,$AI1000), INDEX($AY$22:$BE$60,,$AH1000), 1 / ($BF$22:$BF$60*CC1000), N($AU$22:$AU$60&gt;$AM1000)),
SUMPRODUCT(INDEX($AV$22:$AX$45,,$AI1000), INDEX($AY$22:$BE$45,,$AH1000), 1 / ($BG$22:$BG$45*CC1000), N($AU$22:$AU$45&gt;$AM1000))
) / 1000</f>
        <v>0</v>
      </c>
      <c r="CF1000" s="229">
        <f t="shared" si="950"/>
        <v>0</v>
      </c>
      <c r="CG1000" s="246"/>
      <c r="CH1000" s="229">
        <f t="shared" si="951"/>
        <v>0</v>
      </c>
      <c r="CI1000" s="228">
        <v>35</v>
      </c>
      <c r="CJ1000" s="229">
        <f t="shared" si="952"/>
        <v>48</v>
      </c>
      <c r="CK1000" s="234">
        <f t="shared" si="953"/>
        <v>3.0748170731707316</v>
      </c>
      <c r="CL1000" s="234" cm="1">
        <f t="array" ref="CL1000">$BM1000 * SUMPRODUCT(INDEX($AV$76:$AX$81,,$AI1000),INDEX($AY$76:$BE$81,,$AH1000), N($AU$76:$AU$81&gt;$AM1000)) / CK1000 / 1000</f>
        <v>0</v>
      </c>
      <c r="CM1000" s="231">
        <f t="shared" si="971"/>
        <v>30</v>
      </c>
      <c r="CN1000" s="229">
        <f t="shared" si="954"/>
        <v>43</v>
      </c>
      <c r="CO1000" s="234">
        <f t="shared" si="955"/>
        <v>3.5018750000000001</v>
      </c>
      <c r="CP1000" s="234" cm="1">
        <f t="array" ref="CP1000">$BM1000 * IF($AH1000&lt;=2,
SUMPRODUCT(INDEX($AV$71:$AX$75,,$AI1000), INDEX($AY$71:$BE$75,,$AH1000), 1 / ($BF$71:$BF$75*CO1000 + (1-$BF$71:$BF$75)*CK1000), N($AU$71:$AU$75&gt;$AM1000)),
SUMPRODUCT(INDEX($AV$66:$AX$75,,$AI1000), INDEX($AY$66:$BE$75,,$AH1000), 1 / ($BG$66:$BG$75*CO1000 + (1-$BG$66:$BG$75)*CK1000), N($AU$66:$AU$75&gt;$AM1000))
) / 1000</f>
        <v>0</v>
      </c>
      <c r="CQ1000" s="231">
        <f t="shared" si="972"/>
        <v>25</v>
      </c>
      <c r="CR1000" s="229">
        <f t="shared" si="956"/>
        <v>38</v>
      </c>
      <c r="CS1000" s="234">
        <f t="shared" si="957"/>
        <v>4.0666935483870965</v>
      </c>
      <c r="CT1000" s="234" cm="1">
        <f t="array" ref="CT1000">$BM1000 * IF($AH1000&lt;=2,
SUMPRODUCT(INDEX($AV$66:$AX$70,,$AI1000), INDEX($AY$66:$BE$70,,$AH1000), 1 / ($BF$66:$BF$70*CS1000 + (1-$BF$66:$BF$70)*CO1000), N($AU$66:$AU$70&gt;$AM1000)),
SUMPRODUCT(INDEX($AV$56:$AX$65,,$AI1000), INDEX($AY$56:$BE$65,,$AH1000), 1 / ($BG$56:$BG$65*CS1000 + (1-$BG$56:$BG$65)*CO1000), N($AU$56:$AU$65&gt;$AM1000))
) / 1000</f>
        <v>0</v>
      </c>
      <c r="CU1000" s="231">
        <f t="shared" si="973"/>
        <v>20</v>
      </c>
      <c r="CV1000" s="229">
        <f t="shared" si="958"/>
        <v>33</v>
      </c>
      <c r="CW1000" s="234">
        <f t="shared" si="959"/>
        <v>4.8487499999999999</v>
      </c>
      <c r="CX1000" s="234" cm="1">
        <f t="array" ref="CX1000">$BM1000 * IF($AH1000&lt;=2,
SUMPRODUCT(INDEX($AV$61:$AX$65,,$AI1000), INDEX($AY$61:$BE$65,,$AH1000), 1 / ($BF$61:$BF$65*CW1000 + (1-$BF$61:$BF$65)*CS1000), N($AU$61:$AU$65&gt;$AM1000)),
SUMPRODUCT(INDEX($AV$46:$AX$55,,$AI1000), INDEX($AY$46:$BE$55,,$AH1000), 1 / ($BG$46:$BG$55*CW1000 + (1-$BG$46:$BG$55)*CS1000), N($AU$46:$AU$55&gt;$AM1000))
) / 1000</f>
        <v>0</v>
      </c>
      <c r="CY1000" s="234" cm="1">
        <f t="array" ref="CY1000">$BM1000 * IF($AH1000&lt;=2,
SUMPRODUCT(INDEX($AV$22:$AX$60,,$AI1000), INDEX($AY$22:$BE$60,,$AH1000), 1 / ($BF$22:$BF$60*CW1000), N($AU$22:$AU$60&gt;$AM1000)),
SUMPRODUCT(INDEX($AV$22:$AX$45,,$AI1000), INDEX($AY$22:$BE$45,,$AH1000), 1 / ($BG$22:$BG$45*CW1000), N($AU$22:$AU$45&gt;$AM1000))
) / 1000</f>
        <v>0</v>
      </c>
      <c r="CZ1000" s="229">
        <f t="shared" si="960"/>
        <v>0</v>
      </c>
      <c r="DA1000" s="246"/>
    </row>
    <row r="1001" spans="1:105" s="75" customFormat="1" ht="14.25" customHeight="1" x14ac:dyDescent="0.2">
      <c r="A1001" s="230" t="b">
        <f t="shared" si="965"/>
        <v>0</v>
      </c>
      <c r="B1001" s="253">
        <v>980</v>
      </c>
      <c r="C1001" s="266"/>
      <c r="D1001" s="266"/>
      <c r="E1001" s="254"/>
      <c r="F1001" s="255" t="str">
        <f>IF(ISBLANK(E1001), "", VLOOKUP(E1001, Z!$A$2:$C$4127, 3, FALSE))</f>
        <v/>
      </c>
      <c r="G1001" s="256"/>
      <c r="H1001" s="256"/>
      <c r="I1001" s="256"/>
      <c r="J1001" s="257"/>
      <c r="K1001" s="258"/>
      <c r="L1001" s="267"/>
      <c r="M1001" s="268"/>
      <c r="N1001" s="259" t="str" cm="1">
        <f t="array" ref="N1001">IF($L1001&gt;0, INDEX(Clean,1+AK1001,$D$1), "")</f>
        <v/>
      </c>
      <c r="O1001" s="260"/>
      <c r="P1001" s="260"/>
      <c r="Q1001" s="261"/>
      <c r="R1001" s="264">
        <f t="shared" si="936"/>
        <v>0</v>
      </c>
      <c r="S1001" s="259" t="str" cm="1">
        <f t="array" ref="S1001">IF($L1001&gt;0, INDEX(Clean,1+AL1001,$D$1), "")</f>
        <v/>
      </c>
      <c r="T1001" s="260"/>
      <c r="U1001" s="260"/>
      <c r="V1001" s="261"/>
      <c r="W1001" s="267"/>
      <c r="X1001" s="267"/>
      <c r="Y1001" s="257"/>
      <c r="Z1001" s="264">
        <f t="shared" si="937"/>
        <v>0</v>
      </c>
      <c r="AA1001" s="269"/>
      <c r="AB1001" s="266"/>
      <c r="AC1001" s="254"/>
      <c r="AD1001" s="255" t="str">
        <f>IF(ISBLANK(AC1001), "", VLOOKUP(AC1001, Z!$A$2:$C$4127, 3, FALSE))</f>
        <v/>
      </c>
      <c r="AE1001" s="270"/>
      <c r="AF1001" s="265">
        <f t="shared" si="938"/>
        <v>0</v>
      </c>
      <c r="AG1001" s="246"/>
      <c r="AH1001" s="228">
        <f t="shared" si="961"/>
        <v>1</v>
      </c>
      <c r="AI1001" s="228">
        <f t="shared" si="962"/>
        <v>1</v>
      </c>
      <c r="AJ1001" s="228">
        <f t="shared" si="963"/>
        <v>0</v>
      </c>
      <c r="AK1001" s="228">
        <v>0</v>
      </c>
      <c r="AL1001" s="228">
        <v>0</v>
      </c>
      <c r="AM1001" s="228">
        <f t="shared" si="939"/>
        <v>-100</v>
      </c>
      <c r="AN1001" s="228" cm="1">
        <f t="array" ref="AN1001">IF(ISBLANK(G1001), 1, IFERROR(MATCH(G1001, INDEX(Kat,,1), 0), IFERROR(MATCH(Kat, INDEX(Use,,2), 0), MATCH(Kat, INDEX(Use,,3), 0))))</f>
        <v>1</v>
      </c>
      <c r="AO1001" s="246"/>
      <c r="AP1001" s="228" cm="1">
        <f t="array" ref="AP1001">IF(W1001&gt;0, INDEX(Kat, AN1001,4), 0)</f>
        <v>0</v>
      </c>
      <c r="AQ1001" s="228">
        <f t="shared" si="964"/>
        <v>0</v>
      </c>
      <c r="AR1001" s="228" cm="1">
        <f t="array" ref="AR1001">IF(X1001&gt;0, INDEX(Kat, $AN1001, 4+AQ1001), 0)</f>
        <v>0</v>
      </c>
      <c r="AS1001" s="228" cm="1">
        <f t="array" ref="AS1001">IF(X1001&gt;0, INDEX(Kat, $AN1001, 9+AQ1001), 0)</f>
        <v>0</v>
      </c>
      <c r="AT1001" s="246"/>
      <c r="AU1001" s="262"/>
      <c r="AV1001" s="262"/>
      <c r="AW1001" s="263"/>
      <c r="AX1001" s="263"/>
      <c r="AY1001" s="263"/>
      <c r="AZ1001" s="263"/>
      <c r="BA1001" s="263"/>
      <c r="BB1001" s="263"/>
      <c r="BC1001" s="263"/>
      <c r="BD1001" s="263"/>
      <c r="BE1001" s="263"/>
      <c r="BF1001" s="263"/>
      <c r="BG1001" s="263"/>
      <c r="BH1001" s="246"/>
      <c r="BI1001" s="228" cm="1">
        <f t="array" ref="BI1001">INDEX(Use, $AH1001, 4)</f>
        <v>7</v>
      </c>
      <c r="BJ1001" s="228">
        <f t="shared" si="940"/>
        <v>32</v>
      </c>
      <c r="BK1001" s="228">
        <f t="shared" si="966"/>
        <v>13</v>
      </c>
      <c r="BL1001" s="228">
        <f t="shared" si="967"/>
        <v>0</v>
      </c>
      <c r="BM1001" s="233" cm="1">
        <f t="array" ref="BM1001">L1001/IF($M1001&gt;0, INDEX($AY$22:$BE$76, $M1001+20, $AH1001), 1)</f>
        <v>0</v>
      </c>
      <c r="BN1001" s="229">
        <f t="shared" si="941"/>
        <v>0</v>
      </c>
      <c r="BO1001" s="228">
        <v>35</v>
      </c>
      <c r="BP1001" s="229">
        <f t="shared" si="942"/>
        <v>48</v>
      </c>
      <c r="BQ1001" s="234">
        <f t="shared" si="943"/>
        <v>3.0748170731707316</v>
      </c>
      <c r="BR1001" s="234" cm="1">
        <f t="array" ref="BR1001">$BM1001 * SUMPRODUCT(INDEX($AV$76:$AX$81,,$AI1001),INDEX($AY$76:$BE$81,,$AH1001), N($AU$76:$AU$81&gt;$AM1001)) / BQ1001 / 1000</f>
        <v>0</v>
      </c>
      <c r="BS1001" s="231">
        <f t="shared" si="968"/>
        <v>30</v>
      </c>
      <c r="BT1001" s="229">
        <f t="shared" si="944"/>
        <v>43</v>
      </c>
      <c r="BU1001" s="234">
        <f t="shared" si="945"/>
        <v>3.5018750000000001</v>
      </c>
      <c r="BV1001" s="234" cm="1">
        <f t="array" ref="BV1001">$BM1001 * IF($AH1001&lt;=2,
SUMPRODUCT(INDEX($AV$71:$AX$75,,$AI1001), INDEX($AY$71:$BE$75,,$AH1001), 1 / ($BF$71:$BF$75*BU1001 + (1-$BF$71:$BF$75)*BQ1001), N($AU$71:$AU$75&gt;$AM1001)),
SUMPRODUCT(INDEX($AV$66:$AX$75,,$AI1001), INDEX($AY$66:$BE$75,,$AH1001), 1 / ($BG$66:$BG$75*BU1001 + (1-$BG$66:$BG$75)*BQ1001), N($AU$66:$AU$75&gt;$AM1001))
) / 1000</f>
        <v>0</v>
      </c>
      <c r="BW1001" s="231">
        <f t="shared" si="969"/>
        <v>25</v>
      </c>
      <c r="BX1001" s="229">
        <f t="shared" si="946"/>
        <v>38</v>
      </c>
      <c r="BY1001" s="234">
        <f t="shared" si="947"/>
        <v>4.0666935483870965</v>
      </c>
      <c r="BZ1001" s="234" cm="1">
        <f t="array" ref="BZ1001">$BM1001 * IF($AH1001&lt;=2,
SUMPRODUCT(INDEX($AV$66:$AX$70,,$AI1001), INDEX($AY$66:$BE$70,,$AH1001), 1 / ($BF$66:$BF$70*BY1001 + (1-$BF$66:$BF$70)*BU1001), N($AU$66:$AU$70&gt;$AM1001)),
SUMPRODUCT(INDEX($AV$56:$AX$65,,$AI1001), INDEX($AY$56:$BE$65,,$AH1001), 1 / ($BG$56:$BG$65*BY1001 + (1-$BG$56:$BG$65)*BU1001), N($AU$56:$AU$65&gt;$AM1001))
) / 1000</f>
        <v>0</v>
      </c>
      <c r="CA1001" s="231">
        <f t="shared" si="970"/>
        <v>20</v>
      </c>
      <c r="CB1001" s="229">
        <f t="shared" si="948"/>
        <v>33</v>
      </c>
      <c r="CC1001" s="234">
        <f t="shared" si="949"/>
        <v>4.8487499999999999</v>
      </c>
      <c r="CD1001" s="234" cm="1">
        <f t="array" ref="CD1001">$BM1001 * IF($AH1001&lt;=2,
SUMPRODUCT(INDEX($AV$61:$AX$65,,$AI1001), INDEX($AY$61:$BE$65,,$AH1001), 1 / ($BF$61:$BF$65*CC1001 + (1-$BF$61:$BF$65)*BY1001), N($AU$61:$AU$65&gt;$AM1001)),
SUMPRODUCT(INDEX($AV$46:$AX$55,,$AI1001), INDEX($AY$46:$BE$55,,$AH1001), 1 / ($BG$46:$BG$55*CC1001 + (1-$BG$46:$BG$55)*BY1001), N($AU$46:$AU$55&gt;$AM1001))
) / 1000</f>
        <v>0</v>
      </c>
      <c r="CE1001" s="234" cm="1">
        <f t="array" ref="CE1001">$BM1001 * IF($AH1001&lt;=2,
SUMPRODUCT(INDEX($AV$22:$AX$60,,$AI1001), INDEX($AY$22:$BE$60,,$AH1001), 1 / ($BF$22:$BF$60*CC1001), N($AU$22:$AU$60&gt;$AM1001)),
SUMPRODUCT(INDEX($AV$22:$AX$45,,$AI1001), INDEX($AY$22:$BE$45,,$AH1001), 1 / ($BG$22:$BG$45*CC1001), N($AU$22:$AU$45&gt;$AM1001))
) / 1000</f>
        <v>0</v>
      </c>
      <c r="CF1001" s="229">
        <f t="shared" si="950"/>
        <v>0</v>
      </c>
      <c r="CG1001" s="246"/>
      <c r="CH1001" s="229">
        <f t="shared" si="951"/>
        <v>0</v>
      </c>
      <c r="CI1001" s="228">
        <v>35</v>
      </c>
      <c r="CJ1001" s="229">
        <f t="shared" si="952"/>
        <v>48</v>
      </c>
      <c r="CK1001" s="234">
        <f t="shared" si="953"/>
        <v>3.0748170731707316</v>
      </c>
      <c r="CL1001" s="234" cm="1">
        <f t="array" ref="CL1001">$BM1001 * SUMPRODUCT(INDEX($AV$76:$AX$81,,$AI1001),INDEX($AY$76:$BE$81,,$AH1001), N($AU$76:$AU$81&gt;$AM1001)) / CK1001 / 1000</f>
        <v>0</v>
      </c>
      <c r="CM1001" s="231">
        <f t="shared" si="971"/>
        <v>30</v>
      </c>
      <c r="CN1001" s="229">
        <f t="shared" si="954"/>
        <v>43</v>
      </c>
      <c r="CO1001" s="234">
        <f t="shared" si="955"/>
        <v>3.5018750000000001</v>
      </c>
      <c r="CP1001" s="234" cm="1">
        <f t="array" ref="CP1001">$BM1001 * IF($AH1001&lt;=2,
SUMPRODUCT(INDEX($AV$71:$AX$75,,$AI1001), INDEX($AY$71:$BE$75,,$AH1001), 1 / ($BF$71:$BF$75*CO1001 + (1-$BF$71:$BF$75)*CK1001), N($AU$71:$AU$75&gt;$AM1001)),
SUMPRODUCT(INDEX($AV$66:$AX$75,,$AI1001), INDEX($AY$66:$BE$75,,$AH1001), 1 / ($BG$66:$BG$75*CO1001 + (1-$BG$66:$BG$75)*CK1001), N($AU$66:$AU$75&gt;$AM1001))
) / 1000</f>
        <v>0</v>
      </c>
      <c r="CQ1001" s="231">
        <f t="shared" si="972"/>
        <v>25</v>
      </c>
      <c r="CR1001" s="229">
        <f t="shared" si="956"/>
        <v>38</v>
      </c>
      <c r="CS1001" s="234">
        <f t="shared" si="957"/>
        <v>4.0666935483870965</v>
      </c>
      <c r="CT1001" s="234" cm="1">
        <f t="array" ref="CT1001">$BM1001 * IF($AH1001&lt;=2,
SUMPRODUCT(INDEX($AV$66:$AX$70,,$AI1001), INDEX($AY$66:$BE$70,,$AH1001), 1 / ($BF$66:$BF$70*CS1001 + (1-$BF$66:$BF$70)*CO1001), N($AU$66:$AU$70&gt;$AM1001)),
SUMPRODUCT(INDEX($AV$56:$AX$65,,$AI1001), INDEX($AY$56:$BE$65,,$AH1001), 1 / ($BG$56:$BG$65*CS1001 + (1-$BG$56:$BG$65)*CO1001), N($AU$56:$AU$65&gt;$AM1001))
) / 1000</f>
        <v>0</v>
      </c>
      <c r="CU1001" s="231">
        <f t="shared" si="973"/>
        <v>20</v>
      </c>
      <c r="CV1001" s="229">
        <f t="shared" si="958"/>
        <v>33</v>
      </c>
      <c r="CW1001" s="234">
        <f t="shared" si="959"/>
        <v>4.8487499999999999</v>
      </c>
      <c r="CX1001" s="234" cm="1">
        <f t="array" ref="CX1001">$BM1001 * IF($AH1001&lt;=2,
SUMPRODUCT(INDEX($AV$61:$AX$65,,$AI1001), INDEX($AY$61:$BE$65,,$AH1001), 1 / ($BF$61:$BF$65*CW1001 + (1-$BF$61:$BF$65)*CS1001), N($AU$61:$AU$65&gt;$AM1001)),
SUMPRODUCT(INDEX($AV$46:$AX$55,,$AI1001), INDEX($AY$46:$BE$55,,$AH1001), 1 / ($BG$46:$BG$55*CW1001 + (1-$BG$46:$BG$55)*CS1001), N($AU$46:$AU$55&gt;$AM1001))
) / 1000</f>
        <v>0</v>
      </c>
      <c r="CY1001" s="234" cm="1">
        <f t="array" ref="CY1001">$BM1001 * IF($AH1001&lt;=2,
SUMPRODUCT(INDEX($AV$22:$AX$60,,$AI1001), INDEX($AY$22:$BE$60,,$AH1001), 1 / ($BF$22:$BF$60*CW1001), N($AU$22:$AU$60&gt;$AM1001)),
SUMPRODUCT(INDEX($AV$22:$AX$45,,$AI1001), INDEX($AY$22:$BE$45,,$AH1001), 1 / ($BG$22:$BG$45*CW1001), N($AU$22:$AU$45&gt;$AM1001))
) / 1000</f>
        <v>0</v>
      </c>
      <c r="CZ1001" s="229">
        <f t="shared" si="960"/>
        <v>0</v>
      </c>
      <c r="DA1001" s="246"/>
    </row>
    <row r="1002" spans="1:105" s="75" customFormat="1" ht="14.25" customHeight="1" x14ac:dyDescent="0.2">
      <c r="A1002" s="230" t="b">
        <f t="shared" si="965"/>
        <v>0</v>
      </c>
      <c r="B1002" s="253">
        <v>981</v>
      </c>
      <c r="C1002" s="266"/>
      <c r="D1002" s="266"/>
      <c r="E1002" s="254"/>
      <c r="F1002" s="255" t="str">
        <f>IF(ISBLANK(E1002), "", VLOOKUP(E1002, Z!$A$2:$C$4127, 3, FALSE))</f>
        <v/>
      </c>
      <c r="G1002" s="256"/>
      <c r="H1002" s="256"/>
      <c r="I1002" s="256"/>
      <c r="J1002" s="257"/>
      <c r="K1002" s="258"/>
      <c r="L1002" s="267"/>
      <c r="M1002" s="268"/>
      <c r="N1002" s="259" t="str" cm="1">
        <f t="array" ref="N1002">IF($L1002&gt;0, INDEX(Clean,1+AK1002,$D$1), "")</f>
        <v/>
      </c>
      <c r="O1002" s="260"/>
      <c r="P1002" s="260"/>
      <c r="Q1002" s="261"/>
      <c r="R1002" s="264">
        <f t="shared" si="936"/>
        <v>0</v>
      </c>
      <c r="S1002" s="259" t="str" cm="1">
        <f t="array" ref="S1002">IF($L1002&gt;0, INDEX(Clean,1+AL1002,$D$1), "")</f>
        <v/>
      </c>
      <c r="T1002" s="260"/>
      <c r="U1002" s="260"/>
      <c r="V1002" s="261"/>
      <c r="W1002" s="267"/>
      <c r="X1002" s="267"/>
      <c r="Y1002" s="257"/>
      <c r="Z1002" s="264">
        <f t="shared" si="937"/>
        <v>0</v>
      </c>
      <c r="AA1002" s="269"/>
      <c r="AB1002" s="266"/>
      <c r="AC1002" s="254"/>
      <c r="AD1002" s="255" t="str">
        <f>IF(ISBLANK(AC1002), "", VLOOKUP(AC1002, Z!$A$2:$C$4127, 3, FALSE))</f>
        <v/>
      </c>
      <c r="AE1002" s="270"/>
      <c r="AF1002" s="265">
        <f t="shared" si="938"/>
        <v>0</v>
      </c>
      <c r="AG1002" s="246"/>
      <c r="AH1002" s="228">
        <f t="shared" si="961"/>
        <v>1</v>
      </c>
      <c r="AI1002" s="228">
        <f t="shared" si="962"/>
        <v>1</v>
      </c>
      <c r="AJ1002" s="228">
        <f t="shared" si="963"/>
        <v>0</v>
      </c>
      <c r="AK1002" s="228">
        <v>0</v>
      </c>
      <c r="AL1002" s="228">
        <v>0</v>
      </c>
      <c r="AM1002" s="228">
        <f t="shared" si="939"/>
        <v>-100</v>
      </c>
      <c r="AN1002" s="228" cm="1">
        <f t="array" ref="AN1002">IF(ISBLANK(G1002), 1, IFERROR(MATCH(G1002, INDEX(Kat,,1), 0), IFERROR(MATCH(Kat, INDEX(Use,,2), 0), MATCH(Kat, INDEX(Use,,3), 0))))</f>
        <v>1</v>
      </c>
      <c r="AO1002" s="246"/>
      <c r="AP1002" s="228" cm="1">
        <f t="array" ref="AP1002">IF(W1002&gt;0, INDEX(Kat, AN1002,4), 0)</f>
        <v>0</v>
      </c>
      <c r="AQ1002" s="228">
        <f t="shared" si="964"/>
        <v>0</v>
      </c>
      <c r="AR1002" s="228" cm="1">
        <f t="array" ref="AR1002">IF(X1002&gt;0, INDEX(Kat, $AN1002, 4+AQ1002), 0)</f>
        <v>0</v>
      </c>
      <c r="AS1002" s="228" cm="1">
        <f t="array" ref="AS1002">IF(X1002&gt;0, INDEX(Kat, $AN1002, 9+AQ1002), 0)</f>
        <v>0</v>
      </c>
      <c r="AT1002" s="246"/>
      <c r="AU1002" s="262"/>
      <c r="AV1002" s="262"/>
      <c r="AW1002" s="263"/>
      <c r="AX1002" s="263"/>
      <c r="AY1002" s="263"/>
      <c r="AZ1002" s="263"/>
      <c r="BA1002" s="263"/>
      <c r="BB1002" s="263"/>
      <c r="BC1002" s="263"/>
      <c r="BD1002" s="263"/>
      <c r="BE1002" s="263"/>
      <c r="BF1002" s="263"/>
      <c r="BG1002" s="263"/>
      <c r="BH1002" s="246"/>
      <c r="BI1002" s="228" cm="1">
        <f t="array" ref="BI1002">INDEX(Use, $AH1002, 4)</f>
        <v>7</v>
      </c>
      <c r="BJ1002" s="228">
        <f t="shared" si="940"/>
        <v>32</v>
      </c>
      <c r="BK1002" s="228">
        <f t="shared" si="966"/>
        <v>13</v>
      </c>
      <c r="BL1002" s="228">
        <f t="shared" si="967"/>
        <v>0</v>
      </c>
      <c r="BM1002" s="233" cm="1">
        <f t="array" ref="BM1002">L1002/IF($M1002&gt;0, INDEX($AY$22:$BE$76, $M1002+20, $AH1002), 1)</f>
        <v>0</v>
      </c>
      <c r="BN1002" s="229">
        <f t="shared" si="941"/>
        <v>0</v>
      </c>
      <c r="BO1002" s="228">
        <v>35</v>
      </c>
      <c r="BP1002" s="229">
        <f t="shared" si="942"/>
        <v>48</v>
      </c>
      <c r="BQ1002" s="234">
        <f t="shared" si="943"/>
        <v>3.0748170731707316</v>
      </c>
      <c r="BR1002" s="234" cm="1">
        <f t="array" ref="BR1002">$BM1002 * SUMPRODUCT(INDEX($AV$76:$AX$81,,$AI1002),INDEX($AY$76:$BE$81,,$AH1002), N($AU$76:$AU$81&gt;$AM1002)) / BQ1002 / 1000</f>
        <v>0</v>
      </c>
      <c r="BS1002" s="231">
        <f t="shared" si="968"/>
        <v>30</v>
      </c>
      <c r="BT1002" s="229">
        <f t="shared" si="944"/>
        <v>43</v>
      </c>
      <c r="BU1002" s="234">
        <f t="shared" si="945"/>
        <v>3.5018750000000001</v>
      </c>
      <c r="BV1002" s="234" cm="1">
        <f t="array" ref="BV1002">$BM1002 * IF($AH1002&lt;=2,
SUMPRODUCT(INDEX($AV$71:$AX$75,,$AI1002), INDEX($AY$71:$BE$75,,$AH1002), 1 / ($BF$71:$BF$75*BU1002 + (1-$BF$71:$BF$75)*BQ1002), N($AU$71:$AU$75&gt;$AM1002)),
SUMPRODUCT(INDEX($AV$66:$AX$75,,$AI1002), INDEX($AY$66:$BE$75,,$AH1002), 1 / ($BG$66:$BG$75*BU1002 + (1-$BG$66:$BG$75)*BQ1002), N($AU$66:$AU$75&gt;$AM1002))
) / 1000</f>
        <v>0</v>
      </c>
      <c r="BW1002" s="231">
        <f t="shared" si="969"/>
        <v>25</v>
      </c>
      <c r="BX1002" s="229">
        <f t="shared" si="946"/>
        <v>38</v>
      </c>
      <c r="BY1002" s="234">
        <f t="shared" si="947"/>
        <v>4.0666935483870965</v>
      </c>
      <c r="BZ1002" s="234" cm="1">
        <f t="array" ref="BZ1002">$BM1002 * IF($AH1002&lt;=2,
SUMPRODUCT(INDEX($AV$66:$AX$70,,$AI1002), INDEX($AY$66:$BE$70,,$AH1002), 1 / ($BF$66:$BF$70*BY1002 + (1-$BF$66:$BF$70)*BU1002), N($AU$66:$AU$70&gt;$AM1002)),
SUMPRODUCT(INDEX($AV$56:$AX$65,,$AI1002), INDEX($AY$56:$BE$65,,$AH1002), 1 / ($BG$56:$BG$65*BY1002 + (1-$BG$56:$BG$65)*BU1002), N($AU$56:$AU$65&gt;$AM1002))
) / 1000</f>
        <v>0</v>
      </c>
      <c r="CA1002" s="231">
        <f t="shared" si="970"/>
        <v>20</v>
      </c>
      <c r="CB1002" s="229">
        <f t="shared" si="948"/>
        <v>33</v>
      </c>
      <c r="CC1002" s="234">
        <f t="shared" si="949"/>
        <v>4.8487499999999999</v>
      </c>
      <c r="CD1002" s="234" cm="1">
        <f t="array" ref="CD1002">$BM1002 * IF($AH1002&lt;=2,
SUMPRODUCT(INDEX($AV$61:$AX$65,,$AI1002), INDEX($AY$61:$BE$65,,$AH1002), 1 / ($BF$61:$BF$65*CC1002 + (1-$BF$61:$BF$65)*BY1002), N($AU$61:$AU$65&gt;$AM1002)),
SUMPRODUCT(INDEX($AV$46:$AX$55,,$AI1002), INDEX($AY$46:$BE$55,,$AH1002), 1 / ($BG$46:$BG$55*CC1002 + (1-$BG$46:$BG$55)*BY1002), N($AU$46:$AU$55&gt;$AM1002))
) / 1000</f>
        <v>0</v>
      </c>
      <c r="CE1002" s="234" cm="1">
        <f t="array" ref="CE1002">$BM1002 * IF($AH1002&lt;=2,
SUMPRODUCT(INDEX($AV$22:$AX$60,,$AI1002), INDEX($AY$22:$BE$60,,$AH1002), 1 / ($BF$22:$BF$60*CC1002), N($AU$22:$AU$60&gt;$AM1002)),
SUMPRODUCT(INDEX($AV$22:$AX$45,,$AI1002), INDEX($AY$22:$BE$45,,$AH1002), 1 / ($BG$22:$BG$45*CC1002), N($AU$22:$AU$45&gt;$AM1002))
) / 1000</f>
        <v>0</v>
      </c>
      <c r="CF1002" s="229">
        <f t="shared" si="950"/>
        <v>0</v>
      </c>
      <c r="CG1002" s="246"/>
      <c r="CH1002" s="229">
        <f t="shared" si="951"/>
        <v>0</v>
      </c>
      <c r="CI1002" s="228">
        <v>35</v>
      </c>
      <c r="CJ1002" s="229">
        <f t="shared" si="952"/>
        <v>48</v>
      </c>
      <c r="CK1002" s="234">
        <f t="shared" si="953"/>
        <v>3.0748170731707316</v>
      </c>
      <c r="CL1002" s="234" cm="1">
        <f t="array" ref="CL1002">$BM1002 * SUMPRODUCT(INDEX($AV$76:$AX$81,,$AI1002),INDEX($AY$76:$BE$81,,$AH1002), N($AU$76:$AU$81&gt;$AM1002)) / CK1002 / 1000</f>
        <v>0</v>
      </c>
      <c r="CM1002" s="231">
        <f t="shared" si="971"/>
        <v>30</v>
      </c>
      <c r="CN1002" s="229">
        <f t="shared" si="954"/>
        <v>43</v>
      </c>
      <c r="CO1002" s="234">
        <f t="shared" si="955"/>
        <v>3.5018750000000001</v>
      </c>
      <c r="CP1002" s="234" cm="1">
        <f t="array" ref="CP1002">$BM1002 * IF($AH1002&lt;=2,
SUMPRODUCT(INDEX($AV$71:$AX$75,,$AI1002), INDEX($AY$71:$BE$75,,$AH1002), 1 / ($BF$71:$BF$75*CO1002 + (1-$BF$71:$BF$75)*CK1002), N($AU$71:$AU$75&gt;$AM1002)),
SUMPRODUCT(INDEX($AV$66:$AX$75,,$AI1002), INDEX($AY$66:$BE$75,,$AH1002), 1 / ($BG$66:$BG$75*CO1002 + (1-$BG$66:$BG$75)*CK1002), N($AU$66:$AU$75&gt;$AM1002))
) / 1000</f>
        <v>0</v>
      </c>
      <c r="CQ1002" s="231">
        <f t="shared" si="972"/>
        <v>25</v>
      </c>
      <c r="CR1002" s="229">
        <f t="shared" si="956"/>
        <v>38</v>
      </c>
      <c r="CS1002" s="234">
        <f t="shared" si="957"/>
        <v>4.0666935483870965</v>
      </c>
      <c r="CT1002" s="234" cm="1">
        <f t="array" ref="CT1002">$BM1002 * IF($AH1002&lt;=2,
SUMPRODUCT(INDEX($AV$66:$AX$70,,$AI1002), INDEX($AY$66:$BE$70,,$AH1002), 1 / ($BF$66:$BF$70*CS1002 + (1-$BF$66:$BF$70)*CO1002), N($AU$66:$AU$70&gt;$AM1002)),
SUMPRODUCT(INDEX($AV$56:$AX$65,,$AI1002), INDEX($AY$56:$BE$65,,$AH1002), 1 / ($BG$56:$BG$65*CS1002 + (1-$BG$56:$BG$65)*CO1002), N($AU$56:$AU$65&gt;$AM1002))
) / 1000</f>
        <v>0</v>
      </c>
      <c r="CU1002" s="231">
        <f t="shared" si="973"/>
        <v>20</v>
      </c>
      <c r="CV1002" s="229">
        <f t="shared" si="958"/>
        <v>33</v>
      </c>
      <c r="CW1002" s="234">
        <f t="shared" si="959"/>
        <v>4.8487499999999999</v>
      </c>
      <c r="CX1002" s="234" cm="1">
        <f t="array" ref="CX1002">$BM1002 * IF($AH1002&lt;=2,
SUMPRODUCT(INDEX($AV$61:$AX$65,,$AI1002), INDEX($AY$61:$BE$65,,$AH1002), 1 / ($BF$61:$BF$65*CW1002 + (1-$BF$61:$BF$65)*CS1002), N($AU$61:$AU$65&gt;$AM1002)),
SUMPRODUCT(INDEX($AV$46:$AX$55,,$AI1002), INDEX($AY$46:$BE$55,,$AH1002), 1 / ($BG$46:$BG$55*CW1002 + (1-$BG$46:$BG$55)*CS1002), N($AU$46:$AU$55&gt;$AM1002))
) / 1000</f>
        <v>0</v>
      </c>
      <c r="CY1002" s="234" cm="1">
        <f t="array" ref="CY1002">$BM1002 * IF($AH1002&lt;=2,
SUMPRODUCT(INDEX($AV$22:$AX$60,,$AI1002), INDEX($AY$22:$BE$60,,$AH1002), 1 / ($BF$22:$BF$60*CW1002), N($AU$22:$AU$60&gt;$AM1002)),
SUMPRODUCT(INDEX($AV$22:$AX$45,,$AI1002), INDEX($AY$22:$BE$45,,$AH1002), 1 / ($BG$22:$BG$45*CW1002), N($AU$22:$AU$45&gt;$AM1002))
) / 1000</f>
        <v>0</v>
      </c>
      <c r="CZ1002" s="229">
        <f t="shared" si="960"/>
        <v>0</v>
      </c>
      <c r="DA1002" s="246"/>
    </row>
    <row r="1003" spans="1:105" s="75" customFormat="1" ht="14.25" customHeight="1" x14ac:dyDescent="0.2">
      <c r="A1003" s="230" t="b">
        <f t="shared" si="965"/>
        <v>0</v>
      </c>
      <c r="B1003" s="253">
        <v>982</v>
      </c>
      <c r="C1003" s="266"/>
      <c r="D1003" s="266"/>
      <c r="E1003" s="254"/>
      <c r="F1003" s="255" t="str">
        <f>IF(ISBLANK(E1003), "", VLOOKUP(E1003, Z!$A$2:$C$4127, 3, FALSE))</f>
        <v/>
      </c>
      <c r="G1003" s="256"/>
      <c r="H1003" s="256"/>
      <c r="I1003" s="256"/>
      <c r="J1003" s="257"/>
      <c r="K1003" s="258"/>
      <c r="L1003" s="267"/>
      <c r="M1003" s="268"/>
      <c r="N1003" s="259" t="str" cm="1">
        <f t="array" ref="N1003">IF($L1003&gt;0, INDEX(Clean,1+AK1003,$D$1), "")</f>
        <v/>
      </c>
      <c r="O1003" s="260"/>
      <c r="P1003" s="260"/>
      <c r="Q1003" s="261"/>
      <c r="R1003" s="264">
        <f t="shared" si="936"/>
        <v>0</v>
      </c>
      <c r="S1003" s="259" t="str" cm="1">
        <f t="array" ref="S1003">IF($L1003&gt;0, INDEX(Clean,1+AL1003,$D$1), "")</f>
        <v/>
      </c>
      <c r="T1003" s="260"/>
      <c r="U1003" s="260"/>
      <c r="V1003" s="261"/>
      <c r="W1003" s="267"/>
      <c r="X1003" s="267"/>
      <c r="Y1003" s="257"/>
      <c r="Z1003" s="264">
        <f t="shared" si="937"/>
        <v>0</v>
      </c>
      <c r="AA1003" s="269"/>
      <c r="AB1003" s="266"/>
      <c r="AC1003" s="254"/>
      <c r="AD1003" s="255" t="str">
        <f>IF(ISBLANK(AC1003), "", VLOOKUP(AC1003, Z!$A$2:$C$4127, 3, FALSE))</f>
        <v/>
      </c>
      <c r="AE1003" s="270"/>
      <c r="AF1003" s="265">
        <f t="shared" si="938"/>
        <v>0</v>
      </c>
      <c r="AG1003" s="246"/>
      <c r="AH1003" s="228">
        <f t="shared" si="961"/>
        <v>1</v>
      </c>
      <c r="AI1003" s="228">
        <f t="shared" si="962"/>
        <v>1</v>
      </c>
      <c r="AJ1003" s="228">
        <f t="shared" si="963"/>
        <v>0</v>
      </c>
      <c r="AK1003" s="228">
        <v>0</v>
      </c>
      <c r="AL1003" s="228">
        <v>0</v>
      </c>
      <c r="AM1003" s="228">
        <f t="shared" si="939"/>
        <v>-100</v>
      </c>
      <c r="AN1003" s="228" cm="1">
        <f t="array" ref="AN1003">IF(ISBLANK(G1003), 1, IFERROR(MATCH(G1003, INDEX(Kat,,1), 0), IFERROR(MATCH(Kat, INDEX(Use,,2), 0), MATCH(Kat, INDEX(Use,,3), 0))))</f>
        <v>1</v>
      </c>
      <c r="AO1003" s="246"/>
      <c r="AP1003" s="228" cm="1">
        <f t="array" ref="AP1003">IF(W1003&gt;0, INDEX(Kat, AN1003,4), 0)</f>
        <v>0</v>
      </c>
      <c r="AQ1003" s="228">
        <f t="shared" si="964"/>
        <v>0</v>
      </c>
      <c r="AR1003" s="228" cm="1">
        <f t="array" ref="AR1003">IF(X1003&gt;0, INDEX(Kat, $AN1003, 4+AQ1003), 0)</f>
        <v>0</v>
      </c>
      <c r="AS1003" s="228" cm="1">
        <f t="array" ref="AS1003">IF(X1003&gt;0, INDEX(Kat, $AN1003, 9+AQ1003), 0)</f>
        <v>0</v>
      </c>
      <c r="AT1003" s="246"/>
      <c r="AU1003" s="262"/>
      <c r="AV1003" s="262"/>
      <c r="AW1003" s="263"/>
      <c r="AX1003" s="263"/>
      <c r="AY1003" s="263"/>
      <c r="AZ1003" s="263"/>
      <c r="BA1003" s="263"/>
      <c r="BB1003" s="263"/>
      <c r="BC1003" s="263"/>
      <c r="BD1003" s="263"/>
      <c r="BE1003" s="263"/>
      <c r="BF1003" s="263"/>
      <c r="BG1003" s="263"/>
      <c r="BH1003" s="246"/>
      <c r="BI1003" s="228" cm="1">
        <f t="array" ref="BI1003">INDEX(Use, $AH1003, 4)</f>
        <v>7</v>
      </c>
      <c r="BJ1003" s="228">
        <f t="shared" si="940"/>
        <v>32</v>
      </c>
      <c r="BK1003" s="228">
        <f t="shared" si="966"/>
        <v>13</v>
      </c>
      <c r="BL1003" s="228">
        <f t="shared" si="967"/>
        <v>0</v>
      </c>
      <c r="BM1003" s="233" cm="1">
        <f t="array" ref="BM1003">L1003/IF($M1003&gt;0, INDEX($AY$22:$BE$76, $M1003+20, $AH1003), 1)</f>
        <v>0</v>
      </c>
      <c r="BN1003" s="229">
        <f t="shared" si="941"/>
        <v>0</v>
      </c>
      <c r="BO1003" s="228">
        <v>35</v>
      </c>
      <c r="BP1003" s="229">
        <f t="shared" si="942"/>
        <v>48</v>
      </c>
      <c r="BQ1003" s="234">
        <f t="shared" si="943"/>
        <v>3.0748170731707316</v>
      </c>
      <c r="BR1003" s="234" cm="1">
        <f t="array" ref="BR1003">$BM1003 * SUMPRODUCT(INDEX($AV$76:$AX$81,,$AI1003),INDEX($AY$76:$BE$81,,$AH1003), N($AU$76:$AU$81&gt;$AM1003)) / BQ1003 / 1000</f>
        <v>0</v>
      </c>
      <c r="BS1003" s="231">
        <f t="shared" si="968"/>
        <v>30</v>
      </c>
      <c r="BT1003" s="229">
        <f t="shared" si="944"/>
        <v>43</v>
      </c>
      <c r="BU1003" s="234">
        <f t="shared" si="945"/>
        <v>3.5018750000000001</v>
      </c>
      <c r="BV1003" s="234" cm="1">
        <f t="array" ref="BV1003">$BM1003 * IF($AH1003&lt;=2,
SUMPRODUCT(INDEX($AV$71:$AX$75,,$AI1003), INDEX($AY$71:$BE$75,,$AH1003), 1 / ($BF$71:$BF$75*BU1003 + (1-$BF$71:$BF$75)*BQ1003), N($AU$71:$AU$75&gt;$AM1003)),
SUMPRODUCT(INDEX($AV$66:$AX$75,,$AI1003), INDEX($AY$66:$BE$75,,$AH1003), 1 / ($BG$66:$BG$75*BU1003 + (1-$BG$66:$BG$75)*BQ1003), N($AU$66:$AU$75&gt;$AM1003))
) / 1000</f>
        <v>0</v>
      </c>
      <c r="BW1003" s="231">
        <f t="shared" si="969"/>
        <v>25</v>
      </c>
      <c r="BX1003" s="229">
        <f t="shared" si="946"/>
        <v>38</v>
      </c>
      <c r="BY1003" s="234">
        <f t="shared" si="947"/>
        <v>4.0666935483870965</v>
      </c>
      <c r="BZ1003" s="234" cm="1">
        <f t="array" ref="BZ1003">$BM1003 * IF($AH1003&lt;=2,
SUMPRODUCT(INDEX($AV$66:$AX$70,,$AI1003), INDEX($AY$66:$BE$70,,$AH1003), 1 / ($BF$66:$BF$70*BY1003 + (1-$BF$66:$BF$70)*BU1003), N($AU$66:$AU$70&gt;$AM1003)),
SUMPRODUCT(INDEX($AV$56:$AX$65,,$AI1003), INDEX($AY$56:$BE$65,,$AH1003), 1 / ($BG$56:$BG$65*BY1003 + (1-$BG$56:$BG$65)*BU1003), N($AU$56:$AU$65&gt;$AM1003))
) / 1000</f>
        <v>0</v>
      </c>
      <c r="CA1003" s="231">
        <f t="shared" si="970"/>
        <v>20</v>
      </c>
      <c r="CB1003" s="229">
        <f t="shared" si="948"/>
        <v>33</v>
      </c>
      <c r="CC1003" s="234">
        <f t="shared" si="949"/>
        <v>4.8487499999999999</v>
      </c>
      <c r="CD1003" s="234" cm="1">
        <f t="array" ref="CD1003">$BM1003 * IF($AH1003&lt;=2,
SUMPRODUCT(INDEX($AV$61:$AX$65,,$AI1003), INDEX($AY$61:$BE$65,,$AH1003), 1 / ($BF$61:$BF$65*CC1003 + (1-$BF$61:$BF$65)*BY1003), N($AU$61:$AU$65&gt;$AM1003)),
SUMPRODUCT(INDEX($AV$46:$AX$55,,$AI1003), INDEX($AY$46:$BE$55,,$AH1003), 1 / ($BG$46:$BG$55*CC1003 + (1-$BG$46:$BG$55)*BY1003), N($AU$46:$AU$55&gt;$AM1003))
) / 1000</f>
        <v>0</v>
      </c>
      <c r="CE1003" s="234" cm="1">
        <f t="array" ref="CE1003">$BM1003 * IF($AH1003&lt;=2,
SUMPRODUCT(INDEX($AV$22:$AX$60,,$AI1003), INDEX($AY$22:$BE$60,,$AH1003), 1 / ($BF$22:$BF$60*CC1003), N($AU$22:$AU$60&gt;$AM1003)),
SUMPRODUCT(INDEX($AV$22:$AX$45,,$AI1003), INDEX($AY$22:$BE$45,,$AH1003), 1 / ($BG$22:$BG$45*CC1003), N($AU$22:$AU$45&gt;$AM1003))
) / 1000</f>
        <v>0</v>
      </c>
      <c r="CF1003" s="229">
        <f t="shared" si="950"/>
        <v>0</v>
      </c>
      <c r="CG1003" s="246"/>
      <c r="CH1003" s="229">
        <f t="shared" si="951"/>
        <v>0</v>
      </c>
      <c r="CI1003" s="228">
        <v>35</v>
      </c>
      <c r="CJ1003" s="229">
        <f t="shared" si="952"/>
        <v>48</v>
      </c>
      <c r="CK1003" s="234">
        <f t="shared" si="953"/>
        <v>3.0748170731707316</v>
      </c>
      <c r="CL1003" s="234" cm="1">
        <f t="array" ref="CL1003">$BM1003 * SUMPRODUCT(INDEX($AV$76:$AX$81,,$AI1003),INDEX($AY$76:$BE$81,,$AH1003), N($AU$76:$AU$81&gt;$AM1003)) / CK1003 / 1000</f>
        <v>0</v>
      </c>
      <c r="CM1003" s="231">
        <f t="shared" si="971"/>
        <v>30</v>
      </c>
      <c r="CN1003" s="229">
        <f t="shared" si="954"/>
        <v>43</v>
      </c>
      <c r="CO1003" s="234">
        <f t="shared" si="955"/>
        <v>3.5018750000000001</v>
      </c>
      <c r="CP1003" s="234" cm="1">
        <f t="array" ref="CP1003">$BM1003 * IF($AH1003&lt;=2,
SUMPRODUCT(INDEX($AV$71:$AX$75,,$AI1003), INDEX($AY$71:$BE$75,,$AH1003), 1 / ($BF$71:$BF$75*CO1003 + (1-$BF$71:$BF$75)*CK1003), N($AU$71:$AU$75&gt;$AM1003)),
SUMPRODUCT(INDEX($AV$66:$AX$75,,$AI1003), INDEX($AY$66:$BE$75,,$AH1003), 1 / ($BG$66:$BG$75*CO1003 + (1-$BG$66:$BG$75)*CK1003), N($AU$66:$AU$75&gt;$AM1003))
) / 1000</f>
        <v>0</v>
      </c>
      <c r="CQ1003" s="231">
        <f t="shared" si="972"/>
        <v>25</v>
      </c>
      <c r="CR1003" s="229">
        <f t="shared" si="956"/>
        <v>38</v>
      </c>
      <c r="CS1003" s="234">
        <f t="shared" si="957"/>
        <v>4.0666935483870965</v>
      </c>
      <c r="CT1003" s="234" cm="1">
        <f t="array" ref="CT1003">$BM1003 * IF($AH1003&lt;=2,
SUMPRODUCT(INDEX($AV$66:$AX$70,,$AI1003), INDEX($AY$66:$BE$70,,$AH1003), 1 / ($BF$66:$BF$70*CS1003 + (1-$BF$66:$BF$70)*CO1003), N($AU$66:$AU$70&gt;$AM1003)),
SUMPRODUCT(INDEX($AV$56:$AX$65,,$AI1003), INDEX($AY$56:$BE$65,,$AH1003), 1 / ($BG$56:$BG$65*CS1003 + (1-$BG$56:$BG$65)*CO1003), N($AU$56:$AU$65&gt;$AM1003))
) / 1000</f>
        <v>0</v>
      </c>
      <c r="CU1003" s="231">
        <f t="shared" si="973"/>
        <v>20</v>
      </c>
      <c r="CV1003" s="229">
        <f t="shared" si="958"/>
        <v>33</v>
      </c>
      <c r="CW1003" s="234">
        <f t="shared" si="959"/>
        <v>4.8487499999999999</v>
      </c>
      <c r="CX1003" s="234" cm="1">
        <f t="array" ref="CX1003">$BM1003 * IF($AH1003&lt;=2,
SUMPRODUCT(INDEX($AV$61:$AX$65,,$AI1003), INDEX($AY$61:$BE$65,,$AH1003), 1 / ($BF$61:$BF$65*CW1003 + (1-$BF$61:$BF$65)*CS1003), N($AU$61:$AU$65&gt;$AM1003)),
SUMPRODUCT(INDEX($AV$46:$AX$55,,$AI1003), INDEX($AY$46:$BE$55,,$AH1003), 1 / ($BG$46:$BG$55*CW1003 + (1-$BG$46:$BG$55)*CS1003), N($AU$46:$AU$55&gt;$AM1003))
) / 1000</f>
        <v>0</v>
      </c>
      <c r="CY1003" s="234" cm="1">
        <f t="array" ref="CY1003">$BM1003 * IF($AH1003&lt;=2,
SUMPRODUCT(INDEX($AV$22:$AX$60,,$AI1003), INDEX($AY$22:$BE$60,,$AH1003), 1 / ($BF$22:$BF$60*CW1003), N($AU$22:$AU$60&gt;$AM1003)),
SUMPRODUCT(INDEX($AV$22:$AX$45,,$AI1003), INDEX($AY$22:$BE$45,,$AH1003), 1 / ($BG$22:$BG$45*CW1003), N($AU$22:$AU$45&gt;$AM1003))
) / 1000</f>
        <v>0</v>
      </c>
      <c r="CZ1003" s="229">
        <f t="shared" si="960"/>
        <v>0</v>
      </c>
      <c r="DA1003" s="246"/>
    </row>
    <row r="1004" spans="1:105" s="75" customFormat="1" ht="14.25" customHeight="1" x14ac:dyDescent="0.2">
      <c r="A1004" s="230" t="b">
        <f t="shared" si="965"/>
        <v>0</v>
      </c>
      <c r="B1004" s="253">
        <v>983</v>
      </c>
      <c r="C1004" s="266"/>
      <c r="D1004" s="266"/>
      <c r="E1004" s="254"/>
      <c r="F1004" s="255" t="str">
        <f>IF(ISBLANK(E1004), "", VLOOKUP(E1004, Z!$A$2:$C$4127, 3, FALSE))</f>
        <v/>
      </c>
      <c r="G1004" s="256"/>
      <c r="H1004" s="256"/>
      <c r="I1004" s="256"/>
      <c r="J1004" s="257"/>
      <c r="K1004" s="258"/>
      <c r="L1004" s="267"/>
      <c r="M1004" s="268"/>
      <c r="N1004" s="259" t="str" cm="1">
        <f t="array" ref="N1004">IF($L1004&gt;0, INDEX(Clean,1+AK1004,$D$1), "")</f>
        <v/>
      </c>
      <c r="O1004" s="260"/>
      <c r="P1004" s="260"/>
      <c r="Q1004" s="261"/>
      <c r="R1004" s="264">
        <f t="shared" si="936"/>
        <v>0</v>
      </c>
      <c r="S1004" s="259" t="str" cm="1">
        <f t="array" ref="S1004">IF($L1004&gt;0, INDEX(Clean,1+AL1004,$D$1), "")</f>
        <v/>
      </c>
      <c r="T1004" s="260"/>
      <c r="U1004" s="260"/>
      <c r="V1004" s="261"/>
      <c r="W1004" s="267"/>
      <c r="X1004" s="267"/>
      <c r="Y1004" s="257"/>
      <c r="Z1004" s="264">
        <f t="shared" si="937"/>
        <v>0</v>
      </c>
      <c r="AA1004" s="269"/>
      <c r="AB1004" s="266"/>
      <c r="AC1004" s="254"/>
      <c r="AD1004" s="255" t="str">
        <f>IF(ISBLANK(AC1004), "", VLOOKUP(AC1004, Z!$A$2:$C$4127, 3, FALSE))</f>
        <v/>
      </c>
      <c r="AE1004" s="270"/>
      <c r="AF1004" s="265">
        <f t="shared" si="938"/>
        <v>0</v>
      </c>
      <c r="AG1004" s="246"/>
      <c r="AH1004" s="228">
        <f t="shared" si="961"/>
        <v>1</v>
      </c>
      <c r="AI1004" s="228">
        <f t="shared" si="962"/>
        <v>1</v>
      </c>
      <c r="AJ1004" s="228">
        <f t="shared" si="963"/>
        <v>0</v>
      </c>
      <c r="AK1004" s="228">
        <v>0</v>
      </c>
      <c r="AL1004" s="228">
        <v>0</v>
      </c>
      <c r="AM1004" s="228">
        <f t="shared" si="939"/>
        <v>-100</v>
      </c>
      <c r="AN1004" s="228" cm="1">
        <f t="array" ref="AN1004">IF(ISBLANK(G1004), 1, IFERROR(MATCH(G1004, INDEX(Kat,,1), 0), IFERROR(MATCH(Kat, INDEX(Use,,2), 0), MATCH(Kat, INDEX(Use,,3), 0))))</f>
        <v>1</v>
      </c>
      <c r="AO1004" s="246"/>
      <c r="AP1004" s="228" cm="1">
        <f t="array" ref="AP1004">IF(W1004&gt;0, INDEX(Kat, AN1004,4), 0)</f>
        <v>0</v>
      </c>
      <c r="AQ1004" s="228">
        <f t="shared" si="964"/>
        <v>0</v>
      </c>
      <c r="AR1004" s="228" cm="1">
        <f t="array" ref="AR1004">IF(X1004&gt;0, INDEX(Kat, $AN1004, 4+AQ1004), 0)</f>
        <v>0</v>
      </c>
      <c r="AS1004" s="228" cm="1">
        <f t="array" ref="AS1004">IF(X1004&gt;0, INDEX(Kat, $AN1004, 9+AQ1004), 0)</f>
        <v>0</v>
      </c>
      <c r="AT1004" s="246"/>
      <c r="AU1004" s="262"/>
      <c r="AV1004" s="262"/>
      <c r="AW1004" s="263"/>
      <c r="AX1004" s="263"/>
      <c r="AY1004" s="263"/>
      <c r="AZ1004" s="263"/>
      <c r="BA1004" s="263"/>
      <c r="BB1004" s="263"/>
      <c r="BC1004" s="263"/>
      <c r="BD1004" s="263"/>
      <c r="BE1004" s="263"/>
      <c r="BF1004" s="263"/>
      <c r="BG1004" s="263"/>
      <c r="BH1004" s="246"/>
      <c r="BI1004" s="228" cm="1">
        <f t="array" ref="BI1004">INDEX(Use, $AH1004, 4)</f>
        <v>7</v>
      </c>
      <c r="BJ1004" s="228">
        <f t="shared" si="940"/>
        <v>32</v>
      </c>
      <c r="BK1004" s="228">
        <f t="shared" si="966"/>
        <v>13</v>
      </c>
      <c r="BL1004" s="228">
        <f t="shared" si="967"/>
        <v>0</v>
      </c>
      <c r="BM1004" s="233" cm="1">
        <f t="array" ref="BM1004">L1004/IF($M1004&gt;0, INDEX($AY$22:$BE$76, $M1004+20, $AH1004), 1)</f>
        <v>0</v>
      </c>
      <c r="BN1004" s="229">
        <f t="shared" si="941"/>
        <v>0</v>
      </c>
      <c r="BO1004" s="228">
        <v>35</v>
      </c>
      <c r="BP1004" s="229">
        <f t="shared" si="942"/>
        <v>48</v>
      </c>
      <c r="BQ1004" s="234">
        <f t="shared" si="943"/>
        <v>3.0748170731707316</v>
      </c>
      <c r="BR1004" s="234" cm="1">
        <f t="array" ref="BR1004">$BM1004 * SUMPRODUCT(INDEX($AV$76:$AX$81,,$AI1004),INDEX($AY$76:$BE$81,,$AH1004), N($AU$76:$AU$81&gt;$AM1004)) / BQ1004 / 1000</f>
        <v>0</v>
      </c>
      <c r="BS1004" s="231">
        <f t="shared" si="968"/>
        <v>30</v>
      </c>
      <c r="BT1004" s="229">
        <f t="shared" si="944"/>
        <v>43</v>
      </c>
      <c r="BU1004" s="234">
        <f t="shared" si="945"/>
        <v>3.5018750000000001</v>
      </c>
      <c r="BV1004" s="234" cm="1">
        <f t="array" ref="BV1004">$BM1004 * IF($AH1004&lt;=2,
SUMPRODUCT(INDEX($AV$71:$AX$75,,$AI1004), INDEX($AY$71:$BE$75,,$AH1004), 1 / ($BF$71:$BF$75*BU1004 + (1-$BF$71:$BF$75)*BQ1004), N($AU$71:$AU$75&gt;$AM1004)),
SUMPRODUCT(INDEX($AV$66:$AX$75,,$AI1004), INDEX($AY$66:$BE$75,,$AH1004), 1 / ($BG$66:$BG$75*BU1004 + (1-$BG$66:$BG$75)*BQ1004), N($AU$66:$AU$75&gt;$AM1004))
) / 1000</f>
        <v>0</v>
      </c>
      <c r="BW1004" s="231">
        <f t="shared" si="969"/>
        <v>25</v>
      </c>
      <c r="BX1004" s="229">
        <f t="shared" si="946"/>
        <v>38</v>
      </c>
      <c r="BY1004" s="234">
        <f t="shared" si="947"/>
        <v>4.0666935483870965</v>
      </c>
      <c r="BZ1004" s="234" cm="1">
        <f t="array" ref="BZ1004">$BM1004 * IF($AH1004&lt;=2,
SUMPRODUCT(INDEX($AV$66:$AX$70,,$AI1004), INDEX($AY$66:$BE$70,,$AH1004), 1 / ($BF$66:$BF$70*BY1004 + (1-$BF$66:$BF$70)*BU1004), N($AU$66:$AU$70&gt;$AM1004)),
SUMPRODUCT(INDEX($AV$56:$AX$65,,$AI1004), INDEX($AY$56:$BE$65,,$AH1004), 1 / ($BG$56:$BG$65*BY1004 + (1-$BG$56:$BG$65)*BU1004), N($AU$56:$AU$65&gt;$AM1004))
) / 1000</f>
        <v>0</v>
      </c>
      <c r="CA1004" s="231">
        <f t="shared" si="970"/>
        <v>20</v>
      </c>
      <c r="CB1004" s="229">
        <f t="shared" si="948"/>
        <v>33</v>
      </c>
      <c r="CC1004" s="234">
        <f t="shared" si="949"/>
        <v>4.8487499999999999</v>
      </c>
      <c r="CD1004" s="234" cm="1">
        <f t="array" ref="CD1004">$BM1004 * IF($AH1004&lt;=2,
SUMPRODUCT(INDEX($AV$61:$AX$65,,$AI1004), INDEX($AY$61:$BE$65,,$AH1004), 1 / ($BF$61:$BF$65*CC1004 + (1-$BF$61:$BF$65)*BY1004), N($AU$61:$AU$65&gt;$AM1004)),
SUMPRODUCT(INDEX($AV$46:$AX$55,,$AI1004), INDEX($AY$46:$BE$55,,$AH1004), 1 / ($BG$46:$BG$55*CC1004 + (1-$BG$46:$BG$55)*BY1004), N($AU$46:$AU$55&gt;$AM1004))
) / 1000</f>
        <v>0</v>
      </c>
      <c r="CE1004" s="234" cm="1">
        <f t="array" ref="CE1004">$BM1004 * IF($AH1004&lt;=2,
SUMPRODUCT(INDEX($AV$22:$AX$60,,$AI1004), INDEX($AY$22:$BE$60,,$AH1004), 1 / ($BF$22:$BF$60*CC1004), N($AU$22:$AU$60&gt;$AM1004)),
SUMPRODUCT(INDEX($AV$22:$AX$45,,$AI1004), INDEX($AY$22:$BE$45,,$AH1004), 1 / ($BG$22:$BG$45*CC1004), N($AU$22:$AU$45&gt;$AM1004))
) / 1000</f>
        <v>0</v>
      </c>
      <c r="CF1004" s="229">
        <f t="shared" si="950"/>
        <v>0</v>
      </c>
      <c r="CG1004" s="246"/>
      <c r="CH1004" s="229">
        <f t="shared" si="951"/>
        <v>0</v>
      </c>
      <c r="CI1004" s="228">
        <v>35</v>
      </c>
      <c r="CJ1004" s="229">
        <f t="shared" si="952"/>
        <v>48</v>
      </c>
      <c r="CK1004" s="234">
        <f t="shared" si="953"/>
        <v>3.0748170731707316</v>
      </c>
      <c r="CL1004" s="234" cm="1">
        <f t="array" ref="CL1004">$BM1004 * SUMPRODUCT(INDEX($AV$76:$AX$81,,$AI1004),INDEX($AY$76:$BE$81,,$AH1004), N($AU$76:$AU$81&gt;$AM1004)) / CK1004 / 1000</f>
        <v>0</v>
      </c>
      <c r="CM1004" s="231">
        <f t="shared" si="971"/>
        <v>30</v>
      </c>
      <c r="CN1004" s="229">
        <f t="shared" si="954"/>
        <v>43</v>
      </c>
      <c r="CO1004" s="234">
        <f t="shared" si="955"/>
        <v>3.5018750000000001</v>
      </c>
      <c r="CP1004" s="234" cm="1">
        <f t="array" ref="CP1004">$BM1004 * IF($AH1004&lt;=2,
SUMPRODUCT(INDEX($AV$71:$AX$75,,$AI1004), INDEX($AY$71:$BE$75,,$AH1004), 1 / ($BF$71:$BF$75*CO1004 + (1-$BF$71:$BF$75)*CK1004), N($AU$71:$AU$75&gt;$AM1004)),
SUMPRODUCT(INDEX($AV$66:$AX$75,,$AI1004), INDEX($AY$66:$BE$75,,$AH1004), 1 / ($BG$66:$BG$75*CO1004 + (1-$BG$66:$BG$75)*CK1004), N($AU$66:$AU$75&gt;$AM1004))
) / 1000</f>
        <v>0</v>
      </c>
      <c r="CQ1004" s="231">
        <f t="shared" si="972"/>
        <v>25</v>
      </c>
      <c r="CR1004" s="229">
        <f t="shared" si="956"/>
        <v>38</v>
      </c>
      <c r="CS1004" s="234">
        <f t="shared" si="957"/>
        <v>4.0666935483870965</v>
      </c>
      <c r="CT1004" s="234" cm="1">
        <f t="array" ref="CT1004">$BM1004 * IF($AH1004&lt;=2,
SUMPRODUCT(INDEX($AV$66:$AX$70,,$AI1004), INDEX($AY$66:$BE$70,,$AH1004), 1 / ($BF$66:$BF$70*CS1004 + (1-$BF$66:$BF$70)*CO1004), N($AU$66:$AU$70&gt;$AM1004)),
SUMPRODUCT(INDEX($AV$56:$AX$65,,$AI1004), INDEX($AY$56:$BE$65,,$AH1004), 1 / ($BG$56:$BG$65*CS1004 + (1-$BG$56:$BG$65)*CO1004), N($AU$56:$AU$65&gt;$AM1004))
) / 1000</f>
        <v>0</v>
      </c>
      <c r="CU1004" s="231">
        <f t="shared" si="973"/>
        <v>20</v>
      </c>
      <c r="CV1004" s="229">
        <f t="shared" si="958"/>
        <v>33</v>
      </c>
      <c r="CW1004" s="234">
        <f t="shared" si="959"/>
        <v>4.8487499999999999</v>
      </c>
      <c r="CX1004" s="234" cm="1">
        <f t="array" ref="CX1004">$BM1004 * IF($AH1004&lt;=2,
SUMPRODUCT(INDEX($AV$61:$AX$65,,$AI1004), INDEX($AY$61:$BE$65,,$AH1004), 1 / ($BF$61:$BF$65*CW1004 + (1-$BF$61:$BF$65)*CS1004), N($AU$61:$AU$65&gt;$AM1004)),
SUMPRODUCT(INDEX($AV$46:$AX$55,,$AI1004), INDEX($AY$46:$BE$55,,$AH1004), 1 / ($BG$46:$BG$55*CW1004 + (1-$BG$46:$BG$55)*CS1004), N($AU$46:$AU$55&gt;$AM1004))
) / 1000</f>
        <v>0</v>
      </c>
      <c r="CY1004" s="234" cm="1">
        <f t="array" ref="CY1004">$BM1004 * IF($AH1004&lt;=2,
SUMPRODUCT(INDEX($AV$22:$AX$60,,$AI1004), INDEX($AY$22:$BE$60,,$AH1004), 1 / ($BF$22:$BF$60*CW1004), N($AU$22:$AU$60&gt;$AM1004)),
SUMPRODUCT(INDEX($AV$22:$AX$45,,$AI1004), INDEX($AY$22:$BE$45,,$AH1004), 1 / ($BG$22:$BG$45*CW1004), N($AU$22:$AU$45&gt;$AM1004))
) / 1000</f>
        <v>0</v>
      </c>
      <c r="CZ1004" s="229">
        <f t="shared" si="960"/>
        <v>0</v>
      </c>
      <c r="DA1004" s="246"/>
    </row>
    <row r="1005" spans="1:105" s="75" customFormat="1" ht="14.25" customHeight="1" x14ac:dyDescent="0.2">
      <c r="A1005" s="230" t="b">
        <f t="shared" si="965"/>
        <v>0</v>
      </c>
      <c r="B1005" s="253">
        <v>984</v>
      </c>
      <c r="C1005" s="266"/>
      <c r="D1005" s="266"/>
      <c r="E1005" s="254"/>
      <c r="F1005" s="255" t="str">
        <f>IF(ISBLANK(E1005), "", VLOOKUP(E1005, Z!$A$2:$C$4127, 3, FALSE))</f>
        <v/>
      </c>
      <c r="G1005" s="256"/>
      <c r="H1005" s="256"/>
      <c r="I1005" s="256"/>
      <c r="J1005" s="257"/>
      <c r="K1005" s="258"/>
      <c r="L1005" s="267"/>
      <c r="M1005" s="268"/>
      <c r="N1005" s="259" t="str" cm="1">
        <f t="array" ref="N1005">IF($L1005&gt;0, INDEX(Clean,1+AK1005,$D$1), "")</f>
        <v/>
      </c>
      <c r="O1005" s="260"/>
      <c r="P1005" s="260"/>
      <c r="Q1005" s="261"/>
      <c r="R1005" s="264">
        <f t="shared" si="936"/>
        <v>0</v>
      </c>
      <c r="S1005" s="259" t="str" cm="1">
        <f t="array" ref="S1005">IF($L1005&gt;0, INDEX(Clean,1+AL1005,$D$1), "")</f>
        <v/>
      </c>
      <c r="T1005" s="260"/>
      <c r="U1005" s="260"/>
      <c r="V1005" s="261"/>
      <c r="W1005" s="267"/>
      <c r="X1005" s="267"/>
      <c r="Y1005" s="257"/>
      <c r="Z1005" s="264">
        <f t="shared" si="937"/>
        <v>0</v>
      </c>
      <c r="AA1005" s="269"/>
      <c r="AB1005" s="266"/>
      <c r="AC1005" s="254"/>
      <c r="AD1005" s="255" t="str">
        <f>IF(ISBLANK(AC1005), "", VLOOKUP(AC1005, Z!$A$2:$C$4127, 3, FALSE))</f>
        <v/>
      </c>
      <c r="AE1005" s="270"/>
      <c r="AF1005" s="265">
        <f t="shared" si="938"/>
        <v>0</v>
      </c>
      <c r="AG1005" s="246"/>
      <c r="AH1005" s="228">
        <f t="shared" si="961"/>
        <v>1</v>
      </c>
      <c r="AI1005" s="228">
        <f t="shared" si="962"/>
        <v>1</v>
      </c>
      <c r="AJ1005" s="228">
        <f t="shared" si="963"/>
        <v>0</v>
      </c>
      <c r="AK1005" s="228">
        <v>0</v>
      </c>
      <c r="AL1005" s="228">
        <v>0</v>
      </c>
      <c r="AM1005" s="228">
        <f t="shared" si="939"/>
        <v>-100</v>
      </c>
      <c r="AN1005" s="228" cm="1">
        <f t="array" ref="AN1005">IF(ISBLANK(G1005), 1, IFERROR(MATCH(G1005, INDEX(Kat,,1), 0), IFERROR(MATCH(Kat, INDEX(Use,,2), 0), MATCH(Kat, INDEX(Use,,3), 0))))</f>
        <v>1</v>
      </c>
      <c r="AO1005" s="246"/>
      <c r="AP1005" s="228" cm="1">
        <f t="array" ref="AP1005">IF(W1005&gt;0, INDEX(Kat, AN1005,4), 0)</f>
        <v>0</v>
      </c>
      <c r="AQ1005" s="228">
        <f t="shared" si="964"/>
        <v>0</v>
      </c>
      <c r="AR1005" s="228" cm="1">
        <f t="array" ref="AR1005">IF(X1005&gt;0, INDEX(Kat, $AN1005, 4+AQ1005), 0)</f>
        <v>0</v>
      </c>
      <c r="AS1005" s="228" cm="1">
        <f t="array" ref="AS1005">IF(X1005&gt;0, INDEX(Kat, $AN1005, 9+AQ1005), 0)</f>
        <v>0</v>
      </c>
      <c r="AT1005" s="246"/>
      <c r="AU1005" s="262"/>
      <c r="AV1005" s="262"/>
      <c r="AW1005" s="263"/>
      <c r="AX1005" s="263"/>
      <c r="AY1005" s="263"/>
      <c r="AZ1005" s="263"/>
      <c r="BA1005" s="263"/>
      <c r="BB1005" s="263"/>
      <c r="BC1005" s="263"/>
      <c r="BD1005" s="263"/>
      <c r="BE1005" s="263"/>
      <c r="BF1005" s="263"/>
      <c r="BG1005" s="263"/>
      <c r="BH1005" s="246"/>
      <c r="BI1005" s="228" cm="1">
        <f t="array" ref="BI1005">INDEX(Use, $AH1005, 4)</f>
        <v>7</v>
      </c>
      <c r="BJ1005" s="228">
        <f t="shared" si="940"/>
        <v>32</v>
      </c>
      <c r="BK1005" s="228">
        <f t="shared" si="966"/>
        <v>13</v>
      </c>
      <c r="BL1005" s="228">
        <f t="shared" si="967"/>
        <v>0</v>
      </c>
      <c r="BM1005" s="233" cm="1">
        <f t="array" ref="BM1005">L1005/IF($M1005&gt;0, INDEX($AY$22:$BE$76, $M1005+20, $AH1005), 1)</f>
        <v>0</v>
      </c>
      <c r="BN1005" s="229">
        <f t="shared" si="941"/>
        <v>0</v>
      </c>
      <c r="BO1005" s="228">
        <v>35</v>
      </c>
      <c r="BP1005" s="229">
        <f t="shared" si="942"/>
        <v>48</v>
      </c>
      <c r="BQ1005" s="234">
        <f t="shared" si="943"/>
        <v>3.0748170731707316</v>
      </c>
      <c r="BR1005" s="234" cm="1">
        <f t="array" ref="BR1005">$BM1005 * SUMPRODUCT(INDEX($AV$76:$AX$81,,$AI1005),INDEX($AY$76:$BE$81,,$AH1005), N($AU$76:$AU$81&gt;$AM1005)) / BQ1005 / 1000</f>
        <v>0</v>
      </c>
      <c r="BS1005" s="231">
        <f t="shared" si="968"/>
        <v>30</v>
      </c>
      <c r="BT1005" s="229">
        <f t="shared" si="944"/>
        <v>43</v>
      </c>
      <c r="BU1005" s="234">
        <f t="shared" si="945"/>
        <v>3.5018750000000001</v>
      </c>
      <c r="BV1005" s="234" cm="1">
        <f t="array" ref="BV1005">$BM1005 * IF($AH1005&lt;=2,
SUMPRODUCT(INDEX($AV$71:$AX$75,,$AI1005), INDEX($AY$71:$BE$75,,$AH1005), 1 / ($BF$71:$BF$75*BU1005 + (1-$BF$71:$BF$75)*BQ1005), N($AU$71:$AU$75&gt;$AM1005)),
SUMPRODUCT(INDEX($AV$66:$AX$75,,$AI1005), INDEX($AY$66:$BE$75,,$AH1005), 1 / ($BG$66:$BG$75*BU1005 + (1-$BG$66:$BG$75)*BQ1005), N($AU$66:$AU$75&gt;$AM1005))
) / 1000</f>
        <v>0</v>
      </c>
      <c r="BW1005" s="231">
        <f t="shared" si="969"/>
        <v>25</v>
      </c>
      <c r="BX1005" s="229">
        <f t="shared" si="946"/>
        <v>38</v>
      </c>
      <c r="BY1005" s="234">
        <f t="shared" si="947"/>
        <v>4.0666935483870965</v>
      </c>
      <c r="BZ1005" s="234" cm="1">
        <f t="array" ref="BZ1005">$BM1005 * IF($AH1005&lt;=2,
SUMPRODUCT(INDEX($AV$66:$AX$70,,$AI1005), INDEX($AY$66:$BE$70,,$AH1005), 1 / ($BF$66:$BF$70*BY1005 + (1-$BF$66:$BF$70)*BU1005), N($AU$66:$AU$70&gt;$AM1005)),
SUMPRODUCT(INDEX($AV$56:$AX$65,,$AI1005), INDEX($AY$56:$BE$65,,$AH1005), 1 / ($BG$56:$BG$65*BY1005 + (1-$BG$56:$BG$65)*BU1005), N($AU$56:$AU$65&gt;$AM1005))
) / 1000</f>
        <v>0</v>
      </c>
      <c r="CA1005" s="231">
        <f t="shared" si="970"/>
        <v>20</v>
      </c>
      <c r="CB1005" s="229">
        <f t="shared" si="948"/>
        <v>33</v>
      </c>
      <c r="CC1005" s="234">
        <f t="shared" si="949"/>
        <v>4.8487499999999999</v>
      </c>
      <c r="CD1005" s="234" cm="1">
        <f t="array" ref="CD1005">$BM1005 * IF($AH1005&lt;=2,
SUMPRODUCT(INDEX($AV$61:$AX$65,,$AI1005), INDEX($AY$61:$BE$65,,$AH1005), 1 / ($BF$61:$BF$65*CC1005 + (1-$BF$61:$BF$65)*BY1005), N($AU$61:$AU$65&gt;$AM1005)),
SUMPRODUCT(INDEX($AV$46:$AX$55,,$AI1005), INDEX($AY$46:$BE$55,,$AH1005), 1 / ($BG$46:$BG$55*CC1005 + (1-$BG$46:$BG$55)*BY1005), N($AU$46:$AU$55&gt;$AM1005))
) / 1000</f>
        <v>0</v>
      </c>
      <c r="CE1005" s="234" cm="1">
        <f t="array" ref="CE1005">$BM1005 * IF($AH1005&lt;=2,
SUMPRODUCT(INDEX($AV$22:$AX$60,,$AI1005), INDEX($AY$22:$BE$60,,$AH1005), 1 / ($BF$22:$BF$60*CC1005), N($AU$22:$AU$60&gt;$AM1005)),
SUMPRODUCT(INDEX($AV$22:$AX$45,,$AI1005), INDEX($AY$22:$BE$45,,$AH1005), 1 / ($BG$22:$BG$45*CC1005), N($AU$22:$AU$45&gt;$AM1005))
) / 1000</f>
        <v>0</v>
      </c>
      <c r="CF1005" s="229">
        <f t="shared" si="950"/>
        <v>0</v>
      </c>
      <c r="CG1005" s="246"/>
      <c r="CH1005" s="229">
        <f t="shared" si="951"/>
        <v>0</v>
      </c>
      <c r="CI1005" s="228">
        <v>35</v>
      </c>
      <c r="CJ1005" s="229">
        <f t="shared" si="952"/>
        <v>48</v>
      </c>
      <c r="CK1005" s="234">
        <f t="shared" si="953"/>
        <v>3.0748170731707316</v>
      </c>
      <c r="CL1005" s="234" cm="1">
        <f t="array" ref="CL1005">$BM1005 * SUMPRODUCT(INDEX($AV$76:$AX$81,,$AI1005),INDEX($AY$76:$BE$81,,$AH1005), N($AU$76:$AU$81&gt;$AM1005)) / CK1005 / 1000</f>
        <v>0</v>
      </c>
      <c r="CM1005" s="231">
        <f t="shared" si="971"/>
        <v>30</v>
      </c>
      <c r="CN1005" s="229">
        <f t="shared" si="954"/>
        <v>43</v>
      </c>
      <c r="CO1005" s="234">
        <f t="shared" si="955"/>
        <v>3.5018750000000001</v>
      </c>
      <c r="CP1005" s="234" cm="1">
        <f t="array" ref="CP1005">$BM1005 * IF($AH1005&lt;=2,
SUMPRODUCT(INDEX($AV$71:$AX$75,,$AI1005), INDEX($AY$71:$BE$75,,$AH1005), 1 / ($BF$71:$BF$75*CO1005 + (1-$BF$71:$BF$75)*CK1005), N($AU$71:$AU$75&gt;$AM1005)),
SUMPRODUCT(INDEX($AV$66:$AX$75,,$AI1005), INDEX($AY$66:$BE$75,,$AH1005), 1 / ($BG$66:$BG$75*CO1005 + (1-$BG$66:$BG$75)*CK1005), N($AU$66:$AU$75&gt;$AM1005))
) / 1000</f>
        <v>0</v>
      </c>
      <c r="CQ1005" s="231">
        <f t="shared" si="972"/>
        <v>25</v>
      </c>
      <c r="CR1005" s="229">
        <f t="shared" si="956"/>
        <v>38</v>
      </c>
      <c r="CS1005" s="234">
        <f t="shared" si="957"/>
        <v>4.0666935483870965</v>
      </c>
      <c r="CT1005" s="234" cm="1">
        <f t="array" ref="CT1005">$BM1005 * IF($AH1005&lt;=2,
SUMPRODUCT(INDEX($AV$66:$AX$70,,$AI1005), INDEX($AY$66:$BE$70,,$AH1005), 1 / ($BF$66:$BF$70*CS1005 + (1-$BF$66:$BF$70)*CO1005), N($AU$66:$AU$70&gt;$AM1005)),
SUMPRODUCT(INDEX($AV$56:$AX$65,,$AI1005), INDEX($AY$56:$BE$65,,$AH1005), 1 / ($BG$56:$BG$65*CS1005 + (1-$BG$56:$BG$65)*CO1005), N($AU$56:$AU$65&gt;$AM1005))
) / 1000</f>
        <v>0</v>
      </c>
      <c r="CU1005" s="231">
        <f t="shared" si="973"/>
        <v>20</v>
      </c>
      <c r="CV1005" s="229">
        <f t="shared" si="958"/>
        <v>33</v>
      </c>
      <c r="CW1005" s="234">
        <f t="shared" si="959"/>
        <v>4.8487499999999999</v>
      </c>
      <c r="CX1005" s="234" cm="1">
        <f t="array" ref="CX1005">$BM1005 * IF($AH1005&lt;=2,
SUMPRODUCT(INDEX($AV$61:$AX$65,,$AI1005), INDEX($AY$61:$BE$65,,$AH1005), 1 / ($BF$61:$BF$65*CW1005 + (1-$BF$61:$BF$65)*CS1005), N($AU$61:$AU$65&gt;$AM1005)),
SUMPRODUCT(INDEX($AV$46:$AX$55,,$AI1005), INDEX($AY$46:$BE$55,,$AH1005), 1 / ($BG$46:$BG$55*CW1005 + (1-$BG$46:$BG$55)*CS1005), N($AU$46:$AU$55&gt;$AM1005))
) / 1000</f>
        <v>0</v>
      </c>
      <c r="CY1005" s="234" cm="1">
        <f t="array" ref="CY1005">$BM1005 * IF($AH1005&lt;=2,
SUMPRODUCT(INDEX($AV$22:$AX$60,,$AI1005), INDEX($AY$22:$BE$60,,$AH1005), 1 / ($BF$22:$BF$60*CW1005), N($AU$22:$AU$60&gt;$AM1005)),
SUMPRODUCT(INDEX($AV$22:$AX$45,,$AI1005), INDEX($AY$22:$BE$45,,$AH1005), 1 / ($BG$22:$BG$45*CW1005), N($AU$22:$AU$45&gt;$AM1005))
) / 1000</f>
        <v>0</v>
      </c>
      <c r="CZ1005" s="229">
        <f t="shared" si="960"/>
        <v>0</v>
      </c>
      <c r="DA1005" s="246"/>
    </row>
    <row r="1006" spans="1:105" s="75" customFormat="1" ht="14.25" customHeight="1" x14ac:dyDescent="0.2">
      <c r="A1006" s="230" t="b">
        <f t="shared" si="965"/>
        <v>0</v>
      </c>
      <c r="B1006" s="253">
        <v>985</v>
      </c>
      <c r="C1006" s="266"/>
      <c r="D1006" s="266"/>
      <c r="E1006" s="254"/>
      <c r="F1006" s="255" t="str">
        <f>IF(ISBLANK(E1006), "", VLOOKUP(E1006, Z!$A$2:$C$4127, 3, FALSE))</f>
        <v/>
      </c>
      <c r="G1006" s="256"/>
      <c r="H1006" s="256"/>
      <c r="I1006" s="256"/>
      <c r="J1006" s="257"/>
      <c r="K1006" s="258"/>
      <c r="L1006" s="267"/>
      <c r="M1006" s="268"/>
      <c r="N1006" s="259" t="str" cm="1">
        <f t="array" ref="N1006">IF($L1006&gt;0, INDEX(Clean,1+AK1006,$D$1), "")</f>
        <v/>
      </c>
      <c r="O1006" s="260"/>
      <c r="P1006" s="260"/>
      <c r="Q1006" s="261"/>
      <c r="R1006" s="264">
        <f t="shared" si="936"/>
        <v>0</v>
      </c>
      <c r="S1006" s="259" t="str" cm="1">
        <f t="array" ref="S1006">IF($L1006&gt;0, INDEX(Clean,1+AL1006,$D$1), "")</f>
        <v/>
      </c>
      <c r="T1006" s="260"/>
      <c r="U1006" s="260"/>
      <c r="V1006" s="261"/>
      <c r="W1006" s="267"/>
      <c r="X1006" s="267"/>
      <c r="Y1006" s="257"/>
      <c r="Z1006" s="264">
        <f t="shared" si="937"/>
        <v>0</v>
      </c>
      <c r="AA1006" s="269"/>
      <c r="AB1006" s="266"/>
      <c r="AC1006" s="254"/>
      <c r="AD1006" s="255" t="str">
        <f>IF(ISBLANK(AC1006), "", VLOOKUP(AC1006, Z!$A$2:$C$4127, 3, FALSE))</f>
        <v/>
      </c>
      <c r="AE1006" s="270"/>
      <c r="AF1006" s="265">
        <f t="shared" si="938"/>
        <v>0</v>
      </c>
      <c r="AG1006" s="246"/>
      <c r="AH1006" s="228">
        <f t="shared" si="961"/>
        <v>1</v>
      </c>
      <c r="AI1006" s="228">
        <f t="shared" si="962"/>
        <v>1</v>
      </c>
      <c r="AJ1006" s="228">
        <f t="shared" si="963"/>
        <v>0</v>
      </c>
      <c r="AK1006" s="228">
        <v>0</v>
      </c>
      <c r="AL1006" s="228">
        <v>0</v>
      </c>
      <c r="AM1006" s="228">
        <f t="shared" si="939"/>
        <v>-100</v>
      </c>
      <c r="AN1006" s="228" cm="1">
        <f t="array" ref="AN1006">IF(ISBLANK(G1006), 1, IFERROR(MATCH(G1006, INDEX(Kat,,1), 0), IFERROR(MATCH(Kat, INDEX(Use,,2), 0), MATCH(Kat, INDEX(Use,,3), 0))))</f>
        <v>1</v>
      </c>
      <c r="AO1006" s="246"/>
      <c r="AP1006" s="228" cm="1">
        <f t="array" ref="AP1006">IF(W1006&gt;0, INDEX(Kat, AN1006,4), 0)</f>
        <v>0</v>
      </c>
      <c r="AQ1006" s="228">
        <f t="shared" si="964"/>
        <v>0</v>
      </c>
      <c r="AR1006" s="228" cm="1">
        <f t="array" ref="AR1006">IF(X1006&gt;0, INDEX(Kat, $AN1006, 4+AQ1006), 0)</f>
        <v>0</v>
      </c>
      <c r="AS1006" s="228" cm="1">
        <f t="array" ref="AS1006">IF(X1006&gt;0, INDEX(Kat, $AN1006, 9+AQ1006), 0)</f>
        <v>0</v>
      </c>
      <c r="AT1006" s="246"/>
      <c r="AU1006" s="262"/>
      <c r="AV1006" s="262"/>
      <c r="AW1006" s="263"/>
      <c r="AX1006" s="263"/>
      <c r="AY1006" s="263"/>
      <c r="AZ1006" s="263"/>
      <c r="BA1006" s="263"/>
      <c r="BB1006" s="263"/>
      <c r="BC1006" s="263"/>
      <c r="BD1006" s="263"/>
      <c r="BE1006" s="263"/>
      <c r="BF1006" s="263"/>
      <c r="BG1006" s="263"/>
      <c r="BH1006" s="246"/>
      <c r="BI1006" s="228" cm="1">
        <f t="array" ref="BI1006">INDEX(Use, $AH1006, 4)</f>
        <v>7</v>
      </c>
      <c r="BJ1006" s="228">
        <f t="shared" si="940"/>
        <v>32</v>
      </c>
      <c r="BK1006" s="228">
        <f t="shared" si="966"/>
        <v>13</v>
      </c>
      <c r="BL1006" s="228">
        <f t="shared" si="967"/>
        <v>0</v>
      </c>
      <c r="BM1006" s="233" cm="1">
        <f t="array" ref="BM1006">L1006/IF($M1006&gt;0, INDEX($AY$22:$BE$76, $M1006+20, $AH1006), 1)</f>
        <v>0</v>
      </c>
      <c r="BN1006" s="229">
        <f t="shared" si="941"/>
        <v>0</v>
      </c>
      <c r="BO1006" s="228">
        <v>35</v>
      </c>
      <c r="BP1006" s="229">
        <f t="shared" si="942"/>
        <v>48</v>
      </c>
      <c r="BQ1006" s="234">
        <f t="shared" si="943"/>
        <v>3.0748170731707316</v>
      </c>
      <c r="BR1006" s="234" cm="1">
        <f t="array" ref="BR1006">$BM1006 * SUMPRODUCT(INDEX($AV$76:$AX$81,,$AI1006),INDEX($AY$76:$BE$81,,$AH1006), N($AU$76:$AU$81&gt;$AM1006)) / BQ1006 / 1000</f>
        <v>0</v>
      </c>
      <c r="BS1006" s="231">
        <f t="shared" si="968"/>
        <v>30</v>
      </c>
      <c r="BT1006" s="229">
        <f t="shared" si="944"/>
        <v>43</v>
      </c>
      <c r="BU1006" s="234">
        <f t="shared" si="945"/>
        <v>3.5018750000000001</v>
      </c>
      <c r="BV1006" s="234" cm="1">
        <f t="array" ref="BV1006">$BM1006 * IF($AH1006&lt;=2,
SUMPRODUCT(INDEX($AV$71:$AX$75,,$AI1006), INDEX($AY$71:$BE$75,,$AH1006), 1 / ($BF$71:$BF$75*BU1006 + (1-$BF$71:$BF$75)*BQ1006), N($AU$71:$AU$75&gt;$AM1006)),
SUMPRODUCT(INDEX($AV$66:$AX$75,,$AI1006), INDEX($AY$66:$BE$75,,$AH1006), 1 / ($BG$66:$BG$75*BU1006 + (1-$BG$66:$BG$75)*BQ1006), N($AU$66:$AU$75&gt;$AM1006))
) / 1000</f>
        <v>0</v>
      </c>
      <c r="BW1006" s="231">
        <f t="shared" si="969"/>
        <v>25</v>
      </c>
      <c r="BX1006" s="229">
        <f t="shared" si="946"/>
        <v>38</v>
      </c>
      <c r="BY1006" s="234">
        <f t="shared" si="947"/>
        <v>4.0666935483870965</v>
      </c>
      <c r="BZ1006" s="234" cm="1">
        <f t="array" ref="BZ1006">$BM1006 * IF($AH1006&lt;=2,
SUMPRODUCT(INDEX($AV$66:$AX$70,,$AI1006), INDEX($AY$66:$BE$70,,$AH1006), 1 / ($BF$66:$BF$70*BY1006 + (1-$BF$66:$BF$70)*BU1006), N($AU$66:$AU$70&gt;$AM1006)),
SUMPRODUCT(INDEX($AV$56:$AX$65,,$AI1006), INDEX($AY$56:$BE$65,,$AH1006), 1 / ($BG$56:$BG$65*BY1006 + (1-$BG$56:$BG$65)*BU1006), N($AU$56:$AU$65&gt;$AM1006))
) / 1000</f>
        <v>0</v>
      </c>
      <c r="CA1006" s="231">
        <f t="shared" si="970"/>
        <v>20</v>
      </c>
      <c r="CB1006" s="229">
        <f t="shared" si="948"/>
        <v>33</v>
      </c>
      <c r="CC1006" s="234">
        <f t="shared" si="949"/>
        <v>4.8487499999999999</v>
      </c>
      <c r="CD1006" s="234" cm="1">
        <f t="array" ref="CD1006">$BM1006 * IF($AH1006&lt;=2,
SUMPRODUCT(INDEX($AV$61:$AX$65,,$AI1006), INDEX($AY$61:$BE$65,,$AH1006), 1 / ($BF$61:$BF$65*CC1006 + (1-$BF$61:$BF$65)*BY1006), N($AU$61:$AU$65&gt;$AM1006)),
SUMPRODUCT(INDEX($AV$46:$AX$55,,$AI1006), INDEX($AY$46:$BE$55,,$AH1006), 1 / ($BG$46:$BG$55*CC1006 + (1-$BG$46:$BG$55)*BY1006), N($AU$46:$AU$55&gt;$AM1006))
) / 1000</f>
        <v>0</v>
      </c>
      <c r="CE1006" s="234" cm="1">
        <f t="array" ref="CE1006">$BM1006 * IF($AH1006&lt;=2,
SUMPRODUCT(INDEX($AV$22:$AX$60,,$AI1006), INDEX($AY$22:$BE$60,,$AH1006), 1 / ($BF$22:$BF$60*CC1006), N($AU$22:$AU$60&gt;$AM1006)),
SUMPRODUCT(INDEX($AV$22:$AX$45,,$AI1006), INDEX($AY$22:$BE$45,,$AH1006), 1 / ($BG$22:$BG$45*CC1006), N($AU$22:$AU$45&gt;$AM1006))
) / 1000</f>
        <v>0</v>
      </c>
      <c r="CF1006" s="229">
        <f t="shared" si="950"/>
        <v>0</v>
      </c>
      <c r="CG1006" s="246"/>
      <c r="CH1006" s="229">
        <f t="shared" si="951"/>
        <v>0</v>
      </c>
      <c r="CI1006" s="228">
        <v>35</v>
      </c>
      <c r="CJ1006" s="229">
        <f t="shared" si="952"/>
        <v>48</v>
      </c>
      <c r="CK1006" s="234">
        <f t="shared" si="953"/>
        <v>3.0748170731707316</v>
      </c>
      <c r="CL1006" s="234" cm="1">
        <f t="array" ref="CL1006">$BM1006 * SUMPRODUCT(INDEX($AV$76:$AX$81,,$AI1006),INDEX($AY$76:$BE$81,,$AH1006), N($AU$76:$AU$81&gt;$AM1006)) / CK1006 / 1000</f>
        <v>0</v>
      </c>
      <c r="CM1006" s="231">
        <f t="shared" si="971"/>
        <v>30</v>
      </c>
      <c r="CN1006" s="229">
        <f t="shared" si="954"/>
        <v>43</v>
      </c>
      <c r="CO1006" s="234">
        <f t="shared" si="955"/>
        <v>3.5018750000000001</v>
      </c>
      <c r="CP1006" s="234" cm="1">
        <f t="array" ref="CP1006">$BM1006 * IF($AH1006&lt;=2,
SUMPRODUCT(INDEX($AV$71:$AX$75,,$AI1006), INDEX($AY$71:$BE$75,,$AH1006), 1 / ($BF$71:$BF$75*CO1006 + (1-$BF$71:$BF$75)*CK1006), N($AU$71:$AU$75&gt;$AM1006)),
SUMPRODUCT(INDEX($AV$66:$AX$75,,$AI1006), INDEX($AY$66:$BE$75,,$AH1006), 1 / ($BG$66:$BG$75*CO1006 + (1-$BG$66:$BG$75)*CK1006), N($AU$66:$AU$75&gt;$AM1006))
) / 1000</f>
        <v>0</v>
      </c>
      <c r="CQ1006" s="231">
        <f t="shared" si="972"/>
        <v>25</v>
      </c>
      <c r="CR1006" s="229">
        <f t="shared" si="956"/>
        <v>38</v>
      </c>
      <c r="CS1006" s="234">
        <f t="shared" si="957"/>
        <v>4.0666935483870965</v>
      </c>
      <c r="CT1006" s="234" cm="1">
        <f t="array" ref="CT1006">$BM1006 * IF($AH1006&lt;=2,
SUMPRODUCT(INDEX($AV$66:$AX$70,,$AI1006), INDEX($AY$66:$BE$70,,$AH1006), 1 / ($BF$66:$BF$70*CS1006 + (1-$BF$66:$BF$70)*CO1006), N($AU$66:$AU$70&gt;$AM1006)),
SUMPRODUCT(INDEX($AV$56:$AX$65,,$AI1006), INDEX($AY$56:$BE$65,,$AH1006), 1 / ($BG$56:$BG$65*CS1006 + (1-$BG$56:$BG$65)*CO1006), N($AU$56:$AU$65&gt;$AM1006))
) / 1000</f>
        <v>0</v>
      </c>
      <c r="CU1006" s="231">
        <f t="shared" si="973"/>
        <v>20</v>
      </c>
      <c r="CV1006" s="229">
        <f t="shared" si="958"/>
        <v>33</v>
      </c>
      <c r="CW1006" s="234">
        <f t="shared" si="959"/>
        <v>4.8487499999999999</v>
      </c>
      <c r="CX1006" s="234" cm="1">
        <f t="array" ref="CX1006">$BM1006 * IF($AH1006&lt;=2,
SUMPRODUCT(INDEX($AV$61:$AX$65,,$AI1006), INDEX($AY$61:$BE$65,,$AH1006), 1 / ($BF$61:$BF$65*CW1006 + (1-$BF$61:$BF$65)*CS1006), N($AU$61:$AU$65&gt;$AM1006)),
SUMPRODUCT(INDEX($AV$46:$AX$55,,$AI1006), INDEX($AY$46:$BE$55,,$AH1006), 1 / ($BG$46:$BG$55*CW1006 + (1-$BG$46:$BG$55)*CS1006), N($AU$46:$AU$55&gt;$AM1006))
) / 1000</f>
        <v>0</v>
      </c>
      <c r="CY1006" s="234" cm="1">
        <f t="array" ref="CY1006">$BM1006 * IF($AH1006&lt;=2,
SUMPRODUCT(INDEX($AV$22:$AX$60,,$AI1006), INDEX($AY$22:$BE$60,,$AH1006), 1 / ($BF$22:$BF$60*CW1006), N($AU$22:$AU$60&gt;$AM1006)),
SUMPRODUCT(INDEX($AV$22:$AX$45,,$AI1006), INDEX($AY$22:$BE$45,,$AH1006), 1 / ($BG$22:$BG$45*CW1006), N($AU$22:$AU$45&gt;$AM1006))
) / 1000</f>
        <v>0</v>
      </c>
      <c r="CZ1006" s="229">
        <f t="shared" si="960"/>
        <v>0</v>
      </c>
      <c r="DA1006" s="246"/>
    </row>
    <row r="1007" spans="1:105" s="75" customFormat="1" ht="14.25" customHeight="1" x14ac:dyDescent="0.2">
      <c r="A1007" s="230" t="b">
        <f t="shared" si="965"/>
        <v>0</v>
      </c>
      <c r="B1007" s="253">
        <v>986</v>
      </c>
      <c r="C1007" s="266"/>
      <c r="D1007" s="266"/>
      <c r="E1007" s="254"/>
      <c r="F1007" s="255" t="str">
        <f>IF(ISBLANK(E1007), "", VLOOKUP(E1007, Z!$A$2:$C$4127, 3, FALSE))</f>
        <v/>
      </c>
      <c r="G1007" s="256"/>
      <c r="H1007" s="256"/>
      <c r="I1007" s="256"/>
      <c r="J1007" s="257"/>
      <c r="K1007" s="258"/>
      <c r="L1007" s="267"/>
      <c r="M1007" s="268"/>
      <c r="N1007" s="259" t="str" cm="1">
        <f t="array" ref="N1007">IF($L1007&gt;0, INDEX(Clean,1+AK1007,$D$1), "")</f>
        <v/>
      </c>
      <c r="O1007" s="260"/>
      <c r="P1007" s="260"/>
      <c r="Q1007" s="261"/>
      <c r="R1007" s="264">
        <f t="shared" si="936"/>
        <v>0</v>
      </c>
      <c r="S1007" s="259" t="str" cm="1">
        <f t="array" ref="S1007">IF($L1007&gt;0, INDEX(Clean,1+AL1007,$D$1), "")</f>
        <v/>
      </c>
      <c r="T1007" s="260"/>
      <c r="U1007" s="260"/>
      <c r="V1007" s="261"/>
      <c r="W1007" s="267"/>
      <c r="X1007" s="267"/>
      <c r="Y1007" s="257"/>
      <c r="Z1007" s="264">
        <f t="shared" si="937"/>
        <v>0</v>
      </c>
      <c r="AA1007" s="269"/>
      <c r="AB1007" s="266"/>
      <c r="AC1007" s="254"/>
      <c r="AD1007" s="255" t="str">
        <f>IF(ISBLANK(AC1007), "", VLOOKUP(AC1007, Z!$A$2:$C$4127, 3, FALSE))</f>
        <v/>
      </c>
      <c r="AE1007" s="270"/>
      <c r="AF1007" s="265">
        <f t="shared" si="938"/>
        <v>0</v>
      </c>
      <c r="AG1007" s="246"/>
      <c r="AH1007" s="228">
        <f t="shared" si="961"/>
        <v>1</v>
      </c>
      <c r="AI1007" s="228">
        <f t="shared" si="962"/>
        <v>1</v>
      </c>
      <c r="AJ1007" s="228">
        <f t="shared" si="963"/>
        <v>0</v>
      </c>
      <c r="AK1007" s="228">
        <v>0</v>
      </c>
      <c r="AL1007" s="228">
        <v>0</v>
      </c>
      <c r="AM1007" s="228">
        <f t="shared" si="939"/>
        <v>-100</v>
      </c>
      <c r="AN1007" s="228" cm="1">
        <f t="array" ref="AN1007">IF(ISBLANK(G1007), 1, IFERROR(MATCH(G1007, INDEX(Kat,,1), 0), IFERROR(MATCH(Kat, INDEX(Use,,2), 0), MATCH(Kat, INDEX(Use,,3), 0))))</f>
        <v>1</v>
      </c>
      <c r="AO1007" s="246"/>
      <c r="AP1007" s="228" cm="1">
        <f t="array" ref="AP1007">IF(W1007&gt;0, INDEX(Kat, AN1007,4), 0)</f>
        <v>0</v>
      </c>
      <c r="AQ1007" s="228">
        <f t="shared" si="964"/>
        <v>0</v>
      </c>
      <c r="AR1007" s="228" cm="1">
        <f t="array" ref="AR1007">IF(X1007&gt;0, INDEX(Kat, $AN1007, 4+AQ1007), 0)</f>
        <v>0</v>
      </c>
      <c r="AS1007" s="228" cm="1">
        <f t="array" ref="AS1007">IF(X1007&gt;0, INDEX(Kat, $AN1007, 9+AQ1007), 0)</f>
        <v>0</v>
      </c>
      <c r="AT1007" s="246"/>
      <c r="AU1007" s="262"/>
      <c r="AV1007" s="262"/>
      <c r="AW1007" s="263"/>
      <c r="AX1007" s="263"/>
      <c r="AY1007" s="263"/>
      <c r="AZ1007" s="263"/>
      <c r="BA1007" s="263"/>
      <c r="BB1007" s="263"/>
      <c r="BC1007" s="263"/>
      <c r="BD1007" s="263"/>
      <c r="BE1007" s="263"/>
      <c r="BF1007" s="263"/>
      <c r="BG1007" s="263"/>
      <c r="BH1007" s="246"/>
      <c r="BI1007" s="228" cm="1">
        <f t="array" ref="BI1007">INDEX(Use, $AH1007, 4)</f>
        <v>7</v>
      </c>
      <c r="BJ1007" s="228">
        <f t="shared" si="940"/>
        <v>32</v>
      </c>
      <c r="BK1007" s="228">
        <f t="shared" si="966"/>
        <v>13</v>
      </c>
      <c r="BL1007" s="228">
        <f t="shared" si="967"/>
        <v>0</v>
      </c>
      <c r="BM1007" s="233" cm="1">
        <f t="array" ref="BM1007">L1007/IF($M1007&gt;0, INDEX($AY$22:$BE$76, $M1007+20, $AH1007), 1)</f>
        <v>0</v>
      </c>
      <c r="BN1007" s="229">
        <f t="shared" si="941"/>
        <v>0</v>
      </c>
      <c r="BO1007" s="228">
        <v>35</v>
      </c>
      <c r="BP1007" s="229">
        <f t="shared" si="942"/>
        <v>48</v>
      </c>
      <c r="BQ1007" s="234">
        <f t="shared" si="943"/>
        <v>3.0748170731707316</v>
      </c>
      <c r="BR1007" s="234" cm="1">
        <f t="array" ref="BR1007">$BM1007 * SUMPRODUCT(INDEX($AV$76:$AX$81,,$AI1007),INDEX($AY$76:$BE$81,,$AH1007), N($AU$76:$AU$81&gt;$AM1007)) / BQ1007 / 1000</f>
        <v>0</v>
      </c>
      <c r="BS1007" s="231">
        <f t="shared" si="968"/>
        <v>30</v>
      </c>
      <c r="BT1007" s="229">
        <f t="shared" si="944"/>
        <v>43</v>
      </c>
      <c r="BU1007" s="234">
        <f t="shared" si="945"/>
        <v>3.5018750000000001</v>
      </c>
      <c r="BV1007" s="234" cm="1">
        <f t="array" ref="BV1007">$BM1007 * IF($AH1007&lt;=2,
SUMPRODUCT(INDEX($AV$71:$AX$75,,$AI1007), INDEX($AY$71:$BE$75,,$AH1007), 1 / ($BF$71:$BF$75*BU1007 + (1-$BF$71:$BF$75)*BQ1007), N($AU$71:$AU$75&gt;$AM1007)),
SUMPRODUCT(INDEX($AV$66:$AX$75,,$AI1007), INDEX($AY$66:$BE$75,,$AH1007), 1 / ($BG$66:$BG$75*BU1007 + (1-$BG$66:$BG$75)*BQ1007), N($AU$66:$AU$75&gt;$AM1007))
) / 1000</f>
        <v>0</v>
      </c>
      <c r="BW1007" s="231">
        <f t="shared" si="969"/>
        <v>25</v>
      </c>
      <c r="BX1007" s="229">
        <f t="shared" si="946"/>
        <v>38</v>
      </c>
      <c r="BY1007" s="234">
        <f t="shared" si="947"/>
        <v>4.0666935483870965</v>
      </c>
      <c r="BZ1007" s="234" cm="1">
        <f t="array" ref="BZ1007">$BM1007 * IF($AH1007&lt;=2,
SUMPRODUCT(INDEX($AV$66:$AX$70,,$AI1007), INDEX($AY$66:$BE$70,,$AH1007), 1 / ($BF$66:$BF$70*BY1007 + (1-$BF$66:$BF$70)*BU1007), N($AU$66:$AU$70&gt;$AM1007)),
SUMPRODUCT(INDEX($AV$56:$AX$65,,$AI1007), INDEX($AY$56:$BE$65,,$AH1007), 1 / ($BG$56:$BG$65*BY1007 + (1-$BG$56:$BG$65)*BU1007), N($AU$56:$AU$65&gt;$AM1007))
) / 1000</f>
        <v>0</v>
      </c>
      <c r="CA1007" s="231">
        <f t="shared" si="970"/>
        <v>20</v>
      </c>
      <c r="CB1007" s="229">
        <f t="shared" si="948"/>
        <v>33</v>
      </c>
      <c r="CC1007" s="234">
        <f t="shared" si="949"/>
        <v>4.8487499999999999</v>
      </c>
      <c r="CD1007" s="234" cm="1">
        <f t="array" ref="CD1007">$BM1007 * IF($AH1007&lt;=2,
SUMPRODUCT(INDEX($AV$61:$AX$65,,$AI1007), INDEX($AY$61:$BE$65,,$AH1007), 1 / ($BF$61:$BF$65*CC1007 + (1-$BF$61:$BF$65)*BY1007), N($AU$61:$AU$65&gt;$AM1007)),
SUMPRODUCT(INDEX($AV$46:$AX$55,,$AI1007), INDEX($AY$46:$BE$55,,$AH1007), 1 / ($BG$46:$BG$55*CC1007 + (1-$BG$46:$BG$55)*BY1007), N($AU$46:$AU$55&gt;$AM1007))
) / 1000</f>
        <v>0</v>
      </c>
      <c r="CE1007" s="234" cm="1">
        <f t="array" ref="CE1007">$BM1007 * IF($AH1007&lt;=2,
SUMPRODUCT(INDEX($AV$22:$AX$60,,$AI1007), INDEX($AY$22:$BE$60,,$AH1007), 1 / ($BF$22:$BF$60*CC1007), N($AU$22:$AU$60&gt;$AM1007)),
SUMPRODUCT(INDEX($AV$22:$AX$45,,$AI1007), INDEX($AY$22:$BE$45,,$AH1007), 1 / ($BG$22:$BG$45*CC1007), N($AU$22:$AU$45&gt;$AM1007))
) / 1000</f>
        <v>0</v>
      </c>
      <c r="CF1007" s="229">
        <f t="shared" si="950"/>
        <v>0</v>
      </c>
      <c r="CG1007" s="246"/>
      <c r="CH1007" s="229">
        <f t="shared" si="951"/>
        <v>0</v>
      </c>
      <c r="CI1007" s="228">
        <v>35</v>
      </c>
      <c r="CJ1007" s="229">
        <f t="shared" si="952"/>
        <v>48</v>
      </c>
      <c r="CK1007" s="234">
        <f t="shared" si="953"/>
        <v>3.0748170731707316</v>
      </c>
      <c r="CL1007" s="234" cm="1">
        <f t="array" ref="CL1007">$BM1007 * SUMPRODUCT(INDEX($AV$76:$AX$81,,$AI1007),INDEX($AY$76:$BE$81,,$AH1007), N($AU$76:$AU$81&gt;$AM1007)) / CK1007 / 1000</f>
        <v>0</v>
      </c>
      <c r="CM1007" s="231">
        <f t="shared" si="971"/>
        <v>30</v>
      </c>
      <c r="CN1007" s="229">
        <f t="shared" si="954"/>
        <v>43</v>
      </c>
      <c r="CO1007" s="234">
        <f t="shared" si="955"/>
        <v>3.5018750000000001</v>
      </c>
      <c r="CP1007" s="234" cm="1">
        <f t="array" ref="CP1007">$BM1007 * IF($AH1007&lt;=2,
SUMPRODUCT(INDEX($AV$71:$AX$75,,$AI1007), INDEX($AY$71:$BE$75,,$AH1007), 1 / ($BF$71:$BF$75*CO1007 + (1-$BF$71:$BF$75)*CK1007), N($AU$71:$AU$75&gt;$AM1007)),
SUMPRODUCT(INDEX($AV$66:$AX$75,,$AI1007), INDEX($AY$66:$BE$75,,$AH1007), 1 / ($BG$66:$BG$75*CO1007 + (1-$BG$66:$BG$75)*CK1007), N($AU$66:$AU$75&gt;$AM1007))
) / 1000</f>
        <v>0</v>
      </c>
      <c r="CQ1007" s="231">
        <f t="shared" si="972"/>
        <v>25</v>
      </c>
      <c r="CR1007" s="229">
        <f t="shared" si="956"/>
        <v>38</v>
      </c>
      <c r="CS1007" s="234">
        <f t="shared" si="957"/>
        <v>4.0666935483870965</v>
      </c>
      <c r="CT1007" s="234" cm="1">
        <f t="array" ref="CT1007">$BM1007 * IF($AH1007&lt;=2,
SUMPRODUCT(INDEX($AV$66:$AX$70,,$AI1007), INDEX($AY$66:$BE$70,,$AH1007), 1 / ($BF$66:$BF$70*CS1007 + (1-$BF$66:$BF$70)*CO1007), N($AU$66:$AU$70&gt;$AM1007)),
SUMPRODUCT(INDEX($AV$56:$AX$65,,$AI1007), INDEX($AY$56:$BE$65,,$AH1007), 1 / ($BG$56:$BG$65*CS1007 + (1-$BG$56:$BG$65)*CO1007), N($AU$56:$AU$65&gt;$AM1007))
) / 1000</f>
        <v>0</v>
      </c>
      <c r="CU1007" s="231">
        <f t="shared" si="973"/>
        <v>20</v>
      </c>
      <c r="CV1007" s="229">
        <f t="shared" si="958"/>
        <v>33</v>
      </c>
      <c r="CW1007" s="234">
        <f t="shared" si="959"/>
        <v>4.8487499999999999</v>
      </c>
      <c r="CX1007" s="234" cm="1">
        <f t="array" ref="CX1007">$BM1007 * IF($AH1007&lt;=2,
SUMPRODUCT(INDEX($AV$61:$AX$65,,$AI1007), INDEX($AY$61:$BE$65,,$AH1007), 1 / ($BF$61:$BF$65*CW1007 + (1-$BF$61:$BF$65)*CS1007), N($AU$61:$AU$65&gt;$AM1007)),
SUMPRODUCT(INDEX($AV$46:$AX$55,,$AI1007), INDEX($AY$46:$BE$55,,$AH1007), 1 / ($BG$46:$BG$55*CW1007 + (1-$BG$46:$BG$55)*CS1007), N($AU$46:$AU$55&gt;$AM1007))
) / 1000</f>
        <v>0</v>
      </c>
      <c r="CY1007" s="234" cm="1">
        <f t="array" ref="CY1007">$BM1007 * IF($AH1007&lt;=2,
SUMPRODUCT(INDEX($AV$22:$AX$60,,$AI1007), INDEX($AY$22:$BE$60,,$AH1007), 1 / ($BF$22:$BF$60*CW1007), N($AU$22:$AU$60&gt;$AM1007)),
SUMPRODUCT(INDEX($AV$22:$AX$45,,$AI1007), INDEX($AY$22:$BE$45,,$AH1007), 1 / ($BG$22:$BG$45*CW1007), N($AU$22:$AU$45&gt;$AM1007))
) / 1000</f>
        <v>0</v>
      </c>
      <c r="CZ1007" s="229">
        <f t="shared" si="960"/>
        <v>0</v>
      </c>
      <c r="DA1007" s="246"/>
    </row>
    <row r="1008" spans="1:105" s="75" customFormat="1" ht="14.25" customHeight="1" x14ac:dyDescent="0.2">
      <c r="A1008" s="230" t="b">
        <f t="shared" si="965"/>
        <v>0</v>
      </c>
      <c r="B1008" s="253">
        <v>987</v>
      </c>
      <c r="C1008" s="266"/>
      <c r="D1008" s="266"/>
      <c r="E1008" s="254"/>
      <c r="F1008" s="255" t="str">
        <f>IF(ISBLANK(E1008), "", VLOOKUP(E1008, Z!$A$2:$C$4127, 3, FALSE))</f>
        <v/>
      </c>
      <c r="G1008" s="256"/>
      <c r="H1008" s="256"/>
      <c r="I1008" s="256"/>
      <c r="J1008" s="257"/>
      <c r="K1008" s="258"/>
      <c r="L1008" s="267"/>
      <c r="M1008" s="268"/>
      <c r="N1008" s="259" t="str" cm="1">
        <f t="array" ref="N1008">IF($L1008&gt;0, INDEX(Clean,1+AK1008,$D$1), "")</f>
        <v/>
      </c>
      <c r="O1008" s="260"/>
      <c r="P1008" s="260"/>
      <c r="Q1008" s="261"/>
      <c r="R1008" s="264">
        <f t="shared" si="936"/>
        <v>0</v>
      </c>
      <c r="S1008" s="259" t="str" cm="1">
        <f t="array" ref="S1008">IF($L1008&gt;0, INDEX(Clean,1+AL1008,$D$1), "")</f>
        <v/>
      </c>
      <c r="T1008" s="260"/>
      <c r="U1008" s="260"/>
      <c r="V1008" s="261"/>
      <c r="W1008" s="267"/>
      <c r="X1008" s="267"/>
      <c r="Y1008" s="257"/>
      <c r="Z1008" s="264">
        <f t="shared" si="937"/>
        <v>0</v>
      </c>
      <c r="AA1008" s="269"/>
      <c r="AB1008" s="266"/>
      <c r="AC1008" s="254"/>
      <c r="AD1008" s="255" t="str">
        <f>IF(ISBLANK(AC1008), "", VLOOKUP(AC1008, Z!$A$2:$C$4127, 3, FALSE))</f>
        <v/>
      </c>
      <c r="AE1008" s="270"/>
      <c r="AF1008" s="265">
        <f t="shared" si="938"/>
        <v>0</v>
      </c>
      <c r="AG1008" s="246"/>
      <c r="AH1008" s="228">
        <f t="shared" si="961"/>
        <v>1</v>
      </c>
      <c r="AI1008" s="228">
        <f t="shared" si="962"/>
        <v>1</v>
      </c>
      <c r="AJ1008" s="228">
        <f t="shared" si="963"/>
        <v>0</v>
      </c>
      <c r="AK1008" s="228">
        <v>0</v>
      </c>
      <c r="AL1008" s="228">
        <v>0</v>
      </c>
      <c r="AM1008" s="228">
        <f t="shared" si="939"/>
        <v>-100</v>
      </c>
      <c r="AN1008" s="228" cm="1">
        <f t="array" ref="AN1008">IF(ISBLANK(G1008), 1, IFERROR(MATCH(G1008, INDEX(Kat,,1), 0), IFERROR(MATCH(Kat, INDEX(Use,,2), 0), MATCH(Kat, INDEX(Use,,3), 0))))</f>
        <v>1</v>
      </c>
      <c r="AO1008" s="246"/>
      <c r="AP1008" s="228" cm="1">
        <f t="array" ref="AP1008">IF(W1008&gt;0, INDEX(Kat, AN1008,4), 0)</f>
        <v>0</v>
      </c>
      <c r="AQ1008" s="228">
        <f t="shared" si="964"/>
        <v>0</v>
      </c>
      <c r="AR1008" s="228" cm="1">
        <f t="array" ref="AR1008">IF(X1008&gt;0, INDEX(Kat, $AN1008, 4+AQ1008), 0)</f>
        <v>0</v>
      </c>
      <c r="AS1008" s="228" cm="1">
        <f t="array" ref="AS1008">IF(X1008&gt;0, INDEX(Kat, $AN1008, 9+AQ1008), 0)</f>
        <v>0</v>
      </c>
      <c r="AT1008" s="246"/>
      <c r="AU1008" s="262"/>
      <c r="AV1008" s="262"/>
      <c r="AW1008" s="263"/>
      <c r="AX1008" s="263"/>
      <c r="AY1008" s="263"/>
      <c r="AZ1008" s="263"/>
      <c r="BA1008" s="263"/>
      <c r="BB1008" s="263"/>
      <c r="BC1008" s="263"/>
      <c r="BD1008" s="263"/>
      <c r="BE1008" s="263"/>
      <c r="BF1008" s="263"/>
      <c r="BG1008" s="263"/>
      <c r="BH1008" s="246"/>
      <c r="BI1008" s="228" cm="1">
        <f t="array" ref="BI1008">INDEX(Use, $AH1008, 4)</f>
        <v>7</v>
      </c>
      <c r="BJ1008" s="228">
        <f t="shared" si="940"/>
        <v>32</v>
      </c>
      <c r="BK1008" s="228">
        <f t="shared" si="966"/>
        <v>13</v>
      </c>
      <c r="BL1008" s="228">
        <f t="shared" si="967"/>
        <v>0</v>
      </c>
      <c r="BM1008" s="233" cm="1">
        <f t="array" ref="BM1008">L1008/IF($M1008&gt;0, INDEX($AY$22:$BE$76, $M1008+20, $AH1008), 1)</f>
        <v>0</v>
      </c>
      <c r="BN1008" s="229">
        <f t="shared" si="941"/>
        <v>0</v>
      </c>
      <c r="BO1008" s="228">
        <v>35</v>
      </c>
      <c r="BP1008" s="229">
        <f t="shared" si="942"/>
        <v>48</v>
      </c>
      <c r="BQ1008" s="234">
        <f t="shared" si="943"/>
        <v>3.0748170731707316</v>
      </c>
      <c r="BR1008" s="234" cm="1">
        <f t="array" ref="BR1008">$BM1008 * SUMPRODUCT(INDEX($AV$76:$AX$81,,$AI1008),INDEX($AY$76:$BE$81,,$AH1008), N($AU$76:$AU$81&gt;$AM1008)) / BQ1008 / 1000</f>
        <v>0</v>
      </c>
      <c r="BS1008" s="231">
        <f t="shared" si="968"/>
        <v>30</v>
      </c>
      <c r="BT1008" s="229">
        <f t="shared" si="944"/>
        <v>43</v>
      </c>
      <c r="BU1008" s="234">
        <f t="shared" si="945"/>
        <v>3.5018750000000001</v>
      </c>
      <c r="BV1008" s="234" cm="1">
        <f t="array" ref="BV1008">$BM1008 * IF($AH1008&lt;=2,
SUMPRODUCT(INDEX($AV$71:$AX$75,,$AI1008), INDEX($AY$71:$BE$75,,$AH1008), 1 / ($BF$71:$BF$75*BU1008 + (1-$BF$71:$BF$75)*BQ1008), N($AU$71:$AU$75&gt;$AM1008)),
SUMPRODUCT(INDEX($AV$66:$AX$75,,$AI1008), INDEX($AY$66:$BE$75,,$AH1008), 1 / ($BG$66:$BG$75*BU1008 + (1-$BG$66:$BG$75)*BQ1008), N($AU$66:$AU$75&gt;$AM1008))
) / 1000</f>
        <v>0</v>
      </c>
      <c r="BW1008" s="231">
        <f t="shared" si="969"/>
        <v>25</v>
      </c>
      <c r="BX1008" s="229">
        <f t="shared" si="946"/>
        <v>38</v>
      </c>
      <c r="BY1008" s="234">
        <f t="shared" si="947"/>
        <v>4.0666935483870965</v>
      </c>
      <c r="BZ1008" s="234" cm="1">
        <f t="array" ref="BZ1008">$BM1008 * IF($AH1008&lt;=2,
SUMPRODUCT(INDEX($AV$66:$AX$70,,$AI1008), INDEX($AY$66:$BE$70,,$AH1008), 1 / ($BF$66:$BF$70*BY1008 + (1-$BF$66:$BF$70)*BU1008), N($AU$66:$AU$70&gt;$AM1008)),
SUMPRODUCT(INDEX($AV$56:$AX$65,,$AI1008), INDEX($AY$56:$BE$65,,$AH1008), 1 / ($BG$56:$BG$65*BY1008 + (1-$BG$56:$BG$65)*BU1008), N($AU$56:$AU$65&gt;$AM1008))
) / 1000</f>
        <v>0</v>
      </c>
      <c r="CA1008" s="231">
        <f t="shared" si="970"/>
        <v>20</v>
      </c>
      <c r="CB1008" s="229">
        <f t="shared" si="948"/>
        <v>33</v>
      </c>
      <c r="CC1008" s="234">
        <f t="shared" si="949"/>
        <v>4.8487499999999999</v>
      </c>
      <c r="CD1008" s="234" cm="1">
        <f t="array" ref="CD1008">$BM1008 * IF($AH1008&lt;=2,
SUMPRODUCT(INDEX($AV$61:$AX$65,,$AI1008), INDEX($AY$61:$BE$65,,$AH1008), 1 / ($BF$61:$BF$65*CC1008 + (1-$BF$61:$BF$65)*BY1008), N($AU$61:$AU$65&gt;$AM1008)),
SUMPRODUCT(INDEX($AV$46:$AX$55,,$AI1008), INDEX($AY$46:$BE$55,,$AH1008), 1 / ($BG$46:$BG$55*CC1008 + (1-$BG$46:$BG$55)*BY1008), N($AU$46:$AU$55&gt;$AM1008))
) / 1000</f>
        <v>0</v>
      </c>
      <c r="CE1008" s="234" cm="1">
        <f t="array" ref="CE1008">$BM1008 * IF($AH1008&lt;=2,
SUMPRODUCT(INDEX($AV$22:$AX$60,,$AI1008), INDEX($AY$22:$BE$60,,$AH1008), 1 / ($BF$22:$BF$60*CC1008), N($AU$22:$AU$60&gt;$AM1008)),
SUMPRODUCT(INDEX($AV$22:$AX$45,,$AI1008), INDEX($AY$22:$BE$45,,$AH1008), 1 / ($BG$22:$BG$45*CC1008), N($AU$22:$AU$45&gt;$AM1008))
) / 1000</f>
        <v>0</v>
      </c>
      <c r="CF1008" s="229">
        <f t="shared" si="950"/>
        <v>0</v>
      </c>
      <c r="CG1008" s="246"/>
      <c r="CH1008" s="229">
        <f t="shared" si="951"/>
        <v>0</v>
      </c>
      <c r="CI1008" s="228">
        <v>35</v>
      </c>
      <c r="CJ1008" s="229">
        <f t="shared" si="952"/>
        <v>48</v>
      </c>
      <c r="CK1008" s="234">
        <f t="shared" si="953"/>
        <v>3.0748170731707316</v>
      </c>
      <c r="CL1008" s="234" cm="1">
        <f t="array" ref="CL1008">$BM1008 * SUMPRODUCT(INDEX($AV$76:$AX$81,,$AI1008),INDEX($AY$76:$BE$81,,$AH1008), N($AU$76:$AU$81&gt;$AM1008)) / CK1008 / 1000</f>
        <v>0</v>
      </c>
      <c r="CM1008" s="231">
        <f t="shared" si="971"/>
        <v>30</v>
      </c>
      <c r="CN1008" s="229">
        <f t="shared" si="954"/>
        <v>43</v>
      </c>
      <c r="CO1008" s="234">
        <f t="shared" si="955"/>
        <v>3.5018750000000001</v>
      </c>
      <c r="CP1008" s="234" cm="1">
        <f t="array" ref="CP1008">$BM1008 * IF($AH1008&lt;=2,
SUMPRODUCT(INDEX($AV$71:$AX$75,,$AI1008), INDEX($AY$71:$BE$75,,$AH1008), 1 / ($BF$71:$BF$75*CO1008 + (1-$BF$71:$BF$75)*CK1008), N($AU$71:$AU$75&gt;$AM1008)),
SUMPRODUCT(INDEX($AV$66:$AX$75,,$AI1008), INDEX($AY$66:$BE$75,,$AH1008), 1 / ($BG$66:$BG$75*CO1008 + (1-$BG$66:$BG$75)*CK1008), N($AU$66:$AU$75&gt;$AM1008))
) / 1000</f>
        <v>0</v>
      </c>
      <c r="CQ1008" s="231">
        <f t="shared" si="972"/>
        <v>25</v>
      </c>
      <c r="CR1008" s="229">
        <f t="shared" si="956"/>
        <v>38</v>
      </c>
      <c r="CS1008" s="234">
        <f t="shared" si="957"/>
        <v>4.0666935483870965</v>
      </c>
      <c r="CT1008" s="234" cm="1">
        <f t="array" ref="CT1008">$BM1008 * IF($AH1008&lt;=2,
SUMPRODUCT(INDEX($AV$66:$AX$70,,$AI1008), INDEX($AY$66:$BE$70,,$AH1008), 1 / ($BF$66:$BF$70*CS1008 + (1-$BF$66:$BF$70)*CO1008), N($AU$66:$AU$70&gt;$AM1008)),
SUMPRODUCT(INDEX($AV$56:$AX$65,,$AI1008), INDEX($AY$56:$BE$65,,$AH1008), 1 / ($BG$56:$BG$65*CS1008 + (1-$BG$56:$BG$65)*CO1008), N($AU$56:$AU$65&gt;$AM1008))
) / 1000</f>
        <v>0</v>
      </c>
      <c r="CU1008" s="231">
        <f t="shared" si="973"/>
        <v>20</v>
      </c>
      <c r="CV1008" s="229">
        <f t="shared" si="958"/>
        <v>33</v>
      </c>
      <c r="CW1008" s="234">
        <f t="shared" si="959"/>
        <v>4.8487499999999999</v>
      </c>
      <c r="CX1008" s="234" cm="1">
        <f t="array" ref="CX1008">$BM1008 * IF($AH1008&lt;=2,
SUMPRODUCT(INDEX($AV$61:$AX$65,,$AI1008), INDEX($AY$61:$BE$65,,$AH1008), 1 / ($BF$61:$BF$65*CW1008 + (1-$BF$61:$BF$65)*CS1008), N($AU$61:$AU$65&gt;$AM1008)),
SUMPRODUCT(INDEX($AV$46:$AX$55,,$AI1008), INDEX($AY$46:$BE$55,,$AH1008), 1 / ($BG$46:$BG$55*CW1008 + (1-$BG$46:$BG$55)*CS1008), N($AU$46:$AU$55&gt;$AM1008))
) / 1000</f>
        <v>0</v>
      </c>
      <c r="CY1008" s="234" cm="1">
        <f t="array" ref="CY1008">$BM1008 * IF($AH1008&lt;=2,
SUMPRODUCT(INDEX($AV$22:$AX$60,,$AI1008), INDEX($AY$22:$BE$60,,$AH1008), 1 / ($BF$22:$BF$60*CW1008), N($AU$22:$AU$60&gt;$AM1008)),
SUMPRODUCT(INDEX($AV$22:$AX$45,,$AI1008), INDEX($AY$22:$BE$45,,$AH1008), 1 / ($BG$22:$BG$45*CW1008), N($AU$22:$AU$45&gt;$AM1008))
) / 1000</f>
        <v>0</v>
      </c>
      <c r="CZ1008" s="229">
        <f t="shared" si="960"/>
        <v>0</v>
      </c>
      <c r="DA1008" s="246"/>
    </row>
    <row r="1009" spans="1:105" s="75" customFormat="1" ht="14.25" customHeight="1" x14ac:dyDescent="0.2">
      <c r="A1009" s="230" t="b">
        <f t="shared" si="965"/>
        <v>0</v>
      </c>
      <c r="B1009" s="253">
        <v>988</v>
      </c>
      <c r="C1009" s="266"/>
      <c r="D1009" s="266"/>
      <c r="E1009" s="254"/>
      <c r="F1009" s="255" t="str">
        <f>IF(ISBLANK(E1009), "", VLOOKUP(E1009, Z!$A$2:$C$4127, 3, FALSE))</f>
        <v/>
      </c>
      <c r="G1009" s="256"/>
      <c r="H1009" s="256"/>
      <c r="I1009" s="256"/>
      <c r="J1009" s="257"/>
      <c r="K1009" s="258"/>
      <c r="L1009" s="267"/>
      <c r="M1009" s="268"/>
      <c r="N1009" s="259" t="str" cm="1">
        <f t="array" ref="N1009">IF($L1009&gt;0, INDEX(Clean,1+AK1009,$D$1), "")</f>
        <v/>
      </c>
      <c r="O1009" s="260"/>
      <c r="P1009" s="260"/>
      <c r="Q1009" s="261"/>
      <c r="R1009" s="264">
        <f t="shared" si="936"/>
        <v>0</v>
      </c>
      <c r="S1009" s="259" t="str" cm="1">
        <f t="array" ref="S1009">IF($L1009&gt;0, INDEX(Clean,1+AL1009,$D$1), "")</f>
        <v/>
      </c>
      <c r="T1009" s="260"/>
      <c r="U1009" s="260"/>
      <c r="V1009" s="261"/>
      <c r="W1009" s="267"/>
      <c r="X1009" s="267"/>
      <c r="Y1009" s="257"/>
      <c r="Z1009" s="264">
        <f t="shared" si="937"/>
        <v>0</v>
      </c>
      <c r="AA1009" s="269"/>
      <c r="AB1009" s="266"/>
      <c r="AC1009" s="254"/>
      <c r="AD1009" s="255" t="str">
        <f>IF(ISBLANK(AC1009), "", VLOOKUP(AC1009, Z!$A$2:$C$4127, 3, FALSE))</f>
        <v/>
      </c>
      <c r="AE1009" s="270"/>
      <c r="AF1009" s="265">
        <f t="shared" si="938"/>
        <v>0</v>
      </c>
      <c r="AG1009" s="246"/>
      <c r="AH1009" s="228">
        <f t="shared" si="961"/>
        <v>1</v>
      </c>
      <c r="AI1009" s="228">
        <f t="shared" si="962"/>
        <v>1</v>
      </c>
      <c r="AJ1009" s="228">
        <f t="shared" si="963"/>
        <v>0</v>
      </c>
      <c r="AK1009" s="228">
        <v>0</v>
      </c>
      <c r="AL1009" s="228">
        <v>0</v>
      </c>
      <c r="AM1009" s="228">
        <f t="shared" si="939"/>
        <v>-100</v>
      </c>
      <c r="AN1009" s="228" cm="1">
        <f t="array" ref="AN1009">IF(ISBLANK(G1009), 1, IFERROR(MATCH(G1009, INDEX(Kat,,1), 0), IFERROR(MATCH(Kat, INDEX(Use,,2), 0), MATCH(Kat, INDEX(Use,,3), 0))))</f>
        <v>1</v>
      </c>
      <c r="AO1009" s="246"/>
      <c r="AP1009" s="228" cm="1">
        <f t="array" ref="AP1009">IF(W1009&gt;0, INDEX(Kat, AN1009,4), 0)</f>
        <v>0</v>
      </c>
      <c r="AQ1009" s="228">
        <f t="shared" si="964"/>
        <v>0</v>
      </c>
      <c r="AR1009" s="228" cm="1">
        <f t="array" ref="AR1009">IF(X1009&gt;0, INDEX(Kat, $AN1009, 4+AQ1009), 0)</f>
        <v>0</v>
      </c>
      <c r="AS1009" s="228" cm="1">
        <f t="array" ref="AS1009">IF(X1009&gt;0, INDEX(Kat, $AN1009, 9+AQ1009), 0)</f>
        <v>0</v>
      </c>
      <c r="AT1009" s="246"/>
      <c r="AU1009" s="262"/>
      <c r="AV1009" s="262"/>
      <c r="AW1009" s="263"/>
      <c r="AX1009" s="263"/>
      <c r="AY1009" s="263"/>
      <c r="AZ1009" s="263"/>
      <c r="BA1009" s="263"/>
      <c r="BB1009" s="263"/>
      <c r="BC1009" s="263"/>
      <c r="BD1009" s="263"/>
      <c r="BE1009" s="263"/>
      <c r="BF1009" s="263"/>
      <c r="BG1009" s="263"/>
      <c r="BH1009" s="246"/>
      <c r="BI1009" s="228" cm="1">
        <f t="array" ref="BI1009">INDEX(Use, $AH1009, 4)</f>
        <v>7</v>
      </c>
      <c r="BJ1009" s="228">
        <f t="shared" si="940"/>
        <v>32</v>
      </c>
      <c r="BK1009" s="228">
        <f t="shared" si="966"/>
        <v>13</v>
      </c>
      <c r="BL1009" s="228">
        <f t="shared" si="967"/>
        <v>0</v>
      </c>
      <c r="BM1009" s="233" cm="1">
        <f t="array" ref="BM1009">L1009/IF($M1009&gt;0, INDEX($AY$22:$BE$76, $M1009+20, $AH1009), 1)</f>
        <v>0</v>
      </c>
      <c r="BN1009" s="229">
        <f t="shared" si="941"/>
        <v>0</v>
      </c>
      <c r="BO1009" s="228">
        <v>35</v>
      </c>
      <c r="BP1009" s="229">
        <f t="shared" si="942"/>
        <v>48</v>
      </c>
      <c r="BQ1009" s="234">
        <f t="shared" si="943"/>
        <v>3.0748170731707316</v>
      </c>
      <c r="BR1009" s="234" cm="1">
        <f t="array" ref="BR1009">$BM1009 * SUMPRODUCT(INDEX($AV$76:$AX$81,,$AI1009),INDEX($AY$76:$BE$81,,$AH1009), N($AU$76:$AU$81&gt;$AM1009)) / BQ1009 / 1000</f>
        <v>0</v>
      </c>
      <c r="BS1009" s="231">
        <f t="shared" si="968"/>
        <v>30</v>
      </c>
      <c r="BT1009" s="229">
        <f t="shared" si="944"/>
        <v>43</v>
      </c>
      <c r="BU1009" s="234">
        <f t="shared" si="945"/>
        <v>3.5018750000000001</v>
      </c>
      <c r="BV1009" s="234" cm="1">
        <f t="array" ref="BV1009">$BM1009 * IF($AH1009&lt;=2,
SUMPRODUCT(INDEX($AV$71:$AX$75,,$AI1009), INDEX($AY$71:$BE$75,,$AH1009), 1 / ($BF$71:$BF$75*BU1009 + (1-$BF$71:$BF$75)*BQ1009), N($AU$71:$AU$75&gt;$AM1009)),
SUMPRODUCT(INDEX($AV$66:$AX$75,,$AI1009), INDEX($AY$66:$BE$75,,$AH1009), 1 / ($BG$66:$BG$75*BU1009 + (1-$BG$66:$BG$75)*BQ1009), N($AU$66:$AU$75&gt;$AM1009))
) / 1000</f>
        <v>0</v>
      </c>
      <c r="BW1009" s="231">
        <f t="shared" si="969"/>
        <v>25</v>
      </c>
      <c r="BX1009" s="229">
        <f t="shared" si="946"/>
        <v>38</v>
      </c>
      <c r="BY1009" s="234">
        <f t="shared" si="947"/>
        <v>4.0666935483870965</v>
      </c>
      <c r="BZ1009" s="234" cm="1">
        <f t="array" ref="BZ1009">$BM1009 * IF($AH1009&lt;=2,
SUMPRODUCT(INDEX($AV$66:$AX$70,,$AI1009), INDEX($AY$66:$BE$70,,$AH1009), 1 / ($BF$66:$BF$70*BY1009 + (1-$BF$66:$BF$70)*BU1009), N($AU$66:$AU$70&gt;$AM1009)),
SUMPRODUCT(INDEX($AV$56:$AX$65,,$AI1009), INDEX($AY$56:$BE$65,,$AH1009), 1 / ($BG$56:$BG$65*BY1009 + (1-$BG$56:$BG$65)*BU1009), N($AU$56:$AU$65&gt;$AM1009))
) / 1000</f>
        <v>0</v>
      </c>
      <c r="CA1009" s="231">
        <f t="shared" si="970"/>
        <v>20</v>
      </c>
      <c r="CB1009" s="229">
        <f t="shared" si="948"/>
        <v>33</v>
      </c>
      <c r="CC1009" s="234">
        <f t="shared" si="949"/>
        <v>4.8487499999999999</v>
      </c>
      <c r="CD1009" s="234" cm="1">
        <f t="array" ref="CD1009">$BM1009 * IF($AH1009&lt;=2,
SUMPRODUCT(INDEX($AV$61:$AX$65,,$AI1009), INDEX($AY$61:$BE$65,,$AH1009), 1 / ($BF$61:$BF$65*CC1009 + (1-$BF$61:$BF$65)*BY1009), N($AU$61:$AU$65&gt;$AM1009)),
SUMPRODUCT(INDEX($AV$46:$AX$55,,$AI1009), INDEX($AY$46:$BE$55,,$AH1009), 1 / ($BG$46:$BG$55*CC1009 + (1-$BG$46:$BG$55)*BY1009), N($AU$46:$AU$55&gt;$AM1009))
) / 1000</f>
        <v>0</v>
      </c>
      <c r="CE1009" s="234" cm="1">
        <f t="array" ref="CE1009">$BM1009 * IF($AH1009&lt;=2,
SUMPRODUCT(INDEX($AV$22:$AX$60,,$AI1009), INDEX($AY$22:$BE$60,,$AH1009), 1 / ($BF$22:$BF$60*CC1009), N($AU$22:$AU$60&gt;$AM1009)),
SUMPRODUCT(INDEX($AV$22:$AX$45,,$AI1009), INDEX($AY$22:$BE$45,,$AH1009), 1 / ($BG$22:$BG$45*CC1009), N($AU$22:$AU$45&gt;$AM1009))
) / 1000</f>
        <v>0</v>
      </c>
      <c r="CF1009" s="229">
        <f t="shared" si="950"/>
        <v>0</v>
      </c>
      <c r="CG1009" s="246"/>
      <c r="CH1009" s="229">
        <f t="shared" si="951"/>
        <v>0</v>
      </c>
      <c r="CI1009" s="228">
        <v>35</v>
      </c>
      <c r="CJ1009" s="229">
        <f t="shared" si="952"/>
        <v>48</v>
      </c>
      <c r="CK1009" s="234">
        <f t="shared" si="953"/>
        <v>3.0748170731707316</v>
      </c>
      <c r="CL1009" s="234" cm="1">
        <f t="array" ref="CL1009">$BM1009 * SUMPRODUCT(INDEX($AV$76:$AX$81,,$AI1009),INDEX($AY$76:$BE$81,,$AH1009), N($AU$76:$AU$81&gt;$AM1009)) / CK1009 / 1000</f>
        <v>0</v>
      </c>
      <c r="CM1009" s="231">
        <f t="shared" si="971"/>
        <v>30</v>
      </c>
      <c r="CN1009" s="229">
        <f t="shared" si="954"/>
        <v>43</v>
      </c>
      <c r="CO1009" s="234">
        <f t="shared" si="955"/>
        <v>3.5018750000000001</v>
      </c>
      <c r="CP1009" s="234" cm="1">
        <f t="array" ref="CP1009">$BM1009 * IF($AH1009&lt;=2,
SUMPRODUCT(INDEX($AV$71:$AX$75,,$AI1009), INDEX($AY$71:$BE$75,,$AH1009), 1 / ($BF$71:$BF$75*CO1009 + (1-$BF$71:$BF$75)*CK1009), N($AU$71:$AU$75&gt;$AM1009)),
SUMPRODUCT(INDEX($AV$66:$AX$75,,$AI1009), INDEX($AY$66:$BE$75,,$AH1009), 1 / ($BG$66:$BG$75*CO1009 + (1-$BG$66:$BG$75)*CK1009), N($AU$66:$AU$75&gt;$AM1009))
) / 1000</f>
        <v>0</v>
      </c>
      <c r="CQ1009" s="231">
        <f t="shared" si="972"/>
        <v>25</v>
      </c>
      <c r="CR1009" s="229">
        <f t="shared" si="956"/>
        <v>38</v>
      </c>
      <c r="CS1009" s="234">
        <f t="shared" si="957"/>
        <v>4.0666935483870965</v>
      </c>
      <c r="CT1009" s="234" cm="1">
        <f t="array" ref="CT1009">$BM1009 * IF($AH1009&lt;=2,
SUMPRODUCT(INDEX($AV$66:$AX$70,,$AI1009), INDEX($AY$66:$BE$70,,$AH1009), 1 / ($BF$66:$BF$70*CS1009 + (1-$BF$66:$BF$70)*CO1009), N($AU$66:$AU$70&gt;$AM1009)),
SUMPRODUCT(INDEX($AV$56:$AX$65,,$AI1009), INDEX($AY$56:$BE$65,,$AH1009), 1 / ($BG$56:$BG$65*CS1009 + (1-$BG$56:$BG$65)*CO1009), N($AU$56:$AU$65&gt;$AM1009))
) / 1000</f>
        <v>0</v>
      </c>
      <c r="CU1009" s="231">
        <f t="shared" si="973"/>
        <v>20</v>
      </c>
      <c r="CV1009" s="229">
        <f t="shared" si="958"/>
        <v>33</v>
      </c>
      <c r="CW1009" s="234">
        <f t="shared" si="959"/>
        <v>4.8487499999999999</v>
      </c>
      <c r="CX1009" s="234" cm="1">
        <f t="array" ref="CX1009">$BM1009 * IF($AH1009&lt;=2,
SUMPRODUCT(INDEX($AV$61:$AX$65,,$AI1009), INDEX($AY$61:$BE$65,,$AH1009), 1 / ($BF$61:$BF$65*CW1009 + (1-$BF$61:$BF$65)*CS1009), N($AU$61:$AU$65&gt;$AM1009)),
SUMPRODUCT(INDEX($AV$46:$AX$55,,$AI1009), INDEX($AY$46:$BE$55,,$AH1009), 1 / ($BG$46:$BG$55*CW1009 + (1-$BG$46:$BG$55)*CS1009), N($AU$46:$AU$55&gt;$AM1009))
) / 1000</f>
        <v>0</v>
      </c>
      <c r="CY1009" s="234" cm="1">
        <f t="array" ref="CY1009">$BM1009 * IF($AH1009&lt;=2,
SUMPRODUCT(INDEX($AV$22:$AX$60,,$AI1009), INDEX($AY$22:$BE$60,,$AH1009), 1 / ($BF$22:$BF$60*CW1009), N($AU$22:$AU$60&gt;$AM1009)),
SUMPRODUCT(INDEX($AV$22:$AX$45,,$AI1009), INDEX($AY$22:$BE$45,,$AH1009), 1 / ($BG$22:$BG$45*CW1009), N($AU$22:$AU$45&gt;$AM1009))
) / 1000</f>
        <v>0</v>
      </c>
      <c r="CZ1009" s="229">
        <f t="shared" si="960"/>
        <v>0</v>
      </c>
      <c r="DA1009" s="246"/>
    </row>
    <row r="1010" spans="1:105" s="75" customFormat="1" ht="14.25" customHeight="1" x14ac:dyDescent="0.2">
      <c r="A1010" s="230" t="b">
        <f t="shared" si="965"/>
        <v>0</v>
      </c>
      <c r="B1010" s="253">
        <v>989</v>
      </c>
      <c r="C1010" s="266"/>
      <c r="D1010" s="266"/>
      <c r="E1010" s="254"/>
      <c r="F1010" s="255" t="str">
        <f>IF(ISBLANK(E1010), "", VLOOKUP(E1010, Z!$A$2:$C$4127, 3, FALSE))</f>
        <v/>
      </c>
      <c r="G1010" s="256"/>
      <c r="H1010" s="256"/>
      <c r="I1010" s="256"/>
      <c r="J1010" s="257"/>
      <c r="K1010" s="258"/>
      <c r="L1010" s="267"/>
      <c r="M1010" s="268"/>
      <c r="N1010" s="259" t="str" cm="1">
        <f t="array" ref="N1010">IF($L1010&gt;0, INDEX(Clean,1+AK1010,$D$1), "")</f>
        <v/>
      </c>
      <c r="O1010" s="260"/>
      <c r="P1010" s="260"/>
      <c r="Q1010" s="261"/>
      <c r="R1010" s="264">
        <f t="shared" si="936"/>
        <v>0</v>
      </c>
      <c r="S1010" s="259" t="str" cm="1">
        <f t="array" ref="S1010">IF($L1010&gt;0, INDEX(Clean,1+AL1010,$D$1), "")</f>
        <v/>
      </c>
      <c r="T1010" s="260"/>
      <c r="U1010" s="260"/>
      <c r="V1010" s="261"/>
      <c r="W1010" s="267"/>
      <c r="X1010" s="267"/>
      <c r="Y1010" s="257"/>
      <c r="Z1010" s="264">
        <f t="shared" si="937"/>
        <v>0</v>
      </c>
      <c r="AA1010" s="269"/>
      <c r="AB1010" s="266"/>
      <c r="AC1010" s="254"/>
      <c r="AD1010" s="255" t="str">
        <f>IF(ISBLANK(AC1010), "", VLOOKUP(AC1010, Z!$A$2:$C$4127, 3, FALSE))</f>
        <v/>
      </c>
      <c r="AE1010" s="270"/>
      <c r="AF1010" s="265">
        <f t="shared" si="938"/>
        <v>0</v>
      </c>
      <c r="AG1010" s="246"/>
      <c r="AH1010" s="228">
        <f t="shared" si="961"/>
        <v>1</v>
      </c>
      <c r="AI1010" s="228">
        <f t="shared" si="962"/>
        <v>1</v>
      </c>
      <c r="AJ1010" s="228">
        <f t="shared" si="963"/>
        <v>0</v>
      </c>
      <c r="AK1010" s="228">
        <v>0</v>
      </c>
      <c r="AL1010" s="228">
        <v>0</v>
      </c>
      <c r="AM1010" s="228">
        <f t="shared" si="939"/>
        <v>-100</v>
      </c>
      <c r="AN1010" s="228" cm="1">
        <f t="array" ref="AN1010">IF(ISBLANK(G1010), 1, IFERROR(MATCH(G1010, INDEX(Kat,,1), 0), IFERROR(MATCH(Kat, INDEX(Use,,2), 0), MATCH(Kat, INDEX(Use,,3), 0))))</f>
        <v>1</v>
      </c>
      <c r="AO1010" s="246"/>
      <c r="AP1010" s="228" cm="1">
        <f t="array" ref="AP1010">IF(W1010&gt;0, INDEX(Kat, AN1010,4), 0)</f>
        <v>0</v>
      </c>
      <c r="AQ1010" s="228">
        <f t="shared" si="964"/>
        <v>0</v>
      </c>
      <c r="AR1010" s="228" cm="1">
        <f t="array" ref="AR1010">IF(X1010&gt;0, INDEX(Kat, $AN1010, 4+AQ1010), 0)</f>
        <v>0</v>
      </c>
      <c r="AS1010" s="228" cm="1">
        <f t="array" ref="AS1010">IF(X1010&gt;0, INDEX(Kat, $AN1010, 9+AQ1010), 0)</f>
        <v>0</v>
      </c>
      <c r="AT1010" s="246"/>
      <c r="AU1010" s="262"/>
      <c r="AV1010" s="262"/>
      <c r="AW1010" s="263"/>
      <c r="AX1010" s="263"/>
      <c r="AY1010" s="263"/>
      <c r="AZ1010" s="263"/>
      <c r="BA1010" s="263"/>
      <c r="BB1010" s="263"/>
      <c r="BC1010" s="263"/>
      <c r="BD1010" s="263"/>
      <c r="BE1010" s="263"/>
      <c r="BF1010" s="263"/>
      <c r="BG1010" s="263"/>
      <c r="BH1010" s="246"/>
      <c r="BI1010" s="228" cm="1">
        <f t="array" ref="BI1010">INDEX(Use, $AH1010, 4)</f>
        <v>7</v>
      </c>
      <c r="BJ1010" s="228">
        <f t="shared" si="940"/>
        <v>32</v>
      </c>
      <c r="BK1010" s="228">
        <f t="shared" si="966"/>
        <v>13</v>
      </c>
      <c r="BL1010" s="228">
        <f t="shared" si="967"/>
        <v>0</v>
      </c>
      <c r="BM1010" s="233" cm="1">
        <f t="array" ref="BM1010">L1010/IF($M1010&gt;0, INDEX($AY$22:$BE$76, $M1010+20, $AH1010), 1)</f>
        <v>0</v>
      </c>
      <c r="BN1010" s="229">
        <f t="shared" si="941"/>
        <v>0</v>
      </c>
      <c r="BO1010" s="228">
        <v>35</v>
      </c>
      <c r="BP1010" s="229">
        <f t="shared" si="942"/>
        <v>48</v>
      </c>
      <c r="BQ1010" s="234">
        <f t="shared" si="943"/>
        <v>3.0748170731707316</v>
      </c>
      <c r="BR1010" s="234" cm="1">
        <f t="array" ref="BR1010">$BM1010 * SUMPRODUCT(INDEX($AV$76:$AX$81,,$AI1010),INDEX($AY$76:$BE$81,,$AH1010), N($AU$76:$AU$81&gt;$AM1010)) / BQ1010 / 1000</f>
        <v>0</v>
      </c>
      <c r="BS1010" s="231">
        <f t="shared" si="968"/>
        <v>30</v>
      </c>
      <c r="BT1010" s="229">
        <f t="shared" si="944"/>
        <v>43</v>
      </c>
      <c r="BU1010" s="234">
        <f t="shared" si="945"/>
        <v>3.5018750000000001</v>
      </c>
      <c r="BV1010" s="234" cm="1">
        <f t="array" ref="BV1010">$BM1010 * IF($AH1010&lt;=2,
SUMPRODUCT(INDEX($AV$71:$AX$75,,$AI1010), INDEX($AY$71:$BE$75,,$AH1010), 1 / ($BF$71:$BF$75*BU1010 + (1-$BF$71:$BF$75)*BQ1010), N($AU$71:$AU$75&gt;$AM1010)),
SUMPRODUCT(INDEX($AV$66:$AX$75,,$AI1010), INDEX($AY$66:$BE$75,,$AH1010), 1 / ($BG$66:$BG$75*BU1010 + (1-$BG$66:$BG$75)*BQ1010), N($AU$66:$AU$75&gt;$AM1010))
) / 1000</f>
        <v>0</v>
      </c>
      <c r="BW1010" s="231">
        <f t="shared" si="969"/>
        <v>25</v>
      </c>
      <c r="BX1010" s="229">
        <f t="shared" si="946"/>
        <v>38</v>
      </c>
      <c r="BY1010" s="234">
        <f t="shared" si="947"/>
        <v>4.0666935483870965</v>
      </c>
      <c r="BZ1010" s="234" cm="1">
        <f t="array" ref="BZ1010">$BM1010 * IF($AH1010&lt;=2,
SUMPRODUCT(INDEX($AV$66:$AX$70,,$AI1010), INDEX($AY$66:$BE$70,,$AH1010), 1 / ($BF$66:$BF$70*BY1010 + (1-$BF$66:$BF$70)*BU1010), N($AU$66:$AU$70&gt;$AM1010)),
SUMPRODUCT(INDEX($AV$56:$AX$65,,$AI1010), INDEX($AY$56:$BE$65,,$AH1010), 1 / ($BG$56:$BG$65*BY1010 + (1-$BG$56:$BG$65)*BU1010), N($AU$56:$AU$65&gt;$AM1010))
) / 1000</f>
        <v>0</v>
      </c>
      <c r="CA1010" s="231">
        <f t="shared" si="970"/>
        <v>20</v>
      </c>
      <c r="CB1010" s="229">
        <f t="shared" si="948"/>
        <v>33</v>
      </c>
      <c r="CC1010" s="234">
        <f t="shared" si="949"/>
        <v>4.8487499999999999</v>
      </c>
      <c r="CD1010" s="234" cm="1">
        <f t="array" ref="CD1010">$BM1010 * IF($AH1010&lt;=2,
SUMPRODUCT(INDEX($AV$61:$AX$65,,$AI1010), INDEX($AY$61:$BE$65,,$AH1010), 1 / ($BF$61:$BF$65*CC1010 + (1-$BF$61:$BF$65)*BY1010), N($AU$61:$AU$65&gt;$AM1010)),
SUMPRODUCT(INDEX($AV$46:$AX$55,,$AI1010), INDEX($AY$46:$BE$55,,$AH1010), 1 / ($BG$46:$BG$55*CC1010 + (1-$BG$46:$BG$55)*BY1010), N($AU$46:$AU$55&gt;$AM1010))
) / 1000</f>
        <v>0</v>
      </c>
      <c r="CE1010" s="234" cm="1">
        <f t="array" ref="CE1010">$BM1010 * IF($AH1010&lt;=2,
SUMPRODUCT(INDEX($AV$22:$AX$60,,$AI1010), INDEX($AY$22:$BE$60,,$AH1010), 1 / ($BF$22:$BF$60*CC1010), N($AU$22:$AU$60&gt;$AM1010)),
SUMPRODUCT(INDEX($AV$22:$AX$45,,$AI1010), INDEX($AY$22:$BE$45,,$AH1010), 1 / ($BG$22:$BG$45*CC1010), N($AU$22:$AU$45&gt;$AM1010))
) / 1000</f>
        <v>0</v>
      </c>
      <c r="CF1010" s="229">
        <f t="shared" si="950"/>
        <v>0</v>
      </c>
      <c r="CG1010" s="246"/>
      <c r="CH1010" s="229">
        <f t="shared" si="951"/>
        <v>0</v>
      </c>
      <c r="CI1010" s="228">
        <v>35</v>
      </c>
      <c r="CJ1010" s="229">
        <f t="shared" si="952"/>
        <v>48</v>
      </c>
      <c r="CK1010" s="234">
        <f t="shared" si="953"/>
        <v>3.0748170731707316</v>
      </c>
      <c r="CL1010" s="234" cm="1">
        <f t="array" ref="CL1010">$BM1010 * SUMPRODUCT(INDEX($AV$76:$AX$81,,$AI1010),INDEX($AY$76:$BE$81,,$AH1010), N($AU$76:$AU$81&gt;$AM1010)) / CK1010 / 1000</f>
        <v>0</v>
      </c>
      <c r="CM1010" s="231">
        <f t="shared" si="971"/>
        <v>30</v>
      </c>
      <c r="CN1010" s="229">
        <f t="shared" si="954"/>
        <v>43</v>
      </c>
      <c r="CO1010" s="234">
        <f t="shared" si="955"/>
        <v>3.5018750000000001</v>
      </c>
      <c r="CP1010" s="234" cm="1">
        <f t="array" ref="CP1010">$BM1010 * IF($AH1010&lt;=2,
SUMPRODUCT(INDEX($AV$71:$AX$75,,$AI1010), INDEX($AY$71:$BE$75,,$AH1010), 1 / ($BF$71:$BF$75*CO1010 + (1-$BF$71:$BF$75)*CK1010), N($AU$71:$AU$75&gt;$AM1010)),
SUMPRODUCT(INDEX($AV$66:$AX$75,,$AI1010), INDEX($AY$66:$BE$75,,$AH1010), 1 / ($BG$66:$BG$75*CO1010 + (1-$BG$66:$BG$75)*CK1010), N($AU$66:$AU$75&gt;$AM1010))
) / 1000</f>
        <v>0</v>
      </c>
      <c r="CQ1010" s="231">
        <f t="shared" si="972"/>
        <v>25</v>
      </c>
      <c r="CR1010" s="229">
        <f t="shared" si="956"/>
        <v>38</v>
      </c>
      <c r="CS1010" s="234">
        <f t="shared" si="957"/>
        <v>4.0666935483870965</v>
      </c>
      <c r="CT1010" s="234" cm="1">
        <f t="array" ref="CT1010">$BM1010 * IF($AH1010&lt;=2,
SUMPRODUCT(INDEX($AV$66:$AX$70,,$AI1010), INDEX($AY$66:$BE$70,,$AH1010), 1 / ($BF$66:$BF$70*CS1010 + (1-$BF$66:$BF$70)*CO1010), N($AU$66:$AU$70&gt;$AM1010)),
SUMPRODUCT(INDEX($AV$56:$AX$65,,$AI1010), INDEX($AY$56:$BE$65,,$AH1010), 1 / ($BG$56:$BG$65*CS1010 + (1-$BG$56:$BG$65)*CO1010), N($AU$56:$AU$65&gt;$AM1010))
) / 1000</f>
        <v>0</v>
      </c>
      <c r="CU1010" s="231">
        <f t="shared" si="973"/>
        <v>20</v>
      </c>
      <c r="CV1010" s="229">
        <f t="shared" si="958"/>
        <v>33</v>
      </c>
      <c r="CW1010" s="234">
        <f t="shared" si="959"/>
        <v>4.8487499999999999</v>
      </c>
      <c r="CX1010" s="234" cm="1">
        <f t="array" ref="CX1010">$BM1010 * IF($AH1010&lt;=2,
SUMPRODUCT(INDEX($AV$61:$AX$65,,$AI1010), INDEX($AY$61:$BE$65,,$AH1010), 1 / ($BF$61:$BF$65*CW1010 + (1-$BF$61:$BF$65)*CS1010), N($AU$61:$AU$65&gt;$AM1010)),
SUMPRODUCT(INDEX($AV$46:$AX$55,,$AI1010), INDEX($AY$46:$BE$55,,$AH1010), 1 / ($BG$46:$BG$55*CW1010 + (1-$BG$46:$BG$55)*CS1010), N($AU$46:$AU$55&gt;$AM1010))
) / 1000</f>
        <v>0</v>
      </c>
      <c r="CY1010" s="234" cm="1">
        <f t="array" ref="CY1010">$BM1010 * IF($AH1010&lt;=2,
SUMPRODUCT(INDEX($AV$22:$AX$60,,$AI1010), INDEX($AY$22:$BE$60,,$AH1010), 1 / ($BF$22:$BF$60*CW1010), N($AU$22:$AU$60&gt;$AM1010)),
SUMPRODUCT(INDEX($AV$22:$AX$45,,$AI1010), INDEX($AY$22:$BE$45,,$AH1010), 1 / ($BG$22:$BG$45*CW1010), N($AU$22:$AU$45&gt;$AM1010))
) / 1000</f>
        <v>0</v>
      </c>
      <c r="CZ1010" s="229">
        <f t="shared" si="960"/>
        <v>0</v>
      </c>
      <c r="DA1010" s="246"/>
    </row>
    <row r="1011" spans="1:105" s="75" customFormat="1" ht="14.25" customHeight="1" x14ac:dyDescent="0.2">
      <c r="A1011" s="230" t="b">
        <f t="shared" si="965"/>
        <v>0</v>
      </c>
      <c r="B1011" s="253">
        <v>990</v>
      </c>
      <c r="C1011" s="266"/>
      <c r="D1011" s="266"/>
      <c r="E1011" s="254"/>
      <c r="F1011" s="255" t="str">
        <f>IF(ISBLANK(E1011), "", VLOOKUP(E1011, Z!$A$2:$C$4127, 3, FALSE))</f>
        <v/>
      </c>
      <c r="G1011" s="256"/>
      <c r="H1011" s="256"/>
      <c r="I1011" s="256"/>
      <c r="J1011" s="257"/>
      <c r="K1011" s="258"/>
      <c r="L1011" s="267"/>
      <c r="M1011" s="268"/>
      <c r="N1011" s="259" t="str" cm="1">
        <f t="array" ref="N1011">IF($L1011&gt;0, INDEX(Clean,1+AK1011,$D$1), "")</f>
        <v/>
      </c>
      <c r="O1011" s="260"/>
      <c r="P1011" s="260"/>
      <c r="Q1011" s="261"/>
      <c r="R1011" s="264">
        <f t="shared" si="936"/>
        <v>0</v>
      </c>
      <c r="S1011" s="259" t="str" cm="1">
        <f t="array" ref="S1011">IF($L1011&gt;0, INDEX(Clean,1+AL1011,$D$1), "")</f>
        <v/>
      </c>
      <c r="T1011" s="260"/>
      <c r="U1011" s="260"/>
      <c r="V1011" s="261"/>
      <c r="W1011" s="267"/>
      <c r="X1011" s="267"/>
      <c r="Y1011" s="257"/>
      <c r="Z1011" s="264">
        <f t="shared" si="937"/>
        <v>0</v>
      </c>
      <c r="AA1011" s="269"/>
      <c r="AB1011" s="266"/>
      <c r="AC1011" s="254"/>
      <c r="AD1011" s="255" t="str">
        <f>IF(ISBLANK(AC1011), "", VLOOKUP(AC1011, Z!$A$2:$C$4127, 3, FALSE))</f>
        <v/>
      </c>
      <c r="AE1011" s="270"/>
      <c r="AF1011" s="265">
        <f t="shared" si="938"/>
        <v>0</v>
      </c>
      <c r="AG1011" s="246"/>
      <c r="AH1011" s="228">
        <f t="shared" si="961"/>
        <v>1</v>
      </c>
      <c r="AI1011" s="228">
        <f t="shared" si="962"/>
        <v>1</v>
      </c>
      <c r="AJ1011" s="228">
        <f t="shared" si="963"/>
        <v>0</v>
      </c>
      <c r="AK1011" s="228">
        <v>0</v>
      </c>
      <c r="AL1011" s="228">
        <v>0</v>
      </c>
      <c r="AM1011" s="228">
        <f t="shared" si="939"/>
        <v>-100</v>
      </c>
      <c r="AN1011" s="228" cm="1">
        <f t="array" ref="AN1011">IF(ISBLANK(G1011), 1, IFERROR(MATCH(G1011, INDEX(Kat,,1), 0), IFERROR(MATCH(Kat, INDEX(Use,,2), 0), MATCH(Kat, INDEX(Use,,3), 0))))</f>
        <v>1</v>
      </c>
      <c r="AO1011" s="246"/>
      <c r="AP1011" s="228" cm="1">
        <f t="array" ref="AP1011">IF(W1011&gt;0, INDEX(Kat, AN1011,4), 0)</f>
        <v>0</v>
      </c>
      <c r="AQ1011" s="228">
        <f t="shared" si="964"/>
        <v>0</v>
      </c>
      <c r="AR1011" s="228" cm="1">
        <f t="array" ref="AR1011">IF(X1011&gt;0, INDEX(Kat, $AN1011, 4+AQ1011), 0)</f>
        <v>0</v>
      </c>
      <c r="AS1011" s="228" cm="1">
        <f t="array" ref="AS1011">IF(X1011&gt;0, INDEX(Kat, $AN1011, 9+AQ1011), 0)</f>
        <v>0</v>
      </c>
      <c r="AT1011" s="246"/>
      <c r="AU1011" s="262"/>
      <c r="AV1011" s="262"/>
      <c r="AW1011" s="263"/>
      <c r="AX1011" s="263"/>
      <c r="AY1011" s="263"/>
      <c r="AZ1011" s="263"/>
      <c r="BA1011" s="263"/>
      <c r="BB1011" s="263"/>
      <c r="BC1011" s="263"/>
      <c r="BD1011" s="263"/>
      <c r="BE1011" s="263"/>
      <c r="BF1011" s="263"/>
      <c r="BG1011" s="263"/>
      <c r="BH1011" s="246"/>
      <c r="BI1011" s="228" cm="1">
        <f t="array" ref="BI1011">INDEX(Use, $AH1011, 4)</f>
        <v>7</v>
      </c>
      <c r="BJ1011" s="228">
        <f t="shared" si="940"/>
        <v>32</v>
      </c>
      <c r="BK1011" s="228">
        <f t="shared" si="966"/>
        <v>13</v>
      </c>
      <c r="BL1011" s="228">
        <f t="shared" si="967"/>
        <v>0</v>
      </c>
      <c r="BM1011" s="233" cm="1">
        <f t="array" ref="BM1011">L1011/IF($M1011&gt;0, INDEX($AY$22:$BE$76, $M1011+20, $AH1011), 1)</f>
        <v>0</v>
      </c>
      <c r="BN1011" s="229">
        <f t="shared" si="941"/>
        <v>0</v>
      </c>
      <c r="BO1011" s="228">
        <v>35</v>
      </c>
      <c r="BP1011" s="229">
        <f t="shared" si="942"/>
        <v>48</v>
      </c>
      <c r="BQ1011" s="234">
        <f t="shared" si="943"/>
        <v>3.0748170731707316</v>
      </c>
      <c r="BR1011" s="234" cm="1">
        <f t="array" ref="BR1011">$BM1011 * SUMPRODUCT(INDEX($AV$76:$AX$81,,$AI1011),INDEX($AY$76:$BE$81,,$AH1011), N($AU$76:$AU$81&gt;$AM1011)) / BQ1011 / 1000</f>
        <v>0</v>
      </c>
      <c r="BS1011" s="231">
        <f t="shared" si="968"/>
        <v>30</v>
      </c>
      <c r="BT1011" s="229">
        <f t="shared" si="944"/>
        <v>43</v>
      </c>
      <c r="BU1011" s="234">
        <f t="shared" si="945"/>
        <v>3.5018750000000001</v>
      </c>
      <c r="BV1011" s="234" cm="1">
        <f t="array" ref="BV1011">$BM1011 * IF($AH1011&lt;=2,
SUMPRODUCT(INDEX($AV$71:$AX$75,,$AI1011), INDEX($AY$71:$BE$75,,$AH1011), 1 / ($BF$71:$BF$75*BU1011 + (1-$BF$71:$BF$75)*BQ1011), N($AU$71:$AU$75&gt;$AM1011)),
SUMPRODUCT(INDEX($AV$66:$AX$75,,$AI1011), INDEX($AY$66:$BE$75,,$AH1011), 1 / ($BG$66:$BG$75*BU1011 + (1-$BG$66:$BG$75)*BQ1011), N($AU$66:$AU$75&gt;$AM1011))
) / 1000</f>
        <v>0</v>
      </c>
      <c r="BW1011" s="231">
        <f t="shared" si="969"/>
        <v>25</v>
      </c>
      <c r="BX1011" s="229">
        <f t="shared" si="946"/>
        <v>38</v>
      </c>
      <c r="BY1011" s="234">
        <f t="shared" si="947"/>
        <v>4.0666935483870965</v>
      </c>
      <c r="BZ1011" s="234" cm="1">
        <f t="array" ref="BZ1011">$BM1011 * IF($AH1011&lt;=2,
SUMPRODUCT(INDEX($AV$66:$AX$70,,$AI1011), INDEX($AY$66:$BE$70,,$AH1011), 1 / ($BF$66:$BF$70*BY1011 + (1-$BF$66:$BF$70)*BU1011), N($AU$66:$AU$70&gt;$AM1011)),
SUMPRODUCT(INDEX($AV$56:$AX$65,,$AI1011), INDEX($AY$56:$BE$65,,$AH1011), 1 / ($BG$56:$BG$65*BY1011 + (1-$BG$56:$BG$65)*BU1011), N($AU$56:$AU$65&gt;$AM1011))
) / 1000</f>
        <v>0</v>
      </c>
      <c r="CA1011" s="231">
        <f t="shared" si="970"/>
        <v>20</v>
      </c>
      <c r="CB1011" s="229">
        <f t="shared" si="948"/>
        <v>33</v>
      </c>
      <c r="CC1011" s="234">
        <f t="shared" si="949"/>
        <v>4.8487499999999999</v>
      </c>
      <c r="CD1011" s="234" cm="1">
        <f t="array" ref="CD1011">$BM1011 * IF($AH1011&lt;=2,
SUMPRODUCT(INDEX($AV$61:$AX$65,,$AI1011), INDEX($AY$61:$BE$65,,$AH1011), 1 / ($BF$61:$BF$65*CC1011 + (1-$BF$61:$BF$65)*BY1011), N($AU$61:$AU$65&gt;$AM1011)),
SUMPRODUCT(INDEX($AV$46:$AX$55,,$AI1011), INDEX($AY$46:$BE$55,,$AH1011), 1 / ($BG$46:$BG$55*CC1011 + (1-$BG$46:$BG$55)*BY1011), N($AU$46:$AU$55&gt;$AM1011))
) / 1000</f>
        <v>0</v>
      </c>
      <c r="CE1011" s="234" cm="1">
        <f t="array" ref="CE1011">$BM1011 * IF($AH1011&lt;=2,
SUMPRODUCT(INDEX($AV$22:$AX$60,,$AI1011), INDEX($AY$22:$BE$60,,$AH1011), 1 / ($BF$22:$BF$60*CC1011), N($AU$22:$AU$60&gt;$AM1011)),
SUMPRODUCT(INDEX($AV$22:$AX$45,,$AI1011), INDEX($AY$22:$BE$45,,$AH1011), 1 / ($BG$22:$BG$45*CC1011), N($AU$22:$AU$45&gt;$AM1011))
) / 1000</f>
        <v>0</v>
      </c>
      <c r="CF1011" s="229">
        <f t="shared" si="950"/>
        <v>0</v>
      </c>
      <c r="CG1011" s="246"/>
      <c r="CH1011" s="229">
        <f t="shared" si="951"/>
        <v>0</v>
      </c>
      <c r="CI1011" s="228">
        <v>35</v>
      </c>
      <c r="CJ1011" s="229">
        <f t="shared" si="952"/>
        <v>48</v>
      </c>
      <c r="CK1011" s="234">
        <f t="shared" si="953"/>
        <v>3.0748170731707316</v>
      </c>
      <c r="CL1011" s="234" cm="1">
        <f t="array" ref="CL1011">$BM1011 * SUMPRODUCT(INDEX($AV$76:$AX$81,,$AI1011),INDEX($AY$76:$BE$81,,$AH1011), N($AU$76:$AU$81&gt;$AM1011)) / CK1011 / 1000</f>
        <v>0</v>
      </c>
      <c r="CM1011" s="231">
        <f t="shared" si="971"/>
        <v>30</v>
      </c>
      <c r="CN1011" s="229">
        <f t="shared" si="954"/>
        <v>43</v>
      </c>
      <c r="CO1011" s="234">
        <f t="shared" si="955"/>
        <v>3.5018750000000001</v>
      </c>
      <c r="CP1011" s="234" cm="1">
        <f t="array" ref="CP1011">$BM1011 * IF($AH1011&lt;=2,
SUMPRODUCT(INDEX($AV$71:$AX$75,,$AI1011), INDEX($AY$71:$BE$75,,$AH1011), 1 / ($BF$71:$BF$75*CO1011 + (1-$BF$71:$BF$75)*CK1011), N($AU$71:$AU$75&gt;$AM1011)),
SUMPRODUCT(INDEX($AV$66:$AX$75,,$AI1011), INDEX($AY$66:$BE$75,,$AH1011), 1 / ($BG$66:$BG$75*CO1011 + (1-$BG$66:$BG$75)*CK1011), N($AU$66:$AU$75&gt;$AM1011))
) / 1000</f>
        <v>0</v>
      </c>
      <c r="CQ1011" s="231">
        <f t="shared" si="972"/>
        <v>25</v>
      </c>
      <c r="CR1011" s="229">
        <f t="shared" si="956"/>
        <v>38</v>
      </c>
      <c r="CS1011" s="234">
        <f t="shared" si="957"/>
        <v>4.0666935483870965</v>
      </c>
      <c r="CT1011" s="234" cm="1">
        <f t="array" ref="CT1011">$BM1011 * IF($AH1011&lt;=2,
SUMPRODUCT(INDEX($AV$66:$AX$70,,$AI1011), INDEX($AY$66:$BE$70,,$AH1011), 1 / ($BF$66:$BF$70*CS1011 + (1-$BF$66:$BF$70)*CO1011), N($AU$66:$AU$70&gt;$AM1011)),
SUMPRODUCT(INDEX($AV$56:$AX$65,,$AI1011), INDEX($AY$56:$BE$65,,$AH1011), 1 / ($BG$56:$BG$65*CS1011 + (1-$BG$56:$BG$65)*CO1011), N($AU$56:$AU$65&gt;$AM1011))
) / 1000</f>
        <v>0</v>
      </c>
      <c r="CU1011" s="231">
        <f t="shared" si="973"/>
        <v>20</v>
      </c>
      <c r="CV1011" s="229">
        <f t="shared" si="958"/>
        <v>33</v>
      </c>
      <c r="CW1011" s="234">
        <f t="shared" si="959"/>
        <v>4.8487499999999999</v>
      </c>
      <c r="CX1011" s="234" cm="1">
        <f t="array" ref="CX1011">$BM1011 * IF($AH1011&lt;=2,
SUMPRODUCT(INDEX($AV$61:$AX$65,,$AI1011), INDEX($AY$61:$BE$65,,$AH1011), 1 / ($BF$61:$BF$65*CW1011 + (1-$BF$61:$BF$65)*CS1011), N($AU$61:$AU$65&gt;$AM1011)),
SUMPRODUCT(INDEX($AV$46:$AX$55,,$AI1011), INDEX($AY$46:$BE$55,,$AH1011), 1 / ($BG$46:$BG$55*CW1011 + (1-$BG$46:$BG$55)*CS1011), N($AU$46:$AU$55&gt;$AM1011))
) / 1000</f>
        <v>0</v>
      </c>
      <c r="CY1011" s="234" cm="1">
        <f t="array" ref="CY1011">$BM1011 * IF($AH1011&lt;=2,
SUMPRODUCT(INDEX($AV$22:$AX$60,,$AI1011), INDEX($AY$22:$BE$60,,$AH1011), 1 / ($BF$22:$BF$60*CW1011), N($AU$22:$AU$60&gt;$AM1011)),
SUMPRODUCT(INDEX($AV$22:$AX$45,,$AI1011), INDEX($AY$22:$BE$45,,$AH1011), 1 / ($BG$22:$BG$45*CW1011), N($AU$22:$AU$45&gt;$AM1011))
) / 1000</f>
        <v>0</v>
      </c>
      <c r="CZ1011" s="229">
        <f t="shared" si="960"/>
        <v>0</v>
      </c>
      <c r="DA1011" s="246"/>
    </row>
    <row r="1012" spans="1:105" s="75" customFormat="1" ht="14.25" customHeight="1" x14ac:dyDescent="0.2">
      <c r="A1012" s="230" t="b">
        <f t="shared" si="965"/>
        <v>0</v>
      </c>
      <c r="B1012" s="253">
        <v>991</v>
      </c>
      <c r="C1012" s="266"/>
      <c r="D1012" s="266"/>
      <c r="E1012" s="254"/>
      <c r="F1012" s="255" t="str">
        <f>IF(ISBLANK(E1012), "", VLOOKUP(E1012, Z!$A$2:$C$4127, 3, FALSE))</f>
        <v/>
      </c>
      <c r="G1012" s="256"/>
      <c r="H1012" s="256"/>
      <c r="I1012" s="256"/>
      <c r="J1012" s="257"/>
      <c r="K1012" s="258"/>
      <c r="L1012" s="267"/>
      <c r="M1012" s="268"/>
      <c r="N1012" s="259" t="str" cm="1">
        <f t="array" ref="N1012">IF($L1012&gt;0, INDEX(Clean,1+AK1012,$D$1), "")</f>
        <v/>
      </c>
      <c r="O1012" s="260"/>
      <c r="P1012" s="260"/>
      <c r="Q1012" s="261"/>
      <c r="R1012" s="264">
        <f t="shared" si="936"/>
        <v>0</v>
      </c>
      <c r="S1012" s="259" t="str" cm="1">
        <f t="array" ref="S1012">IF($L1012&gt;0, INDEX(Clean,1+AL1012,$D$1), "")</f>
        <v/>
      </c>
      <c r="T1012" s="260"/>
      <c r="U1012" s="260"/>
      <c r="V1012" s="261"/>
      <c r="W1012" s="267"/>
      <c r="X1012" s="267"/>
      <c r="Y1012" s="257"/>
      <c r="Z1012" s="264">
        <f t="shared" si="937"/>
        <v>0</v>
      </c>
      <c r="AA1012" s="269"/>
      <c r="AB1012" s="266"/>
      <c r="AC1012" s="254"/>
      <c r="AD1012" s="255" t="str">
        <f>IF(ISBLANK(AC1012), "", VLOOKUP(AC1012, Z!$A$2:$C$4127, 3, FALSE))</f>
        <v/>
      </c>
      <c r="AE1012" s="270"/>
      <c r="AF1012" s="265">
        <f t="shared" si="938"/>
        <v>0</v>
      </c>
      <c r="AG1012" s="246"/>
      <c r="AH1012" s="228">
        <f t="shared" si="961"/>
        <v>1</v>
      </c>
      <c r="AI1012" s="228">
        <f t="shared" si="962"/>
        <v>1</v>
      </c>
      <c r="AJ1012" s="228">
        <f t="shared" si="963"/>
        <v>0</v>
      </c>
      <c r="AK1012" s="228">
        <v>0</v>
      </c>
      <c r="AL1012" s="228">
        <v>0</v>
      </c>
      <c r="AM1012" s="228">
        <f t="shared" si="939"/>
        <v>-100</v>
      </c>
      <c r="AN1012" s="228" cm="1">
        <f t="array" ref="AN1012">IF(ISBLANK(G1012), 1, IFERROR(MATCH(G1012, INDEX(Kat,,1), 0), IFERROR(MATCH(Kat, INDEX(Use,,2), 0), MATCH(Kat, INDEX(Use,,3), 0))))</f>
        <v>1</v>
      </c>
      <c r="AO1012" s="246"/>
      <c r="AP1012" s="228" cm="1">
        <f t="array" ref="AP1012">IF(W1012&gt;0, INDEX(Kat, AN1012,4), 0)</f>
        <v>0</v>
      </c>
      <c r="AQ1012" s="228">
        <f t="shared" si="964"/>
        <v>0</v>
      </c>
      <c r="AR1012" s="228" cm="1">
        <f t="array" ref="AR1012">IF(X1012&gt;0, INDEX(Kat, $AN1012, 4+AQ1012), 0)</f>
        <v>0</v>
      </c>
      <c r="AS1012" s="228" cm="1">
        <f t="array" ref="AS1012">IF(X1012&gt;0, INDEX(Kat, $AN1012, 9+AQ1012), 0)</f>
        <v>0</v>
      </c>
      <c r="AT1012" s="246"/>
      <c r="AU1012" s="262"/>
      <c r="AV1012" s="262"/>
      <c r="AW1012" s="263"/>
      <c r="AX1012" s="263"/>
      <c r="AY1012" s="263"/>
      <c r="AZ1012" s="263"/>
      <c r="BA1012" s="263"/>
      <c r="BB1012" s="263"/>
      <c r="BC1012" s="263"/>
      <c r="BD1012" s="263"/>
      <c r="BE1012" s="263"/>
      <c r="BF1012" s="263"/>
      <c r="BG1012" s="263"/>
      <c r="BH1012" s="246"/>
      <c r="BI1012" s="228" cm="1">
        <f t="array" ref="BI1012">INDEX(Use, $AH1012, 4)</f>
        <v>7</v>
      </c>
      <c r="BJ1012" s="228">
        <f t="shared" si="940"/>
        <v>32</v>
      </c>
      <c r="BK1012" s="228">
        <f t="shared" si="966"/>
        <v>13</v>
      </c>
      <c r="BL1012" s="228">
        <f t="shared" si="967"/>
        <v>0</v>
      </c>
      <c r="BM1012" s="233" cm="1">
        <f t="array" ref="BM1012">L1012/IF($M1012&gt;0, INDEX($AY$22:$BE$76, $M1012+20, $AH1012), 1)</f>
        <v>0</v>
      </c>
      <c r="BN1012" s="229">
        <f t="shared" si="941"/>
        <v>0</v>
      </c>
      <c r="BO1012" s="228">
        <v>35</v>
      </c>
      <c r="BP1012" s="229">
        <f t="shared" si="942"/>
        <v>48</v>
      </c>
      <c r="BQ1012" s="234">
        <f t="shared" si="943"/>
        <v>3.0748170731707316</v>
      </c>
      <c r="BR1012" s="234" cm="1">
        <f t="array" ref="BR1012">$BM1012 * SUMPRODUCT(INDEX($AV$76:$AX$81,,$AI1012),INDEX($AY$76:$BE$81,,$AH1012), N($AU$76:$AU$81&gt;$AM1012)) / BQ1012 / 1000</f>
        <v>0</v>
      </c>
      <c r="BS1012" s="231">
        <f t="shared" si="968"/>
        <v>30</v>
      </c>
      <c r="BT1012" s="229">
        <f t="shared" si="944"/>
        <v>43</v>
      </c>
      <c r="BU1012" s="234">
        <f t="shared" si="945"/>
        <v>3.5018750000000001</v>
      </c>
      <c r="BV1012" s="234" cm="1">
        <f t="array" ref="BV1012">$BM1012 * IF($AH1012&lt;=2,
SUMPRODUCT(INDEX($AV$71:$AX$75,,$AI1012), INDEX($AY$71:$BE$75,,$AH1012), 1 / ($BF$71:$BF$75*BU1012 + (1-$BF$71:$BF$75)*BQ1012), N($AU$71:$AU$75&gt;$AM1012)),
SUMPRODUCT(INDEX($AV$66:$AX$75,,$AI1012), INDEX($AY$66:$BE$75,,$AH1012), 1 / ($BG$66:$BG$75*BU1012 + (1-$BG$66:$BG$75)*BQ1012), N($AU$66:$AU$75&gt;$AM1012))
) / 1000</f>
        <v>0</v>
      </c>
      <c r="BW1012" s="231">
        <f t="shared" si="969"/>
        <v>25</v>
      </c>
      <c r="BX1012" s="229">
        <f t="shared" si="946"/>
        <v>38</v>
      </c>
      <c r="BY1012" s="234">
        <f t="shared" si="947"/>
        <v>4.0666935483870965</v>
      </c>
      <c r="BZ1012" s="234" cm="1">
        <f t="array" ref="BZ1012">$BM1012 * IF($AH1012&lt;=2,
SUMPRODUCT(INDEX($AV$66:$AX$70,,$AI1012), INDEX($AY$66:$BE$70,,$AH1012), 1 / ($BF$66:$BF$70*BY1012 + (1-$BF$66:$BF$70)*BU1012), N($AU$66:$AU$70&gt;$AM1012)),
SUMPRODUCT(INDEX($AV$56:$AX$65,,$AI1012), INDEX($AY$56:$BE$65,,$AH1012), 1 / ($BG$56:$BG$65*BY1012 + (1-$BG$56:$BG$65)*BU1012), N($AU$56:$AU$65&gt;$AM1012))
) / 1000</f>
        <v>0</v>
      </c>
      <c r="CA1012" s="231">
        <f t="shared" si="970"/>
        <v>20</v>
      </c>
      <c r="CB1012" s="229">
        <f t="shared" si="948"/>
        <v>33</v>
      </c>
      <c r="CC1012" s="234">
        <f t="shared" si="949"/>
        <v>4.8487499999999999</v>
      </c>
      <c r="CD1012" s="234" cm="1">
        <f t="array" ref="CD1012">$BM1012 * IF($AH1012&lt;=2,
SUMPRODUCT(INDEX($AV$61:$AX$65,,$AI1012), INDEX($AY$61:$BE$65,,$AH1012), 1 / ($BF$61:$BF$65*CC1012 + (1-$BF$61:$BF$65)*BY1012), N($AU$61:$AU$65&gt;$AM1012)),
SUMPRODUCT(INDEX($AV$46:$AX$55,,$AI1012), INDEX($AY$46:$BE$55,,$AH1012), 1 / ($BG$46:$BG$55*CC1012 + (1-$BG$46:$BG$55)*BY1012), N($AU$46:$AU$55&gt;$AM1012))
) / 1000</f>
        <v>0</v>
      </c>
      <c r="CE1012" s="234" cm="1">
        <f t="array" ref="CE1012">$BM1012 * IF($AH1012&lt;=2,
SUMPRODUCT(INDEX($AV$22:$AX$60,,$AI1012), INDEX($AY$22:$BE$60,,$AH1012), 1 / ($BF$22:$BF$60*CC1012), N($AU$22:$AU$60&gt;$AM1012)),
SUMPRODUCT(INDEX($AV$22:$AX$45,,$AI1012), INDEX($AY$22:$BE$45,,$AH1012), 1 / ($BG$22:$BG$45*CC1012), N($AU$22:$AU$45&gt;$AM1012))
) / 1000</f>
        <v>0</v>
      </c>
      <c r="CF1012" s="229">
        <f t="shared" si="950"/>
        <v>0</v>
      </c>
      <c r="CG1012" s="246"/>
      <c r="CH1012" s="229">
        <f t="shared" si="951"/>
        <v>0</v>
      </c>
      <c r="CI1012" s="228">
        <v>35</v>
      </c>
      <c r="CJ1012" s="229">
        <f t="shared" si="952"/>
        <v>48</v>
      </c>
      <c r="CK1012" s="234">
        <f t="shared" si="953"/>
        <v>3.0748170731707316</v>
      </c>
      <c r="CL1012" s="234" cm="1">
        <f t="array" ref="CL1012">$BM1012 * SUMPRODUCT(INDEX($AV$76:$AX$81,,$AI1012),INDEX($AY$76:$BE$81,,$AH1012), N($AU$76:$AU$81&gt;$AM1012)) / CK1012 / 1000</f>
        <v>0</v>
      </c>
      <c r="CM1012" s="231">
        <f t="shared" si="971"/>
        <v>30</v>
      </c>
      <c r="CN1012" s="229">
        <f t="shared" si="954"/>
        <v>43</v>
      </c>
      <c r="CO1012" s="234">
        <f t="shared" si="955"/>
        <v>3.5018750000000001</v>
      </c>
      <c r="CP1012" s="234" cm="1">
        <f t="array" ref="CP1012">$BM1012 * IF($AH1012&lt;=2,
SUMPRODUCT(INDEX($AV$71:$AX$75,,$AI1012), INDEX($AY$71:$BE$75,,$AH1012), 1 / ($BF$71:$BF$75*CO1012 + (1-$BF$71:$BF$75)*CK1012), N($AU$71:$AU$75&gt;$AM1012)),
SUMPRODUCT(INDEX($AV$66:$AX$75,,$AI1012), INDEX($AY$66:$BE$75,,$AH1012), 1 / ($BG$66:$BG$75*CO1012 + (1-$BG$66:$BG$75)*CK1012), N($AU$66:$AU$75&gt;$AM1012))
) / 1000</f>
        <v>0</v>
      </c>
      <c r="CQ1012" s="231">
        <f t="shared" si="972"/>
        <v>25</v>
      </c>
      <c r="CR1012" s="229">
        <f t="shared" si="956"/>
        <v>38</v>
      </c>
      <c r="CS1012" s="234">
        <f t="shared" si="957"/>
        <v>4.0666935483870965</v>
      </c>
      <c r="CT1012" s="234" cm="1">
        <f t="array" ref="CT1012">$BM1012 * IF($AH1012&lt;=2,
SUMPRODUCT(INDEX($AV$66:$AX$70,,$AI1012), INDEX($AY$66:$BE$70,,$AH1012), 1 / ($BF$66:$BF$70*CS1012 + (1-$BF$66:$BF$70)*CO1012), N($AU$66:$AU$70&gt;$AM1012)),
SUMPRODUCT(INDEX($AV$56:$AX$65,,$AI1012), INDEX($AY$56:$BE$65,,$AH1012), 1 / ($BG$56:$BG$65*CS1012 + (1-$BG$56:$BG$65)*CO1012), N($AU$56:$AU$65&gt;$AM1012))
) / 1000</f>
        <v>0</v>
      </c>
      <c r="CU1012" s="231">
        <f t="shared" si="973"/>
        <v>20</v>
      </c>
      <c r="CV1012" s="229">
        <f t="shared" si="958"/>
        <v>33</v>
      </c>
      <c r="CW1012" s="234">
        <f t="shared" si="959"/>
        <v>4.8487499999999999</v>
      </c>
      <c r="CX1012" s="234" cm="1">
        <f t="array" ref="CX1012">$BM1012 * IF($AH1012&lt;=2,
SUMPRODUCT(INDEX($AV$61:$AX$65,,$AI1012), INDEX($AY$61:$BE$65,,$AH1012), 1 / ($BF$61:$BF$65*CW1012 + (1-$BF$61:$BF$65)*CS1012), N($AU$61:$AU$65&gt;$AM1012)),
SUMPRODUCT(INDEX($AV$46:$AX$55,,$AI1012), INDEX($AY$46:$BE$55,,$AH1012), 1 / ($BG$46:$BG$55*CW1012 + (1-$BG$46:$BG$55)*CS1012), N($AU$46:$AU$55&gt;$AM1012))
) / 1000</f>
        <v>0</v>
      </c>
      <c r="CY1012" s="234" cm="1">
        <f t="array" ref="CY1012">$BM1012 * IF($AH1012&lt;=2,
SUMPRODUCT(INDEX($AV$22:$AX$60,,$AI1012), INDEX($AY$22:$BE$60,,$AH1012), 1 / ($BF$22:$BF$60*CW1012), N($AU$22:$AU$60&gt;$AM1012)),
SUMPRODUCT(INDEX($AV$22:$AX$45,,$AI1012), INDEX($AY$22:$BE$45,,$AH1012), 1 / ($BG$22:$BG$45*CW1012), N($AU$22:$AU$45&gt;$AM1012))
) / 1000</f>
        <v>0</v>
      </c>
      <c r="CZ1012" s="229">
        <f t="shared" si="960"/>
        <v>0</v>
      </c>
      <c r="DA1012" s="246"/>
    </row>
    <row r="1013" spans="1:105" s="75" customFormat="1" ht="14.25" customHeight="1" x14ac:dyDescent="0.2">
      <c r="A1013" s="230" t="b">
        <f t="shared" si="965"/>
        <v>0</v>
      </c>
      <c r="B1013" s="253">
        <v>992</v>
      </c>
      <c r="C1013" s="266"/>
      <c r="D1013" s="266"/>
      <c r="E1013" s="254"/>
      <c r="F1013" s="255" t="str">
        <f>IF(ISBLANK(E1013), "", VLOOKUP(E1013, Z!$A$2:$C$4127, 3, FALSE))</f>
        <v/>
      </c>
      <c r="G1013" s="256"/>
      <c r="H1013" s="256"/>
      <c r="I1013" s="256"/>
      <c r="J1013" s="257"/>
      <c r="K1013" s="258"/>
      <c r="L1013" s="267"/>
      <c r="M1013" s="268"/>
      <c r="N1013" s="259" t="str" cm="1">
        <f t="array" ref="N1013">IF($L1013&gt;0, INDEX(Clean,1+AK1013,$D$1), "")</f>
        <v/>
      </c>
      <c r="O1013" s="260"/>
      <c r="P1013" s="260"/>
      <c r="Q1013" s="261"/>
      <c r="R1013" s="264">
        <f t="shared" si="936"/>
        <v>0</v>
      </c>
      <c r="S1013" s="259" t="str" cm="1">
        <f t="array" ref="S1013">IF($L1013&gt;0, INDEX(Clean,1+AL1013,$D$1), "")</f>
        <v/>
      </c>
      <c r="T1013" s="260"/>
      <c r="U1013" s="260"/>
      <c r="V1013" s="261"/>
      <c r="W1013" s="267"/>
      <c r="X1013" s="267"/>
      <c r="Y1013" s="257"/>
      <c r="Z1013" s="264">
        <f t="shared" si="937"/>
        <v>0</v>
      </c>
      <c r="AA1013" s="269"/>
      <c r="AB1013" s="266"/>
      <c r="AC1013" s="254"/>
      <c r="AD1013" s="255" t="str">
        <f>IF(ISBLANK(AC1013), "", VLOOKUP(AC1013, Z!$A$2:$C$4127, 3, FALSE))</f>
        <v/>
      </c>
      <c r="AE1013" s="270"/>
      <c r="AF1013" s="265">
        <f t="shared" si="938"/>
        <v>0</v>
      </c>
      <c r="AG1013" s="246"/>
      <c r="AH1013" s="228">
        <f t="shared" si="961"/>
        <v>1</v>
      </c>
      <c r="AI1013" s="228">
        <f t="shared" si="962"/>
        <v>1</v>
      </c>
      <c r="AJ1013" s="228">
        <f t="shared" si="963"/>
        <v>0</v>
      </c>
      <c r="AK1013" s="228">
        <v>0</v>
      </c>
      <c r="AL1013" s="228">
        <v>0</v>
      </c>
      <c r="AM1013" s="228">
        <f t="shared" si="939"/>
        <v>-100</v>
      </c>
      <c r="AN1013" s="228" cm="1">
        <f t="array" ref="AN1013">IF(ISBLANK(G1013), 1, IFERROR(MATCH(G1013, INDEX(Kat,,1), 0), IFERROR(MATCH(Kat, INDEX(Use,,2), 0), MATCH(Kat, INDEX(Use,,3), 0))))</f>
        <v>1</v>
      </c>
      <c r="AO1013" s="246"/>
      <c r="AP1013" s="228" cm="1">
        <f t="array" ref="AP1013">IF(W1013&gt;0, INDEX(Kat, AN1013,4), 0)</f>
        <v>0</v>
      </c>
      <c r="AQ1013" s="228">
        <f t="shared" si="964"/>
        <v>0</v>
      </c>
      <c r="AR1013" s="228" cm="1">
        <f t="array" ref="AR1013">IF(X1013&gt;0, INDEX(Kat, $AN1013, 4+AQ1013), 0)</f>
        <v>0</v>
      </c>
      <c r="AS1013" s="228" cm="1">
        <f t="array" ref="AS1013">IF(X1013&gt;0, INDEX(Kat, $AN1013, 9+AQ1013), 0)</f>
        <v>0</v>
      </c>
      <c r="AT1013" s="246"/>
      <c r="AU1013" s="262"/>
      <c r="AV1013" s="262"/>
      <c r="AW1013" s="263"/>
      <c r="AX1013" s="263"/>
      <c r="AY1013" s="263"/>
      <c r="AZ1013" s="263"/>
      <c r="BA1013" s="263"/>
      <c r="BB1013" s="263"/>
      <c r="BC1013" s="263"/>
      <c r="BD1013" s="263"/>
      <c r="BE1013" s="263"/>
      <c r="BF1013" s="263"/>
      <c r="BG1013" s="263"/>
      <c r="BH1013" s="246"/>
      <c r="BI1013" s="228" cm="1">
        <f t="array" ref="BI1013">INDEX(Use, $AH1013, 4)</f>
        <v>7</v>
      </c>
      <c r="BJ1013" s="228">
        <f t="shared" si="940"/>
        <v>32</v>
      </c>
      <c r="BK1013" s="228">
        <f t="shared" si="966"/>
        <v>13</v>
      </c>
      <c r="BL1013" s="228">
        <f t="shared" si="967"/>
        <v>0</v>
      </c>
      <c r="BM1013" s="233" cm="1">
        <f t="array" ref="BM1013">L1013/IF($M1013&gt;0, INDEX($AY$22:$BE$76, $M1013+20, $AH1013), 1)</f>
        <v>0</v>
      </c>
      <c r="BN1013" s="229">
        <f t="shared" si="941"/>
        <v>0</v>
      </c>
      <c r="BO1013" s="228">
        <v>35</v>
      </c>
      <c r="BP1013" s="229">
        <f t="shared" si="942"/>
        <v>48</v>
      </c>
      <c r="BQ1013" s="234">
        <f t="shared" si="943"/>
        <v>3.0748170731707316</v>
      </c>
      <c r="BR1013" s="234" cm="1">
        <f t="array" ref="BR1013">$BM1013 * SUMPRODUCT(INDEX($AV$76:$AX$81,,$AI1013),INDEX($AY$76:$BE$81,,$AH1013), N($AU$76:$AU$81&gt;$AM1013)) / BQ1013 / 1000</f>
        <v>0</v>
      </c>
      <c r="BS1013" s="231">
        <f t="shared" si="968"/>
        <v>30</v>
      </c>
      <c r="BT1013" s="229">
        <f t="shared" si="944"/>
        <v>43</v>
      </c>
      <c r="BU1013" s="234">
        <f t="shared" si="945"/>
        <v>3.5018750000000001</v>
      </c>
      <c r="BV1013" s="234" cm="1">
        <f t="array" ref="BV1013">$BM1013 * IF($AH1013&lt;=2,
SUMPRODUCT(INDEX($AV$71:$AX$75,,$AI1013), INDEX($AY$71:$BE$75,,$AH1013), 1 / ($BF$71:$BF$75*BU1013 + (1-$BF$71:$BF$75)*BQ1013), N($AU$71:$AU$75&gt;$AM1013)),
SUMPRODUCT(INDEX($AV$66:$AX$75,,$AI1013), INDEX($AY$66:$BE$75,,$AH1013), 1 / ($BG$66:$BG$75*BU1013 + (1-$BG$66:$BG$75)*BQ1013), N($AU$66:$AU$75&gt;$AM1013))
) / 1000</f>
        <v>0</v>
      </c>
      <c r="BW1013" s="231">
        <f t="shared" si="969"/>
        <v>25</v>
      </c>
      <c r="BX1013" s="229">
        <f t="shared" si="946"/>
        <v>38</v>
      </c>
      <c r="BY1013" s="234">
        <f t="shared" si="947"/>
        <v>4.0666935483870965</v>
      </c>
      <c r="BZ1013" s="234" cm="1">
        <f t="array" ref="BZ1013">$BM1013 * IF($AH1013&lt;=2,
SUMPRODUCT(INDEX($AV$66:$AX$70,,$AI1013), INDEX($AY$66:$BE$70,,$AH1013), 1 / ($BF$66:$BF$70*BY1013 + (1-$BF$66:$BF$70)*BU1013), N($AU$66:$AU$70&gt;$AM1013)),
SUMPRODUCT(INDEX($AV$56:$AX$65,,$AI1013), INDEX($AY$56:$BE$65,,$AH1013), 1 / ($BG$56:$BG$65*BY1013 + (1-$BG$56:$BG$65)*BU1013), N($AU$56:$AU$65&gt;$AM1013))
) / 1000</f>
        <v>0</v>
      </c>
      <c r="CA1013" s="231">
        <f t="shared" si="970"/>
        <v>20</v>
      </c>
      <c r="CB1013" s="229">
        <f t="shared" si="948"/>
        <v>33</v>
      </c>
      <c r="CC1013" s="234">
        <f t="shared" si="949"/>
        <v>4.8487499999999999</v>
      </c>
      <c r="CD1013" s="234" cm="1">
        <f t="array" ref="CD1013">$BM1013 * IF($AH1013&lt;=2,
SUMPRODUCT(INDEX($AV$61:$AX$65,,$AI1013), INDEX($AY$61:$BE$65,,$AH1013), 1 / ($BF$61:$BF$65*CC1013 + (1-$BF$61:$BF$65)*BY1013), N($AU$61:$AU$65&gt;$AM1013)),
SUMPRODUCT(INDEX($AV$46:$AX$55,,$AI1013), INDEX($AY$46:$BE$55,,$AH1013), 1 / ($BG$46:$BG$55*CC1013 + (1-$BG$46:$BG$55)*BY1013), N($AU$46:$AU$55&gt;$AM1013))
) / 1000</f>
        <v>0</v>
      </c>
      <c r="CE1013" s="234" cm="1">
        <f t="array" ref="CE1013">$BM1013 * IF($AH1013&lt;=2,
SUMPRODUCT(INDEX($AV$22:$AX$60,,$AI1013), INDEX($AY$22:$BE$60,,$AH1013), 1 / ($BF$22:$BF$60*CC1013), N($AU$22:$AU$60&gt;$AM1013)),
SUMPRODUCT(INDEX($AV$22:$AX$45,,$AI1013), INDEX($AY$22:$BE$45,,$AH1013), 1 / ($BG$22:$BG$45*CC1013), N($AU$22:$AU$45&gt;$AM1013))
) / 1000</f>
        <v>0</v>
      </c>
      <c r="CF1013" s="229">
        <f t="shared" si="950"/>
        <v>0</v>
      </c>
      <c r="CG1013" s="246"/>
      <c r="CH1013" s="229">
        <f t="shared" si="951"/>
        <v>0</v>
      </c>
      <c r="CI1013" s="228">
        <v>35</v>
      </c>
      <c r="CJ1013" s="229">
        <f t="shared" si="952"/>
        <v>48</v>
      </c>
      <c r="CK1013" s="234">
        <f t="shared" si="953"/>
        <v>3.0748170731707316</v>
      </c>
      <c r="CL1013" s="234" cm="1">
        <f t="array" ref="CL1013">$BM1013 * SUMPRODUCT(INDEX($AV$76:$AX$81,,$AI1013),INDEX($AY$76:$BE$81,,$AH1013), N($AU$76:$AU$81&gt;$AM1013)) / CK1013 / 1000</f>
        <v>0</v>
      </c>
      <c r="CM1013" s="231">
        <f t="shared" si="971"/>
        <v>30</v>
      </c>
      <c r="CN1013" s="229">
        <f t="shared" si="954"/>
        <v>43</v>
      </c>
      <c r="CO1013" s="234">
        <f t="shared" si="955"/>
        <v>3.5018750000000001</v>
      </c>
      <c r="CP1013" s="234" cm="1">
        <f t="array" ref="CP1013">$BM1013 * IF($AH1013&lt;=2,
SUMPRODUCT(INDEX($AV$71:$AX$75,,$AI1013), INDEX($AY$71:$BE$75,,$AH1013), 1 / ($BF$71:$BF$75*CO1013 + (1-$BF$71:$BF$75)*CK1013), N($AU$71:$AU$75&gt;$AM1013)),
SUMPRODUCT(INDEX($AV$66:$AX$75,,$AI1013), INDEX($AY$66:$BE$75,,$AH1013), 1 / ($BG$66:$BG$75*CO1013 + (1-$BG$66:$BG$75)*CK1013), N($AU$66:$AU$75&gt;$AM1013))
) / 1000</f>
        <v>0</v>
      </c>
      <c r="CQ1013" s="231">
        <f t="shared" si="972"/>
        <v>25</v>
      </c>
      <c r="CR1013" s="229">
        <f t="shared" si="956"/>
        <v>38</v>
      </c>
      <c r="CS1013" s="234">
        <f t="shared" si="957"/>
        <v>4.0666935483870965</v>
      </c>
      <c r="CT1013" s="234" cm="1">
        <f t="array" ref="CT1013">$BM1013 * IF($AH1013&lt;=2,
SUMPRODUCT(INDEX($AV$66:$AX$70,,$AI1013), INDEX($AY$66:$BE$70,,$AH1013), 1 / ($BF$66:$BF$70*CS1013 + (1-$BF$66:$BF$70)*CO1013), N($AU$66:$AU$70&gt;$AM1013)),
SUMPRODUCT(INDEX($AV$56:$AX$65,,$AI1013), INDEX($AY$56:$BE$65,,$AH1013), 1 / ($BG$56:$BG$65*CS1013 + (1-$BG$56:$BG$65)*CO1013), N($AU$56:$AU$65&gt;$AM1013))
) / 1000</f>
        <v>0</v>
      </c>
      <c r="CU1013" s="231">
        <f t="shared" si="973"/>
        <v>20</v>
      </c>
      <c r="CV1013" s="229">
        <f t="shared" si="958"/>
        <v>33</v>
      </c>
      <c r="CW1013" s="234">
        <f t="shared" si="959"/>
        <v>4.8487499999999999</v>
      </c>
      <c r="CX1013" s="234" cm="1">
        <f t="array" ref="CX1013">$BM1013 * IF($AH1013&lt;=2,
SUMPRODUCT(INDEX($AV$61:$AX$65,,$AI1013), INDEX($AY$61:$BE$65,,$AH1013), 1 / ($BF$61:$BF$65*CW1013 + (1-$BF$61:$BF$65)*CS1013), N($AU$61:$AU$65&gt;$AM1013)),
SUMPRODUCT(INDEX($AV$46:$AX$55,,$AI1013), INDEX($AY$46:$BE$55,,$AH1013), 1 / ($BG$46:$BG$55*CW1013 + (1-$BG$46:$BG$55)*CS1013), N($AU$46:$AU$55&gt;$AM1013))
) / 1000</f>
        <v>0</v>
      </c>
      <c r="CY1013" s="234" cm="1">
        <f t="array" ref="CY1013">$BM1013 * IF($AH1013&lt;=2,
SUMPRODUCT(INDEX($AV$22:$AX$60,,$AI1013), INDEX($AY$22:$BE$60,,$AH1013), 1 / ($BF$22:$BF$60*CW1013), N($AU$22:$AU$60&gt;$AM1013)),
SUMPRODUCT(INDEX($AV$22:$AX$45,,$AI1013), INDEX($AY$22:$BE$45,,$AH1013), 1 / ($BG$22:$BG$45*CW1013), N($AU$22:$AU$45&gt;$AM1013))
) / 1000</f>
        <v>0</v>
      </c>
      <c r="CZ1013" s="229">
        <f t="shared" si="960"/>
        <v>0</v>
      </c>
      <c r="DA1013" s="246"/>
    </row>
    <row r="1014" spans="1:105" s="75" customFormat="1" ht="14.25" customHeight="1" x14ac:dyDescent="0.2">
      <c r="A1014" s="230" t="b">
        <f t="shared" si="965"/>
        <v>0</v>
      </c>
      <c r="B1014" s="253">
        <v>993</v>
      </c>
      <c r="C1014" s="266"/>
      <c r="D1014" s="266"/>
      <c r="E1014" s="254"/>
      <c r="F1014" s="255" t="str">
        <f>IF(ISBLANK(E1014), "", VLOOKUP(E1014, Z!$A$2:$C$4127, 3, FALSE))</f>
        <v/>
      </c>
      <c r="G1014" s="256"/>
      <c r="H1014" s="256"/>
      <c r="I1014" s="256"/>
      <c r="J1014" s="257"/>
      <c r="K1014" s="258"/>
      <c r="L1014" s="267"/>
      <c r="M1014" s="268"/>
      <c r="N1014" s="259" t="str" cm="1">
        <f t="array" ref="N1014">IF($L1014&gt;0, INDEX(Clean,1+AK1014,$D$1), "")</f>
        <v/>
      </c>
      <c r="O1014" s="260"/>
      <c r="P1014" s="260"/>
      <c r="Q1014" s="261"/>
      <c r="R1014" s="264">
        <f t="shared" si="936"/>
        <v>0</v>
      </c>
      <c r="S1014" s="259" t="str" cm="1">
        <f t="array" ref="S1014">IF($L1014&gt;0, INDEX(Clean,1+AL1014,$D$1), "")</f>
        <v/>
      </c>
      <c r="T1014" s="260"/>
      <c r="U1014" s="260"/>
      <c r="V1014" s="261"/>
      <c r="W1014" s="267"/>
      <c r="X1014" s="267"/>
      <c r="Y1014" s="257"/>
      <c r="Z1014" s="264">
        <f t="shared" si="937"/>
        <v>0</v>
      </c>
      <c r="AA1014" s="269"/>
      <c r="AB1014" s="266"/>
      <c r="AC1014" s="254"/>
      <c r="AD1014" s="255" t="str">
        <f>IF(ISBLANK(AC1014), "", VLOOKUP(AC1014, Z!$A$2:$C$4127, 3, FALSE))</f>
        <v/>
      </c>
      <c r="AE1014" s="270"/>
      <c r="AF1014" s="265">
        <f t="shared" si="938"/>
        <v>0</v>
      </c>
      <c r="AG1014" s="246"/>
      <c r="AH1014" s="228">
        <f t="shared" si="961"/>
        <v>1</v>
      </c>
      <c r="AI1014" s="228">
        <f t="shared" si="962"/>
        <v>1</v>
      </c>
      <c r="AJ1014" s="228">
        <f t="shared" si="963"/>
        <v>0</v>
      </c>
      <c r="AK1014" s="228">
        <v>0</v>
      </c>
      <c r="AL1014" s="228">
        <v>0</v>
      </c>
      <c r="AM1014" s="228">
        <f t="shared" si="939"/>
        <v>-100</v>
      </c>
      <c r="AN1014" s="228" cm="1">
        <f t="array" ref="AN1014">IF(ISBLANK(G1014), 1, IFERROR(MATCH(G1014, INDEX(Kat,,1), 0), IFERROR(MATCH(Kat, INDEX(Use,,2), 0), MATCH(Kat, INDEX(Use,,3), 0))))</f>
        <v>1</v>
      </c>
      <c r="AO1014" s="246"/>
      <c r="AP1014" s="228" cm="1">
        <f t="array" ref="AP1014">IF(W1014&gt;0, INDEX(Kat, AN1014,4), 0)</f>
        <v>0</v>
      </c>
      <c r="AQ1014" s="228">
        <f t="shared" si="964"/>
        <v>0</v>
      </c>
      <c r="AR1014" s="228" cm="1">
        <f t="array" ref="AR1014">IF(X1014&gt;0, INDEX(Kat, $AN1014, 4+AQ1014), 0)</f>
        <v>0</v>
      </c>
      <c r="AS1014" s="228" cm="1">
        <f t="array" ref="AS1014">IF(X1014&gt;0, INDEX(Kat, $AN1014, 9+AQ1014), 0)</f>
        <v>0</v>
      </c>
      <c r="AT1014" s="246"/>
      <c r="AU1014" s="262"/>
      <c r="AV1014" s="262"/>
      <c r="AW1014" s="263"/>
      <c r="AX1014" s="263"/>
      <c r="AY1014" s="263"/>
      <c r="AZ1014" s="263"/>
      <c r="BA1014" s="263"/>
      <c r="BB1014" s="263"/>
      <c r="BC1014" s="263"/>
      <c r="BD1014" s="263"/>
      <c r="BE1014" s="263"/>
      <c r="BF1014" s="263"/>
      <c r="BG1014" s="263"/>
      <c r="BH1014" s="246"/>
      <c r="BI1014" s="228" cm="1">
        <f t="array" ref="BI1014">INDEX(Use, $AH1014, 4)</f>
        <v>7</v>
      </c>
      <c r="BJ1014" s="228">
        <f t="shared" si="940"/>
        <v>32</v>
      </c>
      <c r="BK1014" s="228">
        <f t="shared" si="966"/>
        <v>13</v>
      </c>
      <c r="BL1014" s="228">
        <f t="shared" si="967"/>
        <v>0</v>
      </c>
      <c r="BM1014" s="233" cm="1">
        <f t="array" ref="BM1014">L1014/IF($M1014&gt;0, INDEX($AY$22:$BE$76, $M1014+20, $AH1014), 1)</f>
        <v>0</v>
      </c>
      <c r="BN1014" s="229">
        <f t="shared" si="941"/>
        <v>0</v>
      </c>
      <c r="BO1014" s="228">
        <v>35</v>
      </c>
      <c r="BP1014" s="229">
        <f t="shared" si="942"/>
        <v>48</v>
      </c>
      <c r="BQ1014" s="234">
        <f t="shared" si="943"/>
        <v>3.0748170731707316</v>
      </c>
      <c r="BR1014" s="234" cm="1">
        <f t="array" ref="BR1014">$BM1014 * SUMPRODUCT(INDEX($AV$76:$AX$81,,$AI1014),INDEX($AY$76:$BE$81,,$AH1014), N($AU$76:$AU$81&gt;$AM1014)) / BQ1014 / 1000</f>
        <v>0</v>
      </c>
      <c r="BS1014" s="231">
        <f t="shared" si="968"/>
        <v>30</v>
      </c>
      <c r="BT1014" s="229">
        <f t="shared" si="944"/>
        <v>43</v>
      </c>
      <c r="BU1014" s="234">
        <f t="shared" si="945"/>
        <v>3.5018750000000001</v>
      </c>
      <c r="BV1014" s="234" cm="1">
        <f t="array" ref="BV1014">$BM1014 * IF($AH1014&lt;=2,
SUMPRODUCT(INDEX($AV$71:$AX$75,,$AI1014), INDEX($AY$71:$BE$75,,$AH1014), 1 / ($BF$71:$BF$75*BU1014 + (1-$BF$71:$BF$75)*BQ1014), N($AU$71:$AU$75&gt;$AM1014)),
SUMPRODUCT(INDEX($AV$66:$AX$75,,$AI1014), INDEX($AY$66:$BE$75,,$AH1014), 1 / ($BG$66:$BG$75*BU1014 + (1-$BG$66:$BG$75)*BQ1014), N($AU$66:$AU$75&gt;$AM1014))
) / 1000</f>
        <v>0</v>
      </c>
      <c r="BW1014" s="231">
        <f t="shared" si="969"/>
        <v>25</v>
      </c>
      <c r="BX1014" s="229">
        <f t="shared" si="946"/>
        <v>38</v>
      </c>
      <c r="BY1014" s="234">
        <f t="shared" si="947"/>
        <v>4.0666935483870965</v>
      </c>
      <c r="BZ1014" s="234" cm="1">
        <f t="array" ref="BZ1014">$BM1014 * IF($AH1014&lt;=2,
SUMPRODUCT(INDEX($AV$66:$AX$70,,$AI1014), INDEX($AY$66:$BE$70,,$AH1014), 1 / ($BF$66:$BF$70*BY1014 + (1-$BF$66:$BF$70)*BU1014), N($AU$66:$AU$70&gt;$AM1014)),
SUMPRODUCT(INDEX($AV$56:$AX$65,,$AI1014), INDEX($AY$56:$BE$65,,$AH1014), 1 / ($BG$56:$BG$65*BY1014 + (1-$BG$56:$BG$65)*BU1014), N($AU$56:$AU$65&gt;$AM1014))
) / 1000</f>
        <v>0</v>
      </c>
      <c r="CA1014" s="231">
        <f t="shared" si="970"/>
        <v>20</v>
      </c>
      <c r="CB1014" s="229">
        <f t="shared" si="948"/>
        <v>33</v>
      </c>
      <c r="CC1014" s="234">
        <f t="shared" si="949"/>
        <v>4.8487499999999999</v>
      </c>
      <c r="CD1014" s="234" cm="1">
        <f t="array" ref="CD1014">$BM1014 * IF($AH1014&lt;=2,
SUMPRODUCT(INDEX($AV$61:$AX$65,,$AI1014), INDEX($AY$61:$BE$65,,$AH1014), 1 / ($BF$61:$BF$65*CC1014 + (1-$BF$61:$BF$65)*BY1014), N($AU$61:$AU$65&gt;$AM1014)),
SUMPRODUCT(INDEX($AV$46:$AX$55,,$AI1014), INDEX($AY$46:$BE$55,,$AH1014), 1 / ($BG$46:$BG$55*CC1014 + (1-$BG$46:$BG$55)*BY1014), N($AU$46:$AU$55&gt;$AM1014))
) / 1000</f>
        <v>0</v>
      </c>
      <c r="CE1014" s="234" cm="1">
        <f t="array" ref="CE1014">$BM1014 * IF($AH1014&lt;=2,
SUMPRODUCT(INDEX($AV$22:$AX$60,,$AI1014), INDEX($AY$22:$BE$60,,$AH1014), 1 / ($BF$22:$BF$60*CC1014), N($AU$22:$AU$60&gt;$AM1014)),
SUMPRODUCT(INDEX($AV$22:$AX$45,,$AI1014), INDEX($AY$22:$BE$45,,$AH1014), 1 / ($BG$22:$BG$45*CC1014), N($AU$22:$AU$45&gt;$AM1014))
) / 1000</f>
        <v>0</v>
      </c>
      <c r="CF1014" s="229">
        <f t="shared" si="950"/>
        <v>0</v>
      </c>
      <c r="CG1014" s="246"/>
      <c r="CH1014" s="229">
        <f t="shared" si="951"/>
        <v>0</v>
      </c>
      <c r="CI1014" s="228">
        <v>35</v>
      </c>
      <c r="CJ1014" s="229">
        <f t="shared" si="952"/>
        <v>48</v>
      </c>
      <c r="CK1014" s="234">
        <f t="shared" si="953"/>
        <v>3.0748170731707316</v>
      </c>
      <c r="CL1014" s="234" cm="1">
        <f t="array" ref="CL1014">$BM1014 * SUMPRODUCT(INDEX($AV$76:$AX$81,,$AI1014),INDEX($AY$76:$BE$81,,$AH1014), N($AU$76:$AU$81&gt;$AM1014)) / CK1014 / 1000</f>
        <v>0</v>
      </c>
      <c r="CM1014" s="231">
        <f t="shared" si="971"/>
        <v>30</v>
      </c>
      <c r="CN1014" s="229">
        <f t="shared" si="954"/>
        <v>43</v>
      </c>
      <c r="CO1014" s="234">
        <f t="shared" si="955"/>
        <v>3.5018750000000001</v>
      </c>
      <c r="CP1014" s="234" cm="1">
        <f t="array" ref="CP1014">$BM1014 * IF($AH1014&lt;=2,
SUMPRODUCT(INDEX($AV$71:$AX$75,,$AI1014), INDEX($AY$71:$BE$75,,$AH1014), 1 / ($BF$71:$BF$75*CO1014 + (1-$BF$71:$BF$75)*CK1014), N($AU$71:$AU$75&gt;$AM1014)),
SUMPRODUCT(INDEX($AV$66:$AX$75,,$AI1014), INDEX($AY$66:$BE$75,,$AH1014), 1 / ($BG$66:$BG$75*CO1014 + (1-$BG$66:$BG$75)*CK1014), N($AU$66:$AU$75&gt;$AM1014))
) / 1000</f>
        <v>0</v>
      </c>
      <c r="CQ1014" s="231">
        <f t="shared" si="972"/>
        <v>25</v>
      </c>
      <c r="CR1014" s="229">
        <f t="shared" si="956"/>
        <v>38</v>
      </c>
      <c r="CS1014" s="234">
        <f t="shared" si="957"/>
        <v>4.0666935483870965</v>
      </c>
      <c r="CT1014" s="234" cm="1">
        <f t="array" ref="CT1014">$BM1014 * IF($AH1014&lt;=2,
SUMPRODUCT(INDEX($AV$66:$AX$70,,$AI1014), INDEX($AY$66:$BE$70,,$AH1014), 1 / ($BF$66:$BF$70*CS1014 + (1-$BF$66:$BF$70)*CO1014), N($AU$66:$AU$70&gt;$AM1014)),
SUMPRODUCT(INDEX($AV$56:$AX$65,,$AI1014), INDEX($AY$56:$BE$65,,$AH1014), 1 / ($BG$56:$BG$65*CS1014 + (1-$BG$56:$BG$65)*CO1014), N($AU$56:$AU$65&gt;$AM1014))
) / 1000</f>
        <v>0</v>
      </c>
      <c r="CU1014" s="231">
        <f t="shared" si="973"/>
        <v>20</v>
      </c>
      <c r="CV1014" s="229">
        <f t="shared" si="958"/>
        <v>33</v>
      </c>
      <c r="CW1014" s="234">
        <f t="shared" si="959"/>
        <v>4.8487499999999999</v>
      </c>
      <c r="CX1014" s="234" cm="1">
        <f t="array" ref="CX1014">$BM1014 * IF($AH1014&lt;=2,
SUMPRODUCT(INDEX($AV$61:$AX$65,,$AI1014), INDEX($AY$61:$BE$65,,$AH1014), 1 / ($BF$61:$BF$65*CW1014 + (1-$BF$61:$BF$65)*CS1014), N($AU$61:$AU$65&gt;$AM1014)),
SUMPRODUCT(INDEX($AV$46:$AX$55,,$AI1014), INDEX($AY$46:$BE$55,,$AH1014), 1 / ($BG$46:$BG$55*CW1014 + (1-$BG$46:$BG$55)*CS1014), N($AU$46:$AU$55&gt;$AM1014))
) / 1000</f>
        <v>0</v>
      </c>
      <c r="CY1014" s="234" cm="1">
        <f t="array" ref="CY1014">$BM1014 * IF($AH1014&lt;=2,
SUMPRODUCT(INDEX($AV$22:$AX$60,,$AI1014), INDEX($AY$22:$BE$60,,$AH1014), 1 / ($BF$22:$BF$60*CW1014), N($AU$22:$AU$60&gt;$AM1014)),
SUMPRODUCT(INDEX($AV$22:$AX$45,,$AI1014), INDEX($AY$22:$BE$45,,$AH1014), 1 / ($BG$22:$BG$45*CW1014), N($AU$22:$AU$45&gt;$AM1014))
) / 1000</f>
        <v>0</v>
      </c>
      <c r="CZ1014" s="229">
        <f t="shared" si="960"/>
        <v>0</v>
      </c>
      <c r="DA1014" s="246"/>
    </row>
    <row r="1015" spans="1:105" s="75" customFormat="1" ht="14.25" customHeight="1" x14ac:dyDescent="0.2">
      <c r="A1015" s="230" t="b">
        <f t="shared" si="965"/>
        <v>0</v>
      </c>
      <c r="B1015" s="253">
        <v>994</v>
      </c>
      <c r="C1015" s="266"/>
      <c r="D1015" s="266"/>
      <c r="E1015" s="254"/>
      <c r="F1015" s="255" t="str">
        <f>IF(ISBLANK(E1015), "", VLOOKUP(E1015, Z!$A$2:$C$4127, 3, FALSE))</f>
        <v/>
      </c>
      <c r="G1015" s="256"/>
      <c r="H1015" s="256"/>
      <c r="I1015" s="256"/>
      <c r="J1015" s="257"/>
      <c r="K1015" s="258"/>
      <c r="L1015" s="267"/>
      <c r="M1015" s="268"/>
      <c r="N1015" s="259" t="str" cm="1">
        <f t="array" ref="N1015">IF($L1015&gt;0, INDEX(Clean,1+AK1015,$D$1), "")</f>
        <v/>
      </c>
      <c r="O1015" s="260"/>
      <c r="P1015" s="260"/>
      <c r="Q1015" s="261"/>
      <c r="R1015" s="264">
        <f t="shared" si="936"/>
        <v>0</v>
      </c>
      <c r="S1015" s="259" t="str" cm="1">
        <f t="array" ref="S1015">IF($L1015&gt;0, INDEX(Clean,1+AL1015,$D$1), "")</f>
        <v/>
      </c>
      <c r="T1015" s="260"/>
      <c r="U1015" s="260"/>
      <c r="V1015" s="261"/>
      <c r="W1015" s="267"/>
      <c r="X1015" s="267"/>
      <c r="Y1015" s="257"/>
      <c r="Z1015" s="264">
        <f t="shared" si="937"/>
        <v>0</v>
      </c>
      <c r="AA1015" s="269"/>
      <c r="AB1015" s="266"/>
      <c r="AC1015" s="254"/>
      <c r="AD1015" s="255" t="str">
        <f>IF(ISBLANK(AC1015), "", VLOOKUP(AC1015, Z!$A$2:$C$4127, 3, FALSE))</f>
        <v/>
      </c>
      <c r="AE1015" s="270"/>
      <c r="AF1015" s="265">
        <f t="shared" si="938"/>
        <v>0</v>
      </c>
      <c r="AG1015" s="246"/>
      <c r="AH1015" s="228">
        <f t="shared" si="961"/>
        <v>1</v>
      </c>
      <c r="AI1015" s="228">
        <f t="shared" si="962"/>
        <v>1</v>
      </c>
      <c r="AJ1015" s="228">
        <f t="shared" si="963"/>
        <v>0</v>
      </c>
      <c r="AK1015" s="228">
        <v>0</v>
      </c>
      <c r="AL1015" s="228">
        <v>0</v>
      </c>
      <c r="AM1015" s="228">
        <f t="shared" si="939"/>
        <v>-100</v>
      </c>
      <c r="AN1015" s="228" cm="1">
        <f t="array" ref="AN1015">IF(ISBLANK(G1015), 1, IFERROR(MATCH(G1015, INDEX(Kat,,1), 0), IFERROR(MATCH(Kat, INDEX(Use,,2), 0), MATCH(Kat, INDEX(Use,,3), 0))))</f>
        <v>1</v>
      </c>
      <c r="AO1015" s="246"/>
      <c r="AP1015" s="228" cm="1">
        <f t="array" ref="AP1015">IF(W1015&gt;0, INDEX(Kat, AN1015,4), 0)</f>
        <v>0</v>
      </c>
      <c r="AQ1015" s="228">
        <f t="shared" si="964"/>
        <v>0</v>
      </c>
      <c r="AR1015" s="228" cm="1">
        <f t="array" ref="AR1015">IF(X1015&gt;0, INDEX(Kat, $AN1015, 4+AQ1015), 0)</f>
        <v>0</v>
      </c>
      <c r="AS1015" s="228" cm="1">
        <f t="array" ref="AS1015">IF(X1015&gt;0, INDEX(Kat, $AN1015, 9+AQ1015), 0)</f>
        <v>0</v>
      </c>
      <c r="AT1015" s="246"/>
      <c r="AU1015" s="262"/>
      <c r="AV1015" s="262"/>
      <c r="AW1015" s="263"/>
      <c r="AX1015" s="263"/>
      <c r="AY1015" s="263"/>
      <c r="AZ1015" s="263"/>
      <c r="BA1015" s="263"/>
      <c r="BB1015" s="263"/>
      <c r="BC1015" s="263"/>
      <c r="BD1015" s="263"/>
      <c r="BE1015" s="263"/>
      <c r="BF1015" s="263"/>
      <c r="BG1015" s="263"/>
      <c r="BH1015" s="246"/>
      <c r="BI1015" s="228" cm="1">
        <f t="array" ref="BI1015">INDEX(Use, $AH1015, 4)</f>
        <v>7</v>
      </c>
      <c r="BJ1015" s="228">
        <f t="shared" si="940"/>
        <v>32</v>
      </c>
      <c r="BK1015" s="228">
        <f t="shared" si="966"/>
        <v>13</v>
      </c>
      <c r="BL1015" s="228">
        <f t="shared" si="967"/>
        <v>0</v>
      </c>
      <c r="BM1015" s="233" cm="1">
        <f t="array" ref="BM1015">L1015/IF($M1015&gt;0, INDEX($AY$22:$BE$76, $M1015+20, $AH1015), 1)</f>
        <v>0</v>
      </c>
      <c r="BN1015" s="229">
        <f t="shared" si="941"/>
        <v>0</v>
      </c>
      <c r="BO1015" s="228">
        <v>35</v>
      </c>
      <c r="BP1015" s="229">
        <f t="shared" si="942"/>
        <v>48</v>
      </c>
      <c r="BQ1015" s="234">
        <f t="shared" si="943"/>
        <v>3.0748170731707316</v>
      </c>
      <c r="BR1015" s="234" cm="1">
        <f t="array" ref="BR1015">$BM1015 * SUMPRODUCT(INDEX($AV$76:$AX$81,,$AI1015),INDEX($AY$76:$BE$81,,$AH1015), N($AU$76:$AU$81&gt;$AM1015)) / BQ1015 / 1000</f>
        <v>0</v>
      </c>
      <c r="BS1015" s="231">
        <f t="shared" si="968"/>
        <v>30</v>
      </c>
      <c r="BT1015" s="229">
        <f t="shared" si="944"/>
        <v>43</v>
      </c>
      <c r="BU1015" s="234">
        <f t="shared" si="945"/>
        <v>3.5018750000000001</v>
      </c>
      <c r="BV1015" s="234" cm="1">
        <f t="array" ref="BV1015">$BM1015 * IF($AH1015&lt;=2,
SUMPRODUCT(INDEX($AV$71:$AX$75,,$AI1015), INDEX($AY$71:$BE$75,,$AH1015), 1 / ($BF$71:$BF$75*BU1015 + (1-$BF$71:$BF$75)*BQ1015), N($AU$71:$AU$75&gt;$AM1015)),
SUMPRODUCT(INDEX($AV$66:$AX$75,,$AI1015), INDEX($AY$66:$BE$75,,$AH1015), 1 / ($BG$66:$BG$75*BU1015 + (1-$BG$66:$BG$75)*BQ1015), N($AU$66:$AU$75&gt;$AM1015))
) / 1000</f>
        <v>0</v>
      </c>
      <c r="BW1015" s="231">
        <f t="shared" si="969"/>
        <v>25</v>
      </c>
      <c r="BX1015" s="229">
        <f t="shared" si="946"/>
        <v>38</v>
      </c>
      <c r="BY1015" s="234">
        <f t="shared" si="947"/>
        <v>4.0666935483870965</v>
      </c>
      <c r="BZ1015" s="234" cm="1">
        <f t="array" ref="BZ1015">$BM1015 * IF($AH1015&lt;=2,
SUMPRODUCT(INDEX($AV$66:$AX$70,,$AI1015), INDEX($AY$66:$BE$70,,$AH1015), 1 / ($BF$66:$BF$70*BY1015 + (1-$BF$66:$BF$70)*BU1015), N($AU$66:$AU$70&gt;$AM1015)),
SUMPRODUCT(INDEX($AV$56:$AX$65,,$AI1015), INDEX($AY$56:$BE$65,,$AH1015), 1 / ($BG$56:$BG$65*BY1015 + (1-$BG$56:$BG$65)*BU1015), N($AU$56:$AU$65&gt;$AM1015))
) / 1000</f>
        <v>0</v>
      </c>
      <c r="CA1015" s="231">
        <f t="shared" si="970"/>
        <v>20</v>
      </c>
      <c r="CB1015" s="229">
        <f t="shared" si="948"/>
        <v>33</v>
      </c>
      <c r="CC1015" s="234">
        <f t="shared" si="949"/>
        <v>4.8487499999999999</v>
      </c>
      <c r="CD1015" s="234" cm="1">
        <f t="array" ref="CD1015">$BM1015 * IF($AH1015&lt;=2,
SUMPRODUCT(INDEX($AV$61:$AX$65,,$AI1015), INDEX($AY$61:$BE$65,,$AH1015), 1 / ($BF$61:$BF$65*CC1015 + (1-$BF$61:$BF$65)*BY1015), N($AU$61:$AU$65&gt;$AM1015)),
SUMPRODUCT(INDEX($AV$46:$AX$55,,$AI1015), INDEX($AY$46:$BE$55,,$AH1015), 1 / ($BG$46:$BG$55*CC1015 + (1-$BG$46:$BG$55)*BY1015), N($AU$46:$AU$55&gt;$AM1015))
) / 1000</f>
        <v>0</v>
      </c>
      <c r="CE1015" s="234" cm="1">
        <f t="array" ref="CE1015">$BM1015 * IF($AH1015&lt;=2,
SUMPRODUCT(INDEX($AV$22:$AX$60,,$AI1015), INDEX($AY$22:$BE$60,,$AH1015), 1 / ($BF$22:$BF$60*CC1015), N($AU$22:$AU$60&gt;$AM1015)),
SUMPRODUCT(INDEX($AV$22:$AX$45,,$AI1015), INDEX($AY$22:$BE$45,,$AH1015), 1 / ($BG$22:$BG$45*CC1015), N($AU$22:$AU$45&gt;$AM1015))
) / 1000</f>
        <v>0</v>
      </c>
      <c r="CF1015" s="229">
        <f t="shared" si="950"/>
        <v>0</v>
      </c>
      <c r="CG1015" s="246"/>
      <c r="CH1015" s="229">
        <f t="shared" si="951"/>
        <v>0</v>
      </c>
      <c r="CI1015" s="228">
        <v>35</v>
      </c>
      <c r="CJ1015" s="229">
        <f t="shared" si="952"/>
        <v>48</v>
      </c>
      <c r="CK1015" s="234">
        <f t="shared" si="953"/>
        <v>3.0748170731707316</v>
      </c>
      <c r="CL1015" s="234" cm="1">
        <f t="array" ref="CL1015">$BM1015 * SUMPRODUCT(INDEX($AV$76:$AX$81,,$AI1015),INDEX($AY$76:$BE$81,,$AH1015), N($AU$76:$AU$81&gt;$AM1015)) / CK1015 / 1000</f>
        <v>0</v>
      </c>
      <c r="CM1015" s="231">
        <f t="shared" si="971"/>
        <v>30</v>
      </c>
      <c r="CN1015" s="229">
        <f t="shared" si="954"/>
        <v>43</v>
      </c>
      <c r="CO1015" s="234">
        <f t="shared" si="955"/>
        <v>3.5018750000000001</v>
      </c>
      <c r="CP1015" s="234" cm="1">
        <f t="array" ref="CP1015">$BM1015 * IF($AH1015&lt;=2,
SUMPRODUCT(INDEX($AV$71:$AX$75,,$AI1015), INDEX($AY$71:$BE$75,,$AH1015), 1 / ($BF$71:$BF$75*CO1015 + (1-$BF$71:$BF$75)*CK1015), N($AU$71:$AU$75&gt;$AM1015)),
SUMPRODUCT(INDEX($AV$66:$AX$75,,$AI1015), INDEX($AY$66:$BE$75,,$AH1015), 1 / ($BG$66:$BG$75*CO1015 + (1-$BG$66:$BG$75)*CK1015), N($AU$66:$AU$75&gt;$AM1015))
) / 1000</f>
        <v>0</v>
      </c>
      <c r="CQ1015" s="231">
        <f t="shared" si="972"/>
        <v>25</v>
      </c>
      <c r="CR1015" s="229">
        <f t="shared" si="956"/>
        <v>38</v>
      </c>
      <c r="CS1015" s="234">
        <f t="shared" si="957"/>
        <v>4.0666935483870965</v>
      </c>
      <c r="CT1015" s="234" cm="1">
        <f t="array" ref="CT1015">$BM1015 * IF($AH1015&lt;=2,
SUMPRODUCT(INDEX($AV$66:$AX$70,,$AI1015), INDEX($AY$66:$BE$70,,$AH1015), 1 / ($BF$66:$BF$70*CS1015 + (1-$BF$66:$BF$70)*CO1015), N($AU$66:$AU$70&gt;$AM1015)),
SUMPRODUCT(INDEX($AV$56:$AX$65,,$AI1015), INDEX($AY$56:$BE$65,,$AH1015), 1 / ($BG$56:$BG$65*CS1015 + (1-$BG$56:$BG$65)*CO1015), N($AU$56:$AU$65&gt;$AM1015))
) / 1000</f>
        <v>0</v>
      </c>
      <c r="CU1015" s="231">
        <f t="shared" si="973"/>
        <v>20</v>
      </c>
      <c r="CV1015" s="229">
        <f t="shared" si="958"/>
        <v>33</v>
      </c>
      <c r="CW1015" s="234">
        <f t="shared" si="959"/>
        <v>4.8487499999999999</v>
      </c>
      <c r="CX1015" s="234" cm="1">
        <f t="array" ref="CX1015">$BM1015 * IF($AH1015&lt;=2,
SUMPRODUCT(INDEX($AV$61:$AX$65,,$AI1015), INDEX($AY$61:$BE$65,,$AH1015), 1 / ($BF$61:$BF$65*CW1015 + (1-$BF$61:$BF$65)*CS1015), N($AU$61:$AU$65&gt;$AM1015)),
SUMPRODUCT(INDEX($AV$46:$AX$55,,$AI1015), INDEX($AY$46:$BE$55,,$AH1015), 1 / ($BG$46:$BG$55*CW1015 + (1-$BG$46:$BG$55)*CS1015), N($AU$46:$AU$55&gt;$AM1015))
) / 1000</f>
        <v>0</v>
      </c>
      <c r="CY1015" s="234" cm="1">
        <f t="array" ref="CY1015">$BM1015 * IF($AH1015&lt;=2,
SUMPRODUCT(INDEX($AV$22:$AX$60,,$AI1015), INDEX($AY$22:$BE$60,,$AH1015), 1 / ($BF$22:$BF$60*CW1015), N($AU$22:$AU$60&gt;$AM1015)),
SUMPRODUCT(INDEX($AV$22:$AX$45,,$AI1015), INDEX($AY$22:$BE$45,,$AH1015), 1 / ($BG$22:$BG$45*CW1015), N($AU$22:$AU$45&gt;$AM1015))
) / 1000</f>
        <v>0</v>
      </c>
      <c r="CZ1015" s="229">
        <f t="shared" si="960"/>
        <v>0</v>
      </c>
      <c r="DA1015" s="246"/>
    </row>
    <row r="1016" spans="1:105" s="75" customFormat="1" ht="14.25" customHeight="1" x14ac:dyDescent="0.2">
      <c r="A1016" s="230" t="b">
        <f t="shared" si="965"/>
        <v>0</v>
      </c>
      <c r="B1016" s="253">
        <v>995</v>
      </c>
      <c r="C1016" s="266"/>
      <c r="D1016" s="266"/>
      <c r="E1016" s="254"/>
      <c r="F1016" s="255" t="str">
        <f>IF(ISBLANK(E1016), "", VLOOKUP(E1016, Z!$A$2:$C$4127, 3, FALSE))</f>
        <v/>
      </c>
      <c r="G1016" s="256"/>
      <c r="H1016" s="256"/>
      <c r="I1016" s="256"/>
      <c r="J1016" s="257"/>
      <c r="K1016" s="258"/>
      <c r="L1016" s="267"/>
      <c r="M1016" s="268"/>
      <c r="N1016" s="259" t="str" cm="1">
        <f t="array" ref="N1016">IF($L1016&gt;0, INDEX(Clean,1+AK1016,$D$1), "")</f>
        <v/>
      </c>
      <c r="O1016" s="260"/>
      <c r="P1016" s="260"/>
      <c r="Q1016" s="261"/>
      <c r="R1016" s="264">
        <f t="shared" si="936"/>
        <v>0</v>
      </c>
      <c r="S1016" s="259" t="str" cm="1">
        <f t="array" ref="S1016">IF($L1016&gt;0, INDEX(Clean,1+AL1016,$D$1), "")</f>
        <v/>
      </c>
      <c r="T1016" s="260"/>
      <c r="U1016" s="260"/>
      <c r="V1016" s="261"/>
      <c r="W1016" s="267"/>
      <c r="X1016" s="267"/>
      <c r="Y1016" s="257"/>
      <c r="Z1016" s="264">
        <f t="shared" si="937"/>
        <v>0</v>
      </c>
      <c r="AA1016" s="269"/>
      <c r="AB1016" s="266"/>
      <c r="AC1016" s="254"/>
      <c r="AD1016" s="255" t="str">
        <f>IF(ISBLANK(AC1016), "", VLOOKUP(AC1016, Z!$A$2:$C$4127, 3, FALSE))</f>
        <v/>
      </c>
      <c r="AE1016" s="270"/>
      <c r="AF1016" s="265">
        <f t="shared" si="938"/>
        <v>0</v>
      </c>
      <c r="AG1016" s="246"/>
      <c r="AH1016" s="228">
        <f t="shared" si="961"/>
        <v>1</v>
      </c>
      <c r="AI1016" s="228">
        <f t="shared" si="962"/>
        <v>1</v>
      </c>
      <c r="AJ1016" s="228">
        <f t="shared" si="963"/>
        <v>0</v>
      </c>
      <c r="AK1016" s="228">
        <v>0</v>
      </c>
      <c r="AL1016" s="228">
        <v>0</v>
      </c>
      <c r="AM1016" s="228">
        <f t="shared" si="939"/>
        <v>-100</v>
      </c>
      <c r="AN1016" s="228" cm="1">
        <f t="array" ref="AN1016">IF(ISBLANK(G1016), 1, IFERROR(MATCH(G1016, INDEX(Kat,,1), 0), IFERROR(MATCH(Kat, INDEX(Use,,2), 0), MATCH(Kat, INDEX(Use,,3), 0))))</f>
        <v>1</v>
      </c>
      <c r="AO1016" s="246"/>
      <c r="AP1016" s="228" cm="1">
        <f t="array" ref="AP1016">IF(W1016&gt;0, INDEX(Kat, AN1016,4), 0)</f>
        <v>0</v>
      </c>
      <c r="AQ1016" s="228">
        <f t="shared" si="964"/>
        <v>0</v>
      </c>
      <c r="AR1016" s="228" cm="1">
        <f t="array" ref="AR1016">IF(X1016&gt;0, INDEX(Kat, $AN1016, 4+AQ1016), 0)</f>
        <v>0</v>
      </c>
      <c r="AS1016" s="228" cm="1">
        <f t="array" ref="AS1016">IF(X1016&gt;0, INDEX(Kat, $AN1016, 9+AQ1016), 0)</f>
        <v>0</v>
      </c>
      <c r="AT1016" s="246"/>
      <c r="AU1016" s="262"/>
      <c r="AV1016" s="262"/>
      <c r="AW1016" s="263"/>
      <c r="AX1016" s="263"/>
      <c r="AY1016" s="263"/>
      <c r="AZ1016" s="263"/>
      <c r="BA1016" s="263"/>
      <c r="BB1016" s="263"/>
      <c r="BC1016" s="263"/>
      <c r="BD1016" s="263"/>
      <c r="BE1016" s="263"/>
      <c r="BF1016" s="263"/>
      <c r="BG1016" s="263"/>
      <c r="BH1016" s="246"/>
      <c r="BI1016" s="228" cm="1">
        <f t="array" ref="BI1016">INDEX(Use, $AH1016, 4)</f>
        <v>7</v>
      </c>
      <c r="BJ1016" s="228">
        <f t="shared" si="940"/>
        <v>32</v>
      </c>
      <c r="BK1016" s="228">
        <f t="shared" si="966"/>
        <v>13</v>
      </c>
      <c r="BL1016" s="228">
        <f t="shared" si="967"/>
        <v>0</v>
      </c>
      <c r="BM1016" s="233" cm="1">
        <f t="array" ref="BM1016">L1016/IF($M1016&gt;0, INDEX($AY$22:$BE$76, $M1016+20, $AH1016), 1)</f>
        <v>0</v>
      </c>
      <c r="BN1016" s="229">
        <f t="shared" si="941"/>
        <v>0</v>
      </c>
      <c r="BO1016" s="228">
        <v>35</v>
      </c>
      <c r="BP1016" s="229">
        <f t="shared" si="942"/>
        <v>48</v>
      </c>
      <c r="BQ1016" s="234">
        <f t="shared" si="943"/>
        <v>3.0748170731707316</v>
      </c>
      <c r="BR1016" s="234" cm="1">
        <f t="array" ref="BR1016">$BM1016 * SUMPRODUCT(INDEX($AV$76:$AX$81,,$AI1016),INDEX($AY$76:$BE$81,,$AH1016), N($AU$76:$AU$81&gt;$AM1016)) / BQ1016 / 1000</f>
        <v>0</v>
      </c>
      <c r="BS1016" s="231">
        <f t="shared" si="968"/>
        <v>30</v>
      </c>
      <c r="BT1016" s="229">
        <f t="shared" si="944"/>
        <v>43</v>
      </c>
      <c r="BU1016" s="234">
        <f t="shared" si="945"/>
        <v>3.5018750000000001</v>
      </c>
      <c r="BV1016" s="234" cm="1">
        <f t="array" ref="BV1016">$BM1016 * IF($AH1016&lt;=2,
SUMPRODUCT(INDEX($AV$71:$AX$75,,$AI1016), INDEX($AY$71:$BE$75,,$AH1016), 1 / ($BF$71:$BF$75*BU1016 + (1-$BF$71:$BF$75)*BQ1016), N($AU$71:$AU$75&gt;$AM1016)),
SUMPRODUCT(INDEX($AV$66:$AX$75,,$AI1016), INDEX($AY$66:$BE$75,,$AH1016), 1 / ($BG$66:$BG$75*BU1016 + (1-$BG$66:$BG$75)*BQ1016), N($AU$66:$AU$75&gt;$AM1016))
) / 1000</f>
        <v>0</v>
      </c>
      <c r="BW1016" s="231">
        <f t="shared" si="969"/>
        <v>25</v>
      </c>
      <c r="BX1016" s="229">
        <f t="shared" si="946"/>
        <v>38</v>
      </c>
      <c r="BY1016" s="234">
        <f t="shared" si="947"/>
        <v>4.0666935483870965</v>
      </c>
      <c r="BZ1016" s="234" cm="1">
        <f t="array" ref="BZ1016">$BM1016 * IF($AH1016&lt;=2,
SUMPRODUCT(INDEX($AV$66:$AX$70,,$AI1016), INDEX($AY$66:$BE$70,,$AH1016), 1 / ($BF$66:$BF$70*BY1016 + (1-$BF$66:$BF$70)*BU1016), N($AU$66:$AU$70&gt;$AM1016)),
SUMPRODUCT(INDEX($AV$56:$AX$65,,$AI1016), INDEX($AY$56:$BE$65,,$AH1016), 1 / ($BG$56:$BG$65*BY1016 + (1-$BG$56:$BG$65)*BU1016), N($AU$56:$AU$65&gt;$AM1016))
) / 1000</f>
        <v>0</v>
      </c>
      <c r="CA1016" s="231">
        <f t="shared" si="970"/>
        <v>20</v>
      </c>
      <c r="CB1016" s="229">
        <f t="shared" si="948"/>
        <v>33</v>
      </c>
      <c r="CC1016" s="234">
        <f t="shared" si="949"/>
        <v>4.8487499999999999</v>
      </c>
      <c r="CD1016" s="234" cm="1">
        <f t="array" ref="CD1016">$BM1016 * IF($AH1016&lt;=2,
SUMPRODUCT(INDEX($AV$61:$AX$65,,$AI1016), INDEX($AY$61:$BE$65,,$AH1016), 1 / ($BF$61:$BF$65*CC1016 + (1-$BF$61:$BF$65)*BY1016), N($AU$61:$AU$65&gt;$AM1016)),
SUMPRODUCT(INDEX($AV$46:$AX$55,,$AI1016), INDEX($AY$46:$BE$55,,$AH1016), 1 / ($BG$46:$BG$55*CC1016 + (1-$BG$46:$BG$55)*BY1016), N($AU$46:$AU$55&gt;$AM1016))
) / 1000</f>
        <v>0</v>
      </c>
      <c r="CE1016" s="234" cm="1">
        <f t="array" ref="CE1016">$BM1016 * IF($AH1016&lt;=2,
SUMPRODUCT(INDEX($AV$22:$AX$60,,$AI1016), INDEX($AY$22:$BE$60,,$AH1016), 1 / ($BF$22:$BF$60*CC1016), N($AU$22:$AU$60&gt;$AM1016)),
SUMPRODUCT(INDEX($AV$22:$AX$45,,$AI1016), INDEX($AY$22:$BE$45,,$AH1016), 1 / ($BG$22:$BG$45*CC1016), N($AU$22:$AU$45&gt;$AM1016))
) / 1000</f>
        <v>0</v>
      </c>
      <c r="CF1016" s="229">
        <f t="shared" si="950"/>
        <v>0</v>
      </c>
      <c r="CG1016" s="246"/>
      <c r="CH1016" s="229">
        <f t="shared" si="951"/>
        <v>0</v>
      </c>
      <c r="CI1016" s="228">
        <v>35</v>
      </c>
      <c r="CJ1016" s="229">
        <f t="shared" si="952"/>
        <v>48</v>
      </c>
      <c r="CK1016" s="234">
        <f t="shared" si="953"/>
        <v>3.0748170731707316</v>
      </c>
      <c r="CL1016" s="234" cm="1">
        <f t="array" ref="CL1016">$BM1016 * SUMPRODUCT(INDEX($AV$76:$AX$81,,$AI1016),INDEX($AY$76:$BE$81,,$AH1016), N($AU$76:$AU$81&gt;$AM1016)) / CK1016 / 1000</f>
        <v>0</v>
      </c>
      <c r="CM1016" s="231">
        <f t="shared" si="971"/>
        <v>30</v>
      </c>
      <c r="CN1016" s="229">
        <f t="shared" si="954"/>
        <v>43</v>
      </c>
      <c r="CO1016" s="234">
        <f t="shared" si="955"/>
        <v>3.5018750000000001</v>
      </c>
      <c r="CP1016" s="234" cm="1">
        <f t="array" ref="CP1016">$BM1016 * IF($AH1016&lt;=2,
SUMPRODUCT(INDEX($AV$71:$AX$75,,$AI1016), INDEX($AY$71:$BE$75,,$AH1016), 1 / ($BF$71:$BF$75*CO1016 + (1-$BF$71:$BF$75)*CK1016), N($AU$71:$AU$75&gt;$AM1016)),
SUMPRODUCT(INDEX($AV$66:$AX$75,,$AI1016), INDEX($AY$66:$BE$75,,$AH1016), 1 / ($BG$66:$BG$75*CO1016 + (1-$BG$66:$BG$75)*CK1016), N($AU$66:$AU$75&gt;$AM1016))
) / 1000</f>
        <v>0</v>
      </c>
      <c r="CQ1016" s="231">
        <f t="shared" si="972"/>
        <v>25</v>
      </c>
      <c r="CR1016" s="229">
        <f t="shared" si="956"/>
        <v>38</v>
      </c>
      <c r="CS1016" s="234">
        <f t="shared" si="957"/>
        <v>4.0666935483870965</v>
      </c>
      <c r="CT1016" s="234" cm="1">
        <f t="array" ref="CT1016">$BM1016 * IF($AH1016&lt;=2,
SUMPRODUCT(INDEX($AV$66:$AX$70,,$AI1016), INDEX($AY$66:$BE$70,,$AH1016), 1 / ($BF$66:$BF$70*CS1016 + (1-$BF$66:$BF$70)*CO1016), N($AU$66:$AU$70&gt;$AM1016)),
SUMPRODUCT(INDEX($AV$56:$AX$65,,$AI1016), INDEX($AY$56:$BE$65,,$AH1016), 1 / ($BG$56:$BG$65*CS1016 + (1-$BG$56:$BG$65)*CO1016), N($AU$56:$AU$65&gt;$AM1016))
) / 1000</f>
        <v>0</v>
      </c>
      <c r="CU1016" s="231">
        <f t="shared" si="973"/>
        <v>20</v>
      </c>
      <c r="CV1016" s="229">
        <f t="shared" si="958"/>
        <v>33</v>
      </c>
      <c r="CW1016" s="234">
        <f t="shared" si="959"/>
        <v>4.8487499999999999</v>
      </c>
      <c r="CX1016" s="234" cm="1">
        <f t="array" ref="CX1016">$BM1016 * IF($AH1016&lt;=2,
SUMPRODUCT(INDEX($AV$61:$AX$65,,$AI1016), INDEX($AY$61:$BE$65,,$AH1016), 1 / ($BF$61:$BF$65*CW1016 + (1-$BF$61:$BF$65)*CS1016), N($AU$61:$AU$65&gt;$AM1016)),
SUMPRODUCT(INDEX($AV$46:$AX$55,,$AI1016), INDEX($AY$46:$BE$55,,$AH1016), 1 / ($BG$46:$BG$55*CW1016 + (1-$BG$46:$BG$55)*CS1016), N($AU$46:$AU$55&gt;$AM1016))
) / 1000</f>
        <v>0</v>
      </c>
      <c r="CY1016" s="234" cm="1">
        <f t="array" ref="CY1016">$BM1016 * IF($AH1016&lt;=2,
SUMPRODUCT(INDEX($AV$22:$AX$60,,$AI1016), INDEX($AY$22:$BE$60,,$AH1016), 1 / ($BF$22:$BF$60*CW1016), N($AU$22:$AU$60&gt;$AM1016)),
SUMPRODUCT(INDEX($AV$22:$AX$45,,$AI1016), INDEX($AY$22:$BE$45,,$AH1016), 1 / ($BG$22:$BG$45*CW1016), N($AU$22:$AU$45&gt;$AM1016))
) / 1000</f>
        <v>0</v>
      </c>
      <c r="CZ1016" s="229">
        <f t="shared" si="960"/>
        <v>0</v>
      </c>
      <c r="DA1016" s="246"/>
    </row>
    <row r="1017" spans="1:105" s="75" customFormat="1" ht="14.25" customHeight="1" x14ac:dyDescent="0.2">
      <c r="A1017" s="230" t="b">
        <f t="shared" si="965"/>
        <v>0</v>
      </c>
      <c r="B1017" s="253">
        <v>996</v>
      </c>
      <c r="C1017" s="266"/>
      <c r="D1017" s="266"/>
      <c r="E1017" s="254"/>
      <c r="F1017" s="255" t="str">
        <f>IF(ISBLANK(E1017), "", VLOOKUP(E1017, Z!$A$2:$C$4127, 3, FALSE))</f>
        <v/>
      </c>
      <c r="G1017" s="256"/>
      <c r="H1017" s="256"/>
      <c r="I1017" s="256"/>
      <c r="J1017" s="257"/>
      <c r="K1017" s="258"/>
      <c r="L1017" s="267"/>
      <c r="M1017" s="268"/>
      <c r="N1017" s="259" t="str" cm="1">
        <f t="array" ref="N1017">IF($L1017&gt;0, INDEX(Clean,1+AK1017,$D$1), "")</f>
        <v/>
      </c>
      <c r="O1017" s="260"/>
      <c r="P1017" s="260"/>
      <c r="Q1017" s="261"/>
      <c r="R1017" s="264">
        <f t="shared" si="936"/>
        <v>0</v>
      </c>
      <c r="S1017" s="259" t="str" cm="1">
        <f t="array" ref="S1017">IF($L1017&gt;0, INDEX(Clean,1+AL1017,$D$1), "")</f>
        <v/>
      </c>
      <c r="T1017" s="260"/>
      <c r="U1017" s="260"/>
      <c r="V1017" s="261"/>
      <c r="W1017" s="267"/>
      <c r="X1017" s="267"/>
      <c r="Y1017" s="257"/>
      <c r="Z1017" s="264">
        <f t="shared" si="937"/>
        <v>0</v>
      </c>
      <c r="AA1017" s="269"/>
      <c r="AB1017" s="266"/>
      <c r="AC1017" s="254"/>
      <c r="AD1017" s="255" t="str">
        <f>IF(ISBLANK(AC1017), "", VLOOKUP(AC1017, Z!$A$2:$C$4127, 3, FALSE))</f>
        <v/>
      </c>
      <c r="AE1017" s="270"/>
      <c r="AF1017" s="265">
        <f t="shared" si="938"/>
        <v>0</v>
      </c>
      <c r="AG1017" s="246"/>
      <c r="AH1017" s="228">
        <f t="shared" si="961"/>
        <v>1</v>
      </c>
      <c r="AI1017" s="228">
        <f t="shared" si="962"/>
        <v>1</v>
      </c>
      <c r="AJ1017" s="228">
        <f t="shared" si="963"/>
        <v>0</v>
      </c>
      <c r="AK1017" s="228">
        <v>0</v>
      </c>
      <c r="AL1017" s="228">
        <v>0</v>
      </c>
      <c r="AM1017" s="228">
        <f t="shared" si="939"/>
        <v>-100</v>
      </c>
      <c r="AN1017" s="228" cm="1">
        <f t="array" ref="AN1017">IF(ISBLANK(G1017), 1, IFERROR(MATCH(G1017, INDEX(Kat,,1), 0), IFERROR(MATCH(Kat, INDEX(Use,,2), 0), MATCH(Kat, INDEX(Use,,3), 0))))</f>
        <v>1</v>
      </c>
      <c r="AO1017" s="246"/>
      <c r="AP1017" s="228" cm="1">
        <f t="array" ref="AP1017">IF(W1017&gt;0, INDEX(Kat, AN1017,4), 0)</f>
        <v>0</v>
      </c>
      <c r="AQ1017" s="228">
        <f t="shared" si="964"/>
        <v>0</v>
      </c>
      <c r="AR1017" s="228" cm="1">
        <f t="array" ref="AR1017">IF(X1017&gt;0, INDEX(Kat, $AN1017, 4+AQ1017), 0)</f>
        <v>0</v>
      </c>
      <c r="AS1017" s="228" cm="1">
        <f t="array" ref="AS1017">IF(X1017&gt;0, INDEX(Kat, $AN1017, 9+AQ1017), 0)</f>
        <v>0</v>
      </c>
      <c r="AT1017" s="246"/>
      <c r="AU1017" s="262"/>
      <c r="AV1017" s="262"/>
      <c r="AW1017" s="263"/>
      <c r="AX1017" s="263"/>
      <c r="AY1017" s="263"/>
      <c r="AZ1017" s="263"/>
      <c r="BA1017" s="263"/>
      <c r="BB1017" s="263"/>
      <c r="BC1017" s="263"/>
      <c r="BD1017" s="263"/>
      <c r="BE1017" s="263"/>
      <c r="BF1017" s="263"/>
      <c r="BG1017" s="263"/>
      <c r="BH1017" s="246"/>
      <c r="BI1017" s="228" cm="1">
        <f t="array" ref="BI1017">INDEX(Use, $AH1017, 4)</f>
        <v>7</v>
      </c>
      <c r="BJ1017" s="228">
        <f t="shared" si="940"/>
        <v>32</v>
      </c>
      <c r="BK1017" s="228">
        <f t="shared" si="966"/>
        <v>13</v>
      </c>
      <c r="BL1017" s="228">
        <f t="shared" si="967"/>
        <v>0</v>
      </c>
      <c r="BM1017" s="233" cm="1">
        <f t="array" ref="BM1017">L1017/IF($M1017&gt;0, INDEX($AY$22:$BE$76, $M1017+20, $AH1017), 1)</f>
        <v>0</v>
      </c>
      <c r="BN1017" s="229">
        <f t="shared" si="941"/>
        <v>0</v>
      </c>
      <c r="BO1017" s="228">
        <v>35</v>
      </c>
      <c r="BP1017" s="229">
        <f t="shared" si="942"/>
        <v>48</v>
      </c>
      <c r="BQ1017" s="234">
        <f t="shared" si="943"/>
        <v>3.0748170731707316</v>
      </c>
      <c r="BR1017" s="234" cm="1">
        <f t="array" ref="BR1017">$BM1017 * SUMPRODUCT(INDEX($AV$76:$AX$81,,$AI1017),INDEX($AY$76:$BE$81,,$AH1017), N($AU$76:$AU$81&gt;$AM1017)) / BQ1017 / 1000</f>
        <v>0</v>
      </c>
      <c r="BS1017" s="231">
        <f t="shared" si="968"/>
        <v>30</v>
      </c>
      <c r="BT1017" s="229">
        <f t="shared" si="944"/>
        <v>43</v>
      </c>
      <c r="BU1017" s="234">
        <f t="shared" si="945"/>
        <v>3.5018750000000001</v>
      </c>
      <c r="BV1017" s="234" cm="1">
        <f t="array" ref="BV1017">$BM1017 * IF($AH1017&lt;=2,
SUMPRODUCT(INDEX($AV$71:$AX$75,,$AI1017), INDEX($AY$71:$BE$75,,$AH1017), 1 / ($BF$71:$BF$75*BU1017 + (1-$BF$71:$BF$75)*BQ1017), N($AU$71:$AU$75&gt;$AM1017)),
SUMPRODUCT(INDEX($AV$66:$AX$75,,$AI1017), INDEX($AY$66:$BE$75,,$AH1017), 1 / ($BG$66:$BG$75*BU1017 + (1-$BG$66:$BG$75)*BQ1017), N($AU$66:$AU$75&gt;$AM1017))
) / 1000</f>
        <v>0</v>
      </c>
      <c r="BW1017" s="231">
        <f t="shared" si="969"/>
        <v>25</v>
      </c>
      <c r="BX1017" s="229">
        <f t="shared" si="946"/>
        <v>38</v>
      </c>
      <c r="BY1017" s="234">
        <f t="shared" si="947"/>
        <v>4.0666935483870965</v>
      </c>
      <c r="BZ1017" s="234" cm="1">
        <f t="array" ref="BZ1017">$BM1017 * IF($AH1017&lt;=2,
SUMPRODUCT(INDEX($AV$66:$AX$70,,$AI1017), INDEX($AY$66:$BE$70,,$AH1017), 1 / ($BF$66:$BF$70*BY1017 + (1-$BF$66:$BF$70)*BU1017), N($AU$66:$AU$70&gt;$AM1017)),
SUMPRODUCT(INDEX($AV$56:$AX$65,,$AI1017), INDEX($AY$56:$BE$65,,$AH1017), 1 / ($BG$56:$BG$65*BY1017 + (1-$BG$56:$BG$65)*BU1017), N($AU$56:$AU$65&gt;$AM1017))
) / 1000</f>
        <v>0</v>
      </c>
      <c r="CA1017" s="231">
        <f t="shared" si="970"/>
        <v>20</v>
      </c>
      <c r="CB1017" s="229">
        <f t="shared" si="948"/>
        <v>33</v>
      </c>
      <c r="CC1017" s="234">
        <f t="shared" si="949"/>
        <v>4.8487499999999999</v>
      </c>
      <c r="CD1017" s="234" cm="1">
        <f t="array" ref="CD1017">$BM1017 * IF($AH1017&lt;=2,
SUMPRODUCT(INDEX($AV$61:$AX$65,,$AI1017), INDEX($AY$61:$BE$65,,$AH1017), 1 / ($BF$61:$BF$65*CC1017 + (1-$BF$61:$BF$65)*BY1017), N($AU$61:$AU$65&gt;$AM1017)),
SUMPRODUCT(INDEX($AV$46:$AX$55,,$AI1017), INDEX($AY$46:$BE$55,,$AH1017), 1 / ($BG$46:$BG$55*CC1017 + (1-$BG$46:$BG$55)*BY1017), N($AU$46:$AU$55&gt;$AM1017))
) / 1000</f>
        <v>0</v>
      </c>
      <c r="CE1017" s="234" cm="1">
        <f t="array" ref="CE1017">$BM1017 * IF($AH1017&lt;=2,
SUMPRODUCT(INDEX($AV$22:$AX$60,,$AI1017), INDEX($AY$22:$BE$60,,$AH1017), 1 / ($BF$22:$BF$60*CC1017), N($AU$22:$AU$60&gt;$AM1017)),
SUMPRODUCT(INDEX($AV$22:$AX$45,,$AI1017), INDEX($AY$22:$BE$45,,$AH1017), 1 / ($BG$22:$BG$45*CC1017), N($AU$22:$AU$45&gt;$AM1017))
) / 1000</f>
        <v>0</v>
      </c>
      <c r="CF1017" s="229">
        <f t="shared" si="950"/>
        <v>0</v>
      </c>
      <c r="CG1017" s="246"/>
      <c r="CH1017" s="229">
        <f t="shared" si="951"/>
        <v>0</v>
      </c>
      <c r="CI1017" s="228">
        <v>35</v>
      </c>
      <c r="CJ1017" s="229">
        <f t="shared" si="952"/>
        <v>48</v>
      </c>
      <c r="CK1017" s="234">
        <f t="shared" si="953"/>
        <v>3.0748170731707316</v>
      </c>
      <c r="CL1017" s="234" cm="1">
        <f t="array" ref="CL1017">$BM1017 * SUMPRODUCT(INDEX($AV$76:$AX$81,,$AI1017),INDEX($AY$76:$BE$81,,$AH1017), N($AU$76:$AU$81&gt;$AM1017)) / CK1017 / 1000</f>
        <v>0</v>
      </c>
      <c r="CM1017" s="231">
        <f t="shared" si="971"/>
        <v>30</v>
      </c>
      <c r="CN1017" s="229">
        <f t="shared" si="954"/>
        <v>43</v>
      </c>
      <c r="CO1017" s="234">
        <f t="shared" si="955"/>
        <v>3.5018750000000001</v>
      </c>
      <c r="CP1017" s="234" cm="1">
        <f t="array" ref="CP1017">$BM1017 * IF($AH1017&lt;=2,
SUMPRODUCT(INDEX($AV$71:$AX$75,,$AI1017), INDEX($AY$71:$BE$75,,$AH1017), 1 / ($BF$71:$BF$75*CO1017 + (1-$BF$71:$BF$75)*CK1017), N($AU$71:$AU$75&gt;$AM1017)),
SUMPRODUCT(INDEX($AV$66:$AX$75,,$AI1017), INDEX($AY$66:$BE$75,,$AH1017), 1 / ($BG$66:$BG$75*CO1017 + (1-$BG$66:$BG$75)*CK1017), N($AU$66:$AU$75&gt;$AM1017))
) / 1000</f>
        <v>0</v>
      </c>
      <c r="CQ1017" s="231">
        <f t="shared" si="972"/>
        <v>25</v>
      </c>
      <c r="CR1017" s="229">
        <f t="shared" si="956"/>
        <v>38</v>
      </c>
      <c r="CS1017" s="234">
        <f t="shared" si="957"/>
        <v>4.0666935483870965</v>
      </c>
      <c r="CT1017" s="234" cm="1">
        <f t="array" ref="CT1017">$BM1017 * IF($AH1017&lt;=2,
SUMPRODUCT(INDEX($AV$66:$AX$70,,$AI1017), INDEX($AY$66:$BE$70,,$AH1017), 1 / ($BF$66:$BF$70*CS1017 + (1-$BF$66:$BF$70)*CO1017), N($AU$66:$AU$70&gt;$AM1017)),
SUMPRODUCT(INDEX($AV$56:$AX$65,,$AI1017), INDEX($AY$56:$BE$65,,$AH1017), 1 / ($BG$56:$BG$65*CS1017 + (1-$BG$56:$BG$65)*CO1017), N($AU$56:$AU$65&gt;$AM1017))
) / 1000</f>
        <v>0</v>
      </c>
      <c r="CU1017" s="231">
        <f t="shared" si="973"/>
        <v>20</v>
      </c>
      <c r="CV1017" s="229">
        <f t="shared" si="958"/>
        <v>33</v>
      </c>
      <c r="CW1017" s="234">
        <f t="shared" si="959"/>
        <v>4.8487499999999999</v>
      </c>
      <c r="CX1017" s="234" cm="1">
        <f t="array" ref="CX1017">$BM1017 * IF($AH1017&lt;=2,
SUMPRODUCT(INDEX($AV$61:$AX$65,,$AI1017), INDEX($AY$61:$BE$65,,$AH1017), 1 / ($BF$61:$BF$65*CW1017 + (1-$BF$61:$BF$65)*CS1017), N($AU$61:$AU$65&gt;$AM1017)),
SUMPRODUCT(INDEX($AV$46:$AX$55,,$AI1017), INDEX($AY$46:$BE$55,,$AH1017), 1 / ($BG$46:$BG$55*CW1017 + (1-$BG$46:$BG$55)*CS1017), N($AU$46:$AU$55&gt;$AM1017))
) / 1000</f>
        <v>0</v>
      </c>
      <c r="CY1017" s="234" cm="1">
        <f t="array" ref="CY1017">$BM1017 * IF($AH1017&lt;=2,
SUMPRODUCT(INDEX($AV$22:$AX$60,,$AI1017), INDEX($AY$22:$BE$60,,$AH1017), 1 / ($BF$22:$BF$60*CW1017), N($AU$22:$AU$60&gt;$AM1017)),
SUMPRODUCT(INDEX($AV$22:$AX$45,,$AI1017), INDEX($AY$22:$BE$45,,$AH1017), 1 / ($BG$22:$BG$45*CW1017), N($AU$22:$AU$45&gt;$AM1017))
) / 1000</f>
        <v>0</v>
      </c>
      <c r="CZ1017" s="229">
        <f t="shared" si="960"/>
        <v>0</v>
      </c>
      <c r="DA1017" s="246"/>
    </row>
    <row r="1018" spans="1:105" s="75" customFormat="1" ht="14.25" customHeight="1" x14ac:dyDescent="0.2">
      <c r="A1018" s="230" t="b">
        <f t="shared" si="965"/>
        <v>0</v>
      </c>
      <c r="B1018" s="253">
        <v>997</v>
      </c>
      <c r="C1018" s="266"/>
      <c r="D1018" s="266"/>
      <c r="E1018" s="254"/>
      <c r="F1018" s="255" t="str">
        <f>IF(ISBLANK(E1018), "", VLOOKUP(E1018, Z!$A$2:$C$4127, 3, FALSE))</f>
        <v/>
      </c>
      <c r="G1018" s="256"/>
      <c r="H1018" s="256"/>
      <c r="I1018" s="256"/>
      <c r="J1018" s="257"/>
      <c r="K1018" s="258"/>
      <c r="L1018" s="267"/>
      <c r="M1018" s="268"/>
      <c r="N1018" s="259" t="str" cm="1">
        <f t="array" ref="N1018">IF($L1018&gt;0, INDEX(Clean,1+AK1018,$D$1), "")</f>
        <v/>
      </c>
      <c r="O1018" s="260"/>
      <c r="P1018" s="260"/>
      <c r="Q1018" s="261"/>
      <c r="R1018" s="264">
        <f t="shared" ref="R1018:R1021" si="974">CF1018*1000</f>
        <v>0</v>
      </c>
      <c r="S1018" s="259" t="str" cm="1">
        <f t="array" ref="S1018">IF($L1018&gt;0, INDEX(Clean,1+AL1018,$D$1), "")</f>
        <v/>
      </c>
      <c r="T1018" s="260"/>
      <c r="U1018" s="260"/>
      <c r="V1018" s="261"/>
      <c r="W1018" s="267"/>
      <c r="X1018" s="267"/>
      <c r="Y1018" s="257"/>
      <c r="Z1018" s="264">
        <f t="shared" ref="Z1018:Z1021" si="975">(CZ1018 - IF(W1018&gt;0, CZ1018*(W1018/7)*AP1018, 0) - IF(X1018&gt;0, CZ1018*(X1018*AR1018*AS1018), 0))*1000</f>
        <v>0</v>
      </c>
      <c r="AA1018" s="269"/>
      <c r="AB1018" s="266"/>
      <c r="AC1018" s="254"/>
      <c r="AD1018" s="255" t="str">
        <f>IF(ISBLANK(AC1018), "", VLOOKUP(AC1018, Z!$A$2:$C$4127, 3, FALSE))</f>
        <v/>
      </c>
      <c r="AE1018" s="270"/>
      <c r="AF1018" s="265">
        <f t="shared" ref="AF1018:AF1021" si="976">0.75*AO$22*(R1018-Z1018)</f>
        <v>0</v>
      </c>
      <c r="AG1018" s="246"/>
      <c r="AH1018" s="228">
        <f t="shared" si="961"/>
        <v>1</v>
      </c>
      <c r="AI1018" s="228">
        <f t="shared" si="962"/>
        <v>1</v>
      </c>
      <c r="AJ1018" s="228">
        <f t="shared" si="963"/>
        <v>0</v>
      </c>
      <c r="AK1018" s="228">
        <v>0</v>
      </c>
      <c r="AL1018" s="228">
        <v>0</v>
      </c>
      <c r="AM1018" s="228">
        <f t="shared" ref="AM1018:AM1021" si="977">IF(AND(K1018="x", AH1018=5), 11, IF(AND(K1018="x", AH1018=6), 19, -100))</f>
        <v>-100</v>
      </c>
      <c r="AN1018" s="228" cm="1">
        <f t="array" ref="AN1018">IF(ISBLANK(G1018), 1, IFERROR(MATCH(G1018, INDEX(Kat,,1), 0), IFERROR(MATCH(Kat, INDEX(Use,,2), 0), MATCH(Kat, INDEX(Use,,3), 0))))</f>
        <v>1</v>
      </c>
      <c r="AO1018" s="246"/>
      <c r="AP1018" s="228" cm="1">
        <f t="array" ref="AP1018">IF(W1018&gt;0, INDEX(Kat, AN1018,4), 0)</f>
        <v>0</v>
      </c>
      <c r="AQ1018" s="228">
        <f t="shared" si="964"/>
        <v>0</v>
      </c>
      <c r="AR1018" s="228" cm="1">
        <f t="array" ref="AR1018">IF(X1018&gt;0, INDEX(Kat, $AN1018, 4+AQ1018), 0)</f>
        <v>0</v>
      </c>
      <c r="AS1018" s="228" cm="1">
        <f t="array" ref="AS1018">IF(X1018&gt;0, INDEX(Kat, $AN1018, 9+AQ1018), 0)</f>
        <v>0</v>
      </c>
      <c r="AT1018" s="246"/>
      <c r="AU1018" s="262"/>
      <c r="AV1018" s="262"/>
      <c r="AW1018" s="263"/>
      <c r="AX1018" s="263"/>
      <c r="AY1018" s="263"/>
      <c r="AZ1018" s="263"/>
      <c r="BA1018" s="263"/>
      <c r="BB1018" s="263"/>
      <c r="BC1018" s="263"/>
      <c r="BD1018" s="263"/>
      <c r="BE1018" s="263"/>
      <c r="BF1018" s="263"/>
      <c r="BG1018" s="263"/>
      <c r="BH1018" s="246"/>
      <c r="BI1018" s="228" cm="1">
        <f t="array" ref="BI1018">INDEX(Use, $AH1018, 4)</f>
        <v>7</v>
      </c>
      <c r="BJ1018" s="228">
        <f t="shared" ref="BJ1018:BJ1021" si="978">MAX(25, BI1018+25)</f>
        <v>32</v>
      </c>
      <c r="BK1018" s="228">
        <f t="shared" si="966"/>
        <v>13</v>
      </c>
      <c r="BL1018" s="228">
        <f t="shared" si="967"/>
        <v>0</v>
      </c>
      <c r="BM1018" s="233" cm="1">
        <f t="array" ref="BM1018">L1018/IF($M1018&gt;0, INDEX($AY$22:$BE$76, $M1018+20, $AH1018), 1)</f>
        <v>0</v>
      </c>
      <c r="BN1018" s="229">
        <f t="shared" ref="BN1018:BN1021" si="979">Q1018 /  IF(AH1018&lt;=2, 0.7 + 0.3 * (P1018-20)/(35-20), 0.4 + 0.6 * (P1018-5)/(35-5))</f>
        <v>0</v>
      </c>
      <c r="BO1018" s="228">
        <v>35</v>
      </c>
      <c r="BP1018" s="229">
        <f t="shared" ref="BP1018:BP1021" si="980">MAX($O1018, MAX($BJ1018, $BO1018 + $BK1018 + $BL1018 + 0.35*$AK1018*$BK1018 + BN1018))</f>
        <v>48</v>
      </c>
      <c r="BQ1018" s="234">
        <f t="shared" ref="BQ1018:BQ1021" si="981">0.45*($BI1018+273.15)/(BP1018-$BI1018)</f>
        <v>3.0748170731707316</v>
      </c>
      <c r="BR1018" s="234" cm="1">
        <f t="array" ref="BR1018">$BM1018 * SUMPRODUCT(INDEX($AV$76:$AX$81,,$AI1018),INDEX($AY$76:$BE$81,,$AH1018), N($AU$76:$AU$81&gt;$AM1018)) / BQ1018 / 1000</f>
        <v>0</v>
      </c>
      <c r="BS1018" s="231">
        <f t="shared" si="968"/>
        <v>30</v>
      </c>
      <c r="BT1018" s="229">
        <f t="shared" ref="BT1018:BT1021" si="982">MAX($O1018, MAX($BJ1018, BS1018 + $BK1018 + $BL1018 + IF($AH1018&lt;=2, (BS1018-20)/(35-20), 0.6+0.4*(BS1018-5)/(35-5))*0.35*$AK1018*$BK1018) + IF($AH1018&lt;=2,0.9,0.8)*$BN1018)</f>
        <v>43</v>
      </c>
      <c r="BU1018" s="234">
        <f t="shared" ref="BU1018:BU1021" si="983">0.45*($BI1018+273.15)/(BT1018-$BI1018)</f>
        <v>3.5018750000000001</v>
      </c>
      <c r="BV1018" s="234" cm="1">
        <f t="array" ref="BV1018">$BM1018 * IF($AH1018&lt;=2,
SUMPRODUCT(INDEX($AV$71:$AX$75,,$AI1018), INDEX($AY$71:$BE$75,,$AH1018), 1 / ($BF$71:$BF$75*BU1018 + (1-$BF$71:$BF$75)*BQ1018), N($AU$71:$AU$75&gt;$AM1018)),
SUMPRODUCT(INDEX($AV$66:$AX$75,,$AI1018), INDEX($AY$66:$BE$75,,$AH1018), 1 / ($BG$66:$BG$75*BU1018 + (1-$BG$66:$BG$75)*BQ1018), N($AU$66:$AU$75&gt;$AM1018))
) / 1000</f>
        <v>0</v>
      </c>
      <c r="BW1018" s="231">
        <f t="shared" si="969"/>
        <v>25</v>
      </c>
      <c r="BX1018" s="229">
        <f t="shared" ref="BX1018:BX1021" si="984">MAX($O1018, MAX($BJ1018, BW1018 + $BK1018 + $BL1018 + IF($AH1018&lt;=2, (BW1018-20)/(35-20), 0.6+0.4*(BW1018-5)/(35-5))*0.35*$AK1018*$BK1018) + IF($AH1018&lt;=2,0.8,0.6)*$BN1018)</f>
        <v>38</v>
      </c>
      <c r="BY1018" s="234">
        <f t="shared" ref="BY1018:BY1021" si="985">0.45*($BI1018+273.15)/(BX1018-$BI1018)</f>
        <v>4.0666935483870965</v>
      </c>
      <c r="BZ1018" s="234" cm="1">
        <f t="array" ref="BZ1018">$BM1018 * IF($AH1018&lt;=2,
SUMPRODUCT(INDEX($AV$66:$AX$70,,$AI1018), INDEX($AY$66:$BE$70,,$AH1018), 1 / ($BF$66:$BF$70*BY1018 + (1-$BF$66:$BF$70)*BU1018), N($AU$66:$AU$70&gt;$AM1018)),
SUMPRODUCT(INDEX($AV$56:$AX$65,,$AI1018), INDEX($AY$56:$BE$65,,$AH1018), 1 / ($BG$56:$BG$65*BY1018 + (1-$BG$56:$BG$65)*BU1018), N($AU$56:$AU$65&gt;$AM1018))
) / 1000</f>
        <v>0</v>
      </c>
      <c r="CA1018" s="231">
        <f t="shared" si="970"/>
        <v>20</v>
      </c>
      <c r="CB1018" s="229">
        <f t="shared" ref="CB1018:CB1021" si="986">MAX($O1018, MAX($BJ1018, CA1018 + $BK1018 + $BL1018 + IF($AH1018&lt;=2, (CA1018-20)/(35-20), 0.6+0.4*(CA1018-5)/(35-5))*0.35*$AK1018*$BK1018) + IF($AH1018&lt;=2,0.7,0.4)*$BN1018)</f>
        <v>33</v>
      </c>
      <c r="CC1018" s="234">
        <f t="shared" ref="CC1018:CC1021" si="987">0.45*($BI1018+273.15)/(CB1018-$BI1018)</f>
        <v>4.8487499999999999</v>
      </c>
      <c r="CD1018" s="234" cm="1">
        <f t="array" ref="CD1018">$BM1018 * IF($AH1018&lt;=2,
SUMPRODUCT(INDEX($AV$61:$AX$65,,$AI1018), INDEX($AY$61:$BE$65,,$AH1018), 1 / ($BF$61:$BF$65*CC1018 + (1-$BF$61:$BF$65)*BY1018), N($AU$61:$AU$65&gt;$AM1018)),
SUMPRODUCT(INDEX($AV$46:$AX$55,,$AI1018), INDEX($AY$46:$BE$55,,$AH1018), 1 / ($BG$46:$BG$55*CC1018 + (1-$BG$46:$BG$55)*BY1018), N($AU$46:$AU$55&gt;$AM1018))
) / 1000</f>
        <v>0</v>
      </c>
      <c r="CE1018" s="234" cm="1">
        <f t="array" ref="CE1018">$BM1018 * IF($AH1018&lt;=2,
SUMPRODUCT(INDEX($AV$22:$AX$60,,$AI1018), INDEX($AY$22:$BE$60,,$AH1018), 1 / ($BF$22:$BF$60*CC1018), N($AU$22:$AU$60&gt;$AM1018)),
SUMPRODUCT(INDEX($AV$22:$AX$45,,$AI1018), INDEX($AY$22:$BE$45,,$AH1018), 1 / ($BG$22:$BG$45*CC1018), N($AU$22:$AU$45&gt;$AM1018))
) / 1000</f>
        <v>0</v>
      </c>
      <c r="CF1018" s="229">
        <f t="shared" ref="CF1018:CF1021" si="988">BR1018+BV1018+BZ1018+CD1018+CE1018</f>
        <v>0</v>
      </c>
      <c r="CG1018" s="246"/>
      <c r="CH1018" s="229">
        <f t="shared" ref="CH1018:CH1021" si="989">V1018 /  IF(AH1018&lt;=2, 0.7 + 0.3 * (U1018-20)/(35-20), 0.4 + 0.6 * (U1018-5)/(35-5))</f>
        <v>0</v>
      </c>
      <c r="CI1018" s="228">
        <v>35</v>
      </c>
      <c r="CJ1018" s="229">
        <f t="shared" ref="CJ1018:CJ1021" si="990">MAX($T1018, MAX($BJ1018, $BO1018 + $BK1018 + $BL1018 + 0.35*$AL1018*$BK1018 + CH1018))</f>
        <v>48</v>
      </c>
      <c r="CK1018" s="234">
        <f t="shared" ref="CK1018:CK1021" si="991">0.45*($BI1018+273.15)/(CJ1018-$BI1018)</f>
        <v>3.0748170731707316</v>
      </c>
      <c r="CL1018" s="234" cm="1">
        <f t="array" ref="CL1018">$BM1018 * SUMPRODUCT(INDEX($AV$76:$AX$81,,$AI1018),INDEX($AY$76:$BE$81,,$AH1018), N($AU$76:$AU$81&gt;$AM1018)) / CK1018 / 1000</f>
        <v>0</v>
      </c>
      <c r="CM1018" s="231">
        <f t="shared" si="971"/>
        <v>30</v>
      </c>
      <c r="CN1018" s="229">
        <f t="shared" ref="CN1018:CN1021" si="992">MAX($T1018, MAX($BJ1018, CM1018 + $BK1018 + $BL1018 + IF($AH1018&lt;=2, (CM1018-20)/(35-20), 0.6+0.4*(CM1018-5)/(35-5))*0.35*$AL1018*$BK1018) + IF($AH1018&lt;=2,0.9,0.8)*$CH1018)</f>
        <v>43</v>
      </c>
      <c r="CO1018" s="234">
        <f t="shared" ref="CO1018:CO1021" si="993">0.45*($BI1018+273.15)/(CN1018-$BI1018)</f>
        <v>3.5018750000000001</v>
      </c>
      <c r="CP1018" s="234" cm="1">
        <f t="array" ref="CP1018">$BM1018 * IF($AH1018&lt;=2,
SUMPRODUCT(INDEX($AV$71:$AX$75,,$AI1018), INDEX($AY$71:$BE$75,,$AH1018), 1 / ($BF$71:$BF$75*CO1018 + (1-$BF$71:$BF$75)*CK1018), N($AU$71:$AU$75&gt;$AM1018)),
SUMPRODUCT(INDEX($AV$66:$AX$75,,$AI1018), INDEX($AY$66:$BE$75,,$AH1018), 1 / ($BG$66:$BG$75*CO1018 + (1-$BG$66:$BG$75)*CK1018), N($AU$66:$AU$75&gt;$AM1018))
) / 1000</f>
        <v>0</v>
      </c>
      <c r="CQ1018" s="231">
        <f t="shared" si="972"/>
        <v>25</v>
      </c>
      <c r="CR1018" s="229">
        <f t="shared" ref="CR1018:CR1021" si="994">MAX($T1018, MAX($BJ1018, CQ1018 + $BK1018 + $BL1018 + IF($AH1018&lt;=2, (CQ1018-20)/(35-20), 0.6+0.4*(CQ1018-5)/(35-5))*0.35*$AL1018*$BK1018) + IF($AH1018&lt;=2,0.8,0.6)*$CH1018)</f>
        <v>38</v>
      </c>
      <c r="CS1018" s="234">
        <f t="shared" ref="CS1018:CS1021" si="995">0.45*($BI1018+273.15)/(CR1018-$BI1018)</f>
        <v>4.0666935483870965</v>
      </c>
      <c r="CT1018" s="234" cm="1">
        <f t="array" ref="CT1018">$BM1018 * IF($AH1018&lt;=2,
SUMPRODUCT(INDEX($AV$66:$AX$70,,$AI1018), INDEX($AY$66:$BE$70,,$AH1018), 1 / ($BF$66:$BF$70*CS1018 + (1-$BF$66:$BF$70)*CO1018), N($AU$66:$AU$70&gt;$AM1018)),
SUMPRODUCT(INDEX($AV$56:$AX$65,,$AI1018), INDEX($AY$56:$BE$65,,$AH1018), 1 / ($BG$56:$BG$65*CS1018 + (1-$BG$56:$BG$65)*CO1018), N($AU$56:$AU$65&gt;$AM1018))
) / 1000</f>
        <v>0</v>
      </c>
      <c r="CU1018" s="231">
        <f t="shared" si="973"/>
        <v>20</v>
      </c>
      <c r="CV1018" s="229">
        <f t="shared" ref="CV1018:CV1021" si="996">MAX($T1018, MAX($BJ1018, CU1018 + $BK1018 + $BL1018 + IF($AH1018&lt;=2, (CU1018-20)/(35-20), 0.6+0.4*(CU1018-5)/(35-5))*0.35*$AL1018*$BK1018) + IF($AH1018&lt;=2,0.7,0.4)*$CH1018)</f>
        <v>33</v>
      </c>
      <c r="CW1018" s="234">
        <f t="shared" ref="CW1018:CW1021" si="997">0.45*($BI1018+273.15)/(CV1018-$BI1018)</f>
        <v>4.8487499999999999</v>
      </c>
      <c r="CX1018" s="234" cm="1">
        <f t="array" ref="CX1018">$BM1018 * IF($AH1018&lt;=2,
SUMPRODUCT(INDEX($AV$61:$AX$65,,$AI1018), INDEX($AY$61:$BE$65,,$AH1018), 1 / ($BF$61:$BF$65*CW1018 + (1-$BF$61:$BF$65)*CS1018), N($AU$61:$AU$65&gt;$AM1018)),
SUMPRODUCT(INDEX($AV$46:$AX$55,,$AI1018), INDEX($AY$46:$BE$55,,$AH1018), 1 / ($BG$46:$BG$55*CW1018 + (1-$BG$46:$BG$55)*CS1018), N($AU$46:$AU$55&gt;$AM1018))
) / 1000</f>
        <v>0</v>
      </c>
      <c r="CY1018" s="234" cm="1">
        <f t="array" ref="CY1018">$BM1018 * IF($AH1018&lt;=2,
SUMPRODUCT(INDEX($AV$22:$AX$60,,$AI1018), INDEX($AY$22:$BE$60,,$AH1018), 1 / ($BF$22:$BF$60*CW1018), N($AU$22:$AU$60&gt;$AM1018)),
SUMPRODUCT(INDEX($AV$22:$AX$45,,$AI1018), INDEX($AY$22:$BE$45,,$AH1018), 1 / ($BG$22:$BG$45*CW1018), N($AU$22:$AU$45&gt;$AM1018))
) / 1000</f>
        <v>0</v>
      </c>
      <c r="CZ1018" s="229">
        <f t="shared" ref="CZ1018:CZ1021" si="998">CL1018+CP1018+CT1018+CX1018+CY1018</f>
        <v>0</v>
      </c>
      <c r="DA1018" s="246"/>
    </row>
    <row r="1019" spans="1:105" s="75" customFormat="1" ht="14.25" customHeight="1" x14ac:dyDescent="0.2">
      <c r="A1019" s="230" t="b">
        <f t="shared" si="965"/>
        <v>0</v>
      </c>
      <c r="B1019" s="253">
        <v>998</v>
      </c>
      <c r="C1019" s="266"/>
      <c r="D1019" s="266"/>
      <c r="E1019" s="254"/>
      <c r="F1019" s="255" t="str">
        <f>IF(ISBLANK(E1019), "", VLOOKUP(E1019, Z!$A$2:$C$4127, 3, FALSE))</f>
        <v/>
      </c>
      <c r="G1019" s="256"/>
      <c r="H1019" s="256"/>
      <c r="I1019" s="256"/>
      <c r="J1019" s="257"/>
      <c r="K1019" s="258"/>
      <c r="L1019" s="267"/>
      <c r="M1019" s="268"/>
      <c r="N1019" s="259" t="str" cm="1">
        <f t="array" ref="N1019">IF($L1019&gt;0, INDEX(Clean,1+AK1019,$D$1), "")</f>
        <v/>
      </c>
      <c r="O1019" s="260"/>
      <c r="P1019" s="260"/>
      <c r="Q1019" s="261"/>
      <c r="R1019" s="264">
        <f t="shared" si="974"/>
        <v>0</v>
      </c>
      <c r="S1019" s="259" t="str" cm="1">
        <f t="array" ref="S1019">IF($L1019&gt;0, INDEX(Clean,1+AL1019,$D$1), "")</f>
        <v/>
      </c>
      <c r="T1019" s="260"/>
      <c r="U1019" s="260"/>
      <c r="V1019" s="261"/>
      <c r="W1019" s="267"/>
      <c r="X1019" s="267"/>
      <c r="Y1019" s="257"/>
      <c r="Z1019" s="264">
        <f t="shared" si="975"/>
        <v>0</v>
      </c>
      <c r="AA1019" s="269"/>
      <c r="AB1019" s="266"/>
      <c r="AC1019" s="254"/>
      <c r="AD1019" s="255" t="str">
        <f>IF(ISBLANK(AC1019), "", VLOOKUP(AC1019, Z!$A$2:$C$4127, 3, FALSE))</f>
        <v/>
      </c>
      <c r="AE1019" s="270"/>
      <c r="AF1019" s="265">
        <f t="shared" si="976"/>
        <v>0</v>
      </c>
      <c r="AG1019" s="246"/>
      <c r="AH1019" s="228">
        <f t="shared" ref="AH1019:AH1021" si="999">IF(ISBLANK(I1019), 1, IFERROR(MATCH(I1019, INDEX(Use,,1), 0), IFERROR(MATCH(I1019, INDEX(Use,,2), 0), MATCH(I1019, INDEX(Use,,3), 0))))</f>
        <v>1</v>
      </c>
      <c r="AI1019" s="228">
        <f t="shared" ref="AI1019:AI1021" si="1000">IF(ISBLANK(H1019), 1, IFERROR(MATCH(H1019, INDEX(Loc,,1), 0), IFERROR(MATCH(H1019, INDEX(Loc,,2), 0), MATCH(H1019, INDEX(Loc,,3), 0))))</f>
        <v>1</v>
      </c>
      <c r="AJ1019" s="228">
        <f t="shared" ref="AJ1019:AJ1021" si="1001">_xlfn.IFNA(IF(IFERROR(MATCH(J1019, INDEX(Medium,,1), 0), IFERROR(MATCH(J1019, INDEX(Medium,,2), 0), MATCH(J1019, INDEX(Medium,,3), 0))) = 2, 1, 0), 0)</f>
        <v>0</v>
      </c>
      <c r="AK1019" s="228">
        <v>0</v>
      </c>
      <c r="AL1019" s="228">
        <v>0</v>
      </c>
      <c r="AM1019" s="228">
        <f t="shared" si="977"/>
        <v>-100</v>
      </c>
      <c r="AN1019" s="228" cm="1">
        <f t="array" ref="AN1019">IF(ISBLANK(G1019), 1, IFERROR(MATCH(G1019, INDEX(Kat,,1), 0), IFERROR(MATCH(Kat, INDEX(Use,,2), 0), MATCH(Kat, INDEX(Use,,3), 0))))</f>
        <v>1</v>
      </c>
      <c r="AO1019" s="246"/>
      <c r="AP1019" s="228" cm="1">
        <f t="array" ref="AP1019">IF(W1019&gt;0, INDEX(Kat, AN1019,4), 0)</f>
        <v>0</v>
      </c>
      <c r="AQ1019" s="228">
        <f t="shared" ref="AQ1019:AQ1021" si="1002">IF(ISBLANK(Y1019), 0, IFERROR(MATCH(Y1019, INDEX(Month,,1), 0), IFERROR(MATCH(Y1019, INDEX(Month,,2), 0), MATCH(Y1019, INDEX(Month,,3), 0))))</f>
        <v>0</v>
      </c>
      <c r="AR1019" s="228" cm="1">
        <f t="array" ref="AR1019">IF(X1019&gt;0, INDEX(Kat, $AN1019, 4+AQ1019), 0)</f>
        <v>0</v>
      </c>
      <c r="AS1019" s="228" cm="1">
        <f t="array" ref="AS1019">IF(X1019&gt;0, INDEX(Kat, $AN1019, 9+AQ1019), 0)</f>
        <v>0</v>
      </c>
      <c r="AT1019" s="246"/>
      <c r="AU1019" s="262"/>
      <c r="AV1019" s="262"/>
      <c r="AW1019" s="263"/>
      <c r="AX1019" s="263"/>
      <c r="AY1019" s="263"/>
      <c r="AZ1019" s="263"/>
      <c r="BA1019" s="263"/>
      <c r="BB1019" s="263"/>
      <c r="BC1019" s="263"/>
      <c r="BD1019" s="263"/>
      <c r="BE1019" s="263"/>
      <c r="BF1019" s="263"/>
      <c r="BG1019" s="263"/>
      <c r="BH1019" s="246"/>
      <c r="BI1019" s="228" cm="1">
        <f t="array" ref="BI1019">INDEX(Use, $AH1019, 4)</f>
        <v>7</v>
      </c>
      <c r="BJ1019" s="228">
        <f t="shared" si="978"/>
        <v>32</v>
      </c>
      <c r="BK1019" s="228">
        <f t="shared" si="966"/>
        <v>13</v>
      </c>
      <c r="BL1019" s="228">
        <f t="shared" si="967"/>
        <v>0</v>
      </c>
      <c r="BM1019" s="233" cm="1">
        <f t="array" ref="BM1019">L1019/IF($M1019&gt;0, INDEX($AY$22:$BE$76, $M1019+20, $AH1019), 1)</f>
        <v>0</v>
      </c>
      <c r="BN1019" s="229">
        <f t="shared" si="979"/>
        <v>0</v>
      </c>
      <c r="BO1019" s="228">
        <v>35</v>
      </c>
      <c r="BP1019" s="229">
        <f t="shared" si="980"/>
        <v>48</v>
      </c>
      <c r="BQ1019" s="234">
        <f t="shared" si="981"/>
        <v>3.0748170731707316</v>
      </c>
      <c r="BR1019" s="234" cm="1">
        <f t="array" ref="BR1019">$BM1019 * SUMPRODUCT(INDEX($AV$76:$AX$81,,$AI1019),INDEX($AY$76:$BE$81,,$AH1019), N($AU$76:$AU$81&gt;$AM1019)) / BQ1019 / 1000</f>
        <v>0</v>
      </c>
      <c r="BS1019" s="231">
        <f t="shared" si="968"/>
        <v>30</v>
      </c>
      <c r="BT1019" s="229">
        <f t="shared" si="982"/>
        <v>43</v>
      </c>
      <c r="BU1019" s="234">
        <f t="shared" si="983"/>
        <v>3.5018750000000001</v>
      </c>
      <c r="BV1019" s="234" cm="1">
        <f t="array" ref="BV1019">$BM1019 * IF($AH1019&lt;=2,
SUMPRODUCT(INDEX($AV$71:$AX$75,,$AI1019), INDEX($AY$71:$BE$75,,$AH1019), 1 / ($BF$71:$BF$75*BU1019 + (1-$BF$71:$BF$75)*BQ1019), N($AU$71:$AU$75&gt;$AM1019)),
SUMPRODUCT(INDEX($AV$66:$AX$75,,$AI1019), INDEX($AY$66:$BE$75,,$AH1019), 1 / ($BG$66:$BG$75*BU1019 + (1-$BG$66:$BG$75)*BQ1019), N($AU$66:$AU$75&gt;$AM1019))
) / 1000</f>
        <v>0</v>
      </c>
      <c r="BW1019" s="231">
        <f t="shared" si="969"/>
        <v>25</v>
      </c>
      <c r="BX1019" s="229">
        <f t="shared" si="984"/>
        <v>38</v>
      </c>
      <c r="BY1019" s="234">
        <f t="shared" si="985"/>
        <v>4.0666935483870965</v>
      </c>
      <c r="BZ1019" s="234" cm="1">
        <f t="array" ref="BZ1019">$BM1019 * IF($AH1019&lt;=2,
SUMPRODUCT(INDEX($AV$66:$AX$70,,$AI1019), INDEX($AY$66:$BE$70,,$AH1019), 1 / ($BF$66:$BF$70*BY1019 + (1-$BF$66:$BF$70)*BU1019), N($AU$66:$AU$70&gt;$AM1019)),
SUMPRODUCT(INDEX($AV$56:$AX$65,,$AI1019), INDEX($AY$56:$BE$65,,$AH1019), 1 / ($BG$56:$BG$65*BY1019 + (1-$BG$56:$BG$65)*BU1019), N($AU$56:$AU$65&gt;$AM1019))
) / 1000</f>
        <v>0</v>
      </c>
      <c r="CA1019" s="231">
        <f t="shared" si="970"/>
        <v>20</v>
      </c>
      <c r="CB1019" s="229">
        <f t="shared" si="986"/>
        <v>33</v>
      </c>
      <c r="CC1019" s="234">
        <f t="shared" si="987"/>
        <v>4.8487499999999999</v>
      </c>
      <c r="CD1019" s="234" cm="1">
        <f t="array" ref="CD1019">$BM1019 * IF($AH1019&lt;=2,
SUMPRODUCT(INDEX($AV$61:$AX$65,,$AI1019), INDEX($AY$61:$BE$65,,$AH1019), 1 / ($BF$61:$BF$65*CC1019 + (1-$BF$61:$BF$65)*BY1019), N($AU$61:$AU$65&gt;$AM1019)),
SUMPRODUCT(INDEX($AV$46:$AX$55,,$AI1019), INDEX($AY$46:$BE$55,,$AH1019), 1 / ($BG$46:$BG$55*CC1019 + (1-$BG$46:$BG$55)*BY1019), N($AU$46:$AU$55&gt;$AM1019))
) / 1000</f>
        <v>0</v>
      </c>
      <c r="CE1019" s="234" cm="1">
        <f t="array" ref="CE1019">$BM1019 * IF($AH1019&lt;=2,
SUMPRODUCT(INDEX($AV$22:$AX$60,,$AI1019), INDEX($AY$22:$BE$60,,$AH1019), 1 / ($BF$22:$BF$60*CC1019), N($AU$22:$AU$60&gt;$AM1019)),
SUMPRODUCT(INDEX($AV$22:$AX$45,,$AI1019), INDEX($AY$22:$BE$45,,$AH1019), 1 / ($BG$22:$BG$45*CC1019), N($AU$22:$AU$45&gt;$AM1019))
) / 1000</f>
        <v>0</v>
      </c>
      <c r="CF1019" s="229">
        <f t="shared" si="988"/>
        <v>0</v>
      </c>
      <c r="CG1019" s="246"/>
      <c r="CH1019" s="229">
        <f t="shared" si="989"/>
        <v>0</v>
      </c>
      <c r="CI1019" s="228">
        <v>35</v>
      </c>
      <c r="CJ1019" s="229">
        <f t="shared" si="990"/>
        <v>48</v>
      </c>
      <c r="CK1019" s="234">
        <f t="shared" si="991"/>
        <v>3.0748170731707316</v>
      </c>
      <c r="CL1019" s="234" cm="1">
        <f t="array" ref="CL1019">$BM1019 * SUMPRODUCT(INDEX($AV$76:$AX$81,,$AI1019),INDEX($AY$76:$BE$81,,$AH1019), N($AU$76:$AU$81&gt;$AM1019)) / CK1019 / 1000</f>
        <v>0</v>
      </c>
      <c r="CM1019" s="231">
        <f t="shared" si="971"/>
        <v>30</v>
      </c>
      <c r="CN1019" s="229">
        <f t="shared" si="992"/>
        <v>43</v>
      </c>
      <c r="CO1019" s="234">
        <f t="shared" si="993"/>
        <v>3.5018750000000001</v>
      </c>
      <c r="CP1019" s="234" cm="1">
        <f t="array" ref="CP1019">$BM1019 * IF($AH1019&lt;=2,
SUMPRODUCT(INDEX($AV$71:$AX$75,,$AI1019), INDEX($AY$71:$BE$75,,$AH1019), 1 / ($BF$71:$BF$75*CO1019 + (1-$BF$71:$BF$75)*CK1019), N($AU$71:$AU$75&gt;$AM1019)),
SUMPRODUCT(INDEX($AV$66:$AX$75,,$AI1019), INDEX($AY$66:$BE$75,,$AH1019), 1 / ($BG$66:$BG$75*CO1019 + (1-$BG$66:$BG$75)*CK1019), N($AU$66:$AU$75&gt;$AM1019))
) / 1000</f>
        <v>0</v>
      </c>
      <c r="CQ1019" s="231">
        <f t="shared" si="972"/>
        <v>25</v>
      </c>
      <c r="CR1019" s="229">
        <f t="shared" si="994"/>
        <v>38</v>
      </c>
      <c r="CS1019" s="234">
        <f t="shared" si="995"/>
        <v>4.0666935483870965</v>
      </c>
      <c r="CT1019" s="234" cm="1">
        <f t="array" ref="CT1019">$BM1019 * IF($AH1019&lt;=2,
SUMPRODUCT(INDEX($AV$66:$AX$70,,$AI1019), INDEX($AY$66:$BE$70,,$AH1019), 1 / ($BF$66:$BF$70*CS1019 + (1-$BF$66:$BF$70)*CO1019), N($AU$66:$AU$70&gt;$AM1019)),
SUMPRODUCT(INDEX($AV$56:$AX$65,,$AI1019), INDEX($AY$56:$BE$65,,$AH1019), 1 / ($BG$56:$BG$65*CS1019 + (1-$BG$56:$BG$65)*CO1019), N($AU$56:$AU$65&gt;$AM1019))
) / 1000</f>
        <v>0</v>
      </c>
      <c r="CU1019" s="231">
        <f t="shared" si="973"/>
        <v>20</v>
      </c>
      <c r="CV1019" s="229">
        <f t="shared" si="996"/>
        <v>33</v>
      </c>
      <c r="CW1019" s="234">
        <f t="shared" si="997"/>
        <v>4.8487499999999999</v>
      </c>
      <c r="CX1019" s="234" cm="1">
        <f t="array" ref="CX1019">$BM1019 * IF($AH1019&lt;=2,
SUMPRODUCT(INDEX($AV$61:$AX$65,,$AI1019), INDEX($AY$61:$BE$65,,$AH1019), 1 / ($BF$61:$BF$65*CW1019 + (1-$BF$61:$BF$65)*CS1019), N($AU$61:$AU$65&gt;$AM1019)),
SUMPRODUCT(INDEX($AV$46:$AX$55,,$AI1019), INDEX($AY$46:$BE$55,,$AH1019), 1 / ($BG$46:$BG$55*CW1019 + (1-$BG$46:$BG$55)*CS1019), N($AU$46:$AU$55&gt;$AM1019))
) / 1000</f>
        <v>0</v>
      </c>
      <c r="CY1019" s="234" cm="1">
        <f t="array" ref="CY1019">$BM1019 * IF($AH1019&lt;=2,
SUMPRODUCT(INDEX($AV$22:$AX$60,,$AI1019), INDEX($AY$22:$BE$60,,$AH1019), 1 / ($BF$22:$BF$60*CW1019), N($AU$22:$AU$60&gt;$AM1019)),
SUMPRODUCT(INDEX($AV$22:$AX$45,,$AI1019), INDEX($AY$22:$BE$45,,$AH1019), 1 / ($BG$22:$BG$45*CW1019), N($AU$22:$AU$45&gt;$AM1019))
) / 1000</f>
        <v>0</v>
      </c>
      <c r="CZ1019" s="229">
        <f t="shared" si="998"/>
        <v>0</v>
      </c>
      <c r="DA1019" s="246"/>
    </row>
    <row r="1020" spans="1:105" s="75" customFormat="1" ht="14.25" customHeight="1" x14ac:dyDescent="0.2">
      <c r="A1020" s="230" t="b">
        <f t="shared" si="965"/>
        <v>0</v>
      </c>
      <c r="B1020" s="253">
        <v>999</v>
      </c>
      <c r="C1020" s="266"/>
      <c r="D1020" s="266"/>
      <c r="E1020" s="254"/>
      <c r="F1020" s="255" t="str">
        <f>IF(ISBLANK(E1020), "", VLOOKUP(E1020, Z!$A$2:$C$4127, 3, FALSE))</f>
        <v/>
      </c>
      <c r="G1020" s="256"/>
      <c r="H1020" s="256"/>
      <c r="I1020" s="256"/>
      <c r="J1020" s="257"/>
      <c r="K1020" s="258"/>
      <c r="L1020" s="267"/>
      <c r="M1020" s="268"/>
      <c r="N1020" s="259" t="str" cm="1">
        <f t="array" ref="N1020">IF($L1020&gt;0, INDEX(Clean,1+AK1020,$D$1), "")</f>
        <v/>
      </c>
      <c r="O1020" s="260"/>
      <c r="P1020" s="260"/>
      <c r="Q1020" s="261"/>
      <c r="R1020" s="264">
        <f t="shared" si="974"/>
        <v>0</v>
      </c>
      <c r="S1020" s="259" t="str" cm="1">
        <f t="array" ref="S1020">IF($L1020&gt;0, INDEX(Clean,1+AL1020,$D$1), "")</f>
        <v/>
      </c>
      <c r="T1020" s="260"/>
      <c r="U1020" s="260"/>
      <c r="V1020" s="261"/>
      <c r="W1020" s="267"/>
      <c r="X1020" s="267"/>
      <c r="Y1020" s="257"/>
      <c r="Z1020" s="264">
        <f t="shared" si="975"/>
        <v>0</v>
      </c>
      <c r="AA1020" s="269"/>
      <c r="AB1020" s="266"/>
      <c r="AC1020" s="254"/>
      <c r="AD1020" s="255" t="str">
        <f>IF(ISBLANK(AC1020), "", VLOOKUP(AC1020, Z!$A$2:$C$4127, 3, FALSE))</f>
        <v/>
      </c>
      <c r="AE1020" s="270"/>
      <c r="AF1020" s="265">
        <f t="shared" si="976"/>
        <v>0</v>
      </c>
      <c r="AG1020" s="246"/>
      <c r="AH1020" s="228">
        <f t="shared" si="999"/>
        <v>1</v>
      </c>
      <c r="AI1020" s="228">
        <f t="shared" si="1000"/>
        <v>1</v>
      </c>
      <c r="AJ1020" s="228">
        <f t="shared" si="1001"/>
        <v>0</v>
      </c>
      <c r="AK1020" s="228">
        <v>0</v>
      </c>
      <c r="AL1020" s="228">
        <v>0</v>
      </c>
      <c r="AM1020" s="228">
        <f t="shared" si="977"/>
        <v>-100</v>
      </c>
      <c r="AN1020" s="228" cm="1">
        <f t="array" ref="AN1020">IF(ISBLANK(G1020), 1, IFERROR(MATCH(G1020, INDEX(Kat,,1), 0), IFERROR(MATCH(Kat, INDEX(Use,,2), 0), MATCH(Kat, INDEX(Use,,3), 0))))</f>
        <v>1</v>
      </c>
      <c r="AO1020" s="246"/>
      <c r="AP1020" s="228" cm="1">
        <f t="array" ref="AP1020">IF(W1020&gt;0, INDEX(Kat, AN1020,4), 0)</f>
        <v>0</v>
      </c>
      <c r="AQ1020" s="228">
        <f t="shared" si="1002"/>
        <v>0</v>
      </c>
      <c r="AR1020" s="228" cm="1">
        <f t="array" ref="AR1020">IF(X1020&gt;0, INDEX(Kat, $AN1020, 4+AQ1020), 0)</f>
        <v>0</v>
      </c>
      <c r="AS1020" s="228" cm="1">
        <f t="array" ref="AS1020">IF(X1020&gt;0, INDEX(Kat, $AN1020, 9+AQ1020), 0)</f>
        <v>0</v>
      </c>
      <c r="AT1020" s="246"/>
      <c r="AU1020" s="262"/>
      <c r="AV1020" s="262"/>
      <c r="AW1020" s="263"/>
      <c r="AX1020" s="263"/>
      <c r="AY1020" s="263"/>
      <c r="AZ1020" s="263"/>
      <c r="BA1020" s="263"/>
      <c r="BB1020" s="263"/>
      <c r="BC1020" s="263"/>
      <c r="BD1020" s="263"/>
      <c r="BE1020" s="263"/>
      <c r="BF1020" s="263"/>
      <c r="BG1020" s="263"/>
      <c r="BH1020" s="246"/>
      <c r="BI1020" s="228" cm="1">
        <f t="array" ref="BI1020">INDEX(Use, $AH1020, 4)</f>
        <v>7</v>
      </c>
      <c r="BJ1020" s="228">
        <f t="shared" si="978"/>
        <v>32</v>
      </c>
      <c r="BK1020" s="228">
        <f t="shared" si="966"/>
        <v>13</v>
      </c>
      <c r="BL1020" s="228">
        <f t="shared" si="967"/>
        <v>0</v>
      </c>
      <c r="BM1020" s="233" cm="1">
        <f t="array" ref="BM1020">L1020/IF($M1020&gt;0, INDEX($AY$22:$BE$76, $M1020+20, $AH1020), 1)</f>
        <v>0</v>
      </c>
      <c r="BN1020" s="229">
        <f t="shared" si="979"/>
        <v>0</v>
      </c>
      <c r="BO1020" s="228">
        <v>35</v>
      </c>
      <c r="BP1020" s="229">
        <f t="shared" si="980"/>
        <v>48</v>
      </c>
      <c r="BQ1020" s="234">
        <f t="shared" si="981"/>
        <v>3.0748170731707316</v>
      </c>
      <c r="BR1020" s="234" cm="1">
        <f t="array" ref="BR1020">$BM1020 * SUMPRODUCT(INDEX($AV$76:$AX$81,,$AI1020),INDEX($AY$76:$BE$81,,$AH1020), N($AU$76:$AU$81&gt;$AM1020)) / BQ1020 / 1000</f>
        <v>0</v>
      </c>
      <c r="BS1020" s="231">
        <f t="shared" si="968"/>
        <v>30</v>
      </c>
      <c r="BT1020" s="229">
        <f t="shared" si="982"/>
        <v>43</v>
      </c>
      <c r="BU1020" s="234">
        <f t="shared" si="983"/>
        <v>3.5018750000000001</v>
      </c>
      <c r="BV1020" s="234" cm="1">
        <f t="array" ref="BV1020">$BM1020 * IF($AH1020&lt;=2,
SUMPRODUCT(INDEX($AV$71:$AX$75,,$AI1020), INDEX($AY$71:$BE$75,,$AH1020), 1 / ($BF$71:$BF$75*BU1020 + (1-$BF$71:$BF$75)*BQ1020), N($AU$71:$AU$75&gt;$AM1020)),
SUMPRODUCT(INDEX($AV$66:$AX$75,,$AI1020), INDEX($AY$66:$BE$75,,$AH1020), 1 / ($BG$66:$BG$75*BU1020 + (1-$BG$66:$BG$75)*BQ1020), N($AU$66:$AU$75&gt;$AM1020))
) / 1000</f>
        <v>0</v>
      </c>
      <c r="BW1020" s="231">
        <f t="shared" si="969"/>
        <v>25</v>
      </c>
      <c r="BX1020" s="229">
        <f t="shared" si="984"/>
        <v>38</v>
      </c>
      <c r="BY1020" s="234">
        <f t="shared" si="985"/>
        <v>4.0666935483870965</v>
      </c>
      <c r="BZ1020" s="234" cm="1">
        <f t="array" ref="BZ1020">$BM1020 * IF($AH1020&lt;=2,
SUMPRODUCT(INDEX($AV$66:$AX$70,,$AI1020), INDEX($AY$66:$BE$70,,$AH1020), 1 / ($BF$66:$BF$70*BY1020 + (1-$BF$66:$BF$70)*BU1020), N($AU$66:$AU$70&gt;$AM1020)),
SUMPRODUCT(INDEX($AV$56:$AX$65,,$AI1020), INDEX($AY$56:$BE$65,,$AH1020), 1 / ($BG$56:$BG$65*BY1020 + (1-$BG$56:$BG$65)*BU1020), N($AU$56:$AU$65&gt;$AM1020))
) / 1000</f>
        <v>0</v>
      </c>
      <c r="CA1020" s="231">
        <f t="shared" si="970"/>
        <v>20</v>
      </c>
      <c r="CB1020" s="229">
        <f t="shared" si="986"/>
        <v>33</v>
      </c>
      <c r="CC1020" s="234">
        <f t="shared" si="987"/>
        <v>4.8487499999999999</v>
      </c>
      <c r="CD1020" s="234" cm="1">
        <f t="array" ref="CD1020">$BM1020 * IF($AH1020&lt;=2,
SUMPRODUCT(INDEX($AV$61:$AX$65,,$AI1020), INDEX($AY$61:$BE$65,,$AH1020), 1 / ($BF$61:$BF$65*CC1020 + (1-$BF$61:$BF$65)*BY1020), N($AU$61:$AU$65&gt;$AM1020)),
SUMPRODUCT(INDEX($AV$46:$AX$55,,$AI1020), INDEX($AY$46:$BE$55,,$AH1020), 1 / ($BG$46:$BG$55*CC1020 + (1-$BG$46:$BG$55)*BY1020), N($AU$46:$AU$55&gt;$AM1020))
) / 1000</f>
        <v>0</v>
      </c>
      <c r="CE1020" s="234" cm="1">
        <f t="array" ref="CE1020">$BM1020 * IF($AH1020&lt;=2,
SUMPRODUCT(INDEX($AV$22:$AX$60,,$AI1020), INDEX($AY$22:$BE$60,,$AH1020), 1 / ($BF$22:$BF$60*CC1020), N($AU$22:$AU$60&gt;$AM1020)),
SUMPRODUCT(INDEX($AV$22:$AX$45,,$AI1020), INDEX($AY$22:$BE$45,,$AH1020), 1 / ($BG$22:$BG$45*CC1020), N($AU$22:$AU$45&gt;$AM1020))
) / 1000</f>
        <v>0</v>
      </c>
      <c r="CF1020" s="229">
        <f t="shared" si="988"/>
        <v>0</v>
      </c>
      <c r="CG1020" s="246"/>
      <c r="CH1020" s="229">
        <f t="shared" si="989"/>
        <v>0</v>
      </c>
      <c r="CI1020" s="228">
        <v>35</v>
      </c>
      <c r="CJ1020" s="229">
        <f t="shared" si="990"/>
        <v>48</v>
      </c>
      <c r="CK1020" s="234">
        <f t="shared" si="991"/>
        <v>3.0748170731707316</v>
      </c>
      <c r="CL1020" s="234" cm="1">
        <f t="array" ref="CL1020">$BM1020 * SUMPRODUCT(INDEX($AV$76:$AX$81,,$AI1020),INDEX($AY$76:$BE$81,,$AH1020), N($AU$76:$AU$81&gt;$AM1020)) / CK1020 / 1000</f>
        <v>0</v>
      </c>
      <c r="CM1020" s="231">
        <f t="shared" si="971"/>
        <v>30</v>
      </c>
      <c r="CN1020" s="229">
        <f t="shared" si="992"/>
        <v>43</v>
      </c>
      <c r="CO1020" s="234">
        <f t="shared" si="993"/>
        <v>3.5018750000000001</v>
      </c>
      <c r="CP1020" s="234" cm="1">
        <f t="array" ref="CP1020">$BM1020 * IF($AH1020&lt;=2,
SUMPRODUCT(INDEX($AV$71:$AX$75,,$AI1020), INDEX($AY$71:$BE$75,,$AH1020), 1 / ($BF$71:$BF$75*CO1020 + (1-$BF$71:$BF$75)*CK1020), N($AU$71:$AU$75&gt;$AM1020)),
SUMPRODUCT(INDEX($AV$66:$AX$75,,$AI1020), INDEX($AY$66:$BE$75,,$AH1020), 1 / ($BG$66:$BG$75*CO1020 + (1-$BG$66:$BG$75)*CK1020), N($AU$66:$AU$75&gt;$AM1020))
) / 1000</f>
        <v>0</v>
      </c>
      <c r="CQ1020" s="231">
        <f t="shared" si="972"/>
        <v>25</v>
      </c>
      <c r="CR1020" s="229">
        <f t="shared" si="994"/>
        <v>38</v>
      </c>
      <c r="CS1020" s="234">
        <f t="shared" si="995"/>
        <v>4.0666935483870965</v>
      </c>
      <c r="CT1020" s="234" cm="1">
        <f t="array" ref="CT1020">$BM1020 * IF($AH1020&lt;=2,
SUMPRODUCT(INDEX($AV$66:$AX$70,,$AI1020), INDEX($AY$66:$BE$70,,$AH1020), 1 / ($BF$66:$BF$70*CS1020 + (1-$BF$66:$BF$70)*CO1020), N($AU$66:$AU$70&gt;$AM1020)),
SUMPRODUCT(INDEX($AV$56:$AX$65,,$AI1020), INDEX($AY$56:$BE$65,,$AH1020), 1 / ($BG$56:$BG$65*CS1020 + (1-$BG$56:$BG$65)*CO1020), N($AU$56:$AU$65&gt;$AM1020))
) / 1000</f>
        <v>0</v>
      </c>
      <c r="CU1020" s="231">
        <f t="shared" si="973"/>
        <v>20</v>
      </c>
      <c r="CV1020" s="229">
        <f t="shared" si="996"/>
        <v>33</v>
      </c>
      <c r="CW1020" s="234">
        <f t="shared" si="997"/>
        <v>4.8487499999999999</v>
      </c>
      <c r="CX1020" s="234" cm="1">
        <f t="array" ref="CX1020">$BM1020 * IF($AH1020&lt;=2,
SUMPRODUCT(INDEX($AV$61:$AX$65,,$AI1020), INDEX($AY$61:$BE$65,,$AH1020), 1 / ($BF$61:$BF$65*CW1020 + (1-$BF$61:$BF$65)*CS1020), N($AU$61:$AU$65&gt;$AM1020)),
SUMPRODUCT(INDEX($AV$46:$AX$55,,$AI1020), INDEX($AY$46:$BE$55,,$AH1020), 1 / ($BG$46:$BG$55*CW1020 + (1-$BG$46:$BG$55)*CS1020), N($AU$46:$AU$55&gt;$AM1020))
) / 1000</f>
        <v>0</v>
      </c>
      <c r="CY1020" s="234" cm="1">
        <f t="array" ref="CY1020">$BM1020 * IF($AH1020&lt;=2,
SUMPRODUCT(INDEX($AV$22:$AX$60,,$AI1020), INDEX($AY$22:$BE$60,,$AH1020), 1 / ($BF$22:$BF$60*CW1020), N($AU$22:$AU$60&gt;$AM1020)),
SUMPRODUCT(INDEX($AV$22:$AX$45,,$AI1020), INDEX($AY$22:$BE$45,,$AH1020), 1 / ($BG$22:$BG$45*CW1020), N($AU$22:$AU$45&gt;$AM1020))
) / 1000</f>
        <v>0</v>
      </c>
      <c r="CZ1020" s="229">
        <f t="shared" si="998"/>
        <v>0</v>
      </c>
      <c r="DA1020" s="246"/>
    </row>
    <row r="1021" spans="1:105" s="75" customFormat="1" ht="14.25" customHeight="1" x14ac:dyDescent="0.2">
      <c r="A1021" s="230" t="b">
        <f t="shared" si="965"/>
        <v>0</v>
      </c>
      <c r="B1021" s="253">
        <v>1000</v>
      </c>
      <c r="C1021" s="266"/>
      <c r="D1021" s="266"/>
      <c r="E1021" s="254"/>
      <c r="F1021" s="255" t="str">
        <f>IF(ISBLANK(E1021), "", VLOOKUP(E1021, Z!$A$2:$C$4127, 3, FALSE))</f>
        <v/>
      </c>
      <c r="G1021" s="256"/>
      <c r="H1021" s="256"/>
      <c r="I1021" s="256"/>
      <c r="J1021" s="257"/>
      <c r="K1021" s="258"/>
      <c r="L1021" s="267"/>
      <c r="M1021" s="268"/>
      <c r="N1021" s="259" t="str" cm="1">
        <f t="array" ref="N1021">IF($L1021&gt;0, INDEX(Clean,1+AK1021,$D$1), "")</f>
        <v/>
      </c>
      <c r="O1021" s="260"/>
      <c r="P1021" s="260"/>
      <c r="Q1021" s="261"/>
      <c r="R1021" s="264">
        <f t="shared" si="974"/>
        <v>0</v>
      </c>
      <c r="S1021" s="259" t="str" cm="1">
        <f t="array" ref="S1021">IF($L1021&gt;0, INDEX(Clean,1+AL1021,$D$1), "")</f>
        <v/>
      </c>
      <c r="T1021" s="260"/>
      <c r="U1021" s="260"/>
      <c r="V1021" s="261"/>
      <c r="W1021" s="267"/>
      <c r="X1021" s="267"/>
      <c r="Y1021" s="257"/>
      <c r="Z1021" s="264">
        <f t="shared" si="975"/>
        <v>0</v>
      </c>
      <c r="AA1021" s="269"/>
      <c r="AB1021" s="266"/>
      <c r="AC1021" s="254"/>
      <c r="AD1021" s="255" t="str">
        <f>IF(ISBLANK(AC1021), "", VLOOKUP(AC1021, Z!$A$2:$C$4127, 3, FALSE))</f>
        <v/>
      </c>
      <c r="AE1021" s="270"/>
      <c r="AF1021" s="265">
        <f t="shared" si="976"/>
        <v>0</v>
      </c>
      <c r="AG1021" s="246"/>
      <c r="AH1021" s="228">
        <f t="shared" si="999"/>
        <v>1</v>
      </c>
      <c r="AI1021" s="228">
        <f t="shared" si="1000"/>
        <v>1</v>
      </c>
      <c r="AJ1021" s="228">
        <f t="shared" si="1001"/>
        <v>0</v>
      </c>
      <c r="AK1021" s="228">
        <v>0</v>
      </c>
      <c r="AL1021" s="228">
        <v>0</v>
      </c>
      <c r="AM1021" s="228">
        <f t="shared" si="977"/>
        <v>-100</v>
      </c>
      <c r="AN1021" s="228" cm="1">
        <f t="array" ref="AN1021">IF(ISBLANK(G1021), 1, IFERROR(MATCH(G1021, INDEX(Kat,,1), 0), IFERROR(MATCH(Kat, INDEX(Use,,2), 0), MATCH(Kat, INDEX(Use,,3), 0))))</f>
        <v>1</v>
      </c>
      <c r="AO1021" s="246"/>
      <c r="AP1021" s="228" cm="1">
        <f t="array" ref="AP1021">IF(W1021&gt;0, INDEX(Kat, AN1021,4), 0)</f>
        <v>0</v>
      </c>
      <c r="AQ1021" s="228">
        <f t="shared" si="1002"/>
        <v>0</v>
      </c>
      <c r="AR1021" s="228" cm="1">
        <f t="array" ref="AR1021">IF(X1021&gt;0, INDEX(Kat, $AN1021, 4+AQ1021), 0)</f>
        <v>0</v>
      </c>
      <c r="AS1021" s="228" cm="1">
        <f t="array" ref="AS1021">IF(X1021&gt;0, INDEX(Kat, $AN1021, 9+AQ1021), 0)</f>
        <v>0</v>
      </c>
      <c r="AT1021" s="246"/>
      <c r="AU1021" s="262"/>
      <c r="AV1021" s="262"/>
      <c r="AW1021" s="263"/>
      <c r="AX1021" s="263"/>
      <c r="AY1021" s="263"/>
      <c r="AZ1021" s="263"/>
      <c r="BA1021" s="263"/>
      <c r="BB1021" s="263"/>
      <c r="BC1021" s="263"/>
      <c r="BD1021" s="263"/>
      <c r="BE1021" s="263"/>
      <c r="BF1021" s="263"/>
      <c r="BG1021" s="263"/>
      <c r="BH1021" s="246"/>
      <c r="BI1021" s="228" cm="1">
        <f t="array" ref="BI1021">INDEX(Use, $AH1021, 4)</f>
        <v>7</v>
      </c>
      <c r="BJ1021" s="228">
        <f t="shared" si="978"/>
        <v>32</v>
      </c>
      <c r="BK1021" s="228">
        <f t="shared" si="966"/>
        <v>13</v>
      </c>
      <c r="BL1021" s="228">
        <f t="shared" si="967"/>
        <v>0</v>
      </c>
      <c r="BM1021" s="233" cm="1">
        <f t="array" ref="BM1021">L1021/IF($M1021&gt;0, INDEX($AY$22:$BE$76, $M1021+20, $AH1021), 1)</f>
        <v>0</v>
      </c>
      <c r="BN1021" s="229">
        <f t="shared" si="979"/>
        <v>0</v>
      </c>
      <c r="BO1021" s="228">
        <v>35</v>
      </c>
      <c r="BP1021" s="229">
        <f t="shared" si="980"/>
        <v>48</v>
      </c>
      <c r="BQ1021" s="234">
        <f t="shared" si="981"/>
        <v>3.0748170731707316</v>
      </c>
      <c r="BR1021" s="234" cm="1">
        <f t="array" ref="BR1021">$BM1021 * SUMPRODUCT(INDEX($AV$76:$AX$81,,$AI1021),INDEX($AY$76:$BE$81,,$AH1021), N($AU$76:$AU$81&gt;$AM1021)) / BQ1021 / 1000</f>
        <v>0</v>
      </c>
      <c r="BS1021" s="231">
        <f t="shared" si="968"/>
        <v>30</v>
      </c>
      <c r="BT1021" s="229">
        <f t="shared" si="982"/>
        <v>43</v>
      </c>
      <c r="BU1021" s="234">
        <f t="shared" si="983"/>
        <v>3.5018750000000001</v>
      </c>
      <c r="BV1021" s="234" cm="1">
        <f t="array" ref="BV1021">$BM1021 * IF($AH1021&lt;=2,
SUMPRODUCT(INDEX($AV$71:$AX$75,,$AI1021), INDEX($AY$71:$BE$75,,$AH1021), 1 / ($BF$71:$BF$75*BU1021 + (1-$BF$71:$BF$75)*BQ1021), N($AU$71:$AU$75&gt;$AM1021)),
SUMPRODUCT(INDEX($AV$66:$AX$75,,$AI1021), INDEX($AY$66:$BE$75,,$AH1021), 1 / ($BG$66:$BG$75*BU1021 + (1-$BG$66:$BG$75)*BQ1021), N($AU$66:$AU$75&gt;$AM1021))
) / 1000</f>
        <v>0</v>
      </c>
      <c r="BW1021" s="231">
        <f t="shared" si="969"/>
        <v>25</v>
      </c>
      <c r="BX1021" s="229">
        <f t="shared" si="984"/>
        <v>38</v>
      </c>
      <c r="BY1021" s="234">
        <f t="shared" si="985"/>
        <v>4.0666935483870965</v>
      </c>
      <c r="BZ1021" s="234" cm="1">
        <f t="array" ref="BZ1021">$BM1021 * IF($AH1021&lt;=2,
SUMPRODUCT(INDEX($AV$66:$AX$70,,$AI1021), INDEX($AY$66:$BE$70,,$AH1021), 1 / ($BF$66:$BF$70*BY1021 + (1-$BF$66:$BF$70)*BU1021), N($AU$66:$AU$70&gt;$AM1021)),
SUMPRODUCT(INDEX($AV$56:$AX$65,,$AI1021), INDEX($AY$56:$BE$65,,$AH1021), 1 / ($BG$56:$BG$65*BY1021 + (1-$BG$56:$BG$65)*BU1021), N($AU$56:$AU$65&gt;$AM1021))
) / 1000</f>
        <v>0</v>
      </c>
      <c r="CA1021" s="231">
        <f t="shared" si="970"/>
        <v>20</v>
      </c>
      <c r="CB1021" s="229">
        <f t="shared" si="986"/>
        <v>33</v>
      </c>
      <c r="CC1021" s="234">
        <f t="shared" si="987"/>
        <v>4.8487499999999999</v>
      </c>
      <c r="CD1021" s="234" cm="1">
        <f t="array" ref="CD1021">$BM1021 * IF($AH1021&lt;=2,
SUMPRODUCT(INDEX($AV$61:$AX$65,,$AI1021), INDEX($AY$61:$BE$65,,$AH1021), 1 / ($BF$61:$BF$65*CC1021 + (1-$BF$61:$BF$65)*BY1021), N($AU$61:$AU$65&gt;$AM1021)),
SUMPRODUCT(INDEX($AV$46:$AX$55,,$AI1021), INDEX($AY$46:$BE$55,,$AH1021), 1 / ($BG$46:$BG$55*CC1021 + (1-$BG$46:$BG$55)*BY1021), N($AU$46:$AU$55&gt;$AM1021))
) / 1000</f>
        <v>0</v>
      </c>
      <c r="CE1021" s="234" cm="1">
        <f t="array" ref="CE1021">$BM1021 * IF($AH1021&lt;=2,
SUMPRODUCT(INDEX($AV$22:$AX$60,,$AI1021), INDEX($AY$22:$BE$60,,$AH1021), 1 / ($BF$22:$BF$60*CC1021), N($AU$22:$AU$60&gt;$AM1021)),
SUMPRODUCT(INDEX($AV$22:$AX$45,,$AI1021), INDEX($AY$22:$BE$45,,$AH1021), 1 / ($BG$22:$BG$45*CC1021), N($AU$22:$AU$45&gt;$AM1021))
) / 1000</f>
        <v>0</v>
      </c>
      <c r="CF1021" s="229">
        <f t="shared" si="988"/>
        <v>0</v>
      </c>
      <c r="CG1021" s="246"/>
      <c r="CH1021" s="229">
        <f t="shared" si="989"/>
        <v>0</v>
      </c>
      <c r="CI1021" s="228">
        <v>35</v>
      </c>
      <c r="CJ1021" s="229">
        <f t="shared" si="990"/>
        <v>48</v>
      </c>
      <c r="CK1021" s="234">
        <f t="shared" si="991"/>
        <v>3.0748170731707316</v>
      </c>
      <c r="CL1021" s="234" cm="1">
        <f t="array" ref="CL1021">$BM1021 * SUMPRODUCT(INDEX($AV$76:$AX$81,,$AI1021),INDEX($AY$76:$BE$81,,$AH1021), N($AU$76:$AU$81&gt;$AM1021)) / CK1021 / 1000</f>
        <v>0</v>
      </c>
      <c r="CM1021" s="231">
        <f t="shared" si="971"/>
        <v>30</v>
      </c>
      <c r="CN1021" s="229">
        <f t="shared" si="992"/>
        <v>43</v>
      </c>
      <c r="CO1021" s="234">
        <f t="shared" si="993"/>
        <v>3.5018750000000001</v>
      </c>
      <c r="CP1021" s="234" cm="1">
        <f t="array" ref="CP1021">$BM1021 * IF($AH1021&lt;=2,
SUMPRODUCT(INDEX($AV$71:$AX$75,,$AI1021), INDEX($AY$71:$BE$75,,$AH1021), 1 / ($BF$71:$BF$75*CO1021 + (1-$BF$71:$BF$75)*CK1021), N($AU$71:$AU$75&gt;$AM1021)),
SUMPRODUCT(INDEX($AV$66:$AX$75,,$AI1021), INDEX($AY$66:$BE$75,,$AH1021), 1 / ($BG$66:$BG$75*CO1021 + (1-$BG$66:$BG$75)*CK1021), N($AU$66:$AU$75&gt;$AM1021))
) / 1000</f>
        <v>0</v>
      </c>
      <c r="CQ1021" s="231">
        <f t="shared" si="972"/>
        <v>25</v>
      </c>
      <c r="CR1021" s="229">
        <f t="shared" si="994"/>
        <v>38</v>
      </c>
      <c r="CS1021" s="234">
        <f t="shared" si="995"/>
        <v>4.0666935483870965</v>
      </c>
      <c r="CT1021" s="234" cm="1">
        <f t="array" ref="CT1021">$BM1021 * IF($AH1021&lt;=2,
SUMPRODUCT(INDEX($AV$66:$AX$70,,$AI1021), INDEX($AY$66:$BE$70,,$AH1021), 1 / ($BF$66:$BF$70*CS1021 + (1-$BF$66:$BF$70)*CO1021), N($AU$66:$AU$70&gt;$AM1021)),
SUMPRODUCT(INDEX($AV$56:$AX$65,,$AI1021), INDEX($AY$56:$BE$65,,$AH1021), 1 / ($BG$56:$BG$65*CS1021 + (1-$BG$56:$BG$65)*CO1021), N($AU$56:$AU$65&gt;$AM1021))
) / 1000</f>
        <v>0</v>
      </c>
      <c r="CU1021" s="231">
        <f t="shared" si="973"/>
        <v>20</v>
      </c>
      <c r="CV1021" s="229">
        <f t="shared" si="996"/>
        <v>33</v>
      </c>
      <c r="CW1021" s="234">
        <f t="shared" si="997"/>
        <v>4.8487499999999999</v>
      </c>
      <c r="CX1021" s="234" cm="1">
        <f t="array" ref="CX1021">$BM1021 * IF($AH1021&lt;=2,
SUMPRODUCT(INDEX($AV$61:$AX$65,,$AI1021), INDEX($AY$61:$BE$65,,$AH1021), 1 / ($BF$61:$BF$65*CW1021 + (1-$BF$61:$BF$65)*CS1021), N($AU$61:$AU$65&gt;$AM1021)),
SUMPRODUCT(INDEX($AV$46:$AX$55,,$AI1021), INDEX($AY$46:$BE$55,,$AH1021), 1 / ($BG$46:$BG$55*CW1021 + (1-$BG$46:$BG$55)*CS1021), N($AU$46:$AU$55&gt;$AM1021))
) / 1000</f>
        <v>0</v>
      </c>
      <c r="CY1021" s="234" cm="1">
        <f t="array" ref="CY1021">$BM1021 * IF($AH1021&lt;=2,
SUMPRODUCT(INDEX($AV$22:$AX$60,,$AI1021), INDEX($AY$22:$BE$60,,$AH1021), 1 / ($BF$22:$BF$60*CW1021), N($AU$22:$AU$60&gt;$AM1021)),
SUMPRODUCT(INDEX($AV$22:$AX$45,,$AI1021), INDEX($AY$22:$BE$45,,$AH1021), 1 / ($BG$22:$BG$45*CW1021), N($AU$22:$AU$45&gt;$AM1021))
) / 1000</f>
        <v>0</v>
      </c>
      <c r="CZ1021" s="229">
        <f t="shared" si="998"/>
        <v>0</v>
      </c>
      <c r="DA1021" s="246"/>
    </row>
    <row r="1022" spans="1:105" x14ac:dyDescent="0.2"/>
  </sheetData>
  <sheetProtection algorithmName="SHA-512" hashValue="9kkG5kbJCKSLAJmqdrRA56M8Dw16OAFK7uEHXbcSd1xIBqoKQ5yb+MakoGVn/7+7juGFeSZsN65obrZWfy8pJQ==" saltValue="y6aZIPOvG1NE0rSNgHp5og==" spinCount="100000" sheet="1" objects="1" scenarios="1"/>
  <mergeCells count="5">
    <mergeCell ref="AA19:AB19"/>
    <mergeCell ref="D14:E14"/>
    <mergeCell ref="D15:E15"/>
    <mergeCell ref="D16:E16"/>
    <mergeCell ref="B1:C1"/>
  </mergeCells>
  <conditionalFormatting sqref="K22:K1021">
    <cfRule type="expression" dxfId="4" priority="5">
      <formula>AND($AH22&lt;&gt;5,$AH22&lt;&gt;6)</formula>
    </cfRule>
  </conditionalFormatting>
  <conditionalFormatting sqref="T27:X1021">
    <cfRule type="expression" dxfId="3" priority="4">
      <formula>$A27</formula>
    </cfRule>
  </conditionalFormatting>
  <conditionalFormatting sqref="W22:W1021">
    <cfRule type="expression" dxfId="2" priority="1">
      <formula>$X22&gt;0</formula>
    </cfRule>
  </conditionalFormatting>
  <conditionalFormatting sqref="X22:X1021">
    <cfRule type="expression" dxfId="1" priority="2">
      <formula>$W22&gt;0</formula>
    </cfRule>
  </conditionalFormatting>
  <conditionalFormatting sqref="Y22:Y1021">
    <cfRule type="expression" dxfId="0" priority="3">
      <formula>ISBLANK($X22)</formula>
    </cfRule>
  </conditionalFormatting>
  <dataValidations count="15">
    <dataValidation type="decimal" allowBlank="1" showInputMessage="1" showErrorMessage="1" sqref="T24:T1021 L19 M1022:M1048576 L21:L1048576" xr:uid="{163A35A8-46FD-450F-B4A4-E9CF96D96A37}">
      <formula1>0</formula1>
      <formula2>250</formula2>
    </dataValidation>
    <dataValidation type="whole" allowBlank="1" showInputMessage="1" showErrorMessage="1" sqref="W22:W1021" xr:uid="{964EC278-CB55-40C5-ADB1-FC9F943CAB7E}">
      <formula1>0</formula1>
      <formula2>7</formula2>
    </dataValidation>
    <dataValidation type="whole" allowBlank="1" showInputMessage="1" showErrorMessage="1" sqref="X22:X1021" xr:uid="{CA92AAA1-E8B0-43D9-AFF1-BAAF0FFA318F}">
      <formula1>0</formula1>
      <formula2>4</formula2>
    </dataValidation>
    <dataValidation type="date" allowBlank="1" showInputMessage="1" showErrorMessage="1" sqref="AE22:AE1021" xr:uid="{13E663A0-1B5E-4FDE-AA69-563806E9C9BF}">
      <formula1>44562</formula1>
      <formula2>47848</formula2>
    </dataValidation>
    <dataValidation type="decimal" allowBlank="1" showInputMessage="1" showErrorMessage="1" sqref="P22:Q1021 U22:V1021" xr:uid="{BF43AF68-0623-4E5C-BCC0-661E6BDB15D8}">
      <formula1>0</formula1>
      <formula2>45</formula2>
    </dataValidation>
    <dataValidation type="decimal" allowBlank="1" showInputMessage="1" showErrorMessage="1" sqref="O22:O1021 T22:T23" xr:uid="{6B5F553B-37E7-4E87-879A-EDC8240BBDD4}">
      <formula1>0</formula1>
      <formula2>75</formula2>
    </dataValidation>
    <dataValidation type="decimal" allowBlank="1" showInputMessage="1" showErrorMessage="1" sqref="M22:M1021" xr:uid="{E31EDD10-EE07-4DF9-82A5-3492AC983689}">
      <formula1>20</formula1>
      <formula2>35</formula2>
    </dataValidation>
    <dataValidation type="list" allowBlank="1" showInputMessage="1" showErrorMessage="1" sqref="K22:K1021" xr:uid="{11F918D3-E9B9-4E4C-996F-372AE55B0045}">
      <formula1>"x"</formula1>
    </dataValidation>
    <dataValidation type="list" allowBlank="1" showInputMessage="1" showErrorMessage="1" sqref="E22:E1021 AC22:AC1021" xr:uid="{303E6417-6B33-418A-9B8C-F32BB3B2C18C}">
      <formula1>PLZ</formula1>
    </dataValidation>
    <dataValidation type="list" allowBlank="1" showInputMessage="1" showErrorMessage="1" sqref="B7:B8" xr:uid="{7AFA1FCB-DD02-4C89-B655-37E5CCDB4BE4}">
      <formula1>"D,F,I"</formula1>
    </dataValidation>
    <dataValidation type="list" allowBlank="1" showInputMessage="1" showErrorMessage="1" sqref="Y22:Y1021" xr:uid="{7FFE85E3-1E3C-4D63-B504-935B23C9CB98}">
      <formula1>INDEX(Month,,$D$1)</formula1>
    </dataValidation>
    <dataValidation type="list" allowBlank="1" showInputMessage="1" showErrorMessage="1" sqref="G22:G1021" xr:uid="{258BD5D1-8D42-4EFD-A700-2EF91C456C11}">
      <formula1>INDEX(Kat,,$D$1)</formula1>
    </dataValidation>
    <dataValidation type="list" allowBlank="1" showInputMessage="1" showErrorMessage="1" sqref="H22:H1021" xr:uid="{7B240AD4-CCE2-469F-A4E2-AA8D6451D22D}">
      <formula1>INDEX(Loc,,$D$1)</formula1>
    </dataValidation>
    <dataValidation type="list" allowBlank="1" showInputMessage="1" showErrorMessage="1" sqref="J22:J1021" xr:uid="{EA4F4662-C15D-491F-BC55-3EB208B26F05}">
      <formula1>INDEX(Medium,,$D$1)</formula1>
    </dataValidation>
    <dataValidation type="list" allowBlank="1" showInputMessage="1" showErrorMessage="1" sqref="I22:I1021" xr:uid="{89967277-0668-44E1-BF48-B9F0D6F21AF9}">
      <formula1>INDEX(Use,,$D$1)</formula1>
    </dataValidation>
  </dataValidations>
  <hyperlinks>
    <hyperlink ref="AA20" r:id="rId1" xr:uid="{C8E2B65A-2317-4A3E-B232-9569125419CB}"/>
    <hyperlink ref="B1" location="Version!A1" display="Version!A1" xr:uid="{D154DCAB-AC46-48A6-9814-2D7C951D927A}"/>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0EB5F9-8E41-4C43-B46A-2187DC9545AB}">
  <dimension ref="A1:P401"/>
  <sheetViews>
    <sheetView zoomScaleNormal="100" workbookViewId="0">
      <pane ySplit="1" topLeftCell="A2" activePane="bottomLeft" state="frozen"/>
      <selection pane="bottomLeft" activeCell="C228" sqref="C228"/>
    </sheetView>
  </sheetViews>
  <sheetFormatPr baseColWidth="10" defaultColWidth="9.140625" defaultRowHeight="12.75" outlineLevelRow="1" x14ac:dyDescent="0.2"/>
  <cols>
    <col min="1" max="1" width="28.140625" style="2" customWidth="1"/>
    <col min="2" max="2" width="5.7109375" style="84" customWidth="1"/>
    <col min="3" max="5" width="40.7109375" style="23" customWidth="1"/>
    <col min="6" max="6" width="6.7109375" style="23" customWidth="1"/>
    <col min="7" max="7" width="13.28515625" style="23" customWidth="1"/>
    <col min="8" max="8" width="10.42578125" style="23" bestFit="1" customWidth="1"/>
    <col min="9" max="11" width="10.42578125" style="2" bestFit="1" customWidth="1"/>
    <col min="12" max="12" width="4.85546875" style="2" bestFit="1" customWidth="1"/>
    <col min="13" max="16384" width="9.140625" style="2"/>
  </cols>
  <sheetData>
    <row r="1" spans="1:8" x14ac:dyDescent="0.2">
      <c r="A1" s="27" t="s">
        <v>4693</v>
      </c>
      <c r="B1" s="27" t="s">
        <v>4463</v>
      </c>
      <c r="C1" s="27" t="s">
        <v>4465</v>
      </c>
      <c r="D1" s="27" t="s">
        <v>4529</v>
      </c>
      <c r="E1" s="27" t="s">
        <v>4530</v>
      </c>
      <c r="F1" s="27" t="s">
        <v>4465</v>
      </c>
      <c r="G1" s="27" t="s">
        <v>4529</v>
      </c>
      <c r="H1" s="27" t="s">
        <v>4530</v>
      </c>
    </row>
    <row r="2" spans="1:8" x14ac:dyDescent="0.2">
      <c r="A2" s="92" t="s">
        <v>4702</v>
      </c>
      <c r="B2" s="94">
        <v>1</v>
      </c>
      <c r="C2" s="22" t="s">
        <v>4703</v>
      </c>
      <c r="D2" s="22" t="s">
        <v>4705</v>
      </c>
      <c r="E2" s="22" t="s">
        <v>4704</v>
      </c>
      <c r="F2" s="22"/>
      <c r="G2" s="22"/>
      <c r="H2" s="22"/>
    </row>
    <row r="3" spans="1:8" hidden="1" outlineLevel="1" x14ac:dyDescent="0.2">
      <c r="A3" s="93"/>
      <c r="B3" s="94">
        <v>2</v>
      </c>
      <c r="C3" s="22" t="s">
        <v>4466</v>
      </c>
      <c r="D3" s="22" t="s">
        <v>4467</v>
      </c>
      <c r="E3" s="22" t="s">
        <v>4486</v>
      </c>
      <c r="F3" s="22"/>
      <c r="G3" s="22"/>
      <c r="H3" s="22"/>
    </row>
    <row r="4" spans="1:8" hidden="1" outlineLevel="1" x14ac:dyDescent="0.2">
      <c r="A4" s="93"/>
      <c r="B4" s="94">
        <v>3</v>
      </c>
      <c r="C4" s="22" t="s">
        <v>4468</v>
      </c>
      <c r="D4" s="22" t="s">
        <v>4469</v>
      </c>
      <c r="E4" s="22" t="s">
        <v>4495</v>
      </c>
      <c r="F4" s="22"/>
      <c r="G4" s="22"/>
      <c r="H4" s="22"/>
    </row>
    <row r="5" spans="1:8" hidden="1" outlineLevel="1" x14ac:dyDescent="0.2">
      <c r="A5" s="93"/>
      <c r="B5" s="94">
        <v>4</v>
      </c>
      <c r="C5" s="22" t="s">
        <v>4494</v>
      </c>
      <c r="D5" s="22" t="s">
        <v>4470</v>
      </c>
      <c r="E5" s="22" t="s">
        <v>4496</v>
      </c>
      <c r="F5" s="22"/>
      <c r="G5" s="22"/>
      <c r="H5" s="22"/>
    </row>
    <row r="6" spans="1:8" hidden="1" outlineLevel="1" x14ac:dyDescent="0.2">
      <c r="A6" s="93"/>
      <c r="B6" s="94">
        <v>5</v>
      </c>
      <c r="C6" s="22" t="s">
        <v>4752</v>
      </c>
      <c r="D6" s="22" t="s">
        <v>4755</v>
      </c>
      <c r="E6" s="22" t="s">
        <v>4756</v>
      </c>
      <c r="F6" s="22"/>
      <c r="G6" s="22"/>
      <c r="H6" s="22"/>
    </row>
    <row r="7" spans="1:8" hidden="1" outlineLevel="1" x14ac:dyDescent="0.2">
      <c r="A7" s="93"/>
      <c r="B7" s="94">
        <v>6</v>
      </c>
      <c r="C7" s="22" t="s">
        <v>4482</v>
      </c>
      <c r="D7" s="22" t="s">
        <v>4483</v>
      </c>
      <c r="E7" s="22" t="s">
        <v>4497</v>
      </c>
      <c r="F7" s="22"/>
      <c r="G7" s="22"/>
      <c r="H7" s="22"/>
    </row>
    <row r="8" spans="1:8" hidden="1" outlineLevel="1" x14ac:dyDescent="0.2">
      <c r="A8" s="93"/>
      <c r="B8" s="94">
        <v>7</v>
      </c>
      <c r="C8" s="22" t="s">
        <v>4793</v>
      </c>
      <c r="D8" s="22" t="s">
        <v>4791</v>
      </c>
      <c r="E8" s="22" t="s">
        <v>4792</v>
      </c>
      <c r="F8" s="22"/>
      <c r="G8" s="22"/>
      <c r="H8" s="22"/>
    </row>
    <row r="9" spans="1:8" hidden="1" outlineLevel="1" x14ac:dyDescent="0.2">
      <c r="A9" s="93"/>
      <c r="B9" s="94">
        <v>8</v>
      </c>
      <c r="C9" s="22" t="s">
        <v>4485</v>
      </c>
      <c r="D9" s="22" t="s">
        <v>4484</v>
      </c>
      <c r="E9" s="22" t="s">
        <v>4498</v>
      </c>
      <c r="F9" s="22"/>
      <c r="G9" s="22"/>
      <c r="H9" s="22"/>
    </row>
    <row r="10" spans="1:8" hidden="1" outlineLevel="1" x14ac:dyDescent="0.2">
      <c r="A10" s="93"/>
      <c r="B10" s="94">
        <v>9</v>
      </c>
      <c r="C10" s="22" t="s">
        <v>5103</v>
      </c>
      <c r="D10" s="22" t="s">
        <v>5126</v>
      </c>
      <c r="E10" s="22" t="s">
        <v>4499</v>
      </c>
      <c r="F10" s="22"/>
      <c r="G10" s="22"/>
      <c r="H10" s="22"/>
    </row>
    <row r="11" spans="1:8" hidden="1" outlineLevel="1" x14ac:dyDescent="0.2">
      <c r="A11" s="93"/>
      <c r="B11" s="94">
        <v>10</v>
      </c>
      <c r="C11" s="22" t="s">
        <v>4471</v>
      </c>
      <c r="D11" s="22" t="s">
        <v>4472</v>
      </c>
      <c r="E11" s="22" t="s">
        <v>4472</v>
      </c>
      <c r="F11" s="22"/>
      <c r="G11" s="22"/>
      <c r="H11" s="22"/>
    </row>
    <row r="12" spans="1:8" hidden="1" outlineLevel="1" x14ac:dyDescent="0.2">
      <c r="A12" s="93"/>
      <c r="B12" s="94">
        <v>11</v>
      </c>
      <c r="C12" s="22" t="s">
        <v>4473</v>
      </c>
      <c r="D12" s="22" t="s">
        <v>4474</v>
      </c>
      <c r="E12" s="22" t="s">
        <v>4487</v>
      </c>
      <c r="F12" s="22"/>
      <c r="G12" s="22"/>
      <c r="H12" s="22"/>
    </row>
    <row r="13" spans="1:8" hidden="1" outlineLevel="1" x14ac:dyDescent="0.2">
      <c r="A13" s="93"/>
      <c r="B13" s="94">
        <v>12</v>
      </c>
      <c r="C13" s="22" t="s">
        <v>4475</v>
      </c>
      <c r="D13" s="22" t="s">
        <v>4475</v>
      </c>
      <c r="E13" s="22" t="s">
        <v>4488</v>
      </c>
      <c r="F13" s="22"/>
      <c r="G13" s="22"/>
      <c r="H13" s="22"/>
    </row>
    <row r="14" spans="1:8" hidden="1" outlineLevel="1" x14ac:dyDescent="0.2">
      <c r="A14" s="93"/>
      <c r="B14" s="94">
        <v>13</v>
      </c>
      <c r="C14" s="22" t="s">
        <v>4463</v>
      </c>
      <c r="D14" s="22" t="s">
        <v>4478</v>
      </c>
      <c r="E14" s="22" t="s">
        <v>4489</v>
      </c>
      <c r="F14" s="22"/>
      <c r="G14" s="22"/>
      <c r="H14" s="22"/>
    </row>
    <row r="15" spans="1:8" hidden="1" outlineLevel="1" x14ac:dyDescent="0.2">
      <c r="A15" s="93"/>
      <c r="B15" s="94">
        <v>14</v>
      </c>
      <c r="C15" s="22" t="s">
        <v>4476</v>
      </c>
      <c r="D15" s="22" t="s">
        <v>4477</v>
      </c>
      <c r="E15" s="22" t="s">
        <v>4490</v>
      </c>
      <c r="F15" s="22"/>
      <c r="G15" s="22"/>
      <c r="H15" s="22"/>
    </row>
    <row r="16" spans="1:8" hidden="1" outlineLevel="1" x14ac:dyDescent="0.2">
      <c r="A16" s="93"/>
      <c r="B16" s="94">
        <v>15</v>
      </c>
      <c r="C16" s="22" t="s">
        <v>0</v>
      </c>
      <c r="D16" s="22" t="s">
        <v>4479</v>
      </c>
      <c r="E16" s="22" t="s">
        <v>4491</v>
      </c>
      <c r="F16" s="22"/>
      <c r="G16" s="22"/>
      <c r="H16" s="22"/>
    </row>
    <row r="17" spans="1:8" hidden="1" outlineLevel="1" x14ac:dyDescent="0.2">
      <c r="A17" s="93"/>
      <c r="B17" s="94">
        <v>16</v>
      </c>
      <c r="C17" s="22" t="s">
        <v>4500</v>
      </c>
      <c r="D17" s="22" t="s">
        <v>4501</v>
      </c>
      <c r="E17" s="22" t="s">
        <v>4502</v>
      </c>
      <c r="F17" s="22"/>
      <c r="G17" s="22"/>
      <c r="H17" s="22"/>
    </row>
    <row r="18" spans="1:8" hidden="1" outlineLevel="1" x14ac:dyDescent="0.2">
      <c r="A18" s="93"/>
      <c r="B18" s="94">
        <v>17</v>
      </c>
      <c r="C18" s="22" t="s">
        <v>4797</v>
      </c>
      <c r="D18" s="22" t="s">
        <v>4796</v>
      </c>
      <c r="E18" s="22" t="s">
        <v>4795</v>
      </c>
      <c r="F18" s="22"/>
      <c r="G18" s="22"/>
      <c r="H18" s="22"/>
    </row>
    <row r="19" spans="1:8" hidden="1" outlineLevel="1" x14ac:dyDescent="0.2">
      <c r="A19" s="93"/>
      <c r="B19" s="94">
        <v>18</v>
      </c>
      <c r="C19" s="22" t="s">
        <v>4534</v>
      </c>
      <c r="D19" s="22" t="s">
        <v>4535</v>
      </c>
      <c r="E19" s="22" t="s">
        <v>4536</v>
      </c>
      <c r="F19" s="22"/>
      <c r="G19" s="22"/>
      <c r="H19" s="22"/>
    </row>
    <row r="20" spans="1:8" hidden="1" outlineLevel="1" x14ac:dyDescent="0.2">
      <c r="A20" s="93"/>
      <c r="B20" s="94">
        <v>19</v>
      </c>
      <c r="C20" s="22" t="s">
        <v>4598</v>
      </c>
      <c r="D20" s="22" t="s">
        <v>4599</v>
      </c>
      <c r="E20" s="22" t="s">
        <v>4600</v>
      </c>
      <c r="F20" s="22"/>
      <c r="G20" s="22"/>
      <c r="H20" s="22"/>
    </row>
    <row r="21" spans="1:8" hidden="1" outlineLevel="1" x14ac:dyDescent="0.2">
      <c r="A21" s="93"/>
      <c r="B21" s="94">
        <v>20</v>
      </c>
      <c r="C21" s="22" t="s">
        <v>4706</v>
      </c>
      <c r="D21" s="22" t="s">
        <v>4480</v>
      </c>
      <c r="E21" s="22" t="s">
        <v>4492</v>
      </c>
      <c r="F21" s="22"/>
      <c r="G21" s="22"/>
      <c r="H21" s="22"/>
    </row>
    <row r="22" spans="1:8" hidden="1" outlineLevel="1" x14ac:dyDescent="0.2">
      <c r="A22" s="93"/>
      <c r="B22" s="94">
        <v>21</v>
      </c>
      <c r="C22" s="22" t="s">
        <v>4481</v>
      </c>
      <c r="D22" s="22" t="s">
        <v>4461</v>
      </c>
      <c r="E22" s="22" t="s">
        <v>4493</v>
      </c>
      <c r="F22" s="22"/>
      <c r="G22" s="22"/>
      <c r="H22" s="22"/>
    </row>
    <row r="23" spans="1:8" hidden="1" outlineLevel="1" x14ac:dyDescent="0.2">
      <c r="A23" s="93"/>
      <c r="B23" s="94">
        <v>22</v>
      </c>
      <c r="C23" s="22" t="s">
        <v>4753</v>
      </c>
      <c r="D23" s="22" t="s">
        <v>4754</v>
      </c>
      <c r="E23" s="22" t="s">
        <v>4757</v>
      </c>
      <c r="F23" s="22"/>
      <c r="G23" s="22"/>
      <c r="H23" s="22"/>
    </row>
    <row r="24" spans="1:8" hidden="1" outlineLevel="1" x14ac:dyDescent="0.2">
      <c r="A24" s="93"/>
      <c r="B24" s="94">
        <v>23</v>
      </c>
      <c r="C24" s="22" t="s">
        <v>4760</v>
      </c>
      <c r="D24" s="22" t="s">
        <v>4759</v>
      </c>
      <c r="E24" s="22" t="s">
        <v>4761</v>
      </c>
      <c r="F24" s="22"/>
      <c r="G24" s="22"/>
      <c r="H24" s="22"/>
    </row>
    <row r="25" spans="1:8" hidden="1" outlineLevel="1" x14ac:dyDescent="0.2">
      <c r="A25" s="93"/>
      <c r="B25" s="94">
        <v>24</v>
      </c>
      <c r="C25" s="22" t="s">
        <v>4603</v>
      </c>
      <c r="D25" s="22" t="s">
        <v>4603</v>
      </c>
      <c r="E25" s="22" t="s">
        <v>4646</v>
      </c>
      <c r="F25" s="22"/>
      <c r="G25" s="22"/>
      <c r="H25" s="22"/>
    </row>
    <row r="26" spans="1:8" hidden="1" outlineLevel="1" x14ac:dyDescent="0.2">
      <c r="A26" s="93"/>
      <c r="B26" s="94">
        <v>25</v>
      </c>
      <c r="C26" s="22" t="s">
        <v>4762</v>
      </c>
      <c r="D26" s="22" t="s">
        <v>4763</v>
      </c>
      <c r="E26" s="22" t="s">
        <v>4764</v>
      </c>
      <c r="F26" s="22"/>
      <c r="G26" s="22"/>
      <c r="H26" s="22"/>
    </row>
    <row r="27" spans="1:8" hidden="1" outlineLevel="1" x14ac:dyDescent="0.2">
      <c r="A27" s="93"/>
      <c r="B27" s="94">
        <v>26</v>
      </c>
      <c r="C27" s="22" t="s">
        <v>4846</v>
      </c>
      <c r="D27" s="22" t="s">
        <v>4847</v>
      </c>
      <c r="E27" s="22" t="s">
        <v>4848</v>
      </c>
      <c r="F27" s="22"/>
      <c r="G27" s="22"/>
      <c r="H27" s="22"/>
    </row>
    <row r="28" spans="1:8" hidden="1" outlineLevel="1" x14ac:dyDescent="0.2">
      <c r="A28" s="93"/>
      <c r="B28" s="94">
        <v>27</v>
      </c>
      <c r="C28" s="22" t="s">
        <v>4769</v>
      </c>
      <c r="D28" s="22" t="s">
        <v>4770</v>
      </c>
      <c r="E28" s="22" t="s">
        <v>4771</v>
      </c>
      <c r="F28" s="22"/>
      <c r="G28" s="22"/>
      <c r="H28" s="22"/>
    </row>
    <row r="29" spans="1:8" hidden="1" outlineLevel="1" x14ac:dyDescent="0.2">
      <c r="A29" s="93"/>
      <c r="B29" s="94">
        <v>28</v>
      </c>
      <c r="C29" s="22" t="s">
        <v>4773</v>
      </c>
      <c r="D29" s="22" t="s">
        <v>4774</v>
      </c>
      <c r="E29" s="22" t="s">
        <v>4775</v>
      </c>
      <c r="F29" s="22"/>
      <c r="G29" s="22"/>
      <c r="H29" s="22"/>
    </row>
    <row r="30" spans="1:8" ht="25.5" hidden="1" outlineLevel="1" x14ac:dyDescent="0.2">
      <c r="A30" s="93"/>
      <c r="B30" s="94">
        <v>29</v>
      </c>
      <c r="C30" s="22" t="s">
        <v>5104</v>
      </c>
      <c r="D30" s="22" t="s">
        <v>4783</v>
      </c>
      <c r="E30" s="22" t="s">
        <v>4784</v>
      </c>
      <c r="F30" s="22"/>
      <c r="G30" s="22"/>
      <c r="H30" s="22"/>
    </row>
    <row r="31" spans="1:8" ht="25.5" hidden="1" outlineLevel="1" x14ac:dyDescent="0.2">
      <c r="A31" s="93"/>
      <c r="B31" s="94">
        <v>30</v>
      </c>
      <c r="C31" s="22" t="s">
        <v>4787</v>
      </c>
      <c r="D31" s="22" t="s">
        <v>4786</v>
      </c>
      <c r="E31" s="22" t="s">
        <v>4785</v>
      </c>
      <c r="F31" s="22"/>
      <c r="G31" s="22"/>
      <c r="H31" s="22"/>
    </row>
    <row r="32" spans="1:8" hidden="1" outlineLevel="1" x14ac:dyDescent="0.2">
      <c r="A32" s="93"/>
      <c r="B32" s="94">
        <v>31</v>
      </c>
      <c r="C32" s="22" t="s">
        <v>4504</v>
      </c>
      <c r="D32" s="22" t="s">
        <v>4505</v>
      </c>
      <c r="E32" s="22" t="s">
        <v>4506</v>
      </c>
      <c r="F32" s="22"/>
      <c r="G32" s="22"/>
      <c r="H32" s="22"/>
    </row>
    <row r="33" spans="1:8" hidden="1" outlineLevel="1" x14ac:dyDescent="0.2">
      <c r="A33" s="93"/>
      <c r="B33" s="94">
        <v>32</v>
      </c>
      <c r="C33" s="22" t="s">
        <v>4899</v>
      </c>
      <c r="D33" s="22" t="s">
        <v>4900</v>
      </c>
      <c r="E33" s="22" t="s">
        <v>4901</v>
      </c>
      <c r="F33" s="22"/>
      <c r="G33" s="22"/>
      <c r="H33" s="22"/>
    </row>
    <row r="34" spans="1:8" hidden="1" outlineLevel="1" x14ac:dyDescent="0.2">
      <c r="A34" s="93"/>
      <c r="B34" s="94">
        <v>33</v>
      </c>
      <c r="C34" s="22" t="s">
        <v>4521</v>
      </c>
      <c r="D34" s="22" t="s">
        <v>4507</v>
      </c>
      <c r="E34" s="22" t="s">
        <v>4508</v>
      </c>
      <c r="F34" s="22"/>
      <c r="G34" s="22"/>
      <c r="H34" s="22"/>
    </row>
    <row r="35" spans="1:8" ht="25.5" hidden="1" outlineLevel="1" x14ac:dyDescent="0.2">
      <c r="A35" s="93"/>
      <c r="B35" s="94">
        <v>34</v>
      </c>
      <c r="C35" s="22" t="s">
        <v>4798</v>
      </c>
      <c r="D35" s="22" t="s">
        <v>4794</v>
      </c>
      <c r="E35" s="22" t="s">
        <v>4799</v>
      </c>
      <c r="F35" s="22"/>
      <c r="G35" s="22"/>
      <c r="H35" s="22"/>
    </row>
    <row r="36" spans="1:8" hidden="1" outlineLevel="1" x14ac:dyDescent="0.2">
      <c r="A36" s="93"/>
      <c r="B36" s="94">
        <v>35</v>
      </c>
      <c r="C36" s="22" t="s">
        <v>4518</v>
      </c>
      <c r="D36" s="22" t="s">
        <v>4519</v>
      </c>
      <c r="E36" s="22" t="s">
        <v>4520</v>
      </c>
      <c r="F36" s="22"/>
      <c r="G36" s="22"/>
      <c r="H36" s="22"/>
    </row>
    <row r="37" spans="1:8" hidden="1" outlineLevel="1" x14ac:dyDescent="0.2">
      <c r="A37" s="93"/>
      <c r="B37" s="94">
        <v>36</v>
      </c>
      <c r="C37" s="22" t="s">
        <v>4528</v>
      </c>
      <c r="D37" s="22" t="s">
        <v>4526</v>
      </c>
      <c r="E37" s="22" t="s">
        <v>4527</v>
      </c>
      <c r="F37" s="22"/>
      <c r="G37" s="22"/>
      <c r="H37" s="22"/>
    </row>
    <row r="38" spans="1:8" hidden="1" outlineLevel="1" x14ac:dyDescent="0.2">
      <c r="A38" s="93"/>
      <c r="B38" s="94">
        <v>37</v>
      </c>
      <c r="C38" s="22" t="s">
        <v>4509</v>
      </c>
      <c r="D38" s="22" t="s">
        <v>4510</v>
      </c>
      <c r="E38" s="22" t="s">
        <v>4511</v>
      </c>
      <c r="F38" s="22"/>
      <c r="G38" s="22"/>
      <c r="H38" s="22"/>
    </row>
    <row r="39" spans="1:8" hidden="1" outlineLevel="1" x14ac:dyDescent="0.2">
      <c r="A39" s="93"/>
      <c r="B39" s="94">
        <v>38</v>
      </c>
      <c r="C39" s="22" t="s">
        <v>4512</v>
      </c>
      <c r="D39" s="22" t="s">
        <v>4513</v>
      </c>
      <c r="E39" s="22" t="s">
        <v>4514</v>
      </c>
      <c r="F39" s="22"/>
      <c r="G39" s="22"/>
      <c r="H39" s="22"/>
    </row>
    <row r="40" spans="1:8" hidden="1" outlineLevel="1" x14ac:dyDescent="0.2">
      <c r="A40" s="93"/>
      <c r="B40" s="94">
        <v>39</v>
      </c>
      <c r="C40" s="22" t="s">
        <v>4515</v>
      </c>
      <c r="D40" s="22" t="s">
        <v>4516</v>
      </c>
      <c r="E40" s="22" t="s">
        <v>4517</v>
      </c>
      <c r="F40" s="22"/>
      <c r="G40" s="22"/>
      <c r="H40" s="22"/>
    </row>
    <row r="41" spans="1:8" hidden="1" outlineLevel="1" x14ac:dyDescent="0.2">
      <c r="A41" s="93"/>
      <c r="B41" s="94">
        <v>40</v>
      </c>
      <c r="C41" s="22" t="s">
        <v>4578</v>
      </c>
      <c r="D41" s="22" t="s">
        <v>4579</v>
      </c>
      <c r="E41" s="22" t="s">
        <v>4597</v>
      </c>
      <c r="F41" s="22"/>
      <c r="G41" s="22"/>
      <c r="H41" s="22"/>
    </row>
    <row r="42" spans="1:8" hidden="1" outlineLevel="1" x14ac:dyDescent="0.2">
      <c r="A42" s="93"/>
      <c r="B42" s="94">
        <v>41</v>
      </c>
      <c r="C42" s="22" t="s">
        <v>4503</v>
      </c>
      <c r="D42" s="22" t="s">
        <v>4503</v>
      </c>
      <c r="E42" s="22" t="s">
        <v>4503</v>
      </c>
      <c r="F42" s="22"/>
      <c r="G42" s="22"/>
      <c r="H42" s="22"/>
    </row>
    <row r="43" spans="1:8" hidden="1" outlineLevel="1" x14ac:dyDescent="0.2">
      <c r="A43" s="93"/>
      <c r="B43" s="94">
        <v>42</v>
      </c>
      <c r="C43" s="22" t="s">
        <v>4523</v>
      </c>
      <c r="D43" s="22" t="s">
        <v>4524</v>
      </c>
      <c r="E43" s="22" t="s">
        <v>4525</v>
      </c>
      <c r="F43" s="22"/>
      <c r="G43" s="22"/>
      <c r="H43" s="22"/>
    </row>
    <row r="44" spans="1:8" hidden="1" outlineLevel="1" x14ac:dyDescent="0.2">
      <c r="A44" s="93"/>
      <c r="B44" s="94">
        <v>43</v>
      </c>
      <c r="C44" s="22" t="s">
        <v>4727</v>
      </c>
      <c r="D44" s="22" t="s">
        <v>4533</v>
      </c>
      <c r="E44" s="22" t="s">
        <v>4533</v>
      </c>
      <c r="F44" s="22"/>
      <c r="G44" s="22"/>
      <c r="H44" s="22"/>
    </row>
    <row r="45" spans="1:8" hidden="1" outlineLevel="1" x14ac:dyDescent="0.2">
      <c r="A45" s="93"/>
      <c r="B45" s="94">
        <v>44</v>
      </c>
      <c r="C45" s="22" t="s">
        <v>4730</v>
      </c>
      <c r="D45" s="22" t="s">
        <v>4728</v>
      </c>
      <c r="E45" s="22" t="s">
        <v>4729</v>
      </c>
      <c r="F45" s="22"/>
      <c r="G45" s="22"/>
      <c r="H45" s="22"/>
    </row>
    <row r="46" spans="1:8" hidden="1" outlineLevel="1" x14ac:dyDescent="0.2">
      <c r="A46" s="93"/>
      <c r="B46" s="94">
        <v>45</v>
      </c>
      <c r="C46" s="22" t="s">
        <v>4620</v>
      </c>
      <c r="D46" s="22" t="s">
        <v>4620</v>
      </c>
      <c r="E46" s="22" t="s">
        <v>4666</v>
      </c>
      <c r="F46" s="22"/>
      <c r="G46" s="22"/>
      <c r="H46" s="22"/>
    </row>
    <row r="47" spans="1:8" ht="38.25" hidden="1" outlineLevel="1" x14ac:dyDescent="0.2">
      <c r="A47" s="93"/>
      <c r="B47" s="94">
        <v>46</v>
      </c>
      <c r="C47" s="22" t="s">
        <v>4849</v>
      </c>
      <c r="D47" s="22" t="s">
        <v>4851</v>
      </c>
      <c r="E47" s="22" t="s">
        <v>4850</v>
      </c>
      <c r="F47" s="22"/>
      <c r="G47" s="22"/>
      <c r="H47" s="22"/>
    </row>
    <row r="48" spans="1:8" hidden="1" outlineLevel="1" x14ac:dyDescent="0.2">
      <c r="A48" s="93"/>
      <c r="B48" s="94">
        <v>47</v>
      </c>
      <c r="C48" s="3" t="s">
        <v>4893</v>
      </c>
      <c r="D48" s="3" t="s">
        <v>4894</v>
      </c>
      <c r="E48" s="3" t="s">
        <v>4895</v>
      </c>
      <c r="F48" s="22"/>
      <c r="G48" s="22"/>
      <c r="H48" s="22"/>
    </row>
    <row r="49" spans="1:16" hidden="1" outlineLevel="1" x14ac:dyDescent="0.2">
      <c r="A49" s="93"/>
      <c r="B49" s="94">
        <v>48</v>
      </c>
      <c r="C49" s="3" t="s">
        <v>4896</v>
      </c>
      <c r="D49" s="3" t="s">
        <v>4897</v>
      </c>
      <c r="E49" s="3" t="s">
        <v>4898</v>
      </c>
      <c r="F49" s="22"/>
      <c r="G49" s="22"/>
      <c r="H49" s="22"/>
    </row>
    <row r="50" spans="1:16" hidden="1" outlineLevel="1" x14ac:dyDescent="0.2">
      <c r="A50" s="93"/>
      <c r="B50" s="94">
        <v>49</v>
      </c>
      <c r="C50" s="22" t="s">
        <v>5007</v>
      </c>
      <c r="D50" s="22" t="s">
        <v>5008</v>
      </c>
      <c r="E50" s="22" t="s">
        <v>5009</v>
      </c>
      <c r="F50" s="22"/>
      <c r="G50" s="22"/>
      <c r="H50" s="22"/>
    </row>
    <row r="51" spans="1:16" ht="25.5" hidden="1" outlineLevel="1" x14ac:dyDescent="0.2">
      <c r="A51" s="190" t="s">
        <v>4875</v>
      </c>
      <c r="B51" s="94">
        <v>50</v>
      </c>
      <c r="C51" s="86" t="s">
        <v>4964</v>
      </c>
      <c r="D51" s="86" t="s">
        <v>4965</v>
      </c>
      <c r="E51" s="86" t="s">
        <v>4966</v>
      </c>
      <c r="F51" s="86"/>
      <c r="G51" s="86"/>
      <c r="H51" s="86"/>
    </row>
    <row r="52" spans="1:16" hidden="1" outlineLevel="1" x14ac:dyDescent="0.2">
      <c r="A52" s="93"/>
      <c r="B52" s="94">
        <v>51</v>
      </c>
      <c r="C52" s="86" t="s">
        <v>4967</v>
      </c>
      <c r="D52" s="86" t="s">
        <v>4968</v>
      </c>
      <c r="E52" s="86" t="s">
        <v>4969</v>
      </c>
      <c r="F52" s="86"/>
      <c r="G52" s="86"/>
      <c r="H52" s="86"/>
    </row>
    <row r="53" spans="1:16" hidden="1" outlineLevel="1" x14ac:dyDescent="0.2">
      <c r="A53" s="93"/>
      <c r="B53" s="94">
        <v>52</v>
      </c>
      <c r="C53" s="86" t="s">
        <v>4970</v>
      </c>
      <c r="D53" s="86" t="s">
        <v>4971</v>
      </c>
      <c r="E53" s="86" t="s">
        <v>4972</v>
      </c>
      <c r="F53" s="86"/>
      <c r="G53" s="86"/>
      <c r="H53" s="86"/>
    </row>
    <row r="54" spans="1:16" hidden="1" outlineLevel="1" x14ac:dyDescent="0.2">
      <c r="A54" s="93"/>
      <c r="B54" s="94">
        <v>53</v>
      </c>
      <c r="C54" s="86" t="s">
        <v>4973</v>
      </c>
      <c r="D54" s="86" t="s">
        <v>4974</v>
      </c>
      <c r="E54" s="86" t="s">
        <v>4975</v>
      </c>
      <c r="F54" s="86"/>
      <c r="G54" s="86"/>
      <c r="H54" s="86"/>
    </row>
    <row r="55" spans="1:16" hidden="1" outlineLevel="1" x14ac:dyDescent="0.2">
      <c r="A55" s="93"/>
      <c r="B55" s="94">
        <v>54</v>
      </c>
      <c r="C55" s="86"/>
      <c r="D55" s="86"/>
      <c r="E55" s="86"/>
      <c r="F55" s="86"/>
      <c r="G55" s="86"/>
      <c r="H55" s="86"/>
    </row>
    <row r="56" spans="1:16" hidden="1" outlineLevel="1" x14ac:dyDescent="0.2">
      <c r="A56" s="93"/>
      <c r="B56" s="94">
        <v>55</v>
      </c>
      <c r="C56" s="86" t="s">
        <v>4886</v>
      </c>
      <c r="D56" s="86" t="s">
        <v>4887</v>
      </c>
      <c r="E56" s="86" t="s">
        <v>5107</v>
      </c>
      <c r="F56" s="86"/>
      <c r="G56" s="86"/>
      <c r="H56" s="86"/>
    </row>
    <row r="57" spans="1:16" hidden="1" outlineLevel="1" x14ac:dyDescent="0.2">
      <c r="A57" s="93"/>
      <c r="B57" s="94">
        <v>56</v>
      </c>
      <c r="C57" s="86" t="s">
        <v>4888</v>
      </c>
      <c r="D57" s="86" t="s">
        <v>5108</v>
      </c>
      <c r="E57" s="86" t="s">
        <v>4889</v>
      </c>
      <c r="F57" s="86"/>
      <c r="G57" s="86"/>
      <c r="H57" s="86"/>
    </row>
    <row r="58" spans="1:16" hidden="1" outlineLevel="1" x14ac:dyDescent="0.2">
      <c r="A58" s="93"/>
      <c r="B58" s="94">
        <v>57</v>
      </c>
      <c r="C58" s="86" t="s">
        <v>4890</v>
      </c>
      <c r="D58" s="86" t="s">
        <v>4891</v>
      </c>
      <c r="E58" s="86" t="s">
        <v>4892</v>
      </c>
      <c r="F58" s="86"/>
      <c r="G58" s="86"/>
      <c r="H58" s="86"/>
    </row>
    <row r="59" spans="1:16" ht="15.75" hidden="1" outlineLevel="1" x14ac:dyDescent="0.3">
      <c r="A59" s="93"/>
      <c r="B59" s="94">
        <v>58</v>
      </c>
      <c r="C59" s="3" t="s">
        <v>4512</v>
      </c>
      <c r="D59" s="3" t="s">
        <v>4513</v>
      </c>
      <c r="E59" s="3" t="s">
        <v>4514</v>
      </c>
      <c r="F59" s="240" t="s">
        <v>5042</v>
      </c>
      <c r="G59" s="240" t="s">
        <v>5043</v>
      </c>
      <c r="H59" s="240" t="s">
        <v>5044</v>
      </c>
      <c r="I59" s="240" t="s">
        <v>5045</v>
      </c>
      <c r="J59" s="240" t="s">
        <v>5046</v>
      </c>
      <c r="K59" s="240" t="s">
        <v>5047</v>
      </c>
      <c r="L59" s="240" t="s">
        <v>5048</v>
      </c>
      <c r="M59" s="240" t="s">
        <v>5049</v>
      </c>
      <c r="N59" s="240" t="s">
        <v>5050</v>
      </c>
      <c r="O59" s="240" t="s">
        <v>5051</v>
      </c>
      <c r="P59" s="240" t="s">
        <v>5052</v>
      </c>
    </row>
    <row r="60" spans="1:16" hidden="1" outlineLevel="1" x14ac:dyDescent="0.2">
      <c r="A60" s="93"/>
      <c r="B60" s="94">
        <v>59</v>
      </c>
      <c r="C60" s="241" t="s">
        <v>4816</v>
      </c>
      <c r="D60" s="241" t="s">
        <v>4817</v>
      </c>
      <c r="E60" s="241" t="s">
        <v>4818</v>
      </c>
      <c r="F60" s="242"/>
      <c r="G60" s="242"/>
      <c r="H60" s="242"/>
      <c r="I60" s="242"/>
      <c r="J60" s="242"/>
      <c r="K60" s="242"/>
      <c r="L60" s="242"/>
      <c r="M60" s="242"/>
      <c r="N60" s="242"/>
      <c r="O60" s="242"/>
      <c r="P60" s="242"/>
    </row>
    <row r="61" spans="1:16" hidden="1" outlineLevel="1" x14ac:dyDescent="0.2">
      <c r="A61" s="93"/>
      <c r="B61" s="94">
        <v>60</v>
      </c>
      <c r="C61" s="86" t="s">
        <v>4819</v>
      </c>
      <c r="D61" s="86" t="s">
        <v>4820</v>
      </c>
      <c r="E61" s="86" t="s">
        <v>4821</v>
      </c>
      <c r="F61" s="245">
        <v>0.49835222306339133</v>
      </c>
      <c r="G61" s="245">
        <v>4.4665012406947896E-2</v>
      </c>
      <c r="H61" s="245">
        <v>0.4638426090038994</v>
      </c>
      <c r="I61" s="245">
        <v>0.6718394095565311</v>
      </c>
      <c r="J61" s="245">
        <v>0.62985347985347995</v>
      </c>
      <c r="K61" s="245">
        <v>3.9787798408488069E-2</v>
      </c>
      <c r="L61" s="245">
        <v>2.2354697492384348E-2</v>
      </c>
      <c r="M61" s="245">
        <v>4.9947024638937361E-2</v>
      </c>
      <c r="N61" s="245">
        <v>7.0803831955432439E-2</v>
      </c>
      <c r="O61" s="245">
        <v>6.6325715975805E-2</v>
      </c>
      <c r="P61" s="245">
        <v>1.8585921756653467E-2</v>
      </c>
    </row>
    <row r="62" spans="1:16" hidden="1" outlineLevel="1" x14ac:dyDescent="0.2">
      <c r="A62" s="93"/>
      <c r="B62" s="94">
        <v>61</v>
      </c>
      <c r="C62" s="86" t="s">
        <v>4822</v>
      </c>
      <c r="D62" s="86" t="s">
        <v>4823</v>
      </c>
      <c r="E62" s="86" t="s">
        <v>4824</v>
      </c>
      <c r="F62" s="245">
        <v>0.15860265884677227</v>
      </c>
      <c r="G62" s="245">
        <v>0</v>
      </c>
      <c r="H62" s="245">
        <v>4.3522785458269334E-2</v>
      </c>
      <c r="I62" s="245">
        <v>0.24147004147004153</v>
      </c>
      <c r="J62" s="245">
        <v>0.19765684051398341</v>
      </c>
      <c r="K62" s="245">
        <v>0</v>
      </c>
      <c r="L62" s="245">
        <v>9.6964134507197437E-3</v>
      </c>
      <c r="M62" s="245">
        <v>4.8559542973966995E-2</v>
      </c>
      <c r="N62" s="245">
        <v>8.4595756446761705E-2</v>
      </c>
      <c r="O62" s="245">
        <v>7.8454422722353589E-2</v>
      </c>
      <c r="P62" s="245">
        <v>6.2689779855367774E-3</v>
      </c>
    </row>
    <row r="63" spans="1:16" hidden="1" outlineLevel="1" x14ac:dyDescent="0.2">
      <c r="A63" s="93"/>
      <c r="B63" s="94">
        <v>62</v>
      </c>
      <c r="C63" s="86" t="s">
        <v>4825</v>
      </c>
      <c r="D63" s="86" t="s">
        <v>4826</v>
      </c>
      <c r="E63" s="86" t="s">
        <v>4827</v>
      </c>
      <c r="F63" s="245">
        <v>0.24842016730314603</v>
      </c>
      <c r="G63" s="245">
        <v>0</v>
      </c>
      <c r="H63" s="245">
        <v>0.19187177251693383</v>
      </c>
      <c r="I63" s="245">
        <v>0.42564102564102563</v>
      </c>
      <c r="J63" s="245">
        <v>0.42234432234432234</v>
      </c>
      <c r="K63" s="245">
        <v>0</v>
      </c>
      <c r="L63" s="245">
        <v>3.5070526019393547E-2</v>
      </c>
      <c r="M63" s="245">
        <v>4.6253485482208888E-2</v>
      </c>
      <c r="N63" s="245">
        <v>5.5319808880206961E-2</v>
      </c>
      <c r="O63" s="245">
        <v>5.4957939566724741E-2</v>
      </c>
      <c r="P63" s="245">
        <v>3.6886630902588348E-2</v>
      </c>
    </row>
    <row r="64" spans="1:16" hidden="1" outlineLevel="1" x14ac:dyDescent="0.2">
      <c r="A64" s="93"/>
      <c r="B64" s="94">
        <v>63</v>
      </c>
      <c r="C64" s="86" t="s">
        <v>4828</v>
      </c>
      <c r="D64" s="86" t="s">
        <v>4829</v>
      </c>
      <c r="E64" s="86" t="s">
        <v>4830</v>
      </c>
      <c r="F64" s="245">
        <v>8.7010414073520878E-2</v>
      </c>
      <c r="G64" s="245">
        <v>0</v>
      </c>
      <c r="H64" s="245">
        <v>4.2183622828784129E-2</v>
      </c>
      <c r="I64" s="245">
        <v>0.11868131868131868</v>
      </c>
      <c r="J64" s="245">
        <v>0.10439560439560443</v>
      </c>
      <c r="K64" s="245">
        <v>0</v>
      </c>
      <c r="L64" s="245">
        <v>1.8093465674110833E-3</v>
      </c>
      <c r="M64" s="245">
        <v>1.1531373606616328E-2</v>
      </c>
      <c r="N64" s="245">
        <v>1.9593642342624489E-2</v>
      </c>
      <c r="O64" s="245">
        <v>1.8219944269114326E-2</v>
      </c>
      <c r="P64" s="245">
        <v>1.3710826210826213E-3</v>
      </c>
    </row>
    <row r="65" spans="1:16" hidden="1" outlineLevel="1" x14ac:dyDescent="0.2">
      <c r="A65" s="93"/>
      <c r="B65" s="94">
        <v>64</v>
      </c>
      <c r="C65" s="86" t="s">
        <v>4831</v>
      </c>
      <c r="D65" s="86" t="s">
        <v>4832</v>
      </c>
      <c r="E65" s="86" t="s">
        <v>4833</v>
      </c>
      <c r="F65" s="245">
        <v>7.9018737672583828E-2</v>
      </c>
      <c r="G65" s="245">
        <v>0</v>
      </c>
      <c r="H65" s="245">
        <v>5.0851011777863192E-2</v>
      </c>
      <c r="I65" s="245">
        <v>0.1290118121578796</v>
      </c>
      <c r="J65" s="245">
        <v>0.12031072375899962</v>
      </c>
      <c r="K65" s="245">
        <v>0</v>
      </c>
      <c r="L65" s="245">
        <v>1.2300463758280138E-2</v>
      </c>
      <c r="M65" s="245">
        <v>1.8386569508364384E-2</v>
      </c>
      <c r="N65" s="245">
        <v>2.3045198758598263E-2</v>
      </c>
      <c r="O65" s="245">
        <v>2.2287438230366271E-2</v>
      </c>
      <c r="P65" s="245">
        <v>1.1802816129739208E-2</v>
      </c>
    </row>
    <row r="66" spans="1:16" hidden="1" outlineLevel="1" x14ac:dyDescent="0.2">
      <c r="A66" s="93"/>
      <c r="B66" s="94">
        <v>65</v>
      </c>
      <c r="C66" s="86" t="s">
        <v>4836</v>
      </c>
      <c r="D66" s="86" t="s">
        <v>4836</v>
      </c>
      <c r="E66" s="86" t="s">
        <v>4836</v>
      </c>
      <c r="F66" s="245">
        <v>0.54712653815845291</v>
      </c>
      <c r="G66" s="245">
        <v>0</v>
      </c>
      <c r="H66" s="245">
        <v>0.16248506571087215</v>
      </c>
      <c r="I66" s="245">
        <v>0.66896464646464637</v>
      </c>
      <c r="J66" s="245">
        <v>0.62900770444630094</v>
      </c>
      <c r="K66" s="245">
        <v>0</v>
      </c>
      <c r="L66" s="245">
        <v>1.9540942928039703E-3</v>
      </c>
      <c r="M66" s="245">
        <v>4.5915486654139137E-2</v>
      </c>
      <c r="N66" s="245">
        <v>9.4361986636866513E-2</v>
      </c>
      <c r="O66" s="245">
        <v>8.3906088497028769E-2</v>
      </c>
      <c r="P66" s="245">
        <v>1.1882716049382716E-3</v>
      </c>
    </row>
    <row r="67" spans="1:16" hidden="1" outlineLevel="1" x14ac:dyDescent="0.2">
      <c r="A67" s="93"/>
      <c r="B67" s="94">
        <v>66</v>
      </c>
      <c r="C67" s="241" t="s">
        <v>4834</v>
      </c>
      <c r="D67" s="241" t="s">
        <v>5109</v>
      </c>
      <c r="E67" s="241" t="s">
        <v>4835</v>
      </c>
      <c r="F67" s="242"/>
      <c r="G67" s="242"/>
      <c r="H67" s="242"/>
      <c r="I67" s="242"/>
      <c r="J67" s="242"/>
      <c r="K67" s="242"/>
      <c r="L67" s="242"/>
      <c r="M67" s="242"/>
      <c r="N67" s="242"/>
      <c r="O67" s="242"/>
      <c r="P67" s="242"/>
    </row>
    <row r="68" spans="1:16" hidden="1" outlineLevel="1" x14ac:dyDescent="0.2">
      <c r="A68" s="93"/>
      <c r="B68" s="94">
        <v>67</v>
      </c>
      <c r="C68" s="241" t="s">
        <v>4837</v>
      </c>
      <c r="D68" s="241" t="s">
        <v>4838</v>
      </c>
      <c r="E68" s="241" t="s">
        <v>4839</v>
      </c>
      <c r="F68" s="242"/>
      <c r="G68" s="242"/>
      <c r="H68" s="242"/>
      <c r="I68" s="242"/>
      <c r="J68" s="242"/>
      <c r="K68" s="242"/>
      <c r="L68" s="242"/>
      <c r="M68" s="242"/>
      <c r="N68" s="242"/>
      <c r="O68" s="242"/>
      <c r="P68" s="242"/>
    </row>
    <row r="69" spans="1:16" hidden="1" outlineLevel="1" x14ac:dyDescent="0.2">
      <c r="A69" s="93"/>
      <c r="B69" s="94">
        <v>68</v>
      </c>
      <c r="C69" s="241" t="s">
        <v>4840</v>
      </c>
      <c r="D69" s="241" t="s">
        <v>4841</v>
      </c>
      <c r="E69" s="241" t="s">
        <v>4842</v>
      </c>
      <c r="F69" s="242"/>
      <c r="G69" s="242"/>
      <c r="H69" s="242"/>
      <c r="I69" s="242"/>
      <c r="J69" s="242"/>
      <c r="K69" s="242"/>
      <c r="L69" s="242"/>
      <c r="M69" s="242"/>
      <c r="N69" s="242"/>
      <c r="O69" s="242"/>
      <c r="P69" s="242"/>
    </row>
    <row r="70" spans="1:16" hidden="1" outlineLevel="1" x14ac:dyDescent="0.2">
      <c r="A70" s="93"/>
      <c r="B70" s="94">
        <v>69</v>
      </c>
      <c r="C70" s="241" t="s">
        <v>4843</v>
      </c>
      <c r="D70" s="241" t="s">
        <v>4844</v>
      </c>
      <c r="E70" s="241" t="s">
        <v>4845</v>
      </c>
      <c r="F70" s="3"/>
      <c r="G70" s="3"/>
      <c r="H70" s="3"/>
      <c r="I70" s="3"/>
      <c r="J70" s="3"/>
      <c r="K70" s="3"/>
      <c r="L70" s="3"/>
      <c r="M70" s="3"/>
      <c r="N70" s="3"/>
      <c r="O70" s="3"/>
      <c r="P70" s="3"/>
    </row>
    <row r="71" spans="1:16" hidden="1" outlineLevel="1" x14ac:dyDescent="0.2">
      <c r="A71" s="93"/>
      <c r="B71" s="94">
        <v>70</v>
      </c>
      <c r="C71" s="241" t="s">
        <v>5053</v>
      </c>
      <c r="D71" s="241" t="s">
        <v>5054</v>
      </c>
      <c r="E71" s="241" t="s">
        <v>5055</v>
      </c>
      <c r="F71" s="3"/>
      <c r="G71" s="3"/>
      <c r="H71" s="3"/>
      <c r="I71" s="3"/>
      <c r="J71" s="3"/>
      <c r="K71" s="3"/>
      <c r="L71" s="3"/>
      <c r="M71" s="3"/>
      <c r="N71" s="3"/>
      <c r="O71" s="3"/>
      <c r="P71" s="3"/>
    </row>
    <row r="72" spans="1:16" hidden="1" outlineLevel="1" x14ac:dyDescent="0.2">
      <c r="A72" s="93"/>
      <c r="B72" s="94">
        <v>71</v>
      </c>
      <c r="C72" s="86"/>
      <c r="D72" s="86"/>
      <c r="E72" s="86"/>
      <c r="F72" s="86"/>
      <c r="G72" s="86"/>
      <c r="H72" s="86"/>
    </row>
    <row r="73" spans="1:16" hidden="1" outlineLevel="1" x14ac:dyDescent="0.2">
      <c r="A73" s="93"/>
      <c r="B73" s="94">
        <v>72</v>
      </c>
      <c r="C73" s="86" t="s">
        <v>5010</v>
      </c>
      <c r="D73" s="86" t="s">
        <v>5011</v>
      </c>
      <c r="E73" s="86" t="s">
        <v>5012</v>
      </c>
      <c r="F73" s="86"/>
      <c r="G73" s="86"/>
      <c r="H73" s="86"/>
    </row>
    <row r="74" spans="1:16" hidden="1" outlineLevel="1" x14ac:dyDescent="0.2">
      <c r="A74" s="93"/>
      <c r="B74" s="94">
        <v>73</v>
      </c>
      <c r="C74" s="86" t="s">
        <v>5013</v>
      </c>
      <c r="D74" s="86" t="s">
        <v>5014</v>
      </c>
      <c r="E74" s="86" t="s">
        <v>5015</v>
      </c>
      <c r="F74" s="86"/>
      <c r="G74" s="86"/>
      <c r="H74" s="86" t="s">
        <v>5034</v>
      </c>
    </row>
    <row r="75" spans="1:16" hidden="1" outlineLevel="1" x14ac:dyDescent="0.2">
      <c r="A75" s="93"/>
      <c r="B75" s="94">
        <v>74</v>
      </c>
      <c r="C75" s="86" t="s">
        <v>4958</v>
      </c>
      <c r="D75" s="86" t="s">
        <v>4960</v>
      </c>
      <c r="E75" s="86" t="s">
        <v>4962</v>
      </c>
      <c r="F75" s="86">
        <v>7</v>
      </c>
      <c r="G75" s="208">
        <v>0</v>
      </c>
      <c r="H75" s="86">
        <v>2</v>
      </c>
    </row>
    <row r="76" spans="1:16" hidden="1" outlineLevel="1" x14ac:dyDescent="0.2">
      <c r="A76" s="93"/>
      <c r="B76" s="94">
        <v>75</v>
      </c>
      <c r="C76" s="86" t="s">
        <v>4959</v>
      </c>
      <c r="D76" s="86" t="s">
        <v>4961</v>
      </c>
      <c r="E76" s="86" t="s">
        <v>4963</v>
      </c>
      <c r="F76" s="86">
        <v>3</v>
      </c>
      <c r="G76" s="208">
        <v>0</v>
      </c>
      <c r="H76" s="86">
        <v>2</v>
      </c>
    </row>
    <row r="77" spans="1:16" hidden="1" outlineLevel="1" x14ac:dyDescent="0.2">
      <c r="A77" s="93"/>
      <c r="B77" s="94">
        <v>76</v>
      </c>
      <c r="C77" s="243"/>
      <c r="D77" s="243"/>
      <c r="E77" s="243"/>
      <c r="F77" s="243"/>
      <c r="G77" s="244"/>
      <c r="H77" s="243"/>
    </row>
    <row r="78" spans="1:16" hidden="1" outlineLevel="1" x14ac:dyDescent="0.2">
      <c r="A78" s="93"/>
      <c r="B78" s="94">
        <v>77</v>
      </c>
      <c r="C78" s="86" t="s">
        <v>5081</v>
      </c>
      <c r="D78" s="86" t="s">
        <v>5082</v>
      </c>
      <c r="E78" s="86" t="s">
        <v>5083</v>
      </c>
      <c r="F78" s="243"/>
      <c r="G78" s="244"/>
      <c r="H78" s="243"/>
    </row>
    <row r="79" spans="1:16" hidden="1" outlineLevel="1" x14ac:dyDescent="0.2">
      <c r="A79" s="93"/>
      <c r="B79" s="94">
        <v>78</v>
      </c>
      <c r="C79" s="86" t="s">
        <v>5084</v>
      </c>
      <c r="D79" s="86" t="s">
        <v>5085</v>
      </c>
      <c r="E79" s="86" t="s">
        <v>5086</v>
      </c>
      <c r="F79" s="243"/>
      <c r="G79" s="244"/>
      <c r="H79" s="243"/>
    </row>
    <row r="80" spans="1:16" hidden="1" outlineLevel="1" x14ac:dyDescent="0.2">
      <c r="A80" s="93"/>
      <c r="B80" s="94">
        <v>79</v>
      </c>
      <c r="C80" s="86" t="s">
        <v>5087</v>
      </c>
      <c r="D80" s="86" t="s">
        <v>5088</v>
      </c>
      <c r="E80" s="86" t="s">
        <v>5089</v>
      </c>
      <c r="F80" s="243"/>
      <c r="G80" s="244"/>
      <c r="H80" s="243"/>
    </row>
    <row r="81" spans="1:12" hidden="1" outlineLevel="1" x14ac:dyDescent="0.2">
      <c r="A81" s="93"/>
      <c r="B81" s="94">
        <v>80</v>
      </c>
      <c r="C81" s="243"/>
      <c r="D81" s="243"/>
      <c r="E81" s="243"/>
      <c r="F81" s="243"/>
      <c r="G81" s="244"/>
      <c r="H81" s="243"/>
    </row>
    <row r="82" spans="1:12" hidden="1" outlineLevel="1" x14ac:dyDescent="0.2">
      <c r="A82" s="93"/>
      <c r="B82" s="94">
        <v>81</v>
      </c>
      <c r="C82" s="86"/>
      <c r="D82" s="86"/>
      <c r="E82" s="86"/>
      <c r="F82" s="86"/>
      <c r="G82" s="86"/>
      <c r="H82" s="86"/>
    </row>
    <row r="83" spans="1:12" hidden="1" outlineLevel="1" x14ac:dyDescent="0.2">
      <c r="A83" s="93"/>
      <c r="B83" s="94">
        <v>82</v>
      </c>
      <c r="C83" s="86" t="s">
        <v>5036</v>
      </c>
      <c r="D83" s="86" t="s">
        <v>5037</v>
      </c>
      <c r="E83" s="86" t="s">
        <v>5038</v>
      </c>
      <c r="F83" s="86"/>
      <c r="G83" s="86"/>
      <c r="H83" s="86"/>
    </row>
    <row r="84" spans="1:12" hidden="1" outlineLevel="1" x14ac:dyDescent="0.2">
      <c r="A84" s="93"/>
      <c r="B84" s="94">
        <v>83</v>
      </c>
      <c r="C84" s="86" t="s">
        <v>5039</v>
      </c>
      <c r="D84" s="86" t="s">
        <v>5040</v>
      </c>
      <c r="E84" s="86" t="s">
        <v>5041</v>
      </c>
      <c r="F84" s="86"/>
      <c r="G84" s="86"/>
      <c r="H84" s="86"/>
    </row>
    <row r="85" spans="1:12" hidden="1" outlineLevel="1" x14ac:dyDescent="0.2">
      <c r="A85" s="93"/>
      <c r="B85" s="94">
        <v>84</v>
      </c>
      <c r="C85" s="86"/>
      <c r="D85" s="86"/>
      <c r="E85" s="86"/>
      <c r="F85" s="205"/>
      <c r="G85" s="205"/>
      <c r="H85" s="205"/>
    </row>
    <row r="86" spans="1:12" hidden="1" outlineLevel="1" x14ac:dyDescent="0.2">
      <c r="A86" s="93"/>
      <c r="B86" s="94">
        <v>85</v>
      </c>
      <c r="C86" s="86"/>
      <c r="D86" s="86"/>
      <c r="E86" s="204"/>
      <c r="F86" s="23" t="s">
        <v>4881</v>
      </c>
      <c r="I86" s="23" t="s">
        <v>4882</v>
      </c>
      <c r="J86" s="23"/>
      <c r="K86" s="23"/>
      <c r="L86" s="23"/>
    </row>
    <row r="87" spans="1:12" hidden="1" outlineLevel="1" x14ac:dyDescent="0.2">
      <c r="A87" s="93"/>
      <c r="B87" s="94">
        <v>86</v>
      </c>
      <c r="C87" s="86" t="s">
        <v>4883</v>
      </c>
      <c r="D87" s="86" t="s">
        <v>4884</v>
      </c>
      <c r="E87" s="86" t="s">
        <v>4885</v>
      </c>
      <c r="F87" s="203">
        <v>50</v>
      </c>
      <c r="G87" s="203">
        <v>100</v>
      </c>
      <c r="H87" s="203">
        <v>150</v>
      </c>
      <c r="I87" s="203">
        <v>50</v>
      </c>
      <c r="J87" s="203">
        <v>100</v>
      </c>
      <c r="K87" s="203">
        <v>150</v>
      </c>
      <c r="L87" s="206"/>
    </row>
    <row r="88" spans="1:12" hidden="1" outlineLevel="1" x14ac:dyDescent="0.2">
      <c r="A88" s="93"/>
      <c r="B88" s="94">
        <v>87</v>
      </c>
      <c r="C88" s="86" t="s">
        <v>4886</v>
      </c>
      <c r="D88" s="86" t="s">
        <v>4887</v>
      </c>
      <c r="E88" s="86" t="s">
        <v>5107</v>
      </c>
      <c r="F88" s="202">
        <v>217</v>
      </c>
      <c r="G88" s="202">
        <v>652.17391304347836</v>
      </c>
      <c r="H88" s="202">
        <v>1086.9565217391305</v>
      </c>
      <c r="I88" s="202">
        <v>129.41176470588235</v>
      </c>
      <c r="J88" s="202">
        <v>388.23529411764707</v>
      </c>
      <c r="K88" s="202">
        <v>647.05882352941171</v>
      </c>
      <c r="L88" s="206">
        <v>1</v>
      </c>
    </row>
    <row r="89" spans="1:12" hidden="1" outlineLevel="1" x14ac:dyDescent="0.2">
      <c r="A89" s="93"/>
      <c r="B89" s="94">
        <v>88</v>
      </c>
      <c r="C89" s="86" t="s">
        <v>4888</v>
      </c>
      <c r="D89" s="86" t="s">
        <v>5108</v>
      </c>
      <c r="E89" s="86" t="s">
        <v>4889</v>
      </c>
      <c r="F89" s="202">
        <v>178</v>
      </c>
      <c r="G89" s="202">
        <v>533.59683794466412</v>
      </c>
      <c r="H89" s="202">
        <v>889.32806324110686</v>
      </c>
      <c r="I89" s="202">
        <v>105.88235294117646</v>
      </c>
      <c r="J89" s="202">
        <v>317.64705882352939</v>
      </c>
      <c r="K89" s="202">
        <v>529.41176470588232</v>
      </c>
      <c r="L89" s="206">
        <v>2</v>
      </c>
    </row>
    <row r="90" spans="1:12" hidden="1" outlineLevel="1" x14ac:dyDescent="0.2">
      <c r="A90" s="93"/>
      <c r="B90" s="94">
        <v>89</v>
      </c>
      <c r="C90" s="86" t="s">
        <v>4890</v>
      </c>
      <c r="D90" s="86" t="s">
        <v>4891</v>
      </c>
      <c r="E90" s="86" t="s">
        <v>4892</v>
      </c>
      <c r="F90" s="202">
        <v>138</v>
      </c>
      <c r="G90" s="202">
        <v>415.01976284584987</v>
      </c>
      <c r="H90" s="202">
        <v>691.69960474308311</v>
      </c>
      <c r="I90" s="202">
        <v>82.352941176470594</v>
      </c>
      <c r="J90" s="202">
        <v>247.05882352941177</v>
      </c>
      <c r="K90" s="202">
        <v>411.76470588235293</v>
      </c>
      <c r="L90" s="206">
        <v>3</v>
      </c>
    </row>
    <row r="91" spans="1:12" hidden="1" outlineLevel="1" x14ac:dyDescent="0.2">
      <c r="A91" s="93"/>
      <c r="B91" s="94">
        <v>90</v>
      </c>
      <c r="C91" s="86"/>
      <c r="D91" s="86"/>
      <c r="E91" s="86"/>
      <c r="F91" s="86"/>
      <c r="G91" s="86"/>
      <c r="H91" s="86"/>
    </row>
    <row r="92" spans="1:12" hidden="1" outlineLevel="1" x14ac:dyDescent="0.2">
      <c r="A92" s="93"/>
      <c r="B92" s="94">
        <v>91</v>
      </c>
      <c r="C92" s="86" t="s">
        <v>5016</v>
      </c>
      <c r="D92" s="86" t="s">
        <v>5017</v>
      </c>
      <c r="E92" s="86" t="s">
        <v>5018</v>
      </c>
      <c r="F92" s="86"/>
      <c r="G92" s="86"/>
      <c r="H92" s="86"/>
    </row>
    <row r="93" spans="1:12" hidden="1" outlineLevel="1" x14ac:dyDescent="0.2">
      <c r="A93" s="93"/>
      <c r="B93" s="94">
        <v>92</v>
      </c>
      <c r="C93" s="86" t="s">
        <v>5019</v>
      </c>
      <c r="D93" s="86" t="s">
        <v>5020</v>
      </c>
      <c r="E93" s="86" t="s">
        <v>5021</v>
      </c>
      <c r="F93" s="86"/>
      <c r="G93" s="86"/>
      <c r="H93" s="86"/>
    </row>
    <row r="94" spans="1:12" hidden="1" outlineLevel="1" x14ac:dyDescent="0.2">
      <c r="A94" s="93"/>
      <c r="B94" s="94">
        <v>93</v>
      </c>
      <c r="C94" s="86" t="s">
        <v>5022</v>
      </c>
      <c r="D94" s="86" t="s">
        <v>5023</v>
      </c>
      <c r="E94" s="86" t="s">
        <v>5024</v>
      </c>
      <c r="F94" s="86"/>
      <c r="G94" s="86"/>
      <c r="H94" s="86"/>
    </row>
    <row r="95" spans="1:12" hidden="1" outlineLevel="1" x14ac:dyDescent="0.2">
      <c r="A95" s="93"/>
      <c r="B95" s="94">
        <v>94</v>
      </c>
      <c r="C95" s="86"/>
      <c r="D95" s="86"/>
      <c r="E95" s="86"/>
      <c r="F95" s="86"/>
      <c r="G95" s="86"/>
      <c r="H95" s="86"/>
    </row>
    <row r="96" spans="1:12" hidden="1" outlineLevel="1" x14ac:dyDescent="0.2">
      <c r="A96" s="93"/>
      <c r="B96" s="94">
        <v>95</v>
      </c>
      <c r="C96" s="86" t="s">
        <v>5069</v>
      </c>
      <c r="D96" s="86" t="s">
        <v>5069</v>
      </c>
      <c r="E96" s="86" t="s">
        <v>5070</v>
      </c>
      <c r="F96" s="86"/>
      <c r="G96" s="86"/>
      <c r="H96" s="86"/>
    </row>
    <row r="97" spans="1:8" hidden="1" outlineLevel="1" x14ac:dyDescent="0.2">
      <c r="A97" s="93"/>
      <c r="B97" s="94">
        <v>96</v>
      </c>
      <c r="C97" s="86" t="s">
        <v>5071</v>
      </c>
      <c r="D97" s="86" t="s">
        <v>5072</v>
      </c>
      <c r="E97" s="86" t="s">
        <v>5073</v>
      </c>
      <c r="F97" s="86"/>
      <c r="G97" s="86"/>
      <c r="H97" s="86"/>
    </row>
    <row r="98" spans="1:8" hidden="1" outlineLevel="1" x14ac:dyDescent="0.2">
      <c r="A98" s="93"/>
      <c r="B98" s="94">
        <v>97</v>
      </c>
      <c r="C98" s="86" t="s">
        <v>5067</v>
      </c>
      <c r="D98" s="86" t="s">
        <v>5074</v>
      </c>
      <c r="E98" s="86" t="s">
        <v>5075</v>
      </c>
      <c r="F98" s="86"/>
      <c r="G98" s="86"/>
      <c r="H98" s="86"/>
    </row>
    <row r="99" spans="1:8" hidden="1" outlineLevel="1" x14ac:dyDescent="0.2">
      <c r="A99" s="93"/>
      <c r="B99" s="94">
        <v>98</v>
      </c>
      <c r="C99" s="86" t="s">
        <v>5068</v>
      </c>
      <c r="D99" s="86" t="s">
        <v>5076</v>
      </c>
      <c r="E99" s="86" t="s">
        <v>5077</v>
      </c>
      <c r="F99" s="86"/>
      <c r="G99" s="86"/>
      <c r="H99" s="86"/>
    </row>
    <row r="100" spans="1:8" hidden="1" outlineLevel="1" x14ac:dyDescent="0.2">
      <c r="A100" s="93"/>
      <c r="B100" s="94">
        <v>99</v>
      </c>
      <c r="C100" s="86" t="s">
        <v>5078</v>
      </c>
      <c r="D100" s="86" t="s">
        <v>5079</v>
      </c>
      <c r="E100" s="86" t="s">
        <v>5080</v>
      </c>
      <c r="F100" s="86"/>
      <c r="G100" s="86"/>
      <c r="H100" s="86"/>
    </row>
    <row r="101" spans="1:8" collapsed="1" x14ac:dyDescent="0.2">
      <c r="A101" s="89" t="s">
        <v>4700</v>
      </c>
      <c r="B101" s="88">
        <v>100</v>
      </c>
      <c r="C101" s="22" t="s">
        <v>4707</v>
      </c>
      <c r="D101" s="22" t="s">
        <v>4708</v>
      </c>
      <c r="E101" s="22" t="s">
        <v>4709</v>
      </c>
      <c r="F101" s="22"/>
      <c r="G101" s="22"/>
      <c r="H101" s="22"/>
    </row>
    <row r="102" spans="1:8" hidden="1" outlineLevel="1" x14ac:dyDescent="0.2">
      <c r="A102" s="87"/>
      <c r="B102" s="88">
        <v>101</v>
      </c>
      <c r="C102" s="22" t="s">
        <v>4601</v>
      </c>
      <c r="D102" s="22" t="s">
        <v>4615</v>
      </c>
      <c r="E102" s="22" t="s">
        <v>4644</v>
      </c>
      <c r="F102" s="22"/>
      <c r="G102" s="22"/>
      <c r="H102" s="22"/>
    </row>
    <row r="103" spans="1:8" hidden="1" outlineLevel="1" x14ac:dyDescent="0.2">
      <c r="A103" s="87"/>
      <c r="B103" s="88">
        <v>102</v>
      </c>
      <c r="C103" s="22" t="s">
        <v>4602</v>
      </c>
      <c r="D103" s="22" t="s">
        <v>4630</v>
      </c>
      <c r="E103" s="22" t="s">
        <v>4645</v>
      </c>
      <c r="F103" s="22"/>
      <c r="G103" s="22"/>
      <c r="H103" s="22"/>
    </row>
    <row r="104" spans="1:8" hidden="1" outlineLevel="1" x14ac:dyDescent="0.2">
      <c r="A104" s="87"/>
      <c r="B104" s="88">
        <v>103</v>
      </c>
      <c r="C104" s="22" t="s">
        <v>4603</v>
      </c>
      <c r="D104" s="22" t="s">
        <v>4603</v>
      </c>
      <c r="E104" s="22" t="s">
        <v>4646</v>
      </c>
      <c r="F104" s="22"/>
      <c r="G104" s="22"/>
      <c r="H104" s="22"/>
    </row>
    <row r="105" spans="1:8" hidden="1" outlineLevel="1" x14ac:dyDescent="0.2">
      <c r="A105" s="87"/>
      <c r="B105" s="88">
        <v>104</v>
      </c>
      <c r="C105" s="22" t="s">
        <v>4604</v>
      </c>
      <c r="D105" s="22" t="s">
        <v>4616</v>
      </c>
      <c r="E105" s="22" t="s">
        <v>4647</v>
      </c>
      <c r="F105" s="22"/>
      <c r="G105" s="22"/>
      <c r="H105" s="22"/>
    </row>
    <row r="106" spans="1:8" ht="89.25" hidden="1" outlineLevel="1" x14ac:dyDescent="0.2">
      <c r="A106" s="87"/>
      <c r="B106" s="88">
        <v>105</v>
      </c>
      <c r="C106" s="22" t="s">
        <v>4605</v>
      </c>
      <c r="D106" s="22" t="s">
        <v>4631</v>
      </c>
      <c r="E106" s="22" t="s">
        <v>4648</v>
      </c>
      <c r="F106" s="22"/>
      <c r="G106" s="22"/>
      <c r="H106" s="22"/>
    </row>
    <row r="107" spans="1:8" hidden="1" outlineLevel="1" x14ac:dyDescent="0.2">
      <c r="A107" s="87"/>
      <c r="B107" s="88">
        <v>106</v>
      </c>
      <c r="C107" s="22"/>
      <c r="D107" s="22"/>
      <c r="E107" s="22"/>
      <c r="F107" s="22"/>
      <c r="G107" s="22"/>
      <c r="H107" s="22"/>
    </row>
    <row r="108" spans="1:8" hidden="1" outlineLevel="1" x14ac:dyDescent="0.2">
      <c r="A108" s="87"/>
      <c r="B108" s="88">
        <v>107</v>
      </c>
      <c r="C108" s="22"/>
      <c r="D108" s="22"/>
      <c r="E108" s="22"/>
      <c r="F108" s="22"/>
      <c r="G108" s="22"/>
      <c r="H108" s="22"/>
    </row>
    <row r="109" spans="1:8" hidden="1" outlineLevel="1" x14ac:dyDescent="0.2">
      <c r="A109" s="87"/>
      <c r="B109" s="88">
        <v>108</v>
      </c>
      <c r="C109" s="22"/>
      <c r="D109" s="22"/>
      <c r="E109" s="22"/>
      <c r="F109" s="22"/>
      <c r="G109" s="22"/>
      <c r="H109" s="22"/>
    </row>
    <row r="110" spans="1:8" hidden="1" outlineLevel="1" x14ac:dyDescent="0.2">
      <c r="A110" s="87"/>
      <c r="B110" s="88">
        <v>109</v>
      </c>
      <c r="C110" s="96" t="s">
        <v>4623</v>
      </c>
      <c r="D110" s="96" t="s">
        <v>4642</v>
      </c>
      <c r="E110" s="96" t="s">
        <v>4657</v>
      </c>
      <c r="F110" s="96"/>
      <c r="G110" s="96"/>
      <c r="H110" s="96"/>
    </row>
    <row r="111" spans="1:8" hidden="1" outlineLevel="1" x14ac:dyDescent="0.2">
      <c r="A111" s="87"/>
      <c r="B111" s="88">
        <v>110</v>
      </c>
      <c r="C111" s="22" t="s">
        <v>4607</v>
      </c>
      <c r="D111" s="22" t="s">
        <v>5110</v>
      </c>
      <c r="E111" s="22" t="s">
        <v>4649</v>
      </c>
      <c r="F111" s="22"/>
      <c r="G111" s="22"/>
      <c r="H111" s="22"/>
    </row>
    <row r="112" spans="1:8" hidden="1" outlineLevel="1" x14ac:dyDescent="0.2">
      <c r="A112" s="87"/>
      <c r="B112" s="88">
        <v>111</v>
      </c>
      <c r="C112" s="22" t="s">
        <v>4608</v>
      </c>
      <c r="D112" s="22" t="s">
        <v>4632</v>
      </c>
      <c r="E112" s="22" t="s">
        <v>4650</v>
      </c>
      <c r="F112" s="22"/>
      <c r="G112" s="22"/>
      <c r="H112" s="22"/>
    </row>
    <row r="113" spans="1:8" hidden="1" outlineLevel="1" x14ac:dyDescent="0.2">
      <c r="A113" s="87"/>
      <c r="B113" s="88">
        <v>112</v>
      </c>
      <c r="C113" s="22"/>
      <c r="D113" s="22"/>
      <c r="E113" s="22"/>
      <c r="F113" s="22"/>
      <c r="G113" s="22"/>
      <c r="H113" s="22"/>
    </row>
    <row r="114" spans="1:8" hidden="1" outlineLevel="1" x14ac:dyDescent="0.2">
      <c r="A114" s="87"/>
      <c r="B114" s="88">
        <v>113</v>
      </c>
      <c r="C114" s="22"/>
      <c r="D114" s="22"/>
      <c r="E114" s="22"/>
      <c r="F114" s="22"/>
      <c r="G114" s="22"/>
      <c r="H114" s="22"/>
    </row>
    <row r="115" spans="1:8" hidden="1" outlineLevel="1" x14ac:dyDescent="0.2">
      <c r="A115" s="87"/>
      <c r="B115" s="88">
        <v>114</v>
      </c>
      <c r="C115" s="96" t="s">
        <v>4609</v>
      </c>
      <c r="D115" s="96" t="s">
        <v>4633</v>
      </c>
      <c r="E115" s="96" t="s">
        <v>4651</v>
      </c>
      <c r="F115" s="96"/>
      <c r="G115" s="96"/>
      <c r="H115" s="96"/>
    </row>
    <row r="116" spans="1:8" ht="63.75" hidden="1" outlineLevel="1" x14ac:dyDescent="0.2">
      <c r="A116" s="87"/>
      <c r="B116" s="88">
        <v>115</v>
      </c>
      <c r="C116" s="22" t="s">
        <v>5122</v>
      </c>
      <c r="D116" s="22" t="s">
        <v>4721</v>
      </c>
      <c r="E116" s="22" t="s">
        <v>4722</v>
      </c>
      <c r="F116" s="22"/>
      <c r="G116" s="22"/>
      <c r="H116" s="22"/>
    </row>
    <row r="117" spans="1:8" hidden="1" outlineLevel="1" x14ac:dyDescent="0.2">
      <c r="A117" s="87"/>
      <c r="B117" s="88">
        <v>116</v>
      </c>
      <c r="C117" s="22" t="s">
        <v>4617</v>
      </c>
      <c r="D117" s="22" t="s">
        <v>4637</v>
      </c>
      <c r="E117" s="22" t="s">
        <v>4652</v>
      </c>
      <c r="F117" s="22"/>
      <c r="G117" s="22"/>
      <c r="H117" s="22"/>
    </row>
    <row r="118" spans="1:8" hidden="1" outlineLevel="1" x14ac:dyDescent="0.2">
      <c r="A118" s="87"/>
      <c r="B118" s="88">
        <v>117</v>
      </c>
      <c r="C118" s="22" t="s">
        <v>4618</v>
      </c>
      <c r="D118" s="22" t="s">
        <v>4638</v>
      </c>
      <c r="E118" s="22" t="s">
        <v>4653</v>
      </c>
      <c r="F118" s="22"/>
      <c r="G118" s="22"/>
      <c r="H118" s="22"/>
    </row>
    <row r="119" spans="1:8" hidden="1" outlineLevel="1" x14ac:dyDescent="0.2">
      <c r="A119" s="87"/>
      <c r="B119" s="88">
        <v>118</v>
      </c>
      <c r="C119" s="22" t="s">
        <v>4619</v>
      </c>
      <c r="D119" s="22" t="s">
        <v>4639</v>
      </c>
      <c r="E119" s="22" t="s">
        <v>4654</v>
      </c>
      <c r="F119" s="22"/>
      <c r="G119" s="22"/>
      <c r="H119" s="22"/>
    </row>
    <row r="120" spans="1:8" hidden="1" outlineLevel="1" x14ac:dyDescent="0.2">
      <c r="A120" s="87"/>
      <c r="B120" s="88">
        <v>119</v>
      </c>
      <c r="C120" s="22" t="s">
        <v>4725</v>
      </c>
      <c r="D120" s="22" t="s">
        <v>4724</v>
      </c>
      <c r="E120" s="22" t="s">
        <v>4726</v>
      </c>
      <c r="F120" s="22"/>
      <c r="G120" s="22"/>
      <c r="H120" s="22"/>
    </row>
    <row r="121" spans="1:8" hidden="1" outlineLevel="1" x14ac:dyDescent="0.2">
      <c r="A121" s="87"/>
      <c r="B121" s="183">
        <v>120</v>
      </c>
      <c r="C121" s="22" t="s">
        <v>4621</v>
      </c>
      <c r="D121" s="22" t="s">
        <v>4640</v>
      </c>
      <c r="E121" s="22" t="s">
        <v>4655</v>
      </c>
      <c r="F121" s="22"/>
      <c r="G121" s="22"/>
      <c r="H121" s="22"/>
    </row>
    <row r="122" spans="1:8" ht="25.5" hidden="1" outlineLevel="1" x14ac:dyDescent="0.2">
      <c r="A122" s="87"/>
      <c r="B122" s="183">
        <v>121</v>
      </c>
      <c r="C122" s="22" t="s">
        <v>5031</v>
      </c>
      <c r="D122" s="22" t="s">
        <v>5032</v>
      </c>
      <c r="E122" s="22" t="s">
        <v>5033</v>
      </c>
      <c r="F122" s="22"/>
      <c r="G122" s="22"/>
      <c r="H122" s="22"/>
    </row>
    <row r="123" spans="1:8" hidden="1" outlineLevel="1" x14ac:dyDescent="0.2">
      <c r="A123" s="87"/>
      <c r="B123" s="183">
        <v>122</v>
      </c>
      <c r="C123" s="22" t="s">
        <v>4622</v>
      </c>
      <c r="D123" s="22" t="s">
        <v>4641</v>
      </c>
      <c r="E123" s="22" t="s">
        <v>4656</v>
      </c>
      <c r="F123" s="22"/>
      <c r="G123" s="22"/>
      <c r="H123" s="22"/>
    </row>
    <row r="124" spans="1:8" ht="51" hidden="1" outlineLevel="1" x14ac:dyDescent="0.2">
      <c r="A124" s="87"/>
      <c r="B124" s="183">
        <v>123</v>
      </c>
      <c r="C124" s="22" t="s">
        <v>5123</v>
      </c>
      <c r="D124" s="22" t="s">
        <v>5124</v>
      </c>
      <c r="E124" s="22" t="s">
        <v>5125</v>
      </c>
      <c r="F124" s="22"/>
      <c r="G124" s="22"/>
      <c r="H124" s="22"/>
    </row>
    <row r="125" spans="1:8" hidden="1" outlineLevel="1" x14ac:dyDescent="0.2">
      <c r="A125" s="87"/>
      <c r="B125" s="88">
        <v>124</v>
      </c>
      <c r="C125" s="22"/>
      <c r="D125" s="22"/>
      <c r="E125" s="22"/>
      <c r="F125" s="22"/>
      <c r="G125" s="22"/>
      <c r="H125" s="22"/>
    </row>
    <row r="126" spans="1:8" hidden="1" outlineLevel="1" x14ac:dyDescent="0.2">
      <c r="A126" s="87"/>
      <c r="B126" s="88">
        <v>125</v>
      </c>
      <c r="C126" s="96" t="s">
        <v>4610</v>
      </c>
      <c r="D126" s="96" t="s">
        <v>4634</v>
      </c>
      <c r="E126" s="96" t="s">
        <v>4662</v>
      </c>
      <c r="F126" s="96"/>
      <c r="G126" s="96"/>
      <c r="H126" s="96"/>
    </row>
    <row r="127" spans="1:8" ht="51" hidden="1" outlineLevel="1" x14ac:dyDescent="0.2">
      <c r="A127" s="87"/>
      <c r="B127" s="88">
        <v>126</v>
      </c>
      <c r="C127" s="22" t="s">
        <v>4672</v>
      </c>
      <c r="D127" s="22" t="s">
        <v>4673</v>
      </c>
      <c r="E127" s="22" t="s">
        <v>4674</v>
      </c>
      <c r="F127" s="22"/>
      <c r="G127" s="22"/>
      <c r="H127" s="22"/>
    </row>
    <row r="128" spans="1:8" hidden="1" outlineLevel="1" x14ac:dyDescent="0.2">
      <c r="A128" s="87"/>
      <c r="B128" s="88">
        <v>127</v>
      </c>
      <c r="C128" s="22" t="s">
        <v>4669</v>
      </c>
      <c r="D128" s="22" t="s">
        <v>4670</v>
      </c>
      <c r="E128" s="22" t="s">
        <v>4671</v>
      </c>
      <c r="F128" s="22"/>
      <c r="G128" s="22"/>
      <c r="H128" s="22"/>
    </row>
    <row r="129" spans="1:8" ht="63.75" hidden="1" outlineLevel="1" x14ac:dyDescent="0.2">
      <c r="A129" s="87"/>
      <c r="B129" s="184">
        <v>128</v>
      </c>
      <c r="C129" s="22" t="s">
        <v>4713</v>
      </c>
      <c r="D129" s="22" t="s">
        <v>4714</v>
      </c>
      <c r="E129" s="22" t="s">
        <v>4715</v>
      </c>
      <c r="F129" s="22"/>
      <c r="G129" s="22"/>
      <c r="H129" s="22"/>
    </row>
    <row r="130" spans="1:8" ht="63.75" hidden="1" outlineLevel="1" x14ac:dyDescent="0.2">
      <c r="A130" s="87"/>
      <c r="B130" s="184">
        <v>129</v>
      </c>
      <c r="C130" s="22" t="s">
        <v>4750</v>
      </c>
      <c r="D130" s="22" t="s">
        <v>4748</v>
      </c>
      <c r="E130" s="22" t="s">
        <v>4751</v>
      </c>
      <c r="F130" s="22"/>
      <c r="G130" s="22"/>
      <c r="H130" s="22"/>
    </row>
    <row r="131" spans="1:8" hidden="1" outlineLevel="1" x14ac:dyDescent="0.2">
      <c r="A131" s="87"/>
      <c r="B131" s="184">
        <v>130</v>
      </c>
      <c r="C131" s="22" t="s">
        <v>4749</v>
      </c>
      <c r="D131" s="22" t="s">
        <v>4635</v>
      </c>
      <c r="E131" s="22" t="s">
        <v>4661</v>
      </c>
      <c r="F131" s="22"/>
      <c r="G131" s="22"/>
      <c r="H131" s="22"/>
    </row>
    <row r="132" spans="1:8" ht="25.5" hidden="1" outlineLevel="1" x14ac:dyDescent="0.2">
      <c r="A132" s="87"/>
      <c r="B132" s="184">
        <v>131</v>
      </c>
      <c r="C132" s="22" t="s">
        <v>4718</v>
      </c>
      <c r="D132" s="22" t="s">
        <v>4717</v>
      </c>
      <c r="E132" s="22" t="s">
        <v>4658</v>
      </c>
      <c r="F132" s="22"/>
      <c r="G132" s="22"/>
      <c r="H132" s="22"/>
    </row>
    <row r="133" spans="1:8" hidden="1" outlineLevel="1" x14ac:dyDescent="0.2">
      <c r="A133" s="87"/>
      <c r="B133" s="88">
        <v>132</v>
      </c>
      <c r="C133" s="22" t="s">
        <v>4916</v>
      </c>
      <c r="D133" s="22" t="s">
        <v>4917</v>
      </c>
      <c r="E133" s="22" t="s">
        <v>4918</v>
      </c>
      <c r="F133" s="22"/>
      <c r="G133" s="22"/>
      <c r="H133" s="22"/>
    </row>
    <row r="134" spans="1:8" hidden="1" outlineLevel="1" x14ac:dyDescent="0.2">
      <c r="A134" s="87"/>
      <c r="B134" s="88">
        <v>133</v>
      </c>
      <c r="C134" s="22"/>
      <c r="D134" s="22"/>
      <c r="E134" s="22"/>
      <c r="F134" s="22"/>
      <c r="G134" s="22"/>
      <c r="H134" s="22"/>
    </row>
    <row r="135" spans="1:8" hidden="1" outlineLevel="1" x14ac:dyDescent="0.2">
      <c r="A135" s="87"/>
      <c r="B135" s="88">
        <v>134</v>
      </c>
      <c r="C135" s="22"/>
      <c r="D135" s="22"/>
      <c r="E135" s="22"/>
      <c r="F135" s="22"/>
      <c r="G135" s="22"/>
      <c r="H135" s="22"/>
    </row>
    <row r="136" spans="1:8" hidden="1" outlineLevel="1" x14ac:dyDescent="0.2">
      <c r="A136" s="87"/>
      <c r="B136" s="88">
        <v>135</v>
      </c>
      <c r="C136" s="97" t="s">
        <v>4710</v>
      </c>
      <c r="D136" s="97" t="s">
        <v>4711</v>
      </c>
      <c r="E136" s="97" t="s">
        <v>4712</v>
      </c>
      <c r="F136" s="97"/>
      <c r="G136" s="97"/>
      <c r="H136" s="97"/>
    </row>
    <row r="137" spans="1:8" ht="38.25" hidden="1" outlineLevel="1" x14ac:dyDescent="0.2">
      <c r="A137" s="87"/>
      <c r="B137" s="88">
        <v>136</v>
      </c>
      <c r="C137" s="22" t="s">
        <v>4801</v>
      </c>
      <c r="D137" s="22" t="s">
        <v>4802</v>
      </c>
      <c r="E137" s="22" t="s">
        <v>4803</v>
      </c>
      <c r="F137" s="22"/>
      <c r="G137" s="22"/>
      <c r="H137" s="22"/>
    </row>
    <row r="138" spans="1:8" hidden="1" outlineLevel="1" x14ac:dyDescent="0.2">
      <c r="A138" s="87"/>
      <c r="B138" s="88">
        <v>137</v>
      </c>
      <c r="C138" s="22" t="s">
        <v>4800</v>
      </c>
      <c r="D138" s="22" t="s">
        <v>4805</v>
      </c>
      <c r="E138" s="22" t="s">
        <v>4804</v>
      </c>
      <c r="F138" s="22"/>
      <c r="G138" s="22"/>
      <c r="H138" s="22"/>
    </row>
    <row r="139" spans="1:8" hidden="1" outlineLevel="1" x14ac:dyDescent="0.2">
      <c r="A139" s="87"/>
      <c r="B139" s="88">
        <v>138</v>
      </c>
      <c r="C139" s="22"/>
      <c r="D139" s="22"/>
      <c r="E139" s="22"/>
      <c r="F139" s="22"/>
      <c r="G139" s="22"/>
      <c r="H139" s="22"/>
    </row>
    <row r="140" spans="1:8" ht="38.25" hidden="1" outlineLevel="1" x14ac:dyDescent="0.2">
      <c r="A140" s="87"/>
      <c r="B140" s="88">
        <v>139</v>
      </c>
      <c r="C140" s="22" t="s">
        <v>4813</v>
      </c>
      <c r="D140" s="22" t="s">
        <v>4814</v>
      </c>
      <c r="E140" s="22" t="s">
        <v>4723</v>
      </c>
      <c r="F140" s="22"/>
      <c r="G140" s="22"/>
      <c r="H140" s="22"/>
    </row>
    <row r="141" spans="1:8" hidden="1" outlineLevel="1" x14ac:dyDescent="0.2">
      <c r="A141" s="87"/>
      <c r="B141" s="88">
        <v>140</v>
      </c>
      <c r="C141" s="96" t="s">
        <v>4611</v>
      </c>
      <c r="D141" s="96" t="s">
        <v>4636</v>
      </c>
      <c r="E141" s="96" t="s">
        <v>4660</v>
      </c>
      <c r="F141" s="96"/>
      <c r="G141" s="96"/>
      <c r="H141" s="96"/>
    </row>
    <row r="142" spans="1:8" ht="76.5" hidden="1" outlineLevel="1" x14ac:dyDescent="0.2">
      <c r="A142" s="87"/>
      <c r="B142" s="88">
        <v>141</v>
      </c>
      <c r="C142" s="22" t="s">
        <v>4811</v>
      </c>
      <c r="D142" s="22" t="s">
        <v>5111</v>
      </c>
      <c r="E142" s="22" t="s">
        <v>5112</v>
      </c>
      <c r="F142" s="22"/>
      <c r="G142" s="22"/>
      <c r="H142" s="22"/>
    </row>
    <row r="143" spans="1:8" hidden="1" outlineLevel="1" x14ac:dyDescent="0.2">
      <c r="A143" s="87"/>
      <c r="B143" s="88">
        <v>142</v>
      </c>
      <c r="C143" s="22" t="s">
        <v>4719</v>
      </c>
      <c r="D143" s="22"/>
      <c r="E143" s="22"/>
      <c r="F143" s="22"/>
      <c r="G143" s="22"/>
      <c r="H143" s="22"/>
    </row>
    <row r="144" spans="1:8" hidden="1" outlineLevel="1" x14ac:dyDescent="0.2">
      <c r="A144" s="87"/>
      <c r="B144" s="88">
        <v>143</v>
      </c>
      <c r="C144" s="96" t="s">
        <v>4481</v>
      </c>
      <c r="D144" s="96" t="s">
        <v>4461</v>
      </c>
      <c r="E144" s="96" t="s">
        <v>4659</v>
      </c>
      <c r="F144" s="96"/>
      <c r="G144" s="96"/>
      <c r="H144" s="96"/>
    </row>
    <row r="145" spans="1:8" hidden="1" outlineLevel="1" x14ac:dyDescent="0.2">
      <c r="A145" s="87"/>
      <c r="B145" s="88">
        <v>144</v>
      </c>
      <c r="C145" s="22" t="s">
        <v>4766</v>
      </c>
      <c r="D145" s="22" t="s">
        <v>4767</v>
      </c>
      <c r="E145" s="22" t="s">
        <v>4768</v>
      </c>
      <c r="F145" s="22"/>
      <c r="G145" s="22"/>
      <c r="H145" s="22"/>
    </row>
    <row r="146" spans="1:8" ht="25.5" hidden="1" outlineLevel="1" x14ac:dyDescent="0.2">
      <c r="A146" s="87"/>
      <c r="B146" s="88">
        <v>145</v>
      </c>
      <c r="C146" s="22" t="s">
        <v>4744</v>
      </c>
      <c r="D146" s="22" t="s">
        <v>4746</v>
      </c>
      <c r="E146" s="22" t="s">
        <v>4747</v>
      </c>
      <c r="F146" s="22"/>
      <c r="G146" s="22"/>
      <c r="H146" s="22"/>
    </row>
    <row r="147" spans="1:8" hidden="1" outlineLevel="1" x14ac:dyDescent="0.2">
      <c r="A147" s="87"/>
      <c r="B147" s="88">
        <v>146</v>
      </c>
      <c r="C147" s="22" t="s">
        <v>4745</v>
      </c>
      <c r="D147" s="22"/>
      <c r="E147" s="22"/>
      <c r="F147" s="22"/>
      <c r="G147" s="22"/>
      <c r="H147" s="22"/>
    </row>
    <row r="148" spans="1:8" hidden="1" outlineLevel="1" x14ac:dyDescent="0.2">
      <c r="A148" s="87"/>
      <c r="B148" s="88">
        <v>147</v>
      </c>
      <c r="C148" s="96" t="s">
        <v>4780</v>
      </c>
      <c r="D148" s="96" t="s">
        <v>4781</v>
      </c>
      <c r="E148" s="96" t="s">
        <v>4782</v>
      </c>
      <c r="F148" s="96"/>
      <c r="G148" s="96"/>
      <c r="H148" s="96"/>
    </row>
    <row r="149" spans="1:8" hidden="1" outlineLevel="1" x14ac:dyDescent="0.2">
      <c r="A149" s="87"/>
      <c r="B149" s="88">
        <v>148</v>
      </c>
      <c r="C149" s="22" t="s">
        <v>4769</v>
      </c>
      <c r="D149" s="22" t="s">
        <v>4770</v>
      </c>
      <c r="E149" s="22" t="s">
        <v>4771</v>
      </c>
      <c r="F149" s="22"/>
      <c r="G149" s="22"/>
      <c r="H149" s="22"/>
    </row>
    <row r="150" spans="1:8" hidden="1" outlineLevel="1" x14ac:dyDescent="0.2">
      <c r="A150" s="87"/>
      <c r="B150" s="88">
        <v>149</v>
      </c>
      <c r="C150" s="22" t="s">
        <v>4773</v>
      </c>
      <c r="D150" s="22" t="s">
        <v>4774</v>
      </c>
      <c r="E150" s="22" t="s">
        <v>4775</v>
      </c>
      <c r="F150" s="22"/>
      <c r="G150" s="22"/>
      <c r="H150" s="22"/>
    </row>
    <row r="151" spans="1:8" hidden="1" outlineLevel="1" x14ac:dyDescent="0.2">
      <c r="A151" s="181" t="s">
        <v>4853</v>
      </c>
      <c r="B151" s="88">
        <v>150</v>
      </c>
      <c r="C151" s="86" t="s">
        <v>5090</v>
      </c>
      <c r="D151" s="86" t="s">
        <v>5091</v>
      </c>
      <c r="E151" s="86" t="s">
        <v>5092</v>
      </c>
      <c r="F151" s="86"/>
      <c r="G151" s="86"/>
      <c r="H151" s="86"/>
    </row>
    <row r="152" spans="1:8" ht="38.25" hidden="1" outlineLevel="1" x14ac:dyDescent="0.2">
      <c r="A152" s="181" t="s">
        <v>4854</v>
      </c>
      <c r="B152" s="88">
        <v>151</v>
      </c>
      <c r="C152" s="86" t="s">
        <v>5025</v>
      </c>
      <c r="D152" s="86" t="s">
        <v>5026</v>
      </c>
      <c r="E152" s="86" t="s">
        <v>5027</v>
      </c>
      <c r="F152" s="86"/>
      <c r="G152" s="86"/>
      <c r="H152" s="86"/>
    </row>
    <row r="153" spans="1:8" ht="51" hidden="1" outlineLevel="1" x14ac:dyDescent="0.2">
      <c r="A153" s="181" t="s">
        <v>4855</v>
      </c>
      <c r="B153" s="88">
        <v>152</v>
      </c>
      <c r="C153" s="86" t="s">
        <v>5093</v>
      </c>
      <c r="D153" s="86" t="s">
        <v>5094</v>
      </c>
      <c r="E153" s="86" t="s">
        <v>5095</v>
      </c>
      <c r="F153" s="86"/>
      <c r="G153" s="86"/>
      <c r="H153" s="86"/>
    </row>
    <row r="154" spans="1:8" ht="38.25" hidden="1" outlineLevel="1" x14ac:dyDescent="0.2">
      <c r="A154" s="182" t="s">
        <v>4856</v>
      </c>
      <c r="B154" s="88">
        <v>153</v>
      </c>
      <c r="C154" s="86" t="s">
        <v>5028</v>
      </c>
      <c r="D154" s="86" t="s">
        <v>5029</v>
      </c>
      <c r="E154" s="86" t="s">
        <v>5030</v>
      </c>
      <c r="F154" s="86"/>
      <c r="G154" s="86"/>
      <c r="H154" s="86"/>
    </row>
    <row r="155" spans="1:8" ht="51" hidden="1" outlineLevel="1" x14ac:dyDescent="0.2">
      <c r="A155" s="87"/>
      <c r="B155" s="88">
        <v>154</v>
      </c>
      <c r="C155" s="86" t="s">
        <v>5096</v>
      </c>
      <c r="D155" s="86" t="s">
        <v>5097</v>
      </c>
      <c r="E155" s="86" t="s">
        <v>5098</v>
      </c>
      <c r="F155" s="86"/>
      <c r="G155" s="86"/>
      <c r="H155" s="86"/>
    </row>
    <row r="156" spans="1:8" hidden="1" outlineLevel="1" x14ac:dyDescent="0.2">
      <c r="A156" s="87"/>
      <c r="B156" s="88">
        <v>155</v>
      </c>
      <c r="C156" s="86"/>
      <c r="D156" s="86"/>
      <c r="E156" s="86"/>
      <c r="F156" s="86"/>
      <c r="G156" s="86"/>
      <c r="H156" s="86"/>
    </row>
    <row r="157" spans="1:8" hidden="1" outlineLevel="1" x14ac:dyDescent="0.2">
      <c r="A157" s="87"/>
      <c r="B157" s="88">
        <v>156</v>
      </c>
      <c r="C157" s="86"/>
      <c r="D157" s="86"/>
      <c r="E157" s="86"/>
      <c r="F157" s="86"/>
      <c r="G157" s="86"/>
      <c r="H157" s="86"/>
    </row>
    <row r="158" spans="1:8" hidden="1" outlineLevel="1" x14ac:dyDescent="0.2">
      <c r="A158" s="87"/>
      <c r="B158" s="88">
        <v>157</v>
      </c>
      <c r="C158" s="86"/>
      <c r="D158" s="86"/>
      <c r="E158" s="86"/>
      <c r="F158" s="86"/>
      <c r="G158" s="86"/>
      <c r="H158" s="86"/>
    </row>
    <row r="159" spans="1:8" hidden="1" outlineLevel="1" x14ac:dyDescent="0.2">
      <c r="A159" s="87"/>
      <c r="B159" s="88">
        <v>158</v>
      </c>
      <c r="C159" s="86"/>
      <c r="D159" s="86"/>
      <c r="E159" s="86"/>
      <c r="F159" s="86"/>
      <c r="G159" s="86"/>
      <c r="H159" s="86"/>
    </row>
    <row r="160" spans="1:8" hidden="1" outlineLevel="1" x14ac:dyDescent="0.2">
      <c r="A160" s="87"/>
      <c r="B160" s="88">
        <v>159</v>
      </c>
      <c r="C160" s="86"/>
      <c r="D160" s="86"/>
      <c r="E160" s="86"/>
      <c r="F160" s="86"/>
      <c r="G160" s="86"/>
      <c r="H160" s="86"/>
    </row>
    <row r="161" spans="1:8" ht="38.25" hidden="1" outlineLevel="1" x14ac:dyDescent="0.2">
      <c r="A161" s="182" t="s">
        <v>4858</v>
      </c>
      <c r="B161" s="88">
        <v>160</v>
      </c>
      <c r="C161" s="86"/>
      <c r="D161" s="86"/>
      <c r="E161" s="86"/>
      <c r="F161" s="86"/>
      <c r="G161" s="86"/>
      <c r="H161" s="86"/>
    </row>
    <row r="162" spans="1:8" hidden="1" outlineLevel="1" x14ac:dyDescent="0.2">
      <c r="A162" s="95"/>
      <c r="B162" s="88">
        <v>161</v>
      </c>
      <c r="C162" s="86"/>
      <c r="D162" s="86"/>
      <c r="E162" s="86"/>
      <c r="F162" s="86"/>
      <c r="G162" s="86"/>
      <c r="H162" s="86"/>
    </row>
    <row r="163" spans="1:8" hidden="1" outlineLevel="1" x14ac:dyDescent="0.2">
      <c r="A163" s="95"/>
      <c r="B163" s="88">
        <v>162</v>
      </c>
      <c r="C163" s="86"/>
      <c r="D163" s="86"/>
      <c r="E163" s="86"/>
      <c r="F163" s="86"/>
      <c r="G163" s="86"/>
      <c r="H163" s="86"/>
    </row>
    <row r="164" spans="1:8" hidden="1" outlineLevel="1" x14ac:dyDescent="0.2">
      <c r="A164" s="95"/>
      <c r="B164" s="88">
        <v>163</v>
      </c>
      <c r="C164" s="86"/>
      <c r="D164" s="86"/>
      <c r="E164" s="86"/>
      <c r="F164" s="86"/>
      <c r="G164" s="86"/>
      <c r="H164" s="86"/>
    </row>
    <row r="165" spans="1:8" hidden="1" outlineLevel="1" x14ac:dyDescent="0.2">
      <c r="A165" s="87"/>
      <c r="B165" s="88">
        <v>164</v>
      </c>
      <c r="C165" s="86"/>
      <c r="D165" s="86"/>
      <c r="E165" s="86"/>
      <c r="F165" s="86"/>
      <c r="G165" s="86"/>
      <c r="H165" s="86"/>
    </row>
    <row r="166" spans="1:8" hidden="1" outlineLevel="1" x14ac:dyDescent="0.2">
      <c r="A166" s="87"/>
      <c r="B166" s="88">
        <v>165</v>
      </c>
      <c r="C166" s="86"/>
      <c r="D166" s="86"/>
      <c r="E166" s="86"/>
      <c r="F166" s="86"/>
      <c r="G166" s="86"/>
      <c r="H166" s="86"/>
    </row>
    <row r="167" spans="1:8" hidden="1" outlineLevel="1" x14ac:dyDescent="0.2">
      <c r="A167" s="87"/>
      <c r="B167" s="88">
        <v>166</v>
      </c>
      <c r="C167" s="86"/>
      <c r="D167" s="86"/>
      <c r="E167" s="86"/>
      <c r="F167" s="86"/>
      <c r="G167" s="86"/>
      <c r="H167" s="86"/>
    </row>
    <row r="168" spans="1:8" hidden="1" outlineLevel="1" x14ac:dyDescent="0.2">
      <c r="A168" s="87"/>
      <c r="B168" s="88">
        <v>167</v>
      </c>
      <c r="C168" s="86"/>
      <c r="D168" s="86"/>
      <c r="E168" s="86"/>
      <c r="F168" s="86"/>
      <c r="G168" s="86"/>
      <c r="H168" s="86"/>
    </row>
    <row r="169" spans="1:8" hidden="1" outlineLevel="1" x14ac:dyDescent="0.2">
      <c r="A169" s="87"/>
      <c r="B169" s="88">
        <v>168</v>
      </c>
      <c r="C169" s="86"/>
      <c r="D169" s="86"/>
      <c r="E169" s="86"/>
      <c r="F169" s="86"/>
      <c r="G169" s="86"/>
      <c r="H169" s="86"/>
    </row>
    <row r="170" spans="1:8" ht="38.25" hidden="1" outlineLevel="1" x14ac:dyDescent="0.2">
      <c r="A170" s="182" t="s">
        <v>4876</v>
      </c>
      <c r="B170" s="88">
        <v>169</v>
      </c>
      <c r="C170" s="86"/>
      <c r="D170" s="86"/>
      <c r="E170" s="86"/>
      <c r="F170" s="86"/>
      <c r="G170" s="86"/>
      <c r="H170" s="86"/>
    </row>
    <row r="171" spans="1:8" hidden="1" outlineLevel="1" x14ac:dyDescent="0.2">
      <c r="A171" s="186" t="s">
        <v>4863</v>
      </c>
      <c r="B171" s="88">
        <v>170</v>
      </c>
      <c r="C171" s="122" t="s">
        <v>4620</v>
      </c>
      <c r="D171" s="122" t="s">
        <v>4620</v>
      </c>
      <c r="E171" s="122" t="s">
        <v>4666</v>
      </c>
      <c r="F171" s="122"/>
      <c r="G171" s="122"/>
      <c r="H171" s="122"/>
    </row>
    <row r="172" spans="1:8" ht="195" hidden="1" customHeight="1" outlineLevel="1" x14ac:dyDescent="0.2">
      <c r="A172" s="186" t="s">
        <v>4859</v>
      </c>
      <c r="B172" s="88">
        <v>171</v>
      </c>
      <c r="C172" s="86" t="s">
        <v>5099</v>
      </c>
      <c r="D172" s="86" t="s">
        <v>5100</v>
      </c>
      <c r="E172" s="86" t="s">
        <v>5101</v>
      </c>
      <c r="F172" s="86"/>
      <c r="G172" s="86"/>
      <c r="H172" s="86"/>
    </row>
    <row r="173" spans="1:8" hidden="1" outlineLevel="1" x14ac:dyDescent="0.2">
      <c r="A173" s="186" t="s">
        <v>4864</v>
      </c>
      <c r="B173" s="88">
        <v>172</v>
      </c>
      <c r="C173" s="122" t="s">
        <v>4910</v>
      </c>
      <c r="D173" s="122" t="s">
        <v>4912</v>
      </c>
      <c r="E173" s="122" t="s">
        <v>4914</v>
      </c>
      <c r="F173" s="86"/>
      <c r="G173" s="86"/>
      <c r="H173" s="86"/>
    </row>
    <row r="174" spans="1:8" ht="38.25" hidden="1" outlineLevel="1" x14ac:dyDescent="0.2">
      <c r="A174" s="186" t="s">
        <v>4862</v>
      </c>
      <c r="B174" s="88">
        <v>173</v>
      </c>
      <c r="C174" s="86" t="s">
        <v>4911</v>
      </c>
      <c r="D174" s="86" t="s">
        <v>4913</v>
      </c>
      <c r="E174" s="86" t="s">
        <v>4915</v>
      </c>
      <c r="F174" s="122"/>
      <c r="G174" s="122"/>
      <c r="H174" s="122"/>
    </row>
    <row r="175" spans="1:8" hidden="1" outlineLevel="1" x14ac:dyDescent="0.2">
      <c r="A175" s="186" t="s">
        <v>4861</v>
      </c>
      <c r="B175" s="88">
        <v>174</v>
      </c>
      <c r="C175" s="86"/>
      <c r="D175" s="86"/>
      <c r="E175" s="86"/>
      <c r="F175" s="86"/>
      <c r="G175" s="86"/>
      <c r="H175" s="86"/>
    </row>
    <row r="176" spans="1:8" hidden="1" outlineLevel="1" x14ac:dyDescent="0.2">
      <c r="A176" s="186" t="s">
        <v>4860</v>
      </c>
      <c r="B176" s="88">
        <v>175</v>
      </c>
      <c r="C176" s="86"/>
      <c r="D176" s="86"/>
      <c r="E176" s="86"/>
      <c r="F176" s="86"/>
      <c r="G176" s="86"/>
      <c r="H176" s="86"/>
    </row>
    <row r="177" spans="1:8" hidden="1" outlineLevel="1" x14ac:dyDescent="0.2">
      <c r="A177" s="186" t="s">
        <v>4865</v>
      </c>
      <c r="B177" s="88">
        <v>176</v>
      </c>
      <c r="C177" s="122" t="s">
        <v>4815</v>
      </c>
      <c r="D177" s="122" t="s">
        <v>5105</v>
      </c>
      <c r="E177" s="122" t="s">
        <v>4852</v>
      </c>
      <c r="F177" s="122"/>
      <c r="G177" s="122"/>
      <c r="H177" s="122"/>
    </row>
    <row r="178" spans="1:8" hidden="1" outlineLevel="1" x14ac:dyDescent="0.2">
      <c r="A178" s="186" t="s">
        <v>4866</v>
      </c>
      <c r="B178" s="88">
        <v>177</v>
      </c>
      <c r="C178" s="86" t="s">
        <v>2</v>
      </c>
      <c r="D178" s="86" t="s">
        <v>2</v>
      </c>
      <c r="E178" s="86" t="s">
        <v>2</v>
      </c>
      <c r="F178" s="86"/>
      <c r="G178" s="86"/>
      <c r="H178" s="86"/>
    </row>
    <row r="179" spans="1:8" ht="25.5" hidden="1" outlineLevel="1" x14ac:dyDescent="0.2">
      <c r="A179" s="186" t="s">
        <v>4867</v>
      </c>
      <c r="B179" s="88">
        <v>178</v>
      </c>
      <c r="C179" s="86" t="s">
        <v>4902</v>
      </c>
      <c r="D179" s="86" t="s">
        <v>4903</v>
      </c>
      <c r="E179" s="86" t="s">
        <v>4904</v>
      </c>
      <c r="F179" s="86"/>
      <c r="G179" s="86"/>
      <c r="H179" s="86"/>
    </row>
    <row r="180" spans="1:8" hidden="1" outlineLevel="1" x14ac:dyDescent="0.2">
      <c r="A180" s="87"/>
      <c r="B180" s="88">
        <v>179</v>
      </c>
      <c r="C180" s="86"/>
      <c r="D180" s="86"/>
      <c r="E180" s="86"/>
      <c r="F180" s="86"/>
      <c r="G180" s="86"/>
      <c r="H180" s="86"/>
    </row>
    <row r="181" spans="1:8" ht="51" hidden="1" outlineLevel="1" x14ac:dyDescent="0.2">
      <c r="A181" s="182" t="s">
        <v>4877</v>
      </c>
      <c r="B181" s="88">
        <v>180</v>
      </c>
      <c r="C181" s="122" t="s">
        <v>4905</v>
      </c>
      <c r="D181" s="122" t="s">
        <v>4907</v>
      </c>
      <c r="E181" s="122" t="s">
        <v>4908</v>
      </c>
      <c r="F181" s="122"/>
      <c r="G181" s="122"/>
      <c r="H181" s="122"/>
    </row>
    <row r="182" spans="1:8" ht="63.75" hidden="1" outlineLevel="1" x14ac:dyDescent="0.2">
      <c r="A182" s="87"/>
      <c r="B182" s="88">
        <v>181</v>
      </c>
      <c r="C182" s="86" t="s">
        <v>4906</v>
      </c>
      <c r="D182" s="86" t="s">
        <v>5106</v>
      </c>
      <c r="E182" s="86" t="s">
        <v>4909</v>
      </c>
      <c r="F182" s="86"/>
      <c r="G182" s="86"/>
      <c r="H182" s="86"/>
    </row>
    <row r="183" spans="1:8" hidden="1" outlineLevel="1" x14ac:dyDescent="0.2">
      <c r="A183" s="87"/>
      <c r="B183" s="88">
        <v>182</v>
      </c>
      <c r="C183" s="122"/>
      <c r="D183" s="122"/>
      <c r="E183" s="122"/>
      <c r="F183" s="122"/>
      <c r="G183" s="122"/>
      <c r="H183" s="122"/>
    </row>
    <row r="184" spans="1:8" hidden="1" outlineLevel="1" x14ac:dyDescent="0.2">
      <c r="A184" s="87"/>
      <c r="B184" s="88">
        <v>183</v>
      </c>
      <c r="C184" s="86" t="s">
        <v>4955</v>
      </c>
      <c r="D184" s="86" t="s">
        <v>4956</v>
      </c>
      <c r="E184" s="86" t="s">
        <v>4957</v>
      </c>
      <c r="F184" s="86"/>
      <c r="G184" s="86"/>
      <c r="H184" s="86"/>
    </row>
    <row r="185" spans="1:8" ht="38.25" hidden="1" outlineLevel="1" x14ac:dyDescent="0.2">
      <c r="A185" s="87"/>
      <c r="B185" s="88">
        <v>184</v>
      </c>
      <c r="C185" s="122" t="s">
        <v>4952</v>
      </c>
      <c r="D185" s="122" t="s">
        <v>4953</v>
      </c>
      <c r="E185" s="122" t="s">
        <v>4954</v>
      </c>
      <c r="F185" s="122"/>
      <c r="G185" s="122"/>
      <c r="H185" s="122"/>
    </row>
    <row r="186" spans="1:8" hidden="1" outlineLevel="1" x14ac:dyDescent="0.2">
      <c r="A186" s="87"/>
      <c r="B186" s="88">
        <v>185</v>
      </c>
      <c r="C186" s="86" t="s">
        <v>4949</v>
      </c>
      <c r="D186" s="86" t="s">
        <v>4950</v>
      </c>
      <c r="E186" s="86" t="s">
        <v>4951</v>
      </c>
      <c r="F186" s="86"/>
      <c r="G186" s="86"/>
      <c r="H186" s="86"/>
    </row>
    <row r="187" spans="1:8" ht="13.5" hidden="1" outlineLevel="1" x14ac:dyDescent="0.2">
      <c r="A187" s="87"/>
      <c r="B187" s="88">
        <v>186</v>
      </c>
      <c r="C187" s="86" t="s">
        <v>4919</v>
      </c>
      <c r="D187" s="86" t="s">
        <v>4928</v>
      </c>
      <c r="E187" s="86" t="s">
        <v>4934</v>
      </c>
      <c r="F187" s="122"/>
      <c r="G187" s="122"/>
      <c r="H187" s="122"/>
    </row>
    <row r="188" spans="1:8" ht="13.5" hidden="1" outlineLevel="1" x14ac:dyDescent="0.2">
      <c r="A188" s="87"/>
      <c r="B188" s="88">
        <v>187</v>
      </c>
      <c r="C188" s="86" t="s">
        <v>4920</v>
      </c>
      <c r="D188" s="86" t="s">
        <v>5113</v>
      </c>
      <c r="E188" s="86" t="s">
        <v>5118</v>
      </c>
      <c r="F188" s="86"/>
      <c r="G188" s="86"/>
      <c r="H188" s="86"/>
    </row>
    <row r="189" spans="1:8" ht="13.5" hidden="1" outlineLevel="1" x14ac:dyDescent="0.2">
      <c r="A189" s="87"/>
      <c r="B189" s="88">
        <v>188</v>
      </c>
      <c r="C189" s="86" t="s">
        <v>4921</v>
      </c>
      <c r="D189" s="86" t="s">
        <v>4929</v>
      </c>
      <c r="E189" s="86" t="s">
        <v>4935</v>
      </c>
      <c r="F189" s="86"/>
      <c r="G189" s="86"/>
      <c r="H189" s="86"/>
    </row>
    <row r="190" spans="1:8" ht="13.5" hidden="1" outlineLevel="1" x14ac:dyDescent="0.2">
      <c r="A190" s="87"/>
      <c r="B190" s="88">
        <v>189</v>
      </c>
      <c r="C190" s="86" t="s">
        <v>4922</v>
      </c>
      <c r="D190" s="86" t="s">
        <v>4930</v>
      </c>
      <c r="E190" s="86" t="s">
        <v>4936</v>
      </c>
      <c r="F190" s="86"/>
      <c r="G190" s="86"/>
      <c r="H190" s="86"/>
    </row>
    <row r="191" spans="1:8" ht="13.5" hidden="1" outlineLevel="1" x14ac:dyDescent="0.2">
      <c r="A191" s="87"/>
      <c r="B191" s="88">
        <v>190</v>
      </c>
      <c r="C191" s="86" t="s">
        <v>4923</v>
      </c>
      <c r="D191" s="86" t="s">
        <v>5114</v>
      </c>
      <c r="E191" s="86" t="s">
        <v>5117</v>
      </c>
      <c r="F191" s="86"/>
      <c r="G191" s="86"/>
      <c r="H191" s="86"/>
    </row>
    <row r="192" spans="1:8" ht="13.5" hidden="1" outlineLevel="1" x14ac:dyDescent="0.2">
      <c r="A192" s="87"/>
      <c r="B192" s="88">
        <v>191</v>
      </c>
      <c r="C192" s="86" t="s">
        <v>4924</v>
      </c>
      <c r="D192" s="86" t="s">
        <v>4931</v>
      </c>
      <c r="E192" s="86" t="s">
        <v>4937</v>
      </c>
      <c r="F192" s="86"/>
      <c r="G192" s="86"/>
      <c r="H192" s="86"/>
    </row>
    <row r="193" spans="1:8" ht="13.5" hidden="1" outlineLevel="1" x14ac:dyDescent="0.2">
      <c r="A193" s="87"/>
      <c r="B193" s="88">
        <v>192</v>
      </c>
      <c r="C193" s="86" t="s">
        <v>4925</v>
      </c>
      <c r="D193" s="86" t="s">
        <v>4932</v>
      </c>
      <c r="E193" s="86" t="s">
        <v>4938</v>
      </c>
      <c r="F193" s="86"/>
      <c r="G193" s="86"/>
      <c r="H193" s="86"/>
    </row>
    <row r="194" spans="1:8" ht="13.5" hidden="1" outlineLevel="1" x14ac:dyDescent="0.2">
      <c r="A194" s="87"/>
      <c r="B194" s="88">
        <v>193</v>
      </c>
      <c r="C194" s="86" t="s">
        <v>4926</v>
      </c>
      <c r="D194" s="86" t="s">
        <v>5115</v>
      </c>
      <c r="E194" s="86" t="s">
        <v>5116</v>
      </c>
      <c r="F194" s="86"/>
      <c r="G194" s="86"/>
      <c r="H194" s="86"/>
    </row>
    <row r="195" spans="1:8" ht="13.5" hidden="1" outlineLevel="1" x14ac:dyDescent="0.2">
      <c r="A195" s="87"/>
      <c r="B195" s="88">
        <v>194</v>
      </c>
      <c r="C195" s="86" t="s">
        <v>4927</v>
      </c>
      <c r="D195" s="86" t="s">
        <v>4933</v>
      </c>
      <c r="E195" s="86" t="s">
        <v>4939</v>
      </c>
      <c r="F195" s="86"/>
      <c r="G195" s="86"/>
      <c r="H195" s="86"/>
    </row>
    <row r="196" spans="1:8" ht="25.5" hidden="1" outlineLevel="1" x14ac:dyDescent="0.2">
      <c r="A196" s="182"/>
      <c r="B196" s="88">
        <v>195</v>
      </c>
      <c r="C196" s="86" t="s">
        <v>4948</v>
      </c>
      <c r="D196" s="86" t="s">
        <v>4947</v>
      </c>
      <c r="E196" s="86" t="s">
        <v>4946</v>
      </c>
      <c r="F196" s="86"/>
      <c r="G196" s="86"/>
      <c r="H196" s="86"/>
    </row>
    <row r="197" spans="1:8" ht="25.5" hidden="1" outlineLevel="1" x14ac:dyDescent="0.2">
      <c r="A197" s="87"/>
      <c r="B197" s="88">
        <v>196</v>
      </c>
      <c r="C197" s="86" t="s">
        <v>4943</v>
      </c>
      <c r="D197" s="86" t="s">
        <v>4944</v>
      </c>
      <c r="E197" s="86" t="s">
        <v>4945</v>
      </c>
      <c r="F197" s="86"/>
      <c r="G197" s="86"/>
      <c r="H197" s="86"/>
    </row>
    <row r="198" spans="1:8" ht="25.5" hidden="1" outlineLevel="1" x14ac:dyDescent="0.2">
      <c r="A198" s="87"/>
      <c r="B198" s="88">
        <v>197</v>
      </c>
      <c r="C198" s="86" t="s">
        <v>4940</v>
      </c>
      <c r="D198" s="86" t="s">
        <v>4941</v>
      </c>
      <c r="E198" s="86" t="s">
        <v>4942</v>
      </c>
      <c r="F198" s="86"/>
      <c r="G198" s="86"/>
      <c r="H198" s="86"/>
    </row>
    <row r="199" spans="1:8" hidden="1" outlineLevel="1" x14ac:dyDescent="0.2">
      <c r="A199" s="87"/>
      <c r="B199" s="88">
        <v>198</v>
      </c>
      <c r="C199" s="86"/>
      <c r="D199" s="86"/>
      <c r="E199" s="86"/>
      <c r="F199" s="86"/>
      <c r="G199" s="86"/>
      <c r="H199" s="86"/>
    </row>
    <row r="200" spans="1:8" hidden="1" outlineLevel="1" x14ac:dyDescent="0.2">
      <c r="A200" s="87"/>
      <c r="B200" s="88">
        <v>199</v>
      </c>
      <c r="C200" s="86"/>
      <c r="D200" s="86"/>
      <c r="E200" s="86"/>
      <c r="F200" s="86"/>
      <c r="G200" s="86"/>
      <c r="H200" s="86"/>
    </row>
    <row r="201" spans="1:8" collapsed="1" x14ac:dyDescent="0.2">
      <c r="A201" s="90" t="s">
        <v>4603</v>
      </c>
      <c r="B201" s="85">
        <v>200</v>
      </c>
      <c r="C201" s="22" t="s">
        <v>4612</v>
      </c>
      <c r="D201" s="22" t="s">
        <v>4667</v>
      </c>
      <c r="E201" s="22" t="s">
        <v>4664</v>
      </c>
      <c r="F201" s="22"/>
      <c r="G201" s="22"/>
      <c r="H201" s="22"/>
    </row>
    <row r="202" spans="1:8" outlineLevel="1" x14ac:dyDescent="0.2">
      <c r="A202" s="83"/>
      <c r="B202" s="85">
        <v>201</v>
      </c>
      <c r="C202" s="22" t="s">
        <v>4613</v>
      </c>
      <c r="D202" s="22" t="s">
        <v>4668</v>
      </c>
      <c r="E202" s="22" t="s">
        <v>4665</v>
      </c>
      <c r="F202" s="22"/>
      <c r="G202" s="22"/>
      <c r="H202" s="22"/>
    </row>
    <row r="203" spans="1:8" outlineLevel="1" x14ac:dyDescent="0.2">
      <c r="A203" s="83"/>
      <c r="B203" s="85">
        <v>202</v>
      </c>
      <c r="C203" s="22" t="s">
        <v>4614</v>
      </c>
      <c r="D203" s="22" t="s">
        <v>4643</v>
      </c>
      <c r="E203" s="22" t="s">
        <v>4663</v>
      </c>
      <c r="F203" s="22"/>
      <c r="G203" s="22"/>
      <c r="H203" s="22"/>
    </row>
    <row r="204" spans="1:8" outlineLevel="1" x14ac:dyDescent="0.2">
      <c r="A204" s="83"/>
      <c r="B204" s="85">
        <v>203</v>
      </c>
      <c r="C204" s="22" t="s">
        <v>4676</v>
      </c>
      <c r="D204" s="22" t="s">
        <v>4675</v>
      </c>
      <c r="E204" s="22" t="s">
        <v>4677</v>
      </c>
      <c r="F204" s="22"/>
      <c r="G204" s="22"/>
      <c r="H204" s="22"/>
    </row>
    <row r="205" spans="1:8" outlineLevel="1" x14ac:dyDescent="0.2">
      <c r="A205" s="83"/>
      <c r="B205" s="85">
        <v>204</v>
      </c>
      <c r="C205" s="22" t="s">
        <v>4788</v>
      </c>
      <c r="D205" s="22" t="s">
        <v>4790</v>
      </c>
      <c r="E205" s="22" t="s">
        <v>4789</v>
      </c>
      <c r="F205" s="22"/>
      <c r="G205" s="22"/>
      <c r="H205" s="22"/>
    </row>
    <row r="206" spans="1:8" outlineLevel="1" x14ac:dyDescent="0.2">
      <c r="A206" s="83"/>
      <c r="B206" s="85">
        <v>205</v>
      </c>
      <c r="C206" s="22" t="s">
        <v>4685</v>
      </c>
      <c r="D206" s="22" t="s">
        <v>4687</v>
      </c>
      <c r="E206" s="22" t="s">
        <v>4686</v>
      </c>
      <c r="F206" s="22"/>
      <c r="G206" s="22"/>
      <c r="H206" s="22"/>
    </row>
    <row r="207" spans="1:8" outlineLevel="1" x14ac:dyDescent="0.2">
      <c r="A207" s="83"/>
      <c r="B207" s="85">
        <v>206</v>
      </c>
      <c r="C207" s="22" t="s">
        <v>4688</v>
      </c>
      <c r="D207" s="22" t="s">
        <v>4689</v>
      </c>
      <c r="E207" s="22" t="s">
        <v>4695</v>
      </c>
      <c r="F207" s="22"/>
      <c r="G207" s="22"/>
      <c r="H207" s="22"/>
    </row>
    <row r="208" spans="1:8" outlineLevel="1" x14ac:dyDescent="0.2">
      <c r="A208" s="83"/>
      <c r="B208" s="85">
        <v>207</v>
      </c>
      <c r="C208" s="22" t="s">
        <v>4690</v>
      </c>
      <c r="D208" s="22" t="s">
        <v>4694</v>
      </c>
      <c r="E208" s="22" t="s">
        <v>4696</v>
      </c>
      <c r="F208" s="22"/>
      <c r="G208" s="22"/>
      <c r="H208" s="22"/>
    </row>
    <row r="209" spans="1:8" ht="38.25" outlineLevel="1" x14ac:dyDescent="0.2">
      <c r="A209" s="83"/>
      <c r="B209" s="85">
        <v>208</v>
      </c>
      <c r="C209" s="22" t="s">
        <v>4777</v>
      </c>
      <c r="D209" s="22" t="s">
        <v>5119</v>
      </c>
      <c r="E209" s="22" t="s">
        <v>4776</v>
      </c>
      <c r="F209" s="22"/>
      <c r="G209" s="22"/>
      <c r="H209" s="22"/>
    </row>
    <row r="210" spans="1:8" ht="38.25" outlineLevel="1" x14ac:dyDescent="0.2">
      <c r="A210" s="83"/>
      <c r="B210" s="85">
        <v>209</v>
      </c>
      <c r="C210" s="22" t="s">
        <v>4779</v>
      </c>
      <c r="D210" s="22" t="s">
        <v>5120</v>
      </c>
      <c r="E210" s="22" t="s">
        <v>4778</v>
      </c>
      <c r="F210" s="22"/>
      <c r="G210" s="22"/>
      <c r="H210" s="22"/>
    </row>
    <row r="211" spans="1:8" outlineLevel="1" x14ac:dyDescent="0.2">
      <c r="A211" s="83"/>
      <c r="B211" s="85">
        <v>210</v>
      </c>
      <c r="C211" s="22" t="s">
        <v>4678</v>
      </c>
      <c r="D211" s="22" t="s">
        <v>4679</v>
      </c>
      <c r="E211" s="22" t="s">
        <v>4680</v>
      </c>
      <c r="F211" s="22"/>
      <c r="G211" s="22"/>
      <c r="H211" s="22"/>
    </row>
    <row r="212" spans="1:8" outlineLevel="1" x14ac:dyDescent="0.2">
      <c r="A212" s="83"/>
      <c r="B212" s="85">
        <v>211</v>
      </c>
      <c r="C212" s="22" t="s">
        <v>4742</v>
      </c>
      <c r="D212" s="22" t="s">
        <v>4741</v>
      </c>
      <c r="E212" s="22" t="s">
        <v>4743</v>
      </c>
      <c r="F212" s="22"/>
      <c r="G212" s="22"/>
      <c r="H212" s="22"/>
    </row>
    <row r="213" spans="1:8" outlineLevel="1" x14ac:dyDescent="0.2">
      <c r="A213" s="83"/>
      <c r="B213" s="85">
        <v>212</v>
      </c>
      <c r="C213" s="22"/>
      <c r="D213" s="22"/>
      <c r="E213" s="22"/>
      <c r="F213" s="22"/>
      <c r="G213" s="22"/>
      <c r="H213" s="22"/>
    </row>
    <row r="214" spans="1:8" outlineLevel="1" x14ac:dyDescent="0.2">
      <c r="A214" s="83"/>
      <c r="B214" s="85">
        <v>213</v>
      </c>
      <c r="C214" s="22"/>
      <c r="D214" s="22"/>
      <c r="E214" s="22"/>
      <c r="F214" s="22"/>
      <c r="G214" s="22"/>
      <c r="H214" s="22"/>
    </row>
    <row r="215" spans="1:8" outlineLevel="1" x14ac:dyDescent="0.2">
      <c r="A215" s="83"/>
      <c r="B215" s="85">
        <v>214</v>
      </c>
      <c r="C215" s="22"/>
      <c r="D215" s="22"/>
      <c r="E215" s="22"/>
      <c r="F215" s="22"/>
      <c r="G215" s="22"/>
      <c r="H215" s="22"/>
    </row>
    <row r="216" spans="1:8" outlineLevel="1" x14ac:dyDescent="0.2">
      <c r="A216" s="83"/>
      <c r="B216" s="85">
        <v>215</v>
      </c>
      <c r="C216" s="22"/>
      <c r="D216" s="22"/>
      <c r="E216" s="22"/>
      <c r="F216" s="22"/>
      <c r="G216" s="22"/>
      <c r="H216" s="22"/>
    </row>
    <row r="217" spans="1:8" outlineLevel="1" x14ac:dyDescent="0.2">
      <c r="A217" s="83"/>
      <c r="B217" s="85">
        <v>216</v>
      </c>
      <c r="C217" s="22"/>
      <c r="D217" s="22"/>
      <c r="E217" s="22"/>
      <c r="F217" s="22"/>
      <c r="G217" s="22"/>
      <c r="H217" s="22"/>
    </row>
    <row r="218" spans="1:8" outlineLevel="1" x14ac:dyDescent="0.2">
      <c r="A218" s="83"/>
      <c r="B218" s="85">
        <v>217</v>
      </c>
      <c r="C218" s="22"/>
      <c r="D218" s="22"/>
      <c r="E218" s="22"/>
      <c r="F218" s="22"/>
      <c r="G218" s="22"/>
      <c r="H218" s="22"/>
    </row>
    <row r="219" spans="1:8" outlineLevel="1" x14ac:dyDescent="0.2">
      <c r="A219" s="83"/>
      <c r="B219" s="85">
        <v>218</v>
      </c>
      <c r="C219" s="22"/>
      <c r="D219" s="22"/>
      <c r="E219" s="22"/>
      <c r="F219" s="22"/>
      <c r="G219" s="22"/>
      <c r="H219" s="22"/>
    </row>
    <row r="220" spans="1:8" outlineLevel="1" x14ac:dyDescent="0.2">
      <c r="A220" s="83"/>
      <c r="B220" s="85">
        <v>219</v>
      </c>
      <c r="C220" s="22"/>
      <c r="D220" s="22"/>
      <c r="E220" s="22"/>
      <c r="F220" s="22"/>
      <c r="G220" s="22"/>
      <c r="H220" s="22"/>
    </row>
    <row r="221" spans="1:8" outlineLevel="1" x14ac:dyDescent="0.2">
      <c r="A221" s="83"/>
      <c r="B221" s="85">
        <v>220</v>
      </c>
      <c r="C221" s="22" t="s">
        <v>4682</v>
      </c>
      <c r="D221" s="22" t="s">
        <v>4683</v>
      </c>
      <c r="E221" s="22" t="s">
        <v>4691</v>
      </c>
      <c r="F221" s="22"/>
      <c r="G221" s="22"/>
      <c r="H221" s="22"/>
    </row>
    <row r="222" spans="1:8" outlineLevel="1" x14ac:dyDescent="0.2">
      <c r="A222" s="83"/>
      <c r="B222" s="85">
        <v>221</v>
      </c>
      <c r="C222" s="22" t="s">
        <v>4531</v>
      </c>
      <c r="D222" s="22" t="s">
        <v>4681</v>
      </c>
      <c r="E222" s="22" t="s">
        <v>4692</v>
      </c>
      <c r="F222" s="22"/>
      <c r="G222" s="22"/>
      <c r="H222" s="22"/>
    </row>
    <row r="223" spans="1:8" ht="38.25" outlineLevel="1" x14ac:dyDescent="0.2">
      <c r="A223" s="185" t="s">
        <v>4857</v>
      </c>
      <c r="B223" s="85">
        <v>222</v>
      </c>
      <c r="C223" s="86" t="s">
        <v>4731</v>
      </c>
      <c r="D223" s="86" t="s">
        <v>5121</v>
      </c>
      <c r="E223" s="86" t="s">
        <v>4739</v>
      </c>
      <c r="F223" s="86"/>
      <c r="G223" s="86"/>
      <c r="H223" s="86"/>
    </row>
    <row r="224" spans="1:8" ht="25.5" outlineLevel="1" x14ac:dyDescent="0.2">
      <c r="A224" s="83"/>
      <c r="B224" s="85">
        <v>223</v>
      </c>
      <c r="C224" s="86" t="s">
        <v>4732</v>
      </c>
      <c r="D224" s="86" t="s">
        <v>4733</v>
      </c>
      <c r="E224" s="86" t="s">
        <v>4740</v>
      </c>
      <c r="F224" s="86"/>
      <c r="G224" s="86"/>
      <c r="H224" s="86"/>
    </row>
    <row r="225" spans="1:8" ht="25.5" outlineLevel="1" x14ac:dyDescent="0.2">
      <c r="A225" s="83"/>
      <c r="B225" s="85">
        <v>224</v>
      </c>
      <c r="C225" s="86" t="s">
        <v>4734</v>
      </c>
      <c r="D225" s="86" t="s">
        <v>4735</v>
      </c>
      <c r="E225" s="86" t="s">
        <v>4738</v>
      </c>
      <c r="F225" s="86"/>
      <c r="G225" s="86"/>
      <c r="H225" s="86"/>
    </row>
    <row r="226" spans="1:8" outlineLevel="1" x14ac:dyDescent="0.2">
      <c r="A226" s="83"/>
      <c r="B226" s="85">
        <v>225</v>
      </c>
      <c r="C226" s="86" t="s">
        <v>5127</v>
      </c>
      <c r="D226" s="86" t="s">
        <v>4736</v>
      </c>
      <c r="E226" s="86" t="s">
        <v>4737</v>
      </c>
      <c r="F226" s="86"/>
      <c r="G226" s="86"/>
      <c r="H226" s="86"/>
    </row>
    <row r="227" spans="1:8" outlineLevel="1" x14ac:dyDescent="0.2">
      <c r="A227" s="83"/>
      <c r="B227" s="85">
        <v>226</v>
      </c>
      <c r="C227" s="86"/>
      <c r="D227" s="86"/>
      <c r="E227" s="86"/>
      <c r="F227" s="86"/>
      <c r="G227" s="86"/>
      <c r="H227" s="86"/>
    </row>
    <row r="228" spans="1:8" outlineLevel="1" x14ac:dyDescent="0.2">
      <c r="A228" s="83"/>
      <c r="B228" s="85">
        <v>227</v>
      </c>
      <c r="C228" s="86"/>
      <c r="D228" s="86"/>
      <c r="E228" s="86"/>
      <c r="F228" s="86"/>
      <c r="G228" s="86"/>
      <c r="H228" s="86"/>
    </row>
    <row r="229" spans="1:8" outlineLevel="1" x14ac:dyDescent="0.2">
      <c r="A229" s="83"/>
      <c r="B229" s="85">
        <v>228</v>
      </c>
      <c r="C229" s="86"/>
      <c r="D229" s="86"/>
      <c r="E229" s="86"/>
      <c r="F229" s="86"/>
      <c r="G229" s="86"/>
      <c r="H229" s="86"/>
    </row>
    <row r="230" spans="1:8" outlineLevel="1" x14ac:dyDescent="0.2">
      <c r="A230" s="83"/>
      <c r="B230" s="85">
        <v>229</v>
      </c>
      <c r="C230" s="86"/>
      <c r="D230" s="86"/>
      <c r="E230" s="86"/>
      <c r="F230" s="86"/>
      <c r="G230" s="86"/>
      <c r="H230" s="86"/>
    </row>
    <row r="231" spans="1:8" outlineLevel="1" x14ac:dyDescent="0.2">
      <c r="A231" s="83"/>
      <c r="B231" s="85">
        <v>230</v>
      </c>
      <c r="C231" s="86"/>
      <c r="D231" s="86"/>
      <c r="E231" s="86"/>
      <c r="F231" s="86"/>
      <c r="G231" s="86"/>
      <c r="H231" s="86"/>
    </row>
    <row r="232" spans="1:8" outlineLevel="1" x14ac:dyDescent="0.2">
      <c r="A232" s="83"/>
      <c r="B232" s="85">
        <v>231</v>
      </c>
      <c r="C232" s="22"/>
      <c r="D232" s="22"/>
      <c r="E232" s="22"/>
      <c r="F232" s="22"/>
      <c r="G232" s="22"/>
      <c r="H232" s="22"/>
    </row>
    <row r="233" spans="1:8" outlineLevel="1" x14ac:dyDescent="0.2">
      <c r="A233" s="83"/>
      <c r="B233" s="85">
        <v>232</v>
      </c>
      <c r="C233" s="22"/>
      <c r="D233" s="22"/>
      <c r="E233" s="22"/>
      <c r="F233" s="22"/>
      <c r="G233" s="22"/>
      <c r="H233" s="22"/>
    </row>
    <row r="234" spans="1:8" outlineLevel="1" x14ac:dyDescent="0.2">
      <c r="A234" s="83"/>
      <c r="B234" s="85">
        <v>233</v>
      </c>
      <c r="C234" s="22"/>
      <c r="D234" s="22"/>
      <c r="E234" s="22"/>
      <c r="F234" s="22"/>
      <c r="G234" s="22"/>
      <c r="H234" s="22"/>
    </row>
    <row r="235" spans="1:8" outlineLevel="1" x14ac:dyDescent="0.2">
      <c r="A235" s="83"/>
      <c r="B235" s="85">
        <v>234</v>
      </c>
      <c r="C235" s="22"/>
      <c r="D235" s="22"/>
      <c r="E235" s="22"/>
      <c r="F235" s="22"/>
      <c r="G235" s="22"/>
      <c r="H235" s="22"/>
    </row>
    <row r="236" spans="1:8" outlineLevel="1" x14ac:dyDescent="0.2">
      <c r="A236" s="83"/>
      <c r="B236" s="85">
        <v>235</v>
      </c>
      <c r="C236" s="22"/>
      <c r="D236" s="22"/>
      <c r="E236" s="22"/>
      <c r="F236" s="22"/>
      <c r="G236" s="22"/>
      <c r="H236" s="22"/>
    </row>
    <row r="237" spans="1:8" outlineLevel="1" x14ac:dyDescent="0.2">
      <c r="A237" s="83"/>
      <c r="B237" s="85">
        <v>236</v>
      </c>
      <c r="C237" s="22"/>
      <c r="D237" s="22"/>
      <c r="E237" s="22"/>
      <c r="F237" s="22"/>
      <c r="G237" s="22"/>
      <c r="H237" s="22"/>
    </row>
    <row r="238" spans="1:8" outlineLevel="1" x14ac:dyDescent="0.2">
      <c r="A238" s="83"/>
      <c r="B238" s="85">
        <v>237</v>
      </c>
      <c r="C238" s="22"/>
      <c r="D238" s="22"/>
      <c r="E238" s="22"/>
      <c r="F238" s="22"/>
      <c r="G238" s="22"/>
      <c r="H238" s="22"/>
    </row>
    <row r="239" spans="1:8" outlineLevel="1" x14ac:dyDescent="0.2">
      <c r="A239" s="83"/>
      <c r="B239" s="85">
        <v>238</v>
      </c>
      <c r="C239" s="22"/>
      <c r="D239" s="22"/>
      <c r="E239" s="22"/>
      <c r="F239" s="22"/>
      <c r="G239" s="22"/>
      <c r="H239" s="22"/>
    </row>
    <row r="240" spans="1:8" outlineLevel="1" x14ac:dyDescent="0.2">
      <c r="A240" s="83"/>
      <c r="B240" s="85">
        <v>239</v>
      </c>
      <c r="C240" s="22"/>
      <c r="D240" s="22"/>
      <c r="E240" s="22"/>
      <c r="F240" s="22"/>
      <c r="G240" s="22"/>
      <c r="H240" s="22"/>
    </row>
    <row r="241" spans="1:8" outlineLevel="1" x14ac:dyDescent="0.2">
      <c r="A241" s="83"/>
      <c r="B241" s="85">
        <v>240</v>
      </c>
      <c r="C241" s="22" t="s">
        <v>4606</v>
      </c>
      <c r="D241" s="22" t="s">
        <v>4606</v>
      </c>
      <c r="E241" s="22" t="s">
        <v>4606</v>
      </c>
      <c r="F241" s="22"/>
      <c r="G241" s="22"/>
      <c r="H241" s="22"/>
    </row>
    <row r="242" spans="1:8" ht="140.25" outlineLevel="1" x14ac:dyDescent="0.2">
      <c r="A242" s="83"/>
      <c r="B242" s="85">
        <v>241</v>
      </c>
      <c r="C242" s="22" t="s">
        <v>4698</v>
      </c>
      <c r="D242" s="22" t="s">
        <v>4697</v>
      </c>
      <c r="E242" s="22" t="s">
        <v>4699</v>
      </c>
      <c r="F242" s="22"/>
      <c r="G242" s="22"/>
      <c r="H242" s="22"/>
    </row>
    <row r="243" spans="1:8" outlineLevel="1" x14ac:dyDescent="0.2">
      <c r="A243" s="83"/>
      <c r="B243" s="85">
        <v>242</v>
      </c>
      <c r="C243" s="22"/>
      <c r="D243" s="22"/>
      <c r="E243" s="22"/>
      <c r="F243" s="22"/>
      <c r="G243" s="22"/>
      <c r="H243" s="22"/>
    </row>
    <row r="244" spans="1:8" outlineLevel="1" x14ac:dyDescent="0.2">
      <c r="A244" s="83"/>
      <c r="B244" s="85">
        <v>243</v>
      </c>
      <c r="C244" s="22"/>
      <c r="D244" s="22"/>
      <c r="E244" s="22"/>
      <c r="F244" s="22"/>
      <c r="G244" s="22"/>
      <c r="H244" s="22"/>
    </row>
    <row r="245" spans="1:8" outlineLevel="1" x14ac:dyDescent="0.2">
      <c r="A245" s="83"/>
      <c r="B245" s="85">
        <v>244</v>
      </c>
      <c r="C245" s="22"/>
      <c r="D245" s="22"/>
      <c r="E245" s="22"/>
      <c r="F245" s="22"/>
      <c r="G245" s="22"/>
      <c r="H245" s="22"/>
    </row>
    <row r="246" spans="1:8" outlineLevel="1" x14ac:dyDescent="0.2">
      <c r="A246" s="83"/>
      <c r="B246" s="85">
        <v>245</v>
      </c>
      <c r="C246" s="22"/>
      <c r="D246" s="22"/>
      <c r="E246" s="22"/>
      <c r="F246" s="22"/>
      <c r="G246" s="22"/>
      <c r="H246" s="22"/>
    </row>
    <row r="247" spans="1:8" outlineLevel="1" x14ac:dyDescent="0.2">
      <c r="A247" s="83"/>
      <c r="B247" s="85">
        <v>246</v>
      </c>
      <c r="C247" s="22"/>
      <c r="D247" s="22"/>
      <c r="E247" s="22"/>
      <c r="F247" s="22"/>
      <c r="G247" s="22"/>
      <c r="H247" s="22"/>
    </row>
    <row r="248" spans="1:8" outlineLevel="1" x14ac:dyDescent="0.2">
      <c r="A248" s="83"/>
      <c r="B248" s="85">
        <v>247</v>
      </c>
      <c r="C248" s="22"/>
      <c r="D248" s="22"/>
      <c r="E248" s="22"/>
      <c r="F248" s="22"/>
      <c r="G248" s="22"/>
      <c r="H248" s="22"/>
    </row>
    <row r="249" spans="1:8" outlineLevel="1" x14ac:dyDescent="0.2">
      <c r="A249" s="83"/>
      <c r="B249" s="85">
        <v>248</v>
      </c>
      <c r="C249" s="22"/>
      <c r="D249" s="22"/>
      <c r="E249" s="22"/>
      <c r="F249" s="22"/>
      <c r="G249" s="22"/>
      <c r="H249" s="22"/>
    </row>
    <row r="250" spans="1:8" outlineLevel="1" x14ac:dyDescent="0.2">
      <c r="A250" s="83"/>
      <c r="B250" s="85">
        <v>249</v>
      </c>
      <c r="C250" s="22"/>
      <c r="D250" s="22"/>
      <c r="E250" s="22"/>
      <c r="F250" s="22"/>
      <c r="G250" s="22"/>
      <c r="H250" s="22"/>
    </row>
    <row r="251" spans="1:8" outlineLevel="1" x14ac:dyDescent="0.2">
      <c r="A251" s="83"/>
      <c r="B251" s="85">
        <v>250</v>
      </c>
      <c r="C251" s="22"/>
      <c r="D251" s="22"/>
      <c r="E251" s="22"/>
      <c r="F251" s="22"/>
      <c r="G251" s="22"/>
      <c r="H251" s="22"/>
    </row>
    <row r="252" spans="1:8" x14ac:dyDescent="0.2">
      <c r="A252" s="91" t="s">
        <v>4701</v>
      </c>
      <c r="B252" s="84">
        <v>251</v>
      </c>
      <c r="C252" s="22"/>
      <c r="D252" s="22"/>
      <c r="E252" s="22"/>
      <c r="F252" s="22"/>
      <c r="G252" s="22"/>
      <c r="H252" s="22"/>
    </row>
    <row r="253" spans="1:8" x14ac:dyDescent="0.2">
      <c r="B253" s="84">
        <v>252</v>
      </c>
      <c r="C253" s="22"/>
      <c r="D253" s="22"/>
      <c r="E253" s="22"/>
      <c r="F253" s="22"/>
      <c r="G253" s="22"/>
      <c r="H253" s="22"/>
    </row>
    <row r="254" spans="1:8" x14ac:dyDescent="0.2">
      <c r="B254" s="84">
        <v>253</v>
      </c>
      <c r="C254" s="22"/>
      <c r="D254" s="22"/>
      <c r="E254" s="22"/>
      <c r="F254" s="22"/>
      <c r="G254" s="22"/>
      <c r="H254" s="22"/>
    </row>
    <row r="255" spans="1:8" x14ac:dyDescent="0.2">
      <c r="B255" s="84">
        <v>254</v>
      </c>
      <c r="C255" s="22"/>
      <c r="D255" s="22"/>
      <c r="E255" s="22"/>
      <c r="F255" s="22"/>
      <c r="G255" s="22"/>
      <c r="H255" s="22"/>
    </row>
    <row r="256" spans="1:8" x14ac:dyDescent="0.2">
      <c r="B256" s="84">
        <v>255</v>
      </c>
      <c r="C256" s="22"/>
      <c r="D256" s="22"/>
      <c r="E256" s="22"/>
      <c r="F256" s="22"/>
      <c r="G256" s="22"/>
      <c r="H256" s="22"/>
    </row>
    <row r="257" spans="2:8" x14ac:dyDescent="0.2">
      <c r="B257" s="84">
        <v>256</v>
      </c>
      <c r="C257" s="22"/>
      <c r="D257" s="22"/>
      <c r="E257" s="22"/>
      <c r="F257" s="22"/>
      <c r="G257" s="22"/>
      <c r="H257" s="22"/>
    </row>
    <row r="258" spans="2:8" x14ac:dyDescent="0.2">
      <c r="B258" s="84">
        <v>257</v>
      </c>
      <c r="C258" s="22"/>
      <c r="D258" s="22"/>
      <c r="E258" s="22"/>
      <c r="F258" s="22"/>
      <c r="G258" s="22"/>
      <c r="H258" s="22"/>
    </row>
    <row r="259" spans="2:8" x14ac:dyDescent="0.2">
      <c r="B259" s="84">
        <v>258</v>
      </c>
      <c r="C259" s="22"/>
      <c r="D259" s="22"/>
      <c r="E259" s="22"/>
      <c r="F259" s="22"/>
      <c r="G259" s="22"/>
      <c r="H259" s="22"/>
    </row>
    <row r="260" spans="2:8" x14ac:dyDescent="0.2">
      <c r="B260" s="84">
        <v>259</v>
      </c>
      <c r="C260" s="22"/>
      <c r="D260" s="22"/>
      <c r="E260" s="22"/>
      <c r="F260" s="22"/>
      <c r="G260" s="22"/>
      <c r="H260" s="22"/>
    </row>
    <row r="261" spans="2:8" x14ac:dyDescent="0.2">
      <c r="B261" s="84">
        <v>260</v>
      </c>
      <c r="C261" s="22"/>
      <c r="D261" s="22"/>
      <c r="E261" s="22"/>
      <c r="F261" s="22"/>
      <c r="G261" s="22"/>
      <c r="H261" s="22"/>
    </row>
    <row r="262" spans="2:8" x14ac:dyDescent="0.2">
      <c r="B262" s="84">
        <v>261</v>
      </c>
      <c r="C262" s="22"/>
      <c r="D262" s="22"/>
      <c r="E262" s="22"/>
      <c r="F262" s="22"/>
      <c r="G262" s="22"/>
      <c r="H262" s="22"/>
    </row>
    <row r="263" spans="2:8" x14ac:dyDescent="0.2">
      <c r="B263" s="84">
        <v>262</v>
      </c>
      <c r="C263" s="22"/>
      <c r="D263" s="22"/>
      <c r="E263" s="22"/>
      <c r="F263" s="22"/>
      <c r="G263" s="22"/>
      <c r="H263" s="22"/>
    </row>
    <row r="264" spans="2:8" x14ac:dyDescent="0.2">
      <c r="B264" s="84">
        <v>263</v>
      </c>
      <c r="C264" s="22"/>
      <c r="D264" s="22"/>
      <c r="E264" s="22"/>
      <c r="F264" s="22"/>
      <c r="G264" s="22"/>
      <c r="H264" s="22"/>
    </row>
    <row r="265" spans="2:8" x14ac:dyDescent="0.2">
      <c r="B265" s="84">
        <v>264</v>
      </c>
      <c r="C265" s="22"/>
      <c r="D265" s="22"/>
      <c r="E265" s="22"/>
      <c r="F265" s="22"/>
      <c r="G265" s="22"/>
      <c r="H265" s="22"/>
    </row>
    <row r="266" spans="2:8" x14ac:dyDescent="0.2">
      <c r="B266" s="84">
        <v>265</v>
      </c>
      <c r="C266" s="22"/>
      <c r="D266" s="22"/>
      <c r="E266" s="22"/>
      <c r="F266" s="22"/>
      <c r="G266" s="22"/>
      <c r="H266" s="22"/>
    </row>
    <row r="267" spans="2:8" x14ac:dyDescent="0.2">
      <c r="B267" s="84">
        <v>266</v>
      </c>
      <c r="C267" s="22"/>
      <c r="D267" s="22"/>
      <c r="E267" s="22"/>
      <c r="F267" s="22"/>
      <c r="G267" s="22"/>
      <c r="H267" s="22"/>
    </row>
    <row r="268" spans="2:8" x14ac:dyDescent="0.2">
      <c r="B268" s="84">
        <v>267</v>
      </c>
      <c r="C268" s="22"/>
      <c r="D268" s="22"/>
      <c r="E268" s="22"/>
      <c r="F268" s="22"/>
      <c r="G268" s="22"/>
      <c r="H268" s="22"/>
    </row>
    <row r="269" spans="2:8" x14ac:dyDescent="0.2">
      <c r="B269" s="84">
        <v>268</v>
      </c>
      <c r="C269" s="22"/>
      <c r="D269" s="22"/>
      <c r="E269" s="22"/>
      <c r="F269" s="22"/>
      <c r="G269" s="22"/>
      <c r="H269" s="22"/>
    </row>
    <row r="270" spans="2:8" x14ac:dyDescent="0.2">
      <c r="B270" s="84">
        <v>269</v>
      </c>
      <c r="C270" s="22"/>
      <c r="D270" s="22"/>
      <c r="E270" s="22"/>
      <c r="F270" s="22"/>
      <c r="G270" s="22"/>
      <c r="H270" s="22"/>
    </row>
    <row r="271" spans="2:8" x14ac:dyDescent="0.2">
      <c r="B271" s="84">
        <v>270</v>
      </c>
      <c r="C271" s="22"/>
      <c r="D271" s="22"/>
      <c r="E271" s="22"/>
      <c r="F271" s="22"/>
      <c r="G271" s="22"/>
      <c r="H271" s="22"/>
    </row>
    <row r="272" spans="2:8" x14ac:dyDescent="0.2">
      <c r="B272" s="84">
        <v>271</v>
      </c>
      <c r="C272" s="22"/>
      <c r="D272" s="22"/>
      <c r="E272" s="22"/>
      <c r="F272" s="22"/>
      <c r="G272" s="22"/>
      <c r="H272" s="22"/>
    </row>
    <row r="273" spans="2:8" x14ac:dyDescent="0.2">
      <c r="B273" s="84">
        <v>272</v>
      </c>
      <c r="C273" s="22"/>
      <c r="D273" s="22"/>
      <c r="E273" s="22"/>
      <c r="F273" s="22"/>
      <c r="G273" s="22"/>
      <c r="H273" s="22"/>
    </row>
    <row r="274" spans="2:8" x14ac:dyDescent="0.2">
      <c r="B274" s="84">
        <v>273</v>
      </c>
      <c r="C274" s="22"/>
      <c r="D274" s="22"/>
      <c r="E274" s="22"/>
      <c r="F274" s="22"/>
      <c r="G274" s="22"/>
      <c r="H274" s="22"/>
    </row>
    <row r="275" spans="2:8" x14ac:dyDescent="0.2">
      <c r="B275" s="84">
        <v>274</v>
      </c>
      <c r="C275" s="22"/>
      <c r="D275" s="22"/>
      <c r="E275" s="22"/>
      <c r="F275" s="22"/>
      <c r="G275" s="22"/>
      <c r="H275" s="22"/>
    </row>
    <row r="276" spans="2:8" x14ac:dyDescent="0.2">
      <c r="B276" s="84">
        <v>275</v>
      </c>
      <c r="C276" s="22"/>
      <c r="D276" s="22"/>
      <c r="E276" s="22"/>
      <c r="F276" s="22"/>
      <c r="G276" s="22"/>
      <c r="H276" s="22"/>
    </row>
    <row r="277" spans="2:8" x14ac:dyDescent="0.2">
      <c r="B277" s="84">
        <v>276</v>
      </c>
      <c r="C277" s="22"/>
      <c r="D277" s="22"/>
      <c r="E277" s="22"/>
      <c r="F277" s="22"/>
      <c r="G277" s="22"/>
      <c r="H277" s="22"/>
    </row>
    <row r="278" spans="2:8" x14ac:dyDescent="0.2">
      <c r="B278" s="84">
        <v>277</v>
      </c>
      <c r="C278" s="22"/>
      <c r="D278" s="22"/>
      <c r="E278" s="22"/>
      <c r="F278" s="22"/>
      <c r="G278" s="22"/>
      <c r="H278" s="22"/>
    </row>
    <row r="279" spans="2:8" x14ac:dyDescent="0.2">
      <c r="B279" s="84">
        <v>278</v>
      </c>
      <c r="C279" s="22"/>
      <c r="D279" s="22"/>
      <c r="E279" s="22"/>
      <c r="F279" s="22"/>
      <c r="G279" s="22"/>
      <c r="H279" s="22"/>
    </row>
    <row r="280" spans="2:8" x14ac:dyDescent="0.2">
      <c r="B280" s="84">
        <v>279</v>
      </c>
      <c r="C280" s="22"/>
      <c r="D280" s="22"/>
      <c r="E280" s="22"/>
      <c r="F280" s="22"/>
      <c r="G280" s="22"/>
      <c r="H280" s="22"/>
    </row>
    <row r="281" spans="2:8" x14ac:dyDescent="0.2">
      <c r="B281" s="84">
        <v>280</v>
      </c>
      <c r="C281" s="22"/>
      <c r="D281" s="22"/>
      <c r="E281" s="22"/>
      <c r="F281" s="22"/>
      <c r="G281" s="22"/>
      <c r="H281" s="22"/>
    </row>
    <row r="282" spans="2:8" x14ac:dyDescent="0.2">
      <c r="B282" s="84">
        <v>281</v>
      </c>
      <c r="C282" s="22"/>
      <c r="D282" s="22"/>
      <c r="E282" s="22"/>
      <c r="F282" s="22"/>
      <c r="G282" s="22"/>
      <c r="H282" s="22"/>
    </row>
    <row r="283" spans="2:8" x14ac:dyDescent="0.2">
      <c r="B283" s="84">
        <v>282</v>
      </c>
      <c r="C283" s="22"/>
      <c r="D283" s="22"/>
      <c r="E283" s="22"/>
      <c r="F283" s="22"/>
      <c r="G283" s="22"/>
      <c r="H283" s="22"/>
    </row>
    <row r="284" spans="2:8" x14ac:dyDescent="0.2">
      <c r="B284" s="84">
        <v>283</v>
      </c>
      <c r="C284" s="22"/>
      <c r="D284" s="22"/>
      <c r="E284" s="22"/>
      <c r="F284" s="22"/>
      <c r="G284" s="22"/>
      <c r="H284" s="22"/>
    </row>
    <row r="285" spans="2:8" x14ac:dyDescent="0.2">
      <c r="B285" s="84">
        <v>284</v>
      </c>
      <c r="C285" s="22"/>
      <c r="D285" s="22"/>
      <c r="E285" s="22"/>
      <c r="F285" s="22"/>
      <c r="G285" s="22"/>
      <c r="H285" s="22"/>
    </row>
    <row r="286" spans="2:8" x14ac:dyDescent="0.2">
      <c r="B286" s="84">
        <v>285</v>
      </c>
      <c r="C286" s="22"/>
      <c r="D286" s="22"/>
      <c r="E286" s="22"/>
      <c r="F286" s="22"/>
      <c r="G286" s="22"/>
      <c r="H286" s="22"/>
    </row>
    <row r="287" spans="2:8" x14ac:dyDescent="0.2">
      <c r="B287" s="84">
        <v>286</v>
      </c>
      <c r="C287" s="22"/>
      <c r="D287" s="22"/>
      <c r="E287" s="22"/>
      <c r="F287" s="22"/>
      <c r="G287" s="22"/>
      <c r="H287" s="22"/>
    </row>
    <row r="288" spans="2:8" x14ac:dyDescent="0.2">
      <c r="B288" s="84">
        <v>287</v>
      </c>
      <c r="C288" s="22"/>
      <c r="D288" s="22"/>
      <c r="E288" s="22"/>
      <c r="F288" s="22"/>
      <c r="G288" s="22"/>
      <c r="H288" s="22"/>
    </row>
    <row r="289" spans="2:8" x14ac:dyDescent="0.2">
      <c r="B289" s="84">
        <v>288</v>
      </c>
      <c r="C289" s="22"/>
      <c r="D289" s="22"/>
      <c r="E289" s="22"/>
      <c r="F289" s="22"/>
      <c r="G289" s="22"/>
      <c r="H289" s="22"/>
    </row>
    <row r="290" spans="2:8" x14ac:dyDescent="0.2">
      <c r="B290" s="84">
        <v>289</v>
      </c>
      <c r="C290" s="22"/>
      <c r="D290" s="22"/>
      <c r="E290" s="22"/>
      <c r="F290" s="22"/>
      <c r="G290" s="22"/>
      <c r="H290" s="22"/>
    </row>
    <row r="291" spans="2:8" x14ac:dyDescent="0.2">
      <c r="B291" s="84">
        <v>290</v>
      </c>
      <c r="C291" s="22"/>
      <c r="D291" s="22"/>
      <c r="E291" s="22"/>
      <c r="F291" s="22"/>
      <c r="G291" s="22"/>
      <c r="H291" s="22"/>
    </row>
    <row r="292" spans="2:8" x14ac:dyDescent="0.2">
      <c r="B292" s="84">
        <v>291</v>
      </c>
      <c r="C292" s="22"/>
      <c r="D292" s="22"/>
      <c r="E292" s="22"/>
      <c r="F292" s="22"/>
      <c r="G292" s="22"/>
      <c r="H292" s="22"/>
    </row>
    <row r="293" spans="2:8" x14ac:dyDescent="0.2">
      <c r="B293" s="84">
        <v>292</v>
      </c>
      <c r="C293" s="22"/>
      <c r="D293" s="22"/>
      <c r="E293" s="22"/>
      <c r="F293" s="22"/>
      <c r="G293" s="22"/>
      <c r="H293" s="22"/>
    </row>
    <row r="294" spans="2:8" x14ac:dyDescent="0.2">
      <c r="B294" s="84">
        <v>293</v>
      </c>
      <c r="C294" s="22"/>
      <c r="D294" s="22"/>
      <c r="E294" s="22"/>
      <c r="F294" s="22"/>
      <c r="G294" s="22"/>
      <c r="H294" s="22"/>
    </row>
    <row r="295" spans="2:8" x14ac:dyDescent="0.2">
      <c r="B295" s="84">
        <v>294</v>
      </c>
      <c r="C295" s="22"/>
      <c r="D295" s="22"/>
      <c r="E295" s="22"/>
      <c r="F295" s="22"/>
      <c r="G295" s="22"/>
      <c r="H295" s="22"/>
    </row>
    <row r="296" spans="2:8" x14ac:dyDescent="0.2">
      <c r="B296" s="84">
        <v>295</v>
      </c>
      <c r="C296" s="22"/>
      <c r="D296" s="22"/>
      <c r="E296" s="22"/>
      <c r="F296" s="22"/>
      <c r="G296" s="22"/>
      <c r="H296" s="22"/>
    </row>
    <row r="297" spans="2:8" x14ac:dyDescent="0.2">
      <c r="B297" s="84">
        <v>296</v>
      </c>
      <c r="C297" s="22"/>
      <c r="D297" s="22"/>
      <c r="E297" s="22"/>
      <c r="F297" s="22"/>
      <c r="G297" s="22"/>
      <c r="H297" s="22"/>
    </row>
    <row r="298" spans="2:8" x14ac:dyDescent="0.2">
      <c r="B298" s="84">
        <v>297</v>
      </c>
      <c r="C298" s="22"/>
      <c r="D298" s="22"/>
      <c r="E298" s="22"/>
      <c r="F298" s="22"/>
      <c r="G298" s="22"/>
      <c r="H298" s="22"/>
    </row>
    <row r="299" spans="2:8" x14ac:dyDescent="0.2">
      <c r="B299" s="84">
        <v>298</v>
      </c>
      <c r="C299" s="22"/>
      <c r="D299" s="22"/>
      <c r="E299" s="22"/>
      <c r="F299" s="22"/>
      <c r="G299" s="22"/>
      <c r="H299" s="22"/>
    </row>
    <row r="300" spans="2:8" x14ac:dyDescent="0.2">
      <c r="B300" s="84">
        <v>299</v>
      </c>
      <c r="C300" s="22"/>
      <c r="D300" s="22"/>
      <c r="E300" s="22"/>
      <c r="F300" s="22"/>
      <c r="G300" s="22"/>
      <c r="H300" s="22"/>
    </row>
    <row r="301" spans="2:8" x14ac:dyDescent="0.2">
      <c r="B301" s="84">
        <v>300</v>
      </c>
      <c r="C301" s="22"/>
      <c r="D301" s="22"/>
      <c r="E301" s="22"/>
      <c r="F301" s="22"/>
      <c r="G301" s="22"/>
      <c r="H301" s="22"/>
    </row>
    <row r="302" spans="2:8" x14ac:dyDescent="0.2">
      <c r="B302" s="84">
        <v>301</v>
      </c>
      <c r="C302" s="22"/>
      <c r="D302" s="22"/>
      <c r="E302" s="22"/>
      <c r="F302" s="22"/>
      <c r="G302" s="22"/>
      <c r="H302" s="22"/>
    </row>
    <row r="303" spans="2:8" x14ac:dyDescent="0.2">
      <c r="B303" s="84">
        <v>302</v>
      </c>
      <c r="C303" s="22"/>
      <c r="D303" s="22"/>
      <c r="E303" s="22"/>
      <c r="F303" s="22"/>
      <c r="G303" s="22"/>
      <c r="H303" s="22"/>
    </row>
    <row r="304" spans="2:8" x14ac:dyDescent="0.2">
      <c r="B304" s="84">
        <v>303</v>
      </c>
      <c r="C304" s="22"/>
      <c r="D304" s="22"/>
      <c r="E304" s="22"/>
      <c r="F304" s="22"/>
      <c r="G304" s="22"/>
      <c r="H304" s="22"/>
    </row>
    <row r="305" spans="2:8" x14ac:dyDescent="0.2">
      <c r="B305" s="84">
        <v>304</v>
      </c>
      <c r="C305" s="22"/>
      <c r="D305" s="22"/>
      <c r="E305" s="22"/>
      <c r="F305" s="22"/>
      <c r="G305" s="22"/>
      <c r="H305" s="22"/>
    </row>
    <row r="306" spans="2:8" x14ac:dyDescent="0.2">
      <c r="B306" s="84">
        <v>305</v>
      </c>
      <c r="C306" s="22"/>
      <c r="D306" s="22"/>
      <c r="E306" s="22"/>
      <c r="F306" s="22"/>
      <c r="G306" s="22"/>
      <c r="H306" s="22"/>
    </row>
    <row r="307" spans="2:8" x14ac:dyDescent="0.2">
      <c r="B307" s="84">
        <v>306</v>
      </c>
      <c r="C307" s="22"/>
      <c r="D307" s="22"/>
      <c r="E307" s="22"/>
      <c r="F307" s="22"/>
      <c r="G307" s="22"/>
      <c r="H307" s="22"/>
    </row>
    <row r="308" spans="2:8" x14ac:dyDescent="0.2">
      <c r="B308" s="84">
        <v>307</v>
      </c>
      <c r="C308" s="22"/>
      <c r="D308" s="22"/>
      <c r="E308" s="22"/>
      <c r="F308" s="22"/>
      <c r="G308" s="22"/>
      <c r="H308" s="22"/>
    </row>
    <row r="309" spans="2:8" x14ac:dyDescent="0.2">
      <c r="B309" s="84">
        <v>308</v>
      </c>
      <c r="C309" s="22"/>
      <c r="D309" s="22"/>
      <c r="E309" s="22"/>
      <c r="F309" s="22"/>
      <c r="G309" s="22"/>
      <c r="H309" s="22"/>
    </row>
    <row r="310" spans="2:8" x14ac:dyDescent="0.2">
      <c r="B310" s="84">
        <v>309</v>
      </c>
      <c r="C310" s="22"/>
      <c r="D310" s="22"/>
      <c r="E310" s="22"/>
      <c r="F310" s="22"/>
      <c r="G310" s="22"/>
      <c r="H310" s="22"/>
    </row>
    <row r="311" spans="2:8" x14ac:dyDescent="0.2">
      <c r="B311" s="84">
        <v>310</v>
      </c>
      <c r="C311" s="22"/>
      <c r="D311" s="22"/>
      <c r="E311" s="22"/>
      <c r="F311" s="22"/>
      <c r="G311" s="22"/>
      <c r="H311" s="22"/>
    </row>
    <row r="312" spans="2:8" x14ac:dyDescent="0.2">
      <c r="B312" s="84">
        <v>311</v>
      </c>
      <c r="C312" s="22"/>
      <c r="D312" s="22"/>
      <c r="E312" s="22"/>
      <c r="F312" s="22"/>
      <c r="G312" s="22"/>
      <c r="H312" s="22"/>
    </row>
    <row r="313" spans="2:8" x14ac:dyDescent="0.2">
      <c r="B313" s="84">
        <v>312</v>
      </c>
      <c r="C313" s="22"/>
      <c r="D313" s="22"/>
      <c r="E313" s="22"/>
      <c r="F313" s="22"/>
      <c r="G313" s="22"/>
      <c r="H313" s="22"/>
    </row>
    <row r="314" spans="2:8" x14ac:dyDescent="0.2">
      <c r="B314" s="84">
        <v>313</v>
      </c>
      <c r="C314" s="22"/>
      <c r="D314" s="22"/>
      <c r="E314" s="22"/>
      <c r="F314" s="22"/>
      <c r="G314" s="22"/>
      <c r="H314" s="22"/>
    </row>
    <row r="315" spans="2:8" x14ac:dyDescent="0.2">
      <c r="B315" s="84">
        <v>314</v>
      </c>
      <c r="C315" s="22"/>
      <c r="D315" s="22"/>
      <c r="E315" s="22"/>
      <c r="F315" s="22"/>
      <c r="G315" s="22"/>
      <c r="H315" s="22"/>
    </row>
    <row r="316" spans="2:8" x14ac:dyDescent="0.2">
      <c r="B316" s="84">
        <v>315</v>
      </c>
      <c r="C316" s="22"/>
      <c r="D316" s="22"/>
      <c r="E316" s="22"/>
      <c r="F316" s="22"/>
      <c r="G316" s="22"/>
      <c r="H316" s="22"/>
    </row>
    <row r="317" spans="2:8" x14ac:dyDescent="0.2">
      <c r="B317" s="84">
        <v>316</v>
      </c>
      <c r="C317" s="22"/>
      <c r="D317" s="22"/>
      <c r="E317" s="22"/>
      <c r="F317" s="22"/>
      <c r="G317" s="22"/>
      <c r="H317" s="22"/>
    </row>
    <row r="318" spans="2:8" x14ac:dyDescent="0.2">
      <c r="B318" s="84">
        <v>317</v>
      </c>
      <c r="C318" s="22"/>
      <c r="D318" s="22"/>
      <c r="E318" s="22"/>
      <c r="F318" s="22"/>
      <c r="G318" s="22"/>
      <c r="H318" s="22"/>
    </row>
    <row r="319" spans="2:8" x14ac:dyDescent="0.2">
      <c r="B319" s="84">
        <v>318</v>
      </c>
      <c r="C319" s="22"/>
      <c r="D319" s="22"/>
      <c r="E319" s="22"/>
      <c r="F319" s="22"/>
      <c r="G319" s="22"/>
      <c r="H319" s="22"/>
    </row>
    <row r="320" spans="2:8" x14ac:dyDescent="0.2">
      <c r="B320" s="84">
        <v>319</v>
      </c>
      <c r="C320" s="22"/>
      <c r="D320" s="22"/>
      <c r="E320" s="22"/>
      <c r="F320" s="22"/>
      <c r="G320" s="22"/>
      <c r="H320" s="22"/>
    </row>
    <row r="321" spans="2:8" x14ac:dyDescent="0.2">
      <c r="B321" s="84">
        <v>320</v>
      </c>
      <c r="C321" s="22"/>
      <c r="D321" s="22"/>
      <c r="E321" s="22"/>
      <c r="F321" s="22"/>
      <c r="G321" s="22"/>
      <c r="H321" s="22"/>
    </row>
    <row r="322" spans="2:8" x14ac:dyDescent="0.2">
      <c r="B322" s="84">
        <v>321</v>
      </c>
      <c r="C322" s="22"/>
      <c r="D322" s="22"/>
      <c r="E322" s="22"/>
      <c r="F322" s="22"/>
      <c r="G322" s="22"/>
      <c r="H322" s="22"/>
    </row>
    <row r="323" spans="2:8" x14ac:dyDescent="0.2">
      <c r="B323" s="84">
        <v>322</v>
      </c>
      <c r="C323" s="22"/>
      <c r="D323" s="22"/>
      <c r="E323" s="22"/>
      <c r="F323" s="22"/>
      <c r="G323" s="22"/>
      <c r="H323" s="22"/>
    </row>
    <row r="324" spans="2:8" x14ac:dyDescent="0.2">
      <c r="B324" s="84">
        <v>323</v>
      </c>
      <c r="C324" s="22"/>
      <c r="D324" s="22"/>
      <c r="E324" s="22"/>
      <c r="F324" s="22"/>
      <c r="G324" s="22"/>
      <c r="H324" s="22"/>
    </row>
    <row r="325" spans="2:8" x14ac:dyDescent="0.2">
      <c r="B325" s="84">
        <v>324</v>
      </c>
      <c r="C325" s="22"/>
      <c r="D325" s="22"/>
      <c r="E325" s="22"/>
      <c r="F325" s="22"/>
      <c r="G325" s="22"/>
      <c r="H325" s="22"/>
    </row>
    <row r="326" spans="2:8" x14ac:dyDescent="0.2">
      <c r="B326" s="84">
        <v>325</v>
      </c>
      <c r="C326" s="22"/>
      <c r="D326" s="22"/>
      <c r="E326" s="22"/>
      <c r="F326" s="22"/>
      <c r="G326" s="22"/>
      <c r="H326" s="22"/>
    </row>
    <row r="327" spans="2:8" x14ac:dyDescent="0.2">
      <c r="B327" s="84">
        <v>326</v>
      </c>
      <c r="C327" s="22"/>
      <c r="D327" s="22"/>
      <c r="E327" s="22"/>
      <c r="F327" s="22"/>
      <c r="G327" s="22"/>
      <c r="H327" s="22"/>
    </row>
    <row r="328" spans="2:8" x14ac:dyDescent="0.2">
      <c r="B328" s="84">
        <v>327</v>
      </c>
      <c r="C328" s="22"/>
      <c r="D328" s="22"/>
      <c r="E328" s="22"/>
      <c r="F328" s="22"/>
      <c r="G328" s="22"/>
      <c r="H328" s="22"/>
    </row>
    <row r="329" spans="2:8" x14ac:dyDescent="0.2">
      <c r="B329" s="84">
        <v>328</v>
      </c>
      <c r="C329" s="22"/>
      <c r="D329" s="22"/>
      <c r="E329" s="22"/>
      <c r="F329" s="22"/>
      <c r="G329" s="22"/>
      <c r="H329" s="22"/>
    </row>
    <row r="330" spans="2:8" x14ac:dyDescent="0.2">
      <c r="B330" s="84">
        <v>329</v>
      </c>
      <c r="C330" s="22"/>
      <c r="D330" s="22"/>
      <c r="E330" s="22"/>
      <c r="F330" s="22"/>
      <c r="G330" s="22"/>
      <c r="H330" s="22"/>
    </row>
    <row r="331" spans="2:8" x14ac:dyDescent="0.2">
      <c r="B331" s="84">
        <v>330</v>
      </c>
      <c r="C331" s="22"/>
      <c r="D331" s="22"/>
      <c r="E331" s="22"/>
      <c r="F331" s="22"/>
      <c r="G331" s="22"/>
      <c r="H331" s="22"/>
    </row>
    <row r="332" spans="2:8" x14ac:dyDescent="0.2">
      <c r="B332" s="84">
        <v>331</v>
      </c>
      <c r="C332" s="22"/>
      <c r="D332" s="22"/>
      <c r="E332" s="22"/>
      <c r="F332" s="22"/>
      <c r="G332" s="22"/>
      <c r="H332" s="22"/>
    </row>
    <row r="333" spans="2:8" x14ac:dyDescent="0.2">
      <c r="B333" s="84">
        <v>332</v>
      </c>
      <c r="C333" s="22"/>
      <c r="D333" s="22"/>
      <c r="E333" s="22"/>
      <c r="F333" s="22"/>
      <c r="G333" s="22"/>
      <c r="H333" s="22"/>
    </row>
    <row r="334" spans="2:8" x14ac:dyDescent="0.2">
      <c r="B334" s="84">
        <v>333</v>
      </c>
      <c r="C334" s="22"/>
      <c r="D334" s="22"/>
      <c r="E334" s="22"/>
      <c r="F334" s="22"/>
      <c r="G334" s="22"/>
      <c r="H334" s="22"/>
    </row>
    <row r="335" spans="2:8" x14ac:dyDescent="0.2">
      <c r="B335" s="84">
        <v>334</v>
      </c>
      <c r="C335" s="22"/>
      <c r="D335" s="22"/>
      <c r="E335" s="22"/>
      <c r="F335" s="22"/>
      <c r="G335" s="22"/>
      <c r="H335" s="22"/>
    </row>
    <row r="336" spans="2:8" x14ac:dyDescent="0.2">
      <c r="B336" s="84">
        <v>335</v>
      </c>
      <c r="C336" s="22"/>
      <c r="D336" s="22"/>
      <c r="E336" s="22"/>
      <c r="F336" s="22"/>
      <c r="G336" s="22"/>
      <c r="H336" s="22"/>
    </row>
    <row r="337" spans="2:8" x14ac:dyDescent="0.2">
      <c r="B337" s="84">
        <v>336</v>
      </c>
      <c r="C337" s="22"/>
      <c r="D337" s="22"/>
      <c r="E337" s="22"/>
      <c r="F337" s="22"/>
      <c r="G337" s="22"/>
      <c r="H337" s="22"/>
    </row>
    <row r="338" spans="2:8" x14ac:dyDescent="0.2">
      <c r="B338" s="84">
        <v>337</v>
      </c>
      <c r="C338" s="22"/>
      <c r="D338" s="22"/>
      <c r="E338" s="22"/>
      <c r="F338" s="22"/>
      <c r="G338" s="22"/>
      <c r="H338" s="22"/>
    </row>
    <row r="339" spans="2:8" x14ac:dyDescent="0.2">
      <c r="B339" s="84">
        <v>338</v>
      </c>
      <c r="C339" s="22"/>
      <c r="D339" s="22"/>
      <c r="E339" s="22"/>
      <c r="F339" s="22"/>
      <c r="G339" s="22"/>
      <c r="H339" s="22"/>
    </row>
    <row r="340" spans="2:8" x14ac:dyDescent="0.2">
      <c r="B340" s="84">
        <v>339</v>
      </c>
      <c r="C340" s="22"/>
      <c r="D340" s="22"/>
      <c r="E340" s="22"/>
      <c r="F340" s="22"/>
      <c r="G340" s="22"/>
      <c r="H340" s="22"/>
    </row>
    <row r="341" spans="2:8" x14ac:dyDescent="0.2">
      <c r="B341" s="84">
        <v>340</v>
      </c>
      <c r="C341" s="22"/>
      <c r="D341" s="22"/>
      <c r="E341" s="22"/>
      <c r="F341" s="22"/>
      <c r="G341" s="22"/>
      <c r="H341" s="22"/>
    </row>
    <row r="342" spans="2:8" x14ac:dyDescent="0.2">
      <c r="B342" s="84">
        <v>341</v>
      </c>
      <c r="C342" s="22"/>
      <c r="D342" s="22"/>
      <c r="E342" s="22"/>
      <c r="F342" s="22"/>
      <c r="G342" s="22"/>
      <c r="H342" s="22"/>
    </row>
    <row r="343" spans="2:8" x14ac:dyDescent="0.2">
      <c r="B343" s="84">
        <v>342</v>
      </c>
      <c r="C343" s="22"/>
      <c r="D343" s="22"/>
      <c r="E343" s="22"/>
      <c r="F343" s="22"/>
      <c r="G343" s="22"/>
      <c r="H343" s="22"/>
    </row>
    <row r="344" spans="2:8" x14ac:dyDescent="0.2">
      <c r="B344" s="84">
        <v>343</v>
      </c>
      <c r="C344" s="22"/>
      <c r="D344" s="22"/>
      <c r="E344" s="22"/>
      <c r="F344" s="22"/>
      <c r="G344" s="22"/>
      <c r="H344" s="22"/>
    </row>
    <row r="345" spans="2:8" x14ac:dyDescent="0.2">
      <c r="B345" s="84">
        <v>344</v>
      </c>
      <c r="C345" s="22"/>
      <c r="D345" s="22"/>
      <c r="E345" s="22"/>
      <c r="F345" s="22"/>
      <c r="G345" s="22"/>
      <c r="H345" s="22"/>
    </row>
    <row r="346" spans="2:8" x14ac:dyDescent="0.2">
      <c r="B346" s="84">
        <v>345</v>
      </c>
      <c r="C346" s="22"/>
      <c r="D346" s="22"/>
      <c r="E346" s="22"/>
      <c r="F346" s="22"/>
      <c r="G346" s="22"/>
      <c r="H346" s="22"/>
    </row>
    <row r="347" spans="2:8" x14ac:dyDescent="0.2">
      <c r="B347" s="84">
        <v>346</v>
      </c>
      <c r="C347" s="22"/>
      <c r="D347" s="22"/>
      <c r="E347" s="22"/>
      <c r="F347" s="22"/>
      <c r="G347" s="22"/>
      <c r="H347" s="22"/>
    </row>
    <row r="348" spans="2:8" x14ac:dyDescent="0.2">
      <c r="B348" s="84">
        <v>347</v>
      </c>
      <c r="C348" s="22"/>
      <c r="D348" s="22"/>
      <c r="E348" s="22"/>
      <c r="F348" s="22"/>
      <c r="G348" s="22"/>
      <c r="H348" s="22"/>
    </row>
    <row r="349" spans="2:8" x14ac:dyDescent="0.2">
      <c r="B349" s="84">
        <v>348</v>
      </c>
      <c r="C349" s="22"/>
      <c r="D349" s="22"/>
      <c r="E349" s="22"/>
      <c r="F349" s="22"/>
      <c r="G349" s="22"/>
      <c r="H349" s="22"/>
    </row>
    <row r="350" spans="2:8" x14ac:dyDescent="0.2">
      <c r="B350" s="84">
        <v>349</v>
      </c>
      <c r="C350" s="22"/>
      <c r="D350" s="22"/>
      <c r="E350" s="22"/>
      <c r="F350" s="22"/>
      <c r="G350" s="22"/>
      <c r="H350" s="22"/>
    </row>
    <row r="351" spans="2:8" x14ac:dyDescent="0.2">
      <c r="B351" s="84">
        <v>350</v>
      </c>
      <c r="C351" s="22"/>
      <c r="D351" s="22"/>
      <c r="E351" s="22"/>
      <c r="F351" s="22"/>
      <c r="G351" s="22"/>
      <c r="H351" s="22"/>
    </row>
    <row r="352" spans="2:8" x14ac:dyDescent="0.2">
      <c r="B352" s="84">
        <v>351</v>
      </c>
      <c r="C352" s="22"/>
      <c r="D352" s="22"/>
      <c r="E352" s="22"/>
      <c r="F352" s="22"/>
      <c r="G352" s="22"/>
      <c r="H352" s="22"/>
    </row>
    <row r="353" spans="2:8" x14ac:dyDescent="0.2">
      <c r="B353" s="84">
        <v>352</v>
      </c>
      <c r="C353" s="22"/>
      <c r="D353" s="22"/>
      <c r="E353" s="22"/>
      <c r="F353" s="22"/>
      <c r="G353" s="22"/>
      <c r="H353" s="22"/>
    </row>
    <row r="354" spans="2:8" x14ac:dyDescent="0.2">
      <c r="B354" s="84">
        <v>353</v>
      </c>
      <c r="C354" s="22"/>
      <c r="D354" s="22"/>
      <c r="E354" s="22"/>
      <c r="F354" s="22"/>
      <c r="G354" s="22"/>
      <c r="H354" s="22"/>
    </row>
    <row r="355" spans="2:8" x14ac:dyDescent="0.2">
      <c r="B355" s="84">
        <v>354</v>
      </c>
      <c r="C355" s="22"/>
      <c r="D355" s="22"/>
      <c r="E355" s="22"/>
      <c r="F355" s="22"/>
      <c r="G355" s="22"/>
      <c r="H355" s="22"/>
    </row>
    <row r="356" spans="2:8" x14ac:dyDescent="0.2">
      <c r="B356" s="84">
        <v>355</v>
      </c>
      <c r="C356" s="22"/>
      <c r="D356" s="22"/>
      <c r="E356" s="22"/>
      <c r="F356" s="22"/>
      <c r="G356" s="22"/>
      <c r="H356" s="22"/>
    </row>
    <row r="357" spans="2:8" x14ac:dyDescent="0.2">
      <c r="B357" s="84">
        <v>356</v>
      </c>
      <c r="C357" s="22"/>
      <c r="D357" s="22"/>
      <c r="E357" s="22"/>
      <c r="F357" s="22"/>
      <c r="G357" s="22"/>
      <c r="H357" s="22"/>
    </row>
    <row r="358" spans="2:8" x14ac:dyDescent="0.2">
      <c r="B358" s="84">
        <v>357</v>
      </c>
      <c r="C358" s="22"/>
      <c r="D358" s="22"/>
      <c r="E358" s="22"/>
      <c r="F358" s="22"/>
      <c r="G358" s="22"/>
      <c r="H358" s="22"/>
    </row>
    <row r="359" spans="2:8" x14ac:dyDescent="0.2">
      <c r="B359" s="84">
        <v>358</v>
      </c>
      <c r="C359" s="22"/>
      <c r="D359" s="22"/>
      <c r="E359" s="22"/>
      <c r="F359" s="22"/>
      <c r="G359" s="22"/>
      <c r="H359" s="22"/>
    </row>
    <row r="360" spans="2:8" x14ac:dyDescent="0.2">
      <c r="B360" s="84">
        <v>359</v>
      </c>
      <c r="C360" s="22"/>
      <c r="D360" s="22"/>
      <c r="E360" s="22"/>
      <c r="F360" s="22"/>
      <c r="G360" s="22"/>
      <c r="H360" s="22"/>
    </row>
    <row r="361" spans="2:8" x14ac:dyDescent="0.2">
      <c r="B361" s="84">
        <v>360</v>
      </c>
      <c r="C361" s="22"/>
      <c r="D361" s="22"/>
      <c r="E361" s="22"/>
      <c r="F361" s="22"/>
      <c r="G361" s="22"/>
      <c r="H361" s="22"/>
    </row>
    <row r="362" spans="2:8" x14ac:dyDescent="0.2">
      <c r="B362" s="84">
        <v>361</v>
      </c>
      <c r="C362" s="22"/>
      <c r="D362" s="22"/>
      <c r="E362" s="22"/>
      <c r="F362" s="22"/>
      <c r="G362" s="22"/>
      <c r="H362" s="22"/>
    </row>
    <row r="363" spans="2:8" x14ac:dyDescent="0.2">
      <c r="B363" s="84">
        <v>362</v>
      </c>
      <c r="C363" s="22"/>
      <c r="D363" s="22"/>
      <c r="E363" s="22"/>
      <c r="F363" s="22"/>
      <c r="G363" s="22"/>
      <c r="H363" s="22"/>
    </row>
    <row r="364" spans="2:8" x14ac:dyDescent="0.2">
      <c r="B364" s="84">
        <v>363</v>
      </c>
      <c r="C364" s="22"/>
      <c r="D364" s="22"/>
      <c r="E364" s="22"/>
      <c r="F364" s="22"/>
      <c r="G364" s="22"/>
      <c r="H364" s="22"/>
    </row>
    <row r="365" spans="2:8" x14ac:dyDescent="0.2">
      <c r="B365" s="84">
        <v>364</v>
      </c>
      <c r="C365" s="22"/>
      <c r="D365" s="22"/>
      <c r="E365" s="22"/>
      <c r="F365" s="22"/>
      <c r="G365" s="22"/>
      <c r="H365" s="22"/>
    </row>
    <row r="366" spans="2:8" x14ac:dyDescent="0.2">
      <c r="B366" s="84">
        <v>365</v>
      </c>
      <c r="C366" s="22"/>
      <c r="D366" s="22"/>
      <c r="E366" s="22"/>
      <c r="F366" s="22"/>
      <c r="G366" s="22"/>
      <c r="H366" s="22"/>
    </row>
    <row r="367" spans="2:8" x14ac:dyDescent="0.2">
      <c r="B367" s="84">
        <v>366</v>
      </c>
      <c r="C367" s="22"/>
      <c r="D367" s="22"/>
      <c r="E367" s="22"/>
      <c r="F367" s="22"/>
      <c r="G367" s="22"/>
      <c r="H367" s="22"/>
    </row>
    <row r="368" spans="2:8" x14ac:dyDescent="0.2">
      <c r="B368" s="84">
        <v>367</v>
      </c>
      <c r="C368" s="22"/>
      <c r="D368" s="22"/>
      <c r="E368" s="22"/>
      <c r="F368" s="22"/>
      <c r="G368" s="22"/>
      <c r="H368" s="22"/>
    </row>
    <row r="369" spans="2:8" x14ac:dyDescent="0.2">
      <c r="B369" s="84">
        <v>368</v>
      </c>
      <c r="C369" s="22"/>
      <c r="D369" s="22"/>
      <c r="E369" s="22"/>
      <c r="F369" s="22"/>
      <c r="G369" s="22"/>
      <c r="H369" s="22"/>
    </row>
    <row r="370" spans="2:8" x14ac:dyDescent="0.2">
      <c r="B370" s="84">
        <v>369</v>
      </c>
      <c r="C370" s="22"/>
      <c r="D370" s="22"/>
      <c r="E370" s="22"/>
      <c r="F370" s="22"/>
      <c r="G370" s="22"/>
      <c r="H370" s="22"/>
    </row>
    <row r="371" spans="2:8" x14ac:dyDescent="0.2">
      <c r="B371" s="84">
        <v>370</v>
      </c>
      <c r="C371" s="22"/>
      <c r="D371" s="22"/>
      <c r="E371" s="22"/>
      <c r="F371" s="22"/>
      <c r="G371" s="22"/>
      <c r="H371" s="22"/>
    </row>
    <row r="372" spans="2:8" x14ac:dyDescent="0.2">
      <c r="B372" s="84">
        <v>371</v>
      </c>
      <c r="C372" s="22"/>
      <c r="D372" s="22"/>
      <c r="E372" s="22"/>
      <c r="F372" s="22"/>
      <c r="G372" s="22"/>
      <c r="H372" s="22"/>
    </row>
    <row r="373" spans="2:8" x14ac:dyDescent="0.2">
      <c r="B373" s="84">
        <v>372</v>
      </c>
      <c r="C373" s="22"/>
      <c r="D373" s="22"/>
      <c r="E373" s="22"/>
      <c r="F373" s="22"/>
      <c r="G373" s="22"/>
      <c r="H373" s="22"/>
    </row>
    <row r="374" spans="2:8" x14ac:dyDescent="0.2">
      <c r="B374" s="84">
        <v>373</v>
      </c>
      <c r="C374" s="22"/>
      <c r="D374" s="22"/>
      <c r="E374" s="22"/>
      <c r="F374" s="22"/>
      <c r="G374" s="22"/>
      <c r="H374" s="22"/>
    </row>
    <row r="375" spans="2:8" x14ac:dyDescent="0.2">
      <c r="B375" s="84">
        <v>374</v>
      </c>
      <c r="C375" s="22"/>
      <c r="D375" s="22"/>
      <c r="E375" s="22"/>
      <c r="F375" s="22"/>
      <c r="G375" s="22"/>
      <c r="H375" s="22"/>
    </row>
    <row r="376" spans="2:8" x14ac:dyDescent="0.2">
      <c r="B376" s="84">
        <v>375</v>
      </c>
      <c r="C376" s="22"/>
      <c r="D376" s="22"/>
      <c r="E376" s="22"/>
      <c r="F376" s="22"/>
      <c r="G376" s="22"/>
      <c r="H376" s="22"/>
    </row>
    <row r="377" spans="2:8" x14ac:dyDescent="0.2">
      <c r="B377" s="84">
        <v>376</v>
      </c>
      <c r="C377" s="22"/>
      <c r="D377" s="22"/>
      <c r="E377" s="22"/>
      <c r="F377" s="22"/>
      <c r="G377" s="22"/>
      <c r="H377" s="22"/>
    </row>
    <row r="378" spans="2:8" x14ac:dyDescent="0.2">
      <c r="B378" s="84">
        <v>377</v>
      </c>
      <c r="C378" s="22"/>
      <c r="D378" s="22"/>
      <c r="E378" s="22"/>
      <c r="F378" s="22"/>
      <c r="G378" s="22"/>
      <c r="H378" s="22"/>
    </row>
    <row r="379" spans="2:8" x14ac:dyDescent="0.2">
      <c r="B379" s="84">
        <v>378</v>
      </c>
      <c r="C379" s="22"/>
      <c r="D379" s="22"/>
      <c r="E379" s="22"/>
      <c r="F379" s="22"/>
      <c r="G379" s="22"/>
      <c r="H379" s="22"/>
    </row>
    <row r="380" spans="2:8" x14ac:dyDescent="0.2">
      <c r="B380" s="84">
        <v>379</v>
      </c>
      <c r="C380" s="22"/>
      <c r="D380" s="22"/>
      <c r="E380" s="22"/>
      <c r="F380" s="22"/>
      <c r="G380" s="22"/>
      <c r="H380" s="22"/>
    </row>
    <row r="381" spans="2:8" x14ac:dyDescent="0.2">
      <c r="B381" s="84">
        <v>380</v>
      </c>
      <c r="C381" s="22"/>
      <c r="D381" s="22"/>
      <c r="E381" s="22"/>
      <c r="F381" s="22"/>
      <c r="G381" s="22"/>
      <c r="H381" s="22"/>
    </row>
    <row r="382" spans="2:8" x14ac:dyDescent="0.2">
      <c r="B382" s="84">
        <v>381</v>
      </c>
      <c r="C382" s="22"/>
      <c r="D382" s="22"/>
      <c r="E382" s="22"/>
      <c r="F382" s="22"/>
      <c r="G382" s="22"/>
      <c r="H382" s="22"/>
    </row>
    <row r="383" spans="2:8" x14ac:dyDescent="0.2">
      <c r="B383" s="84">
        <v>382</v>
      </c>
      <c r="C383" s="22"/>
      <c r="D383" s="22"/>
      <c r="E383" s="22"/>
      <c r="F383" s="22"/>
      <c r="G383" s="22"/>
      <c r="H383" s="22"/>
    </row>
    <row r="384" spans="2:8" x14ac:dyDescent="0.2">
      <c r="B384" s="84">
        <v>383</v>
      </c>
      <c r="C384" s="22"/>
      <c r="D384" s="22"/>
      <c r="E384" s="22"/>
      <c r="F384" s="22"/>
      <c r="G384" s="22"/>
      <c r="H384" s="22"/>
    </row>
    <row r="385" spans="2:8" x14ac:dyDescent="0.2">
      <c r="B385" s="84">
        <v>384</v>
      </c>
      <c r="C385" s="22"/>
      <c r="D385" s="22"/>
      <c r="E385" s="22"/>
      <c r="F385" s="22"/>
      <c r="G385" s="22"/>
      <c r="H385" s="22"/>
    </row>
    <row r="386" spans="2:8" x14ac:dyDescent="0.2">
      <c r="B386" s="84">
        <v>385</v>
      </c>
      <c r="C386" s="22"/>
      <c r="D386" s="22"/>
      <c r="E386" s="22"/>
      <c r="F386" s="22"/>
      <c r="G386" s="22"/>
      <c r="H386" s="22"/>
    </row>
    <row r="387" spans="2:8" x14ac:dyDescent="0.2">
      <c r="B387" s="84">
        <v>386</v>
      </c>
      <c r="C387" s="22"/>
      <c r="D387" s="22"/>
      <c r="E387" s="22"/>
      <c r="F387" s="22"/>
      <c r="G387" s="22"/>
      <c r="H387" s="22"/>
    </row>
    <row r="388" spans="2:8" x14ac:dyDescent="0.2">
      <c r="B388" s="84">
        <v>387</v>
      </c>
      <c r="C388" s="22"/>
      <c r="D388" s="22"/>
      <c r="E388" s="22"/>
      <c r="F388" s="22"/>
      <c r="G388" s="22"/>
      <c r="H388" s="22"/>
    </row>
    <row r="389" spans="2:8" x14ac:dyDescent="0.2">
      <c r="B389" s="84">
        <v>388</v>
      </c>
      <c r="C389" s="22"/>
      <c r="D389" s="22"/>
      <c r="E389" s="22"/>
      <c r="F389" s="22"/>
      <c r="G389" s="22"/>
      <c r="H389" s="22"/>
    </row>
    <row r="390" spans="2:8" x14ac:dyDescent="0.2">
      <c r="B390" s="84">
        <v>389</v>
      </c>
      <c r="C390" s="22"/>
      <c r="D390" s="22"/>
      <c r="E390" s="22"/>
      <c r="F390" s="22"/>
      <c r="G390" s="22"/>
      <c r="H390" s="22"/>
    </row>
    <row r="391" spans="2:8" x14ac:dyDescent="0.2">
      <c r="B391" s="84">
        <v>390</v>
      </c>
      <c r="C391" s="22"/>
      <c r="D391" s="22"/>
      <c r="E391" s="22"/>
      <c r="F391" s="22"/>
      <c r="G391" s="22"/>
      <c r="H391" s="22"/>
    </row>
    <row r="392" spans="2:8" x14ac:dyDescent="0.2">
      <c r="B392" s="84">
        <v>391</v>
      </c>
      <c r="C392" s="22"/>
      <c r="D392" s="22"/>
      <c r="E392" s="22"/>
      <c r="F392" s="22"/>
      <c r="G392" s="22"/>
      <c r="H392" s="22"/>
    </row>
    <row r="393" spans="2:8" x14ac:dyDescent="0.2">
      <c r="B393" s="84">
        <v>392</v>
      </c>
      <c r="C393" s="22"/>
      <c r="D393" s="22"/>
      <c r="E393" s="22"/>
      <c r="F393" s="22"/>
      <c r="G393" s="22"/>
      <c r="H393" s="22"/>
    </row>
    <row r="394" spans="2:8" x14ac:dyDescent="0.2">
      <c r="B394" s="84">
        <v>393</v>
      </c>
      <c r="C394" s="22"/>
      <c r="D394" s="22"/>
      <c r="E394" s="22"/>
      <c r="F394" s="22"/>
      <c r="G394" s="22"/>
      <c r="H394" s="22"/>
    </row>
    <row r="395" spans="2:8" x14ac:dyDescent="0.2">
      <c r="B395" s="84">
        <v>394</v>
      </c>
      <c r="C395" s="22"/>
      <c r="D395" s="22"/>
      <c r="E395" s="22"/>
      <c r="F395" s="22"/>
      <c r="G395" s="22"/>
      <c r="H395" s="22"/>
    </row>
    <row r="396" spans="2:8" x14ac:dyDescent="0.2">
      <c r="B396" s="84">
        <v>395</v>
      </c>
      <c r="C396" s="22"/>
      <c r="D396" s="22"/>
      <c r="E396" s="22"/>
      <c r="F396" s="22"/>
      <c r="G396" s="22"/>
      <c r="H396" s="22"/>
    </row>
    <row r="397" spans="2:8" x14ac:dyDescent="0.2">
      <c r="B397" s="84">
        <v>396</v>
      </c>
      <c r="C397" s="22"/>
      <c r="D397" s="22"/>
      <c r="E397" s="22"/>
      <c r="F397" s="22"/>
      <c r="G397" s="22"/>
      <c r="H397" s="22"/>
    </row>
    <row r="398" spans="2:8" x14ac:dyDescent="0.2">
      <c r="B398" s="84">
        <v>397</v>
      </c>
      <c r="C398" s="22"/>
      <c r="D398" s="22"/>
      <c r="E398" s="22"/>
      <c r="F398" s="22"/>
      <c r="G398" s="22"/>
      <c r="H398" s="22"/>
    </row>
    <row r="399" spans="2:8" x14ac:dyDescent="0.2">
      <c r="B399" s="84">
        <v>398</v>
      </c>
      <c r="C399" s="22"/>
      <c r="D399" s="22"/>
      <c r="E399" s="22"/>
      <c r="F399" s="22"/>
      <c r="G399" s="22"/>
      <c r="H399" s="22"/>
    </row>
    <row r="400" spans="2:8" x14ac:dyDescent="0.2">
      <c r="B400" s="84">
        <v>399</v>
      </c>
      <c r="C400" s="22"/>
      <c r="D400" s="22"/>
      <c r="E400" s="22"/>
      <c r="F400" s="22"/>
      <c r="G400" s="22"/>
      <c r="H400" s="22"/>
    </row>
    <row r="401" spans="2:8" x14ac:dyDescent="0.2">
      <c r="B401" s="84">
        <v>400</v>
      </c>
      <c r="C401" s="22"/>
      <c r="D401" s="22"/>
      <c r="E401" s="22"/>
      <c r="F401" s="22"/>
      <c r="G401" s="22"/>
      <c r="H401" s="22"/>
    </row>
  </sheetData>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C274FF-E7D3-43E2-B9DD-778689F8E262}">
  <dimension ref="A1:N4128"/>
  <sheetViews>
    <sheetView topLeftCell="A4085" workbookViewId="0">
      <selection activeCell="E4122" sqref="E4122"/>
    </sheetView>
  </sheetViews>
  <sheetFormatPr baseColWidth="10" defaultColWidth="11.42578125" defaultRowHeight="12.75" x14ac:dyDescent="0.2"/>
  <cols>
    <col min="1" max="1" width="13.28515625" style="2" customWidth="1"/>
    <col min="2" max="3" width="25.7109375" style="2" customWidth="1"/>
    <col min="4" max="4" width="13.28515625" style="2" customWidth="1"/>
    <col min="5" max="5" width="26.5703125" style="2" bestFit="1" customWidth="1"/>
    <col min="6" max="8" width="5.7109375" style="2" customWidth="1"/>
    <col min="9" max="9" width="11.42578125" style="2"/>
    <col min="10" max="10" width="13.85546875" style="2" bestFit="1" customWidth="1"/>
    <col min="11" max="11" width="5.7109375" style="2" customWidth="1"/>
    <col min="12" max="12" width="11.42578125" style="2"/>
    <col min="13" max="13" width="15.7109375" style="2" bestFit="1" customWidth="1"/>
    <col min="14" max="16384" width="11.42578125" style="2"/>
  </cols>
  <sheetData>
    <row r="1" spans="1:14" x14ac:dyDescent="0.2">
      <c r="A1" s="1" t="s">
        <v>0</v>
      </c>
      <c r="B1" s="1" t="s">
        <v>3</v>
      </c>
      <c r="C1" s="1" t="s">
        <v>4</v>
      </c>
      <c r="D1" s="1" t="s">
        <v>5</v>
      </c>
      <c r="E1" s="1" t="s">
        <v>4464</v>
      </c>
      <c r="I1" s="20" t="s">
        <v>4537</v>
      </c>
      <c r="J1" s="20" t="s">
        <v>4538</v>
      </c>
      <c r="L1" s="1" t="s">
        <v>4596</v>
      </c>
      <c r="M1" s="1" t="s">
        <v>4595</v>
      </c>
      <c r="N1" s="1"/>
    </row>
    <row r="2" spans="1:14" x14ac:dyDescent="0.2">
      <c r="A2" s="3">
        <v>8914</v>
      </c>
      <c r="B2" s="3" t="s">
        <v>6</v>
      </c>
      <c r="C2" s="3" t="s">
        <v>6</v>
      </c>
      <c r="D2" s="3" t="s">
        <v>7</v>
      </c>
      <c r="E2" s="3" t="str" cm="1">
        <f t="array" ref="E2:E2147">_xlfn.UNIQUE(C2:C4112)</f>
        <v>Aeugst am Albis</v>
      </c>
      <c r="I2" s="19">
        <v>1000</v>
      </c>
      <c r="J2" s="19" t="s">
        <v>4539</v>
      </c>
      <c r="L2" s="3" t="s">
        <v>4544</v>
      </c>
      <c r="M2" s="3" t="s">
        <v>532</v>
      </c>
      <c r="N2" s="21">
        <v>6.1380821917808221</v>
      </c>
    </row>
    <row r="3" spans="1:14" x14ac:dyDescent="0.2">
      <c r="A3" s="3">
        <v>8914</v>
      </c>
      <c r="B3" s="3" t="s">
        <v>8</v>
      </c>
      <c r="C3" s="3" t="s">
        <v>6</v>
      </c>
      <c r="D3" s="3" t="s">
        <v>7</v>
      </c>
      <c r="E3" s="3" t="str">
        <v>Affoltern am Albis</v>
      </c>
      <c r="I3" s="19">
        <v>1003</v>
      </c>
      <c r="J3" s="19" t="s">
        <v>4539</v>
      </c>
      <c r="L3" s="3" t="s">
        <v>4545</v>
      </c>
      <c r="M3" s="3" t="s">
        <v>3357</v>
      </c>
      <c r="N3" s="21">
        <v>10.096438356164384</v>
      </c>
    </row>
    <row r="4" spans="1:14" x14ac:dyDescent="0.2">
      <c r="A4" s="3">
        <v>8909</v>
      </c>
      <c r="B4" s="3" t="s">
        <v>9</v>
      </c>
      <c r="C4" s="3" t="s">
        <v>10</v>
      </c>
      <c r="D4" s="3" t="s">
        <v>7</v>
      </c>
      <c r="E4" s="3" t="str">
        <v>Bonstetten</v>
      </c>
      <c r="I4" s="19">
        <v>1004</v>
      </c>
      <c r="J4" s="19" t="s">
        <v>4539</v>
      </c>
      <c r="L4" s="3" t="s">
        <v>4562</v>
      </c>
      <c r="M4" s="3" t="s">
        <v>4580</v>
      </c>
      <c r="N4" s="21">
        <v>9.9652054794520541</v>
      </c>
    </row>
    <row r="5" spans="1:14" x14ac:dyDescent="0.2">
      <c r="A5" s="3">
        <v>8910</v>
      </c>
      <c r="B5" s="3" t="s">
        <v>10</v>
      </c>
      <c r="C5" s="3" t="s">
        <v>10</v>
      </c>
      <c r="D5" s="3" t="s">
        <v>7</v>
      </c>
      <c r="E5" s="3" t="str">
        <v>Hausen am Albis</v>
      </c>
      <c r="I5" s="19">
        <v>1005</v>
      </c>
      <c r="J5" s="19" t="s">
        <v>4539</v>
      </c>
      <c r="L5" s="3" t="s">
        <v>4552</v>
      </c>
      <c r="M5" s="3" t="s">
        <v>4581</v>
      </c>
      <c r="N5" s="21">
        <v>10.506027397260274</v>
      </c>
    </row>
    <row r="6" spans="1:14" x14ac:dyDescent="0.2">
      <c r="A6" s="3">
        <v>8906</v>
      </c>
      <c r="B6" s="3" t="s">
        <v>11</v>
      </c>
      <c r="C6" s="3" t="s">
        <v>11</v>
      </c>
      <c r="D6" s="3" t="s">
        <v>7</v>
      </c>
      <c r="E6" s="3" t="str">
        <v>Hedingen</v>
      </c>
      <c r="I6" s="19">
        <v>1006</v>
      </c>
      <c r="J6" s="19" t="s">
        <v>4539</v>
      </c>
      <c r="L6" s="3" t="s">
        <v>4546</v>
      </c>
      <c r="M6" s="3" t="s">
        <v>4582</v>
      </c>
      <c r="N6" s="21">
        <v>9.1572602739726019</v>
      </c>
    </row>
    <row r="7" spans="1:14" x14ac:dyDescent="0.2">
      <c r="A7" s="3">
        <v>8915</v>
      </c>
      <c r="B7" s="3" t="s">
        <v>12</v>
      </c>
      <c r="C7" s="3" t="s">
        <v>12</v>
      </c>
      <c r="D7" s="3" t="s">
        <v>7</v>
      </c>
      <c r="E7" s="3" t="str">
        <v>Kappel am Albis</v>
      </c>
      <c r="I7" s="19">
        <v>1007</v>
      </c>
      <c r="J7" s="19" t="s">
        <v>4539</v>
      </c>
      <c r="L7" s="3" t="s">
        <v>4558</v>
      </c>
      <c r="M7" s="3" t="s">
        <v>4583</v>
      </c>
      <c r="N7" s="21">
        <v>9.7084931506849319</v>
      </c>
    </row>
    <row r="8" spans="1:14" x14ac:dyDescent="0.2">
      <c r="A8" s="3">
        <v>8925</v>
      </c>
      <c r="B8" s="3" t="s">
        <v>13</v>
      </c>
      <c r="C8" s="3" t="s">
        <v>12</v>
      </c>
      <c r="D8" s="3" t="s">
        <v>7</v>
      </c>
      <c r="E8" s="3" t="str">
        <v>Knonau</v>
      </c>
      <c r="I8" s="19">
        <v>1008</v>
      </c>
      <c r="J8" s="19" t="s">
        <v>4539</v>
      </c>
      <c r="L8" s="3" t="s">
        <v>4568</v>
      </c>
      <c r="M8" s="3" t="s">
        <v>2435</v>
      </c>
      <c r="N8" s="21">
        <v>9.6657534246575345</v>
      </c>
    </row>
    <row r="9" spans="1:14" x14ac:dyDescent="0.2">
      <c r="A9" s="3">
        <v>8908</v>
      </c>
      <c r="B9" s="3" t="s">
        <v>14</v>
      </c>
      <c r="C9" s="3" t="s">
        <v>14</v>
      </c>
      <c r="D9" s="3" t="s">
        <v>7</v>
      </c>
      <c r="E9" s="3" t="str">
        <v>Maschwanden</v>
      </c>
      <c r="I9" s="19">
        <v>1009</v>
      </c>
      <c r="J9" s="19" t="s">
        <v>4539</v>
      </c>
      <c r="L9" s="3" t="s">
        <v>4569</v>
      </c>
      <c r="M9" s="3" t="s">
        <v>2410</v>
      </c>
      <c r="N9" s="21">
        <v>3.6249315068493142</v>
      </c>
    </row>
    <row r="10" spans="1:14" x14ac:dyDescent="0.2">
      <c r="A10" s="3">
        <v>8926</v>
      </c>
      <c r="B10" s="3" t="s">
        <v>15</v>
      </c>
      <c r="C10" s="3" t="s">
        <v>15</v>
      </c>
      <c r="D10" s="3" t="s">
        <v>7</v>
      </c>
      <c r="E10" s="3" t="str">
        <v>Mettmenstetten</v>
      </c>
      <c r="I10" s="19">
        <v>1010</v>
      </c>
      <c r="J10" s="19" t="s">
        <v>4539</v>
      </c>
      <c r="L10" s="3" t="s">
        <v>4566</v>
      </c>
      <c r="M10" s="3" t="s">
        <v>4584</v>
      </c>
      <c r="N10" s="21">
        <v>6.7490410958904112</v>
      </c>
    </row>
    <row r="11" spans="1:14" x14ac:dyDescent="0.2">
      <c r="A11" s="3">
        <v>8926</v>
      </c>
      <c r="B11" s="3" t="s">
        <v>16</v>
      </c>
      <c r="C11" s="3" t="s">
        <v>15</v>
      </c>
      <c r="D11" s="3" t="s">
        <v>7</v>
      </c>
      <c r="E11" s="3" t="str">
        <v>Obfelden</v>
      </c>
      <c r="I11" s="19">
        <v>1011</v>
      </c>
      <c r="J11" s="19" t="s">
        <v>4539</v>
      </c>
      <c r="L11" s="3" t="s">
        <v>4561</v>
      </c>
      <c r="M11" s="3" t="s">
        <v>1186</v>
      </c>
      <c r="N11" s="21">
        <v>6.4224657534246585</v>
      </c>
    </row>
    <row r="12" spans="1:14" x14ac:dyDescent="0.2">
      <c r="A12" s="3">
        <v>8926</v>
      </c>
      <c r="B12" s="3" t="s">
        <v>17</v>
      </c>
      <c r="C12" s="3" t="s">
        <v>15</v>
      </c>
      <c r="D12" s="3" t="s">
        <v>7</v>
      </c>
      <c r="E12" s="3" t="str">
        <v>Ottenbach</v>
      </c>
      <c r="I12" s="19">
        <v>1012</v>
      </c>
      <c r="J12" s="19" t="s">
        <v>4539</v>
      </c>
      <c r="L12" s="3" t="s">
        <v>4541</v>
      </c>
      <c r="M12" s="3" t="s">
        <v>4585</v>
      </c>
      <c r="N12" s="21">
        <v>10.715890410958904</v>
      </c>
    </row>
    <row r="13" spans="1:14" x14ac:dyDescent="0.2">
      <c r="A13" s="3">
        <v>8934</v>
      </c>
      <c r="B13" s="3" t="s">
        <v>18</v>
      </c>
      <c r="C13" s="3" t="s">
        <v>18</v>
      </c>
      <c r="D13" s="3" t="s">
        <v>7</v>
      </c>
      <c r="E13" s="3" t="str">
        <v>Rifferswil</v>
      </c>
      <c r="I13" s="19">
        <v>1015</v>
      </c>
      <c r="J13" s="19" t="s">
        <v>4539</v>
      </c>
      <c r="L13" s="3" t="s">
        <v>4571</v>
      </c>
      <c r="M13" s="3" t="s">
        <v>1252</v>
      </c>
      <c r="N13" s="21">
        <v>8.8164383561643831</v>
      </c>
    </row>
    <row r="14" spans="1:14" x14ac:dyDescent="0.2">
      <c r="A14" s="3">
        <v>8933</v>
      </c>
      <c r="B14" s="3" t="s">
        <v>19</v>
      </c>
      <c r="C14" s="3" t="s">
        <v>19</v>
      </c>
      <c r="D14" s="3" t="s">
        <v>7</v>
      </c>
      <c r="E14" s="3" t="str">
        <v>Stallikon</v>
      </c>
      <c r="I14" s="19">
        <v>1018</v>
      </c>
      <c r="J14" s="19" t="s">
        <v>4539</v>
      </c>
      <c r="L14" s="3" t="s">
        <v>4587</v>
      </c>
      <c r="M14" s="3" t="s">
        <v>4586</v>
      </c>
      <c r="N14" s="21">
        <v>-0.42876712328767114</v>
      </c>
    </row>
    <row r="15" spans="1:14" x14ac:dyDescent="0.2">
      <c r="A15" s="3">
        <v>8932</v>
      </c>
      <c r="B15" s="3" t="s">
        <v>20</v>
      </c>
      <c r="C15" s="3" t="s">
        <v>20</v>
      </c>
      <c r="D15" s="3" t="s">
        <v>7</v>
      </c>
      <c r="E15" s="3" t="str">
        <v>Wettswil am Albis</v>
      </c>
      <c r="I15" s="19">
        <v>1020</v>
      </c>
      <c r="J15" s="19" t="s">
        <v>4539</v>
      </c>
      <c r="L15" s="3" t="s">
        <v>4576</v>
      </c>
      <c r="M15" s="3" t="s">
        <v>2890</v>
      </c>
      <c r="N15" s="21">
        <v>9.2747945205479461</v>
      </c>
    </row>
    <row r="16" spans="1:14" x14ac:dyDescent="0.2">
      <c r="A16" s="3">
        <v>8912</v>
      </c>
      <c r="B16" s="3" t="s">
        <v>21</v>
      </c>
      <c r="C16" s="3" t="s">
        <v>21</v>
      </c>
      <c r="D16" s="3" t="s">
        <v>7</v>
      </c>
      <c r="E16" s="3" t="str">
        <v>Adlikon</v>
      </c>
      <c r="I16" s="19">
        <v>1022</v>
      </c>
      <c r="J16" s="19" t="s">
        <v>4539</v>
      </c>
      <c r="L16" s="3" t="s">
        <v>4553</v>
      </c>
      <c r="M16" s="3" t="s">
        <v>4588</v>
      </c>
      <c r="N16" s="21">
        <v>8.782465753424658</v>
      </c>
    </row>
    <row r="17" spans="1:14" x14ac:dyDescent="0.2">
      <c r="A17" s="3">
        <v>8913</v>
      </c>
      <c r="B17" s="3" t="s">
        <v>22</v>
      </c>
      <c r="C17" s="3" t="s">
        <v>22</v>
      </c>
      <c r="D17" s="3" t="s">
        <v>7</v>
      </c>
      <c r="E17" s="3" t="str">
        <v>Benken (ZH)</v>
      </c>
      <c r="I17" s="19">
        <v>1023</v>
      </c>
      <c r="J17" s="19" t="s">
        <v>4539</v>
      </c>
      <c r="L17" s="3" t="s">
        <v>4550</v>
      </c>
      <c r="M17" s="3" t="s">
        <v>4200</v>
      </c>
      <c r="N17" s="21">
        <v>6.5887671232876714</v>
      </c>
    </row>
    <row r="18" spans="1:14" x14ac:dyDescent="0.2">
      <c r="A18" s="3">
        <v>8911</v>
      </c>
      <c r="B18" s="3" t="s">
        <v>23</v>
      </c>
      <c r="C18" s="3" t="s">
        <v>23</v>
      </c>
      <c r="D18" s="3" t="s">
        <v>7</v>
      </c>
      <c r="E18" s="3" t="str">
        <v>Berg am Irchel</v>
      </c>
      <c r="I18" s="19">
        <v>1024</v>
      </c>
      <c r="J18" s="19" t="s">
        <v>4539</v>
      </c>
      <c r="L18" s="3" t="s">
        <v>4542</v>
      </c>
      <c r="M18" s="3" t="s">
        <v>4589</v>
      </c>
      <c r="N18" s="21">
        <v>6.0621917808219177</v>
      </c>
    </row>
    <row r="19" spans="1:14" x14ac:dyDescent="0.2">
      <c r="A19" s="3">
        <v>8143</v>
      </c>
      <c r="B19" s="3" t="s">
        <v>24</v>
      </c>
      <c r="C19" s="3" t="s">
        <v>24</v>
      </c>
      <c r="D19" s="3" t="s">
        <v>7</v>
      </c>
      <c r="E19" s="3" t="str">
        <v>Buch am Irchel</v>
      </c>
      <c r="I19" s="19">
        <v>1025</v>
      </c>
      <c r="J19" s="19" t="s">
        <v>4539</v>
      </c>
      <c r="L19" s="3" t="s">
        <v>4565</v>
      </c>
      <c r="M19" s="3" t="s">
        <v>4590</v>
      </c>
      <c r="N19" s="21">
        <v>12.387671232876713</v>
      </c>
    </row>
    <row r="20" spans="1:14" x14ac:dyDescent="0.2">
      <c r="A20" s="3">
        <v>8143</v>
      </c>
      <c r="B20" s="3" t="s">
        <v>25</v>
      </c>
      <c r="C20" s="3" t="s">
        <v>24</v>
      </c>
      <c r="D20" s="3" t="s">
        <v>7</v>
      </c>
      <c r="E20" s="3" t="str">
        <v>Dachsen</v>
      </c>
      <c r="I20" s="19">
        <v>1026</v>
      </c>
      <c r="J20" s="19" t="s">
        <v>4539</v>
      </c>
      <c r="L20" s="3" t="s">
        <v>4567</v>
      </c>
      <c r="M20" s="3" t="s">
        <v>3157</v>
      </c>
      <c r="N20" s="21">
        <v>12.488219178082192</v>
      </c>
    </row>
    <row r="21" spans="1:14" x14ac:dyDescent="0.2">
      <c r="A21" s="3">
        <v>8907</v>
      </c>
      <c r="B21" s="3" t="s">
        <v>26</v>
      </c>
      <c r="C21" s="3" t="s">
        <v>27</v>
      </c>
      <c r="D21" s="3" t="s">
        <v>7</v>
      </c>
      <c r="E21" s="3" t="str">
        <v>Dorf</v>
      </c>
      <c r="I21" s="19">
        <v>1027</v>
      </c>
      <c r="J21" s="19" t="s">
        <v>4539</v>
      </c>
      <c r="L21" s="3" t="s">
        <v>4555</v>
      </c>
      <c r="M21" s="3" t="s">
        <v>994</v>
      </c>
      <c r="N21" s="21">
        <v>9.7410958904109588</v>
      </c>
    </row>
    <row r="22" spans="1:14" x14ac:dyDescent="0.2">
      <c r="A22" s="3">
        <v>8452</v>
      </c>
      <c r="B22" s="3" t="s">
        <v>28</v>
      </c>
      <c r="C22" s="3" t="s">
        <v>29</v>
      </c>
      <c r="D22" s="3" t="s">
        <v>7</v>
      </c>
      <c r="E22" s="3" t="str">
        <v>Feuerthalen</v>
      </c>
      <c r="I22" s="19">
        <v>1028</v>
      </c>
      <c r="J22" s="19" t="s">
        <v>4539</v>
      </c>
      <c r="L22" s="3" t="s">
        <v>4563</v>
      </c>
      <c r="M22" s="3" t="s">
        <v>3341</v>
      </c>
      <c r="N22" s="21">
        <v>11.706027397260275</v>
      </c>
    </row>
    <row r="23" spans="1:14" x14ac:dyDescent="0.2">
      <c r="A23" s="3">
        <v>8463</v>
      </c>
      <c r="B23" s="3" t="s">
        <v>30</v>
      </c>
      <c r="C23" s="3" t="s">
        <v>31</v>
      </c>
      <c r="D23" s="3" t="s">
        <v>7</v>
      </c>
      <c r="E23" s="3" t="str">
        <v>Flaach</v>
      </c>
      <c r="I23" s="19">
        <v>1029</v>
      </c>
      <c r="J23" s="19" t="s">
        <v>4539</v>
      </c>
      <c r="L23" s="3" t="s">
        <v>4548</v>
      </c>
      <c r="M23" s="3" t="s">
        <v>4125</v>
      </c>
      <c r="N23" s="21">
        <v>5.9484931506849312</v>
      </c>
    </row>
    <row r="24" spans="1:14" x14ac:dyDescent="0.2">
      <c r="A24" s="3">
        <v>8415</v>
      </c>
      <c r="B24" s="3" t="s">
        <v>32</v>
      </c>
      <c r="C24" s="3" t="s">
        <v>32</v>
      </c>
      <c r="D24" s="3" t="s">
        <v>7</v>
      </c>
      <c r="E24" s="3" t="str">
        <v>Flurlingen</v>
      </c>
      <c r="I24" s="19">
        <v>1030</v>
      </c>
      <c r="J24" s="19" t="s">
        <v>4539</v>
      </c>
      <c r="L24" s="3" t="s">
        <v>4543</v>
      </c>
      <c r="M24" s="3" t="s">
        <v>4227</v>
      </c>
      <c r="N24" s="21">
        <v>10.357808219178082</v>
      </c>
    </row>
    <row r="25" spans="1:14" x14ac:dyDescent="0.2">
      <c r="A25" s="3">
        <v>8415</v>
      </c>
      <c r="B25" s="3" t="s">
        <v>33</v>
      </c>
      <c r="C25" s="3" t="s">
        <v>32</v>
      </c>
      <c r="D25" s="3" t="s">
        <v>7</v>
      </c>
      <c r="E25" s="3" t="str">
        <v>Andelfingen</v>
      </c>
      <c r="I25" s="19">
        <v>1031</v>
      </c>
      <c r="J25" s="19" t="s">
        <v>4539</v>
      </c>
      <c r="L25" s="3" t="s">
        <v>4540</v>
      </c>
      <c r="M25" s="3" t="s">
        <v>3738</v>
      </c>
      <c r="N25" s="21">
        <v>9.4408219178082184</v>
      </c>
    </row>
    <row r="26" spans="1:14" x14ac:dyDescent="0.2">
      <c r="A26" s="3">
        <v>8414</v>
      </c>
      <c r="B26" s="3" t="s">
        <v>34</v>
      </c>
      <c r="C26" s="3" t="s">
        <v>34</v>
      </c>
      <c r="D26" s="3" t="s">
        <v>7</v>
      </c>
      <c r="E26" s="3" t="str">
        <v>Henggart</v>
      </c>
      <c r="I26" s="19">
        <v>1032</v>
      </c>
      <c r="J26" s="19" t="s">
        <v>4539</v>
      </c>
      <c r="L26" s="3" t="s">
        <v>4556</v>
      </c>
      <c r="M26" s="3" t="s">
        <v>3093</v>
      </c>
      <c r="N26" s="21">
        <v>7.8139726027397272</v>
      </c>
    </row>
    <row r="27" spans="1:14" x14ac:dyDescent="0.2">
      <c r="A27" s="3">
        <v>8447</v>
      </c>
      <c r="B27" s="3" t="s">
        <v>35</v>
      </c>
      <c r="C27" s="3" t="s">
        <v>35</v>
      </c>
      <c r="D27" s="3" t="s">
        <v>7</v>
      </c>
      <c r="E27" s="3" t="str">
        <v>Humlikon</v>
      </c>
      <c r="I27" s="19">
        <v>1033</v>
      </c>
      <c r="J27" s="19" t="s">
        <v>4539</v>
      </c>
      <c r="L27" s="3" t="s">
        <v>4539</v>
      </c>
      <c r="M27" s="3" t="s">
        <v>3538</v>
      </c>
      <c r="N27" s="21">
        <v>10.981917808219178</v>
      </c>
    </row>
    <row r="28" spans="1:14" x14ac:dyDescent="0.2">
      <c r="A28" s="3">
        <v>8458</v>
      </c>
      <c r="B28" s="3" t="s">
        <v>36</v>
      </c>
      <c r="C28" s="3" t="s">
        <v>36</v>
      </c>
      <c r="D28" s="3" t="s">
        <v>7</v>
      </c>
      <c r="E28" s="3" t="str">
        <v>Kleinandelfingen</v>
      </c>
      <c r="I28" s="19">
        <v>1034</v>
      </c>
      <c r="J28" s="19" t="s">
        <v>4539</v>
      </c>
      <c r="L28" s="3" t="s">
        <v>4574</v>
      </c>
      <c r="M28" s="3" t="s">
        <v>4591</v>
      </c>
      <c r="N28" s="21">
        <v>7.0723287671232882</v>
      </c>
    </row>
    <row r="29" spans="1:14" x14ac:dyDescent="0.2">
      <c r="A29" s="3">
        <v>8245</v>
      </c>
      <c r="B29" s="3" t="s">
        <v>37</v>
      </c>
      <c r="C29" s="3" t="s">
        <v>37</v>
      </c>
      <c r="D29" s="3" t="s">
        <v>7</v>
      </c>
      <c r="E29" s="3" t="str">
        <v>Laufen-Uhwiesen</v>
      </c>
      <c r="I29" s="19">
        <v>1035</v>
      </c>
      <c r="J29" s="19" t="s">
        <v>4539</v>
      </c>
      <c r="L29" s="3" t="s">
        <v>4551</v>
      </c>
      <c r="M29" s="3" t="s">
        <v>1848</v>
      </c>
      <c r="N29" s="21">
        <v>9.106575342465753</v>
      </c>
    </row>
    <row r="30" spans="1:14" x14ac:dyDescent="0.2">
      <c r="A30" s="3">
        <v>8246</v>
      </c>
      <c r="B30" s="3" t="s">
        <v>38</v>
      </c>
      <c r="C30" s="3" t="s">
        <v>37</v>
      </c>
      <c r="D30" s="3" t="s">
        <v>7</v>
      </c>
      <c r="E30" s="3" t="str">
        <v>Marthalen</v>
      </c>
      <c r="I30" s="19">
        <v>1036</v>
      </c>
      <c r="J30" s="19" t="s">
        <v>4539</v>
      </c>
      <c r="L30" s="3" t="s">
        <v>4572</v>
      </c>
      <c r="M30" s="3" t="s">
        <v>2353</v>
      </c>
      <c r="N30" s="21">
        <v>1.8473972602739728</v>
      </c>
    </row>
    <row r="31" spans="1:14" x14ac:dyDescent="0.2">
      <c r="A31" s="3">
        <v>8416</v>
      </c>
      <c r="B31" s="3" t="s">
        <v>39</v>
      </c>
      <c r="C31" s="3" t="s">
        <v>39</v>
      </c>
      <c r="D31" s="3" t="s">
        <v>7</v>
      </c>
      <c r="E31" s="3" t="str">
        <v>Ossingen</v>
      </c>
      <c r="I31" s="19">
        <v>1037</v>
      </c>
      <c r="J31" s="19" t="s">
        <v>4539</v>
      </c>
      <c r="L31" s="3" t="s">
        <v>4564</v>
      </c>
      <c r="M31" s="3" t="s">
        <v>4592</v>
      </c>
      <c r="N31" s="21">
        <v>3.9054794520547946</v>
      </c>
    </row>
    <row r="32" spans="1:14" x14ac:dyDescent="0.2">
      <c r="A32" s="3">
        <v>8247</v>
      </c>
      <c r="B32" s="3" t="s">
        <v>40</v>
      </c>
      <c r="C32" s="3" t="s">
        <v>40</v>
      </c>
      <c r="D32" s="3" t="s">
        <v>7</v>
      </c>
      <c r="E32" s="3" t="str">
        <v>Rheinau</v>
      </c>
      <c r="I32" s="19">
        <v>1038</v>
      </c>
      <c r="J32" s="19" t="s">
        <v>4539</v>
      </c>
      <c r="L32" s="3" t="s">
        <v>4577</v>
      </c>
      <c r="M32" s="3" t="s">
        <v>1968</v>
      </c>
      <c r="N32" s="21">
        <v>8.2561643835616429</v>
      </c>
    </row>
    <row r="33" spans="1:14" x14ac:dyDescent="0.2">
      <c r="A33" s="3">
        <v>8450</v>
      </c>
      <c r="B33" s="3" t="s">
        <v>41</v>
      </c>
      <c r="C33" s="3" t="s">
        <v>41</v>
      </c>
      <c r="D33" s="3" t="s">
        <v>7</v>
      </c>
      <c r="E33" s="3" t="str">
        <v>Thalheim an der Thur</v>
      </c>
      <c r="I33" s="19">
        <v>1040</v>
      </c>
      <c r="J33" s="19" t="s">
        <v>4539</v>
      </c>
      <c r="L33" s="3" t="s">
        <v>4575</v>
      </c>
      <c r="M33" s="3" t="s">
        <v>1898</v>
      </c>
      <c r="N33" s="21">
        <v>9.4167123287671224</v>
      </c>
    </row>
    <row r="34" spans="1:14" x14ac:dyDescent="0.2">
      <c r="A34" s="3">
        <v>8444</v>
      </c>
      <c r="B34" s="3" t="s">
        <v>42</v>
      </c>
      <c r="C34" s="3" t="s">
        <v>42</v>
      </c>
      <c r="D34" s="3" t="s">
        <v>7</v>
      </c>
      <c r="E34" s="3" t="str">
        <v>Trüllikon</v>
      </c>
      <c r="I34" s="19">
        <v>1041</v>
      </c>
      <c r="J34" s="19" t="s">
        <v>4539</v>
      </c>
      <c r="L34" s="3" t="s">
        <v>4573</v>
      </c>
      <c r="M34" s="3" t="s">
        <v>2336</v>
      </c>
      <c r="N34" s="21">
        <v>5.5506849315068489</v>
      </c>
    </row>
    <row r="35" spans="1:14" x14ac:dyDescent="0.2">
      <c r="A35" s="3">
        <v>8457</v>
      </c>
      <c r="B35" s="3" t="s">
        <v>43</v>
      </c>
      <c r="C35" s="3" t="s">
        <v>43</v>
      </c>
      <c r="D35" s="3" t="s">
        <v>7</v>
      </c>
      <c r="E35" s="3" t="str">
        <v>Truttikon</v>
      </c>
      <c r="I35" s="19">
        <v>1042</v>
      </c>
      <c r="J35" s="19" t="s">
        <v>4539</v>
      </c>
      <c r="L35" s="3" t="s">
        <v>4547</v>
      </c>
      <c r="M35" s="3" t="s">
        <v>4141</v>
      </c>
      <c r="N35" s="21">
        <v>10.139726027397261</v>
      </c>
    </row>
    <row r="36" spans="1:14" x14ac:dyDescent="0.2">
      <c r="A36" s="3">
        <v>8451</v>
      </c>
      <c r="B36" s="3" t="s">
        <v>44</v>
      </c>
      <c r="C36" s="3" t="s">
        <v>44</v>
      </c>
      <c r="D36" s="3" t="s">
        <v>7</v>
      </c>
      <c r="E36" s="3" t="str">
        <v>Volken</v>
      </c>
      <c r="I36" s="19">
        <v>1043</v>
      </c>
      <c r="J36" s="19" t="s">
        <v>4539</v>
      </c>
      <c r="L36" s="3" t="s">
        <v>4557</v>
      </c>
      <c r="M36" s="3" t="s">
        <v>3941</v>
      </c>
      <c r="N36" s="21">
        <v>3.2454794520547949</v>
      </c>
    </row>
    <row r="37" spans="1:14" x14ac:dyDescent="0.2">
      <c r="A37" s="3">
        <v>8453</v>
      </c>
      <c r="B37" s="3" t="s">
        <v>45</v>
      </c>
      <c r="C37" s="3" t="s">
        <v>44</v>
      </c>
      <c r="D37" s="3" t="s">
        <v>7</v>
      </c>
      <c r="E37" s="3" t="str">
        <v>Bachenbülach</v>
      </c>
      <c r="I37" s="19">
        <v>1044</v>
      </c>
      <c r="J37" s="19" t="s">
        <v>4539</v>
      </c>
      <c r="L37" s="3" t="s">
        <v>4570</v>
      </c>
      <c r="M37" s="3" t="s">
        <v>4441</v>
      </c>
      <c r="N37" s="21">
        <v>9.9986301369863018</v>
      </c>
    </row>
    <row r="38" spans="1:14" x14ac:dyDescent="0.2">
      <c r="A38" s="3">
        <v>8461</v>
      </c>
      <c r="B38" s="3" t="s">
        <v>46</v>
      </c>
      <c r="C38" s="3" t="s">
        <v>44</v>
      </c>
      <c r="D38" s="3" t="s">
        <v>7</v>
      </c>
      <c r="E38" s="3" t="str">
        <v>Bassersdorf</v>
      </c>
      <c r="I38" s="19">
        <v>1045</v>
      </c>
      <c r="J38" s="19" t="s">
        <v>4540</v>
      </c>
      <c r="L38" s="3" t="s">
        <v>4554</v>
      </c>
      <c r="M38" s="3" t="s">
        <v>367</v>
      </c>
      <c r="N38" s="21">
        <v>9.0753424657534243</v>
      </c>
    </row>
    <row r="39" spans="1:14" x14ac:dyDescent="0.2">
      <c r="A39" s="3">
        <v>8212</v>
      </c>
      <c r="B39" s="3" t="s">
        <v>47</v>
      </c>
      <c r="C39" s="3" t="s">
        <v>48</v>
      </c>
      <c r="D39" s="3" t="s">
        <v>7</v>
      </c>
      <c r="E39" s="3" t="str">
        <v>Bülach</v>
      </c>
      <c r="I39" s="19">
        <v>1046</v>
      </c>
      <c r="J39" s="19" t="s">
        <v>4539</v>
      </c>
      <c r="L39" s="3" t="s">
        <v>4549</v>
      </c>
      <c r="M39" s="3" t="s">
        <v>4177</v>
      </c>
      <c r="N39" s="21">
        <v>4.3654794520547942</v>
      </c>
    </row>
    <row r="40" spans="1:14" x14ac:dyDescent="0.2">
      <c r="A40" s="3">
        <v>8248</v>
      </c>
      <c r="B40" s="3" t="s">
        <v>49</v>
      </c>
      <c r="C40" s="3" t="s">
        <v>48</v>
      </c>
      <c r="D40" s="3" t="s">
        <v>7</v>
      </c>
      <c r="E40" s="3" t="str">
        <v>Dietlikon</v>
      </c>
      <c r="I40" s="19">
        <v>1047</v>
      </c>
      <c r="J40" s="19" t="s">
        <v>4539</v>
      </c>
      <c r="L40" s="3" t="s">
        <v>4559</v>
      </c>
      <c r="M40" s="3" t="s">
        <v>4593</v>
      </c>
      <c r="N40" s="21">
        <v>9.4005479452054779</v>
      </c>
    </row>
    <row r="41" spans="1:14" x14ac:dyDescent="0.2">
      <c r="A41" s="3">
        <v>8460</v>
      </c>
      <c r="B41" s="3" t="s">
        <v>50</v>
      </c>
      <c r="C41" s="3" t="s">
        <v>50</v>
      </c>
      <c r="D41" s="3" t="s">
        <v>7</v>
      </c>
      <c r="E41" s="3" t="str">
        <v>Eglisau</v>
      </c>
      <c r="I41" s="19">
        <v>1052</v>
      </c>
      <c r="J41" s="19" t="s">
        <v>4539</v>
      </c>
      <c r="L41" s="3" t="s">
        <v>4560</v>
      </c>
      <c r="M41" s="3" t="s">
        <v>4594</v>
      </c>
      <c r="N41" s="21">
        <v>9.3989041095890418</v>
      </c>
    </row>
    <row r="42" spans="1:14" x14ac:dyDescent="0.2">
      <c r="A42" s="3">
        <v>8464</v>
      </c>
      <c r="B42" s="3" t="s">
        <v>51</v>
      </c>
      <c r="C42" s="3" t="s">
        <v>50</v>
      </c>
      <c r="D42" s="3" t="s">
        <v>7</v>
      </c>
      <c r="E42" s="3" t="str">
        <v>Embrach</v>
      </c>
      <c r="I42" s="19">
        <v>1053</v>
      </c>
      <c r="J42" s="19" t="s">
        <v>4539</v>
      </c>
    </row>
    <row r="43" spans="1:14" x14ac:dyDescent="0.2">
      <c r="A43" s="3">
        <v>8475</v>
      </c>
      <c r="B43" s="3" t="s">
        <v>52</v>
      </c>
      <c r="C43" s="3" t="s">
        <v>52</v>
      </c>
      <c r="D43" s="3" t="s">
        <v>7</v>
      </c>
      <c r="E43" s="3" t="str">
        <v>Freienstein-Teufen</v>
      </c>
      <c r="I43" s="19">
        <v>1054</v>
      </c>
      <c r="J43" s="19" t="s">
        <v>4539</v>
      </c>
    </row>
    <row r="44" spans="1:14" x14ac:dyDescent="0.2">
      <c r="A44" s="3">
        <v>8462</v>
      </c>
      <c r="B44" s="3" t="s">
        <v>53</v>
      </c>
      <c r="C44" s="3" t="s">
        <v>53</v>
      </c>
      <c r="D44" s="3" t="s">
        <v>7</v>
      </c>
      <c r="E44" s="3" t="str">
        <v>Glattfelden</v>
      </c>
      <c r="I44" s="19">
        <v>1055</v>
      </c>
      <c r="J44" s="19" t="s">
        <v>4539</v>
      </c>
    </row>
    <row r="45" spans="1:14" x14ac:dyDescent="0.2">
      <c r="A45" s="3">
        <v>8478</v>
      </c>
      <c r="B45" s="3" t="s">
        <v>54</v>
      </c>
      <c r="C45" s="3" t="s">
        <v>54</v>
      </c>
      <c r="D45" s="3" t="s">
        <v>7</v>
      </c>
      <c r="E45" s="3" t="str">
        <v>Hochfelden</v>
      </c>
      <c r="I45" s="19">
        <v>1058</v>
      </c>
      <c r="J45" s="19" t="s">
        <v>4539</v>
      </c>
    </row>
    <row r="46" spans="1:14" x14ac:dyDescent="0.2">
      <c r="A46" s="3">
        <v>8465</v>
      </c>
      <c r="B46" s="3" t="s">
        <v>55</v>
      </c>
      <c r="C46" s="3" t="s">
        <v>56</v>
      </c>
      <c r="D46" s="3" t="s">
        <v>7</v>
      </c>
      <c r="E46" s="3" t="str">
        <v>Höri</v>
      </c>
      <c r="I46" s="19">
        <v>1059</v>
      </c>
      <c r="J46" s="19" t="s">
        <v>4539</v>
      </c>
    </row>
    <row r="47" spans="1:14" x14ac:dyDescent="0.2">
      <c r="A47" s="3">
        <v>8465</v>
      </c>
      <c r="B47" s="3" t="s">
        <v>57</v>
      </c>
      <c r="C47" s="3" t="s">
        <v>56</v>
      </c>
      <c r="D47" s="3" t="s">
        <v>7</v>
      </c>
      <c r="E47" s="3" t="str">
        <v>Hüntwangen</v>
      </c>
      <c r="I47" s="19">
        <v>1061</v>
      </c>
      <c r="J47" s="19" t="s">
        <v>4539</v>
      </c>
    </row>
    <row r="48" spans="1:14" x14ac:dyDescent="0.2">
      <c r="A48" s="3">
        <v>8466</v>
      </c>
      <c r="B48" s="3" t="s">
        <v>56</v>
      </c>
      <c r="C48" s="3" t="s">
        <v>56</v>
      </c>
      <c r="D48" s="3" t="s">
        <v>7</v>
      </c>
      <c r="E48" s="3" t="str">
        <v>Kloten</v>
      </c>
      <c r="I48" s="19">
        <v>1062</v>
      </c>
      <c r="J48" s="19" t="s">
        <v>4540</v>
      </c>
    </row>
    <row r="49" spans="1:10" x14ac:dyDescent="0.2">
      <c r="A49" s="3">
        <v>8467</v>
      </c>
      <c r="B49" s="3" t="s">
        <v>58</v>
      </c>
      <c r="C49" s="3" t="s">
        <v>58</v>
      </c>
      <c r="D49" s="3" t="s">
        <v>7</v>
      </c>
      <c r="E49" s="3" t="str">
        <v>Lufingen</v>
      </c>
      <c r="I49" s="19">
        <v>1063</v>
      </c>
      <c r="J49" s="19" t="s">
        <v>4540</v>
      </c>
    </row>
    <row r="50" spans="1:10" x14ac:dyDescent="0.2">
      <c r="A50" s="3">
        <v>8459</v>
      </c>
      <c r="B50" s="3" t="s">
        <v>59</v>
      </c>
      <c r="C50" s="3" t="s">
        <v>59</v>
      </c>
      <c r="D50" s="3" t="s">
        <v>7</v>
      </c>
      <c r="E50" s="3" t="str">
        <v>Nürensdorf</v>
      </c>
      <c r="I50" s="19">
        <v>1066</v>
      </c>
      <c r="J50" s="19" t="s">
        <v>4539</v>
      </c>
    </row>
    <row r="51" spans="1:10" x14ac:dyDescent="0.2">
      <c r="A51" s="3">
        <v>8184</v>
      </c>
      <c r="B51" s="3" t="s">
        <v>60</v>
      </c>
      <c r="C51" s="3" t="s">
        <v>60</v>
      </c>
      <c r="D51" s="3" t="s">
        <v>7</v>
      </c>
      <c r="E51" s="3" t="str">
        <v>Oberembrach</v>
      </c>
      <c r="I51" s="19">
        <v>1068</v>
      </c>
      <c r="J51" s="19" t="s">
        <v>4539</v>
      </c>
    </row>
    <row r="52" spans="1:10" x14ac:dyDescent="0.2">
      <c r="A52" s="3">
        <v>8303</v>
      </c>
      <c r="B52" s="3" t="s">
        <v>61</v>
      </c>
      <c r="C52" s="3" t="s">
        <v>61</v>
      </c>
      <c r="D52" s="3" t="s">
        <v>7</v>
      </c>
      <c r="E52" s="3" t="str">
        <v>Opfikon</v>
      </c>
      <c r="I52" s="19">
        <v>1070</v>
      </c>
      <c r="J52" s="19" t="s">
        <v>4539</v>
      </c>
    </row>
    <row r="53" spans="1:10" x14ac:dyDescent="0.2">
      <c r="A53" s="3">
        <v>8180</v>
      </c>
      <c r="B53" s="3" t="s">
        <v>62</v>
      </c>
      <c r="C53" s="3" t="s">
        <v>62</v>
      </c>
      <c r="D53" s="3" t="s">
        <v>7</v>
      </c>
      <c r="E53" s="3" t="str">
        <v>Rafz</v>
      </c>
      <c r="I53" s="19">
        <v>1071</v>
      </c>
      <c r="J53" s="19" t="s">
        <v>4539</v>
      </c>
    </row>
    <row r="54" spans="1:10" x14ac:dyDescent="0.2">
      <c r="A54" s="3">
        <v>8305</v>
      </c>
      <c r="B54" s="3" t="s">
        <v>63</v>
      </c>
      <c r="C54" s="3" t="s">
        <v>63</v>
      </c>
      <c r="D54" s="3" t="s">
        <v>7</v>
      </c>
      <c r="E54" s="3" t="str">
        <v>Rorbas</v>
      </c>
      <c r="I54" s="19">
        <v>1072</v>
      </c>
      <c r="J54" s="19" t="s">
        <v>4539</v>
      </c>
    </row>
    <row r="55" spans="1:10" x14ac:dyDescent="0.2">
      <c r="A55" s="3">
        <v>8193</v>
      </c>
      <c r="B55" s="3" t="s">
        <v>64</v>
      </c>
      <c r="C55" s="3" t="s">
        <v>64</v>
      </c>
      <c r="D55" s="3" t="s">
        <v>7</v>
      </c>
      <c r="E55" s="3" t="str">
        <v>Wallisellen</v>
      </c>
      <c r="I55" s="19">
        <v>1073</v>
      </c>
      <c r="J55" s="19" t="s">
        <v>4539</v>
      </c>
    </row>
    <row r="56" spans="1:10" x14ac:dyDescent="0.2">
      <c r="A56" s="3">
        <v>8424</v>
      </c>
      <c r="B56" s="3" t="s">
        <v>65</v>
      </c>
      <c r="C56" s="3" t="s">
        <v>65</v>
      </c>
      <c r="D56" s="3" t="s">
        <v>7</v>
      </c>
      <c r="E56" s="3" t="str">
        <v>Wasterkingen</v>
      </c>
      <c r="I56" s="19">
        <v>1076</v>
      </c>
      <c r="J56" s="19" t="s">
        <v>4539</v>
      </c>
    </row>
    <row r="57" spans="1:10" x14ac:dyDescent="0.2">
      <c r="A57" s="3">
        <v>8427</v>
      </c>
      <c r="B57" s="3" t="s">
        <v>66</v>
      </c>
      <c r="C57" s="3" t="s">
        <v>67</v>
      </c>
      <c r="D57" s="3" t="s">
        <v>7</v>
      </c>
      <c r="E57" s="3" t="str">
        <v>Wil (ZH)</v>
      </c>
      <c r="I57" s="19">
        <v>1077</v>
      </c>
      <c r="J57" s="19" t="s">
        <v>4539</v>
      </c>
    </row>
    <row r="58" spans="1:10" x14ac:dyDescent="0.2">
      <c r="A58" s="3">
        <v>8428</v>
      </c>
      <c r="B58" s="3" t="s">
        <v>68</v>
      </c>
      <c r="C58" s="3" t="s">
        <v>67</v>
      </c>
      <c r="D58" s="3" t="s">
        <v>7</v>
      </c>
      <c r="E58" s="3" t="str">
        <v>Winkel</v>
      </c>
      <c r="I58" s="19">
        <v>1078</v>
      </c>
      <c r="J58" s="19" t="s">
        <v>4539</v>
      </c>
    </row>
    <row r="59" spans="1:10" x14ac:dyDescent="0.2">
      <c r="A59" s="3">
        <v>8192</v>
      </c>
      <c r="B59" s="3" t="s">
        <v>69</v>
      </c>
      <c r="C59" s="3" t="s">
        <v>69</v>
      </c>
      <c r="D59" s="3" t="s">
        <v>7</v>
      </c>
      <c r="E59" s="3" t="str">
        <v>Bachs</v>
      </c>
      <c r="I59" s="19">
        <v>1080</v>
      </c>
      <c r="J59" s="19" t="s">
        <v>4539</v>
      </c>
    </row>
    <row r="60" spans="1:10" x14ac:dyDescent="0.2">
      <c r="A60" s="3">
        <v>8192</v>
      </c>
      <c r="B60" s="3" t="s">
        <v>70</v>
      </c>
      <c r="C60" s="3" t="s">
        <v>69</v>
      </c>
      <c r="D60" s="3" t="s">
        <v>7</v>
      </c>
      <c r="E60" s="3" t="str">
        <v>Boppelsen</v>
      </c>
      <c r="I60" s="19">
        <v>1081</v>
      </c>
      <c r="J60" s="19" t="s">
        <v>4539</v>
      </c>
    </row>
    <row r="61" spans="1:10" x14ac:dyDescent="0.2">
      <c r="A61" s="3">
        <v>8182</v>
      </c>
      <c r="B61" s="3" t="s">
        <v>71</v>
      </c>
      <c r="C61" s="3" t="s">
        <v>71</v>
      </c>
      <c r="D61" s="3" t="s">
        <v>7</v>
      </c>
      <c r="E61" s="3" t="str">
        <v>Buchs (ZH)</v>
      </c>
      <c r="I61" s="19">
        <v>1082</v>
      </c>
      <c r="J61" s="19" t="s">
        <v>4539</v>
      </c>
    </row>
    <row r="62" spans="1:10" x14ac:dyDescent="0.2">
      <c r="A62" s="3">
        <v>8181</v>
      </c>
      <c r="B62" s="3" t="s">
        <v>72</v>
      </c>
      <c r="C62" s="3" t="s">
        <v>72</v>
      </c>
      <c r="D62" s="3" t="s">
        <v>7</v>
      </c>
      <c r="E62" s="3" t="str">
        <v>Dällikon</v>
      </c>
      <c r="I62" s="19">
        <v>1083</v>
      </c>
      <c r="J62" s="19" t="s">
        <v>4539</v>
      </c>
    </row>
    <row r="63" spans="1:10" x14ac:dyDescent="0.2">
      <c r="A63" s="3">
        <v>8194</v>
      </c>
      <c r="B63" s="3" t="s">
        <v>73</v>
      </c>
      <c r="C63" s="3" t="s">
        <v>73</v>
      </c>
      <c r="D63" s="3" t="s">
        <v>7</v>
      </c>
      <c r="E63" s="3" t="str">
        <v>Dänikon</v>
      </c>
      <c r="I63" s="19">
        <v>1084</v>
      </c>
      <c r="J63" s="19" t="s">
        <v>4539</v>
      </c>
    </row>
    <row r="64" spans="1:10" x14ac:dyDescent="0.2">
      <c r="A64" s="3">
        <v>8302</v>
      </c>
      <c r="B64" s="3" t="s">
        <v>74</v>
      </c>
      <c r="C64" s="3" t="s">
        <v>74</v>
      </c>
      <c r="D64" s="3" t="s">
        <v>7</v>
      </c>
      <c r="E64" s="3" t="str">
        <v>Dielsdorf</v>
      </c>
      <c r="I64" s="19">
        <v>1085</v>
      </c>
      <c r="J64" s="19" t="s">
        <v>4539</v>
      </c>
    </row>
    <row r="65" spans="1:10" x14ac:dyDescent="0.2">
      <c r="A65" s="3">
        <v>8426</v>
      </c>
      <c r="B65" s="3" t="s">
        <v>75</v>
      </c>
      <c r="C65" s="3" t="s">
        <v>75</v>
      </c>
      <c r="D65" s="3" t="s">
        <v>7</v>
      </c>
      <c r="E65" s="3" t="str">
        <v>Hüttikon</v>
      </c>
      <c r="I65" s="19">
        <v>1088</v>
      </c>
      <c r="J65" s="19" t="s">
        <v>4539</v>
      </c>
    </row>
    <row r="66" spans="1:10" x14ac:dyDescent="0.2">
      <c r="A66" s="3">
        <v>8309</v>
      </c>
      <c r="B66" s="3" t="s">
        <v>76</v>
      </c>
      <c r="C66" s="3" t="s">
        <v>76</v>
      </c>
      <c r="D66" s="3" t="s">
        <v>7</v>
      </c>
      <c r="E66" s="3" t="str">
        <v>Neerach</v>
      </c>
      <c r="I66" s="19">
        <v>1090</v>
      </c>
      <c r="J66" s="19" t="s">
        <v>4539</v>
      </c>
    </row>
    <row r="67" spans="1:10" x14ac:dyDescent="0.2">
      <c r="A67" s="3">
        <v>8425</v>
      </c>
      <c r="B67" s="3" t="s">
        <v>77</v>
      </c>
      <c r="C67" s="3" t="s">
        <v>77</v>
      </c>
      <c r="D67" s="3" t="s">
        <v>7</v>
      </c>
      <c r="E67" s="3" t="str">
        <v>Niederglatt</v>
      </c>
      <c r="I67" s="19">
        <v>1091</v>
      </c>
      <c r="J67" s="19" t="s">
        <v>4539</v>
      </c>
    </row>
    <row r="68" spans="1:10" x14ac:dyDescent="0.2">
      <c r="A68" s="3">
        <v>8152</v>
      </c>
      <c r="B68" s="3" t="s">
        <v>78</v>
      </c>
      <c r="C68" s="3" t="s">
        <v>79</v>
      </c>
      <c r="D68" s="3" t="s">
        <v>7</v>
      </c>
      <c r="E68" s="3" t="str">
        <v>Niederhasli</v>
      </c>
      <c r="I68" s="19">
        <v>1092</v>
      </c>
      <c r="J68" s="19" t="s">
        <v>4539</v>
      </c>
    </row>
    <row r="69" spans="1:10" x14ac:dyDescent="0.2">
      <c r="A69" s="3">
        <v>8152</v>
      </c>
      <c r="B69" s="3" t="s">
        <v>79</v>
      </c>
      <c r="C69" s="3" t="s">
        <v>79</v>
      </c>
      <c r="D69" s="3" t="s">
        <v>7</v>
      </c>
      <c r="E69" s="3" t="str">
        <v>Niederweningen</v>
      </c>
      <c r="I69" s="19">
        <v>1093</v>
      </c>
      <c r="J69" s="19" t="s">
        <v>4539</v>
      </c>
    </row>
    <row r="70" spans="1:10" x14ac:dyDescent="0.2">
      <c r="A70" s="3">
        <v>8152</v>
      </c>
      <c r="B70" s="3" t="s">
        <v>80</v>
      </c>
      <c r="C70" s="3" t="s">
        <v>79</v>
      </c>
      <c r="D70" s="3" t="s">
        <v>7</v>
      </c>
      <c r="E70" s="3" t="str">
        <v>Oberglatt</v>
      </c>
      <c r="I70" s="19">
        <v>1094</v>
      </c>
      <c r="J70" s="19" t="s">
        <v>4539</v>
      </c>
    </row>
    <row r="71" spans="1:10" x14ac:dyDescent="0.2">
      <c r="A71" s="3">
        <v>8197</v>
      </c>
      <c r="B71" s="3" t="s">
        <v>81</v>
      </c>
      <c r="C71" s="3" t="s">
        <v>81</v>
      </c>
      <c r="D71" s="3" t="s">
        <v>7</v>
      </c>
      <c r="E71" s="3" t="str">
        <v>Oberweningen</v>
      </c>
      <c r="I71" s="19">
        <v>1095</v>
      </c>
      <c r="J71" s="19" t="s">
        <v>4539</v>
      </c>
    </row>
    <row r="72" spans="1:10" x14ac:dyDescent="0.2">
      <c r="A72" s="3">
        <v>8427</v>
      </c>
      <c r="B72" s="3" t="s">
        <v>82</v>
      </c>
      <c r="C72" s="3" t="s">
        <v>82</v>
      </c>
      <c r="D72" s="3" t="s">
        <v>7</v>
      </c>
      <c r="E72" s="3" t="str">
        <v>Otelfingen</v>
      </c>
      <c r="I72" s="19">
        <v>1096</v>
      </c>
      <c r="J72" s="19" t="s">
        <v>4539</v>
      </c>
    </row>
    <row r="73" spans="1:10" x14ac:dyDescent="0.2">
      <c r="A73" s="3">
        <v>8304</v>
      </c>
      <c r="B73" s="3" t="s">
        <v>83</v>
      </c>
      <c r="C73" s="3" t="s">
        <v>83</v>
      </c>
      <c r="D73" s="3" t="s">
        <v>7</v>
      </c>
      <c r="E73" s="3" t="str">
        <v>Regensberg</v>
      </c>
      <c r="I73" s="19">
        <v>1097</v>
      </c>
      <c r="J73" s="19" t="s">
        <v>4539</v>
      </c>
    </row>
    <row r="74" spans="1:10" x14ac:dyDescent="0.2">
      <c r="A74" s="3">
        <v>8195</v>
      </c>
      <c r="B74" s="3" t="s">
        <v>84</v>
      </c>
      <c r="C74" s="3" t="s">
        <v>84</v>
      </c>
      <c r="D74" s="3" t="s">
        <v>7</v>
      </c>
      <c r="E74" s="3" t="str">
        <v>Regensdorf</v>
      </c>
      <c r="I74" s="19">
        <v>1098</v>
      </c>
      <c r="J74" s="19" t="s">
        <v>4539</v>
      </c>
    </row>
    <row r="75" spans="1:10" x14ac:dyDescent="0.2">
      <c r="A75" s="3">
        <v>8196</v>
      </c>
      <c r="B75" s="3" t="s">
        <v>85</v>
      </c>
      <c r="C75" s="3" t="s">
        <v>86</v>
      </c>
      <c r="D75" s="3" t="s">
        <v>7</v>
      </c>
      <c r="E75" s="3" t="str">
        <v>Rümlang</v>
      </c>
      <c r="I75" s="19">
        <v>1110</v>
      </c>
      <c r="J75" s="19" t="s">
        <v>4539</v>
      </c>
    </row>
    <row r="76" spans="1:10" x14ac:dyDescent="0.2">
      <c r="A76" s="3">
        <v>8185</v>
      </c>
      <c r="B76" s="3" t="s">
        <v>87</v>
      </c>
      <c r="C76" s="3" t="s">
        <v>87</v>
      </c>
      <c r="D76" s="3" t="s">
        <v>7</v>
      </c>
      <c r="E76" s="3" t="str">
        <v>Schleinikon</v>
      </c>
      <c r="I76" s="19">
        <v>1112</v>
      </c>
      <c r="J76" s="19" t="s">
        <v>4539</v>
      </c>
    </row>
    <row r="77" spans="1:10" x14ac:dyDescent="0.2">
      <c r="A77" s="3">
        <v>8164</v>
      </c>
      <c r="B77" s="3" t="s">
        <v>88</v>
      </c>
      <c r="C77" s="3" t="s">
        <v>88</v>
      </c>
      <c r="D77" s="3" t="s">
        <v>7</v>
      </c>
      <c r="E77" s="3" t="str">
        <v>Schöfflisdorf</v>
      </c>
      <c r="I77" s="19">
        <v>1113</v>
      </c>
      <c r="J77" s="19" t="s">
        <v>4539</v>
      </c>
    </row>
    <row r="78" spans="1:10" x14ac:dyDescent="0.2">
      <c r="A78" s="3">
        <v>8113</v>
      </c>
      <c r="B78" s="3" t="s">
        <v>89</v>
      </c>
      <c r="C78" s="3" t="s">
        <v>89</v>
      </c>
      <c r="D78" s="3" t="s">
        <v>7</v>
      </c>
      <c r="E78" s="3" t="str">
        <v>Stadel</v>
      </c>
      <c r="I78" s="19">
        <v>1114</v>
      </c>
      <c r="J78" s="19" t="s">
        <v>4539</v>
      </c>
    </row>
    <row r="79" spans="1:10" x14ac:dyDescent="0.2">
      <c r="A79" s="3">
        <v>8107</v>
      </c>
      <c r="B79" s="3" t="s">
        <v>90</v>
      </c>
      <c r="C79" s="3" t="s">
        <v>91</v>
      </c>
      <c r="D79" s="3" t="s">
        <v>7</v>
      </c>
      <c r="E79" s="3" t="str">
        <v>Steinmaur</v>
      </c>
      <c r="I79" s="19">
        <v>1115</v>
      </c>
      <c r="J79" s="19" t="s">
        <v>4539</v>
      </c>
    </row>
    <row r="80" spans="1:10" x14ac:dyDescent="0.2">
      <c r="A80" s="3">
        <v>8108</v>
      </c>
      <c r="B80" s="3" t="s">
        <v>92</v>
      </c>
      <c r="C80" s="3" t="s">
        <v>92</v>
      </c>
      <c r="D80" s="3" t="s">
        <v>7</v>
      </c>
      <c r="E80" s="3" t="str">
        <v>Weiach</v>
      </c>
      <c r="I80" s="19">
        <v>1116</v>
      </c>
      <c r="J80" s="19" t="s">
        <v>4539</v>
      </c>
    </row>
    <row r="81" spans="1:10" x14ac:dyDescent="0.2">
      <c r="A81" s="3">
        <v>8114</v>
      </c>
      <c r="B81" s="3" t="s">
        <v>93</v>
      </c>
      <c r="C81" s="3" t="s">
        <v>94</v>
      </c>
      <c r="D81" s="3" t="s">
        <v>7</v>
      </c>
      <c r="E81" s="3" t="str">
        <v>Bäretswil</v>
      </c>
      <c r="I81" s="19">
        <v>1117</v>
      </c>
      <c r="J81" s="19" t="s">
        <v>4539</v>
      </c>
    </row>
    <row r="82" spans="1:10" x14ac:dyDescent="0.2">
      <c r="A82" s="3">
        <v>8157</v>
      </c>
      <c r="B82" s="3" t="s">
        <v>95</v>
      </c>
      <c r="C82" s="3" t="s">
        <v>95</v>
      </c>
      <c r="D82" s="3" t="s">
        <v>7</v>
      </c>
      <c r="E82" s="3" t="str">
        <v>Bubikon</v>
      </c>
      <c r="I82" s="19">
        <v>1121</v>
      </c>
      <c r="J82" s="19" t="s">
        <v>4539</v>
      </c>
    </row>
    <row r="83" spans="1:10" x14ac:dyDescent="0.2">
      <c r="A83" s="3">
        <v>8115</v>
      </c>
      <c r="B83" s="3" t="s">
        <v>96</v>
      </c>
      <c r="C83" s="3" t="s">
        <v>96</v>
      </c>
      <c r="D83" s="3" t="s">
        <v>7</v>
      </c>
      <c r="E83" s="3" t="str">
        <v>Dürnten</v>
      </c>
      <c r="I83" s="19">
        <v>1122</v>
      </c>
      <c r="J83" s="19" t="s">
        <v>4539</v>
      </c>
    </row>
    <row r="84" spans="1:10" x14ac:dyDescent="0.2">
      <c r="A84" s="3">
        <v>8173</v>
      </c>
      <c r="B84" s="3" t="s">
        <v>97</v>
      </c>
      <c r="C84" s="3" t="s">
        <v>97</v>
      </c>
      <c r="D84" s="3" t="s">
        <v>7</v>
      </c>
      <c r="E84" s="3" t="str">
        <v>Fischenthal</v>
      </c>
      <c r="I84" s="19">
        <v>1123</v>
      </c>
      <c r="J84" s="19" t="s">
        <v>4539</v>
      </c>
    </row>
    <row r="85" spans="1:10" x14ac:dyDescent="0.2">
      <c r="A85" s="3">
        <v>8172</v>
      </c>
      <c r="B85" s="3" t="s">
        <v>98</v>
      </c>
      <c r="C85" s="3" t="s">
        <v>99</v>
      </c>
      <c r="D85" s="3" t="s">
        <v>7</v>
      </c>
      <c r="E85" s="3" t="str">
        <v>Gossau (ZH)</v>
      </c>
      <c r="I85" s="19">
        <v>1124</v>
      </c>
      <c r="J85" s="19" t="s">
        <v>4539</v>
      </c>
    </row>
    <row r="86" spans="1:10" x14ac:dyDescent="0.2">
      <c r="A86" s="3">
        <v>8155</v>
      </c>
      <c r="B86" s="3" t="s">
        <v>100</v>
      </c>
      <c r="C86" s="3" t="s">
        <v>100</v>
      </c>
      <c r="D86" s="3" t="s">
        <v>7</v>
      </c>
      <c r="E86" s="3" t="str">
        <v>Grüningen</v>
      </c>
      <c r="I86" s="19">
        <v>1125</v>
      </c>
      <c r="J86" s="19" t="s">
        <v>4539</v>
      </c>
    </row>
    <row r="87" spans="1:10" x14ac:dyDescent="0.2">
      <c r="A87" s="3">
        <v>8155</v>
      </c>
      <c r="B87" s="3" t="s">
        <v>101</v>
      </c>
      <c r="C87" s="3" t="s">
        <v>100</v>
      </c>
      <c r="D87" s="3" t="s">
        <v>7</v>
      </c>
      <c r="E87" s="3" t="str">
        <v>Hinwil</v>
      </c>
      <c r="I87" s="19">
        <v>1126</v>
      </c>
      <c r="J87" s="19" t="s">
        <v>4539</v>
      </c>
    </row>
    <row r="88" spans="1:10" x14ac:dyDescent="0.2">
      <c r="A88" s="3">
        <v>8156</v>
      </c>
      <c r="B88" s="3" t="s">
        <v>102</v>
      </c>
      <c r="C88" s="3" t="s">
        <v>100</v>
      </c>
      <c r="D88" s="3" t="s">
        <v>7</v>
      </c>
      <c r="E88" s="3" t="str">
        <v>Rüti (ZH)</v>
      </c>
      <c r="I88" s="19">
        <v>1127</v>
      </c>
      <c r="J88" s="19" t="s">
        <v>4539</v>
      </c>
    </row>
    <row r="89" spans="1:10" x14ac:dyDescent="0.2">
      <c r="A89" s="3">
        <v>8166</v>
      </c>
      <c r="B89" s="3" t="s">
        <v>103</v>
      </c>
      <c r="C89" s="3" t="s">
        <v>103</v>
      </c>
      <c r="D89" s="3" t="s">
        <v>7</v>
      </c>
      <c r="E89" s="3" t="str">
        <v>Seegräben</v>
      </c>
      <c r="I89" s="19">
        <v>1128</v>
      </c>
      <c r="J89" s="19" t="s">
        <v>4539</v>
      </c>
    </row>
    <row r="90" spans="1:10" x14ac:dyDescent="0.2">
      <c r="A90" s="3">
        <v>8154</v>
      </c>
      <c r="B90" s="3" t="s">
        <v>104</v>
      </c>
      <c r="C90" s="3" t="s">
        <v>105</v>
      </c>
      <c r="D90" s="3" t="s">
        <v>7</v>
      </c>
      <c r="E90" s="3" t="str">
        <v>Wald (ZH)</v>
      </c>
      <c r="I90" s="19">
        <v>1131</v>
      </c>
      <c r="J90" s="19" t="s">
        <v>4539</v>
      </c>
    </row>
    <row r="91" spans="1:10" x14ac:dyDescent="0.2">
      <c r="A91" s="3">
        <v>8165</v>
      </c>
      <c r="B91" s="3" t="s">
        <v>106</v>
      </c>
      <c r="C91" s="3" t="s">
        <v>106</v>
      </c>
      <c r="D91" s="3" t="s">
        <v>7</v>
      </c>
      <c r="E91" s="3" t="str">
        <v>Wetzikon (ZH)</v>
      </c>
      <c r="I91" s="19">
        <v>1132</v>
      </c>
      <c r="J91" s="19" t="s">
        <v>4539</v>
      </c>
    </row>
    <row r="92" spans="1:10" x14ac:dyDescent="0.2">
      <c r="A92" s="3">
        <v>8112</v>
      </c>
      <c r="B92" s="3" t="s">
        <v>107</v>
      </c>
      <c r="C92" s="3" t="s">
        <v>107</v>
      </c>
      <c r="D92" s="3" t="s">
        <v>7</v>
      </c>
      <c r="E92" s="3" t="str">
        <v>Adliswil</v>
      </c>
      <c r="I92" s="19">
        <v>1134</v>
      </c>
      <c r="J92" s="19" t="s">
        <v>4539</v>
      </c>
    </row>
    <row r="93" spans="1:10" x14ac:dyDescent="0.2">
      <c r="A93" s="3">
        <v>8158</v>
      </c>
      <c r="B93" s="3" t="s">
        <v>108</v>
      </c>
      <c r="C93" s="3" t="s">
        <v>108</v>
      </c>
      <c r="D93" s="3" t="s">
        <v>7</v>
      </c>
      <c r="E93" s="3" t="str">
        <v>Kilchberg (ZH)</v>
      </c>
      <c r="I93" s="19">
        <v>1135</v>
      </c>
      <c r="J93" s="19" t="s">
        <v>4539</v>
      </c>
    </row>
    <row r="94" spans="1:10" x14ac:dyDescent="0.2">
      <c r="A94" s="3">
        <v>8105</v>
      </c>
      <c r="B94" s="3" t="s">
        <v>109</v>
      </c>
      <c r="C94" s="3" t="s">
        <v>109</v>
      </c>
      <c r="D94" s="3" t="s">
        <v>7</v>
      </c>
      <c r="E94" s="3" t="str">
        <v>Langnau am Albis</v>
      </c>
      <c r="I94" s="19">
        <v>1136</v>
      </c>
      <c r="J94" s="19" t="s">
        <v>4539</v>
      </c>
    </row>
    <row r="95" spans="1:10" x14ac:dyDescent="0.2">
      <c r="A95" s="3">
        <v>8105</v>
      </c>
      <c r="B95" s="3" t="s">
        <v>110</v>
      </c>
      <c r="C95" s="3" t="s">
        <v>109</v>
      </c>
      <c r="D95" s="3" t="s">
        <v>7</v>
      </c>
      <c r="E95" s="3" t="str">
        <v>Oberrieden</v>
      </c>
      <c r="I95" s="19">
        <v>1141</v>
      </c>
      <c r="J95" s="19" t="s">
        <v>4539</v>
      </c>
    </row>
    <row r="96" spans="1:10" x14ac:dyDescent="0.2">
      <c r="A96" s="3">
        <v>8106</v>
      </c>
      <c r="B96" s="3" t="s">
        <v>111</v>
      </c>
      <c r="C96" s="3" t="s">
        <v>109</v>
      </c>
      <c r="D96" s="3" t="s">
        <v>7</v>
      </c>
      <c r="E96" s="3" t="str">
        <v>Richterswil</v>
      </c>
      <c r="I96" s="19">
        <v>1142</v>
      </c>
      <c r="J96" s="19" t="s">
        <v>4539</v>
      </c>
    </row>
    <row r="97" spans="1:10" x14ac:dyDescent="0.2">
      <c r="A97" s="3">
        <v>8153</v>
      </c>
      <c r="B97" s="3" t="s">
        <v>112</v>
      </c>
      <c r="C97" s="3" t="s">
        <v>112</v>
      </c>
      <c r="D97" s="3" t="s">
        <v>7</v>
      </c>
      <c r="E97" s="3" t="str">
        <v>Rüschlikon</v>
      </c>
      <c r="I97" s="19">
        <v>1143</v>
      </c>
      <c r="J97" s="19" t="s">
        <v>4539</v>
      </c>
    </row>
    <row r="98" spans="1:10" x14ac:dyDescent="0.2">
      <c r="A98" s="3">
        <v>8165</v>
      </c>
      <c r="B98" s="3" t="s">
        <v>113</v>
      </c>
      <c r="C98" s="3" t="s">
        <v>113</v>
      </c>
      <c r="D98" s="3" t="s">
        <v>7</v>
      </c>
      <c r="E98" s="3" t="str">
        <v>Thalwil</v>
      </c>
      <c r="I98" s="19">
        <v>1144</v>
      </c>
      <c r="J98" s="19" t="s">
        <v>4539</v>
      </c>
    </row>
    <row r="99" spans="1:10" x14ac:dyDescent="0.2">
      <c r="A99" s="3">
        <v>8165</v>
      </c>
      <c r="B99" s="3" t="s">
        <v>114</v>
      </c>
      <c r="C99" s="3" t="s">
        <v>114</v>
      </c>
      <c r="D99" s="3" t="s">
        <v>7</v>
      </c>
      <c r="E99" s="3" t="str">
        <v>Erlenbach (ZH)</v>
      </c>
      <c r="I99" s="19">
        <v>1145</v>
      </c>
      <c r="J99" s="19" t="s">
        <v>4539</v>
      </c>
    </row>
    <row r="100" spans="1:10" x14ac:dyDescent="0.2">
      <c r="A100" s="3">
        <v>8174</v>
      </c>
      <c r="B100" s="3" t="s">
        <v>115</v>
      </c>
      <c r="C100" s="3" t="s">
        <v>116</v>
      </c>
      <c r="D100" s="3" t="s">
        <v>7</v>
      </c>
      <c r="E100" s="3" t="str">
        <v>Herrliberg</v>
      </c>
      <c r="I100" s="19">
        <v>1146</v>
      </c>
      <c r="J100" s="19" t="s">
        <v>4539</v>
      </c>
    </row>
    <row r="101" spans="1:10" x14ac:dyDescent="0.2">
      <c r="A101" s="3">
        <v>8175</v>
      </c>
      <c r="B101" s="3" t="s">
        <v>117</v>
      </c>
      <c r="C101" s="3" t="s">
        <v>116</v>
      </c>
      <c r="D101" s="3" t="s">
        <v>7</v>
      </c>
      <c r="E101" s="3" t="str">
        <v>Hombrechtikon</v>
      </c>
      <c r="I101" s="19">
        <v>1147</v>
      </c>
      <c r="J101" s="19" t="s">
        <v>4539</v>
      </c>
    </row>
    <row r="102" spans="1:10" x14ac:dyDescent="0.2">
      <c r="A102" s="3">
        <v>8162</v>
      </c>
      <c r="B102" s="3" t="s">
        <v>118</v>
      </c>
      <c r="C102" s="3" t="s">
        <v>118</v>
      </c>
      <c r="D102" s="3" t="s">
        <v>7</v>
      </c>
      <c r="E102" s="3" t="str">
        <v>Küsnacht (ZH)</v>
      </c>
      <c r="I102" s="19">
        <v>1148</v>
      </c>
      <c r="J102" s="19" t="s">
        <v>4539</v>
      </c>
    </row>
    <row r="103" spans="1:10" x14ac:dyDescent="0.2">
      <c r="A103" s="3">
        <v>8162</v>
      </c>
      <c r="B103" s="3" t="s">
        <v>119</v>
      </c>
      <c r="C103" s="3" t="s">
        <v>118</v>
      </c>
      <c r="D103" s="3" t="s">
        <v>7</v>
      </c>
      <c r="E103" s="3" t="str">
        <v>Männedorf</v>
      </c>
      <c r="I103" s="19">
        <v>1149</v>
      </c>
      <c r="J103" s="19" t="s">
        <v>4539</v>
      </c>
    </row>
    <row r="104" spans="1:10" x14ac:dyDescent="0.2">
      <c r="A104" s="3">
        <v>8187</v>
      </c>
      <c r="B104" s="3" t="s">
        <v>120</v>
      </c>
      <c r="C104" s="3" t="s">
        <v>120</v>
      </c>
      <c r="D104" s="3" t="s">
        <v>7</v>
      </c>
      <c r="E104" s="3" t="str">
        <v>Meilen</v>
      </c>
      <c r="I104" s="19">
        <v>1162</v>
      </c>
      <c r="J104" s="19" t="s">
        <v>4539</v>
      </c>
    </row>
    <row r="105" spans="1:10" x14ac:dyDescent="0.2">
      <c r="A105" s="3">
        <v>8344</v>
      </c>
      <c r="B105" s="3" t="s">
        <v>121</v>
      </c>
      <c r="C105" s="3" t="s">
        <v>121</v>
      </c>
      <c r="D105" s="3" t="s">
        <v>7</v>
      </c>
      <c r="E105" s="3" t="str">
        <v>Oetwil am See</v>
      </c>
      <c r="I105" s="19">
        <v>1163</v>
      </c>
      <c r="J105" s="19" t="s">
        <v>4539</v>
      </c>
    </row>
    <row r="106" spans="1:10" x14ac:dyDescent="0.2">
      <c r="A106" s="3">
        <v>8345</v>
      </c>
      <c r="B106" s="3" t="s">
        <v>122</v>
      </c>
      <c r="C106" s="3" t="s">
        <v>121</v>
      </c>
      <c r="D106" s="3" t="s">
        <v>7</v>
      </c>
      <c r="E106" s="3" t="str">
        <v>Stäfa</v>
      </c>
      <c r="I106" s="19">
        <v>1164</v>
      </c>
      <c r="J106" s="19" t="s">
        <v>4539</v>
      </c>
    </row>
    <row r="107" spans="1:10" x14ac:dyDescent="0.2">
      <c r="A107" s="3">
        <v>8608</v>
      </c>
      <c r="B107" s="3" t="s">
        <v>123</v>
      </c>
      <c r="C107" s="3" t="s">
        <v>123</v>
      </c>
      <c r="D107" s="3" t="s">
        <v>7</v>
      </c>
      <c r="E107" s="3" t="str">
        <v>Uetikon am See</v>
      </c>
      <c r="I107" s="19">
        <v>1165</v>
      </c>
      <c r="J107" s="19" t="s">
        <v>4539</v>
      </c>
    </row>
    <row r="108" spans="1:10" x14ac:dyDescent="0.2">
      <c r="A108" s="3">
        <v>8633</v>
      </c>
      <c r="B108" s="3" t="s">
        <v>124</v>
      </c>
      <c r="C108" s="3" t="s">
        <v>123</v>
      </c>
      <c r="D108" s="3" t="s">
        <v>7</v>
      </c>
      <c r="E108" s="3" t="str">
        <v>Zumikon</v>
      </c>
      <c r="I108" s="19">
        <v>1166</v>
      </c>
      <c r="J108" s="19" t="s">
        <v>4539</v>
      </c>
    </row>
    <row r="109" spans="1:10" x14ac:dyDescent="0.2">
      <c r="A109" s="3">
        <v>8632</v>
      </c>
      <c r="B109" s="3" t="s">
        <v>125</v>
      </c>
      <c r="C109" s="3" t="s">
        <v>126</v>
      </c>
      <c r="D109" s="3" t="s">
        <v>7</v>
      </c>
      <c r="E109" s="3" t="str">
        <v>Zollikon</v>
      </c>
      <c r="I109" s="19">
        <v>1167</v>
      </c>
      <c r="J109" s="19" t="s">
        <v>4539</v>
      </c>
    </row>
    <row r="110" spans="1:10" x14ac:dyDescent="0.2">
      <c r="A110" s="3">
        <v>8635</v>
      </c>
      <c r="B110" s="3" t="s">
        <v>126</v>
      </c>
      <c r="C110" s="3" t="s">
        <v>126</v>
      </c>
      <c r="D110" s="3" t="s">
        <v>7</v>
      </c>
      <c r="E110" s="3" t="str">
        <v>Fehraltorf</v>
      </c>
      <c r="I110" s="19">
        <v>1168</v>
      </c>
      <c r="J110" s="19" t="s">
        <v>4539</v>
      </c>
    </row>
    <row r="111" spans="1:10" x14ac:dyDescent="0.2">
      <c r="A111" s="3">
        <v>8496</v>
      </c>
      <c r="B111" s="3" t="s">
        <v>127</v>
      </c>
      <c r="C111" s="3" t="s">
        <v>128</v>
      </c>
      <c r="D111" s="3" t="s">
        <v>7</v>
      </c>
      <c r="E111" s="3" t="str">
        <v>Hittnau</v>
      </c>
      <c r="I111" s="19">
        <v>1169</v>
      </c>
      <c r="J111" s="19" t="s">
        <v>4539</v>
      </c>
    </row>
    <row r="112" spans="1:10" x14ac:dyDescent="0.2">
      <c r="A112" s="3">
        <v>8497</v>
      </c>
      <c r="B112" s="3" t="s">
        <v>128</v>
      </c>
      <c r="C112" s="3" t="s">
        <v>128</v>
      </c>
      <c r="D112" s="3" t="s">
        <v>7</v>
      </c>
      <c r="E112" s="3" t="str">
        <v>Lindau</v>
      </c>
      <c r="I112" s="19">
        <v>1170</v>
      </c>
      <c r="J112" s="19" t="s">
        <v>4539</v>
      </c>
    </row>
    <row r="113" spans="1:10" x14ac:dyDescent="0.2">
      <c r="A113" s="3">
        <v>8498</v>
      </c>
      <c r="B113" s="3" t="s">
        <v>129</v>
      </c>
      <c r="C113" s="3" t="s">
        <v>128</v>
      </c>
      <c r="D113" s="3" t="s">
        <v>7</v>
      </c>
      <c r="E113" s="3" t="str">
        <v>Pfäffikon</v>
      </c>
      <c r="I113" s="19">
        <v>1172</v>
      </c>
      <c r="J113" s="19" t="s">
        <v>4539</v>
      </c>
    </row>
    <row r="114" spans="1:10" x14ac:dyDescent="0.2">
      <c r="A114" s="3">
        <v>8614</v>
      </c>
      <c r="B114" s="3" t="s">
        <v>130</v>
      </c>
      <c r="C114" s="3" t="s">
        <v>131</v>
      </c>
      <c r="D114" s="3" t="s">
        <v>7</v>
      </c>
      <c r="E114" s="3" t="str">
        <v>Russikon</v>
      </c>
      <c r="I114" s="19">
        <v>1173</v>
      </c>
      <c r="J114" s="19" t="s">
        <v>4539</v>
      </c>
    </row>
    <row r="115" spans="1:10" x14ac:dyDescent="0.2">
      <c r="A115" s="3">
        <v>8624</v>
      </c>
      <c r="B115" s="3" t="s">
        <v>132</v>
      </c>
      <c r="C115" s="3" t="s">
        <v>131</v>
      </c>
      <c r="D115" s="3" t="s">
        <v>7</v>
      </c>
      <c r="E115" s="3" t="str">
        <v>Weisslingen</v>
      </c>
      <c r="I115" s="19">
        <v>1174</v>
      </c>
      <c r="J115" s="19" t="s">
        <v>4539</v>
      </c>
    </row>
    <row r="116" spans="1:10" x14ac:dyDescent="0.2">
      <c r="A116" s="3">
        <v>8625</v>
      </c>
      <c r="B116" s="3" t="s">
        <v>133</v>
      </c>
      <c r="C116" s="3" t="s">
        <v>131</v>
      </c>
      <c r="D116" s="3" t="s">
        <v>7</v>
      </c>
      <c r="E116" s="3" t="str">
        <v>Wila</v>
      </c>
      <c r="I116" s="19">
        <v>1175</v>
      </c>
      <c r="J116" s="19" t="s">
        <v>4539</v>
      </c>
    </row>
    <row r="117" spans="1:10" x14ac:dyDescent="0.2">
      <c r="A117" s="3">
        <v>8626</v>
      </c>
      <c r="B117" s="3" t="s">
        <v>134</v>
      </c>
      <c r="C117" s="3" t="s">
        <v>131</v>
      </c>
      <c r="D117" s="3" t="s">
        <v>7</v>
      </c>
      <c r="E117" s="3" t="str">
        <v>Wildberg</v>
      </c>
      <c r="I117" s="19">
        <v>1176</v>
      </c>
      <c r="J117" s="19" t="s">
        <v>4539</v>
      </c>
    </row>
    <row r="118" spans="1:10" x14ac:dyDescent="0.2">
      <c r="A118" s="3">
        <v>8627</v>
      </c>
      <c r="B118" s="3" t="s">
        <v>135</v>
      </c>
      <c r="C118" s="3" t="s">
        <v>135</v>
      </c>
      <c r="D118" s="3" t="s">
        <v>7</v>
      </c>
      <c r="E118" s="3" t="str">
        <v>Dübendorf</v>
      </c>
      <c r="I118" s="19">
        <v>1180</v>
      </c>
      <c r="J118" s="19" t="s">
        <v>4539</v>
      </c>
    </row>
    <row r="119" spans="1:10" x14ac:dyDescent="0.2">
      <c r="A119" s="3">
        <v>8340</v>
      </c>
      <c r="B119" s="3" t="s">
        <v>136</v>
      </c>
      <c r="C119" s="3" t="s">
        <v>136</v>
      </c>
      <c r="D119" s="3" t="s">
        <v>7</v>
      </c>
      <c r="E119" s="3" t="str">
        <v>Egg</v>
      </c>
      <c r="I119" s="19">
        <v>1182</v>
      </c>
      <c r="J119" s="19" t="s">
        <v>4541</v>
      </c>
    </row>
    <row r="120" spans="1:10" x14ac:dyDescent="0.2">
      <c r="A120" s="3">
        <v>8342</v>
      </c>
      <c r="B120" s="3" t="s">
        <v>137</v>
      </c>
      <c r="C120" s="3" t="s">
        <v>136</v>
      </c>
      <c r="D120" s="3" t="s">
        <v>7</v>
      </c>
      <c r="E120" s="3" t="str">
        <v>Fällanden</v>
      </c>
      <c r="I120" s="19">
        <v>1183</v>
      </c>
      <c r="J120" s="19" t="s">
        <v>4541</v>
      </c>
    </row>
    <row r="121" spans="1:10" x14ac:dyDescent="0.2">
      <c r="A121" s="3">
        <v>8630</v>
      </c>
      <c r="B121" s="3" t="s">
        <v>138</v>
      </c>
      <c r="C121" s="3" t="s">
        <v>139</v>
      </c>
      <c r="D121" s="3" t="s">
        <v>7</v>
      </c>
      <c r="E121" s="3" t="str">
        <v>Greifensee</v>
      </c>
      <c r="I121" s="19">
        <v>1184</v>
      </c>
      <c r="J121" s="19" t="s">
        <v>4541</v>
      </c>
    </row>
    <row r="122" spans="1:10" x14ac:dyDescent="0.2">
      <c r="A122" s="3">
        <v>8607</v>
      </c>
      <c r="B122" s="3" t="s">
        <v>140</v>
      </c>
      <c r="C122" s="3" t="s">
        <v>141</v>
      </c>
      <c r="D122" s="3" t="s">
        <v>7</v>
      </c>
      <c r="E122" s="3" t="str">
        <v>Maur</v>
      </c>
      <c r="I122" s="19">
        <v>1185</v>
      </c>
      <c r="J122" s="19" t="s">
        <v>4539</v>
      </c>
    </row>
    <row r="123" spans="1:10" x14ac:dyDescent="0.2">
      <c r="A123" s="3">
        <v>8636</v>
      </c>
      <c r="B123" s="3" t="s">
        <v>142</v>
      </c>
      <c r="C123" s="3" t="s">
        <v>143</v>
      </c>
      <c r="D123" s="3" t="s">
        <v>7</v>
      </c>
      <c r="E123" s="3" t="str">
        <v>Mönchaltorf</v>
      </c>
      <c r="I123" s="19">
        <v>1186</v>
      </c>
      <c r="J123" s="19" t="s">
        <v>4539</v>
      </c>
    </row>
    <row r="124" spans="1:10" x14ac:dyDescent="0.2">
      <c r="A124" s="3">
        <v>8637</v>
      </c>
      <c r="B124" s="3" t="s">
        <v>144</v>
      </c>
      <c r="C124" s="3" t="s">
        <v>143</v>
      </c>
      <c r="D124" s="3" t="s">
        <v>7</v>
      </c>
      <c r="E124" s="3" t="str">
        <v>Schwerzenbach</v>
      </c>
      <c r="I124" s="19">
        <v>1187</v>
      </c>
      <c r="J124" s="19" t="s">
        <v>4539</v>
      </c>
    </row>
    <row r="125" spans="1:10" x14ac:dyDescent="0.2">
      <c r="A125" s="3">
        <v>8620</v>
      </c>
      <c r="B125" s="3" t="s">
        <v>145</v>
      </c>
      <c r="C125" s="3" t="s">
        <v>146</v>
      </c>
      <c r="D125" s="3" t="s">
        <v>7</v>
      </c>
      <c r="E125" s="3" t="str">
        <v>Uster</v>
      </c>
      <c r="I125" s="19">
        <v>1188</v>
      </c>
      <c r="J125" s="19" t="s">
        <v>4539</v>
      </c>
    </row>
    <row r="126" spans="1:10" x14ac:dyDescent="0.2">
      <c r="A126" s="3">
        <v>8623</v>
      </c>
      <c r="B126" s="3" t="s">
        <v>145</v>
      </c>
      <c r="C126" s="3" t="s">
        <v>146</v>
      </c>
      <c r="D126" s="3" t="s">
        <v>7</v>
      </c>
      <c r="E126" s="3" t="str">
        <v>Volketswil</v>
      </c>
      <c r="I126" s="19">
        <v>1189</v>
      </c>
      <c r="J126" s="19" t="s">
        <v>4539</v>
      </c>
    </row>
    <row r="127" spans="1:10" x14ac:dyDescent="0.2">
      <c r="A127" s="3">
        <v>8134</v>
      </c>
      <c r="B127" s="3" t="s">
        <v>147</v>
      </c>
      <c r="C127" s="3" t="s">
        <v>147</v>
      </c>
      <c r="D127" s="3" t="s">
        <v>7</v>
      </c>
      <c r="E127" s="3" t="str">
        <v>Wangen-Brüttisellen</v>
      </c>
      <c r="I127" s="19">
        <v>1195</v>
      </c>
      <c r="J127" s="19" t="s">
        <v>4541</v>
      </c>
    </row>
    <row r="128" spans="1:10" x14ac:dyDescent="0.2">
      <c r="A128" s="3">
        <v>8802</v>
      </c>
      <c r="B128" s="3" t="s">
        <v>148</v>
      </c>
      <c r="C128" s="3" t="s">
        <v>149</v>
      </c>
      <c r="D128" s="3" t="s">
        <v>7</v>
      </c>
      <c r="E128" s="3" t="str">
        <v>Altikon</v>
      </c>
      <c r="I128" s="19">
        <v>1196</v>
      </c>
      <c r="J128" s="19" t="s">
        <v>4541</v>
      </c>
    </row>
    <row r="129" spans="1:10" x14ac:dyDescent="0.2">
      <c r="A129" s="3">
        <v>8135</v>
      </c>
      <c r="B129" s="3" t="s">
        <v>150</v>
      </c>
      <c r="C129" s="3" t="s">
        <v>150</v>
      </c>
      <c r="D129" s="3" t="s">
        <v>7</v>
      </c>
      <c r="E129" s="3" t="str">
        <v>Brütten</v>
      </c>
      <c r="I129" s="19">
        <v>1197</v>
      </c>
      <c r="J129" s="19" t="s">
        <v>4541</v>
      </c>
    </row>
    <row r="130" spans="1:10" x14ac:dyDescent="0.2">
      <c r="A130" s="3">
        <v>8942</v>
      </c>
      <c r="B130" s="3" t="s">
        <v>151</v>
      </c>
      <c r="C130" s="3" t="s">
        <v>151</v>
      </c>
      <c r="D130" s="3" t="s">
        <v>7</v>
      </c>
      <c r="E130" s="3" t="str">
        <v>Dägerlen</v>
      </c>
      <c r="I130" s="19">
        <v>1201</v>
      </c>
      <c r="J130" s="19" t="s">
        <v>4541</v>
      </c>
    </row>
    <row r="131" spans="1:10" x14ac:dyDescent="0.2">
      <c r="A131" s="3">
        <v>8805</v>
      </c>
      <c r="B131" s="3" t="s">
        <v>152</v>
      </c>
      <c r="C131" s="3" t="s">
        <v>152</v>
      </c>
      <c r="D131" s="3" t="s">
        <v>7</v>
      </c>
      <c r="E131" s="3" t="str">
        <v>Dättlikon</v>
      </c>
      <c r="I131" s="19">
        <v>1202</v>
      </c>
      <c r="J131" s="19" t="s">
        <v>4541</v>
      </c>
    </row>
    <row r="132" spans="1:10" x14ac:dyDescent="0.2">
      <c r="A132" s="3">
        <v>8833</v>
      </c>
      <c r="B132" s="3" t="s">
        <v>153</v>
      </c>
      <c r="C132" s="3" t="s">
        <v>152</v>
      </c>
      <c r="D132" s="3" t="s">
        <v>7</v>
      </c>
      <c r="E132" s="3" t="str">
        <v>Dinhard</v>
      </c>
      <c r="I132" s="19">
        <v>1203</v>
      </c>
      <c r="J132" s="19" t="s">
        <v>4541</v>
      </c>
    </row>
    <row r="133" spans="1:10" x14ac:dyDescent="0.2">
      <c r="A133" s="3">
        <v>8803</v>
      </c>
      <c r="B133" s="3" t="s">
        <v>154</v>
      </c>
      <c r="C133" s="3" t="s">
        <v>154</v>
      </c>
      <c r="D133" s="3" t="s">
        <v>7</v>
      </c>
      <c r="E133" s="3" t="str">
        <v>Ellikon an der Thur</v>
      </c>
      <c r="I133" s="19">
        <v>1204</v>
      </c>
      <c r="J133" s="19" t="s">
        <v>4541</v>
      </c>
    </row>
    <row r="134" spans="1:10" x14ac:dyDescent="0.2">
      <c r="A134" s="3">
        <v>8136</v>
      </c>
      <c r="B134" s="3" t="s">
        <v>155</v>
      </c>
      <c r="C134" s="3" t="s">
        <v>156</v>
      </c>
      <c r="D134" s="3" t="s">
        <v>7</v>
      </c>
      <c r="E134" s="3" t="str">
        <v>Elsau</v>
      </c>
      <c r="I134" s="19">
        <v>1205</v>
      </c>
      <c r="J134" s="19" t="s">
        <v>4541</v>
      </c>
    </row>
    <row r="135" spans="1:10" x14ac:dyDescent="0.2">
      <c r="A135" s="3">
        <v>8800</v>
      </c>
      <c r="B135" s="3" t="s">
        <v>156</v>
      </c>
      <c r="C135" s="3" t="s">
        <v>156</v>
      </c>
      <c r="D135" s="3" t="s">
        <v>7</v>
      </c>
      <c r="E135" s="3" t="str">
        <v>Hagenbuch</v>
      </c>
      <c r="I135" s="19">
        <v>1206</v>
      </c>
      <c r="J135" s="19" t="s">
        <v>4541</v>
      </c>
    </row>
    <row r="136" spans="1:10" x14ac:dyDescent="0.2">
      <c r="A136" s="3">
        <v>8703</v>
      </c>
      <c r="B136" s="3" t="s">
        <v>157</v>
      </c>
      <c r="C136" s="3" t="s">
        <v>158</v>
      </c>
      <c r="D136" s="3" t="s">
        <v>7</v>
      </c>
      <c r="E136" s="3" t="str">
        <v>Hettlingen</v>
      </c>
      <c r="I136" s="19">
        <v>1207</v>
      </c>
      <c r="J136" s="19" t="s">
        <v>4541</v>
      </c>
    </row>
    <row r="137" spans="1:10" x14ac:dyDescent="0.2">
      <c r="A137" s="3">
        <v>8704</v>
      </c>
      <c r="B137" s="3" t="s">
        <v>159</v>
      </c>
      <c r="C137" s="3" t="s">
        <v>159</v>
      </c>
      <c r="D137" s="3" t="s">
        <v>7</v>
      </c>
      <c r="E137" s="3" t="str">
        <v>Neftenbach</v>
      </c>
      <c r="I137" s="19">
        <v>1208</v>
      </c>
      <c r="J137" s="19" t="s">
        <v>4541</v>
      </c>
    </row>
    <row r="138" spans="1:10" x14ac:dyDescent="0.2">
      <c r="A138" s="3">
        <v>8634</v>
      </c>
      <c r="B138" s="3" t="s">
        <v>160</v>
      </c>
      <c r="C138" s="3" t="s">
        <v>160</v>
      </c>
      <c r="D138" s="3" t="s">
        <v>7</v>
      </c>
      <c r="E138" s="3" t="str">
        <v>Pfungen</v>
      </c>
      <c r="I138" s="19">
        <v>1209</v>
      </c>
      <c r="J138" s="19" t="s">
        <v>4541</v>
      </c>
    </row>
    <row r="139" spans="1:10" x14ac:dyDescent="0.2">
      <c r="A139" s="3">
        <v>8714</v>
      </c>
      <c r="B139" s="3" t="s">
        <v>161</v>
      </c>
      <c r="C139" s="3" t="s">
        <v>160</v>
      </c>
      <c r="D139" s="3" t="s">
        <v>7</v>
      </c>
      <c r="E139" s="3" t="str">
        <v>Rickenbach (ZH)</v>
      </c>
      <c r="I139" s="19">
        <v>1212</v>
      </c>
      <c r="J139" s="19" t="s">
        <v>4541</v>
      </c>
    </row>
    <row r="140" spans="1:10" x14ac:dyDescent="0.2">
      <c r="A140" s="3">
        <v>8127</v>
      </c>
      <c r="B140" s="3" t="s">
        <v>162</v>
      </c>
      <c r="C140" s="3" t="s">
        <v>163</v>
      </c>
      <c r="D140" s="3" t="s">
        <v>7</v>
      </c>
      <c r="E140" s="3" t="str">
        <v>Schlatt (ZH)</v>
      </c>
      <c r="I140" s="19">
        <v>1213</v>
      </c>
      <c r="J140" s="19" t="s">
        <v>4541</v>
      </c>
    </row>
    <row r="141" spans="1:10" x14ac:dyDescent="0.2">
      <c r="A141" s="3">
        <v>8700</v>
      </c>
      <c r="B141" s="3" t="s">
        <v>164</v>
      </c>
      <c r="C141" s="3" t="s">
        <v>163</v>
      </c>
      <c r="D141" s="3" t="s">
        <v>7</v>
      </c>
      <c r="E141" s="3" t="str">
        <v>Seuzach</v>
      </c>
      <c r="I141" s="19">
        <v>1214</v>
      </c>
      <c r="J141" s="19" t="s">
        <v>4541</v>
      </c>
    </row>
    <row r="142" spans="1:10" x14ac:dyDescent="0.2">
      <c r="A142" s="3">
        <v>8708</v>
      </c>
      <c r="B142" s="3" t="s">
        <v>165</v>
      </c>
      <c r="C142" s="3" t="s">
        <v>165</v>
      </c>
      <c r="D142" s="3" t="s">
        <v>7</v>
      </c>
      <c r="E142" s="3" t="str">
        <v>Turbenthal</v>
      </c>
      <c r="I142" s="19">
        <v>1215</v>
      </c>
      <c r="J142" s="19" t="s">
        <v>4541</v>
      </c>
    </row>
    <row r="143" spans="1:10" x14ac:dyDescent="0.2">
      <c r="A143" s="3">
        <v>8706</v>
      </c>
      <c r="B143" s="3" t="s">
        <v>166</v>
      </c>
      <c r="C143" s="3" t="s">
        <v>166</v>
      </c>
      <c r="D143" s="3" t="s">
        <v>7</v>
      </c>
      <c r="E143" s="3" t="str">
        <v>Winterthur</v>
      </c>
      <c r="I143" s="19">
        <v>1216</v>
      </c>
      <c r="J143" s="19" t="s">
        <v>4541</v>
      </c>
    </row>
    <row r="144" spans="1:10" x14ac:dyDescent="0.2">
      <c r="A144" s="3">
        <v>8618</v>
      </c>
      <c r="B144" s="3" t="s">
        <v>167</v>
      </c>
      <c r="C144" s="3" t="s">
        <v>167</v>
      </c>
      <c r="D144" s="3" t="s">
        <v>7</v>
      </c>
      <c r="E144" s="3" t="str">
        <v>Zell (ZH)</v>
      </c>
      <c r="I144" s="19">
        <v>1217</v>
      </c>
      <c r="J144" s="19" t="s">
        <v>4541</v>
      </c>
    </row>
    <row r="145" spans="1:10" x14ac:dyDescent="0.2">
      <c r="A145" s="3">
        <v>8712</v>
      </c>
      <c r="B145" s="3" t="s">
        <v>168</v>
      </c>
      <c r="C145" s="3" t="s">
        <v>168</v>
      </c>
      <c r="D145" s="3" t="s">
        <v>7</v>
      </c>
      <c r="E145" s="3" t="str">
        <v>Aesch (ZH)</v>
      </c>
      <c r="I145" s="19">
        <v>1218</v>
      </c>
      <c r="J145" s="19" t="s">
        <v>4541</v>
      </c>
    </row>
    <row r="146" spans="1:10" x14ac:dyDescent="0.2">
      <c r="A146" s="3">
        <v>8713</v>
      </c>
      <c r="B146" s="3" t="s">
        <v>169</v>
      </c>
      <c r="C146" s="3" t="s">
        <v>168</v>
      </c>
      <c r="D146" s="3" t="s">
        <v>7</v>
      </c>
      <c r="E146" s="3" t="str">
        <v>Birmensdorf (ZH)</v>
      </c>
      <c r="I146" s="19">
        <v>1219</v>
      </c>
      <c r="J146" s="19" t="s">
        <v>4541</v>
      </c>
    </row>
    <row r="147" spans="1:10" x14ac:dyDescent="0.2">
      <c r="A147" s="3">
        <v>8707</v>
      </c>
      <c r="B147" s="3" t="s">
        <v>170</v>
      </c>
      <c r="C147" s="3" t="s">
        <v>170</v>
      </c>
      <c r="D147" s="3" t="s">
        <v>7</v>
      </c>
      <c r="E147" s="3" t="str">
        <v>Dietikon</v>
      </c>
      <c r="I147" s="19">
        <v>1220</v>
      </c>
      <c r="J147" s="19" t="s">
        <v>4541</v>
      </c>
    </row>
    <row r="148" spans="1:10" x14ac:dyDescent="0.2">
      <c r="A148" s="3">
        <v>8126</v>
      </c>
      <c r="B148" s="3" t="s">
        <v>171</v>
      </c>
      <c r="C148" s="3" t="s">
        <v>171</v>
      </c>
      <c r="D148" s="3" t="s">
        <v>7</v>
      </c>
      <c r="E148" s="3" t="str">
        <v>Geroldswil</v>
      </c>
      <c r="I148" s="19">
        <v>1222</v>
      </c>
      <c r="J148" s="19" t="s">
        <v>4541</v>
      </c>
    </row>
    <row r="149" spans="1:10" x14ac:dyDescent="0.2">
      <c r="A149" s="3">
        <v>8125</v>
      </c>
      <c r="B149" s="3" t="s">
        <v>172</v>
      </c>
      <c r="C149" s="3" t="s">
        <v>173</v>
      </c>
      <c r="D149" s="3" t="s">
        <v>7</v>
      </c>
      <c r="E149" s="3" t="str">
        <v>Oberengstringen</v>
      </c>
      <c r="I149" s="19">
        <v>1223</v>
      </c>
      <c r="J149" s="19" t="s">
        <v>4541</v>
      </c>
    </row>
    <row r="150" spans="1:10" x14ac:dyDescent="0.2">
      <c r="A150" s="3">
        <v>8702</v>
      </c>
      <c r="B150" s="3" t="s">
        <v>173</v>
      </c>
      <c r="C150" s="3" t="s">
        <v>173</v>
      </c>
      <c r="D150" s="3" t="s">
        <v>7</v>
      </c>
      <c r="E150" s="3" t="str">
        <v>Oetwil an der Limmat</v>
      </c>
      <c r="I150" s="19">
        <v>1224</v>
      </c>
      <c r="J150" s="19" t="s">
        <v>4541</v>
      </c>
    </row>
    <row r="151" spans="1:10" x14ac:dyDescent="0.2">
      <c r="A151" s="3">
        <v>8320</v>
      </c>
      <c r="B151" s="3" t="s">
        <v>174</v>
      </c>
      <c r="C151" s="3" t="s">
        <v>174</v>
      </c>
      <c r="D151" s="3" t="s">
        <v>7</v>
      </c>
      <c r="E151" s="3" t="str">
        <v>Schlieren</v>
      </c>
      <c r="I151" s="19">
        <v>1225</v>
      </c>
      <c r="J151" s="19" t="s">
        <v>4541</v>
      </c>
    </row>
    <row r="152" spans="1:10" x14ac:dyDescent="0.2">
      <c r="A152" s="3">
        <v>8335</v>
      </c>
      <c r="B152" s="3" t="s">
        <v>175</v>
      </c>
      <c r="C152" s="3" t="s">
        <v>175</v>
      </c>
      <c r="D152" s="3" t="s">
        <v>7</v>
      </c>
      <c r="E152" s="3" t="str">
        <v>Uitikon</v>
      </c>
      <c r="I152" s="19">
        <v>1226</v>
      </c>
      <c r="J152" s="19" t="s">
        <v>4541</v>
      </c>
    </row>
    <row r="153" spans="1:10" x14ac:dyDescent="0.2">
      <c r="A153" s="3">
        <v>8310</v>
      </c>
      <c r="B153" s="3" t="s">
        <v>176</v>
      </c>
      <c r="C153" s="3" t="s">
        <v>177</v>
      </c>
      <c r="D153" s="3" t="s">
        <v>7</v>
      </c>
      <c r="E153" s="3" t="str">
        <v>Unterengstringen</v>
      </c>
      <c r="I153" s="19">
        <v>1227</v>
      </c>
      <c r="J153" s="19" t="s">
        <v>4541</v>
      </c>
    </row>
    <row r="154" spans="1:10" x14ac:dyDescent="0.2">
      <c r="A154" s="3">
        <v>8310</v>
      </c>
      <c r="B154" s="3" t="s">
        <v>178</v>
      </c>
      <c r="C154" s="3" t="s">
        <v>177</v>
      </c>
      <c r="D154" s="3" t="s">
        <v>7</v>
      </c>
      <c r="E154" s="3" t="str">
        <v>Urdorf</v>
      </c>
      <c r="I154" s="19">
        <v>1228</v>
      </c>
      <c r="J154" s="19" t="s">
        <v>4541</v>
      </c>
    </row>
    <row r="155" spans="1:10" x14ac:dyDescent="0.2">
      <c r="A155" s="3">
        <v>8312</v>
      </c>
      <c r="B155" s="3" t="s">
        <v>179</v>
      </c>
      <c r="C155" s="3" t="s">
        <v>177</v>
      </c>
      <c r="D155" s="3" t="s">
        <v>7</v>
      </c>
      <c r="E155" s="3" t="str">
        <v>Weiningen (ZH)</v>
      </c>
      <c r="I155" s="19">
        <v>1231</v>
      </c>
      <c r="J155" s="19" t="s">
        <v>4541</v>
      </c>
    </row>
    <row r="156" spans="1:10" x14ac:dyDescent="0.2">
      <c r="A156" s="3">
        <v>8315</v>
      </c>
      <c r="B156" s="3" t="s">
        <v>177</v>
      </c>
      <c r="C156" s="3" t="s">
        <v>177</v>
      </c>
      <c r="D156" s="3" t="s">
        <v>7</v>
      </c>
      <c r="E156" s="3" t="str">
        <v>Zürich</v>
      </c>
      <c r="I156" s="19">
        <v>1232</v>
      </c>
      <c r="J156" s="19" t="s">
        <v>4541</v>
      </c>
    </row>
    <row r="157" spans="1:10" x14ac:dyDescent="0.2">
      <c r="A157" s="3">
        <v>8317</v>
      </c>
      <c r="B157" s="3" t="s">
        <v>180</v>
      </c>
      <c r="C157" s="3" t="s">
        <v>177</v>
      </c>
      <c r="D157" s="3" t="s">
        <v>7</v>
      </c>
      <c r="E157" s="3" t="str">
        <v>Stammheim</v>
      </c>
      <c r="I157" s="19">
        <v>1233</v>
      </c>
      <c r="J157" s="19" t="s">
        <v>4541</v>
      </c>
    </row>
    <row r="158" spans="1:10" x14ac:dyDescent="0.2">
      <c r="A158" s="3">
        <v>8330</v>
      </c>
      <c r="B158" s="3" t="s">
        <v>181</v>
      </c>
      <c r="C158" s="3" t="s">
        <v>182</v>
      </c>
      <c r="D158" s="3" t="s">
        <v>7</v>
      </c>
      <c r="E158" s="3" t="str">
        <v>Wädenswil</v>
      </c>
      <c r="I158" s="19">
        <v>1234</v>
      </c>
      <c r="J158" s="19" t="s">
        <v>4541</v>
      </c>
    </row>
    <row r="159" spans="1:10" x14ac:dyDescent="0.2">
      <c r="A159" s="3">
        <v>8331</v>
      </c>
      <c r="B159" s="3" t="s">
        <v>183</v>
      </c>
      <c r="C159" s="3" t="s">
        <v>182</v>
      </c>
      <c r="D159" s="3" t="s">
        <v>7</v>
      </c>
      <c r="E159" s="3" t="str">
        <v>Elgg</v>
      </c>
      <c r="I159" s="19">
        <v>1236</v>
      </c>
      <c r="J159" s="19" t="s">
        <v>4541</v>
      </c>
    </row>
    <row r="160" spans="1:10" x14ac:dyDescent="0.2">
      <c r="A160" s="3">
        <v>8322</v>
      </c>
      <c r="B160" s="3" t="s">
        <v>184</v>
      </c>
      <c r="C160" s="3" t="s">
        <v>185</v>
      </c>
      <c r="D160" s="3" t="s">
        <v>7</v>
      </c>
      <c r="E160" s="3" t="str">
        <v>Horgen</v>
      </c>
      <c r="I160" s="19">
        <v>1237</v>
      </c>
      <c r="J160" s="19" t="s">
        <v>4541</v>
      </c>
    </row>
    <row r="161" spans="1:10" x14ac:dyDescent="0.2">
      <c r="A161" s="3">
        <v>8322</v>
      </c>
      <c r="B161" s="3" t="s">
        <v>186</v>
      </c>
      <c r="C161" s="3" t="s">
        <v>185</v>
      </c>
      <c r="D161" s="3" t="s">
        <v>7</v>
      </c>
      <c r="E161" s="3" t="str">
        <v>Illnau-Effretikon</v>
      </c>
      <c r="I161" s="19">
        <v>1239</v>
      </c>
      <c r="J161" s="19" t="s">
        <v>4541</v>
      </c>
    </row>
    <row r="162" spans="1:10" x14ac:dyDescent="0.2">
      <c r="A162" s="3">
        <v>8332</v>
      </c>
      <c r="B162" s="3" t="s">
        <v>185</v>
      </c>
      <c r="C162" s="3" t="s">
        <v>185</v>
      </c>
      <c r="D162" s="3" t="s">
        <v>7</v>
      </c>
      <c r="E162" s="3" t="str">
        <v>Bauma</v>
      </c>
      <c r="I162" s="19">
        <v>1241</v>
      </c>
      <c r="J162" s="19" t="s">
        <v>4541</v>
      </c>
    </row>
    <row r="163" spans="1:10" x14ac:dyDescent="0.2">
      <c r="A163" s="3">
        <v>8332</v>
      </c>
      <c r="B163" s="3" t="s">
        <v>187</v>
      </c>
      <c r="C163" s="3" t="s">
        <v>185</v>
      </c>
      <c r="D163" s="3" t="s">
        <v>7</v>
      </c>
      <c r="E163" s="3" t="str">
        <v>Wiesendangen</v>
      </c>
      <c r="I163" s="19">
        <v>1242</v>
      </c>
      <c r="J163" s="19" t="s">
        <v>4541</v>
      </c>
    </row>
    <row r="164" spans="1:10" x14ac:dyDescent="0.2">
      <c r="A164" s="3">
        <v>8484</v>
      </c>
      <c r="B164" s="3" t="s">
        <v>188</v>
      </c>
      <c r="C164" s="3" t="s">
        <v>188</v>
      </c>
      <c r="D164" s="3" t="s">
        <v>7</v>
      </c>
      <c r="E164" s="3" t="str">
        <v>Aarberg</v>
      </c>
      <c r="I164" s="19">
        <v>1243</v>
      </c>
      <c r="J164" s="19" t="s">
        <v>4541</v>
      </c>
    </row>
    <row r="165" spans="1:10" x14ac:dyDescent="0.2">
      <c r="A165" s="3">
        <v>8484</v>
      </c>
      <c r="B165" s="3" t="s">
        <v>189</v>
      </c>
      <c r="C165" s="3" t="s">
        <v>188</v>
      </c>
      <c r="D165" s="3" t="s">
        <v>7</v>
      </c>
      <c r="E165" s="3" t="str">
        <v>Bargen (BE)</v>
      </c>
      <c r="I165" s="19">
        <v>1244</v>
      </c>
      <c r="J165" s="19" t="s">
        <v>4541</v>
      </c>
    </row>
    <row r="166" spans="1:10" x14ac:dyDescent="0.2">
      <c r="A166" s="3">
        <v>8484</v>
      </c>
      <c r="B166" s="3" t="s">
        <v>190</v>
      </c>
      <c r="C166" s="3" t="s">
        <v>188</v>
      </c>
      <c r="D166" s="3" t="s">
        <v>7</v>
      </c>
      <c r="E166" s="3" t="str">
        <v>Grossaffoltern</v>
      </c>
      <c r="I166" s="19">
        <v>1245</v>
      </c>
      <c r="J166" s="19" t="s">
        <v>4541</v>
      </c>
    </row>
    <row r="167" spans="1:10" x14ac:dyDescent="0.2">
      <c r="A167" s="3">
        <v>8492</v>
      </c>
      <c r="B167" s="3" t="s">
        <v>191</v>
      </c>
      <c r="C167" s="3" t="s">
        <v>191</v>
      </c>
      <c r="D167" s="3" t="s">
        <v>7</v>
      </c>
      <c r="E167" s="3" t="str">
        <v>Kallnach</v>
      </c>
      <c r="I167" s="19">
        <v>1246</v>
      </c>
      <c r="J167" s="19" t="s">
        <v>4541</v>
      </c>
    </row>
    <row r="168" spans="1:10" x14ac:dyDescent="0.2">
      <c r="A168" s="3">
        <v>8489</v>
      </c>
      <c r="B168" s="3" t="s">
        <v>192</v>
      </c>
      <c r="C168" s="3" t="s">
        <v>192</v>
      </c>
      <c r="D168" s="3" t="s">
        <v>7</v>
      </c>
      <c r="E168" s="3" t="str">
        <v>Kappelen</v>
      </c>
      <c r="I168" s="19">
        <v>1247</v>
      </c>
      <c r="J168" s="19" t="s">
        <v>4541</v>
      </c>
    </row>
    <row r="169" spans="1:10" x14ac:dyDescent="0.2">
      <c r="A169" s="3">
        <v>8489</v>
      </c>
      <c r="B169" s="3" t="s">
        <v>193</v>
      </c>
      <c r="C169" s="3" t="s">
        <v>192</v>
      </c>
      <c r="D169" s="3" t="s">
        <v>7</v>
      </c>
      <c r="E169" s="3" t="str">
        <v>Lyss</v>
      </c>
      <c r="I169" s="19">
        <v>1248</v>
      </c>
      <c r="J169" s="19" t="s">
        <v>4541</v>
      </c>
    </row>
    <row r="170" spans="1:10" x14ac:dyDescent="0.2">
      <c r="A170" s="3">
        <v>8489</v>
      </c>
      <c r="B170" s="3" t="s">
        <v>194</v>
      </c>
      <c r="C170" s="3" t="s">
        <v>192</v>
      </c>
      <c r="D170" s="3" t="s">
        <v>7</v>
      </c>
      <c r="E170" s="3" t="str">
        <v>Meikirch</v>
      </c>
      <c r="I170" s="19">
        <v>1251</v>
      </c>
      <c r="J170" s="19" t="s">
        <v>4541</v>
      </c>
    </row>
    <row r="171" spans="1:10" x14ac:dyDescent="0.2">
      <c r="A171" s="3">
        <v>8044</v>
      </c>
      <c r="B171" s="3" t="s">
        <v>195</v>
      </c>
      <c r="C171" s="3" t="s">
        <v>196</v>
      </c>
      <c r="D171" s="3" t="s">
        <v>7</v>
      </c>
      <c r="E171" s="3" t="str">
        <v>Radelfingen</v>
      </c>
      <c r="I171" s="19">
        <v>1252</v>
      </c>
      <c r="J171" s="19" t="s">
        <v>4541</v>
      </c>
    </row>
    <row r="172" spans="1:10" x14ac:dyDescent="0.2">
      <c r="A172" s="3">
        <v>8600</v>
      </c>
      <c r="B172" s="3" t="s">
        <v>196</v>
      </c>
      <c r="C172" s="3" t="s">
        <v>196</v>
      </c>
      <c r="D172" s="3" t="s">
        <v>7</v>
      </c>
      <c r="E172" s="3" t="str">
        <v>Rapperswil (BE)</v>
      </c>
      <c r="I172" s="19">
        <v>1253</v>
      </c>
      <c r="J172" s="19" t="s">
        <v>4541</v>
      </c>
    </row>
    <row r="173" spans="1:10" x14ac:dyDescent="0.2">
      <c r="A173" s="3">
        <v>8132</v>
      </c>
      <c r="B173" s="3" t="s">
        <v>197</v>
      </c>
      <c r="C173" s="3" t="s">
        <v>198</v>
      </c>
      <c r="D173" s="3" t="s">
        <v>7</v>
      </c>
      <c r="E173" s="3" t="str">
        <v>Schüpfen</v>
      </c>
      <c r="I173" s="19">
        <v>1254</v>
      </c>
      <c r="J173" s="19" t="s">
        <v>4541</v>
      </c>
    </row>
    <row r="174" spans="1:10" x14ac:dyDescent="0.2">
      <c r="A174" s="3">
        <v>8132</v>
      </c>
      <c r="B174" s="3" t="s">
        <v>199</v>
      </c>
      <c r="C174" s="3" t="s">
        <v>198</v>
      </c>
      <c r="D174" s="3" t="s">
        <v>7</v>
      </c>
      <c r="E174" s="3" t="str">
        <v>Seedorf (BE)</v>
      </c>
      <c r="I174" s="19">
        <v>1255</v>
      </c>
      <c r="J174" s="19" t="s">
        <v>4541</v>
      </c>
    </row>
    <row r="175" spans="1:10" x14ac:dyDescent="0.2">
      <c r="A175" s="3">
        <v>8133</v>
      </c>
      <c r="B175" s="3" t="s">
        <v>200</v>
      </c>
      <c r="C175" s="3" t="s">
        <v>198</v>
      </c>
      <c r="D175" s="3" t="s">
        <v>7</v>
      </c>
      <c r="E175" s="3" t="str">
        <v>Aarwangen</v>
      </c>
      <c r="I175" s="19">
        <v>1256</v>
      </c>
      <c r="J175" s="19" t="s">
        <v>4541</v>
      </c>
    </row>
    <row r="176" spans="1:10" x14ac:dyDescent="0.2">
      <c r="A176" s="3">
        <v>8117</v>
      </c>
      <c r="B176" s="3" t="s">
        <v>201</v>
      </c>
      <c r="C176" s="3" t="s">
        <v>201</v>
      </c>
      <c r="D176" s="3" t="s">
        <v>7</v>
      </c>
      <c r="E176" s="3" t="str">
        <v>Auswil</v>
      </c>
      <c r="I176" s="19">
        <v>1257</v>
      </c>
      <c r="J176" s="19" t="s">
        <v>4541</v>
      </c>
    </row>
    <row r="177" spans="1:10" x14ac:dyDescent="0.2">
      <c r="A177" s="3">
        <v>8118</v>
      </c>
      <c r="B177" s="3" t="s">
        <v>202</v>
      </c>
      <c r="C177" s="3" t="s">
        <v>201</v>
      </c>
      <c r="D177" s="3" t="s">
        <v>7</v>
      </c>
      <c r="E177" s="3" t="str">
        <v>Bannwil</v>
      </c>
      <c r="I177" s="19">
        <v>1258</v>
      </c>
      <c r="J177" s="19" t="s">
        <v>4541</v>
      </c>
    </row>
    <row r="178" spans="1:10" x14ac:dyDescent="0.2">
      <c r="A178" s="3">
        <v>8121</v>
      </c>
      <c r="B178" s="3" t="s">
        <v>203</v>
      </c>
      <c r="C178" s="3" t="s">
        <v>201</v>
      </c>
      <c r="D178" s="3" t="s">
        <v>7</v>
      </c>
      <c r="E178" s="3" t="str">
        <v>Bleienbach</v>
      </c>
      <c r="I178" s="19">
        <v>1260</v>
      </c>
      <c r="J178" s="19" t="s">
        <v>4541</v>
      </c>
    </row>
    <row r="179" spans="1:10" x14ac:dyDescent="0.2">
      <c r="A179" s="3">
        <v>8606</v>
      </c>
      <c r="B179" s="3" t="s">
        <v>204</v>
      </c>
      <c r="C179" s="3" t="s">
        <v>204</v>
      </c>
      <c r="D179" s="3" t="s">
        <v>7</v>
      </c>
      <c r="E179" s="3" t="str">
        <v>Busswil bei Melchnau</v>
      </c>
      <c r="I179" s="19">
        <v>1261</v>
      </c>
      <c r="J179" s="19" t="s">
        <v>4541</v>
      </c>
    </row>
    <row r="180" spans="1:10" x14ac:dyDescent="0.2">
      <c r="A180" s="3">
        <v>8122</v>
      </c>
      <c r="B180" s="3" t="s">
        <v>205</v>
      </c>
      <c r="C180" s="3" t="s">
        <v>206</v>
      </c>
      <c r="D180" s="3" t="s">
        <v>7</v>
      </c>
      <c r="E180" s="3" t="str">
        <v>Gondiswil</v>
      </c>
      <c r="I180" s="19">
        <v>1262</v>
      </c>
      <c r="J180" s="19" t="s">
        <v>4541</v>
      </c>
    </row>
    <row r="181" spans="1:10" x14ac:dyDescent="0.2">
      <c r="A181" s="3">
        <v>8123</v>
      </c>
      <c r="B181" s="3" t="s">
        <v>207</v>
      </c>
      <c r="C181" s="3" t="s">
        <v>206</v>
      </c>
      <c r="D181" s="3" t="s">
        <v>7</v>
      </c>
      <c r="E181" s="3" t="str">
        <v>Langenthal</v>
      </c>
      <c r="I181" s="19">
        <v>1263</v>
      </c>
      <c r="J181" s="19" t="s">
        <v>4541</v>
      </c>
    </row>
    <row r="182" spans="1:10" x14ac:dyDescent="0.2">
      <c r="A182" s="3">
        <v>8124</v>
      </c>
      <c r="B182" s="3" t="s">
        <v>206</v>
      </c>
      <c r="C182" s="3" t="s">
        <v>206</v>
      </c>
      <c r="D182" s="3" t="s">
        <v>7</v>
      </c>
      <c r="E182" s="3" t="str">
        <v>Lotzwil</v>
      </c>
      <c r="I182" s="19">
        <v>1264</v>
      </c>
      <c r="J182" s="19" t="s">
        <v>4542</v>
      </c>
    </row>
    <row r="183" spans="1:10" x14ac:dyDescent="0.2">
      <c r="A183" s="3">
        <v>8617</v>
      </c>
      <c r="B183" s="3" t="s">
        <v>208</v>
      </c>
      <c r="C183" s="3" t="s">
        <v>208</v>
      </c>
      <c r="D183" s="3" t="s">
        <v>7</v>
      </c>
      <c r="E183" s="3" t="str">
        <v>Madiswil</v>
      </c>
      <c r="I183" s="19">
        <v>1265</v>
      </c>
      <c r="J183" s="19" t="s">
        <v>4542</v>
      </c>
    </row>
    <row r="184" spans="1:10" x14ac:dyDescent="0.2">
      <c r="A184" s="3">
        <v>8603</v>
      </c>
      <c r="B184" s="3" t="s">
        <v>209</v>
      </c>
      <c r="C184" s="3" t="s">
        <v>209</v>
      </c>
      <c r="D184" s="3" t="s">
        <v>7</v>
      </c>
      <c r="E184" s="3" t="str">
        <v>Melchnau</v>
      </c>
      <c r="I184" s="19">
        <v>1266</v>
      </c>
      <c r="J184" s="19" t="s">
        <v>4541</v>
      </c>
    </row>
    <row r="185" spans="1:10" x14ac:dyDescent="0.2">
      <c r="A185" s="3">
        <v>8606</v>
      </c>
      <c r="B185" s="3" t="s">
        <v>210</v>
      </c>
      <c r="C185" s="3" t="s">
        <v>211</v>
      </c>
      <c r="D185" s="3" t="s">
        <v>7</v>
      </c>
      <c r="E185" s="3" t="str">
        <v>Oeschenbach</v>
      </c>
      <c r="I185" s="19">
        <v>1267</v>
      </c>
      <c r="J185" s="19" t="s">
        <v>4541</v>
      </c>
    </row>
    <row r="186" spans="1:10" x14ac:dyDescent="0.2">
      <c r="A186" s="3">
        <v>8610</v>
      </c>
      <c r="B186" s="3" t="s">
        <v>211</v>
      </c>
      <c r="C186" s="3" t="s">
        <v>211</v>
      </c>
      <c r="D186" s="3" t="s">
        <v>7</v>
      </c>
      <c r="E186" s="3" t="str">
        <v>Reisiswil</v>
      </c>
      <c r="I186" s="19">
        <v>1268</v>
      </c>
      <c r="J186" s="19" t="s">
        <v>4541</v>
      </c>
    </row>
    <row r="187" spans="1:10" x14ac:dyDescent="0.2">
      <c r="A187" s="3">
        <v>8614</v>
      </c>
      <c r="B187" s="3" t="s">
        <v>212</v>
      </c>
      <c r="C187" s="3" t="s">
        <v>211</v>
      </c>
      <c r="D187" s="3" t="s">
        <v>7</v>
      </c>
      <c r="E187" s="3" t="str">
        <v>Roggwil (BE)</v>
      </c>
      <c r="I187" s="19">
        <v>1269</v>
      </c>
      <c r="J187" s="19" t="s">
        <v>4541</v>
      </c>
    </row>
    <row r="188" spans="1:10" x14ac:dyDescent="0.2">
      <c r="A188" s="3">
        <v>8615</v>
      </c>
      <c r="B188" s="3" t="s">
        <v>213</v>
      </c>
      <c r="C188" s="3" t="s">
        <v>211</v>
      </c>
      <c r="D188" s="3" t="s">
        <v>7</v>
      </c>
      <c r="E188" s="3" t="str">
        <v>Rohrbach</v>
      </c>
      <c r="I188" s="19">
        <v>1270</v>
      </c>
      <c r="J188" s="19" t="s">
        <v>4541</v>
      </c>
    </row>
    <row r="189" spans="1:10" x14ac:dyDescent="0.2">
      <c r="A189" s="3">
        <v>8615</v>
      </c>
      <c r="B189" s="3" t="s">
        <v>214</v>
      </c>
      <c r="C189" s="3" t="s">
        <v>211</v>
      </c>
      <c r="D189" s="3" t="s">
        <v>7</v>
      </c>
      <c r="E189" s="3" t="str">
        <v>Rohrbachgraben</v>
      </c>
      <c r="I189" s="19">
        <v>1271</v>
      </c>
      <c r="J189" s="19" t="s">
        <v>4541</v>
      </c>
    </row>
    <row r="190" spans="1:10" x14ac:dyDescent="0.2">
      <c r="A190" s="3">
        <v>8616</v>
      </c>
      <c r="B190" s="3" t="s">
        <v>215</v>
      </c>
      <c r="C190" s="3" t="s">
        <v>211</v>
      </c>
      <c r="D190" s="3" t="s">
        <v>7</v>
      </c>
      <c r="E190" s="3" t="str">
        <v>Rütschelen</v>
      </c>
      <c r="I190" s="19">
        <v>1272</v>
      </c>
      <c r="J190" s="19" t="s">
        <v>4541</v>
      </c>
    </row>
    <row r="191" spans="1:10" x14ac:dyDescent="0.2">
      <c r="A191" s="3">
        <v>8604</v>
      </c>
      <c r="B191" s="3" t="s">
        <v>216</v>
      </c>
      <c r="C191" s="3" t="s">
        <v>216</v>
      </c>
      <c r="D191" s="3" t="s">
        <v>7</v>
      </c>
      <c r="E191" s="3" t="str">
        <v>Schwarzhäusern</v>
      </c>
      <c r="I191" s="19">
        <v>1273</v>
      </c>
      <c r="J191" s="19" t="s">
        <v>4541</v>
      </c>
    </row>
    <row r="192" spans="1:10" x14ac:dyDescent="0.2">
      <c r="A192" s="3">
        <v>8605</v>
      </c>
      <c r="B192" s="3" t="s">
        <v>217</v>
      </c>
      <c r="C192" s="3" t="s">
        <v>216</v>
      </c>
      <c r="D192" s="3" t="s">
        <v>7</v>
      </c>
      <c r="E192" s="3" t="str">
        <v>Thunstetten</v>
      </c>
      <c r="I192" s="19">
        <v>1274</v>
      </c>
      <c r="J192" s="19" t="s">
        <v>4541</v>
      </c>
    </row>
    <row r="193" spans="1:10" x14ac:dyDescent="0.2">
      <c r="A193" s="3">
        <v>8306</v>
      </c>
      <c r="B193" s="3" t="s">
        <v>218</v>
      </c>
      <c r="C193" s="3" t="s">
        <v>219</v>
      </c>
      <c r="D193" s="3" t="s">
        <v>7</v>
      </c>
      <c r="E193" s="3" t="str">
        <v>Ursenbach</v>
      </c>
      <c r="I193" s="19">
        <v>1275</v>
      </c>
      <c r="J193" s="19" t="s">
        <v>4541</v>
      </c>
    </row>
    <row r="194" spans="1:10" x14ac:dyDescent="0.2">
      <c r="A194" s="3">
        <v>8602</v>
      </c>
      <c r="B194" s="3" t="s">
        <v>220</v>
      </c>
      <c r="C194" s="3" t="s">
        <v>219</v>
      </c>
      <c r="D194" s="3" t="s">
        <v>7</v>
      </c>
      <c r="E194" s="3" t="str">
        <v>Wynau</v>
      </c>
      <c r="I194" s="19">
        <v>1276</v>
      </c>
      <c r="J194" s="19" t="s">
        <v>4541</v>
      </c>
    </row>
    <row r="195" spans="1:10" x14ac:dyDescent="0.2">
      <c r="A195" s="3">
        <v>8479</v>
      </c>
      <c r="B195" s="3" t="s">
        <v>221</v>
      </c>
      <c r="C195" s="3" t="s">
        <v>221</v>
      </c>
      <c r="D195" s="3" t="s">
        <v>7</v>
      </c>
      <c r="E195" s="3" t="str">
        <v>Bern</v>
      </c>
      <c r="I195" s="19">
        <v>1277</v>
      </c>
      <c r="J195" s="19" t="s">
        <v>4541</v>
      </c>
    </row>
    <row r="196" spans="1:10" x14ac:dyDescent="0.2">
      <c r="A196" s="3">
        <v>8311</v>
      </c>
      <c r="B196" s="3" t="s">
        <v>222</v>
      </c>
      <c r="C196" s="3" t="s">
        <v>222</v>
      </c>
      <c r="D196" s="3" t="s">
        <v>7</v>
      </c>
      <c r="E196" s="3" t="str">
        <v>Bolligen</v>
      </c>
      <c r="I196" s="19">
        <v>1278</v>
      </c>
      <c r="J196" s="19" t="s">
        <v>4541</v>
      </c>
    </row>
    <row r="197" spans="1:10" x14ac:dyDescent="0.2">
      <c r="A197" s="3">
        <v>8471</v>
      </c>
      <c r="B197" s="3" t="s">
        <v>223</v>
      </c>
      <c r="C197" s="3" t="s">
        <v>224</v>
      </c>
      <c r="D197" s="3" t="s">
        <v>7</v>
      </c>
      <c r="E197" s="3" t="str">
        <v>Bremgarten bei Bern</v>
      </c>
      <c r="I197" s="19">
        <v>1279</v>
      </c>
      <c r="J197" s="19" t="s">
        <v>4541</v>
      </c>
    </row>
    <row r="198" spans="1:10" x14ac:dyDescent="0.2">
      <c r="A198" s="3">
        <v>8471</v>
      </c>
      <c r="B198" s="3" t="s">
        <v>224</v>
      </c>
      <c r="C198" s="3" t="s">
        <v>224</v>
      </c>
      <c r="D198" s="3" t="s">
        <v>7</v>
      </c>
      <c r="E198" s="3" t="str">
        <v>Kirchlindach</v>
      </c>
      <c r="I198" s="19">
        <v>1281</v>
      </c>
      <c r="J198" s="19" t="s">
        <v>4541</v>
      </c>
    </row>
    <row r="199" spans="1:10" x14ac:dyDescent="0.2">
      <c r="A199" s="3">
        <v>8471</v>
      </c>
      <c r="B199" s="3" t="s">
        <v>225</v>
      </c>
      <c r="C199" s="3" t="s">
        <v>224</v>
      </c>
      <c r="D199" s="3" t="s">
        <v>7</v>
      </c>
      <c r="E199" s="3" t="str">
        <v>Köniz</v>
      </c>
      <c r="I199" s="19">
        <v>1283</v>
      </c>
      <c r="J199" s="19" t="s">
        <v>4541</v>
      </c>
    </row>
    <row r="200" spans="1:10" x14ac:dyDescent="0.2">
      <c r="A200" s="3">
        <v>8471</v>
      </c>
      <c r="B200" s="3" t="s">
        <v>226</v>
      </c>
      <c r="C200" s="3" t="s">
        <v>224</v>
      </c>
      <c r="D200" s="3" t="s">
        <v>7</v>
      </c>
      <c r="E200" s="3" t="str">
        <v>Muri bei Bern</v>
      </c>
      <c r="I200" s="19">
        <v>1284</v>
      </c>
      <c r="J200" s="19" t="s">
        <v>4541</v>
      </c>
    </row>
    <row r="201" spans="1:10" x14ac:dyDescent="0.2">
      <c r="A201" s="3">
        <v>8471</v>
      </c>
      <c r="B201" s="3" t="s">
        <v>227</v>
      </c>
      <c r="C201" s="3" t="s">
        <v>224</v>
      </c>
      <c r="D201" s="3" t="s">
        <v>7</v>
      </c>
      <c r="E201" s="3" t="str">
        <v>Oberbalm</v>
      </c>
      <c r="I201" s="19">
        <v>1285</v>
      </c>
      <c r="J201" s="19" t="s">
        <v>4541</v>
      </c>
    </row>
    <row r="202" spans="1:10" x14ac:dyDescent="0.2">
      <c r="A202" s="3">
        <v>8421</v>
      </c>
      <c r="B202" s="3" t="s">
        <v>228</v>
      </c>
      <c r="C202" s="3" t="s">
        <v>228</v>
      </c>
      <c r="D202" s="3" t="s">
        <v>7</v>
      </c>
      <c r="E202" s="3" t="str">
        <v>Stettlen</v>
      </c>
      <c r="I202" s="19">
        <v>1286</v>
      </c>
      <c r="J202" s="19" t="s">
        <v>4541</v>
      </c>
    </row>
    <row r="203" spans="1:10" x14ac:dyDescent="0.2">
      <c r="A203" s="3">
        <v>8474</v>
      </c>
      <c r="B203" s="3" t="s">
        <v>229</v>
      </c>
      <c r="C203" s="3" t="s">
        <v>229</v>
      </c>
      <c r="D203" s="3" t="s">
        <v>7</v>
      </c>
      <c r="E203" s="3" t="str">
        <v>Vechigen</v>
      </c>
      <c r="I203" s="19">
        <v>1287</v>
      </c>
      <c r="J203" s="19" t="s">
        <v>4541</v>
      </c>
    </row>
    <row r="204" spans="1:10" x14ac:dyDescent="0.2">
      <c r="A204" s="3">
        <v>8548</v>
      </c>
      <c r="B204" s="3" t="s">
        <v>230</v>
      </c>
      <c r="C204" s="3" t="s">
        <v>230</v>
      </c>
      <c r="D204" s="3" t="s">
        <v>7</v>
      </c>
      <c r="E204" s="3" t="str">
        <v>Wohlen bei Bern</v>
      </c>
      <c r="I204" s="19">
        <v>1288</v>
      </c>
      <c r="J204" s="19" t="s">
        <v>4541</v>
      </c>
    </row>
    <row r="205" spans="1:10" x14ac:dyDescent="0.2">
      <c r="A205" s="3">
        <v>8352</v>
      </c>
      <c r="B205" s="3" t="s">
        <v>231</v>
      </c>
      <c r="C205" s="3" t="s">
        <v>231</v>
      </c>
      <c r="D205" s="3" t="s">
        <v>7</v>
      </c>
      <c r="E205" s="3" t="str">
        <v>Zollikofen</v>
      </c>
      <c r="I205" s="19">
        <v>1290</v>
      </c>
      <c r="J205" s="19" t="s">
        <v>4541</v>
      </c>
    </row>
    <row r="206" spans="1:10" x14ac:dyDescent="0.2">
      <c r="A206" s="3">
        <v>8523</v>
      </c>
      <c r="B206" s="3" t="s">
        <v>232</v>
      </c>
      <c r="C206" s="3" t="s">
        <v>233</v>
      </c>
      <c r="D206" s="3" t="s">
        <v>7</v>
      </c>
      <c r="E206" s="3" t="str">
        <v>Ittigen</v>
      </c>
      <c r="I206" s="19">
        <v>1291</v>
      </c>
      <c r="J206" s="19" t="s">
        <v>4541</v>
      </c>
    </row>
    <row r="207" spans="1:10" x14ac:dyDescent="0.2">
      <c r="A207" s="3">
        <v>8442</v>
      </c>
      <c r="B207" s="3" t="s">
        <v>234</v>
      </c>
      <c r="C207" s="3" t="s">
        <v>234</v>
      </c>
      <c r="D207" s="3" t="s">
        <v>7</v>
      </c>
      <c r="E207" s="3" t="str">
        <v>Ostermundigen</v>
      </c>
      <c r="I207" s="19">
        <v>1292</v>
      </c>
      <c r="J207" s="19" t="s">
        <v>4541</v>
      </c>
    </row>
    <row r="208" spans="1:10" x14ac:dyDescent="0.2">
      <c r="A208" s="3">
        <v>8412</v>
      </c>
      <c r="B208" s="3" t="s">
        <v>235</v>
      </c>
      <c r="C208" s="3" t="s">
        <v>236</v>
      </c>
      <c r="D208" s="3" t="s">
        <v>7</v>
      </c>
      <c r="E208" s="3" t="str">
        <v>Biel/Bienne</v>
      </c>
      <c r="I208" s="19">
        <v>1293</v>
      </c>
      <c r="J208" s="19" t="s">
        <v>4541</v>
      </c>
    </row>
    <row r="209" spans="1:10" x14ac:dyDescent="0.2">
      <c r="A209" s="3">
        <v>8412</v>
      </c>
      <c r="B209" s="3" t="s">
        <v>237</v>
      </c>
      <c r="C209" s="3" t="s">
        <v>236</v>
      </c>
      <c r="D209" s="3" t="s">
        <v>7</v>
      </c>
      <c r="E209" s="3" t="str">
        <v>Evilard</v>
      </c>
      <c r="I209" s="19">
        <v>1294</v>
      </c>
      <c r="J209" s="19" t="s">
        <v>4541</v>
      </c>
    </row>
    <row r="210" spans="1:10" x14ac:dyDescent="0.2">
      <c r="A210" s="3">
        <v>8412</v>
      </c>
      <c r="B210" s="3" t="s">
        <v>238</v>
      </c>
      <c r="C210" s="3" t="s">
        <v>236</v>
      </c>
      <c r="D210" s="3" t="s">
        <v>7</v>
      </c>
      <c r="E210" s="3" t="str">
        <v>Arch</v>
      </c>
      <c r="I210" s="19">
        <v>1295</v>
      </c>
      <c r="J210" s="19" t="s">
        <v>4541</v>
      </c>
    </row>
    <row r="211" spans="1:10" x14ac:dyDescent="0.2">
      <c r="A211" s="3">
        <v>8413</v>
      </c>
      <c r="B211" s="3" t="s">
        <v>236</v>
      </c>
      <c r="C211" s="3" t="s">
        <v>236</v>
      </c>
      <c r="D211" s="3" t="s">
        <v>7</v>
      </c>
      <c r="E211" s="3" t="str">
        <v>Büetigen</v>
      </c>
      <c r="I211" s="19">
        <v>1296</v>
      </c>
      <c r="J211" s="19" t="s">
        <v>4541</v>
      </c>
    </row>
    <row r="212" spans="1:10" x14ac:dyDescent="0.2">
      <c r="A212" s="3">
        <v>8422</v>
      </c>
      <c r="B212" s="3" t="s">
        <v>239</v>
      </c>
      <c r="C212" s="3" t="s">
        <v>239</v>
      </c>
      <c r="D212" s="3" t="s">
        <v>7</v>
      </c>
      <c r="E212" s="3" t="str">
        <v>Büren an der Aare</v>
      </c>
      <c r="I212" s="19">
        <v>1297</v>
      </c>
      <c r="J212" s="19" t="s">
        <v>4541</v>
      </c>
    </row>
    <row r="213" spans="1:10" x14ac:dyDescent="0.2">
      <c r="A213" s="3">
        <v>8545</v>
      </c>
      <c r="B213" s="3" t="s">
        <v>240</v>
      </c>
      <c r="C213" s="3" t="s">
        <v>241</v>
      </c>
      <c r="D213" s="3" t="s">
        <v>7</v>
      </c>
      <c r="E213" s="3" t="str">
        <v>Diessbach bei Büren</v>
      </c>
      <c r="I213" s="19">
        <v>1298</v>
      </c>
      <c r="J213" s="19" t="s">
        <v>4541</v>
      </c>
    </row>
    <row r="214" spans="1:10" x14ac:dyDescent="0.2">
      <c r="A214" s="3">
        <v>8545</v>
      </c>
      <c r="B214" s="3" t="s">
        <v>242</v>
      </c>
      <c r="C214" s="3" t="s">
        <v>241</v>
      </c>
      <c r="D214" s="3" t="s">
        <v>7</v>
      </c>
      <c r="E214" s="3" t="str">
        <v>Dotzigen</v>
      </c>
      <c r="I214" s="19">
        <v>1299</v>
      </c>
      <c r="J214" s="19" t="s">
        <v>4541</v>
      </c>
    </row>
    <row r="215" spans="1:10" x14ac:dyDescent="0.2">
      <c r="A215" s="3">
        <v>8418</v>
      </c>
      <c r="B215" s="3" t="s">
        <v>243</v>
      </c>
      <c r="C215" s="3" t="s">
        <v>244</v>
      </c>
      <c r="D215" s="3" t="s">
        <v>7</v>
      </c>
      <c r="E215" s="3" t="str">
        <v>Lengnau (BE)</v>
      </c>
      <c r="I215" s="19">
        <v>1302</v>
      </c>
      <c r="J215" s="19" t="s">
        <v>4539</v>
      </c>
    </row>
    <row r="216" spans="1:10" x14ac:dyDescent="0.2">
      <c r="A216" s="3">
        <v>8472</v>
      </c>
      <c r="B216" s="3" t="s">
        <v>245</v>
      </c>
      <c r="C216" s="3" t="s">
        <v>245</v>
      </c>
      <c r="D216" s="3" t="s">
        <v>7</v>
      </c>
      <c r="E216" s="3" t="str">
        <v>Leuzigen</v>
      </c>
      <c r="I216" s="19">
        <v>1303</v>
      </c>
      <c r="J216" s="19" t="s">
        <v>4539</v>
      </c>
    </row>
    <row r="217" spans="1:10" x14ac:dyDescent="0.2">
      <c r="A217" s="3">
        <v>8488</v>
      </c>
      <c r="B217" s="3" t="s">
        <v>246</v>
      </c>
      <c r="C217" s="3" t="s">
        <v>246</v>
      </c>
      <c r="D217" s="3" t="s">
        <v>7</v>
      </c>
      <c r="E217" s="3" t="str">
        <v>Meienried</v>
      </c>
      <c r="I217" s="19">
        <v>1304</v>
      </c>
      <c r="J217" s="19" t="s">
        <v>4539</v>
      </c>
    </row>
    <row r="218" spans="1:10" x14ac:dyDescent="0.2">
      <c r="A218" s="3">
        <v>8495</v>
      </c>
      <c r="B218" s="3" t="s">
        <v>247</v>
      </c>
      <c r="C218" s="3" t="s">
        <v>246</v>
      </c>
      <c r="D218" s="3" t="s">
        <v>7</v>
      </c>
      <c r="E218" s="3" t="str">
        <v>Meinisberg</v>
      </c>
      <c r="I218" s="19">
        <v>1305</v>
      </c>
      <c r="J218" s="19" t="s">
        <v>4539</v>
      </c>
    </row>
    <row r="219" spans="1:10" x14ac:dyDescent="0.2">
      <c r="A219" s="3">
        <v>8352</v>
      </c>
      <c r="B219" s="3" t="s">
        <v>248</v>
      </c>
      <c r="C219" s="3" t="s">
        <v>249</v>
      </c>
      <c r="D219" s="3" t="s">
        <v>7</v>
      </c>
      <c r="E219" s="3" t="str">
        <v>Oberwil bei Büren</v>
      </c>
      <c r="I219" s="19">
        <v>1306</v>
      </c>
      <c r="J219" s="19" t="s">
        <v>4539</v>
      </c>
    </row>
    <row r="220" spans="1:10" x14ac:dyDescent="0.2">
      <c r="A220" s="3">
        <v>8400</v>
      </c>
      <c r="B220" s="3" t="s">
        <v>249</v>
      </c>
      <c r="C220" s="3" t="s">
        <v>249</v>
      </c>
      <c r="D220" s="3" t="s">
        <v>7</v>
      </c>
      <c r="E220" s="3" t="str">
        <v>Pieterlen</v>
      </c>
      <c r="I220" s="19">
        <v>1307</v>
      </c>
      <c r="J220" s="19" t="s">
        <v>4539</v>
      </c>
    </row>
    <row r="221" spans="1:10" x14ac:dyDescent="0.2">
      <c r="A221" s="3">
        <v>8404</v>
      </c>
      <c r="B221" s="3" t="s">
        <v>249</v>
      </c>
      <c r="C221" s="3" t="s">
        <v>249</v>
      </c>
      <c r="D221" s="3" t="s">
        <v>7</v>
      </c>
      <c r="E221" s="3" t="str">
        <v>Rüti bei Büren</v>
      </c>
      <c r="I221" s="19">
        <v>1308</v>
      </c>
      <c r="J221" s="19" t="s">
        <v>4539</v>
      </c>
    </row>
    <row r="222" spans="1:10" x14ac:dyDescent="0.2">
      <c r="A222" s="3">
        <v>8404</v>
      </c>
      <c r="B222" s="3" t="s">
        <v>250</v>
      </c>
      <c r="C222" s="3" t="s">
        <v>249</v>
      </c>
      <c r="D222" s="3" t="s">
        <v>7</v>
      </c>
      <c r="E222" s="3" t="str">
        <v>Wengi</v>
      </c>
      <c r="I222" s="19">
        <v>1312</v>
      </c>
      <c r="J222" s="19" t="s">
        <v>4539</v>
      </c>
    </row>
    <row r="223" spans="1:10" x14ac:dyDescent="0.2">
      <c r="A223" s="3">
        <v>8404</v>
      </c>
      <c r="B223" s="3" t="s">
        <v>251</v>
      </c>
      <c r="C223" s="3" t="s">
        <v>249</v>
      </c>
      <c r="D223" s="3" t="s">
        <v>7</v>
      </c>
      <c r="E223" s="3" t="str">
        <v>Aefligen</v>
      </c>
      <c r="I223" s="19">
        <v>1313</v>
      </c>
      <c r="J223" s="19" t="s">
        <v>4539</v>
      </c>
    </row>
    <row r="224" spans="1:10" x14ac:dyDescent="0.2">
      <c r="A224" s="3">
        <v>8405</v>
      </c>
      <c r="B224" s="3" t="s">
        <v>249</v>
      </c>
      <c r="C224" s="3" t="s">
        <v>249</v>
      </c>
      <c r="D224" s="3" t="s">
        <v>7</v>
      </c>
      <c r="E224" s="3" t="str">
        <v>Alchenstorf</v>
      </c>
      <c r="I224" s="19">
        <v>1315</v>
      </c>
      <c r="J224" s="19" t="s">
        <v>4539</v>
      </c>
    </row>
    <row r="225" spans="1:10" x14ac:dyDescent="0.2">
      <c r="A225" s="3">
        <v>8406</v>
      </c>
      <c r="B225" s="3" t="s">
        <v>249</v>
      </c>
      <c r="C225" s="3" t="s">
        <v>249</v>
      </c>
      <c r="D225" s="3" t="s">
        <v>7</v>
      </c>
      <c r="E225" s="3" t="str">
        <v>Bäriswil</v>
      </c>
      <c r="I225" s="19">
        <v>1316</v>
      </c>
      <c r="J225" s="19" t="s">
        <v>4539</v>
      </c>
    </row>
    <row r="226" spans="1:10" x14ac:dyDescent="0.2">
      <c r="A226" s="3">
        <v>8408</v>
      </c>
      <c r="B226" s="3" t="s">
        <v>249</v>
      </c>
      <c r="C226" s="3" t="s">
        <v>249</v>
      </c>
      <c r="D226" s="3" t="s">
        <v>7</v>
      </c>
      <c r="E226" s="3" t="str">
        <v>Burgdorf</v>
      </c>
      <c r="I226" s="19">
        <v>1317</v>
      </c>
      <c r="J226" s="19" t="s">
        <v>4539</v>
      </c>
    </row>
    <row r="227" spans="1:10" x14ac:dyDescent="0.2">
      <c r="A227" s="3">
        <v>8409</v>
      </c>
      <c r="B227" s="3" t="s">
        <v>249</v>
      </c>
      <c r="C227" s="3" t="s">
        <v>249</v>
      </c>
      <c r="D227" s="3" t="s">
        <v>7</v>
      </c>
      <c r="E227" s="3" t="str">
        <v>Ersigen</v>
      </c>
      <c r="I227" s="19">
        <v>1318</v>
      </c>
      <c r="J227" s="19" t="s">
        <v>4539</v>
      </c>
    </row>
    <row r="228" spans="1:10" x14ac:dyDescent="0.2">
      <c r="A228" s="3">
        <v>8482</v>
      </c>
      <c r="B228" s="3" t="s">
        <v>252</v>
      </c>
      <c r="C228" s="3" t="s">
        <v>249</v>
      </c>
      <c r="D228" s="3" t="s">
        <v>7</v>
      </c>
      <c r="E228" s="3" t="str">
        <v>Hasle bei Burgdorf</v>
      </c>
      <c r="I228" s="19">
        <v>1321</v>
      </c>
      <c r="J228" s="19" t="s">
        <v>4539</v>
      </c>
    </row>
    <row r="229" spans="1:10" x14ac:dyDescent="0.2">
      <c r="A229" s="3">
        <v>8483</v>
      </c>
      <c r="B229" s="3" t="s">
        <v>253</v>
      </c>
      <c r="C229" s="3" t="s">
        <v>254</v>
      </c>
      <c r="D229" s="3" t="s">
        <v>7</v>
      </c>
      <c r="E229" s="3" t="str">
        <v>Heimiswil</v>
      </c>
      <c r="I229" s="19">
        <v>1322</v>
      </c>
      <c r="J229" s="19" t="s">
        <v>4539</v>
      </c>
    </row>
    <row r="230" spans="1:10" x14ac:dyDescent="0.2">
      <c r="A230" s="3">
        <v>8486</v>
      </c>
      <c r="B230" s="3" t="s">
        <v>255</v>
      </c>
      <c r="C230" s="3" t="s">
        <v>254</v>
      </c>
      <c r="D230" s="3" t="s">
        <v>7</v>
      </c>
      <c r="E230" s="3" t="str">
        <v>Hellsau</v>
      </c>
      <c r="I230" s="19">
        <v>1323</v>
      </c>
      <c r="J230" s="19" t="s">
        <v>4539</v>
      </c>
    </row>
    <row r="231" spans="1:10" x14ac:dyDescent="0.2">
      <c r="A231" s="3">
        <v>8487</v>
      </c>
      <c r="B231" s="3" t="s">
        <v>256</v>
      </c>
      <c r="C231" s="3" t="s">
        <v>254</v>
      </c>
      <c r="D231" s="3" t="s">
        <v>7</v>
      </c>
      <c r="E231" s="3" t="str">
        <v>Hindelbank</v>
      </c>
      <c r="I231" s="19">
        <v>1324</v>
      </c>
      <c r="J231" s="19" t="s">
        <v>4542</v>
      </c>
    </row>
    <row r="232" spans="1:10" x14ac:dyDescent="0.2">
      <c r="A232" s="3">
        <v>8487</v>
      </c>
      <c r="B232" s="3" t="s">
        <v>257</v>
      </c>
      <c r="C232" s="3" t="s">
        <v>254</v>
      </c>
      <c r="D232" s="3" t="s">
        <v>7</v>
      </c>
      <c r="E232" s="3" t="str">
        <v>Höchstetten</v>
      </c>
      <c r="I232" s="19">
        <v>1325</v>
      </c>
      <c r="J232" s="19" t="s">
        <v>4542</v>
      </c>
    </row>
    <row r="233" spans="1:10" x14ac:dyDescent="0.2">
      <c r="A233" s="3">
        <v>8904</v>
      </c>
      <c r="B233" s="3" t="s">
        <v>258</v>
      </c>
      <c r="C233" s="3" t="s">
        <v>259</v>
      </c>
      <c r="D233" s="3" t="s">
        <v>7</v>
      </c>
      <c r="E233" s="3" t="str">
        <v>Kernenried</v>
      </c>
      <c r="I233" s="19">
        <v>1326</v>
      </c>
      <c r="J233" s="19" t="s">
        <v>4542</v>
      </c>
    </row>
    <row r="234" spans="1:10" x14ac:dyDescent="0.2">
      <c r="A234" s="3">
        <v>8903</v>
      </c>
      <c r="B234" s="3" t="s">
        <v>260</v>
      </c>
      <c r="C234" s="3" t="s">
        <v>261</v>
      </c>
      <c r="D234" s="3" t="s">
        <v>7</v>
      </c>
      <c r="E234" s="3" t="str">
        <v>Kirchberg (BE)</v>
      </c>
      <c r="I234" s="19">
        <v>1329</v>
      </c>
      <c r="J234" s="19" t="s">
        <v>4542</v>
      </c>
    </row>
    <row r="235" spans="1:10" x14ac:dyDescent="0.2">
      <c r="A235" s="3">
        <v>8953</v>
      </c>
      <c r="B235" s="3" t="s">
        <v>262</v>
      </c>
      <c r="C235" s="3" t="s">
        <v>262</v>
      </c>
      <c r="D235" s="3" t="s">
        <v>7</v>
      </c>
      <c r="E235" s="3" t="str">
        <v>Koppigen</v>
      </c>
      <c r="I235" s="19">
        <v>1337</v>
      </c>
      <c r="J235" s="19" t="s">
        <v>4542</v>
      </c>
    </row>
    <row r="236" spans="1:10" x14ac:dyDescent="0.2">
      <c r="A236" s="3">
        <v>8951</v>
      </c>
      <c r="B236" s="3" t="s">
        <v>263</v>
      </c>
      <c r="C236" s="3" t="s">
        <v>264</v>
      </c>
      <c r="D236" s="3" t="s">
        <v>7</v>
      </c>
      <c r="E236" s="3" t="str">
        <v>Krauchthal</v>
      </c>
      <c r="I236" s="19">
        <v>1338</v>
      </c>
      <c r="J236" s="19" t="s">
        <v>4542</v>
      </c>
    </row>
    <row r="237" spans="1:10" x14ac:dyDescent="0.2">
      <c r="A237" s="3">
        <v>8954</v>
      </c>
      <c r="B237" s="3" t="s">
        <v>264</v>
      </c>
      <c r="C237" s="3" t="s">
        <v>264</v>
      </c>
      <c r="D237" s="3" t="s">
        <v>7</v>
      </c>
      <c r="E237" s="3" t="str">
        <v>Lyssach</v>
      </c>
      <c r="I237" s="19">
        <v>1341</v>
      </c>
      <c r="J237" s="19" t="s">
        <v>4542</v>
      </c>
    </row>
    <row r="238" spans="1:10" x14ac:dyDescent="0.2">
      <c r="A238" s="3">
        <v>8102</v>
      </c>
      <c r="B238" s="3" t="s">
        <v>265</v>
      </c>
      <c r="C238" s="3" t="s">
        <v>265</v>
      </c>
      <c r="D238" s="3" t="s">
        <v>7</v>
      </c>
      <c r="E238" s="3" t="str">
        <v>Oberburg</v>
      </c>
      <c r="I238" s="19">
        <v>1342</v>
      </c>
      <c r="J238" s="19" t="s">
        <v>4542</v>
      </c>
    </row>
    <row r="239" spans="1:10" x14ac:dyDescent="0.2">
      <c r="A239" s="3">
        <v>8955</v>
      </c>
      <c r="B239" s="3" t="s">
        <v>266</v>
      </c>
      <c r="C239" s="3" t="s">
        <v>266</v>
      </c>
      <c r="D239" s="3" t="s">
        <v>7</v>
      </c>
      <c r="E239" s="3" t="str">
        <v>Rüdtligen-Alchenflüh</v>
      </c>
      <c r="I239" s="19">
        <v>1343</v>
      </c>
      <c r="J239" s="19" t="s">
        <v>4542</v>
      </c>
    </row>
    <row r="240" spans="1:10" x14ac:dyDescent="0.2">
      <c r="A240" s="3">
        <v>8952</v>
      </c>
      <c r="B240" s="3" t="s">
        <v>267</v>
      </c>
      <c r="C240" s="3" t="s">
        <v>267</v>
      </c>
      <c r="D240" s="3" t="s">
        <v>7</v>
      </c>
      <c r="E240" s="3" t="str">
        <v>Rumendingen</v>
      </c>
      <c r="I240" s="19">
        <v>1344</v>
      </c>
      <c r="J240" s="19" t="s">
        <v>4542</v>
      </c>
    </row>
    <row r="241" spans="1:10" x14ac:dyDescent="0.2">
      <c r="A241" s="3">
        <v>8142</v>
      </c>
      <c r="B241" s="3" t="s">
        <v>268</v>
      </c>
      <c r="C241" s="3" t="s">
        <v>269</v>
      </c>
      <c r="D241" s="3" t="s">
        <v>7</v>
      </c>
      <c r="E241" s="3" t="str">
        <v>Rüti bei Lyssach</v>
      </c>
      <c r="I241" s="19">
        <v>1345</v>
      </c>
      <c r="J241" s="19" t="s">
        <v>4542</v>
      </c>
    </row>
    <row r="242" spans="1:10" x14ac:dyDescent="0.2">
      <c r="A242" s="3">
        <v>8103</v>
      </c>
      <c r="B242" s="3" t="s">
        <v>270</v>
      </c>
      <c r="C242" s="3" t="s">
        <v>270</v>
      </c>
      <c r="D242" s="3" t="s">
        <v>7</v>
      </c>
      <c r="E242" s="3" t="str">
        <v>Willadingen</v>
      </c>
      <c r="I242" s="19">
        <v>1346</v>
      </c>
      <c r="J242" s="19" t="s">
        <v>4542</v>
      </c>
    </row>
    <row r="243" spans="1:10" x14ac:dyDescent="0.2">
      <c r="A243" s="3">
        <v>8902</v>
      </c>
      <c r="B243" s="3" t="s">
        <v>271</v>
      </c>
      <c r="C243" s="3" t="s">
        <v>271</v>
      </c>
      <c r="D243" s="3" t="s">
        <v>7</v>
      </c>
      <c r="E243" s="3" t="str">
        <v>Wynigen</v>
      </c>
      <c r="I243" s="19">
        <v>1347</v>
      </c>
      <c r="J243" s="19" t="s">
        <v>4542</v>
      </c>
    </row>
    <row r="244" spans="1:10" x14ac:dyDescent="0.2">
      <c r="A244" s="3">
        <v>8104</v>
      </c>
      <c r="B244" s="3" t="s">
        <v>272</v>
      </c>
      <c r="C244" s="3" t="s">
        <v>273</v>
      </c>
      <c r="D244" s="3" t="s">
        <v>7</v>
      </c>
      <c r="E244" s="3" t="str">
        <v>Corgémont</v>
      </c>
      <c r="I244" s="19">
        <v>1348</v>
      </c>
      <c r="J244" s="19" t="s">
        <v>4542</v>
      </c>
    </row>
    <row r="245" spans="1:10" x14ac:dyDescent="0.2">
      <c r="A245" s="3">
        <v>8001</v>
      </c>
      <c r="B245" s="3" t="s">
        <v>274</v>
      </c>
      <c r="C245" s="3" t="s">
        <v>274</v>
      </c>
      <c r="D245" s="3" t="s">
        <v>7</v>
      </c>
      <c r="E245" s="3" t="str">
        <v>Cormoret</v>
      </c>
      <c r="I245" s="19">
        <v>1350</v>
      </c>
      <c r="J245" s="19" t="s">
        <v>4539</v>
      </c>
    </row>
    <row r="246" spans="1:10" x14ac:dyDescent="0.2">
      <c r="A246" s="3">
        <v>8002</v>
      </c>
      <c r="B246" s="3" t="s">
        <v>274</v>
      </c>
      <c r="C246" s="3" t="s">
        <v>274</v>
      </c>
      <c r="D246" s="3" t="s">
        <v>7</v>
      </c>
      <c r="E246" s="3" t="str">
        <v>Cortébert</v>
      </c>
      <c r="I246" s="19">
        <v>1352</v>
      </c>
      <c r="J246" s="19" t="s">
        <v>4539</v>
      </c>
    </row>
    <row r="247" spans="1:10" x14ac:dyDescent="0.2">
      <c r="A247" s="3">
        <v>8003</v>
      </c>
      <c r="B247" s="3" t="s">
        <v>274</v>
      </c>
      <c r="C247" s="3" t="s">
        <v>274</v>
      </c>
      <c r="D247" s="3" t="s">
        <v>7</v>
      </c>
      <c r="E247" s="3" t="str">
        <v>Courtelary</v>
      </c>
      <c r="I247" s="19">
        <v>1353</v>
      </c>
      <c r="J247" s="19" t="s">
        <v>4539</v>
      </c>
    </row>
    <row r="248" spans="1:10" x14ac:dyDescent="0.2">
      <c r="A248" s="3">
        <v>8004</v>
      </c>
      <c r="B248" s="3" t="s">
        <v>274</v>
      </c>
      <c r="C248" s="3" t="s">
        <v>274</v>
      </c>
      <c r="D248" s="3" t="s">
        <v>7</v>
      </c>
      <c r="E248" s="3" t="str">
        <v>La Ferrière</v>
      </c>
      <c r="I248" s="19">
        <v>1354</v>
      </c>
      <c r="J248" s="19" t="s">
        <v>4539</v>
      </c>
    </row>
    <row r="249" spans="1:10" x14ac:dyDescent="0.2">
      <c r="A249" s="3">
        <v>8005</v>
      </c>
      <c r="B249" s="3" t="s">
        <v>274</v>
      </c>
      <c r="C249" s="3" t="s">
        <v>274</v>
      </c>
      <c r="D249" s="3" t="s">
        <v>7</v>
      </c>
      <c r="E249" s="3" t="str">
        <v>Mont-Tramelan</v>
      </c>
      <c r="I249" s="19">
        <v>1355</v>
      </c>
      <c r="J249" s="19" t="s">
        <v>4542</v>
      </c>
    </row>
    <row r="250" spans="1:10" x14ac:dyDescent="0.2">
      <c r="A250" s="3">
        <v>8006</v>
      </c>
      <c r="B250" s="3" t="s">
        <v>274</v>
      </c>
      <c r="C250" s="3" t="s">
        <v>274</v>
      </c>
      <c r="D250" s="3" t="s">
        <v>7</v>
      </c>
      <c r="E250" s="3" t="str">
        <v>Orvin</v>
      </c>
      <c r="I250" s="19">
        <v>1356</v>
      </c>
      <c r="J250" s="19" t="s">
        <v>4542</v>
      </c>
    </row>
    <row r="251" spans="1:10" x14ac:dyDescent="0.2">
      <c r="A251" s="3">
        <v>8008</v>
      </c>
      <c r="B251" s="3" t="s">
        <v>274</v>
      </c>
      <c r="C251" s="3" t="s">
        <v>274</v>
      </c>
      <c r="D251" s="3" t="s">
        <v>7</v>
      </c>
      <c r="E251" s="3" t="str">
        <v>Renan (BE)</v>
      </c>
      <c r="I251" s="19">
        <v>1357</v>
      </c>
      <c r="J251" s="19" t="s">
        <v>4542</v>
      </c>
    </row>
    <row r="252" spans="1:10" x14ac:dyDescent="0.2">
      <c r="A252" s="3">
        <v>8032</v>
      </c>
      <c r="B252" s="3" t="s">
        <v>274</v>
      </c>
      <c r="C252" s="3" t="s">
        <v>274</v>
      </c>
      <c r="D252" s="3" t="s">
        <v>7</v>
      </c>
      <c r="E252" s="3" t="str">
        <v>Romont (BE)</v>
      </c>
      <c r="I252" s="19">
        <v>1358</v>
      </c>
      <c r="J252" s="19" t="s">
        <v>4542</v>
      </c>
    </row>
    <row r="253" spans="1:10" x14ac:dyDescent="0.2">
      <c r="A253" s="3">
        <v>8037</v>
      </c>
      <c r="B253" s="3" t="s">
        <v>274</v>
      </c>
      <c r="C253" s="3" t="s">
        <v>274</v>
      </c>
      <c r="D253" s="3" t="s">
        <v>7</v>
      </c>
      <c r="E253" s="3" t="str">
        <v>Saint-Imier</v>
      </c>
      <c r="I253" s="19">
        <v>1372</v>
      </c>
      <c r="J253" s="19" t="s">
        <v>4539</v>
      </c>
    </row>
    <row r="254" spans="1:10" x14ac:dyDescent="0.2">
      <c r="A254" s="3">
        <v>8038</v>
      </c>
      <c r="B254" s="3" t="s">
        <v>274</v>
      </c>
      <c r="C254" s="3" t="s">
        <v>274</v>
      </c>
      <c r="D254" s="3" t="s">
        <v>7</v>
      </c>
      <c r="E254" s="3" t="str">
        <v>Sonceboz-Sombeval</v>
      </c>
      <c r="I254" s="19">
        <v>1373</v>
      </c>
      <c r="J254" s="19" t="s">
        <v>4539</v>
      </c>
    </row>
    <row r="255" spans="1:10" x14ac:dyDescent="0.2">
      <c r="A255" s="3">
        <v>8041</v>
      </c>
      <c r="B255" s="3" t="s">
        <v>274</v>
      </c>
      <c r="C255" s="3" t="s">
        <v>274</v>
      </c>
      <c r="D255" s="3" t="s">
        <v>7</v>
      </c>
      <c r="E255" s="3" t="str">
        <v>Sonvilier</v>
      </c>
      <c r="I255" s="19">
        <v>1374</v>
      </c>
      <c r="J255" s="19" t="s">
        <v>4539</v>
      </c>
    </row>
    <row r="256" spans="1:10" x14ac:dyDescent="0.2">
      <c r="A256" s="3">
        <v>8044</v>
      </c>
      <c r="B256" s="3" t="s">
        <v>274</v>
      </c>
      <c r="C256" s="3" t="s">
        <v>274</v>
      </c>
      <c r="D256" s="3" t="s">
        <v>7</v>
      </c>
      <c r="E256" s="3" t="str">
        <v>Tramelan</v>
      </c>
      <c r="I256" s="19">
        <v>1375</v>
      </c>
      <c r="J256" s="19" t="s">
        <v>4539</v>
      </c>
    </row>
    <row r="257" spans="1:10" x14ac:dyDescent="0.2">
      <c r="A257" s="3">
        <v>8045</v>
      </c>
      <c r="B257" s="3" t="s">
        <v>274</v>
      </c>
      <c r="C257" s="3" t="s">
        <v>274</v>
      </c>
      <c r="D257" s="3" t="s">
        <v>7</v>
      </c>
      <c r="E257" s="3" t="str">
        <v>Villeret</v>
      </c>
      <c r="I257" s="19">
        <v>1376</v>
      </c>
      <c r="J257" s="19" t="s">
        <v>4539</v>
      </c>
    </row>
    <row r="258" spans="1:10" x14ac:dyDescent="0.2">
      <c r="A258" s="3">
        <v>8046</v>
      </c>
      <c r="B258" s="3" t="s">
        <v>274</v>
      </c>
      <c r="C258" s="3" t="s">
        <v>274</v>
      </c>
      <c r="D258" s="3" t="s">
        <v>7</v>
      </c>
      <c r="E258" s="3" t="str">
        <v>Sauge</v>
      </c>
      <c r="I258" s="19">
        <v>1377</v>
      </c>
      <c r="J258" s="19" t="s">
        <v>4539</v>
      </c>
    </row>
    <row r="259" spans="1:10" x14ac:dyDescent="0.2">
      <c r="A259" s="3">
        <v>8047</v>
      </c>
      <c r="B259" s="3" t="s">
        <v>274</v>
      </c>
      <c r="C259" s="3" t="s">
        <v>274</v>
      </c>
      <c r="D259" s="3" t="s">
        <v>7</v>
      </c>
      <c r="E259" s="3" t="str">
        <v>Péry-La Heutte</v>
      </c>
      <c r="I259" s="19">
        <v>1400</v>
      </c>
      <c r="J259" s="19" t="s">
        <v>4539</v>
      </c>
    </row>
    <row r="260" spans="1:10" x14ac:dyDescent="0.2">
      <c r="A260" s="3">
        <v>8048</v>
      </c>
      <c r="B260" s="3" t="s">
        <v>274</v>
      </c>
      <c r="C260" s="3" t="s">
        <v>274</v>
      </c>
      <c r="D260" s="3" t="s">
        <v>7</v>
      </c>
      <c r="E260" s="3" t="str">
        <v>Brüttelen</v>
      </c>
      <c r="I260" s="19">
        <v>1404</v>
      </c>
      <c r="J260" s="19" t="s">
        <v>4540</v>
      </c>
    </row>
    <row r="261" spans="1:10" x14ac:dyDescent="0.2">
      <c r="A261" s="3">
        <v>8049</v>
      </c>
      <c r="B261" s="3" t="s">
        <v>274</v>
      </c>
      <c r="C261" s="3" t="s">
        <v>274</v>
      </c>
      <c r="D261" s="3" t="s">
        <v>7</v>
      </c>
      <c r="E261" s="3" t="str">
        <v>Erlach</v>
      </c>
      <c r="I261" s="19">
        <v>1405</v>
      </c>
      <c r="J261" s="19" t="s">
        <v>4540</v>
      </c>
    </row>
    <row r="262" spans="1:10" x14ac:dyDescent="0.2">
      <c r="A262" s="3">
        <v>8050</v>
      </c>
      <c r="B262" s="3" t="s">
        <v>274</v>
      </c>
      <c r="C262" s="3" t="s">
        <v>274</v>
      </c>
      <c r="D262" s="3" t="s">
        <v>7</v>
      </c>
      <c r="E262" s="3" t="str">
        <v>Finsterhennen</v>
      </c>
      <c r="I262" s="19">
        <v>1406</v>
      </c>
      <c r="J262" s="19" t="s">
        <v>4540</v>
      </c>
    </row>
    <row r="263" spans="1:10" x14ac:dyDescent="0.2">
      <c r="A263" s="3">
        <v>8051</v>
      </c>
      <c r="B263" s="3" t="s">
        <v>274</v>
      </c>
      <c r="C263" s="3" t="s">
        <v>274</v>
      </c>
      <c r="D263" s="3" t="s">
        <v>7</v>
      </c>
      <c r="E263" s="3" t="str">
        <v>Gals</v>
      </c>
      <c r="I263" s="19">
        <v>1407</v>
      </c>
      <c r="J263" s="19" t="s">
        <v>4540</v>
      </c>
    </row>
    <row r="264" spans="1:10" x14ac:dyDescent="0.2">
      <c r="A264" s="3">
        <v>8052</v>
      </c>
      <c r="B264" s="3" t="s">
        <v>274</v>
      </c>
      <c r="C264" s="3" t="s">
        <v>274</v>
      </c>
      <c r="D264" s="3" t="s">
        <v>7</v>
      </c>
      <c r="E264" s="3" t="str">
        <v>Gampelen</v>
      </c>
      <c r="I264" s="19">
        <v>1408</v>
      </c>
      <c r="J264" s="19" t="s">
        <v>4540</v>
      </c>
    </row>
    <row r="265" spans="1:10" x14ac:dyDescent="0.2">
      <c r="A265" s="3">
        <v>8053</v>
      </c>
      <c r="B265" s="3" t="s">
        <v>274</v>
      </c>
      <c r="C265" s="3" t="s">
        <v>274</v>
      </c>
      <c r="D265" s="3" t="s">
        <v>7</v>
      </c>
      <c r="E265" s="3" t="str">
        <v>Ins</v>
      </c>
      <c r="I265" s="19">
        <v>1409</v>
      </c>
      <c r="J265" s="19" t="s">
        <v>4540</v>
      </c>
    </row>
    <row r="266" spans="1:10" x14ac:dyDescent="0.2">
      <c r="A266" s="3">
        <v>8055</v>
      </c>
      <c r="B266" s="3" t="s">
        <v>274</v>
      </c>
      <c r="C266" s="3" t="s">
        <v>274</v>
      </c>
      <c r="D266" s="3" t="s">
        <v>7</v>
      </c>
      <c r="E266" s="3" t="str">
        <v>Lüscherz</v>
      </c>
      <c r="I266" s="19">
        <v>1410</v>
      </c>
      <c r="J266" s="19" t="s">
        <v>4540</v>
      </c>
    </row>
    <row r="267" spans="1:10" x14ac:dyDescent="0.2">
      <c r="A267" s="3">
        <v>8057</v>
      </c>
      <c r="B267" s="3" t="s">
        <v>274</v>
      </c>
      <c r="C267" s="3" t="s">
        <v>274</v>
      </c>
      <c r="D267" s="3" t="s">
        <v>7</v>
      </c>
      <c r="E267" s="3" t="str">
        <v>Müntschemier</v>
      </c>
      <c r="I267" s="19">
        <v>1412</v>
      </c>
      <c r="J267" s="19" t="s">
        <v>4540</v>
      </c>
    </row>
    <row r="268" spans="1:10" x14ac:dyDescent="0.2">
      <c r="A268" s="3">
        <v>8064</v>
      </c>
      <c r="B268" s="3" t="s">
        <v>274</v>
      </c>
      <c r="C268" s="3" t="s">
        <v>274</v>
      </c>
      <c r="D268" s="3" t="s">
        <v>7</v>
      </c>
      <c r="E268" s="3" t="str">
        <v>Siselen</v>
      </c>
      <c r="I268" s="19">
        <v>1413</v>
      </c>
      <c r="J268" s="19" t="s">
        <v>4540</v>
      </c>
    </row>
    <row r="269" spans="1:10" x14ac:dyDescent="0.2">
      <c r="A269" s="3">
        <v>8468</v>
      </c>
      <c r="B269" s="3" t="s">
        <v>275</v>
      </c>
      <c r="C269" s="3" t="s">
        <v>276</v>
      </c>
      <c r="D269" s="3" t="s">
        <v>7</v>
      </c>
      <c r="E269" s="3" t="str">
        <v>Treiten</v>
      </c>
      <c r="I269" s="19">
        <v>1415</v>
      </c>
      <c r="J269" s="19" t="s">
        <v>4540</v>
      </c>
    </row>
    <row r="270" spans="1:10" x14ac:dyDescent="0.2">
      <c r="A270" s="3">
        <v>8468</v>
      </c>
      <c r="B270" s="3" t="s">
        <v>277</v>
      </c>
      <c r="C270" s="3" t="s">
        <v>276</v>
      </c>
      <c r="D270" s="3" t="s">
        <v>7</v>
      </c>
      <c r="E270" s="3" t="str">
        <v>Tschugg</v>
      </c>
      <c r="I270" s="19">
        <v>1416</v>
      </c>
      <c r="J270" s="19" t="s">
        <v>4539</v>
      </c>
    </row>
    <row r="271" spans="1:10" x14ac:dyDescent="0.2">
      <c r="A271" s="3">
        <v>8476</v>
      </c>
      <c r="B271" s="3" t="s">
        <v>278</v>
      </c>
      <c r="C271" s="3" t="s">
        <v>276</v>
      </c>
      <c r="D271" s="3" t="s">
        <v>7</v>
      </c>
      <c r="E271" s="3" t="str">
        <v>Vinelz</v>
      </c>
      <c r="I271" s="19">
        <v>1417</v>
      </c>
      <c r="J271" s="19" t="s">
        <v>4539</v>
      </c>
    </row>
    <row r="272" spans="1:10" x14ac:dyDescent="0.2">
      <c r="A272" s="3">
        <v>8477</v>
      </c>
      <c r="B272" s="3" t="s">
        <v>279</v>
      </c>
      <c r="C272" s="3" t="s">
        <v>276</v>
      </c>
      <c r="D272" s="3" t="s">
        <v>7</v>
      </c>
      <c r="E272" s="3" t="str">
        <v>Bätterkinden</v>
      </c>
      <c r="I272" s="19">
        <v>1418</v>
      </c>
      <c r="J272" s="19" t="s">
        <v>4539</v>
      </c>
    </row>
    <row r="273" spans="1:10" x14ac:dyDescent="0.2">
      <c r="A273" s="3">
        <v>8525</v>
      </c>
      <c r="B273" s="3" t="s">
        <v>280</v>
      </c>
      <c r="C273" s="3" t="s">
        <v>276</v>
      </c>
      <c r="D273" s="3" t="s">
        <v>7</v>
      </c>
      <c r="E273" s="3" t="str">
        <v>Deisswil bei Münchenbuchsee</v>
      </c>
      <c r="I273" s="19">
        <v>1420</v>
      </c>
      <c r="J273" s="19" t="s">
        <v>4540</v>
      </c>
    </row>
    <row r="274" spans="1:10" x14ac:dyDescent="0.2">
      <c r="A274" s="3">
        <v>8804</v>
      </c>
      <c r="B274" s="3" t="s">
        <v>281</v>
      </c>
      <c r="C274" s="3" t="s">
        <v>282</v>
      </c>
      <c r="D274" s="3" t="s">
        <v>7</v>
      </c>
      <c r="E274" s="3" t="str">
        <v>Diemerswil</v>
      </c>
      <c r="I274" s="19">
        <v>1421</v>
      </c>
      <c r="J274" s="19" t="s">
        <v>4542</v>
      </c>
    </row>
    <row r="275" spans="1:10" x14ac:dyDescent="0.2">
      <c r="A275" s="3">
        <v>8820</v>
      </c>
      <c r="B275" s="3" t="s">
        <v>282</v>
      </c>
      <c r="C275" s="3" t="s">
        <v>282</v>
      </c>
      <c r="D275" s="3" t="s">
        <v>7</v>
      </c>
      <c r="E275" s="3" t="str">
        <v>Fraubrunnen</v>
      </c>
      <c r="I275" s="19">
        <v>1422</v>
      </c>
      <c r="J275" s="19" t="s">
        <v>4540</v>
      </c>
    </row>
    <row r="276" spans="1:10" x14ac:dyDescent="0.2">
      <c r="A276" s="3">
        <v>8824</v>
      </c>
      <c r="B276" s="3" t="s">
        <v>283</v>
      </c>
      <c r="C276" s="3" t="s">
        <v>282</v>
      </c>
      <c r="D276" s="3" t="s">
        <v>7</v>
      </c>
      <c r="E276" s="3" t="str">
        <v>Jegenstorf</v>
      </c>
      <c r="I276" s="19">
        <v>1423</v>
      </c>
      <c r="J276" s="19" t="s">
        <v>4540</v>
      </c>
    </row>
    <row r="277" spans="1:10" x14ac:dyDescent="0.2">
      <c r="A277" s="3">
        <v>8825</v>
      </c>
      <c r="B277" s="3" t="s">
        <v>284</v>
      </c>
      <c r="C277" s="3" t="s">
        <v>282</v>
      </c>
      <c r="D277" s="3" t="s">
        <v>7</v>
      </c>
      <c r="E277" s="3" t="str">
        <v>Iffwil</v>
      </c>
      <c r="I277" s="19">
        <v>1424</v>
      </c>
      <c r="J277" s="19" t="s">
        <v>4540</v>
      </c>
    </row>
    <row r="278" spans="1:10" x14ac:dyDescent="0.2">
      <c r="A278" s="3">
        <v>8353</v>
      </c>
      <c r="B278" s="3" t="s">
        <v>285</v>
      </c>
      <c r="C278" s="3" t="s">
        <v>285</v>
      </c>
      <c r="D278" s="3" t="s">
        <v>7</v>
      </c>
      <c r="E278" s="3" t="str">
        <v>Mattstetten</v>
      </c>
      <c r="I278" s="19">
        <v>1425</v>
      </c>
      <c r="J278" s="19" t="s">
        <v>4540</v>
      </c>
    </row>
    <row r="279" spans="1:10" x14ac:dyDescent="0.2">
      <c r="A279" s="3">
        <v>8354</v>
      </c>
      <c r="B279" s="3" t="s">
        <v>286</v>
      </c>
      <c r="C279" s="3" t="s">
        <v>285</v>
      </c>
      <c r="D279" s="3" t="s">
        <v>7</v>
      </c>
      <c r="E279" s="3" t="str">
        <v>Moosseedorf</v>
      </c>
      <c r="I279" s="19">
        <v>1426</v>
      </c>
      <c r="J279" s="19" t="s">
        <v>4540</v>
      </c>
    </row>
    <row r="280" spans="1:10" x14ac:dyDescent="0.2">
      <c r="A280" s="3">
        <v>8354</v>
      </c>
      <c r="B280" s="3" t="s">
        <v>287</v>
      </c>
      <c r="C280" s="3" t="s">
        <v>285</v>
      </c>
      <c r="D280" s="3" t="s">
        <v>7</v>
      </c>
      <c r="E280" s="3" t="str">
        <v>Münchenbuchsee</v>
      </c>
      <c r="I280" s="19">
        <v>1427</v>
      </c>
      <c r="J280" s="19" t="s">
        <v>4540</v>
      </c>
    </row>
    <row r="281" spans="1:10" x14ac:dyDescent="0.2">
      <c r="A281" s="3">
        <v>8135</v>
      </c>
      <c r="B281" s="3" t="s">
        <v>288</v>
      </c>
      <c r="C281" s="3" t="s">
        <v>289</v>
      </c>
      <c r="D281" s="3" t="s">
        <v>7</v>
      </c>
      <c r="E281" s="3" t="str">
        <v>Urtenen-Schönbühl</v>
      </c>
      <c r="I281" s="19">
        <v>1428</v>
      </c>
      <c r="J281" s="19" t="s">
        <v>4540</v>
      </c>
    </row>
    <row r="282" spans="1:10" x14ac:dyDescent="0.2">
      <c r="A282" s="3">
        <v>8135</v>
      </c>
      <c r="B282" s="3" t="s">
        <v>290</v>
      </c>
      <c r="C282" s="3" t="s">
        <v>289</v>
      </c>
      <c r="D282" s="3" t="s">
        <v>7</v>
      </c>
      <c r="E282" s="3" t="str">
        <v>Utzenstorf</v>
      </c>
      <c r="I282" s="19">
        <v>1429</v>
      </c>
      <c r="J282" s="19" t="s">
        <v>4540</v>
      </c>
    </row>
    <row r="283" spans="1:10" x14ac:dyDescent="0.2">
      <c r="A283" s="3">
        <v>8810</v>
      </c>
      <c r="B283" s="3" t="s">
        <v>289</v>
      </c>
      <c r="C283" s="3" t="s">
        <v>289</v>
      </c>
      <c r="D283" s="3" t="s">
        <v>7</v>
      </c>
      <c r="E283" s="3" t="str">
        <v>Wiggiswil</v>
      </c>
      <c r="I283" s="19">
        <v>1430</v>
      </c>
      <c r="J283" s="19" t="s">
        <v>4540</v>
      </c>
    </row>
    <row r="284" spans="1:10" x14ac:dyDescent="0.2">
      <c r="A284" s="3">
        <v>8815</v>
      </c>
      <c r="B284" s="3" t="s">
        <v>291</v>
      </c>
      <c r="C284" s="3" t="s">
        <v>289</v>
      </c>
      <c r="D284" s="3" t="s">
        <v>7</v>
      </c>
      <c r="E284" s="3" t="str">
        <v>Wiler bei Utzenstorf</v>
      </c>
      <c r="I284" s="19">
        <v>1431</v>
      </c>
      <c r="J284" s="19" t="s">
        <v>4542</v>
      </c>
    </row>
    <row r="285" spans="1:10" x14ac:dyDescent="0.2">
      <c r="A285" s="3">
        <v>8816</v>
      </c>
      <c r="B285" s="3" t="s">
        <v>292</v>
      </c>
      <c r="C285" s="3" t="s">
        <v>289</v>
      </c>
      <c r="D285" s="3" t="s">
        <v>7</v>
      </c>
      <c r="E285" s="3" t="str">
        <v>Zielebach</v>
      </c>
      <c r="I285" s="19">
        <v>1432</v>
      </c>
      <c r="J285" s="19" t="s">
        <v>4539</v>
      </c>
    </row>
    <row r="286" spans="1:10" x14ac:dyDescent="0.2">
      <c r="A286" s="3">
        <v>8307</v>
      </c>
      <c r="B286" s="3" t="s">
        <v>293</v>
      </c>
      <c r="C286" s="3" t="s">
        <v>294</v>
      </c>
      <c r="D286" s="3" t="s">
        <v>7</v>
      </c>
      <c r="E286" s="3" t="str">
        <v>Zuzwil (BE)</v>
      </c>
      <c r="I286" s="19">
        <v>1433</v>
      </c>
      <c r="J286" s="19" t="s">
        <v>4539</v>
      </c>
    </row>
    <row r="287" spans="1:10" x14ac:dyDescent="0.2">
      <c r="A287" s="3">
        <v>8307</v>
      </c>
      <c r="B287" s="3" t="s">
        <v>295</v>
      </c>
      <c r="C287" s="3" t="s">
        <v>294</v>
      </c>
      <c r="D287" s="3" t="s">
        <v>7</v>
      </c>
      <c r="E287" s="3" t="str">
        <v>Adelboden</v>
      </c>
      <c r="I287" s="19">
        <v>1434</v>
      </c>
      <c r="J287" s="19" t="s">
        <v>4539</v>
      </c>
    </row>
    <row r="288" spans="1:10" x14ac:dyDescent="0.2">
      <c r="A288" s="3">
        <v>8308</v>
      </c>
      <c r="B288" s="3" t="s">
        <v>296</v>
      </c>
      <c r="C288" s="3" t="s">
        <v>294</v>
      </c>
      <c r="D288" s="3" t="s">
        <v>7</v>
      </c>
      <c r="E288" s="3" t="str">
        <v>Aeschi bei Spiez</v>
      </c>
      <c r="I288" s="19">
        <v>1435</v>
      </c>
      <c r="J288" s="19" t="s">
        <v>4539</v>
      </c>
    </row>
    <row r="289" spans="1:10" x14ac:dyDescent="0.2">
      <c r="A289" s="3">
        <v>8308</v>
      </c>
      <c r="B289" s="3" t="s">
        <v>297</v>
      </c>
      <c r="C289" s="3" t="s">
        <v>294</v>
      </c>
      <c r="D289" s="3" t="s">
        <v>7</v>
      </c>
      <c r="E289" s="3" t="str">
        <v>Frutigen</v>
      </c>
      <c r="I289" s="19">
        <v>1436</v>
      </c>
      <c r="J289" s="19" t="s">
        <v>4539</v>
      </c>
    </row>
    <row r="290" spans="1:10" x14ac:dyDescent="0.2">
      <c r="A290" s="3">
        <v>8314</v>
      </c>
      <c r="B290" s="3" t="s">
        <v>298</v>
      </c>
      <c r="C290" s="3" t="s">
        <v>294</v>
      </c>
      <c r="D290" s="3" t="s">
        <v>7</v>
      </c>
      <c r="E290" s="3" t="str">
        <v>Kandergrund</v>
      </c>
      <c r="I290" s="19">
        <v>1437</v>
      </c>
      <c r="J290" s="19" t="s">
        <v>4539</v>
      </c>
    </row>
    <row r="291" spans="1:10" x14ac:dyDescent="0.2">
      <c r="A291" s="3">
        <v>8493</v>
      </c>
      <c r="B291" s="3" t="s">
        <v>299</v>
      </c>
      <c r="C291" s="3" t="s">
        <v>300</v>
      </c>
      <c r="D291" s="3" t="s">
        <v>7</v>
      </c>
      <c r="E291" s="3" t="str">
        <v>Kandersteg</v>
      </c>
      <c r="I291" s="19">
        <v>1438</v>
      </c>
      <c r="J291" s="19" t="s">
        <v>4539</v>
      </c>
    </row>
    <row r="292" spans="1:10" x14ac:dyDescent="0.2">
      <c r="A292" s="3">
        <v>8494</v>
      </c>
      <c r="B292" s="3" t="s">
        <v>300</v>
      </c>
      <c r="C292" s="3" t="s">
        <v>300</v>
      </c>
      <c r="D292" s="3" t="s">
        <v>7</v>
      </c>
      <c r="E292" s="3" t="str">
        <v>Krattigen</v>
      </c>
      <c r="I292" s="19">
        <v>1439</v>
      </c>
      <c r="J292" s="19" t="s">
        <v>4542</v>
      </c>
    </row>
    <row r="293" spans="1:10" x14ac:dyDescent="0.2">
      <c r="A293" s="3">
        <v>8499</v>
      </c>
      <c r="B293" s="3" t="s">
        <v>301</v>
      </c>
      <c r="C293" s="3" t="s">
        <v>300</v>
      </c>
      <c r="D293" s="3" t="s">
        <v>7</v>
      </c>
      <c r="E293" s="3" t="str">
        <v>Reichenbach im Kandertal</v>
      </c>
      <c r="I293" s="19">
        <v>1441</v>
      </c>
      <c r="J293" s="19" t="s">
        <v>4540</v>
      </c>
    </row>
    <row r="294" spans="1:10" x14ac:dyDescent="0.2">
      <c r="A294" s="3">
        <v>8542</v>
      </c>
      <c r="B294" s="3" t="s">
        <v>302</v>
      </c>
      <c r="C294" s="3" t="s">
        <v>302</v>
      </c>
      <c r="D294" s="3" t="s">
        <v>7</v>
      </c>
      <c r="E294" s="3" t="str">
        <v>Beatenberg</v>
      </c>
      <c r="I294" s="19">
        <v>1442</v>
      </c>
      <c r="J294" s="19" t="s">
        <v>4539</v>
      </c>
    </row>
    <row r="295" spans="1:10" x14ac:dyDescent="0.2">
      <c r="A295" s="3">
        <v>8543</v>
      </c>
      <c r="B295" s="3" t="s">
        <v>303</v>
      </c>
      <c r="C295" s="3" t="s">
        <v>302</v>
      </c>
      <c r="D295" s="3" t="s">
        <v>7</v>
      </c>
      <c r="E295" s="3" t="str">
        <v>Bönigen</v>
      </c>
      <c r="I295" s="19">
        <v>1443</v>
      </c>
      <c r="J295" s="19" t="s">
        <v>4540</v>
      </c>
    </row>
    <row r="296" spans="1:10" x14ac:dyDescent="0.2">
      <c r="A296" s="3">
        <v>8543</v>
      </c>
      <c r="B296" s="3" t="s">
        <v>304</v>
      </c>
      <c r="C296" s="3" t="s">
        <v>302</v>
      </c>
      <c r="D296" s="3" t="s">
        <v>7</v>
      </c>
      <c r="E296" s="3" t="str">
        <v>Brienz (BE)</v>
      </c>
      <c r="I296" s="19">
        <v>1445</v>
      </c>
      <c r="J296" s="19" t="s">
        <v>4542</v>
      </c>
    </row>
    <row r="297" spans="1:10" x14ac:dyDescent="0.2">
      <c r="A297" s="3">
        <v>8543</v>
      </c>
      <c r="B297" s="3" t="s">
        <v>305</v>
      </c>
      <c r="C297" s="3" t="s">
        <v>302</v>
      </c>
      <c r="D297" s="3" t="s">
        <v>7</v>
      </c>
      <c r="E297" s="3" t="str">
        <v>Brienzwiler</v>
      </c>
      <c r="I297" s="19">
        <v>1446</v>
      </c>
      <c r="J297" s="19" t="s">
        <v>4542</v>
      </c>
    </row>
    <row r="298" spans="1:10" x14ac:dyDescent="0.2">
      <c r="A298" s="3">
        <v>8544</v>
      </c>
      <c r="B298" s="3" t="s">
        <v>306</v>
      </c>
      <c r="C298" s="3" t="s">
        <v>302</v>
      </c>
      <c r="D298" s="3" t="s">
        <v>7</v>
      </c>
      <c r="E298" s="3" t="str">
        <v>Därligen</v>
      </c>
      <c r="I298" s="19">
        <v>1450</v>
      </c>
      <c r="J298" s="19" t="s">
        <v>4542</v>
      </c>
    </row>
    <row r="299" spans="1:10" x14ac:dyDescent="0.2">
      <c r="A299" s="3">
        <v>8546</v>
      </c>
      <c r="B299" s="3" t="s">
        <v>307</v>
      </c>
      <c r="C299" s="3" t="s">
        <v>302</v>
      </c>
      <c r="D299" s="3" t="s">
        <v>7</v>
      </c>
      <c r="E299" s="3" t="str">
        <v>Grindelwald</v>
      </c>
      <c r="I299" s="19">
        <v>1452</v>
      </c>
      <c r="J299" s="19" t="s">
        <v>4542</v>
      </c>
    </row>
    <row r="300" spans="1:10" x14ac:dyDescent="0.2">
      <c r="A300" s="3">
        <v>3270</v>
      </c>
      <c r="B300" s="3" t="s">
        <v>308</v>
      </c>
      <c r="C300" s="3" t="s">
        <v>308</v>
      </c>
      <c r="D300" s="3" t="s">
        <v>309</v>
      </c>
      <c r="E300" s="3" t="str">
        <v>Gsteigwiler</v>
      </c>
      <c r="I300" s="19">
        <v>1453</v>
      </c>
      <c r="J300" s="19" t="s">
        <v>4542</v>
      </c>
    </row>
    <row r="301" spans="1:10" x14ac:dyDescent="0.2">
      <c r="A301" s="3">
        <v>3282</v>
      </c>
      <c r="B301" s="3" t="s">
        <v>310</v>
      </c>
      <c r="C301" s="3" t="s">
        <v>311</v>
      </c>
      <c r="D301" s="3" t="s">
        <v>309</v>
      </c>
      <c r="E301" s="3" t="str">
        <v>Gündlischwand</v>
      </c>
      <c r="I301" s="19">
        <v>1454</v>
      </c>
      <c r="J301" s="19" t="s">
        <v>4542</v>
      </c>
    </row>
    <row r="302" spans="1:10" x14ac:dyDescent="0.2">
      <c r="A302" s="3">
        <v>3257</v>
      </c>
      <c r="B302" s="3" t="s">
        <v>312</v>
      </c>
      <c r="C302" s="3" t="s">
        <v>312</v>
      </c>
      <c r="D302" s="3" t="s">
        <v>309</v>
      </c>
      <c r="E302" s="3" t="str">
        <v>Habkern</v>
      </c>
      <c r="I302" s="19">
        <v>1462</v>
      </c>
      <c r="J302" s="19" t="s">
        <v>4540</v>
      </c>
    </row>
    <row r="303" spans="1:10" x14ac:dyDescent="0.2">
      <c r="A303" s="3">
        <v>3257</v>
      </c>
      <c r="B303" s="3" t="s">
        <v>313</v>
      </c>
      <c r="C303" s="3" t="s">
        <v>312</v>
      </c>
      <c r="D303" s="3" t="s">
        <v>309</v>
      </c>
      <c r="E303" s="3" t="str">
        <v>Hofstetten bei Brienz</v>
      </c>
      <c r="I303" s="19">
        <v>1463</v>
      </c>
      <c r="J303" s="19" t="s">
        <v>4540</v>
      </c>
    </row>
    <row r="304" spans="1:10" x14ac:dyDescent="0.2">
      <c r="A304" s="3">
        <v>3262</v>
      </c>
      <c r="B304" s="3" t="s">
        <v>314</v>
      </c>
      <c r="C304" s="3" t="s">
        <v>312</v>
      </c>
      <c r="D304" s="3" t="s">
        <v>309</v>
      </c>
      <c r="E304" s="3" t="str">
        <v>Interlaken</v>
      </c>
      <c r="I304" s="19">
        <v>1464</v>
      </c>
      <c r="J304" s="19" t="s">
        <v>4540</v>
      </c>
    </row>
    <row r="305" spans="1:10" x14ac:dyDescent="0.2">
      <c r="A305" s="3">
        <v>3207</v>
      </c>
      <c r="B305" s="3" t="s">
        <v>315</v>
      </c>
      <c r="C305" s="3" t="s">
        <v>316</v>
      </c>
      <c r="D305" s="3" t="s">
        <v>309</v>
      </c>
      <c r="E305" s="3" t="str">
        <v>Iseltwald</v>
      </c>
      <c r="I305" s="19">
        <v>1468</v>
      </c>
      <c r="J305" s="19" t="s">
        <v>4540</v>
      </c>
    </row>
    <row r="306" spans="1:10" x14ac:dyDescent="0.2">
      <c r="A306" s="3">
        <v>3283</v>
      </c>
      <c r="B306" s="3" t="s">
        <v>316</v>
      </c>
      <c r="C306" s="3" t="s">
        <v>316</v>
      </c>
      <c r="D306" s="3" t="s">
        <v>309</v>
      </c>
      <c r="E306" s="3" t="str">
        <v>Lauterbrunnen</v>
      </c>
      <c r="I306" s="19">
        <v>1470</v>
      </c>
      <c r="J306" s="19" t="s">
        <v>4540</v>
      </c>
    </row>
    <row r="307" spans="1:10" x14ac:dyDescent="0.2">
      <c r="A307" s="3">
        <v>3283</v>
      </c>
      <c r="B307" s="3" t="s">
        <v>317</v>
      </c>
      <c r="C307" s="3" t="s">
        <v>316</v>
      </c>
      <c r="D307" s="3" t="s">
        <v>309</v>
      </c>
      <c r="E307" s="3" t="str">
        <v>Leissigen</v>
      </c>
      <c r="I307" s="19">
        <v>1473</v>
      </c>
      <c r="J307" s="19" t="s">
        <v>4540</v>
      </c>
    </row>
    <row r="308" spans="1:10" x14ac:dyDescent="0.2">
      <c r="A308" s="3">
        <v>3273</v>
      </c>
      <c r="B308" s="3" t="s">
        <v>318</v>
      </c>
      <c r="C308" s="3" t="s">
        <v>318</v>
      </c>
      <c r="D308" s="3" t="s">
        <v>309</v>
      </c>
      <c r="E308" s="3" t="str">
        <v>Lütschental</v>
      </c>
      <c r="I308" s="19">
        <v>1474</v>
      </c>
      <c r="J308" s="19" t="s">
        <v>4540</v>
      </c>
    </row>
    <row r="309" spans="1:10" x14ac:dyDescent="0.2">
      <c r="A309" s="3">
        <v>3250</v>
      </c>
      <c r="B309" s="3" t="s">
        <v>319</v>
      </c>
      <c r="C309" s="3" t="s">
        <v>319</v>
      </c>
      <c r="D309" s="3" t="s">
        <v>309</v>
      </c>
      <c r="E309" s="3" t="str">
        <v>Matten bei Interlaken</v>
      </c>
      <c r="I309" s="19">
        <v>1475</v>
      </c>
      <c r="J309" s="19" t="s">
        <v>4540</v>
      </c>
    </row>
    <row r="310" spans="1:10" x14ac:dyDescent="0.2">
      <c r="A310" s="3">
        <v>3292</v>
      </c>
      <c r="B310" s="3" t="s">
        <v>320</v>
      </c>
      <c r="C310" s="3" t="s">
        <v>319</v>
      </c>
      <c r="D310" s="3" t="s">
        <v>309</v>
      </c>
      <c r="E310" s="3" t="str">
        <v>Niederried bei Interlaken</v>
      </c>
      <c r="I310" s="19">
        <v>1482</v>
      </c>
      <c r="J310" s="19" t="s">
        <v>4540</v>
      </c>
    </row>
    <row r="311" spans="1:10" x14ac:dyDescent="0.2">
      <c r="A311" s="3">
        <v>3042</v>
      </c>
      <c r="B311" s="3" t="s">
        <v>321</v>
      </c>
      <c r="C311" s="3" t="s">
        <v>322</v>
      </c>
      <c r="D311" s="3" t="s">
        <v>309</v>
      </c>
      <c r="E311" s="3" t="str">
        <v>Oberried am Brienzersee</v>
      </c>
      <c r="I311" s="19">
        <v>1483</v>
      </c>
      <c r="J311" s="19" t="s">
        <v>4540</v>
      </c>
    </row>
    <row r="312" spans="1:10" x14ac:dyDescent="0.2">
      <c r="A312" s="3">
        <v>3045</v>
      </c>
      <c r="B312" s="3" t="s">
        <v>322</v>
      </c>
      <c r="C312" s="3" t="s">
        <v>322</v>
      </c>
      <c r="D312" s="3" t="s">
        <v>309</v>
      </c>
      <c r="E312" s="3" t="str">
        <v>Ringgenberg (BE)</v>
      </c>
      <c r="I312" s="19">
        <v>1484</v>
      </c>
      <c r="J312" s="19" t="s">
        <v>4540</v>
      </c>
    </row>
    <row r="313" spans="1:10" x14ac:dyDescent="0.2">
      <c r="A313" s="3">
        <v>3046</v>
      </c>
      <c r="B313" s="3" t="s">
        <v>323</v>
      </c>
      <c r="C313" s="3" t="s">
        <v>322</v>
      </c>
      <c r="D313" s="3" t="s">
        <v>309</v>
      </c>
      <c r="E313" s="3" t="str">
        <v>Saxeten</v>
      </c>
      <c r="I313" s="19">
        <v>1485</v>
      </c>
      <c r="J313" s="19" t="s">
        <v>4540</v>
      </c>
    </row>
    <row r="314" spans="1:10" x14ac:dyDescent="0.2">
      <c r="A314" s="3">
        <v>3036</v>
      </c>
      <c r="B314" s="3" t="s">
        <v>324</v>
      </c>
      <c r="C314" s="3" t="s">
        <v>325</v>
      </c>
      <c r="D314" s="3" t="s">
        <v>309</v>
      </c>
      <c r="E314" s="3" t="str">
        <v>Schwanden bei Brienz</v>
      </c>
      <c r="I314" s="19">
        <v>1486</v>
      </c>
      <c r="J314" s="19" t="s">
        <v>4540</v>
      </c>
    </row>
    <row r="315" spans="1:10" x14ac:dyDescent="0.2">
      <c r="A315" s="3">
        <v>3271</v>
      </c>
      <c r="B315" s="3" t="s">
        <v>326</v>
      </c>
      <c r="C315" s="3" t="s">
        <v>325</v>
      </c>
      <c r="D315" s="3" t="s">
        <v>309</v>
      </c>
      <c r="E315" s="3" t="str">
        <v>Unterseen</v>
      </c>
      <c r="I315" s="19">
        <v>1489</v>
      </c>
      <c r="J315" s="19" t="s">
        <v>4540</v>
      </c>
    </row>
    <row r="316" spans="1:10" x14ac:dyDescent="0.2">
      <c r="A316" s="3">
        <v>3053</v>
      </c>
      <c r="B316" s="3" t="s">
        <v>327</v>
      </c>
      <c r="C316" s="3" t="s">
        <v>328</v>
      </c>
      <c r="D316" s="3" t="s">
        <v>309</v>
      </c>
      <c r="E316" s="3" t="str">
        <v>Wilderswil</v>
      </c>
      <c r="I316" s="19">
        <v>1509</v>
      </c>
      <c r="J316" s="19" t="s">
        <v>4539</v>
      </c>
    </row>
    <row r="317" spans="1:10" x14ac:dyDescent="0.2">
      <c r="A317" s="3">
        <v>3251</v>
      </c>
      <c r="B317" s="3" t="s">
        <v>329</v>
      </c>
      <c r="C317" s="3" t="s">
        <v>328</v>
      </c>
      <c r="D317" s="3" t="s">
        <v>309</v>
      </c>
      <c r="E317" s="3" t="str">
        <v>Arni (BE)</v>
      </c>
      <c r="I317" s="19">
        <v>1510</v>
      </c>
      <c r="J317" s="19" t="s">
        <v>4539</v>
      </c>
    </row>
    <row r="318" spans="1:10" x14ac:dyDescent="0.2">
      <c r="A318" s="3">
        <v>3255</v>
      </c>
      <c r="B318" s="3" t="s">
        <v>330</v>
      </c>
      <c r="C318" s="3" t="s">
        <v>328</v>
      </c>
      <c r="D318" s="3" t="s">
        <v>309</v>
      </c>
      <c r="E318" s="3" t="str">
        <v>Biglen</v>
      </c>
      <c r="I318" s="19">
        <v>1512</v>
      </c>
      <c r="J318" s="19" t="s">
        <v>4540</v>
      </c>
    </row>
    <row r="319" spans="1:10" x14ac:dyDescent="0.2">
      <c r="A319" s="3">
        <v>3256</v>
      </c>
      <c r="B319" s="3" t="s">
        <v>331</v>
      </c>
      <c r="C319" s="3" t="s">
        <v>328</v>
      </c>
      <c r="D319" s="3" t="s">
        <v>309</v>
      </c>
      <c r="E319" s="3" t="str">
        <v>Bowil</v>
      </c>
      <c r="I319" s="19">
        <v>1513</v>
      </c>
      <c r="J319" s="19" t="s">
        <v>4539</v>
      </c>
    </row>
    <row r="320" spans="1:10" x14ac:dyDescent="0.2">
      <c r="A320" s="3">
        <v>3256</v>
      </c>
      <c r="B320" s="3" t="s">
        <v>332</v>
      </c>
      <c r="C320" s="3" t="s">
        <v>328</v>
      </c>
      <c r="D320" s="3" t="s">
        <v>309</v>
      </c>
      <c r="E320" s="3" t="str">
        <v>Brenzikofen</v>
      </c>
      <c r="I320" s="19">
        <v>1514</v>
      </c>
      <c r="J320" s="19" t="s">
        <v>4540</v>
      </c>
    </row>
    <row r="321" spans="1:10" x14ac:dyDescent="0.2">
      <c r="A321" s="3">
        <v>3256</v>
      </c>
      <c r="B321" s="3" t="s">
        <v>333</v>
      </c>
      <c r="C321" s="3" t="s">
        <v>328</v>
      </c>
      <c r="D321" s="3" t="s">
        <v>309</v>
      </c>
      <c r="E321" s="3" t="str">
        <v>Freimettigen</v>
      </c>
      <c r="I321" s="19">
        <v>1515</v>
      </c>
      <c r="J321" s="19" t="s">
        <v>4540</v>
      </c>
    </row>
    <row r="322" spans="1:10" x14ac:dyDescent="0.2">
      <c r="A322" s="3">
        <v>3054</v>
      </c>
      <c r="B322" s="3" t="s">
        <v>334</v>
      </c>
      <c r="C322" s="3" t="s">
        <v>334</v>
      </c>
      <c r="D322" s="3" t="s">
        <v>309</v>
      </c>
      <c r="E322" s="3" t="str">
        <v>Grosshöchstetten</v>
      </c>
      <c r="I322" s="19">
        <v>1521</v>
      </c>
      <c r="J322" s="19" t="s">
        <v>4540</v>
      </c>
    </row>
    <row r="323" spans="1:10" x14ac:dyDescent="0.2">
      <c r="A323" s="3">
        <v>3035</v>
      </c>
      <c r="B323" s="3" t="s">
        <v>335</v>
      </c>
      <c r="C323" s="3" t="s">
        <v>336</v>
      </c>
      <c r="D323" s="3" t="s">
        <v>309</v>
      </c>
      <c r="E323" s="3" t="str">
        <v>Häutligen</v>
      </c>
      <c r="I323" s="19">
        <v>1522</v>
      </c>
      <c r="J323" s="19" t="s">
        <v>4540</v>
      </c>
    </row>
    <row r="324" spans="1:10" x14ac:dyDescent="0.2">
      <c r="A324" s="3">
        <v>3266</v>
      </c>
      <c r="B324" s="3" t="s">
        <v>337</v>
      </c>
      <c r="C324" s="3" t="s">
        <v>336</v>
      </c>
      <c r="D324" s="3" t="s">
        <v>309</v>
      </c>
      <c r="E324" s="3" t="str">
        <v>Herbligen</v>
      </c>
      <c r="I324" s="19">
        <v>1523</v>
      </c>
      <c r="J324" s="19" t="s">
        <v>4540</v>
      </c>
    </row>
    <row r="325" spans="1:10" x14ac:dyDescent="0.2">
      <c r="A325" s="3">
        <v>3267</v>
      </c>
      <c r="B325" s="3" t="s">
        <v>338</v>
      </c>
      <c r="C325" s="3" t="s">
        <v>336</v>
      </c>
      <c r="D325" s="3" t="s">
        <v>309</v>
      </c>
      <c r="E325" s="3" t="str">
        <v>Kiesen</v>
      </c>
      <c r="I325" s="19">
        <v>1524</v>
      </c>
      <c r="J325" s="19" t="s">
        <v>4540</v>
      </c>
    </row>
    <row r="326" spans="1:10" x14ac:dyDescent="0.2">
      <c r="A326" s="3">
        <v>3268</v>
      </c>
      <c r="B326" s="3" t="s">
        <v>339</v>
      </c>
      <c r="C326" s="3" t="s">
        <v>336</v>
      </c>
      <c r="D326" s="3" t="s">
        <v>309</v>
      </c>
      <c r="E326" s="3" t="str">
        <v>Konolfingen</v>
      </c>
      <c r="I326" s="19">
        <v>1525</v>
      </c>
      <c r="J326" s="19" t="s">
        <v>4540</v>
      </c>
    </row>
    <row r="327" spans="1:10" x14ac:dyDescent="0.2">
      <c r="A327" s="3">
        <v>4912</v>
      </c>
      <c r="B327" s="3" t="s">
        <v>340</v>
      </c>
      <c r="C327" s="3" t="s">
        <v>340</v>
      </c>
      <c r="D327" s="3" t="s">
        <v>309</v>
      </c>
      <c r="E327" s="3" t="str">
        <v>Landiswil</v>
      </c>
      <c r="I327" s="19">
        <v>1526</v>
      </c>
      <c r="J327" s="19" t="s">
        <v>4540</v>
      </c>
    </row>
    <row r="328" spans="1:10" x14ac:dyDescent="0.2">
      <c r="A328" s="3">
        <v>4944</v>
      </c>
      <c r="B328" s="3" t="s">
        <v>341</v>
      </c>
      <c r="C328" s="3" t="s">
        <v>341</v>
      </c>
      <c r="D328" s="3" t="s">
        <v>309</v>
      </c>
      <c r="E328" s="3" t="str">
        <v>Linden</v>
      </c>
      <c r="I328" s="19">
        <v>1527</v>
      </c>
      <c r="J328" s="19" t="s">
        <v>4540</v>
      </c>
    </row>
    <row r="329" spans="1:10" x14ac:dyDescent="0.2">
      <c r="A329" s="3">
        <v>4913</v>
      </c>
      <c r="B329" s="3" t="s">
        <v>342</v>
      </c>
      <c r="C329" s="3" t="s">
        <v>342</v>
      </c>
      <c r="D329" s="3" t="s">
        <v>309</v>
      </c>
      <c r="E329" s="3" t="str">
        <v>Mirchel</v>
      </c>
      <c r="I329" s="19">
        <v>1528</v>
      </c>
      <c r="J329" s="19" t="s">
        <v>4540</v>
      </c>
    </row>
    <row r="330" spans="1:10" x14ac:dyDescent="0.2">
      <c r="A330" s="3">
        <v>3368</v>
      </c>
      <c r="B330" s="3" t="s">
        <v>343</v>
      </c>
      <c r="C330" s="3" t="s">
        <v>343</v>
      </c>
      <c r="D330" s="3" t="s">
        <v>309</v>
      </c>
      <c r="E330" s="3" t="str">
        <v>Münsingen</v>
      </c>
      <c r="I330" s="19">
        <v>1529</v>
      </c>
      <c r="J330" s="19" t="s">
        <v>4540</v>
      </c>
    </row>
    <row r="331" spans="1:10" x14ac:dyDescent="0.2">
      <c r="A331" s="3">
        <v>4917</v>
      </c>
      <c r="B331" s="3" t="s">
        <v>344</v>
      </c>
      <c r="C331" s="3" t="s">
        <v>345</v>
      </c>
      <c r="D331" s="3" t="s">
        <v>309</v>
      </c>
      <c r="E331" s="3" t="str">
        <v>Niederhünigen</v>
      </c>
      <c r="I331" s="19">
        <v>1530</v>
      </c>
      <c r="J331" s="19" t="s">
        <v>4540</v>
      </c>
    </row>
    <row r="332" spans="1:10" x14ac:dyDescent="0.2">
      <c r="A332" s="3">
        <v>4955</v>
      </c>
      <c r="B332" s="3" t="s">
        <v>346</v>
      </c>
      <c r="C332" s="3" t="s">
        <v>346</v>
      </c>
      <c r="D332" s="3" t="s">
        <v>309</v>
      </c>
      <c r="E332" s="3" t="str">
        <v>Oberdiessbach</v>
      </c>
      <c r="I332" s="19">
        <v>1532</v>
      </c>
      <c r="J332" s="19" t="s">
        <v>4540</v>
      </c>
    </row>
    <row r="333" spans="1:10" x14ac:dyDescent="0.2">
      <c r="A333" s="3">
        <v>4900</v>
      </c>
      <c r="B333" s="3" t="s">
        <v>347</v>
      </c>
      <c r="C333" s="3" t="s">
        <v>347</v>
      </c>
      <c r="D333" s="3" t="s">
        <v>309</v>
      </c>
      <c r="E333" s="3" t="str">
        <v>Oberthal</v>
      </c>
      <c r="I333" s="19">
        <v>1533</v>
      </c>
      <c r="J333" s="19" t="s">
        <v>4540</v>
      </c>
    </row>
    <row r="334" spans="1:10" x14ac:dyDescent="0.2">
      <c r="A334" s="3">
        <v>4916</v>
      </c>
      <c r="B334" s="3" t="s">
        <v>348</v>
      </c>
      <c r="C334" s="3" t="s">
        <v>347</v>
      </c>
      <c r="D334" s="3" t="s">
        <v>309</v>
      </c>
      <c r="E334" s="3" t="str">
        <v>Oppligen</v>
      </c>
      <c r="I334" s="19">
        <v>1534</v>
      </c>
      <c r="J334" s="19" t="s">
        <v>4540</v>
      </c>
    </row>
    <row r="335" spans="1:10" x14ac:dyDescent="0.2">
      <c r="A335" s="3">
        <v>4924</v>
      </c>
      <c r="B335" s="3" t="s">
        <v>349</v>
      </c>
      <c r="C335" s="3" t="s">
        <v>347</v>
      </c>
      <c r="D335" s="3" t="s">
        <v>309</v>
      </c>
      <c r="E335" s="3" t="str">
        <v>Rubigen</v>
      </c>
      <c r="I335" s="19">
        <v>1535</v>
      </c>
      <c r="J335" s="19" t="s">
        <v>4540</v>
      </c>
    </row>
    <row r="336" spans="1:10" x14ac:dyDescent="0.2">
      <c r="A336" s="3">
        <v>4932</v>
      </c>
      <c r="B336" s="3" t="s">
        <v>350</v>
      </c>
      <c r="C336" s="3" t="s">
        <v>350</v>
      </c>
      <c r="D336" s="3" t="s">
        <v>309</v>
      </c>
      <c r="E336" s="3" t="str">
        <v>Walkringen</v>
      </c>
      <c r="I336" s="19">
        <v>1536</v>
      </c>
      <c r="J336" s="19" t="s">
        <v>4540</v>
      </c>
    </row>
    <row r="337" spans="1:10" x14ac:dyDescent="0.2">
      <c r="A337" s="3">
        <v>4932</v>
      </c>
      <c r="B337" s="3" t="s">
        <v>351</v>
      </c>
      <c r="C337" s="3" t="s">
        <v>352</v>
      </c>
      <c r="D337" s="3" t="s">
        <v>309</v>
      </c>
      <c r="E337" s="3" t="str">
        <v>Worb</v>
      </c>
      <c r="I337" s="19">
        <v>1537</v>
      </c>
      <c r="J337" s="19" t="s">
        <v>4540</v>
      </c>
    </row>
    <row r="338" spans="1:10" x14ac:dyDescent="0.2">
      <c r="A338" s="3">
        <v>4934</v>
      </c>
      <c r="B338" s="3" t="s">
        <v>352</v>
      </c>
      <c r="C338" s="3" t="s">
        <v>352</v>
      </c>
      <c r="D338" s="3" t="s">
        <v>309</v>
      </c>
      <c r="E338" s="3" t="str">
        <v>Zäziwil</v>
      </c>
      <c r="I338" s="19">
        <v>1538</v>
      </c>
      <c r="J338" s="19" t="s">
        <v>4540</v>
      </c>
    </row>
    <row r="339" spans="1:10" x14ac:dyDescent="0.2">
      <c r="A339" s="3">
        <v>4935</v>
      </c>
      <c r="B339" s="3" t="s">
        <v>353</v>
      </c>
      <c r="C339" s="3" t="s">
        <v>352</v>
      </c>
      <c r="D339" s="3" t="s">
        <v>309</v>
      </c>
      <c r="E339" s="3" t="str">
        <v>Oberhünigen</v>
      </c>
      <c r="I339" s="19">
        <v>1541</v>
      </c>
      <c r="J339" s="19" t="s">
        <v>4540</v>
      </c>
    </row>
    <row r="340" spans="1:10" x14ac:dyDescent="0.2">
      <c r="A340" s="3">
        <v>4936</v>
      </c>
      <c r="B340" s="3" t="s">
        <v>354</v>
      </c>
      <c r="C340" s="3" t="s">
        <v>352</v>
      </c>
      <c r="D340" s="3" t="s">
        <v>309</v>
      </c>
      <c r="E340" s="3" t="str">
        <v>Allmendingen</v>
      </c>
      <c r="I340" s="19">
        <v>1542</v>
      </c>
      <c r="J340" s="19" t="s">
        <v>4540</v>
      </c>
    </row>
    <row r="341" spans="1:10" x14ac:dyDescent="0.2">
      <c r="A341" s="3">
        <v>4917</v>
      </c>
      <c r="B341" s="3" t="s">
        <v>355</v>
      </c>
      <c r="C341" s="3" t="s">
        <v>355</v>
      </c>
      <c r="D341" s="3" t="s">
        <v>309</v>
      </c>
      <c r="E341" s="3" t="str">
        <v>Wichtrach</v>
      </c>
      <c r="I341" s="19">
        <v>1543</v>
      </c>
      <c r="J341" s="19" t="s">
        <v>4540</v>
      </c>
    </row>
    <row r="342" spans="1:10" x14ac:dyDescent="0.2">
      <c r="A342" s="3">
        <v>4943</v>
      </c>
      <c r="B342" s="3" t="s">
        <v>356</v>
      </c>
      <c r="C342" s="3" t="s">
        <v>356</v>
      </c>
      <c r="D342" s="3" t="s">
        <v>309</v>
      </c>
      <c r="E342" s="3" t="str">
        <v>Ferenbalm</v>
      </c>
      <c r="I342" s="19">
        <v>1544</v>
      </c>
      <c r="J342" s="19" t="s">
        <v>4543</v>
      </c>
    </row>
    <row r="343" spans="1:10" x14ac:dyDescent="0.2">
      <c r="A343" s="3">
        <v>4919</v>
      </c>
      <c r="B343" s="3" t="s">
        <v>357</v>
      </c>
      <c r="C343" s="3" t="s">
        <v>357</v>
      </c>
      <c r="D343" s="3" t="s">
        <v>309</v>
      </c>
      <c r="E343" s="3" t="str">
        <v>Frauenkappelen</v>
      </c>
      <c r="I343" s="19">
        <v>1545</v>
      </c>
      <c r="J343" s="19" t="s">
        <v>4543</v>
      </c>
    </row>
    <row r="344" spans="1:10" x14ac:dyDescent="0.2">
      <c r="A344" s="3">
        <v>4914</v>
      </c>
      <c r="B344" s="3" t="s">
        <v>358</v>
      </c>
      <c r="C344" s="3" t="s">
        <v>359</v>
      </c>
      <c r="D344" s="3" t="s">
        <v>309</v>
      </c>
      <c r="E344" s="3" t="str">
        <v>Gurbrü</v>
      </c>
      <c r="I344" s="19">
        <v>1551</v>
      </c>
      <c r="J344" s="19" t="s">
        <v>4540</v>
      </c>
    </row>
    <row r="345" spans="1:10" x14ac:dyDescent="0.2">
      <c r="A345" s="3">
        <v>4938</v>
      </c>
      <c r="B345" s="3" t="s">
        <v>360</v>
      </c>
      <c r="C345" s="3" t="s">
        <v>360</v>
      </c>
      <c r="D345" s="3" t="s">
        <v>309</v>
      </c>
      <c r="E345" s="3" t="str">
        <v>Kriechenwil</v>
      </c>
      <c r="I345" s="19">
        <v>1552</v>
      </c>
      <c r="J345" s="19" t="s">
        <v>4540</v>
      </c>
    </row>
    <row r="346" spans="1:10" x14ac:dyDescent="0.2">
      <c r="A346" s="3">
        <v>4938</v>
      </c>
      <c r="B346" s="3" t="s">
        <v>361</v>
      </c>
      <c r="C346" s="3" t="s">
        <v>361</v>
      </c>
      <c r="D346" s="3" t="s">
        <v>309</v>
      </c>
      <c r="E346" s="3" t="str">
        <v>Laupen</v>
      </c>
      <c r="I346" s="19">
        <v>1553</v>
      </c>
      <c r="J346" s="19" t="s">
        <v>4540</v>
      </c>
    </row>
    <row r="347" spans="1:10" x14ac:dyDescent="0.2">
      <c r="A347" s="3">
        <v>4933</v>
      </c>
      <c r="B347" s="3" t="s">
        <v>362</v>
      </c>
      <c r="C347" s="3" t="s">
        <v>362</v>
      </c>
      <c r="D347" s="3" t="s">
        <v>309</v>
      </c>
      <c r="E347" s="3" t="str">
        <v>Mühleberg</v>
      </c>
      <c r="I347" s="19">
        <v>1554</v>
      </c>
      <c r="J347" s="19" t="s">
        <v>4540</v>
      </c>
    </row>
    <row r="348" spans="1:10" x14ac:dyDescent="0.2">
      <c r="A348" s="3">
        <v>4911</v>
      </c>
      <c r="B348" s="3" t="s">
        <v>363</v>
      </c>
      <c r="C348" s="3" t="s">
        <v>363</v>
      </c>
      <c r="D348" s="3" t="s">
        <v>309</v>
      </c>
      <c r="E348" s="3" t="str">
        <v>Münchenwiler</v>
      </c>
      <c r="I348" s="19">
        <v>1555</v>
      </c>
      <c r="J348" s="19" t="s">
        <v>4540</v>
      </c>
    </row>
    <row r="349" spans="1:10" x14ac:dyDescent="0.2">
      <c r="A349" s="3">
        <v>4922</v>
      </c>
      <c r="B349" s="3" t="s">
        <v>364</v>
      </c>
      <c r="C349" s="3" t="s">
        <v>365</v>
      </c>
      <c r="D349" s="3" t="s">
        <v>309</v>
      </c>
      <c r="E349" s="3" t="str">
        <v>Neuenegg</v>
      </c>
      <c r="I349" s="19">
        <v>1562</v>
      </c>
      <c r="J349" s="19" t="s">
        <v>4540</v>
      </c>
    </row>
    <row r="350" spans="1:10" x14ac:dyDescent="0.2">
      <c r="A350" s="3">
        <v>4922</v>
      </c>
      <c r="B350" s="3" t="s">
        <v>365</v>
      </c>
      <c r="C350" s="3" t="s">
        <v>365</v>
      </c>
      <c r="D350" s="3" t="s">
        <v>309</v>
      </c>
      <c r="E350" s="3" t="str">
        <v>Wileroltigen</v>
      </c>
      <c r="I350" s="19">
        <v>1563</v>
      </c>
      <c r="J350" s="19" t="s">
        <v>4540</v>
      </c>
    </row>
    <row r="351" spans="1:10" x14ac:dyDescent="0.2">
      <c r="A351" s="3">
        <v>4937</v>
      </c>
      <c r="B351" s="3" t="s">
        <v>366</v>
      </c>
      <c r="C351" s="3" t="s">
        <v>366</v>
      </c>
      <c r="D351" s="3" t="s">
        <v>309</v>
      </c>
      <c r="E351" s="3" t="str">
        <v>Belprahon</v>
      </c>
      <c r="I351" s="19">
        <v>1564</v>
      </c>
      <c r="J351" s="19" t="s">
        <v>4540</v>
      </c>
    </row>
    <row r="352" spans="1:10" x14ac:dyDescent="0.2">
      <c r="A352" s="3">
        <v>4923</v>
      </c>
      <c r="B352" s="3" t="s">
        <v>367</v>
      </c>
      <c r="C352" s="3" t="s">
        <v>367</v>
      </c>
      <c r="D352" s="3" t="s">
        <v>309</v>
      </c>
      <c r="E352" s="3" t="str">
        <v>Champoz</v>
      </c>
      <c r="I352" s="19">
        <v>1565</v>
      </c>
      <c r="J352" s="19" t="s">
        <v>4540</v>
      </c>
    </row>
    <row r="353" spans="1:10" x14ac:dyDescent="0.2">
      <c r="A353" s="3">
        <v>3004</v>
      </c>
      <c r="B353" s="3" t="s">
        <v>1</v>
      </c>
      <c r="C353" s="3" t="s">
        <v>1</v>
      </c>
      <c r="D353" s="3" t="s">
        <v>309</v>
      </c>
      <c r="E353" s="3" t="str">
        <v>Corcelles (BE)</v>
      </c>
      <c r="I353" s="19">
        <v>1566</v>
      </c>
      <c r="J353" s="19" t="s">
        <v>4543</v>
      </c>
    </row>
    <row r="354" spans="1:10" x14ac:dyDescent="0.2">
      <c r="A354" s="3">
        <v>3005</v>
      </c>
      <c r="B354" s="3" t="s">
        <v>1</v>
      </c>
      <c r="C354" s="3" t="s">
        <v>1</v>
      </c>
      <c r="D354" s="3" t="s">
        <v>309</v>
      </c>
      <c r="E354" s="3" t="str">
        <v>Court</v>
      </c>
      <c r="I354" s="19">
        <v>1567</v>
      </c>
      <c r="J354" s="19" t="s">
        <v>4543</v>
      </c>
    </row>
    <row r="355" spans="1:10" x14ac:dyDescent="0.2">
      <c r="A355" s="3">
        <v>3006</v>
      </c>
      <c r="B355" s="3" t="s">
        <v>1</v>
      </c>
      <c r="C355" s="3" t="s">
        <v>1</v>
      </c>
      <c r="D355" s="3" t="s">
        <v>309</v>
      </c>
      <c r="E355" s="3" t="str">
        <v>Crémines</v>
      </c>
      <c r="I355" s="19">
        <v>1568</v>
      </c>
      <c r="J355" s="19" t="s">
        <v>4543</v>
      </c>
    </row>
    <row r="356" spans="1:10" x14ac:dyDescent="0.2">
      <c r="A356" s="3">
        <v>3007</v>
      </c>
      <c r="B356" s="3" t="s">
        <v>1</v>
      </c>
      <c r="C356" s="3" t="s">
        <v>1</v>
      </c>
      <c r="D356" s="3" t="s">
        <v>309</v>
      </c>
      <c r="E356" s="3" t="str">
        <v>Eschert</v>
      </c>
      <c r="I356" s="19">
        <v>1580</v>
      </c>
      <c r="J356" s="19" t="s">
        <v>4543</v>
      </c>
    </row>
    <row r="357" spans="1:10" x14ac:dyDescent="0.2">
      <c r="A357" s="3">
        <v>3008</v>
      </c>
      <c r="B357" s="3" t="s">
        <v>1</v>
      </c>
      <c r="C357" s="3" t="s">
        <v>1</v>
      </c>
      <c r="D357" s="3" t="s">
        <v>309</v>
      </c>
      <c r="E357" s="3" t="str">
        <v>Grandval</v>
      </c>
      <c r="I357" s="19">
        <v>1583</v>
      </c>
      <c r="J357" s="19" t="s">
        <v>4543</v>
      </c>
    </row>
    <row r="358" spans="1:10" x14ac:dyDescent="0.2">
      <c r="A358" s="3">
        <v>3010</v>
      </c>
      <c r="B358" s="3" t="s">
        <v>1</v>
      </c>
      <c r="C358" s="3" t="s">
        <v>1</v>
      </c>
      <c r="D358" s="3" t="s">
        <v>309</v>
      </c>
      <c r="E358" s="3" t="str">
        <v>Loveresse</v>
      </c>
      <c r="I358" s="19">
        <v>1584</v>
      </c>
      <c r="J358" s="19" t="s">
        <v>4543</v>
      </c>
    </row>
    <row r="359" spans="1:10" x14ac:dyDescent="0.2">
      <c r="A359" s="3">
        <v>3011</v>
      </c>
      <c r="B359" s="3" t="s">
        <v>1</v>
      </c>
      <c r="C359" s="3" t="s">
        <v>1</v>
      </c>
      <c r="D359" s="3" t="s">
        <v>309</v>
      </c>
      <c r="E359" s="3" t="str">
        <v>Moutier</v>
      </c>
      <c r="I359" s="19">
        <v>1585</v>
      </c>
      <c r="J359" s="19" t="s">
        <v>4543</v>
      </c>
    </row>
    <row r="360" spans="1:10" x14ac:dyDescent="0.2">
      <c r="A360" s="3">
        <v>3012</v>
      </c>
      <c r="B360" s="3" t="s">
        <v>1</v>
      </c>
      <c r="C360" s="3" t="s">
        <v>1</v>
      </c>
      <c r="D360" s="3" t="s">
        <v>309</v>
      </c>
      <c r="E360" s="3" t="str">
        <v>Perrefitte</v>
      </c>
      <c r="I360" s="19">
        <v>1586</v>
      </c>
      <c r="J360" s="19" t="s">
        <v>4543</v>
      </c>
    </row>
    <row r="361" spans="1:10" x14ac:dyDescent="0.2">
      <c r="A361" s="3">
        <v>3013</v>
      </c>
      <c r="B361" s="3" t="s">
        <v>1</v>
      </c>
      <c r="C361" s="3" t="s">
        <v>1</v>
      </c>
      <c r="D361" s="3" t="s">
        <v>309</v>
      </c>
      <c r="E361" s="3" t="str">
        <v>Reconvilier</v>
      </c>
      <c r="I361" s="19">
        <v>1587</v>
      </c>
      <c r="J361" s="19" t="s">
        <v>4543</v>
      </c>
    </row>
    <row r="362" spans="1:10" x14ac:dyDescent="0.2">
      <c r="A362" s="3">
        <v>3014</v>
      </c>
      <c r="B362" s="3" t="s">
        <v>1</v>
      </c>
      <c r="C362" s="3" t="s">
        <v>1</v>
      </c>
      <c r="D362" s="3" t="s">
        <v>309</v>
      </c>
      <c r="E362" s="3" t="str">
        <v>Roches (BE)</v>
      </c>
      <c r="I362" s="19">
        <v>1588</v>
      </c>
      <c r="J362" s="19" t="s">
        <v>4543</v>
      </c>
    </row>
    <row r="363" spans="1:10" x14ac:dyDescent="0.2">
      <c r="A363" s="3">
        <v>3015</v>
      </c>
      <c r="B363" s="3" t="s">
        <v>1</v>
      </c>
      <c r="C363" s="3" t="s">
        <v>1</v>
      </c>
      <c r="D363" s="3" t="s">
        <v>309</v>
      </c>
      <c r="E363" s="3" t="str">
        <v>Saicourt</v>
      </c>
      <c r="I363" s="19">
        <v>1589</v>
      </c>
      <c r="J363" s="19" t="s">
        <v>4543</v>
      </c>
    </row>
    <row r="364" spans="1:10" x14ac:dyDescent="0.2">
      <c r="A364" s="3">
        <v>3018</v>
      </c>
      <c r="B364" s="3" t="s">
        <v>1</v>
      </c>
      <c r="C364" s="3" t="s">
        <v>1</v>
      </c>
      <c r="D364" s="3" t="s">
        <v>309</v>
      </c>
      <c r="E364" s="3" t="str">
        <v>Saules (BE)</v>
      </c>
      <c r="I364" s="19">
        <v>1595</v>
      </c>
      <c r="J364" s="19" t="s">
        <v>4543</v>
      </c>
    </row>
    <row r="365" spans="1:10" x14ac:dyDescent="0.2">
      <c r="A365" s="3">
        <v>3019</v>
      </c>
      <c r="B365" s="3" t="s">
        <v>1</v>
      </c>
      <c r="C365" s="3" t="s">
        <v>1</v>
      </c>
      <c r="D365" s="3" t="s">
        <v>309</v>
      </c>
      <c r="E365" s="3" t="str">
        <v>Schelten</v>
      </c>
      <c r="I365" s="19">
        <v>1607</v>
      </c>
      <c r="J365" s="19" t="s">
        <v>4539</v>
      </c>
    </row>
    <row r="366" spans="1:10" x14ac:dyDescent="0.2">
      <c r="A366" s="3">
        <v>3020</v>
      </c>
      <c r="B366" s="3" t="s">
        <v>1</v>
      </c>
      <c r="C366" s="3" t="s">
        <v>1</v>
      </c>
      <c r="D366" s="3" t="s">
        <v>309</v>
      </c>
      <c r="E366" s="3" t="str">
        <v>Seehof</v>
      </c>
      <c r="I366" s="19">
        <v>1608</v>
      </c>
      <c r="J366" s="19" t="s">
        <v>4539</v>
      </c>
    </row>
    <row r="367" spans="1:10" x14ac:dyDescent="0.2">
      <c r="A367" s="3">
        <v>3027</v>
      </c>
      <c r="B367" s="3" t="s">
        <v>1</v>
      </c>
      <c r="C367" s="3" t="s">
        <v>1</v>
      </c>
      <c r="D367" s="3" t="s">
        <v>309</v>
      </c>
      <c r="E367" s="3" t="str">
        <v>Sorvilier</v>
      </c>
      <c r="I367" s="19">
        <v>1609</v>
      </c>
      <c r="J367" s="19" t="s">
        <v>4539</v>
      </c>
    </row>
    <row r="368" spans="1:10" x14ac:dyDescent="0.2">
      <c r="A368" s="3">
        <v>3065</v>
      </c>
      <c r="B368" s="3" t="s">
        <v>368</v>
      </c>
      <c r="C368" s="3" t="s">
        <v>368</v>
      </c>
      <c r="D368" s="3" t="s">
        <v>309</v>
      </c>
      <c r="E368" s="3" t="str">
        <v>Tavannes</v>
      </c>
      <c r="I368" s="19">
        <v>1610</v>
      </c>
      <c r="J368" s="19" t="s">
        <v>4539</v>
      </c>
    </row>
    <row r="369" spans="1:10" x14ac:dyDescent="0.2">
      <c r="A369" s="3">
        <v>3047</v>
      </c>
      <c r="B369" s="3" t="s">
        <v>369</v>
      </c>
      <c r="C369" s="3" t="s">
        <v>370</v>
      </c>
      <c r="D369" s="3" t="s">
        <v>309</v>
      </c>
      <c r="E369" s="3" t="str">
        <v>Rebévelier</v>
      </c>
      <c r="I369" s="19">
        <v>1611</v>
      </c>
      <c r="J369" s="19" t="s">
        <v>4540</v>
      </c>
    </row>
    <row r="370" spans="1:10" x14ac:dyDescent="0.2">
      <c r="A370" s="3">
        <v>3037</v>
      </c>
      <c r="B370" s="3" t="s">
        <v>371</v>
      </c>
      <c r="C370" s="3" t="s">
        <v>372</v>
      </c>
      <c r="D370" s="3" t="s">
        <v>309</v>
      </c>
      <c r="E370" s="3" t="str">
        <v>Petit-Val</v>
      </c>
      <c r="I370" s="19">
        <v>1612</v>
      </c>
      <c r="J370" s="19" t="s">
        <v>4539</v>
      </c>
    </row>
    <row r="371" spans="1:10" x14ac:dyDescent="0.2">
      <c r="A371" s="3">
        <v>3038</v>
      </c>
      <c r="B371" s="3" t="s">
        <v>372</v>
      </c>
      <c r="C371" s="3" t="s">
        <v>372</v>
      </c>
      <c r="D371" s="3" t="s">
        <v>309</v>
      </c>
      <c r="E371" s="3" t="str">
        <v>Valbirse</v>
      </c>
      <c r="I371" s="19">
        <v>1613</v>
      </c>
      <c r="J371" s="19" t="s">
        <v>4539</v>
      </c>
    </row>
    <row r="372" spans="1:10" x14ac:dyDescent="0.2">
      <c r="A372" s="3">
        <v>3084</v>
      </c>
      <c r="B372" s="3" t="s">
        <v>373</v>
      </c>
      <c r="C372" s="3" t="s">
        <v>374</v>
      </c>
      <c r="D372" s="3" t="s">
        <v>309</v>
      </c>
      <c r="E372" s="3" t="str">
        <v>La Neuveville</v>
      </c>
      <c r="I372" s="19">
        <v>1614</v>
      </c>
      <c r="J372" s="19" t="s">
        <v>4539</v>
      </c>
    </row>
    <row r="373" spans="1:10" x14ac:dyDescent="0.2">
      <c r="A373" s="3">
        <v>3095</v>
      </c>
      <c r="B373" s="3" t="s">
        <v>375</v>
      </c>
      <c r="C373" s="3" t="s">
        <v>374</v>
      </c>
      <c r="D373" s="3" t="s">
        <v>309</v>
      </c>
      <c r="E373" s="3" t="str">
        <v>Nods</v>
      </c>
      <c r="I373" s="19">
        <v>1615</v>
      </c>
      <c r="J373" s="19" t="s">
        <v>4539</v>
      </c>
    </row>
    <row r="374" spans="1:10" x14ac:dyDescent="0.2">
      <c r="A374" s="3">
        <v>3097</v>
      </c>
      <c r="B374" s="3" t="s">
        <v>376</v>
      </c>
      <c r="C374" s="3" t="s">
        <v>374</v>
      </c>
      <c r="D374" s="3" t="s">
        <v>309</v>
      </c>
      <c r="E374" s="3" t="str">
        <v>Plateau de Diesse</v>
      </c>
      <c r="I374" s="19">
        <v>1616</v>
      </c>
      <c r="J374" s="19" t="s">
        <v>4539</v>
      </c>
    </row>
    <row r="375" spans="1:10" x14ac:dyDescent="0.2">
      <c r="A375" s="3">
        <v>3098</v>
      </c>
      <c r="B375" s="3" t="s">
        <v>374</v>
      </c>
      <c r="C375" s="3" t="s">
        <v>374</v>
      </c>
      <c r="D375" s="3" t="s">
        <v>309</v>
      </c>
      <c r="E375" s="3" t="str">
        <v>Aegerten</v>
      </c>
      <c r="I375" s="19">
        <v>1617</v>
      </c>
      <c r="J375" s="19" t="s">
        <v>4539</v>
      </c>
    </row>
    <row r="376" spans="1:10" x14ac:dyDescent="0.2">
      <c r="A376" s="3">
        <v>3098</v>
      </c>
      <c r="B376" s="3" t="s">
        <v>374</v>
      </c>
      <c r="C376" s="3" t="s">
        <v>374</v>
      </c>
      <c r="D376" s="3" t="s">
        <v>309</v>
      </c>
      <c r="E376" s="3" t="str">
        <v>Bellmund</v>
      </c>
      <c r="I376" s="19">
        <v>1618</v>
      </c>
      <c r="J376" s="19" t="s">
        <v>4539</v>
      </c>
    </row>
    <row r="377" spans="1:10" x14ac:dyDescent="0.2">
      <c r="A377" s="3">
        <v>3098</v>
      </c>
      <c r="B377" s="3" t="s">
        <v>377</v>
      </c>
      <c r="C377" s="3" t="s">
        <v>374</v>
      </c>
      <c r="D377" s="3" t="s">
        <v>309</v>
      </c>
      <c r="E377" s="3" t="str">
        <v>Brügg</v>
      </c>
      <c r="I377" s="19">
        <v>1619</v>
      </c>
      <c r="J377" s="19" t="s">
        <v>4539</v>
      </c>
    </row>
    <row r="378" spans="1:10" x14ac:dyDescent="0.2">
      <c r="A378" s="3">
        <v>3144</v>
      </c>
      <c r="B378" s="3" t="s">
        <v>378</v>
      </c>
      <c r="C378" s="3" t="s">
        <v>374</v>
      </c>
      <c r="D378" s="3" t="s">
        <v>309</v>
      </c>
      <c r="E378" s="3" t="str">
        <v>Bühl</v>
      </c>
      <c r="I378" s="19">
        <v>1623</v>
      </c>
      <c r="J378" s="19" t="s">
        <v>4540</v>
      </c>
    </row>
    <row r="379" spans="1:10" x14ac:dyDescent="0.2">
      <c r="A379" s="3">
        <v>3145</v>
      </c>
      <c r="B379" s="3" t="s">
        <v>379</v>
      </c>
      <c r="C379" s="3" t="s">
        <v>374</v>
      </c>
      <c r="D379" s="3" t="s">
        <v>309</v>
      </c>
      <c r="E379" s="3" t="str">
        <v>Epsach</v>
      </c>
      <c r="I379" s="19">
        <v>1624</v>
      </c>
      <c r="J379" s="19" t="s">
        <v>4540</v>
      </c>
    </row>
    <row r="380" spans="1:10" x14ac:dyDescent="0.2">
      <c r="A380" s="3">
        <v>3147</v>
      </c>
      <c r="B380" s="3" t="s">
        <v>380</v>
      </c>
      <c r="C380" s="3" t="s">
        <v>374</v>
      </c>
      <c r="D380" s="3" t="s">
        <v>309</v>
      </c>
      <c r="E380" s="3" t="str">
        <v>Hagneck</v>
      </c>
      <c r="I380" s="19">
        <v>1625</v>
      </c>
      <c r="J380" s="19" t="s">
        <v>4540</v>
      </c>
    </row>
    <row r="381" spans="1:10" x14ac:dyDescent="0.2">
      <c r="A381" s="3">
        <v>3172</v>
      </c>
      <c r="B381" s="3" t="s">
        <v>381</v>
      </c>
      <c r="C381" s="3" t="s">
        <v>374</v>
      </c>
      <c r="D381" s="3" t="s">
        <v>309</v>
      </c>
      <c r="E381" s="3" t="str">
        <v>Hermrigen</v>
      </c>
      <c r="I381" s="19">
        <v>1626</v>
      </c>
      <c r="J381" s="19" t="s">
        <v>4540</v>
      </c>
    </row>
    <row r="382" spans="1:10" x14ac:dyDescent="0.2">
      <c r="A382" s="3">
        <v>3173</v>
      </c>
      <c r="B382" s="3" t="s">
        <v>382</v>
      </c>
      <c r="C382" s="3" t="s">
        <v>374</v>
      </c>
      <c r="D382" s="3" t="s">
        <v>309</v>
      </c>
      <c r="E382" s="3" t="str">
        <v>Jens</v>
      </c>
      <c r="I382" s="19">
        <v>1627</v>
      </c>
      <c r="J382" s="19" t="s">
        <v>4540</v>
      </c>
    </row>
    <row r="383" spans="1:10" x14ac:dyDescent="0.2">
      <c r="A383" s="3">
        <v>3174</v>
      </c>
      <c r="B383" s="3" t="s">
        <v>383</v>
      </c>
      <c r="C383" s="3" t="s">
        <v>374</v>
      </c>
      <c r="D383" s="3" t="s">
        <v>309</v>
      </c>
      <c r="E383" s="3" t="str">
        <v>Ipsach</v>
      </c>
      <c r="I383" s="19">
        <v>1628</v>
      </c>
      <c r="J383" s="19" t="s">
        <v>4540</v>
      </c>
    </row>
    <row r="384" spans="1:10" x14ac:dyDescent="0.2">
      <c r="A384" s="3">
        <v>3073</v>
      </c>
      <c r="B384" s="3" t="s">
        <v>384</v>
      </c>
      <c r="C384" s="3" t="s">
        <v>385</v>
      </c>
      <c r="D384" s="3" t="s">
        <v>309</v>
      </c>
      <c r="E384" s="3" t="str">
        <v>Ligerz</v>
      </c>
      <c r="I384" s="19">
        <v>1630</v>
      </c>
      <c r="J384" s="19" t="s">
        <v>4540</v>
      </c>
    </row>
    <row r="385" spans="1:10" x14ac:dyDescent="0.2">
      <c r="A385" s="3">
        <v>3074</v>
      </c>
      <c r="B385" s="3" t="s">
        <v>386</v>
      </c>
      <c r="C385" s="3" t="s">
        <v>385</v>
      </c>
      <c r="D385" s="3" t="s">
        <v>309</v>
      </c>
      <c r="E385" s="3" t="str">
        <v>Merzligen</v>
      </c>
      <c r="I385" s="19">
        <v>1632</v>
      </c>
      <c r="J385" s="19" t="s">
        <v>4540</v>
      </c>
    </row>
    <row r="386" spans="1:10" x14ac:dyDescent="0.2">
      <c r="A386" s="3">
        <v>3096</v>
      </c>
      <c r="B386" s="3" t="s">
        <v>387</v>
      </c>
      <c r="C386" s="3" t="s">
        <v>387</v>
      </c>
      <c r="D386" s="3" t="s">
        <v>309</v>
      </c>
      <c r="E386" s="3" t="str">
        <v>Mörigen</v>
      </c>
      <c r="I386" s="19">
        <v>1633</v>
      </c>
      <c r="J386" s="19" t="s">
        <v>4540</v>
      </c>
    </row>
    <row r="387" spans="1:10" x14ac:dyDescent="0.2">
      <c r="A387" s="3">
        <v>3066</v>
      </c>
      <c r="B387" s="3" t="s">
        <v>388</v>
      </c>
      <c r="C387" s="3" t="s">
        <v>388</v>
      </c>
      <c r="D387" s="3" t="s">
        <v>309</v>
      </c>
      <c r="E387" s="3" t="str">
        <v>Nidau</v>
      </c>
      <c r="I387" s="19">
        <v>1634</v>
      </c>
      <c r="J387" s="19" t="s">
        <v>4540</v>
      </c>
    </row>
    <row r="388" spans="1:10" x14ac:dyDescent="0.2">
      <c r="A388" s="3">
        <v>3067</v>
      </c>
      <c r="B388" s="3" t="s">
        <v>389</v>
      </c>
      <c r="C388" s="3" t="s">
        <v>390</v>
      </c>
      <c r="D388" s="3" t="s">
        <v>309</v>
      </c>
      <c r="E388" s="3" t="str">
        <v>Orpund</v>
      </c>
      <c r="I388" s="19">
        <v>1635</v>
      </c>
      <c r="J388" s="19" t="s">
        <v>4540</v>
      </c>
    </row>
    <row r="389" spans="1:10" x14ac:dyDescent="0.2">
      <c r="A389" s="3">
        <v>3068</v>
      </c>
      <c r="B389" s="3" t="s">
        <v>391</v>
      </c>
      <c r="C389" s="3" t="s">
        <v>390</v>
      </c>
      <c r="D389" s="3" t="s">
        <v>309</v>
      </c>
      <c r="E389" s="3" t="str">
        <v>Port</v>
      </c>
      <c r="I389" s="19">
        <v>1636</v>
      </c>
      <c r="J389" s="19" t="s">
        <v>4540</v>
      </c>
    </row>
    <row r="390" spans="1:10" x14ac:dyDescent="0.2">
      <c r="A390" s="3">
        <v>3032</v>
      </c>
      <c r="B390" s="3" t="s">
        <v>392</v>
      </c>
      <c r="C390" s="3" t="s">
        <v>393</v>
      </c>
      <c r="D390" s="3" t="s">
        <v>309</v>
      </c>
      <c r="E390" s="3" t="str">
        <v>Safnern</v>
      </c>
      <c r="I390" s="19">
        <v>1637</v>
      </c>
      <c r="J390" s="19" t="s">
        <v>4540</v>
      </c>
    </row>
    <row r="391" spans="1:10" x14ac:dyDescent="0.2">
      <c r="A391" s="3">
        <v>3033</v>
      </c>
      <c r="B391" s="3" t="s">
        <v>394</v>
      </c>
      <c r="C391" s="3" t="s">
        <v>393</v>
      </c>
      <c r="D391" s="3" t="s">
        <v>309</v>
      </c>
      <c r="E391" s="3" t="str">
        <v>Scheuren</v>
      </c>
      <c r="I391" s="19">
        <v>1638</v>
      </c>
      <c r="J391" s="19" t="s">
        <v>4540</v>
      </c>
    </row>
    <row r="392" spans="1:10" x14ac:dyDescent="0.2">
      <c r="A392" s="3">
        <v>3034</v>
      </c>
      <c r="B392" s="3" t="s">
        <v>395</v>
      </c>
      <c r="C392" s="3" t="s">
        <v>393</v>
      </c>
      <c r="D392" s="3" t="s">
        <v>309</v>
      </c>
      <c r="E392" s="3" t="str">
        <v>Schwadernau</v>
      </c>
      <c r="I392" s="19">
        <v>1642</v>
      </c>
      <c r="J392" s="19" t="s">
        <v>4540</v>
      </c>
    </row>
    <row r="393" spans="1:10" x14ac:dyDescent="0.2">
      <c r="A393" s="3">
        <v>3043</v>
      </c>
      <c r="B393" s="3" t="s">
        <v>396</v>
      </c>
      <c r="C393" s="3" t="s">
        <v>393</v>
      </c>
      <c r="D393" s="3" t="s">
        <v>309</v>
      </c>
      <c r="E393" s="3" t="str">
        <v>Studen (BE)</v>
      </c>
      <c r="I393" s="19">
        <v>1643</v>
      </c>
      <c r="J393" s="19" t="s">
        <v>4540</v>
      </c>
    </row>
    <row r="394" spans="1:10" x14ac:dyDescent="0.2">
      <c r="A394" s="3">
        <v>3044</v>
      </c>
      <c r="B394" s="3" t="s">
        <v>397</v>
      </c>
      <c r="C394" s="3" t="s">
        <v>393</v>
      </c>
      <c r="D394" s="3" t="s">
        <v>309</v>
      </c>
      <c r="E394" s="3" t="str">
        <v>Sutz-Lattrigen</v>
      </c>
      <c r="I394" s="19">
        <v>1644</v>
      </c>
      <c r="J394" s="19" t="s">
        <v>4540</v>
      </c>
    </row>
    <row r="395" spans="1:10" x14ac:dyDescent="0.2">
      <c r="A395" s="3">
        <v>3049</v>
      </c>
      <c r="B395" s="3" t="s">
        <v>398</v>
      </c>
      <c r="C395" s="3" t="s">
        <v>393</v>
      </c>
      <c r="D395" s="3" t="s">
        <v>309</v>
      </c>
      <c r="E395" s="3" t="str">
        <v>Täuffelen</v>
      </c>
      <c r="I395" s="19">
        <v>1645</v>
      </c>
      <c r="J395" s="19" t="s">
        <v>4540</v>
      </c>
    </row>
    <row r="396" spans="1:10" x14ac:dyDescent="0.2">
      <c r="A396" s="3">
        <v>3052</v>
      </c>
      <c r="B396" s="3" t="s">
        <v>399</v>
      </c>
      <c r="C396" s="3" t="s">
        <v>399</v>
      </c>
      <c r="D396" s="3" t="s">
        <v>309</v>
      </c>
      <c r="E396" s="3" t="str">
        <v>Walperswil</v>
      </c>
      <c r="I396" s="19">
        <v>1646</v>
      </c>
      <c r="J396" s="19" t="s">
        <v>4540</v>
      </c>
    </row>
    <row r="397" spans="1:10" x14ac:dyDescent="0.2">
      <c r="A397" s="3">
        <v>3048</v>
      </c>
      <c r="B397" s="3" t="s">
        <v>400</v>
      </c>
      <c r="C397" s="3" t="s">
        <v>401</v>
      </c>
      <c r="D397" s="3" t="s">
        <v>309</v>
      </c>
      <c r="E397" s="3" t="str">
        <v>Worben</v>
      </c>
      <c r="I397" s="19">
        <v>1647</v>
      </c>
      <c r="J397" s="19" t="s">
        <v>4540</v>
      </c>
    </row>
    <row r="398" spans="1:10" x14ac:dyDescent="0.2">
      <c r="A398" s="3">
        <v>3063</v>
      </c>
      <c r="B398" s="3" t="s">
        <v>401</v>
      </c>
      <c r="C398" s="3" t="s">
        <v>401</v>
      </c>
      <c r="D398" s="3" t="s">
        <v>309</v>
      </c>
      <c r="E398" s="3" t="str">
        <v>Twann-Tüscherz</v>
      </c>
      <c r="I398" s="19">
        <v>1648</v>
      </c>
      <c r="J398" s="19" t="s">
        <v>4540</v>
      </c>
    </row>
    <row r="399" spans="1:10" x14ac:dyDescent="0.2">
      <c r="A399" s="3">
        <v>3072</v>
      </c>
      <c r="B399" s="3" t="s">
        <v>402</v>
      </c>
      <c r="C399" s="3" t="s">
        <v>402</v>
      </c>
      <c r="D399" s="3" t="s">
        <v>309</v>
      </c>
      <c r="E399" s="3" t="str">
        <v>Därstetten</v>
      </c>
      <c r="I399" s="19">
        <v>1649</v>
      </c>
      <c r="J399" s="19" t="s">
        <v>4540</v>
      </c>
    </row>
    <row r="400" spans="1:10" x14ac:dyDescent="0.2">
      <c r="A400" s="3">
        <v>2502</v>
      </c>
      <c r="B400" s="3" t="s">
        <v>403</v>
      </c>
      <c r="C400" s="3" t="s">
        <v>403</v>
      </c>
      <c r="D400" s="3" t="s">
        <v>309</v>
      </c>
      <c r="E400" s="3" t="str">
        <v>Diemtigen</v>
      </c>
      <c r="I400" s="19">
        <v>1651</v>
      </c>
      <c r="J400" s="19" t="s">
        <v>4540</v>
      </c>
    </row>
    <row r="401" spans="1:10" x14ac:dyDescent="0.2">
      <c r="A401" s="3">
        <v>2503</v>
      </c>
      <c r="B401" s="3" t="s">
        <v>403</v>
      </c>
      <c r="C401" s="3" t="s">
        <v>403</v>
      </c>
      <c r="D401" s="3" t="s">
        <v>309</v>
      </c>
      <c r="E401" s="3" t="str">
        <v>Erlenbach im Simmental</v>
      </c>
      <c r="I401" s="19">
        <v>1652</v>
      </c>
      <c r="J401" s="19" t="s">
        <v>4540</v>
      </c>
    </row>
    <row r="402" spans="1:10" x14ac:dyDescent="0.2">
      <c r="A402" s="3">
        <v>2504</v>
      </c>
      <c r="B402" s="3" t="s">
        <v>403</v>
      </c>
      <c r="C402" s="3" t="s">
        <v>403</v>
      </c>
      <c r="D402" s="3" t="s">
        <v>309</v>
      </c>
      <c r="E402" s="3" t="str">
        <v>Oberwil im Simmental</v>
      </c>
      <c r="I402" s="19">
        <v>1653</v>
      </c>
      <c r="J402" s="19" t="s">
        <v>4540</v>
      </c>
    </row>
    <row r="403" spans="1:10" x14ac:dyDescent="0.2">
      <c r="A403" s="3">
        <v>2505</v>
      </c>
      <c r="B403" s="3" t="s">
        <v>403</v>
      </c>
      <c r="C403" s="3" t="s">
        <v>403</v>
      </c>
      <c r="D403" s="3" t="s">
        <v>309</v>
      </c>
      <c r="E403" s="3" t="str">
        <v>Reutigen</v>
      </c>
      <c r="I403" s="19">
        <v>1654</v>
      </c>
      <c r="J403" s="19" t="s">
        <v>4540</v>
      </c>
    </row>
    <row r="404" spans="1:10" x14ac:dyDescent="0.2">
      <c r="A404" s="3">
        <v>2532</v>
      </c>
      <c r="B404" s="3" t="s">
        <v>404</v>
      </c>
      <c r="C404" s="3" t="s">
        <v>405</v>
      </c>
      <c r="D404" s="3" t="s">
        <v>309</v>
      </c>
      <c r="E404" s="3" t="str">
        <v>Spiez</v>
      </c>
      <c r="I404" s="19">
        <v>1656</v>
      </c>
      <c r="J404" s="19" t="s">
        <v>4544</v>
      </c>
    </row>
    <row r="405" spans="1:10" x14ac:dyDescent="0.2">
      <c r="A405" s="3">
        <v>2533</v>
      </c>
      <c r="B405" s="3" t="s">
        <v>405</v>
      </c>
      <c r="C405" s="3" t="s">
        <v>405</v>
      </c>
      <c r="D405" s="3" t="s">
        <v>309</v>
      </c>
      <c r="E405" s="3" t="str">
        <v>Wimmis</v>
      </c>
      <c r="I405" s="19">
        <v>1657</v>
      </c>
      <c r="J405" s="19" t="s">
        <v>4544</v>
      </c>
    </row>
    <row r="406" spans="1:10" x14ac:dyDescent="0.2">
      <c r="A406" s="3">
        <v>3296</v>
      </c>
      <c r="B406" s="3" t="s">
        <v>406</v>
      </c>
      <c r="C406" s="3" t="s">
        <v>406</v>
      </c>
      <c r="D406" s="3" t="s">
        <v>309</v>
      </c>
      <c r="E406" s="3" t="str">
        <v>Stocken-Höfen</v>
      </c>
      <c r="I406" s="19">
        <v>1658</v>
      </c>
      <c r="J406" s="19" t="s">
        <v>4545</v>
      </c>
    </row>
    <row r="407" spans="1:10" x14ac:dyDescent="0.2">
      <c r="A407" s="3">
        <v>3263</v>
      </c>
      <c r="B407" s="3" t="s">
        <v>407</v>
      </c>
      <c r="C407" s="3" t="s">
        <v>407</v>
      </c>
      <c r="D407" s="3" t="s">
        <v>309</v>
      </c>
      <c r="E407" s="3" t="str">
        <v>Guttannen</v>
      </c>
      <c r="I407" s="19">
        <v>1659</v>
      </c>
      <c r="J407" s="19" t="s">
        <v>4544</v>
      </c>
    </row>
    <row r="408" spans="1:10" x14ac:dyDescent="0.2">
      <c r="A408" s="3">
        <v>3294</v>
      </c>
      <c r="B408" s="3" t="s">
        <v>408</v>
      </c>
      <c r="C408" s="3" t="s">
        <v>408</v>
      </c>
      <c r="D408" s="3" t="s">
        <v>309</v>
      </c>
      <c r="E408" s="3" t="str">
        <v>Hasliberg</v>
      </c>
      <c r="I408" s="19">
        <v>1660</v>
      </c>
      <c r="J408" s="19" t="s">
        <v>4545</v>
      </c>
    </row>
    <row r="409" spans="1:10" x14ac:dyDescent="0.2">
      <c r="A409" s="3">
        <v>3264</v>
      </c>
      <c r="B409" s="3" t="s">
        <v>409</v>
      </c>
      <c r="C409" s="3" t="s">
        <v>410</v>
      </c>
      <c r="D409" s="3" t="s">
        <v>309</v>
      </c>
      <c r="E409" s="3" t="str">
        <v>Innertkirchen</v>
      </c>
      <c r="I409" s="19">
        <v>1661</v>
      </c>
      <c r="J409" s="19" t="s">
        <v>4540</v>
      </c>
    </row>
    <row r="410" spans="1:10" x14ac:dyDescent="0.2">
      <c r="A410" s="3">
        <v>3293</v>
      </c>
      <c r="B410" s="3" t="s">
        <v>411</v>
      </c>
      <c r="C410" s="3" t="s">
        <v>411</v>
      </c>
      <c r="D410" s="3" t="s">
        <v>309</v>
      </c>
      <c r="E410" s="3" t="str">
        <v>Meiringen</v>
      </c>
      <c r="I410" s="19">
        <v>1663</v>
      </c>
      <c r="J410" s="19" t="s">
        <v>4540</v>
      </c>
    </row>
    <row r="411" spans="1:10" x14ac:dyDescent="0.2">
      <c r="A411" s="3">
        <v>2543</v>
      </c>
      <c r="B411" s="3" t="s">
        <v>412</v>
      </c>
      <c r="C411" s="3" t="s">
        <v>413</v>
      </c>
      <c r="D411" s="3" t="s">
        <v>309</v>
      </c>
      <c r="E411" s="3" t="str">
        <v>Schattenhalb</v>
      </c>
      <c r="I411" s="19">
        <v>1665</v>
      </c>
      <c r="J411" s="19" t="s">
        <v>4540</v>
      </c>
    </row>
    <row r="412" spans="1:10" x14ac:dyDescent="0.2">
      <c r="A412" s="3">
        <v>3297</v>
      </c>
      <c r="B412" s="3" t="s">
        <v>414</v>
      </c>
      <c r="C412" s="3" t="s">
        <v>414</v>
      </c>
      <c r="D412" s="3" t="s">
        <v>309</v>
      </c>
      <c r="E412" s="3" t="str">
        <v>Boltigen</v>
      </c>
      <c r="I412" s="19">
        <v>1666</v>
      </c>
      <c r="J412" s="19" t="s">
        <v>4545</v>
      </c>
    </row>
    <row r="413" spans="1:10" x14ac:dyDescent="0.2">
      <c r="A413" s="3">
        <v>3294</v>
      </c>
      <c r="B413" s="3" t="s">
        <v>415</v>
      </c>
      <c r="C413" s="3" t="s">
        <v>415</v>
      </c>
      <c r="D413" s="3" t="s">
        <v>309</v>
      </c>
      <c r="E413" s="3" t="str">
        <v>Lenk</v>
      </c>
      <c r="I413" s="19">
        <v>1667</v>
      </c>
      <c r="J413" s="19" t="s">
        <v>4540</v>
      </c>
    </row>
    <row r="414" spans="1:10" x14ac:dyDescent="0.2">
      <c r="A414" s="3">
        <v>2554</v>
      </c>
      <c r="B414" s="3" t="s">
        <v>416</v>
      </c>
      <c r="C414" s="3" t="s">
        <v>416</v>
      </c>
      <c r="D414" s="3" t="s">
        <v>309</v>
      </c>
      <c r="E414" s="3" t="str">
        <v>St. Stephan</v>
      </c>
      <c r="I414" s="19">
        <v>1669</v>
      </c>
      <c r="J414" s="19" t="s">
        <v>4545</v>
      </c>
    </row>
    <row r="415" spans="1:10" x14ac:dyDescent="0.2">
      <c r="A415" s="3">
        <v>3298</v>
      </c>
      <c r="B415" s="3" t="s">
        <v>417</v>
      </c>
      <c r="C415" s="3" t="s">
        <v>418</v>
      </c>
      <c r="D415" s="3" t="s">
        <v>309</v>
      </c>
      <c r="E415" s="3" t="str">
        <v>Zweisimmen</v>
      </c>
      <c r="I415" s="19">
        <v>1670</v>
      </c>
      <c r="J415" s="19" t="s">
        <v>4540</v>
      </c>
    </row>
    <row r="416" spans="1:10" x14ac:dyDescent="0.2">
      <c r="A416" s="3">
        <v>2542</v>
      </c>
      <c r="B416" s="3" t="s">
        <v>419</v>
      </c>
      <c r="C416" s="3" t="s">
        <v>419</v>
      </c>
      <c r="D416" s="3" t="s">
        <v>309</v>
      </c>
      <c r="E416" s="3" t="str">
        <v>Gsteig</v>
      </c>
      <c r="I416" s="19">
        <v>1673</v>
      </c>
      <c r="J416" s="19" t="s">
        <v>4539</v>
      </c>
    </row>
    <row r="417" spans="1:10" x14ac:dyDescent="0.2">
      <c r="A417" s="3">
        <v>3295</v>
      </c>
      <c r="B417" s="3" t="s">
        <v>420</v>
      </c>
      <c r="C417" s="3" t="s">
        <v>421</v>
      </c>
      <c r="D417" s="3" t="s">
        <v>309</v>
      </c>
      <c r="E417" s="3" t="str">
        <v>Lauenen</v>
      </c>
      <c r="I417" s="19">
        <v>1674</v>
      </c>
      <c r="J417" s="19" t="s">
        <v>4540</v>
      </c>
    </row>
    <row r="418" spans="1:10" x14ac:dyDescent="0.2">
      <c r="A418" s="3">
        <v>3251</v>
      </c>
      <c r="B418" s="3" t="s">
        <v>422</v>
      </c>
      <c r="C418" s="3" t="s">
        <v>423</v>
      </c>
      <c r="D418" s="3" t="s">
        <v>309</v>
      </c>
      <c r="E418" s="3" t="str">
        <v>Saanen</v>
      </c>
      <c r="I418" s="19">
        <v>1675</v>
      </c>
      <c r="J418" s="19" t="s">
        <v>4540</v>
      </c>
    </row>
    <row r="419" spans="1:10" x14ac:dyDescent="0.2">
      <c r="A419" s="3">
        <v>3426</v>
      </c>
      <c r="B419" s="3" t="s">
        <v>424</v>
      </c>
      <c r="C419" s="3" t="s">
        <v>424</v>
      </c>
      <c r="D419" s="3" t="s">
        <v>309</v>
      </c>
      <c r="E419" s="3" t="str">
        <v>Guggisberg</v>
      </c>
      <c r="I419" s="19">
        <v>1676</v>
      </c>
      <c r="J419" s="19" t="s">
        <v>4540</v>
      </c>
    </row>
    <row r="420" spans="1:10" x14ac:dyDescent="0.2">
      <c r="A420" s="3">
        <v>3473</v>
      </c>
      <c r="B420" s="3" t="s">
        <v>425</v>
      </c>
      <c r="C420" s="3" t="s">
        <v>425</v>
      </c>
      <c r="D420" s="3" t="s">
        <v>309</v>
      </c>
      <c r="E420" s="3" t="str">
        <v>Rüschegg</v>
      </c>
      <c r="I420" s="19">
        <v>1677</v>
      </c>
      <c r="J420" s="19" t="s">
        <v>4540</v>
      </c>
    </row>
    <row r="421" spans="1:10" x14ac:dyDescent="0.2">
      <c r="A421" s="3">
        <v>3323</v>
      </c>
      <c r="B421" s="3" t="s">
        <v>426</v>
      </c>
      <c r="C421" s="3" t="s">
        <v>427</v>
      </c>
      <c r="D421" s="3" t="s">
        <v>309</v>
      </c>
      <c r="E421" s="3" t="str">
        <v>Schwarzenburg</v>
      </c>
      <c r="I421" s="19">
        <v>1678</v>
      </c>
      <c r="J421" s="19" t="s">
        <v>4540</v>
      </c>
    </row>
    <row r="422" spans="1:10" x14ac:dyDescent="0.2">
      <c r="A422" s="3">
        <v>3400</v>
      </c>
      <c r="B422" s="3" t="s">
        <v>428</v>
      </c>
      <c r="C422" s="3" t="s">
        <v>428</v>
      </c>
      <c r="D422" s="3" t="s">
        <v>309</v>
      </c>
      <c r="E422" s="3" t="str">
        <v>Belp</v>
      </c>
      <c r="I422" s="19">
        <v>1679</v>
      </c>
      <c r="J422" s="19" t="s">
        <v>4540</v>
      </c>
    </row>
    <row r="423" spans="1:10" x14ac:dyDescent="0.2">
      <c r="A423" s="3">
        <v>3423</v>
      </c>
      <c r="B423" s="3" t="s">
        <v>429</v>
      </c>
      <c r="C423" s="3" t="s">
        <v>429</v>
      </c>
      <c r="D423" s="3" t="s">
        <v>309</v>
      </c>
      <c r="E423" s="3" t="str">
        <v>Burgistein</v>
      </c>
      <c r="I423" s="19">
        <v>1680</v>
      </c>
      <c r="J423" s="19" t="s">
        <v>4540</v>
      </c>
    </row>
    <row r="424" spans="1:10" x14ac:dyDescent="0.2">
      <c r="A424" s="3">
        <v>3424</v>
      </c>
      <c r="B424" s="3" t="s">
        <v>430</v>
      </c>
      <c r="C424" s="3" t="s">
        <v>429</v>
      </c>
      <c r="D424" s="3" t="s">
        <v>309</v>
      </c>
      <c r="E424" s="3" t="str">
        <v>Gerzensee</v>
      </c>
      <c r="I424" s="19">
        <v>1681</v>
      </c>
      <c r="J424" s="19" t="s">
        <v>4540</v>
      </c>
    </row>
    <row r="425" spans="1:10" x14ac:dyDescent="0.2">
      <c r="A425" s="3">
        <v>3424</v>
      </c>
      <c r="B425" s="3" t="s">
        <v>431</v>
      </c>
      <c r="C425" s="3" t="s">
        <v>429</v>
      </c>
      <c r="D425" s="3" t="s">
        <v>309</v>
      </c>
      <c r="E425" s="3" t="str">
        <v>Gurzelen</v>
      </c>
      <c r="I425" s="19">
        <v>1682</v>
      </c>
      <c r="J425" s="19" t="s">
        <v>4540</v>
      </c>
    </row>
    <row r="426" spans="1:10" x14ac:dyDescent="0.2">
      <c r="A426" s="3">
        <v>3415</v>
      </c>
      <c r="B426" s="3" t="s">
        <v>432</v>
      </c>
      <c r="C426" s="3" t="s">
        <v>433</v>
      </c>
      <c r="D426" s="3" t="s">
        <v>309</v>
      </c>
      <c r="E426" s="3" t="str">
        <v>Jaberg</v>
      </c>
      <c r="I426" s="19">
        <v>1683</v>
      </c>
      <c r="J426" s="19" t="s">
        <v>4540</v>
      </c>
    </row>
    <row r="427" spans="1:10" x14ac:dyDescent="0.2">
      <c r="A427" s="3">
        <v>3415</v>
      </c>
      <c r="B427" s="3" t="s">
        <v>434</v>
      </c>
      <c r="C427" s="3" t="s">
        <v>433</v>
      </c>
      <c r="D427" s="3" t="s">
        <v>309</v>
      </c>
      <c r="E427" s="3" t="str">
        <v>Kaufdorf</v>
      </c>
      <c r="I427" s="19">
        <v>1684</v>
      </c>
      <c r="J427" s="19" t="s">
        <v>4540</v>
      </c>
    </row>
    <row r="428" spans="1:10" x14ac:dyDescent="0.2">
      <c r="A428" s="3">
        <v>3419</v>
      </c>
      <c r="B428" s="3" t="s">
        <v>435</v>
      </c>
      <c r="C428" s="3" t="s">
        <v>433</v>
      </c>
      <c r="D428" s="3" t="s">
        <v>309</v>
      </c>
      <c r="E428" s="3" t="str">
        <v>Kehrsatz</v>
      </c>
      <c r="I428" s="19">
        <v>1685</v>
      </c>
      <c r="J428" s="19" t="s">
        <v>4540</v>
      </c>
    </row>
    <row r="429" spans="1:10" x14ac:dyDescent="0.2">
      <c r="A429" s="3">
        <v>3412</v>
      </c>
      <c r="B429" s="3" t="s">
        <v>436</v>
      </c>
      <c r="C429" s="3" t="s">
        <v>436</v>
      </c>
      <c r="D429" s="3" t="s">
        <v>309</v>
      </c>
      <c r="E429" s="3" t="str">
        <v>Kirchdorf (BE)</v>
      </c>
      <c r="I429" s="19">
        <v>1686</v>
      </c>
      <c r="J429" s="19" t="s">
        <v>4540</v>
      </c>
    </row>
    <row r="430" spans="1:10" x14ac:dyDescent="0.2">
      <c r="A430" s="3">
        <v>3413</v>
      </c>
      <c r="B430" s="3" t="s">
        <v>437</v>
      </c>
      <c r="C430" s="3" t="s">
        <v>436</v>
      </c>
      <c r="D430" s="3" t="s">
        <v>309</v>
      </c>
      <c r="E430" s="3" t="str">
        <v>Niedermuhlern</v>
      </c>
      <c r="I430" s="19">
        <v>1687</v>
      </c>
      <c r="J430" s="19" t="s">
        <v>4540</v>
      </c>
    </row>
    <row r="431" spans="1:10" x14ac:dyDescent="0.2">
      <c r="A431" s="3">
        <v>3429</v>
      </c>
      <c r="B431" s="3" t="s">
        <v>438</v>
      </c>
      <c r="C431" s="3" t="s">
        <v>438</v>
      </c>
      <c r="D431" s="3" t="s">
        <v>309</v>
      </c>
      <c r="E431" s="3" t="str">
        <v>Riggisberg</v>
      </c>
      <c r="I431" s="19">
        <v>1688</v>
      </c>
      <c r="J431" s="19" t="s">
        <v>4540</v>
      </c>
    </row>
    <row r="432" spans="1:10" x14ac:dyDescent="0.2">
      <c r="A432" s="3">
        <v>3324</v>
      </c>
      <c r="B432" s="3" t="s">
        <v>439</v>
      </c>
      <c r="C432" s="3" t="s">
        <v>439</v>
      </c>
      <c r="D432" s="3" t="s">
        <v>309</v>
      </c>
      <c r="E432" s="3" t="str">
        <v>Rüeggisberg</v>
      </c>
      <c r="I432" s="19">
        <v>1689</v>
      </c>
      <c r="J432" s="19" t="s">
        <v>4540</v>
      </c>
    </row>
    <row r="433" spans="1:10" x14ac:dyDescent="0.2">
      <c r="A433" s="3">
        <v>3324</v>
      </c>
      <c r="B433" s="3" t="s">
        <v>440</v>
      </c>
      <c r="C433" s="3" t="s">
        <v>439</v>
      </c>
      <c r="D433" s="3" t="s">
        <v>309</v>
      </c>
      <c r="E433" s="3" t="str">
        <v>Seftigen</v>
      </c>
      <c r="I433" s="19">
        <v>1690</v>
      </c>
      <c r="J433" s="19" t="s">
        <v>4540</v>
      </c>
    </row>
    <row r="434" spans="1:10" x14ac:dyDescent="0.2">
      <c r="A434" s="3">
        <v>3429</v>
      </c>
      <c r="B434" s="3" t="s">
        <v>441</v>
      </c>
      <c r="C434" s="3" t="s">
        <v>441</v>
      </c>
      <c r="D434" s="3" t="s">
        <v>309</v>
      </c>
      <c r="E434" s="3" t="str">
        <v>Toffen</v>
      </c>
      <c r="I434" s="19">
        <v>1691</v>
      </c>
      <c r="J434" s="19" t="s">
        <v>4540</v>
      </c>
    </row>
    <row r="435" spans="1:10" x14ac:dyDescent="0.2">
      <c r="A435" s="3">
        <v>3309</v>
      </c>
      <c r="B435" s="3" t="s">
        <v>442</v>
      </c>
      <c r="C435" s="3" t="s">
        <v>442</v>
      </c>
      <c r="D435" s="3" t="s">
        <v>309</v>
      </c>
      <c r="E435" s="3" t="str">
        <v>Uttigen</v>
      </c>
      <c r="I435" s="19">
        <v>1692</v>
      </c>
      <c r="J435" s="19" t="s">
        <v>4540</v>
      </c>
    </row>
    <row r="436" spans="1:10" x14ac:dyDescent="0.2">
      <c r="A436" s="3">
        <v>3422</v>
      </c>
      <c r="B436" s="3" t="s">
        <v>443</v>
      </c>
      <c r="C436" s="3" t="s">
        <v>444</v>
      </c>
      <c r="D436" s="3" t="s">
        <v>309</v>
      </c>
      <c r="E436" s="3" t="str">
        <v>Wattenwil</v>
      </c>
      <c r="I436" s="19">
        <v>1694</v>
      </c>
      <c r="J436" s="19" t="s">
        <v>4540</v>
      </c>
    </row>
    <row r="437" spans="1:10" x14ac:dyDescent="0.2">
      <c r="A437" s="3">
        <v>3425</v>
      </c>
      <c r="B437" s="3" t="s">
        <v>445</v>
      </c>
      <c r="C437" s="3" t="s">
        <v>445</v>
      </c>
      <c r="D437" s="3" t="s">
        <v>309</v>
      </c>
      <c r="E437" s="3" t="str">
        <v>Wald (BE)</v>
      </c>
      <c r="I437" s="19">
        <v>1695</v>
      </c>
      <c r="J437" s="19" t="s">
        <v>4540</v>
      </c>
    </row>
    <row r="438" spans="1:10" x14ac:dyDescent="0.2">
      <c r="A438" s="3">
        <v>3325</v>
      </c>
      <c r="B438" s="3" t="s">
        <v>446</v>
      </c>
      <c r="C438" s="3" t="s">
        <v>447</v>
      </c>
      <c r="D438" s="3" t="s">
        <v>309</v>
      </c>
      <c r="E438" s="3" t="str">
        <v>Thurnen</v>
      </c>
      <c r="I438" s="19">
        <v>1696</v>
      </c>
      <c r="J438" s="19" t="s">
        <v>4540</v>
      </c>
    </row>
    <row r="439" spans="1:10" x14ac:dyDescent="0.2">
      <c r="A439" s="3">
        <v>3326</v>
      </c>
      <c r="B439" s="3" t="s">
        <v>447</v>
      </c>
      <c r="C439" s="3" t="s">
        <v>447</v>
      </c>
      <c r="D439" s="3" t="s">
        <v>309</v>
      </c>
      <c r="E439" s="3" t="str">
        <v>Eggiwil</v>
      </c>
      <c r="I439" s="19">
        <v>1697</v>
      </c>
      <c r="J439" s="19" t="s">
        <v>4540</v>
      </c>
    </row>
    <row r="440" spans="1:10" x14ac:dyDescent="0.2">
      <c r="A440" s="3">
        <v>3421</v>
      </c>
      <c r="B440" s="3" t="s">
        <v>448</v>
      </c>
      <c r="C440" s="3" t="s">
        <v>448</v>
      </c>
      <c r="D440" s="3" t="s">
        <v>309</v>
      </c>
      <c r="E440" s="3" t="str">
        <v>Langnau im Emmental</v>
      </c>
      <c r="I440" s="19">
        <v>1699</v>
      </c>
      <c r="J440" s="19" t="s">
        <v>4540</v>
      </c>
    </row>
    <row r="441" spans="1:10" x14ac:dyDescent="0.2">
      <c r="A441" s="3">
        <v>3414</v>
      </c>
      <c r="B441" s="3" t="s">
        <v>449</v>
      </c>
      <c r="C441" s="3" t="s">
        <v>449</v>
      </c>
      <c r="D441" s="3" t="s">
        <v>309</v>
      </c>
      <c r="E441" s="3" t="str">
        <v>Lauperswil</v>
      </c>
      <c r="I441" s="19">
        <v>1700</v>
      </c>
      <c r="J441" s="19" t="s">
        <v>4540</v>
      </c>
    </row>
    <row r="442" spans="1:10" x14ac:dyDescent="0.2">
      <c r="A442" s="3">
        <v>3421</v>
      </c>
      <c r="B442" s="3" t="s">
        <v>448</v>
      </c>
      <c r="C442" s="3" t="s">
        <v>449</v>
      </c>
      <c r="D442" s="3" t="s">
        <v>309</v>
      </c>
      <c r="E442" s="3" t="str">
        <v>Röthenbach im Emmental</v>
      </c>
      <c r="I442" s="19">
        <v>1712</v>
      </c>
      <c r="J442" s="19" t="s">
        <v>4540</v>
      </c>
    </row>
    <row r="443" spans="1:10" x14ac:dyDescent="0.2">
      <c r="A443" s="3">
        <v>3422</v>
      </c>
      <c r="B443" s="3" t="s">
        <v>450</v>
      </c>
      <c r="C443" s="3" t="s">
        <v>451</v>
      </c>
      <c r="D443" s="3" t="s">
        <v>309</v>
      </c>
      <c r="E443" s="3" t="str">
        <v>Rüderswil</v>
      </c>
      <c r="I443" s="19">
        <v>1713</v>
      </c>
      <c r="J443" s="19" t="s">
        <v>4540</v>
      </c>
    </row>
    <row r="444" spans="1:10" x14ac:dyDescent="0.2">
      <c r="A444" s="3">
        <v>3422</v>
      </c>
      <c r="B444" s="3" t="s">
        <v>452</v>
      </c>
      <c r="C444" s="3" t="s">
        <v>451</v>
      </c>
      <c r="D444" s="3" t="s">
        <v>309</v>
      </c>
      <c r="E444" s="3" t="str">
        <v>Schangnau</v>
      </c>
      <c r="I444" s="19">
        <v>1714</v>
      </c>
      <c r="J444" s="19" t="s">
        <v>4546</v>
      </c>
    </row>
    <row r="445" spans="1:10" x14ac:dyDescent="0.2">
      <c r="A445" s="3">
        <v>3472</v>
      </c>
      <c r="B445" s="3" t="s">
        <v>453</v>
      </c>
      <c r="C445" s="3" t="s">
        <v>453</v>
      </c>
      <c r="D445" s="3" t="s">
        <v>309</v>
      </c>
      <c r="E445" s="3" t="str">
        <v>Signau</v>
      </c>
      <c r="I445" s="19">
        <v>1715</v>
      </c>
      <c r="J445" s="19" t="s">
        <v>4540</v>
      </c>
    </row>
    <row r="446" spans="1:10" x14ac:dyDescent="0.2">
      <c r="A446" s="3">
        <v>3421</v>
      </c>
      <c r="B446" s="3" t="s">
        <v>454</v>
      </c>
      <c r="C446" s="3" t="s">
        <v>455</v>
      </c>
      <c r="D446" s="3" t="s">
        <v>309</v>
      </c>
      <c r="E446" s="3" t="str">
        <v>Trub</v>
      </c>
      <c r="I446" s="19">
        <v>1716</v>
      </c>
      <c r="J446" s="19" t="s">
        <v>4540</v>
      </c>
    </row>
    <row r="447" spans="1:10" x14ac:dyDescent="0.2">
      <c r="A447" s="3">
        <v>3425</v>
      </c>
      <c r="B447" s="3" t="s">
        <v>456</v>
      </c>
      <c r="C447" s="3" t="s">
        <v>456</v>
      </c>
      <c r="D447" s="3" t="s">
        <v>309</v>
      </c>
      <c r="E447" s="3" t="str">
        <v>Trubschachen</v>
      </c>
      <c r="I447" s="19">
        <v>1717</v>
      </c>
      <c r="J447" s="19" t="s">
        <v>4540</v>
      </c>
    </row>
    <row r="448" spans="1:10" x14ac:dyDescent="0.2">
      <c r="A448" s="3">
        <v>3472</v>
      </c>
      <c r="B448" s="3" t="s">
        <v>457</v>
      </c>
      <c r="C448" s="3" t="s">
        <v>457</v>
      </c>
      <c r="D448" s="3" t="s">
        <v>309</v>
      </c>
      <c r="E448" s="3" t="str">
        <v>Amsoldingen</v>
      </c>
      <c r="I448" s="19">
        <v>1718</v>
      </c>
      <c r="J448" s="19" t="s">
        <v>4540</v>
      </c>
    </row>
    <row r="449" spans="1:10" x14ac:dyDescent="0.2">
      <c r="A449" s="3">
        <v>3474</v>
      </c>
      <c r="B449" s="3" t="s">
        <v>458</v>
      </c>
      <c r="C449" s="3" t="s">
        <v>457</v>
      </c>
      <c r="D449" s="3" t="s">
        <v>309</v>
      </c>
      <c r="E449" s="3" t="str">
        <v>Blumenstein</v>
      </c>
      <c r="I449" s="19">
        <v>1719</v>
      </c>
      <c r="J449" s="19" t="s">
        <v>4540</v>
      </c>
    </row>
    <row r="450" spans="1:10" x14ac:dyDescent="0.2">
      <c r="A450" s="3">
        <v>2606</v>
      </c>
      <c r="B450" s="3" t="s">
        <v>459</v>
      </c>
      <c r="C450" s="3" t="s">
        <v>459</v>
      </c>
      <c r="D450" s="3" t="s">
        <v>309</v>
      </c>
      <c r="E450" s="3" t="str">
        <v>Buchholterberg</v>
      </c>
      <c r="I450" s="19">
        <v>1720</v>
      </c>
      <c r="J450" s="19" t="s">
        <v>4540</v>
      </c>
    </row>
    <row r="451" spans="1:10" x14ac:dyDescent="0.2">
      <c r="A451" s="3">
        <v>2610</v>
      </c>
      <c r="B451" s="3" t="s">
        <v>460</v>
      </c>
      <c r="C451" s="3" t="s">
        <v>461</v>
      </c>
      <c r="D451" s="3" t="s">
        <v>309</v>
      </c>
      <c r="E451" s="3" t="str">
        <v>Eriz</v>
      </c>
      <c r="I451" s="19">
        <v>1721</v>
      </c>
      <c r="J451" s="19" t="s">
        <v>4540</v>
      </c>
    </row>
    <row r="452" spans="1:10" x14ac:dyDescent="0.2">
      <c r="A452" s="3">
        <v>2612</v>
      </c>
      <c r="B452" s="3" t="s">
        <v>461</v>
      </c>
      <c r="C452" s="3" t="s">
        <v>461</v>
      </c>
      <c r="D452" s="3" t="s">
        <v>309</v>
      </c>
      <c r="E452" s="3" t="str">
        <v>Fahrni</v>
      </c>
      <c r="I452" s="19">
        <v>1722</v>
      </c>
      <c r="J452" s="19" t="s">
        <v>4540</v>
      </c>
    </row>
    <row r="453" spans="1:10" x14ac:dyDescent="0.2">
      <c r="A453" s="3">
        <v>2607</v>
      </c>
      <c r="B453" s="3" t="s">
        <v>462</v>
      </c>
      <c r="C453" s="3" t="s">
        <v>462</v>
      </c>
      <c r="D453" s="3" t="s">
        <v>309</v>
      </c>
      <c r="E453" s="3" t="str">
        <v>Heiligenschwendi</v>
      </c>
      <c r="I453" s="19">
        <v>1723</v>
      </c>
      <c r="J453" s="19" t="s">
        <v>4540</v>
      </c>
    </row>
    <row r="454" spans="1:10" x14ac:dyDescent="0.2">
      <c r="A454" s="3">
        <v>2608</v>
      </c>
      <c r="B454" s="3" t="s">
        <v>463</v>
      </c>
      <c r="C454" s="3" t="s">
        <v>462</v>
      </c>
      <c r="D454" s="3" t="s">
        <v>309</v>
      </c>
      <c r="E454" s="3" t="str">
        <v>Heimberg</v>
      </c>
      <c r="I454" s="19">
        <v>1724</v>
      </c>
      <c r="J454" s="19" t="s">
        <v>4540</v>
      </c>
    </row>
    <row r="455" spans="1:10" x14ac:dyDescent="0.2">
      <c r="A455" s="3">
        <v>2608</v>
      </c>
      <c r="B455" s="3" t="s">
        <v>464</v>
      </c>
      <c r="C455" s="3" t="s">
        <v>464</v>
      </c>
      <c r="D455" s="3" t="s">
        <v>309</v>
      </c>
      <c r="E455" s="3" t="str">
        <v>Hilterfingen</v>
      </c>
      <c r="I455" s="19">
        <v>1725</v>
      </c>
      <c r="J455" s="19" t="s">
        <v>4540</v>
      </c>
    </row>
    <row r="456" spans="1:10" x14ac:dyDescent="0.2">
      <c r="A456" s="3">
        <v>2333</v>
      </c>
      <c r="B456" s="3" t="s">
        <v>465</v>
      </c>
      <c r="C456" s="3" t="s">
        <v>465</v>
      </c>
      <c r="D456" s="3" t="s">
        <v>309</v>
      </c>
      <c r="E456" s="3" t="str">
        <v>Homberg</v>
      </c>
      <c r="I456" s="19">
        <v>1726</v>
      </c>
      <c r="J456" s="19" t="s">
        <v>4540</v>
      </c>
    </row>
    <row r="457" spans="1:10" x14ac:dyDescent="0.2">
      <c r="A457" s="3">
        <v>2723</v>
      </c>
      <c r="B457" s="3" t="s">
        <v>466</v>
      </c>
      <c r="C457" s="3" t="s">
        <v>466</v>
      </c>
      <c r="D457" s="3" t="s">
        <v>309</v>
      </c>
      <c r="E457" s="3" t="str">
        <v>Horrenbach-Buchen</v>
      </c>
      <c r="I457" s="19">
        <v>1727</v>
      </c>
      <c r="J457" s="19" t="s">
        <v>4540</v>
      </c>
    </row>
    <row r="458" spans="1:10" x14ac:dyDescent="0.2">
      <c r="A458" s="3">
        <v>2534</v>
      </c>
      <c r="B458" s="3" t="s">
        <v>467</v>
      </c>
      <c r="C458" s="3" t="s">
        <v>467</v>
      </c>
      <c r="D458" s="3" t="s">
        <v>309</v>
      </c>
      <c r="E458" s="3" t="str">
        <v>Oberhofen am Thunersee</v>
      </c>
      <c r="I458" s="19">
        <v>1728</v>
      </c>
      <c r="J458" s="19" t="s">
        <v>4540</v>
      </c>
    </row>
    <row r="459" spans="1:10" x14ac:dyDescent="0.2">
      <c r="A459" s="3">
        <v>2534</v>
      </c>
      <c r="B459" s="3" t="s">
        <v>468</v>
      </c>
      <c r="C459" s="3" t="s">
        <v>467</v>
      </c>
      <c r="D459" s="3" t="s">
        <v>309</v>
      </c>
      <c r="E459" s="3" t="str">
        <v>Pohlern</v>
      </c>
      <c r="I459" s="19">
        <v>1730</v>
      </c>
      <c r="J459" s="19" t="s">
        <v>4540</v>
      </c>
    </row>
    <row r="460" spans="1:10" x14ac:dyDescent="0.2">
      <c r="A460" s="3">
        <v>2616</v>
      </c>
      <c r="B460" s="3" t="s">
        <v>469</v>
      </c>
      <c r="C460" s="3" t="s">
        <v>470</v>
      </c>
      <c r="D460" s="3" t="s">
        <v>309</v>
      </c>
      <c r="E460" s="3" t="str">
        <v>Sigriswil</v>
      </c>
      <c r="I460" s="19">
        <v>1731</v>
      </c>
      <c r="J460" s="19" t="s">
        <v>4540</v>
      </c>
    </row>
    <row r="461" spans="1:10" x14ac:dyDescent="0.2">
      <c r="A461" s="3">
        <v>2538</v>
      </c>
      <c r="B461" s="3" t="s">
        <v>471</v>
      </c>
      <c r="C461" s="3" t="s">
        <v>472</v>
      </c>
      <c r="D461" s="3" t="s">
        <v>309</v>
      </c>
      <c r="E461" s="3" t="str">
        <v>Steffisburg</v>
      </c>
      <c r="I461" s="19">
        <v>1732</v>
      </c>
      <c r="J461" s="19" t="s">
        <v>4540</v>
      </c>
    </row>
    <row r="462" spans="1:10" x14ac:dyDescent="0.2">
      <c r="A462" s="3">
        <v>2610</v>
      </c>
      <c r="B462" s="3" t="s">
        <v>473</v>
      </c>
      <c r="C462" s="3" t="s">
        <v>474</v>
      </c>
      <c r="D462" s="3" t="s">
        <v>309</v>
      </c>
      <c r="E462" s="3" t="str">
        <v>Teuffenthal (BE)</v>
      </c>
      <c r="I462" s="19">
        <v>1733</v>
      </c>
      <c r="J462" s="19" t="s">
        <v>4540</v>
      </c>
    </row>
    <row r="463" spans="1:10" x14ac:dyDescent="0.2">
      <c r="A463" s="3">
        <v>2610</v>
      </c>
      <c r="B463" s="3" t="s">
        <v>475</v>
      </c>
      <c r="C463" s="3" t="s">
        <v>474</v>
      </c>
      <c r="D463" s="3" t="s">
        <v>309</v>
      </c>
      <c r="E463" s="3" t="str">
        <v>Thierachern</v>
      </c>
      <c r="I463" s="19">
        <v>1734</v>
      </c>
      <c r="J463" s="19" t="s">
        <v>4540</v>
      </c>
    </row>
    <row r="464" spans="1:10" x14ac:dyDescent="0.2">
      <c r="A464" s="3">
        <v>2610</v>
      </c>
      <c r="B464" s="3" t="s">
        <v>476</v>
      </c>
      <c r="C464" s="3" t="s">
        <v>474</v>
      </c>
      <c r="D464" s="3" t="s">
        <v>309</v>
      </c>
      <c r="E464" s="3" t="str">
        <v>Thun</v>
      </c>
      <c r="I464" s="19">
        <v>1735</v>
      </c>
      <c r="J464" s="19" t="s">
        <v>4540</v>
      </c>
    </row>
    <row r="465" spans="1:10" x14ac:dyDescent="0.2">
      <c r="A465" s="3">
        <v>2605</v>
      </c>
      <c r="B465" s="3" t="s">
        <v>477</v>
      </c>
      <c r="C465" s="3" t="s">
        <v>477</v>
      </c>
      <c r="D465" s="3" t="s">
        <v>309</v>
      </c>
      <c r="E465" s="3" t="str">
        <v>Uebeschi</v>
      </c>
      <c r="I465" s="19">
        <v>1736</v>
      </c>
      <c r="J465" s="19" t="s">
        <v>4540</v>
      </c>
    </row>
    <row r="466" spans="1:10" x14ac:dyDescent="0.2">
      <c r="A466" s="3">
        <v>2615</v>
      </c>
      <c r="B466" s="3" t="s">
        <v>478</v>
      </c>
      <c r="C466" s="3" t="s">
        <v>478</v>
      </c>
      <c r="D466" s="3" t="s">
        <v>309</v>
      </c>
      <c r="E466" s="3" t="str">
        <v>Uetendorf</v>
      </c>
      <c r="I466" s="19">
        <v>1737</v>
      </c>
      <c r="J466" s="19" t="s">
        <v>4540</v>
      </c>
    </row>
    <row r="467" spans="1:10" x14ac:dyDescent="0.2">
      <c r="A467" s="3">
        <v>2615</v>
      </c>
      <c r="B467" s="3" t="s">
        <v>479</v>
      </c>
      <c r="C467" s="3" t="s">
        <v>478</v>
      </c>
      <c r="D467" s="3" t="s">
        <v>309</v>
      </c>
      <c r="E467" s="3" t="str">
        <v>Unterlangenegg</v>
      </c>
      <c r="I467" s="19">
        <v>1738</v>
      </c>
      <c r="J467" s="19" t="s">
        <v>4540</v>
      </c>
    </row>
    <row r="468" spans="1:10" x14ac:dyDescent="0.2">
      <c r="A468" s="3">
        <v>2720</v>
      </c>
      <c r="B468" s="3" t="s">
        <v>480</v>
      </c>
      <c r="C468" s="3" t="s">
        <v>480</v>
      </c>
      <c r="D468" s="3" t="s">
        <v>309</v>
      </c>
      <c r="E468" s="3" t="str">
        <v>Wachseldorn</v>
      </c>
      <c r="I468" s="19">
        <v>1740</v>
      </c>
      <c r="J468" s="19" t="s">
        <v>4540</v>
      </c>
    </row>
    <row r="469" spans="1:10" x14ac:dyDescent="0.2">
      <c r="A469" s="3">
        <v>2722</v>
      </c>
      <c r="B469" s="3" t="s">
        <v>481</v>
      </c>
      <c r="C469" s="3" t="s">
        <v>480</v>
      </c>
      <c r="D469" s="3" t="s">
        <v>309</v>
      </c>
      <c r="E469" s="3" t="str">
        <v>Zwieselberg</v>
      </c>
      <c r="I469" s="19">
        <v>1741</v>
      </c>
      <c r="J469" s="19" t="s">
        <v>4540</v>
      </c>
    </row>
    <row r="470" spans="1:10" x14ac:dyDescent="0.2">
      <c r="A470" s="3">
        <v>2613</v>
      </c>
      <c r="B470" s="3" t="s">
        <v>482</v>
      </c>
      <c r="C470" s="3" t="s">
        <v>482</v>
      </c>
      <c r="D470" s="3" t="s">
        <v>309</v>
      </c>
      <c r="E470" s="3" t="str">
        <v>Forst-Längenbühl</v>
      </c>
      <c r="I470" s="19">
        <v>1742</v>
      </c>
      <c r="J470" s="19" t="s">
        <v>4540</v>
      </c>
    </row>
    <row r="471" spans="1:10" x14ac:dyDescent="0.2">
      <c r="A471" s="3">
        <v>2535</v>
      </c>
      <c r="B471" s="3" t="s">
        <v>483</v>
      </c>
      <c r="C471" s="3" t="s">
        <v>484</v>
      </c>
      <c r="D471" s="3" t="s">
        <v>309</v>
      </c>
      <c r="E471" s="3" t="str">
        <v>Affoltern im Emmental</v>
      </c>
      <c r="I471" s="19">
        <v>1744</v>
      </c>
      <c r="J471" s="19" t="s">
        <v>4540</v>
      </c>
    </row>
    <row r="472" spans="1:10" x14ac:dyDescent="0.2">
      <c r="A472" s="3">
        <v>2536</v>
      </c>
      <c r="B472" s="3" t="s">
        <v>485</v>
      </c>
      <c r="C472" s="3" t="s">
        <v>484</v>
      </c>
      <c r="D472" s="3" t="s">
        <v>309</v>
      </c>
      <c r="E472" s="3" t="str">
        <v>Dürrenroth</v>
      </c>
      <c r="I472" s="19">
        <v>1745</v>
      </c>
      <c r="J472" s="19" t="s">
        <v>4540</v>
      </c>
    </row>
    <row r="473" spans="1:10" x14ac:dyDescent="0.2">
      <c r="A473" s="3">
        <v>2537</v>
      </c>
      <c r="B473" s="3" t="s">
        <v>486</v>
      </c>
      <c r="C473" s="3" t="s">
        <v>484</v>
      </c>
      <c r="D473" s="3" t="s">
        <v>309</v>
      </c>
      <c r="E473" s="3" t="str">
        <v>Eriswil</v>
      </c>
      <c r="I473" s="19">
        <v>1746</v>
      </c>
      <c r="J473" s="19" t="s">
        <v>4540</v>
      </c>
    </row>
    <row r="474" spans="1:10" x14ac:dyDescent="0.2">
      <c r="A474" s="3">
        <v>2603</v>
      </c>
      <c r="B474" s="3" t="s">
        <v>487</v>
      </c>
      <c r="C474" s="3" t="s">
        <v>488</v>
      </c>
      <c r="D474" s="3" t="s">
        <v>309</v>
      </c>
      <c r="E474" s="3" t="str">
        <v>Huttwil</v>
      </c>
      <c r="I474" s="19">
        <v>1747</v>
      </c>
      <c r="J474" s="19" t="s">
        <v>4540</v>
      </c>
    </row>
    <row r="475" spans="1:10" x14ac:dyDescent="0.2">
      <c r="A475" s="3">
        <v>2604</v>
      </c>
      <c r="B475" s="3" t="s">
        <v>489</v>
      </c>
      <c r="C475" s="3" t="s">
        <v>488</v>
      </c>
      <c r="D475" s="3" t="s">
        <v>309</v>
      </c>
      <c r="E475" s="3" t="str">
        <v>Lützelflüh</v>
      </c>
      <c r="I475" s="19">
        <v>1748</v>
      </c>
      <c r="J475" s="19" t="s">
        <v>4540</v>
      </c>
    </row>
    <row r="476" spans="1:10" x14ac:dyDescent="0.2">
      <c r="A476" s="3">
        <v>3237</v>
      </c>
      <c r="B476" s="3" t="s">
        <v>490</v>
      </c>
      <c r="C476" s="3" t="s">
        <v>490</v>
      </c>
      <c r="D476" s="3" t="s">
        <v>309</v>
      </c>
      <c r="E476" s="3" t="str">
        <v>Rüegsau</v>
      </c>
      <c r="I476" s="19">
        <v>1749</v>
      </c>
      <c r="J476" s="19" t="s">
        <v>4540</v>
      </c>
    </row>
    <row r="477" spans="1:10" x14ac:dyDescent="0.2">
      <c r="A477" s="3">
        <v>3235</v>
      </c>
      <c r="B477" s="3" t="s">
        <v>491</v>
      </c>
      <c r="C477" s="3" t="s">
        <v>491</v>
      </c>
      <c r="D477" s="3" t="s">
        <v>309</v>
      </c>
      <c r="E477" s="3" t="str">
        <v>Sumiswald</v>
      </c>
      <c r="I477" s="19">
        <v>1752</v>
      </c>
      <c r="J477" s="19" t="s">
        <v>4540</v>
      </c>
    </row>
    <row r="478" spans="1:10" x14ac:dyDescent="0.2">
      <c r="A478" s="3">
        <v>2577</v>
      </c>
      <c r="B478" s="3" t="s">
        <v>492</v>
      </c>
      <c r="C478" s="3" t="s">
        <v>492</v>
      </c>
      <c r="D478" s="3" t="s">
        <v>309</v>
      </c>
      <c r="E478" s="3" t="str">
        <v>Trachselwald</v>
      </c>
      <c r="I478" s="19">
        <v>1753</v>
      </c>
      <c r="J478" s="19" t="s">
        <v>4540</v>
      </c>
    </row>
    <row r="479" spans="1:10" x14ac:dyDescent="0.2">
      <c r="A479" s="3">
        <v>3238</v>
      </c>
      <c r="B479" s="3" t="s">
        <v>493</v>
      </c>
      <c r="C479" s="3" t="s">
        <v>493</v>
      </c>
      <c r="D479" s="3" t="s">
        <v>309</v>
      </c>
      <c r="E479" s="3" t="str">
        <v>Walterswil (BE)</v>
      </c>
      <c r="I479" s="19">
        <v>1754</v>
      </c>
      <c r="J479" s="19" t="s">
        <v>4540</v>
      </c>
    </row>
    <row r="480" spans="1:10" x14ac:dyDescent="0.2">
      <c r="A480" s="3">
        <v>3236</v>
      </c>
      <c r="B480" s="3" t="s">
        <v>494</v>
      </c>
      <c r="C480" s="3" t="s">
        <v>494</v>
      </c>
      <c r="D480" s="3" t="s">
        <v>309</v>
      </c>
      <c r="E480" s="3" t="str">
        <v>Wyssachen</v>
      </c>
      <c r="I480" s="19">
        <v>1756</v>
      </c>
      <c r="J480" s="19" t="s">
        <v>4540</v>
      </c>
    </row>
    <row r="481" spans="1:10" x14ac:dyDescent="0.2">
      <c r="A481" s="3">
        <v>3232</v>
      </c>
      <c r="B481" s="3" t="s">
        <v>495</v>
      </c>
      <c r="C481" s="3" t="s">
        <v>495</v>
      </c>
      <c r="D481" s="3" t="s">
        <v>309</v>
      </c>
      <c r="E481" s="3" t="str">
        <v>Attiswil</v>
      </c>
      <c r="I481" s="19">
        <v>1757</v>
      </c>
      <c r="J481" s="19" t="s">
        <v>4540</v>
      </c>
    </row>
    <row r="482" spans="1:10" x14ac:dyDescent="0.2">
      <c r="A482" s="3">
        <v>2576</v>
      </c>
      <c r="B482" s="3" t="s">
        <v>496</v>
      </c>
      <c r="C482" s="3" t="s">
        <v>496</v>
      </c>
      <c r="D482" s="3" t="s">
        <v>309</v>
      </c>
      <c r="E482" s="3" t="str">
        <v>Berken</v>
      </c>
      <c r="I482" s="19">
        <v>1762</v>
      </c>
      <c r="J482" s="19" t="s">
        <v>4540</v>
      </c>
    </row>
    <row r="483" spans="1:10" x14ac:dyDescent="0.2">
      <c r="A483" s="3">
        <v>3225</v>
      </c>
      <c r="B483" s="3" t="s">
        <v>497</v>
      </c>
      <c r="C483" s="3" t="s">
        <v>497</v>
      </c>
      <c r="D483" s="3" t="s">
        <v>309</v>
      </c>
      <c r="E483" s="3" t="str">
        <v>Bettenhausen</v>
      </c>
      <c r="I483" s="19">
        <v>1763</v>
      </c>
      <c r="J483" s="19" t="s">
        <v>4540</v>
      </c>
    </row>
    <row r="484" spans="1:10" x14ac:dyDescent="0.2">
      <c r="A484" s="3">
        <v>2577</v>
      </c>
      <c r="B484" s="3" t="s">
        <v>498</v>
      </c>
      <c r="C484" s="3" t="s">
        <v>499</v>
      </c>
      <c r="D484" s="3" t="s">
        <v>309</v>
      </c>
      <c r="E484" s="3" t="str">
        <v>Farnern</v>
      </c>
      <c r="I484" s="19">
        <v>1772</v>
      </c>
      <c r="J484" s="19" t="s">
        <v>4540</v>
      </c>
    </row>
    <row r="485" spans="1:10" x14ac:dyDescent="0.2">
      <c r="A485" s="3">
        <v>3226</v>
      </c>
      <c r="B485" s="3" t="s">
        <v>500</v>
      </c>
      <c r="C485" s="3" t="s">
        <v>500</v>
      </c>
      <c r="D485" s="3" t="s">
        <v>309</v>
      </c>
      <c r="E485" s="3" t="str">
        <v>Graben</v>
      </c>
      <c r="I485" s="19">
        <v>1773</v>
      </c>
      <c r="J485" s="19" t="s">
        <v>4540</v>
      </c>
    </row>
    <row r="486" spans="1:10" x14ac:dyDescent="0.2">
      <c r="A486" s="3">
        <v>3233</v>
      </c>
      <c r="B486" s="3" t="s">
        <v>501</v>
      </c>
      <c r="C486" s="3" t="s">
        <v>501</v>
      </c>
      <c r="D486" s="3" t="s">
        <v>309</v>
      </c>
      <c r="E486" s="3" t="str">
        <v>Heimenhausen</v>
      </c>
      <c r="I486" s="19">
        <v>1774</v>
      </c>
      <c r="J486" s="19" t="s">
        <v>4540</v>
      </c>
    </row>
    <row r="487" spans="1:10" x14ac:dyDescent="0.2">
      <c r="A487" s="3">
        <v>3234</v>
      </c>
      <c r="B487" s="3" t="s">
        <v>502</v>
      </c>
      <c r="C487" s="3" t="s">
        <v>502</v>
      </c>
      <c r="D487" s="3" t="s">
        <v>309</v>
      </c>
      <c r="E487" s="3" t="str">
        <v>Herzogenbuchsee</v>
      </c>
      <c r="I487" s="19">
        <v>1775</v>
      </c>
      <c r="J487" s="19" t="s">
        <v>4540</v>
      </c>
    </row>
    <row r="488" spans="1:10" x14ac:dyDescent="0.2">
      <c r="A488" s="3">
        <v>3315</v>
      </c>
      <c r="B488" s="3" t="s">
        <v>503</v>
      </c>
      <c r="C488" s="3" t="s">
        <v>503</v>
      </c>
      <c r="D488" s="3" t="s">
        <v>309</v>
      </c>
      <c r="E488" s="3" t="str">
        <v>Inkwil</v>
      </c>
      <c r="I488" s="19">
        <v>1776</v>
      </c>
      <c r="J488" s="19" t="s">
        <v>4540</v>
      </c>
    </row>
    <row r="489" spans="1:10" x14ac:dyDescent="0.2">
      <c r="A489" s="3">
        <v>3315</v>
      </c>
      <c r="B489" s="3" t="s">
        <v>504</v>
      </c>
      <c r="C489" s="3" t="s">
        <v>503</v>
      </c>
      <c r="D489" s="3" t="s">
        <v>309</v>
      </c>
      <c r="E489" s="3" t="str">
        <v>Niederbipp</v>
      </c>
      <c r="I489" s="19">
        <v>1782</v>
      </c>
      <c r="J489" s="19" t="s">
        <v>4540</v>
      </c>
    </row>
    <row r="490" spans="1:10" x14ac:dyDescent="0.2">
      <c r="A490" s="3">
        <v>3053</v>
      </c>
      <c r="B490" s="3" t="s">
        <v>505</v>
      </c>
      <c r="C490" s="3" t="s">
        <v>506</v>
      </c>
      <c r="D490" s="3" t="s">
        <v>309</v>
      </c>
      <c r="E490" s="3" t="str">
        <v>Niederönz</v>
      </c>
      <c r="I490" s="19">
        <v>1783</v>
      </c>
      <c r="J490" s="19" t="s">
        <v>4540</v>
      </c>
    </row>
    <row r="491" spans="1:10" x14ac:dyDescent="0.2">
      <c r="A491" s="3">
        <v>3053</v>
      </c>
      <c r="B491" s="3" t="s">
        <v>507</v>
      </c>
      <c r="C491" s="3" t="s">
        <v>507</v>
      </c>
      <c r="D491" s="3" t="s">
        <v>309</v>
      </c>
      <c r="E491" s="3" t="str">
        <v>Oberbipp</v>
      </c>
      <c r="I491" s="19">
        <v>1784</v>
      </c>
      <c r="J491" s="19" t="s">
        <v>4540</v>
      </c>
    </row>
    <row r="492" spans="1:10" x14ac:dyDescent="0.2">
      <c r="A492" s="3">
        <v>3306</v>
      </c>
      <c r="B492" s="3" t="s">
        <v>508</v>
      </c>
      <c r="C492" s="3" t="s">
        <v>509</v>
      </c>
      <c r="D492" s="3" t="s">
        <v>309</v>
      </c>
      <c r="E492" s="3" t="str">
        <v>Ochlenberg</v>
      </c>
      <c r="I492" s="19">
        <v>1785</v>
      </c>
      <c r="J492" s="19" t="s">
        <v>4543</v>
      </c>
    </row>
    <row r="493" spans="1:10" x14ac:dyDescent="0.2">
      <c r="A493" s="3">
        <v>3308</v>
      </c>
      <c r="B493" s="3" t="s">
        <v>510</v>
      </c>
      <c r="C493" s="3" t="s">
        <v>509</v>
      </c>
      <c r="D493" s="3" t="s">
        <v>309</v>
      </c>
      <c r="E493" s="3" t="str">
        <v>Rumisberg</v>
      </c>
      <c r="I493" s="19">
        <v>1786</v>
      </c>
      <c r="J493" s="19" t="s">
        <v>4543</v>
      </c>
    </row>
    <row r="494" spans="1:10" x14ac:dyDescent="0.2">
      <c r="A494" s="3">
        <v>3309</v>
      </c>
      <c r="B494" s="3" t="s">
        <v>511</v>
      </c>
      <c r="C494" s="3" t="s">
        <v>509</v>
      </c>
      <c r="D494" s="3" t="s">
        <v>309</v>
      </c>
      <c r="E494" s="3" t="str">
        <v>Seeberg</v>
      </c>
      <c r="I494" s="19">
        <v>1787</v>
      </c>
      <c r="J494" s="19" t="s">
        <v>4543</v>
      </c>
    </row>
    <row r="495" spans="1:10" x14ac:dyDescent="0.2">
      <c r="A495" s="3">
        <v>3312</v>
      </c>
      <c r="B495" s="3" t="s">
        <v>509</v>
      </c>
      <c r="C495" s="3" t="s">
        <v>509</v>
      </c>
      <c r="D495" s="3" t="s">
        <v>309</v>
      </c>
      <c r="E495" s="3" t="str">
        <v>Thörigen</v>
      </c>
      <c r="I495" s="19">
        <v>1788</v>
      </c>
      <c r="J495" s="19" t="s">
        <v>4543</v>
      </c>
    </row>
    <row r="496" spans="1:10" x14ac:dyDescent="0.2">
      <c r="A496" s="3">
        <v>3313</v>
      </c>
      <c r="B496" s="3" t="s">
        <v>512</v>
      </c>
      <c r="C496" s="3" t="s">
        <v>509</v>
      </c>
      <c r="D496" s="3" t="s">
        <v>309</v>
      </c>
      <c r="E496" s="3" t="str">
        <v>Walliswil bei Niederbipp</v>
      </c>
      <c r="I496" s="19">
        <v>1789</v>
      </c>
      <c r="J496" s="19" t="s">
        <v>4543</v>
      </c>
    </row>
    <row r="497" spans="1:10" x14ac:dyDescent="0.2">
      <c r="A497" s="3">
        <v>3314</v>
      </c>
      <c r="B497" s="3" t="s">
        <v>513</v>
      </c>
      <c r="C497" s="3" t="s">
        <v>509</v>
      </c>
      <c r="D497" s="3" t="s">
        <v>309</v>
      </c>
      <c r="E497" s="3" t="str">
        <v>Walliswil bei Wangen</v>
      </c>
      <c r="I497" s="19">
        <v>1791</v>
      </c>
      <c r="J497" s="19" t="s">
        <v>4540</v>
      </c>
    </row>
    <row r="498" spans="1:10" x14ac:dyDescent="0.2">
      <c r="A498" s="3">
        <v>3317</v>
      </c>
      <c r="B498" s="3" t="s">
        <v>514</v>
      </c>
      <c r="C498" s="3" t="s">
        <v>509</v>
      </c>
      <c r="D498" s="3" t="s">
        <v>309</v>
      </c>
      <c r="E498" s="3" t="str">
        <v>Wangen an der Aare</v>
      </c>
      <c r="I498" s="19">
        <v>1792</v>
      </c>
      <c r="J498" s="19" t="s">
        <v>4540</v>
      </c>
    </row>
    <row r="499" spans="1:10" x14ac:dyDescent="0.2">
      <c r="A499" s="3">
        <v>3317</v>
      </c>
      <c r="B499" s="3" t="s">
        <v>515</v>
      </c>
      <c r="C499" s="3" t="s">
        <v>509</v>
      </c>
      <c r="D499" s="3" t="s">
        <v>309</v>
      </c>
      <c r="E499" s="3" t="str">
        <v>Wangenried</v>
      </c>
      <c r="I499" s="19">
        <v>1793</v>
      </c>
      <c r="J499" s="19" t="s">
        <v>4543</v>
      </c>
    </row>
    <row r="500" spans="1:10" x14ac:dyDescent="0.2">
      <c r="A500" s="3">
        <v>3303</v>
      </c>
      <c r="B500" s="3" t="s">
        <v>516</v>
      </c>
      <c r="C500" s="3" t="s">
        <v>516</v>
      </c>
      <c r="D500" s="3" t="s">
        <v>309</v>
      </c>
      <c r="E500" s="3" t="str">
        <v>Wiedlisbach</v>
      </c>
      <c r="I500" s="19">
        <v>1794</v>
      </c>
      <c r="J500" s="19" t="s">
        <v>4543</v>
      </c>
    </row>
    <row r="501" spans="1:10" x14ac:dyDescent="0.2">
      <c r="A501" s="3">
        <v>3303</v>
      </c>
      <c r="B501" s="3" t="s">
        <v>517</v>
      </c>
      <c r="C501" s="3" t="s">
        <v>516</v>
      </c>
      <c r="D501" s="3" t="s">
        <v>309</v>
      </c>
      <c r="E501" s="3" t="str">
        <v>Doppleschwand</v>
      </c>
      <c r="I501" s="19">
        <v>1795</v>
      </c>
      <c r="J501" s="19" t="s">
        <v>4543</v>
      </c>
    </row>
    <row r="502" spans="1:10" x14ac:dyDescent="0.2">
      <c r="A502" s="3">
        <v>3303</v>
      </c>
      <c r="B502" s="3" t="s">
        <v>518</v>
      </c>
      <c r="C502" s="3" t="s">
        <v>516</v>
      </c>
      <c r="D502" s="3" t="s">
        <v>309</v>
      </c>
      <c r="E502" s="3" t="str">
        <v>Entlebuch</v>
      </c>
      <c r="I502" s="19">
        <v>1796</v>
      </c>
      <c r="J502" s="19" t="s">
        <v>4543</v>
      </c>
    </row>
    <row r="503" spans="1:10" x14ac:dyDescent="0.2">
      <c r="A503" s="3">
        <v>3305</v>
      </c>
      <c r="B503" s="3" t="s">
        <v>519</v>
      </c>
      <c r="C503" s="3" t="s">
        <v>516</v>
      </c>
      <c r="D503" s="3" t="s">
        <v>309</v>
      </c>
      <c r="E503" s="3" t="str">
        <v>Flühli</v>
      </c>
      <c r="I503" s="19">
        <v>1797</v>
      </c>
      <c r="J503" s="19" t="s">
        <v>4543</v>
      </c>
    </row>
    <row r="504" spans="1:10" x14ac:dyDescent="0.2">
      <c r="A504" s="3">
        <v>3305</v>
      </c>
      <c r="B504" s="3" t="s">
        <v>520</v>
      </c>
      <c r="C504" s="3" t="s">
        <v>520</v>
      </c>
      <c r="D504" s="3" t="s">
        <v>309</v>
      </c>
      <c r="E504" s="3" t="str">
        <v>Hasle (LU)</v>
      </c>
      <c r="I504" s="19">
        <v>1800</v>
      </c>
      <c r="J504" s="19" t="s">
        <v>4539</v>
      </c>
    </row>
    <row r="505" spans="1:10" x14ac:dyDescent="0.2">
      <c r="A505" s="3">
        <v>3322</v>
      </c>
      <c r="B505" s="3" t="s">
        <v>521</v>
      </c>
      <c r="C505" s="3" t="s">
        <v>521</v>
      </c>
      <c r="D505" s="3" t="s">
        <v>309</v>
      </c>
      <c r="E505" s="3" t="str">
        <v>Romoos</v>
      </c>
      <c r="I505" s="19">
        <v>1801</v>
      </c>
      <c r="J505" s="19" t="s">
        <v>4539</v>
      </c>
    </row>
    <row r="506" spans="1:10" x14ac:dyDescent="0.2">
      <c r="A506" s="3">
        <v>3302</v>
      </c>
      <c r="B506" s="3" t="s">
        <v>522</v>
      </c>
      <c r="C506" s="3" t="s">
        <v>522</v>
      </c>
      <c r="D506" s="3" t="s">
        <v>309</v>
      </c>
      <c r="E506" s="3" t="str">
        <v>Schüpfheim</v>
      </c>
      <c r="I506" s="19">
        <v>1802</v>
      </c>
      <c r="J506" s="19" t="s">
        <v>4539</v>
      </c>
    </row>
    <row r="507" spans="1:10" x14ac:dyDescent="0.2">
      <c r="A507" s="3">
        <v>3053</v>
      </c>
      <c r="B507" s="3" t="s">
        <v>523</v>
      </c>
      <c r="C507" s="3" t="s">
        <v>523</v>
      </c>
      <c r="D507" s="3" t="s">
        <v>309</v>
      </c>
      <c r="E507" s="3" t="str">
        <v>Werthenstein</v>
      </c>
      <c r="I507" s="19">
        <v>1803</v>
      </c>
      <c r="J507" s="19" t="s">
        <v>4539</v>
      </c>
    </row>
    <row r="508" spans="1:10" x14ac:dyDescent="0.2">
      <c r="A508" s="3">
        <v>3322</v>
      </c>
      <c r="B508" s="3" t="s">
        <v>524</v>
      </c>
      <c r="C508" s="3" t="s">
        <v>524</v>
      </c>
      <c r="D508" s="3" t="s">
        <v>309</v>
      </c>
      <c r="E508" s="3" t="str">
        <v>Escholzmatt-Marbach</v>
      </c>
      <c r="I508" s="19">
        <v>1804</v>
      </c>
      <c r="J508" s="19" t="s">
        <v>4539</v>
      </c>
    </row>
    <row r="509" spans="1:10" x14ac:dyDescent="0.2">
      <c r="A509" s="3">
        <v>3427</v>
      </c>
      <c r="B509" s="3" t="s">
        <v>525</v>
      </c>
      <c r="C509" s="3" t="s">
        <v>525</v>
      </c>
      <c r="D509" s="3" t="s">
        <v>309</v>
      </c>
      <c r="E509" s="3" t="str">
        <v>Aesch (LU)</v>
      </c>
      <c r="I509" s="19">
        <v>1805</v>
      </c>
      <c r="J509" s="19" t="s">
        <v>4539</v>
      </c>
    </row>
    <row r="510" spans="1:10" x14ac:dyDescent="0.2">
      <c r="A510" s="3">
        <v>3053</v>
      </c>
      <c r="B510" s="3" t="s">
        <v>526</v>
      </c>
      <c r="C510" s="3" t="s">
        <v>526</v>
      </c>
      <c r="D510" s="3" t="s">
        <v>309</v>
      </c>
      <c r="E510" s="3" t="str">
        <v>Ballwil</v>
      </c>
      <c r="I510" s="19">
        <v>1806</v>
      </c>
      <c r="J510" s="19" t="s">
        <v>4539</v>
      </c>
    </row>
    <row r="511" spans="1:10" x14ac:dyDescent="0.2">
      <c r="A511" s="3">
        <v>3428</v>
      </c>
      <c r="B511" s="3" t="s">
        <v>527</v>
      </c>
      <c r="C511" s="3" t="s">
        <v>528</v>
      </c>
      <c r="D511" s="3" t="s">
        <v>309</v>
      </c>
      <c r="E511" s="3" t="str">
        <v>Emmen</v>
      </c>
      <c r="I511" s="19">
        <v>1807</v>
      </c>
      <c r="J511" s="19" t="s">
        <v>4539</v>
      </c>
    </row>
    <row r="512" spans="1:10" x14ac:dyDescent="0.2">
      <c r="A512" s="3">
        <v>4564</v>
      </c>
      <c r="B512" s="3" t="s">
        <v>529</v>
      </c>
      <c r="C512" s="3" t="s">
        <v>529</v>
      </c>
      <c r="D512" s="3" t="s">
        <v>309</v>
      </c>
      <c r="E512" s="3" t="str">
        <v>Ermensee</v>
      </c>
      <c r="I512" s="19">
        <v>1808</v>
      </c>
      <c r="J512" s="19" t="s">
        <v>4539</v>
      </c>
    </row>
    <row r="513" spans="1:10" x14ac:dyDescent="0.2">
      <c r="A513" s="3">
        <v>3303</v>
      </c>
      <c r="B513" s="3" t="s">
        <v>530</v>
      </c>
      <c r="C513" s="3" t="s">
        <v>531</v>
      </c>
      <c r="D513" s="3" t="s">
        <v>309</v>
      </c>
      <c r="E513" s="3" t="str">
        <v>Eschenbach (LU)</v>
      </c>
      <c r="I513" s="19">
        <v>1809</v>
      </c>
      <c r="J513" s="19" t="s">
        <v>4539</v>
      </c>
    </row>
    <row r="514" spans="1:10" x14ac:dyDescent="0.2">
      <c r="A514" s="3">
        <v>3715</v>
      </c>
      <c r="B514" s="3" t="s">
        <v>532</v>
      </c>
      <c r="C514" s="3" t="s">
        <v>532</v>
      </c>
      <c r="D514" s="3" t="s">
        <v>309</v>
      </c>
      <c r="E514" s="3" t="str">
        <v>Hitzkirch</v>
      </c>
      <c r="I514" s="19">
        <v>1814</v>
      </c>
      <c r="J514" s="19" t="s">
        <v>4539</v>
      </c>
    </row>
    <row r="515" spans="1:10" x14ac:dyDescent="0.2">
      <c r="A515" s="3">
        <v>3703</v>
      </c>
      <c r="B515" s="3" t="s">
        <v>533</v>
      </c>
      <c r="C515" s="3" t="s">
        <v>534</v>
      </c>
      <c r="D515" s="3" t="s">
        <v>309</v>
      </c>
      <c r="E515" s="3" t="str">
        <v>Hochdorf</v>
      </c>
      <c r="I515" s="19">
        <v>1815</v>
      </c>
      <c r="J515" s="19" t="s">
        <v>4539</v>
      </c>
    </row>
    <row r="516" spans="1:10" x14ac:dyDescent="0.2">
      <c r="A516" s="3">
        <v>3703</v>
      </c>
      <c r="B516" s="3" t="s">
        <v>535</v>
      </c>
      <c r="C516" s="3" t="s">
        <v>534</v>
      </c>
      <c r="D516" s="3" t="s">
        <v>309</v>
      </c>
      <c r="E516" s="3" t="str">
        <v>Hohenrain</v>
      </c>
      <c r="I516" s="19">
        <v>1816</v>
      </c>
      <c r="J516" s="19" t="s">
        <v>4539</v>
      </c>
    </row>
    <row r="517" spans="1:10" x14ac:dyDescent="0.2">
      <c r="A517" s="3">
        <v>3711</v>
      </c>
      <c r="B517" s="3" t="s">
        <v>536</v>
      </c>
      <c r="C517" s="3" t="s">
        <v>534</v>
      </c>
      <c r="D517" s="3" t="s">
        <v>309</v>
      </c>
      <c r="E517" s="3" t="str">
        <v>Inwil</v>
      </c>
      <c r="I517" s="19">
        <v>1817</v>
      </c>
      <c r="J517" s="19" t="s">
        <v>4539</v>
      </c>
    </row>
    <row r="518" spans="1:10" x14ac:dyDescent="0.2">
      <c r="A518" s="3">
        <v>3714</v>
      </c>
      <c r="B518" s="3" t="s">
        <v>537</v>
      </c>
      <c r="C518" s="3" t="s">
        <v>537</v>
      </c>
      <c r="D518" s="3" t="s">
        <v>309</v>
      </c>
      <c r="E518" s="3" t="str">
        <v>Rain</v>
      </c>
      <c r="I518" s="19">
        <v>1820</v>
      </c>
      <c r="J518" s="19" t="s">
        <v>4539</v>
      </c>
    </row>
    <row r="519" spans="1:10" x14ac:dyDescent="0.2">
      <c r="A519" s="3">
        <v>3724</v>
      </c>
      <c r="B519" s="3" t="s">
        <v>538</v>
      </c>
      <c r="C519" s="3" t="s">
        <v>537</v>
      </c>
      <c r="D519" s="3" t="s">
        <v>309</v>
      </c>
      <c r="E519" s="3" t="str">
        <v>Römerswil</v>
      </c>
      <c r="I519" s="19">
        <v>1822</v>
      </c>
      <c r="J519" s="19" t="s">
        <v>4539</v>
      </c>
    </row>
    <row r="520" spans="1:10" x14ac:dyDescent="0.2">
      <c r="A520" s="3">
        <v>3725</v>
      </c>
      <c r="B520" s="3" t="s">
        <v>539</v>
      </c>
      <c r="C520" s="3" t="s">
        <v>537</v>
      </c>
      <c r="D520" s="3" t="s">
        <v>309</v>
      </c>
      <c r="E520" s="3" t="str">
        <v>Rothenburg</v>
      </c>
      <c r="I520" s="19">
        <v>1823</v>
      </c>
      <c r="J520" s="19" t="s">
        <v>4539</v>
      </c>
    </row>
    <row r="521" spans="1:10" x14ac:dyDescent="0.2">
      <c r="A521" s="3">
        <v>3716</v>
      </c>
      <c r="B521" s="3" t="s">
        <v>540</v>
      </c>
      <c r="C521" s="3" t="s">
        <v>540</v>
      </c>
      <c r="D521" s="3" t="s">
        <v>309</v>
      </c>
      <c r="E521" s="3" t="str">
        <v>Schongau</v>
      </c>
      <c r="I521" s="19">
        <v>1824</v>
      </c>
      <c r="J521" s="19" t="s">
        <v>4539</v>
      </c>
    </row>
    <row r="522" spans="1:10" x14ac:dyDescent="0.2">
      <c r="A522" s="3">
        <v>3717</v>
      </c>
      <c r="B522" s="3" t="s">
        <v>541</v>
      </c>
      <c r="C522" s="3" t="s">
        <v>540</v>
      </c>
      <c r="D522" s="3" t="s">
        <v>309</v>
      </c>
      <c r="E522" s="3" t="str">
        <v>Adligenswil</v>
      </c>
      <c r="I522" s="19">
        <v>1832</v>
      </c>
      <c r="J522" s="19" t="s">
        <v>4539</v>
      </c>
    </row>
    <row r="523" spans="1:10" x14ac:dyDescent="0.2">
      <c r="A523" s="3">
        <v>3718</v>
      </c>
      <c r="B523" s="3" t="s">
        <v>542</v>
      </c>
      <c r="C523" s="3" t="s">
        <v>542</v>
      </c>
      <c r="D523" s="3" t="s">
        <v>309</v>
      </c>
      <c r="E523" s="3" t="str">
        <v>Buchrain</v>
      </c>
      <c r="I523" s="19">
        <v>1833</v>
      </c>
      <c r="J523" s="19" t="s">
        <v>4539</v>
      </c>
    </row>
    <row r="524" spans="1:10" x14ac:dyDescent="0.2">
      <c r="A524" s="3">
        <v>3704</v>
      </c>
      <c r="B524" s="3" t="s">
        <v>543</v>
      </c>
      <c r="C524" s="3" t="s">
        <v>543</v>
      </c>
      <c r="D524" s="3" t="s">
        <v>309</v>
      </c>
      <c r="E524" s="3" t="str">
        <v>Dierikon</v>
      </c>
      <c r="I524" s="19">
        <v>1844</v>
      </c>
      <c r="J524" s="19" t="s">
        <v>4545</v>
      </c>
    </row>
    <row r="525" spans="1:10" x14ac:dyDescent="0.2">
      <c r="A525" s="3">
        <v>3711</v>
      </c>
      <c r="B525" s="3" t="s">
        <v>544</v>
      </c>
      <c r="C525" s="3" t="s">
        <v>545</v>
      </c>
      <c r="D525" s="3" t="s">
        <v>309</v>
      </c>
      <c r="E525" s="3" t="str">
        <v>Ebikon</v>
      </c>
      <c r="I525" s="19">
        <v>1845</v>
      </c>
      <c r="J525" s="19" t="s">
        <v>4545</v>
      </c>
    </row>
    <row r="526" spans="1:10" x14ac:dyDescent="0.2">
      <c r="A526" s="3">
        <v>3713</v>
      </c>
      <c r="B526" s="3" t="s">
        <v>545</v>
      </c>
      <c r="C526" s="3" t="s">
        <v>545</v>
      </c>
      <c r="D526" s="3" t="s">
        <v>309</v>
      </c>
      <c r="E526" s="3" t="str">
        <v>Gisikon</v>
      </c>
      <c r="I526" s="19">
        <v>1846</v>
      </c>
      <c r="J526" s="19" t="s">
        <v>4545</v>
      </c>
    </row>
    <row r="527" spans="1:10" x14ac:dyDescent="0.2">
      <c r="A527" s="3">
        <v>3714</v>
      </c>
      <c r="B527" s="3" t="s">
        <v>546</v>
      </c>
      <c r="C527" s="3" t="s">
        <v>545</v>
      </c>
      <c r="D527" s="3" t="s">
        <v>309</v>
      </c>
      <c r="E527" s="3" t="str">
        <v>Greppen</v>
      </c>
      <c r="I527" s="19">
        <v>1847</v>
      </c>
      <c r="J527" s="19" t="s">
        <v>4545</v>
      </c>
    </row>
    <row r="528" spans="1:10" x14ac:dyDescent="0.2">
      <c r="A528" s="3">
        <v>3722</v>
      </c>
      <c r="B528" s="3" t="s">
        <v>547</v>
      </c>
      <c r="C528" s="3" t="s">
        <v>545</v>
      </c>
      <c r="D528" s="3" t="s">
        <v>309</v>
      </c>
      <c r="E528" s="3" t="str">
        <v>Honau</v>
      </c>
      <c r="I528" s="19">
        <v>1852</v>
      </c>
      <c r="J528" s="19" t="s">
        <v>4545</v>
      </c>
    </row>
    <row r="529" spans="1:10" x14ac:dyDescent="0.2">
      <c r="A529" s="3">
        <v>3723</v>
      </c>
      <c r="B529" s="3" t="s">
        <v>548</v>
      </c>
      <c r="C529" s="3" t="s">
        <v>545</v>
      </c>
      <c r="D529" s="3" t="s">
        <v>309</v>
      </c>
      <c r="E529" s="3" t="str">
        <v>Horw</v>
      </c>
      <c r="I529" s="19">
        <v>1853</v>
      </c>
      <c r="J529" s="19" t="s">
        <v>4545</v>
      </c>
    </row>
    <row r="530" spans="1:10" x14ac:dyDescent="0.2">
      <c r="A530" s="3">
        <v>3800</v>
      </c>
      <c r="B530" s="3" t="s">
        <v>549</v>
      </c>
      <c r="C530" s="3" t="s">
        <v>550</v>
      </c>
      <c r="D530" s="3" t="s">
        <v>309</v>
      </c>
      <c r="E530" s="3" t="str">
        <v>Kriens</v>
      </c>
      <c r="I530" s="19">
        <v>1854</v>
      </c>
      <c r="J530" s="19" t="s">
        <v>4545</v>
      </c>
    </row>
    <row r="531" spans="1:10" x14ac:dyDescent="0.2">
      <c r="A531" s="3">
        <v>3803</v>
      </c>
      <c r="B531" s="3" t="s">
        <v>550</v>
      </c>
      <c r="C531" s="3" t="s">
        <v>550</v>
      </c>
      <c r="D531" s="3" t="s">
        <v>309</v>
      </c>
      <c r="E531" s="3" t="str">
        <v>Luzern</v>
      </c>
      <c r="I531" s="19">
        <v>1856</v>
      </c>
      <c r="J531" s="19" t="s">
        <v>4545</v>
      </c>
    </row>
    <row r="532" spans="1:10" x14ac:dyDescent="0.2">
      <c r="A532" s="3">
        <v>3806</v>
      </c>
      <c r="B532" s="3" t="s">
        <v>551</v>
      </c>
      <c r="C532" s="3" t="s">
        <v>552</v>
      </c>
      <c r="D532" s="3" t="s">
        <v>309</v>
      </c>
      <c r="E532" s="3" t="str">
        <v>Malters</v>
      </c>
      <c r="I532" s="19">
        <v>1860</v>
      </c>
      <c r="J532" s="19" t="s">
        <v>4545</v>
      </c>
    </row>
    <row r="533" spans="1:10" x14ac:dyDescent="0.2">
      <c r="A533" s="3">
        <v>3855</v>
      </c>
      <c r="B533" s="3" t="s">
        <v>553</v>
      </c>
      <c r="C533" s="3" t="s">
        <v>554</v>
      </c>
      <c r="D533" s="3" t="s">
        <v>309</v>
      </c>
      <c r="E533" s="3" t="str">
        <v>Meggen</v>
      </c>
      <c r="I533" s="19">
        <v>1862</v>
      </c>
      <c r="J533" s="19" t="s">
        <v>4544</v>
      </c>
    </row>
    <row r="534" spans="1:10" x14ac:dyDescent="0.2">
      <c r="A534" s="3">
        <v>3855</v>
      </c>
      <c r="B534" s="3" t="s">
        <v>555</v>
      </c>
      <c r="C534" s="3" t="s">
        <v>554</v>
      </c>
      <c r="D534" s="3" t="s">
        <v>309</v>
      </c>
      <c r="E534" s="3" t="str">
        <v>Meierskappel</v>
      </c>
      <c r="I534" s="19">
        <v>1863</v>
      </c>
      <c r="J534" s="19" t="s">
        <v>4545</v>
      </c>
    </row>
    <row r="535" spans="1:10" x14ac:dyDescent="0.2">
      <c r="A535" s="3">
        <v>3856</v>
      </c>
      <c r="B535" s="3" t="s">
        <v>556</v>
      </c>
      <c r="C535" s="3" t="s">
        <v>556</v>
      </c>
      <c r="D535" s="3" t="s">
        <v>309</v>
      </c>
      <c r="E535" s="3" t="str">
        <v>Root</v>
      </c>
      <c r="I535" s="19">
        <v>1864</v>
      </c>
      <c r="J535" s="19" t="s">
        <v>4545</v>
      </c>
    </row>
    <row r="536" spans="1:10" x14ac:dyDescent="0.2">
      <c r="A536" s="3">
        <v>3707</v>
      </c>
      <c r="B536" s="3" t="s">
        <v>557</v>
      </c>
      <c r="C536" s="3" t="s">
        <v>557</v>
      </c>
      <c r="D536" s="3" t="s">
        <v>309</v>
      </c>
      <c r="E536" s="3" t="str">
        <v>Schwarzenberg</v>
      </c>
      <c r="I536" s="19">
        <v>1865</v>
      </c>
      <c r="J536" s="19" t="s">
        <v>4545</v>
      </c>
    </row>
    <row r="537" spans="1:10" x14ac:dyDescent="0.2">
      <c r="A537" s="3">
        <v>3816</v>
      </c>
      <c r="B537" s="3" t="s">
        <v>558</v>
      </c>
      <c r="C537" s="3" t="s">
        <v>559</v>
      </c>
      <c r="D537" s="3" t="s">
        <v>309</v>
      </c>
      <c r="E537" s="3" t="str">
        <v>Udligenswil</v>
      </c>
      <c r="I537" s="19">
        <v>1866</v>
      </c>
      <c r="J537" s="19" t="s">
        <v>4545</v>
      </c>
    </row>
    <row r="538" spans="1:10" x14ac:dyDescent="0.2">
      <c r="A538" s="3">
        <v>3818</v>
      </c>
      <c r="B538" s="3" t="s">
        <v>559</v>
      </c>
      <c r="C538" s="3" t="s">
        <v>559</v>
      </c>
      <c r="D538" s="3" t="s">
        <v>309</v>
      </c>
      <c r="E538" s="3" t="str">
        <v>Vitznau</v>
      </c>
      <c r="I538" s="19">
        <v>1867</v>
      </c>
      <c r="J538" s="19" t="s">
        <v>4545</v>
      </c>
    </row>
    <row r="539" spans="1:10" x14ac:dyDescent="0.2">
      <c r="A539" s="3">
        <v>3814</v>
      </c>
      <c r="B539" s="3" t="s">
        <v>560</v>
      </c>
      <c r="C539" s="3" t="s">
        <v>560</v>
      </c>
      <c r="D539" s="3" t="s">
        <v>309</v>
      </c>
      <c r="E539" s="3" t="str">
        <v>Weggis</v>
      </c>
      <c r="I539" s="19">
        <v>1868</v>
      </c>
      <c r="J539" s="19" t="s">
        <v>4545</v>
      </c>
    </row>
    <row r="540" spans="1:10" x14ac:dyDescent="0.2">
      <c r="A540" s="3">
        <v>3812</v>
      </c>
      <c r="B540" s="3" t="s">
        <v>561</v>
      </c>
      <c r="C540" s="3" t="s">
        <v>562</v>
      </c>
      <c r="D540" s="3" t="s">
        <v>309</v>
      </c>
      <c r="E540" s="3" t="str">
        <v>Beromünster</v>
      </c>
      <c r="I540" s="19">
        <v>1869</v>
      </c>
      <c r="J540" s="19" t="s">
        <v>4545</v>
      </c>
    </row>
    <row r="541" spans="1:10" x14ac:dyDescent="0.2">
      <c r="A541" s="3">
        <v>3815</v>
      </c>
      <c r="B541" s="3" t="s">
        <v>563</v>
      </c>
      <c r="C541" s="3" t="s">
        <v>562</v>
      </c>
      <c r="D541" s="3" t="s">
        <v>309</v>
      </c>
      <c r="E541" s="3" t="str">
        <v>Büron</v>
      </c>
      <c r="I541" s="19">
        <v>1870</v>
      </c>
      <c r="J541" s="19" t="s">
        <v>4545</v>
      </c>
    </row>
    <row r="542" spans="1:10" x14ac:dyDescent="0.2">
      <c r="A542" s="3">
        <v>3815</v>
      </c>
      <c r="B542" s="3" t="s">
        <v>562</v>
      </c>
      <c r="C542" s="3" t="s">
        <v>562</v>
      </c>
      <c r="D542" s="3" t="s">
        <v>309</v>
      </c>
      <c r="E542" s="3" t="str">
        <v>Buttisholz</v>
      </c>
      <c r="I542" s="19">
        <v>1871</v>
      </c>
      <c r="J542" s="19" t="s">
        <v>4545</v>
      </c>
    </row>
    <row r="543" spans="1:10" x14ac:dyDescent="0.2">
      <c r="A543" s="3">
        <v>3804</v>
      </c>
      <c r="B543" s="3" t="s">
        <v>564</v>
      </c>
      <c r="C543" s="3" t="s">
        <v>564</v>
      </c>
      <c r="D543" s="3" t="s">
        <v>309</v>
      </c>
      <c r="E543" s="3" t="str">
        <v>Eich</v>
      </c>
      <c r="I543" s="19">
        <v>1872</v>
      </c>
      <c r="J543" s="19" t="s">
        <v>4545</v>
      </c>
    </row>
    <row r="544" spans="1:10" x14ac:dyDescent="0.2">
      <c r="A544" s="3">
        <v>3858</v>
      </c>
      <c r="B544" s="3" t="s">
        <v>565</v>
      </c>
      <c r="C544" s="3" t="s">
        <v>566</v>
      </c>
      <c r="D544" s="3" t="s">
        <v>309</v>
      </c>
      <c r="E544" s="3" t="str">
        <v>Geuensee</v>
      </c>
      <c r="I544" s="19">
        <v>1873</v>
      </c>
      <c r="J544" s="19" t="s">
        <v>4545</v>
      </c>
    </row>
    <row r="545" spans="1:10" x14ac:dyDescent="0.2">
      <c r="A545" s="3">
        <v>3800</v>
      </c>
      <c r="B545" s="3" t="s">
        <v>567</v>
      </c>
      <c r="C545" s="3" t="s">
        <v>567</v>
      </c>
      <c r="D545" s="3" t="s">
        <v>309</v>
      </c>
      <c r="E545" s="3" t="str">
        <v>Grosswangen</v>
      </c>
      <c r="I545" s="19">
        <v>1874</v>
      </c>
      <c r="J545" s="19" t="s">
        <v>4545</v>
      </c>
    </row>
    <row r="546" spans="1:10" x14ac:dyDescent="0.2">
      <c r="A546" s="3">
        <v>3807</v>
      </c>
      <c r="B546" s="3" t="s">
        <v>568</v>
      </c>
      <c r="C546" s="3" t="s">
        <v>568</v>
      </c>
      <c r="D546" s="3" t="s">
        <v>309</v>
      </c>
      <c r="E546" s="3" t="str">
        <v>Hildisrieden</v>
      </c>
      <c r="I546" s="19">
        <v>1875</v>
      </c>
      <c r="J546" s="19" t="s">
        <v>4545</v>
      </c>
    </row>
    <row r="547" spans="1:10" x14ac:dyDescent="0.2">
      <c r="A547" s="3">
        <v>3822</v>
      </c>
      <c r="B547" s="3" t="s">
        <v>569</v>
      </c>
      <c r="C547" s="3" t="s">
        <v>569</v>
      </c>
      <c r="D547" s="3" t="s">
        <v>309</v>
      </c>
      <c r="E547" s="3" t="str">
        <v>Knutwil</v>
      </c>
      <c r="I547" s="19">
        <v>1880</v>
      </c>
      <c r="J547" s="19" t="s">
        <v>4545</v>
      </c>
    </row>
    <row r="548" spans="1:10" x14ac:dyDescent="0.2">
      <c r="A548" s="3">
        <v>3822</v>
      </c>
      <c r="B548" s="3" t="s">
        <v>570</v>
      </c>
      <c r="C548" s="3" t="s">
        <v>569</v>
      </c>
      <c r="D548" s="3" t="s">
        <v>309</v>
      </c>
      <c r="E548" s="3" t="str">
        <v>Mauensee</v>
      </c>
      <c r="I548" s="19">
        <v>1882</v>
      </c>
      <c r="J548" s="19" t="s">
        <v>4545</v>
      </c>
    </row>
    <row r="549" spans="1:10" x14ac:dyDescent="0.2">
      <c r="A549" s="3">
        <v>3823</v>
      </c>
      <c r="B549" s="3" t="s">
        <v>571</v>
      </c>
      <c r="C549" s="3" t="s">
        <v>569</v>
      </c>
      <c r="D549" s="3" t="s">
        <v>309</v>
      </c>
      <c r="E549" s="3" t="str">
        <v>Neuenkirch</v>
      </c>
      <c r="I549" s="19">
        <v>1884</v>
      </c>
      <c r="J549" s="19" t="s">
        <v>4545</v>
      </c>
    </row>
    <row r="550" spans="1:10" x14ac:dyDescent="0.2">
      <c r="A550" s="3">
        <v>3823</v>
      </c>
      <c r="B550" s="3" t="s">
        <v>572</v>
      </c>
      <c r="C550" s="3" t="s">
        <v>569</v>
      </c>
      <c r="D550" s="3" t="s">
        <v>309</v>
      </c>
      <c r="E550" s="3" t="str">
        <v>Nottwil</v>
      </c>
      <c r="I550" s="19">
        <v>1885</v>
      </c>
      <c r="J550" s="19" t="s">
        <v>4545</v>
      </c>
    </row>
    <row r="551" spans="1:10" x14ac:dyDescent="0.2">
      <c r="A551" s="3">
        <v>3823</v>
      </c>
      <c r="B551" s="3" t="s">
        <v>573</v>
      </c>
      <c r="C551" s="3" t="s">
        <v>569</v>
      </c>
      <c r="D551" s="3" t="s">
        <v>309</v>
      </c>
      <c r="E551" s="3" t="str">
        <v>Oberkirch</v>
      </c>
      <c r="I551" s="19">
        <v>1890</v>
      </c>
      <c r="J551" s="19" t="s">
        <v>4545</v>
      </c>
    </row>
    <row r="552" spans="1:10" x14ac:dyDescent="0.2">
      <c r="A552" s="3">
        <v>3824</v>
      </c>
      <c r="B552" s="3" t="s">
        <v>574</v>
      </c>
      <c r="C552" s="3" t="s">
        <v>569</v>
      </c>
      <c r="D552" s="3" t="s">
        <v>309</v>
      </c>
      <c r="E552" s="3" t="str">
        <v>Rickenbach (LU)</v>
      </c>
      <c r="I552" s="19">
        <v>1891</v>
      </c>
      <c r="J552" s="19" t="s">
        <v>4545</v>
      </c>
    </row>
    <row r="553" spans="1:10" x14ac:dyDescent="0.2">
      <c r="A553" s="3">
        <v>3825</v>
      </c>
      <c r="B553" s="3" t="s">
        <v>575</v>
      </c>
      <c r="C553" s="3" t="s">
        <v>569</v>
      </c>
      <c r="D553" s="3" t="s">
        <v>309</v>
      </c>
      <c r="E553" s="3" t="str">
        <v>Ruswil</v>
      </c>
      <c r="I553" s="19">
        <v>1892</v>
      </c>
      <c r="J553" s="19" t="s">
        <v>4545</v>
      </c>
    </row>
    <row r="554" spans="1:10" x14ac:dyDescent="0.2">
      <c r="A554" s="3">
        <v>3826</v>
      </c>
      <c r="B554" s="3" t="s">
        <v>576</v>
      </c>
      <c r="C554" s="3" t="s">
        <v>569</v>
      </c>
      <c r="D554" s="3" t="s">
        <v>309</v>
      </c>
      <c r="E554" s="3" t="str">
        <v>Schenkon</v>
      </c>
      <c r="I554" s="19">
        <v>1893</v>
      </c>
      <c r="J554" s="19" t="s">
        <v>4545</v>
      </c>
    </row>
    <row r="555" spans="1:10" x14ac:dyDescent="0.2">
      <c r="A555" s="3">
        <v>3706</v>
      </c>
      <c r="B555" s="3" t="s">
        <v>577</v>
      </c>
      <c r="C555" s="3" t="s">
        <v>577</v>
      </c>
      <c r="D555" s="3" t="s">
        <v>309</v>
      </c>
      <c r="E555" s="3" t="str">
        <v>Schlierbach</v>
      </c>
      <c r="I555" s="19">
        <v>1895</v>
      </c>
      <c r="J555" s="19" t="s">
        <v>4545</v>
      </c>
    </row>
    <row r="556" spans="1:10" x14ac:dyDescent="0.2">
      <c r="A556" s="3">
        <v>3816</v>
      </c>
      <c r="B556" s="3" t="s">
        <v>578</v>
      </c>
      <c r="C556" s="3" t="s">
        <v>578</v>
      </c>
      <c r="D556" s="3" t="s">
        <v>309</v>
      </c>
      <c r="E556" s="3" t="str">
        <v>Sempach</v>
      </c>
      <c r="I556" s="19">
        <v>1896</v>
      </c>
      <c r="J556" s="19" t="s">
        <v>4545</v>
      </c>
    </row>
    <row r="557" spans="1:10" x14ac:dyDescent="0.2">
      <c r="A557" s="3">
        <v>3800</v>
      </c>
      <c r="B557" s="3" t="s">
        <v>579</v>
      </c>
      <c r="C557" s="3" t="s">
        <v>580</v>
      </c>
      <c r="D557" s="3" t="s">
        <v>309</v>
      </c>
      <c r="E557" s="3" t="str">
        <v>Sursee</v>
      </c>
      <c r="I557" s="19">
        <v>1897</v>
      </c>
      <c r="J557" s="19" t="s">
        <v>4545</v>
      </c>
    </row>
    <row r="558" spans="1:10" x14ac:dyDescent="0.2">
      <c r="A558" s="3">
        <v>3853</v>
      </c>
      <c r="B558" s="3" t="s">
        <v>581</v>
      </c>
      <c r="C558" s="3" t="s">
        <v>582</v>
      </c>
      <c r="D558" s="3" t="s">
        <v>309</v>
      </c>
      <c r="E558" s="3" t="str">
        <v>Triengen</v>
      </c>
      <c r="I558" s="19">
        <v>1898</v>
      </c>
      <c r="J558" s="19" t="s">
        <v>4545</v>
      </c>
    </row>
    <row r="559" spans="1:10" x14ac:dyDescent="0.2">
      <c r="A559" s="3">
        <v>3854</v>
      </c>
      <c r="B559" s="3" t="s">
        <v>583</v>
      </c>
      <c r="C559" s="3" t="s">
        <v>583</v>
      </c>
      <c r="D559" s="3" t="s">
        <v>309</v>
      </c>
      <c r="E559" s="3" t="str">
        <v>Wolhusen</v>
      </c>
      <c r="I559" s="19">
        <v>1899</v>
      </c>
      <c r="J559" s="19" t="s">
        <v>4545</v>
      </c>
    </row>
    <row r="560" spans="1:10" x14ac:dyDescent="0.2">
      <c r="A560" s="3">
        <v>3805</v>
      </c>
      <c r="B560" s="3" t="s">
        <v>584</v>
      </c>
      <c r="C560" s="3" t="s">
        <v>585</v>
      </c>
      <c r="D560" s="3" t="s">
        <v>309</v>
      </c>
      <c r="E560" s="3" t="str">
        <v>Alberswil</v>
      </c>
      <c r="I560" s="19">
        <v>1902</v>
      </c>
      <c r="J560" s="19" t="s">
        <v>4547</v>
      </c>
    </row>
    <row r="561" spans="1:10" x14ac:dyDescent="0.2">
      <c r="A561" s="3">
        <v>3852</v>
      </c>
      <c r="B561" s="3" t="s">
        <v>586</v>
      </c>
      <c r="C561" s="3" t="s">
        <v>585</v>
      </c>
      <c r="D561" s="3" t="s">
        <v>309</v>
      </c>
      <c r="E561" s="3" t="str">
        <v>Altbüron</v>
      </c>
      <c r="I561" s="19">
        <v>1903</v>
      </c>
      <c r="J561" s="19" t="s">
        <v>4547</v>
      </c>
    </row>
    <row r="562" spans="1:10" x14ac:dyDescent="0.2">
      <c r="A562" s="3">
        <v>3813</v>
      </c>
      <c r="B562" s="3" t="s">
        <v>587</v>
      </c>
      <c r="C562" s="3" t="s">
        <v>587</v>
      </c>
      <c r="D562" s="3" t="s">
        <v>309</v>
      </c>
      <c r="E562" s="3" t="str">
        <v>Altishofen</v>
      </c>
      <c r="I562" s="19">
        <v>1904</v>
      </c>
      <c r="J562" s="19" t="s">
        <v>4547</v>
      </c>
    </row>
    <row r="563" spans="1:10" x14ac:dyDescent="0.2">
      <c r="A563" s="3">
        <v>3855</v>
      </c>
      <c r="B563" s="3" t="s">
        <v>588</v>
      </c>
      <c r="C563" s="3" t="s">
        <v>589</v>
      </c>
      <c r="D563" s="3" t="s">
        <v>309</v>
      </c>
      <c r="E563" s="3" t="str">
        <v>Dagmersellen</v>
      </c>
      <c r="I563" s="19">
        <v>1905</v>
      </c>
      <c r="J563" s="19" t="s">
        <v>4547</v>
      </c>
    </row>
    <row r="564" spans="1:10" x14ac:dyDescent="0.2">
      <c r="A564" s="3">
        <v>3800</v>
      </c>
      <c r="B564" s="3" t="s">
        <v>590</v>
      </c>
      <c r="C564" s="3" t="s">
        <v>590</v>
      </c>
      <c r="D564" s="3" t="s">
        <v>309</v>
      </c>
      <c r="E564" s="3" t="str">
        <v>Egolzwil</v>
      </c>
      <c r="I564" s="19">
        <v>1906</v>
      </c>
      <c r="J564" s="19" t="s">
        <v>4547</v>
      </c>
    </row>
    <row r="565" spans="1:10" x14ac:dyDescent="0.2">
      <c r="A565" s="3">
        <v>3812</v>
      </c>
      <c r="B565" s="3" t="s">
        <v>561</v>
      </c>
      <c r="C565" s="3" t="s">
        <v>561</v>
      </c>
      <c r="D565" s="3" t="s">
        <v>309</v>
      </c>
      <c r="E565" s="3" t="str">
        <v>Ettiswil</v>
      </c>
      <c r="I565" s="19">
        <v>1907</v>
      </c>
      <c r="J565" s="19" t="s">
        <v>4547</v>
      </c>
    </row>
    <row r="566" spans="1:10" x14ac:dyDescent="0.2">
      <c r="A566" s="3">
        <v>3508</v>
      </c>
      <c r="B566" s="3" t="s">
        <v>591</v>
      </c>
      <c r="C566" s="3" t="s">
        <v>592</v>
      </c>
      <c r="D566" s="3" t="s">
        <v>309</v>
      </c>
      <c r="E566" s="3" t="str">
        <v>Fischbach</v>
      </c>
      <c r="I566" s="19">
        <v>1908</v>
      </c>
      <c r="J566" s="19" t="s">
        <v>4547</v>
      </c>
    </row>
    <row r="567" spans="1:10" x14ac:dyDescent="0.2">
      <c r="A567" s="3">
        <v>3507</v>
      </c>
      <c r="B567" s="3" t="s">
        <v>593</v>
      </c>
      <c r="C567" s="3" t="s">
        <v>593</v>
      </c>
      <c r="D567" s="3" t="s">
        <v>309</v>
      </c>
      <c r="E567" s="3" t="str">
        <v>Grossdietwil</v>
      </c>
      <c r="I567" s="19">
        <v>1911</v>
      </c>
      <c r="J567" s="19" t="s">
        <v>4547</v>
      </c>
    </row>
    <row r="568" spans="1:10" x14ac:dyDescent="0.2">
      <c r="A568" s="3">
        <v>3533</v>
      </c>
      <c r="B568" s="3" t="s">
        <v>594</v>
      </c>
      <c r="C568" s="3" t="s">
        <v>594</v>
      </c>
      <c r="D568" s="3" t="s">
        <v>309</v>
      </c>
      <c r="E568" s="3" t="str">
        <v>Hergiswil bei Willisau</v>
      </c>
      <c r="I568" s="19">
        <v>1912</v>
      </c>
      <c r="J568" s="19" t="s">
        <v>4547</v>
      </c>
    </row>
    <row r="569" spans="1:10" x14ac:dyDescent="0.2">
      <c r="A569" s="3">
        <v>3671</v>
      </c>
      <c r="B569" s="3" t="s">
        <v>595</v>
      </c>
      <c r="C569" s="3" t="s">
        <v>595</v>
      </c>
      <c r="D569" s="3" t="s">
        <v>309</v>
      </c>
      <c r="E569" s="3" t="str">
        <v>Luthern</v>
      </c>
      <c r="I569" s="19">
        <v>1913</v>
      </c>
      <c r="J569" s="19" t="s">
        <v>4547</v>
      </c>
    </row>
    <row r="570" spans="1:10" x14ac:dyDescent="0.2">
      <c r="A570" s="3">
        <v>3510</v>
      </c>
      <c r="B570" s="3" t="s">
        <v>596</v>
      </c>
      <c r="C570" s="3" t="s">
        <v>596</v>
      </c>
      <c r="D570" s="3" t="s">
        <v>309</v>
      </c>
      <c r="E570" s="3" t="str">
        <v>Menznau</v>
      </c>
      <c r="I570" s="19">
        <v>1914</v>
      </c>
      <c r="J570" s="19" t="s">
        <v>4547</v>
      </c>
    </row>
    <row r="571" spans="1:10" x14ac:dyDescent="0.2">
      <c r="A571" s="3">
        <v>3082</v>
      </c>
      <c r="B571" s="3" t="s">
        <v>597</v>
      </c>
      <c r="C571" s="3" t="s">
        <v>598</v>
      </c>
      <c r="D571" s="3" t="s">
        <v>309</v>
      </c>
      <c r="E571" s="3" t="str">
        <v>Nebikon</v>
      </c>
      <c r="I571" s="19">
        <v>1918</v>
      </c>
      <c r="J571" s="19" t="s">
        <v>4548</v>
      </c>
    </row>
    <row r="572" spans="1:10" x14ac:dyDescent="0.2">
      <c r="A572" s="3">
        <v>3506</v>
      </c>
      <c r="B572" s="3" t="s">
        <v>598</v>
      </c>
      <c r="C572" s="3" t="s">
        <v>598</v>
      </c>
      <c r="D572" s="3" t="s">
        <v>309</v>
      </c>
      <c r="E572" s="3" t="str">
        <v>Pfaffnau</v>
      </c>
      <c r="I572" s="19">
        <v>1920</v>
      </c>
      <c r="J572" s="19" t="s">
        <v>4547</v>
      </c>
    </row>
    <row r="573" spans="1:10" x14ac:dyDescent="0.2">
      <c r="A573" s="3">
        <v>3510</v>
      </c>
      <c r="B573" s="3" t="s">
        <v>599</v>
      </c>
      <c r="C573" s="3" t="s">
        <v>599</v>
      </c>
      <c r="D573" s="3" t="s">
        <v>309</v>
      </c>
      <c r="E573" s="3" t="str">
        <v>Reiden</v>
      </c>
      <c r="I573" s="19">
        <v>1921</v>
      </c>
      <c r="J573" s="19" t="s">
        <v>4547</v>
      </c>
    </row>
    <row r="574" spans="1:10" x14ac:dyDescent="0.2">
      <c r="A574" s="3">
        <v>3671</v>
      </c>
      <c r="B574" s="3" t="s">
        <v>600</v>
      </c>
      <c r="C574" s="3" t="s">
        <v>600</v>
      </c>
      <c r="D574" s="3" t="s">
        <v>309</v>
      </c>
      <c r="E574" s="3" t="str">
        <v>Roggliswil</v>
      </c>
      <c r="I574" s="19">
        <v>1922</v>
      </c>
      <c r="J574" s="19" t="s">
        <v>4547</v>
      </c>
    </row>
    <row r="575" spans="1:10" x14ac:dyDescent="0.2">
      <c r="A575" s="3">
        <v>3629</v>
      </c>
      <c r="B575" s="3" t="s">
        <v>601</v>
      </c>
      <c r="C575" s="3" t="s">
        <v>601</v>
      </c>
      <c r="D575" s="3" t="s">
        <v>309</v>
      </c>
      <c r="E575" s="3" t="str">
        <v>Schötz</v>
      </c>
      <c r="I575" s="19">
        <v>1923</v>
      </c>
      <c r="J575" s="19" t="s">
        <v>4547</v>
      </c>
    </row>
    <row r="576" spans="1:10" x14ac:dyDescent="0.2">
      <c r="A576" s="3">
        <v>3503</v>
      </c>
      <c r="B576" s="3" t="s">
        <v>602</v>
      </c>
      <c r="C576" s="3" t="s">
        <v>603</v>
      </c>
      <c r="D576" s="3" t="s">
        <v>309</v>
      </c>
      <c r="E576" s="3" t="str">
        <v>Ufhusen</v>
      </c>
      <c r="I576" s="19">
        <v>1925</v>
      </c>
      <c r="J576" s="19" t="s">
        <v>4547</v>
      </c>
    </row>
    <row r="577" spans="1:10" x14ac:dyDescent="0.2">
      <c r="A577" s="3">
        <v>3510</v>
      </c>
      <c r="B577" s="3" t="s">
        <v>603</v>
      </c>
      <c r="C577" s="3" t="s">
        <v>603</v>
      </c>
      <c r="D577" s="3" t="s">
        <v>309</v>
      </c>
      <c r="E577" s="3" t="str">
        <v>Wauwil</v>
      </c>
      <c r="I577" s="19">
        <v>1926</v>
      </c>
      <c r="J577" s="19" t="s">
        <v>4547</v>
      </c>
    </row>
    <row r="578" spans="1:10" x14ac:dyDescent="0.2">
      <c r="A578" s="3">
        <v>3434</v>
      </c>
      <c r="B578" s="3" t="s">
        <v>604</v>
      </c>
      <c r="C578" s="3" t="s">
        <v>605</v>
      </c>
      <c r="D578" s="3" t="s">
        <v>309</v>
      </c>
      <c r="E578" s="3" t="str">
        <v>Wikon</v>
      </c>
      <c r="I578" s="19">
        <v>1927</v>
      </c>
      <c r="J578" s="19" t="s">
        <v>4547</v>
      </c>
    </row>
    <row r="579" spans="1:10" x14ac:dyDescent="0.2">
      <c r="A579" s="3">
        <v>3434</v>
      </c>
      <c r="B579" s="3" t="s">
        <v>605</v>
      </c>
      <c r="C579" s="3" t="s">
        <v>605</v>
      </c>
      <c r="D579" s="3" t="s">
        <v>309</v>
      </c>
      <c r="E579" s="3" t="str">
        <v>Zell (LU)</v>
      </c>
      <c r="I579" s="19">
        <v>1928</v>
      </c>
      <c r="J579" s="19" t="s">
        <v>4547</v>
      </c>
    </row>
    <row r="580" spans="1:10" x14ac:dyDescent="0.2">
      <c r="A580" s="3">
        <v>3673</v>
      </c>
      <c r="B580" s="3" t="s">
        <v>606</v>
      </c>
      <c r="C580" s="3" t="s">
        <v>606</v>
      </c>
      <c r="D580" s="3" t="s">
        <v>309</v>
      </c>
      <c r="E580" s="3" t="str">
        <v>Willisau</v>
      </c>
      <c r="I580" s="19">
        <v>1929</v>
      </c>
      <c r="J580" s="19" t="s">
        <v>4547</v>
      </c>
    </row>
    <row r="581" spans="1:10" x14ac:dyDescent="0.2">
      <c r="A581" s="3">
        <v>3532</v>
      </c>
      <c r="B581" s="3" t="s">
        <v>607</v>
      </c>
      <c r="C581" s="3" t="s">
        <v>607</v>
      </c>
      <c r="D581" s="3" t="s">
        <v>309</v>
      </c>
      <c r="E581" s="3" t="str">
        <v>Altdorf (UR)</v>
      </c>
      <c r="I581" s="19">
        <v>1932</v>
      </c>
      <c r="J581" s="19" t="s">
        <v>4547</v>
      </c>
    </row>
    <row r="582" spans="1:10" x14ac:dyDescent="0.2">
      <c r="A582" s="3">
        <v>3083</v>
      </c>
      <c r="B582" s="3" t="s">
        <v>608</v>
      </c>
      <c r="C582" s="3" t="s">
        <v>609</v>
      </c>
      <c r="D582" s="3" t="s">
        <v>309</v>
      </c>
      <c r="E582" s="3" t="str">
        <v>Andermatt</v>
      </c>
      <c r="I582" s="19">
        <v>1933</v>
      </c>
      <c r="J582" s="19" t="s">
        <v>4547</v>
      </c>
    </row>
    <row r="583" spans="1:10" x14ac:dyDescent="0.2">
      <c r="A583" s="3">
        <v>3110</v>
      </c>
      <c r="B583" s="3" t="s">
        <v>609</v>
      </c>
      <c r="C583" s="3" t="s">
        <v>609</v>
      </c>
      <c r="D583" s="3" t="s">
        <v>309</v>
      </c>
      <c r="E583" s="3" t="str">
        <v>Attinghausen</v>
      </c>
      <c r="I583" s="19">
        <v>1934</v>
      </c>
      <c r="J583" s="19" t="s">
        <v>4547</v>
      </c>
    </row>
    <row r="584" spans="1:10" x14ac:dyDescent="0.2">
      <c r="A584" s="3">
        <v>3111</v>
      </c>
      <c r="B584" s="3" t="s">
        <v>610</v>
      </c>
      <c r="C584" s="3" t="s">
        <v>609</v>
      </c>
      <c r="D584" s="3" t="s">
        <v>309</v>
      </c>
      <c r="E584" s="3" t="str">
        <v>Bürglen (UR)</v>
      </c>
      <c r="I584" s="19">
        <v>1936</v>
      </c>
      <c r="J584" s="19" t="s">
        <v>4548</v>
      </c>
    </row>
    <row r="585" spans="1:10" x14ac:dyDescent="0.2">
      <c r="A585" s="3">
        <v>3504</v>
      </c>
      <c r="B585" s="3" t="s">
        <v>611</v>
      </c>
      <c r="C585" s="3" t="s">
        <v>611</v>
      </c>
      <c r="D585" s="3" t="s">
        <v>309</v>
      </c>
      <c r="E585" s="3" t="str">
        <v>Erstfeld</v>
      </c>
      <c r="I585" s="19">
        <v>1937</v>
      </c>
      <c r="J585" s="19" t="s">
        <v>4547</v>
      </c>
    </row>
    <row r="586" spans="1:10" x14ac:dyDescent="0.2">
      <c r="A586" s="3">
        <v>3672</v>
      </c>
      <c r="B586" s="3" t="s">
        <v>612</v>
      </c>
      <c r="C586" s="3" t="s">
        <v>612</v>
      </c>
      <c r="D586" s="3" t="s">
        <v>309</v>
      </c>
      <c r="E586" s="3" t="str">
        <v>Flüelen</v>
      </c>
      <c r="I586" s="19">
        <v>1938</v>
      </c>
      <c r="J586" s="19" t="s">
        <v>4548</v>
      </c>
    </row>
    <row r="587" spans="1:10" x14ac:dyDescent="0.2">
      <c r="A587" s="3">
        <v>3672</v>
      </c>
      <c r="B587" s="3" t="s">
        <v>613</v>
      </c>
      <c r="C587" s="3" t="s">
        <v>612</v>
      </c>
      <c r="D587" s="3" t="s">
        <v>309</v>
      </c>
      <c r="E587" s="3" t="str">
        <v>Göschenen</v>
      </c>
      <c r="I587" s="19">
        <v>1941</v>
      </c>
      <c r="J587" s="19" t="s">
        <v>4547</v>
      </c>
    </row>
    <row r="588" spans="1:10" x14ac:dyDescent="0.2">
      <c r="A588" s="3">
        <v>3674</v>
      </c>
      <c r="B588" s="3" t="s">
        <v>614</v>
      </c>
      <c r="C588" s="3" t="s">
        <v>612</v>
      </c>
      <c r="D588" s="3" t="s">
        <v>309</v>
      </c>
      <c r="E588" s="3" t="str">
        <v>Gurtnellen</v>
      </c>
      <c r="I588" s="19">
        <v>1942</v>
      </c>
      <c r="J588" s="19" t="s">
        <v>4547</v>
      </c>
    </row>
    <row r="589" spans="1:10" x14ac:dyDescent="0.2">
      <c r="A589" s="3">
        <v>3531</v>
      </c>
      <c r="B589" s="3" t="s">
        <v>615</v>
      </c>
      <c r="C589" s="3" t="s">
        <v>615</v>
      </c>
      <c r="D589" s="3" t="s">
        <v>309</v>
      </c>
      <c r="E589" s="3" t="str">
        <v>Hospental</v>
      </c>
      <c r="I589" s="19">
        <v>1943</v>
      </c>
      <c r="J589" s="19" t="s">
        <v>4547</v>
      </c>
    </row>
    <row r="590" spans="1:10" x14ac:dyDescent="0.2">
      <c r="A590" s="3">
        <v>3629</v>
      </c>
      <c r="B590" s="3" t="s">
        <v>616</v>
      </c>
      <c r="C590" s="3" t="s">
        <v>616</v>
      </c>
      <c r="D590" s="3" t="s">
        <v>309</v>
      </c>
      <c r="E590" s="3" t="str">
        <v>Isenthal</v>
      </c>
      <c r="I590" s="19">
        <v>1944</v>
      </c>
      <c r="J590" s="19" t="s">
        <v>4548</v>
      </c>
    </row>
    <row r="591" spans="1:10" x14ac:dyDescent="0.2">
      <c r="A591" s="3">
        <v>3113</v>
      </c>
      <c r="B591" s="3" t="s">
        <v>617</v>
      </c>
      <c r="C591" s="3" t="s">
        <v>617</v>
      </c>
      <c r="D591" s="3" t="s">
        <v>309</v>
      </c>
      <c r="E591" s="3" t="str">
        <v>Realp</v>
      </c>
      <c r="I591" s="19">
        <v>1945</v>
      </c>
      <c r="J591" s="19" t="s">
        <v>4547</v>
      </c>
    </row>
    <row r="592" spans="1:10" x14ac:dyDescent="0.2">
      <c r="A592" s="3">
        <v>3512</v>
      </c>
      <c r="B592" s="3" t="s">
        <v>618</v>
      </c>
      <c r="C592" s="3" t="s">
        <v>618</v>
      </c>
      <c r="D592" s="3" t="s">
        <v>309</v>
      </c>
      <c r="E592" s="3" t="str">
        <v>Schattdorf</v>
      </c>
      <c r="I592" s="19">
        <v>1946</v>
      </c>
      <c r="J592" s="19" t="s">
        <v>4548</v>
      </c>
    </row>
    <row r="593" spans="1:10" x14ac:dyDescent="0.2">
      <c r="A593" s="3">
        <v>3513</v>
      </c>
      <c r="B593" s="3" t="s">
        <v>619</v>
      </c>
      <c r="C593" s="3" t="s">
        <v>618</v>
      </c>
      <c r="D593" s="3" t="s">
        <v>309</v>
      </c>
      <c r="E593" s="3" t="str">
        <v>Seedorf (UR)</v>
      </c>
      <c r="I593" s="19">
        <v>1947</v>
      </c>
      <c r="J593" s="19" t="s">
        <v>4547</v>
      </c>
    </row>
    <row r="594" spans="1:10" x14ac:dyDescent="0.2">
      <c r="A594" s="3">
        <v>3075</v>
      </c>
      <c r="B594" s="3" t="s">
        <v>620</v>
      </c>
      <c r="C594" s="3" t="s">
        <v>621</v>
      </c>
      <c r="D594" s="3" t="s">
        <v>309</v>
      </c>
      <c r="E594" s="3" t="str">
        <v>Seelisberg</v>
      </c>
      <c r="I594" s="19">
        <v>1948</v>
      </c>
      <c r="J594" s="19" t="s">
        <v>4547</v>
      </c>
    </row>
    <row r="595" spans="1:10" x14ac:dyDescent="0.2">
      <c r="A595" s="3">
        <v>3075</v>
      </c>
      <c r="B595" s="3" t="s">
        <v>622</v>
      </c>
      <c r="C595" s="3" t="s">
        <v>621</v>
      </c>
      <c r="D595" s="3" t="s">
        <v>309</v>
      </c>
      <c r="E595" s="3" t="str">
        <v>Silenen</v>
      </c>
      <c r="I595" s="19">
        <v>1950</v>
      </c>
      <c r="J595" s="19" t="s">
        <v>4547</v>
      </c>
    </row>
    <row r="596" spans="1:10" x14ac:dyDescent="0.2">
      <c r="A596" s="3">
        <v>3076</v>
      </c>
      <c r="B596" s="3" t="s">
        <v>621</v>
      </c>
      <c r="C596" s="3" t="s">
        <v>621</v>
      </c>
      <c r="D596" s="3" t="s">
        <v>309</v>
      </c>
      <c r="E596" s="3" t="str">
        <v>Sisikon</v>
      </c>
      <c r="I596" s="19">
        <v>1955</v>
      </c>
      <c r="J596" s="19" t="s">
        <v>4547</v>
      </c>
    </row>
    <row r="597" spans="1:10" x14ac:dyDescent="0.2">
      <c r="A597" s="3">
        <v>3077</v>
      </c>
      <c r="B597" s="3" t="s">
        <v>623</v>
      </c>
      <c r="C597" s="3" t="s">
        <v>621</v>
      </c>
      <c r="D597" s="3" t="s">
        <v>309</v>
      </c>
      <c r="E597" s="3" t="str">
        <v>Spiringen</v>
      </c>
      <c r="I597" s="19">
        <v>1957</v>
      </c>
      <c r="J597" s="19" t="s">
        <v>4547</v>
      </c>
    </row>
    <row r="598" spans="1:10" x14ac:dyDescent="0.2">
      <c r="A598" s="3">
        <v>3078</v>
      </c>
      <c r="B598" s="3" t="s">
        <v>624</v>
      </c>
      <c r="C598" s="3" t="s">
        <v>621</v>
      </c>
      <c r="D598" s="3" t="s">
        <v>309</v>
      </c>
      <c r="E598" s="3" t="str">
        <v>Unterschächen</v>
      </c>
      <c r="I598" s="19">
        <v>1958</v>
      </c>
      <c r="J598" s="19" t="s">
        <v>4547</v>
      </c>
    </row>
    <row r="599" spans="1:10" x14ac:dyDescent="0.2">
      <c r="A599" s="3">
        <v>3532</v>
      </c>
      <c r="B599" s="3" t="s">
        <v>625</v>
      </c>
      <c r="C599" s="3" t="s">
        <v>625</v>
      </c>
      <c r="D599" s="3" t="s">
        <v>309</v>
      </c>
      <c r="E599" s="3" t="str">
        <v>Wassen</v>
      </c>
      <c r="I599" s="19">
        <v>1961</v>
      </c>
      <c r="J599" s="19" t="s">
        <v>4548</v>
      </c>
    </row>
    <row r="600" spans="1:10" x14ac:dyDescent="0.2">
      <c r="A600" s="3">
        <v>3504</v>
      </c>
      <c r="B600" s="3" t="s">
        <v>626</v>
      </c>
      <c r="C600" s="3" t="s">
        <v>626</v>
      </c>
      <c r="D600" s="3" t="s">
        <v>309</v>
      </c>
      <c r="E600" s="3" t="str">
        <v>Einsiedeln</v>
      </c>
      <c r="I600" s="19">
        <v>1962</v>
      </c>
      <c r="J600" s="19" t="s">
        <v>4547</v>
      </c>
    </row>
    <row r="601" spans="1:10" x14ac:dyDescent="0.2">
      <c r="A601" s="3">
        <v>3112</v>
      </c>
      <c r="B601" s="3" t="s">
        <v>627</v>
      </c>
      <c r="C601" s="3" t="s">
        <v>628</v>
      </c>
      <c r="D601" s="3" t="s">
        <v>309</v>
      </c>
      <c r="E601" s="3" t="str">
        <v>Gersau</v>
      </c>
      <c r="I601" s="19">
        <v>1963</v>
      </c>
      <c r="J601" s="19" t="s">
        <v>4547</v>
      </c>
    </row>
    <row r="602" spans="1:10" x14ac:dyDescent="0.2">
      <c r="A602" s="3">
        <v>3114</v>
      </c>
      <c r="B602" s="3" t="s">
        <v>629</v>
      </c>
      <c r="C602" s="3" t="s">
        <v>629</v>
      </c>
      <c r="D602" s="3" t="s">
        <v>309</v>
      </c>
      <c r="E602" s="3" t="str">
        <v>Feusisberg</v>
      </c>
      <c r="I602" s="19">
        <v>1964</v>
      </c>
      <c r="J602" s="19" t="s">
        <v>4547</v>
      </c>
    </row>
    <row r="603" spans="1:10" x14ac:dyDescent="0.2">
      <c r="A603" s="3">
        <v>3206</v>
      </c>
      <c r="B603" s="3" t="s">
        <v>630</v>
      </c>
      <c r="C603" s="3" t="s">
        <v>631</v>
      </c>
      <c r="D603" s="3" t="s">
        <v>309</v>
      </c>
      <c r="E603" s="3" t="str">
        <v>Freienbach</v>
      </c>
      <c r="I603" s="19">
        <v>1965</v>
      </c>
      <c r="J603" s="19" t="s">
        <v>4547</v>
      </c>
    </row>
    <row r="604" spans="1:10" x14ac:dyDescent="0.2">
      <c r="A604" s="3">
        <v>3206</v>
      </c>
      <c r="B604" s="3" t="s">
        <v>631</v>
      </c>
      <c r="C604" s="3" t="s">
        <v>631</v>
      </c>
      <c r="D604" s="3" t="s">
        <v>309</v>
      </c>
      <c r="E604" s="3" t="str">
        <v>Wollerau</v>
      </c>
      <c r="I604" s="19">
        <v>1966</v>
      </c>
      <c r="J604" s="19" t="s">
        <v>4547</v>
      </c>
    </row>
    <row r="605" spans="1:10" x14ac:dyDescent="0.2">
      <c r="A605" s="3">
        <v>3206</v>
      </c>
      <c r="B605" s="3" t="s">
        <v>632</v>
      </c>
      <c r="C605" s="3" t="s">
        <v>631</v>
      </c>
      <c r="D605" s="3" t="s">
        <v>309</v>
      </c>
      <c r="E605" s="3" t="str">
        <v>Küssnacht (SZ)</v>
      </c>
      <c r="I605" s="19">
        <v>1967</v>
      </c>
      <c r="J605" s="19" t="s">
        <v>4547</v>
      </c>
    </row>
    <row r="606" spans="1:10" x14ac:dyDescent="0.2">
      <c r="A606" s="3">
        <v>3206</v>
      </c>
      <c r="B606" s="3" t="s">
        <v>633</v>
      </c>
      <c r="C606" s="3" t="s">
        <v>631</v>
      </c>
      <c r="D606" s="3" t="s">
        <v>309</v>
      </c>
      <c r="E606" s="3" t="str">
        <v>Altendorf</v>
      </c>
      <c r="I606" s="19">
        <v>1968</v>
      </c>
      <c r="J606" s="19" t="s">
        <v>4548</v>
      </c>
    </row>
    <row r="607" spans="1:10" x14ac:dyDescent="0.2">
      <c r="A607" s="3">
        <v>3202</v>
      </c>
      <c r="B607" s="3" t="s">
        <v>634</v>
      </c>
      <c r="C607" s="3" t="s">
        <v>634</v>
      </c>
      <c r="D607" s="3" t="s">
        <v>309</v>
      </c>
      <c r="E607" s="3" t="str">
        <v>Galgenen</v>
      </c>
      <c r="I607" s="19">
        <v>1969</v>
      </c>
      <c r="J607" s="19" t="s">
        <v>4548</v>
      </c>
    </row>
    <row r="608" spans="1:10" x14ac:dyDescent="0.2">
      <c r="A608" s="3">
        <v>3208</v>
      </c>
      <c r="B608" s="3" t="s">
        <v>635</v>
      </c>
      <c r="C608" s="3" t="s">
        <v>635</v>
      </c>
      <c r="D608" s="3" t="s">
        <v>309</v>
      </c>
      <c r="E608" s="3" t="str">
        <v>Innerthal</v>
      </c>
      <c r="I608" s="19">
        <v>1971</v>
      </c>
      <c r="J608" s="19" t="s">
        <v>4547</v>
      </c>
    </row>
    <row r="609" spans="1:10" x14ac:dyDescent="0.2">
      <c r="A609" s="3">
        <v>3179</v>
      </c>
      <c r="B609" s="3" t="s">
        <v>636</v>
      </c>
      <c r="C609" s="3" t="s">
        <v>636</v>
      </c>
      <c r="D609" s="3" t="s">
        <v>309</v>
      </c>
      <c r="E609" s="3" t="str">
        <v>Lachen</v>
      </c>
      <c r="I609" s="19">
        <v>1972</v>
      </c>
      <c r="J609" s="19" t="s">
        <v>4548</v>
      </c>
    </row>
    <row r="610" spans="1:10" x14ac:dyDescent="0.2">
      <c r="A610" s="3">
        <v>3177</v>
      </c>
      <c r="B610" s="3" t="s">
        <v>637</v>
      </c>
      <c r="C610" s="3" t="s">
        <v>638</v>
      </c>
      <c r="D610" s="3" t="s">
        <v>309</v>
      </c>
      <c r="E610" s="3" t="str">
        <v>Reichenburg</v>
      </c>
      <c r="I610" s="19">
        <v>1973</v>
      </c>
      <c r="J610" s="19" t="s">
        <v>4548</v>
      </c>
    </row>
    <row r="611" spans="1:10" x14ac:dyDescent="0.2">
      <c r="A611" s="3">
        <v>3203</v>
      </c>
      <c r="B611" s="3" t="s">
        <v>639</v>
      </c>
      <c r="C611" s="3" t="s">
        <v>639</v>
      </c>
      <c r="D611" s="3" t="s">
        <v>309</v>
      </c>
      <c r="E611" s="3" t="str">
        <v>Schübelbach</v>
      </c>
      <c r="I611" s="19">
        <v>1974</v>
      </c>
      <c r="J611" s="19" t="s">
        <v>4547</v>
      </c>
    </row>
    <row r="612" spans="1:10" x14ac:dyDescent="0.2">
      <c r="A612" s="3">
        <v>3204</v>
      </c>
      <c r="B612" s="3" t="s">
        <v>640</v>
      </c>
      <c r="C612" s="3" t="s">
        <v>639</v>
      </c>
      <c r="D612" s="3" t="s">
        <v>309</v>
      </c>
      <c r="E612" s="3" t="str">
        <v>Tuggen</v>
      </c>
      <c r="I612" s="19">
        <v>1975</v>
      </c>
      <c r="J612" s="19" t="s">
        <v>4547</v>
      </c>
    </row>
    <row r="613" spans="1:10" x14ac:dyDescent="0.2">
      <c r="A613" s="3">
        <v>3205</v>
      </c>
      <c r="B613" s="3" t="s">
        <v>641</v>
      </c>
      <c r="C613" s="3" t="s">
        <v>639</v>
      </c>
      <c r="D613" s="3" t="s">
        <v>309</v>
      </c>
      <c r="E613" s="3" t="str">
        <v>Vorderthal</v>
      </c>
      <c r="I613" s="19">
        <v>1976</v>
      </c>
      <c r="J613" s="19" t="s">
        <v>4547</v>
      </c>
    </row>
    <row r="614" spans="1:10" x14ac:dyDescent="0.2">
      <c r="A614" s="3">
        <v>1797</v>
      </c>
      <c r="B614" s="3" t="s">
        <v>642</v>
      </c>
      <c r="C614" s="3" t="s">
        <v>642</v>
      </c>
      <c r="D614" s="3" t="s">
        <v>309</v>
      </c>
      <c r="E614" s="3" t="str">
        <v>Wangen (SZ)</v>
      </c>
      <c r="I614" s="19">
        <v>1977</v>
      </c>
      <c r="J614" s="19" t="s">
        <v>4548</v>
      </c>
    </row>
    <row r="615" spans="1:10" x14ac:dyDescent="0.2">
      <c r="A615" s="3">
        <v>3176</v>
      </c>
      <c r="B615" s="3" t="s">
        <v>643</v>
      </c>
      <c r="C615" s="3" t="s">
        <v>643</v>
      </c>
      <c r="D615" s="3" t="s">
        <v>309</v>
      </c>
      <c r="E615" s="3" t="str">
        <v>Alpthal</v>
      </c>
      <c r="I615" s="19">
        <v>1978</v>
      </c>
      <c r="J615" s="19" t="s">
        <v>4548</v>
      </c>
    </row>
    <row r="616" spans="1:10" x14ac:dyDescent="0.2">
      <c r="A616" s="3">
        <v>3207</v>
      </c>
      <c r="B616" s="3" t="s">
        <v>644</v>
      </c>
      <c r="C616" s="3" t="s">
        <v>644</v>
      </c>
      <c r="D616" s="3" t="s">
        <v>309</v>
      </c>
      <c r="E616" s="3" t="str">
        <v>Arth</v>
      </c>
      <c r="I616" s="19">
        <v>1981</v>
      </c>
      <c r="J616" s="19" t="s">
        <v>4547</v>
      </c>
    </row>
    <row r="617" spans="1:10" x14ac:dyDescent="0.2">
      <c r="A617" s="3">
        <v>2744</v>
      </c>
      <c r="B617" s="3" t="s">
        <v>645</v>
      </c>
      <c r="C617" s="3" t="s">
        <v>645</v>
      </c>
      <c r="D617" s="3" t="s">
        <v>309</v>
      </c>
      <c r="E617" s="3" t="str">
        <v>Illgau</v>
      </c>
      <c r="I617" s="19">
        <v>1982</v>
      </c>
      <c r="J617" s="19" t="s">
        <v>4547</v>
      </c>
    </row>
    <row r="618" spans="1:10" x14ac:dyDescent="0.2">
      <c r="A618" s="3">
        <v>2735</v>
      </c>
      <c r="B618" s="3" t="s">
        <v>646</v>
      </c>
      <c r="C618" s="3" t="s">
        <v>646</v>
      </c>
      <c r="D618" s="3" t="s">
        <v>309</v>
      </c>
      <c r="E618" s="3" t="str">
        <v>Ingenbohl</v>
      </c>
      <c r="I618" s="19">
        <v>1983</v>
      </c>
      <c r="J618" s="19" t="s">
        <v>4547</v>
      </c>
    </row>
    <row r="619" spans="1:10" x14ac:dyDescent="0.2">
      <c r="A619" s="3">
        <v>2747</v>
      </c>
      <c r="B619" s="3" t="s">
        <v>647</v>
      </c>
      <c r="C619" s="3" t="s">
        <v>648</v>
      </c>
      <c r="D619" s="3" t="s">
        <v>309</v>
      </c>
      <c r="E619" s="3" t="str">
        <v>Lauerz</v>
      </c>
      <c r="I619" s="19">
        <v>1984</v>
      </c>
      <c r="J619" s="19" t="s">
        <v>4548</v>
      </c>
    </row>
    <row r="620" spans="1:10" x14ac:dyDescent="0.2">
      <c r="A620" s="3">
        <v>2738</v>
      </c>
      <c r="B620" s="3" t="s">
        <v>649</v>
      </c>
      <c r="C620" s="3" t="s">
        <v>649</v>
      </c>
      <c r="D620" s="3" t="s">
        <v>309</v>
      </c>
      <c r="E620" s="3" t="str">
        <v>Morschach</v>
      </c>
      <c r="I620" s="19">
        <v>1985</v>
      </c>
      <c r="J620" s="19" t="s">
        <v>4548</v>
      </c>
    </row>
    <row r="621" spans="1:10" x14ac:dyDescent="0.2">
      <c r="A621" s="3">
        <v>2746</v>
      </c>
      <c r="B621" s="3" t="s">
        <v>650</v>
      </c>
      <c r="C621" s="3" t="s">
        <v>650</v>
      </c>
      <c r="D621" s="3" t="s">
        <v>309</v>
      </c>
      <c r="E621" s="3" t="str">
        <v>Muotathal</v>
      </c>
      <c r="I621" s="19">
        <v>1986</v>
      </c>
      <c r="J621" s="19" t="s">
        <v>4549</v>
      </c>
    </row>
    <row r="622" spans="1:10" x14ac:dyDescent="0.2">
      <c r="A622" s="3">
        <v>2743</v>
      </c>
      <c r="B622" s="3" t="s">
        <v>651</v>
      </c>
      <c r="C622" s="3" t="s">
        <v>651</v>
      </c>
      <c r="D622" s="3" t="s">
        <v>309</v>
      </c>
      <c r="E622" s="3" t="str">
        <v>Oberiberg</v>
      </c>
      <c r="I622" s="19">
        <v>1987</v>
      </c>
      <c r="J622" s="19" t="s">
        <v>4547</v>
      </c>
    </row>
    <row r="623" spans="1:10" x14ac:dyDescent="0.2">
      <c r="A623" s="3">
        <v>2745</v>
      </c>
      <c r="B623" s="3" t="s">
        <v>652</v>
      </c>
      <c r="C623" s="3" t="s">
        <v>652</v>
      </c>
      <c r="D623" s="3" t="s">
        <v>309</v>
      </c>
      <c r="E623" s="3" t="str">
        <v>Riemenstalden</v>
      </c>
      <c r="I623" s="19">
        <v>1988</v>
      </c>
      <c r="J623" s="19" t="s">
        <v>4548</v>
      </c>
    </row>
    <row r="624" spans="1:10" x14ac:dyDescent="0.2">
      <c r="A624" s="3">
        <v>2732</v>
      </c>
      <c r="B624" s="3" t="s">
        <v>653</v>
      </c>
      <c r="C624" s="3" t="s">
        <v>653</v>
      </c>
      <c r="D624" s="3" t="s">
        <v>309</v>
      </c>
      <c r="E624" s="3" t="str">
        <v>Rothenthurm</v>
      </c>
      <c r="I624" s="19">
        <v>1991</v>
      </c>
      <c r="J624" s="19" t="s">
        <v>4547</v>
      </c>
    </row>
    <row r="625" spans="1:10" x14ac:dyDescent="0.2">
      <c r="A625" s="3">
        <v>2740</v>
      </c>
      <c r="B625" s="3" t="s">
        <v>654</v>
      </c>
      <c r="C625" s="3" t="s">
        <v>654</v>
      </c>
      <c r="D625" s="3" t="s">
        <v>309</v>
      </c>
      <c r="E625" s="3" t="str">
        <v>Sattel</v>
      </c>
      <c r="I625" s="19">
        <v>1992</v>
      </c>
      <c r="J625" s="19" t="s">
        <v>4547</v>
      </c>
    </row>
    <row r="626" spans="1:10" x14ac:dyDescent="0.2">
      <c r="A626" s="3">
        <v>2742</v>
      </c>
      <c r="B626" s="3" t="s">
        <v>655</v>
      </c>
      <c r="C626" s="3" t="s">
        <v>655</v>
      </c>
      <c r="D626" s="3" t="s">
        <v>309</v>
      </c>
      <c r="E626" s="3" t="str">
        <v>Schwyz</v>
      </c>
      <c r="I626" s="19">
        <v>1993</v>
      </c>
      <c r="J626" s="19" t="s">
        <v>4547</v>
      </c>
    </row>
    <row r="627" spans="1:10" x14ac:dyDescent="0.2">
      <c r="A627" s="3">
        <v>2732</v>
      </c>
      <c r="B627" s="3" t="s">
        <v>656</v>
      </c>
      <c r="C627" s="3" t="s">
        <v>656</v>
      </c>
      <c r="D627" s="3" t="s">
        <v>309</v>
      </c>
      <c r="E627" s="3" t="str">
        <v>Steinen</v>
      </c>
      <c r="I627" s="19">
        <v>1994</v>
      </c>
      <c r="J627" s="19" t="s">
        <v>4547</v>
      </c>
    </row>
    <row r="628" spans="1:10" x14ac:dyDescent="0.2">
      <c r="A628" s="3">
        <v>2762</v>
      </c>
      <c r="B628" s="3" t="s">
        <v>657</v>
      </c>
      <c r="C628" s="3" t="s">
        <v>658</v>
      </c>
      <c r="D628" s="3" t="s">
        <v>309</v>
      </c>
      <c r="E628" s="3" t="str">
        <v>Steinerberg</v>
      </c>
      <c r="I628" s="19">
        <v>1996</v>
      </c>
      <c r="J628" s="19" t="s">
        <v>4547</v>
      </c>
    </row>
    <row r="629" spans="1:10" x14ac:dyDescent="0.2">
      <c r="A629" s="3">
        <v>2712</v>
      </c>
      <c r="B629" s="3" t="s">
        <v>659</v>
      </c>
      <c r="C629" s="3" t="s">
        <v>660</v>
      </c>
      <c r="D629" s="3" t="s">
        <v>309</v>
      </c>
      <c r="E629" s="3" t="str">
        <v>Unteriberg</v>
      </c>
      <c r="I629" s="19">
        <v>1997</v>
      </c>
      <c r="J629" s="19" t="s">
        <v>4547</v>
      </c>
    </row>
    <row r="630" spans="1:10" x14ac:dyDescent="0.2">
      <c r="A630" s="3">
        <v>2713</v>
      </c>
      <c r="B630" s="3" t="s">
        <v>661</v>
      </c>
      <c r="C630" s="3" t="s">
        <v>660</v>
      </c>
      <c r="D630" s="3" t="s">
        <v>309</v>
      </c>
      <c r="E630" s="3" t="str">
        <v>Alpnach</v>
      </c>
      <c r="I630" s="19">
        <v>2000</v>
      </c>
      <c r="J630" s="19" t="s">
        <v>4543</v>
      </c>
    </row>
    <row r="631" spans="1:10" x14ac:dyDescent="0.2">
      <c r="A631" s="3">
        <v>2732</v>
      </c>
      <c r="B631" s="3" t="s">
        <v>660</v>
      </c>
      <c r="C631" s="3" t="s">
        <v>660</v>
      </c>
      <c r="D631" s="3" t="s">
        <v>309</v>
      </c>
      <c r="E631" s="3" t="str">
        <v>Engelberg</v>
      </c>
      <c r="I631" s="19">
        <v>2012</v>
      </c>
      <c r="J631" s="19" t="s">
        <v>4543</v>
      </c>
    </row>
    <row r="632" spans="1:10" x14ac:dyDescent="0.2">
      <c r="A632" s="3">
        <v>2732</v>
      </c>
      <c r="B632" s="3" t="s">
        <v>662</v>
      </c>
      <c r="C632" s="3" t="s">
        <v>663</v>
      </c>
      <c r="D632" s="3" t="s">
        <v>309</v>
      </c>
      <c r="E632" s="3" t="str">
        <v>Giswil</v>
      </c>
      <c r="I632" s="19">
        <v>2013</v>
      </c>
      <c r="J632" s="19" t="s">
        <v>4543</v>
      </c>
    </row>
    <row r="633" spans="1:10" x14ac:dyDescent="0.2">
      <c r="A633" s="3">
        <v>2827</v>
      </c>
      <c r="B633" s="3" t="s">
        <v>664</v>
      </c>
      <c r="C633" s="3" t="s">
        <v>664</v>
      </c>
      <c r="D633" s="3" t="s">
        <v>309</v>
      </c>
      <c r="E633" s="3" t="str">
        <v>Kerns</v>
      </c>
      <c r="I633" s="19">
        <v>2014</v>
      </c>
      <c r="J633" s="19" t="s">
        <v>4543</v>
      </c>
    </row>
    <row r="634" spans="1:10" x14ac:dyDescent="0.2">
      <c r="A634" s="3">
        <v>2747</v>
      </c>
      <c r="B634" s="3" t="s">
        <v>665</v>
      </c>
      <c r="C634" s="3" t="s">
        <v>665</v>
      </c>
      <c r="D634" s="3" t="s">
        <v>309</v>
      </c>
      <c r="E634" s="3" t="str">
        <v>Lungern</v>
      </c>
      <c r="I634" s="19">
        <v>2015</v>
      </c>
      <c r="J634" s="19" t="s">
        <v>4543</v>
      </c>
    </row>
    <row r="635" spans="1:10" x14ac:dyDescent="0.2">
      <c r="A635" s="3">
        <v>2736</v>
      </c>
      <c r="B635" s="3" t="s">
        <v>666</v>
      </c>
      <c r="C635" s="3" t="s">
        <v>666</v>
      </c>
      <c r="D635" s="3" t="s">
        <v>309</v>
      </c>
      <c r="E635" s="3" t="str">
        <v>Sachseln</v>
      </c>
      <c r="I635" s="19">
        <v>2016</v>
      </c>
      <c r="J635" s="19" t="s">
        <v>4543</v>
      </c>
    </row>
    <row r="636" spans="1:10" x14ac:dyDescent="0.2">
      <c r="A636" s="3">
        <v>2710</v>
      </c>
      <c r="B636" s="3" t="s">
        <v>667</v>
      </c>
      <c r="C636" s="3" t="s">
        <v>667</v>
      </c>
      <c r="D636" s="3" t="s">
        <v>309</v>
      </c>
      <c r="E636" s="3" t="str">
        <v>Sarnen</v>
      </c>
      <c r="I636" s="19">
        <v>2017</v>
      </c>
      <c r="J636" s="19" t="s">
        <v>4543</v>
      </c>
    </row>
    <row r="637" spans="1:10" x14ac:dyDescent="0.2">
      <c r="A637" s="3">
        <v>2720</v>
      </c>
      <c r="B637" s="3" t="s">
        <v>668</v>
      </c>
      <c r="C637" s="3" t="s">
        <v>667</v>
      </c>
      <c r="D637" s="3" t="s">
        <v>309</v>
      </c>
      <c r="E637" s="3" t="str">
        <v>Beckenried</v>
      </c>
      <c r="I637" s="19">
        <v>2019</v>
      </c>
      <c r="J637" s="19" t="s">
        <v>4550</v>
      </c>
    </row>
    <row r="638" spans="1:10" x14ac:dyDescent="0.2">
      <c r="A638" s="3">
        <v>2717</v>
      </c>
      <c r="B638" s="3" t="s">
        <v>669</v>
      </c>
      <c r="C638" s="3" t="s">
        <v>669</v>
      </c>
      <c r="D638" s="3" t="s">
        <v>309</v>
      </c>
      <c r="E638" s="3" t="str">
        <v>Buochs</v>
      </c>
      <c r="I638" s="19">
        <v>2022</v>
      </c>
      <c r="J638" s="19" t="s">
        <v>4543</v>
      </c>
    </row>
    <row r="639" spans="1:10" x14ac:dyDescent="0.2">
      <c r="A639" s="3">
        <v>2715</v>
      </c>
      <c r="B639" s="3" t="s">
        <v>670</v>
      </c>
      <c r="C639" s="3" t="s">
        <v>671</v>
      </c>
      <c r="D639" s="3" t="s">
        <v>309</v>
      </c>
      <c r="E639" s="3" t="str">
        <v>Dallenwil</v>
      </c>
      <c r="I639" s="19">
        <v>2023</v>
      </c>
      <c r="J639" s="19" t="s">
        <v>4543</v>
      </c>
    </row>
    <row r="640" spans="1:10" x14ac:dyDescent="0.2">
      <c r="A640" s="3">
        <v>2715</v>
      </c>
      <c r="B640" s="3" t="s">
        <v>672</v>
      </c>
      <c r="C640" s="3" t="s">
        <v>671</v>
      </c>
      <c r="D640" s="3" t="s">
        <v>309</v>
      </c>
      <c r="E640" s="3" t="str">
        <v>Emmetten</v>
      </c>
      <c r="I640" s="19">
        <v>2024</v>
      </c>
      <c r="J640" s="19" t="s">
        <v>4543</v>
      </c>
    </row>
    <row r="641" spans="1:10" x14ac:dyDescent="0.2">
      <c r="A641" s="3">
        <v>2716</v>
      </c>
      <c r="B641" s="3" t="s">
        <v>673</v>
      </c>
      <c r="C641" s="3" t="s">
        <v>671</v>
      </c>
      <c r="D641" s="3" t="s">
        <v>309</v>
      </c>
      <c r="E641" s="3" t="str">
        <v>Ennetbürgen</v>
      </c>
      <c r="I641" s="19">
        <v>2025</v>
      </c>
      <c r="J641" s="19" t="s">
        <v>4543</v>
      </c>
    </row>
    <row r="642" spans="1:10" x14ac:dyDescent="0.2">
      <c r="A642" s="3">
        <v>2717</v>
      </c>
      <c r="B642" s="3" t="s">
        <v>674</v>
      </c>
      <c r="C642" s="3" t="s">
        <v>671</v>
      </c>
      <c r="D642" s="3" t="s">
        <v>309</v>
      </c>
      <c r="E642" s="3" t="str">
        <v>Ennetmoos</v>
      </c>
      <c r="I642" s="19">
        <v>2027</v>
      </c>
      <c r="J642" s="19" t="s">
        <v>4540</v>
      </c>
    </row>
    <row r="643" spans="1:10" x14ac:dyDescent="0.2">
      <c r="A643" s="3">
        <v>2748</v>
      </c>
      <c r="B643" s="3" t="s">
        <v>675</v>
      </c>
      <c r="C643" s="3" t="s">
        <v>671</v>
      </c>
      <c r="D643" s="3" t="s">
        <v>309</v>
      </c>
      <c r="E643" s="3" t="str">
        <v>Hergiswil (NW)</v>
      </c>
      <c r="I643" s="19">
        <v>2028</v>
      </c>
      <c r="J643" s="19" t="s">
        <v>4543</v>
      </c>
    </row>
    <row r="644" spans="1:10" x14ac:dyDescent="0.2">
      <c r="A644" s="3">
        <v>2748</v>
      </c>
      <c r="B644" s="3" t="s">
        <v>676</v>
      </c>
      <c r="C644" s="3" t="s">
        <v>671</v>
      </c>
      <c r="D644" s="3" t="s">
        <v>309</v>
      </c>
      <c r="E644" s="3" t="str">
        <v>Oberdorf (NW)</v>
      </c>
      <c r="I644" s="19">
        <v>2034</v>
      </c>
      <c r="J644" s="19" t="s">
        <v>4543</v>
      </c>
    </row>
    <row r="645" spans="1:10" x14ac:dyDescent="0.2">
      <c r="A645" s="3">
        <v>2733</v>
      </c>
      <c r="B645" s="3" t="s">
        <v>677</v>
      </c>
      <c r="C645" s="3" t="s">
        <v>678</v>
      </c>
      <c r="D645" s="3" t="s">
        <v>309</v>
      </c>
      <c r="E645" s="3" t="str">
        <v>Stans</v>
      </c>
      <c r="I645" s="19">
        <v>2035</v>
      </c>
      <c r="J645" s="19" t="s">
        <v>4543</v>
      </c>
    </row>
    <row r="646" spans="1:10" x14ac:dyDescent="0.2">
      <c r="A646" s="3">
        <v>2735</v>
      </c>
      <c r="B646" s="3" t="s">
        <v>679</v>
      </c>
      <c r="C646" s="3" t="s">
        <v>678</v>
      </c>
      <c r="D646" s="3" t="s">
        <v>309</v>
      </c>
      <c r="E646" s="3" t="str">
        <v>Stansstad</v>
      </c>
      <c r="I646" s="19">
        <v>2036</v>
      </c>
      <c r="J646" s="19" t="s">
        <v>4543</v>
      </c>
    </row>
    <row r="647" spans="1:10" x14ac:dyDescent="0.2">
      <c r="A647" s="3">
        <v>2735</v>
      </c>
      <c r="B647" s="3" t="s">
        <v>680</v>
      </c>
      <c r="C647" s="3" t="s">
        <v>678</v>
      </c>
      <c r="D647" s="3" t="s">
        <v>309</v>
      </c>
      <c r="E647" s="3" t="str">
        <v>Wolfenschiessen</v>
      </c>
      <c r="I647" s="19">
        <v>2037</v>
      </c>
      <c r="J647" s="19" t="s">
        <v>4550</v>
      </c>
    </row>
    <row r="648" spans="1:10" x14ac:dyDescent="0.2">
      <c r="A648" s="3">
        <v>2520</v>
      </c>
      <c r="B648" s="3" t="s">
        <v>681</v>
      </c>
      <c r="C648" s="3" t="s">
        <v>681</v>
      </c>
      <c r="D648" s="3" t="s">
        <v>309</v>
      </c>
      <c r="E648" s="3" t="str">
        <v>Glarus Nord</v>
      </c>
      <c r="I648" s="19">
        <v>2042</v>
      </c>
      <c r="J648" s="19" t="s">
        <v>4543</v>
      </c>
    </row>
    <row r="649" spans="1:10" x14ac:dyDescent="0.2">
      <c r="A649" s="3">
        <v>2518</v>
      </c>
      <c r="B649" s="3" t="s">
        <v>682</v>
      </c>
      <c r="C649" s="3" t="s">
        <v>682</v>
      </c>
      <c r="D649" s="3" t="s">
        <v>309</v>
      </c>
      <c r="E649" s="3" t="str">
        <v>Glarus Süd</v>
      </c>
      <c r="I649" s="19">
        <v>2043</v>
      </c>
      <c r="J649" s="19" t="s">
        <v>4550</v>
      </c>
    </row>
    <row r="650" spans="1:10" x14ac:dyDescent="0.2">
      <c r="A650" s="3">
        <v>2515</v>
      </c>
      <c r="B650" s="3" t="s">
        <v>683</v>
      </c>
      <c r="C650" s="3" t="s">
        <v>684</v>
      </c>
      <c r="D650" s="3" t="s">
        <v>309</v>
      </c>
      <c r="E650" s="3" t="str">
        <v>Glarus</v>
      </c>
      <c r="I650" s="19">
        <v>2046</v>
      </c>
      <c r="J650" s="19" t="s">
        <v>4550</v>
      </c>
    </row>
    <row r="651" spans="1:10" x14ac:dyDescent="0.2">
      <c r="A651" s="3">
        <v>2516</v>
      </c>
      <c r="B651" s="3" t="s">
        <v>685</v>
      </c>
      <c r="C651" s="3" t="s">
        <v>684</v>
      </c>
      <c r="D651" s="3" t="s">
        <v>309</v>
      </c>
      <c r="E651" s="3" t="str">
        <v>Baar</v>
      </c>
      <c r="I651" s="19">
        <v>2052</v>
      </c>
      <c r="J651" s="19" t="s">
        <v>4550</v>
      </c>
    </row>
    <row r="652" spans="1:10" x14ac:dyDescent="0.2">
      <c r="A652" s="3">
        <v>2517</v>
      </c>
      <c r="B652" s="3" t="s">
        <v>686</v>
      </c>
      <c r="C652" s="3" t="s">
        <v>684</v>
      </c>
      <c r="D652" s="3" t="s">
        <v>309</v>
      </c>
      <c r="E652" s="3" t="str">
        <v>Cham</v>
      </c>
      <c r="I652" s="19">
        <v>2053</v>
      </c>
      <c r="J652" s="19" t="s">
        <v>4550</v>
      </c>
    </row>
    <row r="653" spans="1:10" x14ac:dyDescent="0.2">
      <c r="A653" s="3">
        <v>2558</v>
      </c>
      <c r="B653" s="3" t="s">
        <v>687</v>
      </c>
      <c r="C653" s="3" t="s">
        <v>687</v>
      </c>
      <c r="D653" s="3" t="s">
        <v>309</v>
      </c>
      <c r="E653" s="3" t="str">
        <v>Hünenberg</v>
      </c>
      <c r="I653" s="19">
        <v>2054</v>
      </c>
      <c r="J653" s="19" t="s">
        <v>4550</v>
      </c>
    </row>
    <row r="654" spans="1:10" x14ac:dyDescent="0.2">
      <c r="A654" s="3">
        <v>2564</v>
      </c>
      <c r="B654" s="3" t="s">
        <v>688</v>
      </c>
      <c r="C654" s="3" t="s">
        <v>688</v>
      </c>
      <c r="D654" s="3" t="s">
        <v>309</v>
      </c>
      <c r="E654" s="3" t="str">
        <v>Menzingen</v>
      </c>
      <c r="I654" s="19">
        <v>2056</v>
      </c>
      <c r="J654" s="19" t="s">
        <v>4550</v>
      </c>
    </row>
    <row r="655" spans="1:10" x14ac:dyDescent="0.2">
      <c r="A655" s="3">
        <v>2555</v>
      </c>
      <c r="B655" s="3" t="s">
        <v>689</v>
      </c>
      <c r="C655" s="3" t="s">
        <v>690</v>
      </c>
      <c r="D655" s="3" t="s">
        <v>309</v>
      </c>
      <c r="E655" s="3" t="str">
        <v>Neuheim</v>
      </c>
      <c r="I655" s="19">
        <v>2057</v>
      </c>
      <c r="J655" s="19" t="s">
        <v>4550</v>
      </c>
    </row>
    <row r="656" spans="1:10" x14ac:dyDescent="0.2">
      <c r="A656" s="3">
        <v>3274</v>
      </c>
      <c r="B656" s="3" t="s">
        <v>691</v>
      </c>
      <c r="C656" s="3" t="s">
        <v>692</v>
      </c>
      <c r="D656" s="3" t="s">
        <v>309</v>
      </c>
      <c r="E656" s="3" t="str">
        <v>Oberägeri</v>
      </c>
      <c r="I656" s="19">
        <v>2058</v>
      </c>
      <c r="J656" s="19" t="s">
        <v>4550</v>
      </c>
    </row>
    <row r="657" spans="1:10" x14ac:dyDescent="0.2">
      <c r="A657" s="3">
        <v>3272</v>
      </c>
      <c r="B657" s="3" t="s">
        <v>693</v>
      </c>
      <c r="C657" s="3" t="s">
        <v>693</v>
      </c>
      <c r="D657" s="3" t="s">
        <v>309</v>
      </c>
      <c r="E657" s="3" t="str">
        <v>Risch</v>
      </c>
      <c r="I657" s="19">
        <v>2063</v>
      </c>
      <c r="J657" s="19" t="s">
        <v>4543</v>
      </c>
    </row>
    <row r="658" spans="1:10" x14ac:dyDescent="0.2">
      <c r="A658" s="3">
        <v>2575</v>
      </c>
      <c r="B658" s="3" t="s">
        <v>694</v>
      </c>
      <c r="C658" s="3" t="s">
        <v>694</v>
      </c>
      <c r="D658" s="3" t="s">
        <v>309</v>
      </c>
      <c r="E658" s="3" t="str">
        <v>Steinhausen</v>
      </c>
      <c r="I658" s="19">
        <v>2065</v>
      </c>
      <c r="J658" s="19" t="s">
        <v>4550</v>
      </c>
    </row>
    <row r="659" spans="1:10" x14ac:dyDescent="0.2">
      <c r="A659" s="3">
        <v>3274</v>
      </c>
      <c r="B659" s="3" t="s">
        <v>695</v>
      </c>
      <c r="C659" s="3" t="s">
        <v>695</v>
      </c>
      <c r="D659" s="3" t="s">
        <v>309</v>
      </c>
      <c r="E659" s="3" t="str">
        <v>Unterägeri</v>
      </c>
      <c r="I659" s="19">
        <v>2067</v>
      </c>
      <c r="J659" s="19" t="s">
        <v>4543</v>
      </c>
    </row>
    <row r="660" spans="1:10" x14ac:dyDescent="0.2">
      <c r="A660" s="3">
        <v>2565</v>
      </c>
      <c r="B660" s="3" t="s">
        <v>696</v>
      </c>
      <c r="C660" s="3" t="s">
        <v>696</v>
      </c>
      <c r="D660" s="3" t="s">
        <v>309</v>
      </c>
      <c r="E660" s="3" t="str">
        <v>Walchwil</v>
      </c>
      <c r="I660" s="19">
        <v>2068</v>
      </c>
      <c r="J660" s="19" t="s">
        <v>4543</v>
      </c>
    </row>
    <row r="661" spans="1:10" x14ac:dyDescent="0.2">
      <c r="A661" s="3">
        <v>2563</v>
      </c>
      <c r="B661" s="3" t="s">
        <v>697</v>
      </c>
      <c r="C661" s="3" t="s">
        <v>697</v>
      </c>
      <c r="D661" s="3" t="s">
        <v>309</v>
      </c>
      <c r="E661" s="3" t="str">
        <v>Zug</v>
      </c>
      <c r="I661" s="19">
        <v>2072</v>
      </c>
      <c r="J661" s="19" t="s">
        <v>4543</v>
      </c>
    </row>
    <row r="662" spans="1:10" x14ac:dyDescent="0.2">
      <c r="A662" s="3">
        <v>2514</v>
      </c>
      <c r="B662" s="3" t="s">
        <v>698</v>
      </c>
      <c r="C662" s="3" t="s">
        <v>698</v>
      </c>
      <c r="D662" s="3" t="s">
        <v>309</v>
      </c>
      <c r="E662" s="3" t="str">
        <v>Châtillon (FR)</v>
      </c>
      <c r="I662" s="19">
        <v>2073</v>
      </c>
      <c r="J662" s="19" t="s">
        <v>4543</v>
      </c>
    </row>
    <row r="663" spans="1:10" x14ac:dyDescent="0.2">
      <c r="A663" s="3">
        <v>3274</v>
      </c>
      <c r="B663" s="3" t="s">
        <v>699</v>
      </c>
      <c r="C663" s="3" t="s">
        <v>699</v>
      </c>
      <c r="D663" s="3" t="s">
        <v>309</v>
      </c>
      <c r="E663" s="3" t="str">
        <v>Cugy (FR)</v>
      </c>
      <c r="I663" s="19">
        <v>2074</v>
      </c>
      <c r="J663" s="19" t="s">
        <v>4543</v>
      </c>
    </row>
    <row r="664" spans="1:10" x14ac:dyDescent="0.2">
      <c r="A664" s="3">
        <v>2572</v>
      </c>
      <c r="B664" s="3" t="s">
        <v>700</v>
      </c>
      <c r="C664" s="3" t="s">
        <v>700</v>
      </c>
      <c r="D664" s="3" t="s">
        <v>309</v>
      </c>
      <c r="E664" s="3" t="str">
        <v>Fétigny</v>
      </c>
      <c r="I664" s="19">
        <v>2075</v>
      </c>
      <c r="J664" s="19" t="s">
        <v>4543</v>
      </c>
    </row>
    <row r="665" spans="1:10" x14ac:dyDescent="0.2">
      <c r="A665" s="3">
        <v>2560</v>
      </c>
      <c r="B665" s="3" t="s">
        <v>701</v>
      </c>
      <c r="C665" s="3" t="s">
        <v>701</v>
      </c>
      <c r="D665" s="3" t="s">
        <v>309</v>
      </c>
      <c r="E665" s="3" t="str">
        <v>Gletterens</v>
      </c>
      <c r="I665" s="19">
        <v>2087</v>
      </c>
      <c r="J665" s="19" t="s">
        <v>4543</v>
      </c>
    </row>
    <row r="666" spans="1:10" x14ac:dyDescent="0.2">
      <c r="A666" s="3">
        <v>2552</v>
      </c>
      <c r="B666" s="3" t="s">
        <v>702</v>
      </c>
      <c r="C666" s="3" t="s">
        <v>702</v>
      </c>
      <c r="D666" s="3" t="s">
        <v>309</v>
      </c>
      <c r="E666" s="3" t="str">
        <v>Lully (FR)</v>
      </c>
      <c r="I666" s="19">
        <v>2088</v>
      </c>
      <c r="J666" s="19" t="s">
        <v>4543</v>
      </c>
    </row>
    <row r="667" spans="1:10" x14ac:dyDescent="0.2">
      <c r="A667" s="3">
        <v>2562</v>
      </c>
      <c r="B667" s="3" t="s">
        <v>703</v>
      </c>
      <c r="C667" s="3" t="s">
        <v>703</v>
      </c>
      <c r="D667" s="3" t="s">
        <v>309</v>
      </c>
      <c r="E667" s="3" t="str">
        <v>Ménières</v>
      </c>
      <c r="I667" s="19">
        <v>2103</v>
      </c>
      <c r="J667" s="19" t="s">
        <v>4550</v>
      </c>
    </row>
    <row r="668" spans="1:10" x14ac:dyDescent="0.2">
      <c r="A668" s="3">
        <v>2553</v>
      </c>
      <c r="B668" s="3" t="s">
        <v>704</v>
      </c>
      <c r="C668" s="3" t="s">
        <v>704</v>
      </c>
      <c r="D668" s="3" t="s">
        <v>309</v>
      </c>
      <c r="E668" s="3" t="str">
        <v>Montagny (FR)</v>
      </c>
      <c r="I668" s="19">
        <v>2105</v>
      </c>
      <c r="J668" s="19" t="s">
        <v>4542</v>
      </c>
    </row>
    <row r="669" spans="1:10" x14ac:dyDescent="0.2">
      <c r="A669" s="3">
        <v>2556</v>
      </c>
      <c r="B669" s="3" t="s">
        <v>705</v>
      </c>
      <c r="C669" s="3" t="s">
        <v>705</v>
      </c>
      <c r="D669" s="3" t="s">
        <v>309</v>
      </c>
      <c r="E669" s="3" t="str">
        <v>Nuvilly</v>
      </c>
      <c r="I669" s="19">
        <v>2108</v>
      </c>
      <c r="J669" s="19" t="s">
        <v>4542</v>
      </c>
    </row>
    <row r="670" spans="1:10" x14ac:dyDescent="0.2">
      <c r="A670" s="3">
        <v>2556</v>
      </c>
      <c r="B670" s="3" t="s">
        <v>706</v>
      </c>
      <c r="C670" s="3" t="s">
        <v>706</v>
      </c>
      <c r="D670" s="3" t="s">
        <v>309</v>
      </c>
      <c r="E670" s="3" t="str">
        <v>Prévondavaux</v>
      </c>
      <c r="I670" s="19">
        <v>2112</v>
      </c>
      <c r="J670" s="19" t="s">
        <v>4542</v>
      </c>
    </row>
    <row r="671" spans="1:10" x14ac:dyDescent="0.2">
      <c r="A671" s="3">
        <v>2557</v>
      </c>
      <c r="B671" s="3" t="s">
        <v>707</v>
      </c>
      <c r="C671" s="3" t="s">
        <v>708</v>
      </c>
      <c r="D671" s="3" t="s">
        <v>309</v>
      </c>
      <c r="E671" s="3" t="str">
        <v>Saint-Aubin (FR)</v>
      </c>
      <c r="I671" s="19">
        <v>2113</v>
      </c>
      <c r="J671" s="19" t="s">
        <v>4542</v>
      </c>
    </row>
    <row r="672" spans="1:10" x14ac:dyDescent="0.2">
      <c r="A672" s="3">
        <v>2572</v>
      </c>
      <c r="B672" s="3" t="s">
        <v>709</v>
      </c>
      <c r="C672" s="3" t="s">
        <v>710</v>
      </c>
      <c r="D672" s="3" t="s">
        <v>309</v>
      </c>
      <c r="E672" s="3" t="str">
        <v>Sévaz</v>
      </c>
      <c r="I672" s="19">
        <v>2114</v>
      </c>
      <c r="J672" s="19" t="s">
        <v>4542</v>
      </c>
    </row>
    <row r="673" spans="1:10" x14ac:dyDescent="0.2">
      <c r="A673" s="3">
        <v>2575</v>
      </c>
      <c r="B673" s="3" t="s">
        <v>711</v>
      </c>
      <c r="C673" s="3" t="s">
        <v>711</v>
      </c>
      <c r="D673" s="3" t="s">
        <v>309</v>
      </c>
      <c r="E673" s="3" t="str">
        <v>Surpierre</v>
      </c>
      <c r="I673" s="19">
        <v>2115</v>
      </c>
      <c r="J673" s="19" t="s">
        <v>4542</v>
      </c>
    </row>
    <row r="674" spans="1:10" x14ac:dyDescent="0.2">
      <c r="A674" s="3">
        <v>2575</v>
      </c>
      <c r="B674" s="3" t="s">
        <v>712</v>
      </c>
      <c r="C674" s="3" t="s">
        <v>711</v>
      </c>
      <c r="D674" s="3" t="s">
        <v>309</v>
      </c>
      <c r="E674" s="3" t="str">
        <v>Vallon</v>
      </c>
      <c r="I674" s="19">
        <v>2116</v>
      </c>
      <c r="J674" s="19" t="s">
        <v>4542</v>
      </c>
    </row>
    <row r="675" spans="1:10" x14ac:dyDescent="0.2">
      <c r="A675" s="3">
        <v>3272</v>
      </c>
      <c r="B675" s="3" t="s">
        <v>713</v>
      </c>
      <c r="C675" s="3" t="s">
        <v>713</v>
      </c>
      <c r="D675" s="3" t="s">
        <v>309</v>
      </c>
      <c r="E675" s="3" t="str">
        <v>Les Montets</v>
      </c>
      <c r="I675" s="19">
        <v>2117</v>
      </c>
      <c r="J675" s="19" t="s">
        <v>4542</v>
      </c>
    </row>
    <row r="676" spans="1:10" x14ac:dyDescent="0.2">
      <c r="A676" s="3">
        <v>3252</v>
      </c>
      <c r="B676" s="3" t="s">
        <v>714</v>
      </c>
      <c r="C676" s="3" t="s">
        <v>714</v>
      </c>
      <c r="D676" s="3" t="s">
        <v>309</v>
      </c>
      <c r="E676" s="3" t="str">
        <v>Delley-Portalban</v>
      </c>
      <c r="I676" s="19">
        <v>2123</v>
      </c>
      <c r="J676" s="19" t="s">
        <v>4542</v>
      </c>
    </row>
    <row r="677" spans="1:10" x14ac:dyDescent="0.2">
      <c r="A677" s="3">
        <v>2512</v>
      </c>
      <c r="B677" s="3" t="s">
        <v>715</v>
      </c>
      <c r="C677" s="3" t="s">
        <v>716</v>
      </c>
      <c r="D677" s="3" t="s">
        <v>309</v>
      </c>
      <c r="E677" s="3" t="str">
        <v>Belmont-Broye</v>
      </c>
      <c r="I677" s="19">
        <v>2124</v>
      </c>
      <c r="J677" s="19" t="s">
        <v>4542</v>
      </c>
    </row>
    <row r="678" spans="1:10" x14ac:dyDescent="0.2">
      <c r="A678" s="3">
        <v>2513</v>
      </c>
      <c r="B678" s="3" t="s">
        <v>717</v>
      </c>
      <c r="C678" s="3" t="s">
        <v>716</v>
      </c>
      <c r="D678" s="3" t="s">
        <v>309</v>
      </c>
      <c r="E678" s="3" t="str">
        <v>Estavayer</v>
      </c>
      <c r="I678" s="19">
        <v>2126</v>
      </c>
      <c r="J678" s="19" t="s">
        <v>4542</v>
      </c>
    </row>
    <row r="679" spans="1:10" x14ac:dyDescent="0.2">
      <c r="A679" s="3">
        <v>3763</v>
      </c>
      <c r="B679" s="3" t="s">
        <v>718</v>
      </c>
      <c r="C679" s="3" t="s">
        <v>718</v>
      </c>
      <c r="D679" s="3" t="s">
        <v>309</v>
      </c>
      <c r="E679" s="3" t="str">
        <v>Cheyres-Châbles</v>
      </c>
      <c r="I679" s="19">
        <v>2127</v>
      </c>
      <c r="J679" s="19" t="s">
        <v>4542</v>
      </c>
    </row>
    <row r="680" spans="1:10" x14ac:dyDescent="0.2">
      <c r="A680" s="3">
        <v>3764</v>
      </c>
      <c r="B680" s="3" t="s">
        <v>719</v>
      </c>
      <c r="C680" s="3" t="s">
        <v>718</v>
      </c>
      <c r="D680" s="3" t="s">
        <v>309</v>
      </c>
      <c r="E680" s="3" t="str">
        <v>Auboranges</v>
      </c>
      <c r="I680" s="19">
        <v>2149</v>
      </c>
      <c r="J680" s="19" t="s">
        <v>4550</v>
      </c>
    </row>
    <row r="681" spans="1:10" x14ac:dyDescent="0.2">
      <c r="A681" s="3">
        <v>3753</v>
      </c>
      <c r="B681" s="3" t="s">
        <v>720</v>
      </c>
      <c r="C681" s="3" t="s">
        <v>721</v>
      </c>
      <c r="D681" s="3" t="s">
        <v>309</v>
      </c>
      <c r="E681" s="3" t="str">
        <v>Billens-Hennens</v>
      </c>
      <c r="I681" s="19">
        <v>2206</v>
      </c>
      <c r="J681" s="19" t="s">
        <v>4550</v>
      </c>
    </row>
    <row r="682" spans="1:10" x14ac:dyDescent="0.2">
      <c r="A682" s="3">
        <v>3754</v>
      </c>
      <c r="B682" s="3" t="s">
        <v>721</v>
      </c>
      <c r="C682" s="3" t="s">
        <v>721</v>
      </c>
      <c r="D682" s="3" t="s">
        <v>309</v>
      </c>
      <c r="E682" s="3" t="str">
        <v>Chapelle (Glâne)</v>
      </c>
      <c r="I682" s="19">
        <v>2207</v>
      </c>
      <c r="J682" s="19" t="s">
        <v>4550</v>
      </c>
    </row>
    <row r="683" spans="1:10" x14ac:dyDescent="0.2">
      <c r="A683" s="3">
        <v>3755</v>
      </c>
      <c r="B683" s="3" t="s">
        <v>722</v>
      </c>
      <c r="C683" s="3" t="s">
        <v>721</v>
      </c>
      <c r="D683" s="3" t="s">
        <v>309</v>
      </c>
      <c r="E683" s="3" t="str">
        <v>Le Châtelard</v>
      </c>
      <c r="I683" s="19">
        <v>2208</v>
      </c>
      <c r="J683" s="19" t="s">
        <v>4550</v>
      </c>
    </row>
    <row r="684" spans="1:10" x14ac:dyDescent="0.2">
      <c r="A684" s="3">
        <v>3756</v>
      </c>
      <c r="B684" s="3" t="s">
        <v>723</v>
      </c>
      <c r="C684" s="3" t="s">
        <v>721</v>
      </c>
      <c r="D684" s="3" t="s">
        <v>309</v>
      </c>
      <c r="E684" s="3" t="str">
        <v>Châtonnaye</v>
      </c>
      <c r="I684" s="19">
        <v>2300</v>
      </c>
      <c r="J684" s="19" t="s">
        <v>4550</v>
      </c>
    </row>
    <row r="685" spans="1:10" x14ac:dyDescent="0.2">
      <c r="A685" s="3">
        <v>3757</v>
      </c>
      <c r="B685" s="3" t="s">
        <v>724</v>
      </c>
      <c r="C685" s="3" t="s">
        <v>721</v>
      </c>
      <c r="D685" s="3" t="s">
        <v>309</v>
      </c>
      <c r="E685" s="3" t="str">
        <v>Ecublens (FR)</v>
      </c>
      <c r="I685" s="19">
        <v>2314</v>
      </c>
      <c r="J685" s="19" t="s">
        <v>4550</v>
      </c>
    </row>
    <row r="686" spans="1:10" x14ac:dyDescent="0.2">
      <c r="A686" s="3">
        <v>3758</v>
      </c>
      <c r="B686" s="3" t="s">
        <v>725</v>
      </c>
      <c r="C686" s="3" t="s">
        <v>726</v>
      </c>
      <c r="D686" s="3" t="s">
        <v>309</v>
      </c>
      <c r="E686" s="3" t="str">
        <v>Grangettes</v>
      </c>
      <c r="I686" s="19">
        <v>2316</v>
      </c>
      <c r="J686" s="19" t="s">
        <v>4550</v>
      </c>
    </row>
    <row r="687" spans="1:10" x14ac:dyDescent="0.2">
      <c r="A687" s="3">
        <v>3762</v>
      </c>
      <c r="B687" s="3" t="s">
        <v>726</v>
      </c>
      <c r="C687" s="3" t="s">
        <v>726</v>
      </c>
      <c r="D687" s="3" t="s">
        <v>309</v>
      </c>
      <c r="E687" s="3" t="str">
        <v>Massonnens</v>
      </c>
      <c r="I687" s="19">
        <v>2318</v>
      </c>
      <c r="J687" s="19" t="s">
        <v>4550</v>
      </c>
    </row>
    <row r="688" spans="1:10" x14ac:dyDescent="0.2">
      <c r="A688" s="3">
        <v>3765</v>
      </c>
      <c r="B688" s="3" t="s">
        <v>727</v>
      </c>
      <c r="C688" s="3" t="s">
        <v>727</v>
      </c>
      <c r="D688" s="3" t="s">
        <v>309</v>
      </c>
      <c r="E688" s="3" t="str">
        <v>Mézières (FR)</v>
      </c>
      <c r="I688" s="19">
        <v>2322</v>
      </c>
      <c r="J688" s="19" t="s">
        <v>4550</v>
      </c>
    </row>
    <row r="689" spans="1:10" x14ac:dyDescent="0.2">
      <c r="A689" s="3">
        <v>3647</v>
      </c>
      <c r="B689" s="3" t="s">
        <v>728</v>
      </c>
      <c r="C689" s="3" t="s">
        <v>728</v>
      </c>
      <c r="D689" s="3" t="s">
        <v>309</v>
      </c>
      <c r="E689" s="3" t="str">
        <v>Montet (Glâne)</v>
      </c>
      <c r="I689" s="19">
        <v>2325</v>
      </c>
      <c r="J689" s="19" t="s">
        <v>4550</v>
      </c>
    </row>
    <row r="690" spans="1:10" x14ac:dyDescent="0.2">
      <c r="A690" s="3">
        <v>3646</v>
      </c>
      <c r="B690" s="3" t="s">
        <v>729</v>
      </c>
      <c r="C690" s="3" t="s">
        <v>730</v>
      </c>
      <c r="D690" s="3" t="s">
        <v>309</v>
      </c>
      <c r="E690" s="3" t="str">
        <v>Romont (FR)</v>
      </c>
      <c r="I690" s="19">
        <v>2333</v>
      </c>
      <c r="J690" s="19" t="s">
        <v>4550</v>
      </c>
    </row>
    <row r="691" spans="1:10" x14ac:dyDescent="0.2">
      <c r="A691" s="3">
        <v>3700</v>
      </c>
      <c r="B691" s="3" t="s">
        <v>730</v>
      </c>
      <c r="C691" s="3" t="s">
        <v>730</v>
      </c>
      <c r="D691" s="3" t="s">
        <v>309</v>
      </c>
      <c r="E691" s="3" t="str">
        <v>Rue</v>
      </c>
      <c r="I691" s="19">
        <v>2336</v>
      </c>
      <c r="J691" s="19" t="s">
        <v>4550</v>
      </c>
    </row>
    <row r="692" spans="1:10" x14ac:dyDescent="0.2">
      <c r="A692" s="3">
        <v>3702</v>
      </c>
      <c r="B692" s="3" t="s">
        <v>731</v>
      </c>
      <c r="C692" s="3" t="s">
        <v>730</v>
      </c>
      <c r="D692" s="3" t="s">
        <v>309</v>
      </c>
      <c r="E692" s="3" t="str">
        <v>Siviriez</v>
      </c>
      <c r="I692" s="19">
        <v>2338</v>
      </c>
      <c r="J692" s="19" t="s">
        <v>4550</v>
      </c>
    </row>
    <row r="693" spans="1:10" x14ac:dyDescent="0.2">
      <c r="A693" s="3">
        <v>3705</v>
      </c>
      <c r="B693" s="3" t="s">
        <v>732</v>
      </c>
      <c r="C693" s="3" t="s">
        <v>730</v>
      </c>
      <c r="D693" s="3" t="s">
        <v>309</v>
      </c>
      <c r="E693" s="3" t="str">
        <v>Ursy</v>
      </c>
      <c r="I693" s="19">
        <v>2340</v>
      </c>
      <c r="J693" s="19" t="s">
        <v>4550</v>
      </c>
    </row>
    <row r="694" spans="1:10" x14ac:dyDescent="0.2">
      <c r="A694" s="3">
        <v>3752</v>
      </c>
      <c r="B694" s="3" t="s">
        <v>733</v>
      </c>
      <c r="C694" s="3" t="s">
        <v>733</v>
      </c>
      <c r="D694" s="3" t="s">
        <v>309</v>
      </c>
      <c r="E694" s="3" t="str">
        <v>Vuisternens-devant-Romont</v>
      </c>
      <c r="I694" s="19">
        <v>2345</v>
      </c>
      <c r="J694" s="19" t="s">
        <v>4550</v>
      </c>
    </row>
    <row r="695" spans="1:10" x14ac:dyDescent="0.2">
      <c r="A695" s="3">
        <v>3631</v>
      </c>
      <c r="B695" s="3" t="s">
        <v>734</v>
      </c>
      <c r="C695" s="3" t="s">
        <v>735</v>
      </c>
      <c r="D695" s="3" t="s">
        <v>309</v>
      </c>
      <c r="E695" s="3" t="str">
        <v>Villorsonnens</v>
      </c>
      <c r="I695" s="19">
        <v>2350</v>
      </c>
      <c r="J695" s="19" t="s">
        <v>4550</v>
      </c>
    </row>
    <row r="696" spans="1:10" x14ac:dyDescent="0.2">
      <c r="A696" s="3">
        <v>3632</v>
      </c>
      <c r="B696" s="3" t="s">
        <v>736</v>
      </c>
      <c r="C696" s="3" t="s">
        <v>735</v>
      </c>
      <c r="D696" s="3" t="s">
        <v>309</v>
      </c>
      <c r="E696" s="3" t="str">
        <v>Torny</v>
      </c>
      <c r="I696" s="19">
        <v>2353</v>
      </c>
      <c r="J696" s="19" t="s">
        <v>4550</v>
      </c>
    </row>
    <row r="697" spans="1:10" x14ac:dyDescent="0.2">
      <c r="A697" s="3">
        <v>3632</v>
      </c>
      <c r="B697" s="3" t="s">
        <v>737</v>
      </c>
      <c r="C697" s="3" t="s">
        <v>735</v>
      </c>
      <c r="D697" s="3" t="s">
        <v>309</v>
      </c>
      <c r="E697" s="3" t="str">
        <v>Villaz</v>
      </c>
      <c r="I697" s="19">
        <v>2354</v>
      </c>
      <c r="J697" s="19" t="s">
        <v>4550</v>
      </c>
    </row>
    <row r="698" spans="1:10" x14ac:dyDescent="0.2">
      <c r="A698" s="3">
        <v>3864</v>
      </c>
      <c r="B698" s="3" t="s">
        <v>738</v>
      </c>
      <c r="C698" s="3" t="s">
        <v>738</v>
      </c>
      <c r="D698" s="3" t="s">
        <v>309</v>
      </c>
      <c r="E698" s="3" t="str">
        <v>Haut-Intyamon</v>
      </c>
      <c r="I698" s="19">
        <v>2360</v>
      </c>
      <c r="J698" s="19" t="s">
        <v>4550</v>
      </c>
    </row>
    <row r="699" spans="1:10" x14ac:dyDescent="0.2">
      <c r="A699" s="3">
        <v>6083</v>
      </c>
      <c r="B699" s="3" t="s">
        <v>739</v>
      </c>
      <c r="C699" s="3" t="s">
        <v>740</v>
      </c>
      <c r="D699" s="3" t="s">
        <v>309</v>
      </c>
      <c r="E699" s="3" t="str">
        <v>Pont-en-Ogoz</v>
      </c>
      <c r="I699" s="19">
        <v>2362</v>
      </c>
      <c r="J699" s="19" t="s">
        <v>4550</v>
      </c>
    </row>
    <row r="700" spans="1:10" x14ac:dyDescent="0.2">
      <c r="A700" s="3">
        <v>6084</v>
      </c>
      <c r="B700" s="3" t="s">
        <v>741</v>
      </c>
      <c r="C700" s="3" t="s">
        <v>740</v>
      </c>
      <c r="D700" s="3" t="s">
        <v>309</v>
      </c>
      <c r="E700" s="3" t="str">
        <v>Botterens</v>
      </c>
      <c r="I700" s="19">
        <v>2363</v>
      </c>
      <c r="J700" s="19" t="s">
        <v>4550</v>
      </c>
    </row>
    <row r="701" spans="1:10" x14ac:dyDescent="0.2">
      <c r="A701" s="3">
        <v>6085</v>
      </c>
      <c r="B701" s="3" t="s">
        <v>742</v>
      </c>
      <c r="C701" s="3" t="s">
        <v>740</v>
      </c>
      <c r="D701" s="3" t="s">
        <v>309</v>
      </c>
      <c r="E701" s="3" t="str">
        <v>Broc</v>
      </c>
      <c r="I701" s="19">
        <v>2364</v>
      </c>
      <c r="J701" s="19" t="s">
        <v>4550</v>
      </c>
    </row>
    <row r="702" spans="1:10" x14ac:dyDescent="0.2">
      <c r="A702" s="3">
        <v>6086</v>
      </c>
      <c r="B702" s="3" t="s">
        <v>743</v>
      </c>
      <c r="C702" s="3" t="s">
        <v>740</v>
      </c>
      <c r="D702" s="3" t="s">
        <v>309</v>
      </c>
      <c r="E702" s="3" t="str">
        <v>Bulle</v>
      </c>
      <c r="I702" s="19">
        <v>2400</v>
      </c>
      <c r="J702" s="19" t="s">
        <v>4550</v>
      </c>
    </row>
    <row r="703" spans="1:10" x14ac:dyDescent="0.2">
      <c r="A703" s="3">
        <v>3862</v>
      </c>
      <c r="B703" s="3" t="s">
        <v>744</v>
      </c>
      <c r="C703" s="3" t="s">
        <v>744</v>
      </c>
      <c r="D703" s="3" t="s">
        <v>309</v>
      </c>
      <c r="E703" s="3" t="str">
        <v>Châtel-sur-Montsalvens</v>
      </c>
      <c r="I703" s="19">
        <v>2405</v>
      </c>
      <c r="J703" s="19" t="s">
        <v>4550</v>
      </c>
    </row>
    <row r="704" spans="1:10" x14ac:dyDescent="0.2">
      <c r="A704" s="3">
        <v>3863</v>
      </c>
      <c r="B704" s="3" t="s">
        <v>745</v>
      </c>
      <c r="C704" s="3" t="s">
        <v>744</v>
      </c>
      <c r="D704" s="3" t="s">
        <v>309</v>
      </c>
      <c r="E704" s="3" t="str">
        <v>Corbières</v>
      </c>
      <c r="I704" s="19">
        <v>2406</v>
      </c>
      <c r="J704" s="19" t="s">
        <v>4542</v>
      </c>
    </row>
    <row r="705" spans="1:10" x14ac:dyDescent="0.2">
      <c r="A705" s="3">
        <v>3857</v>
      </c>
      <c r="B705" s="3" t="s">
        <v>746</v>
      </c>
      <c r="C705" s="3" t="s">
        <v>747</v>
      </c>
      <c r="D705" s="3" t="s">
        <v>309</v>
      </c>
      <c r="E705" s="3" t="str">
        <v>Crésuz</v>
      </c>
      <c r="I705" s="19">
        <v>2414</v>
      </c>
      <c r="J705" s="19" t="s">
        <v>4550</v>
      </c>
    </row>
    <row r="706" spans="1:10" x14ac:dyDescent="0.2">
      <c r="A706" s="3">
        <v>3860</v>
      </c>
      <c r="B706" s="3" t="s">
        <v>747</v>
      </c>
      <c r="C706" s="3" t="s">
        <v>747</v>
      </c>
      <c r="D706" s="3" t="s">
        <v>309</v>
      </c>
      <c r="E706" s="3" t="str">
        <v>Echarlens</v>
      </c>
      <c r="I706" s="19">
        <v>2416</v>
      </c>
      <c r="J706" s="19" t="s">
        <v>4550</v>
      </c>
    </row>
    <row r="707" spans="1:10" x14ac:dyDescent="0.2">
      <c r="A707" s="3">
        <v>3860</v>
      </c>
      <c r="B707" s="3" t="s">
        <v>748</v>
      </c>
      <c r="C707" s="3" t="s">
        <v>747</v>
      </c>
      <c r="D707" s="3" t="s">
        <v>309</v>
      </c>
      <c r="E707" s="3" t="str">
        <v>Grandvillard</v>
      </c>
      <c r="I707" s="19">
        <v>2502</v>
      </c>
      <c r="J707" s="19" t="s">
        <v>4546</v>
      </c>
    </row>
    <row r="708" spans="1:10" x14ac:dyDescent="0.2">
      <c r="A708" s="3">
        <v>3860</v>
      </c>
      <c r="B708" s="3" t="s">
        <v>749</v>
      </c>
      <c r="C708" s="3" t="s">
        <v>750</v>
      </c>
      <c r="D708" s="3" t="s">
        <v>309</v>
      </c>
      <c r="E708" s="3" t="str">
        <v>Gruyères</v>
      </c>
      <c r="I708" s="19">
        <v>2503</v>
      </c>
      <c r="J708" s="19" t="s">
        <v>4546</v>
      </c>
    </row>
    <row r="709" spans="1:10" x14ac:dyDescent="0.2">
      <c r="A709" s="3">
        <v>3860</v>
      </c>
      <c r="B709" s="3" t="s">
        <v>750</v>
      </c>
      <c r="C709" s="3" t="s">
        <v>750</v>
      </c>
      <c r="D709" s="3" t="s">
        <v>309</v>
      </c>
      <c r="E709" s="3" t="str">
        <v>Hauteville</v>
      </c>
      <c r="I709" s="19">
        <v>2504</v>
      </c>
      <c r="J709" s="19" t="s">
        <v>4546</v>
      </c>
    </row>
    <row r="710" spans="1:10" x14ac:dyDescent="0.2">
      <c r="A710" s="3">
        <v>3766</v>
      </c>
      <c r="B710" s="3" t="s">
        <v>751</v>
      </c>
      <c r="C710" s="3" t="s">
        <v>751</v>
      </c>
      <c r="D710" s="3" t="s">
        <v>309</v>
      </c>
      <c r="E710" s="3" t="str">
        <v>Jaun</v>
      </c>
      <c r="I710" s="19">
        <v>2505</v>
      </c>
      <c r="J710" s="19" t="s">
        <v>4546</v>
      </c>
    </row>
    <row r="711" spans="1:10" x14ac:dyDescent="0.2">
      <c r="A711" s="3">
        <v>3775</v>
      </c>
      <c r="B711" s="3" t="s">
        <v>752</v>
      </c>
      <c r="C711" s="3" t="s">
        <v>753</v>
      </c>
      <c r="D711" s="3" t="s">
        <v>309</v>
      </c>
      <c r="E711" s="3" t="str">
        <v>Marsens</v>
      </c>
      <c r="I711" s="19">
        <v>2512</v>
      </c>
      <c r="J711" s="19" t="s">
        <v>4546</v>
      </c>
    </row>
    <row r="712" spans="1:10" x14ac:dyDescent="0.2">
      <c r="A712" s="3">
        <v>3772</v>
      </c>
      <c r="B712" s="3" t="s">
        <v>754</v>
      </c>
      <c r="C712" s="3" t="s">
        <v>754</v>
      </c>
      <c r="D712" s="3" t="s">
        <v>309</v>
      </c>
      <c r="E712" s="3" t="str">
        <v>Morlon</v>
      </c>
      <c r="I712" s="19">
        <v>2513</v>
      </c>
      <c r="J712" s="19" t="s">
        <v>4546</v>
      </c>
    </row>
    <row r="713" spans="1:10" x14ac:dyDescent="0.2">
      <c r="A713" s="3">
        <v>3773</v>
      </c>
      <c r="B713" s="3" t="s">
        <v>755</v>
      </c>
      <c r="C713" s="3" t="s">
        <v>754</v>
      </c>
      <c r="D713" s="3" t="s">
        <v>309</v>
      </c>
      <c r="E713" s="3" t="str">
        <v>Le Pâquier (FR)</v>
      </c>
      <c r="I713" s="19">
        <v>2514</v>
      </c>
      <c r="J713" s="19" t="s">
        <v>4546</v>
      </c>
    </row>
    <row r="714" spans="1:10" x14ac:dyDescent="0.2">
      <c r="A714" s="3">
        <v>3770</v>
      </c>
      <c r="B714" s="3" t="s">
        <v>756</v>
      </c>
      <c r="C714" s="3" t="s">
        <v>756</v>
      </c>
      <c r="D714" s="3" t="s">
        <v>309</v>
      </c>
      <c r="E714" s="3" t="str">
        <v>Pont-la-Ville</v>
      </c>
      <c r="I714" s="19">
        <v>2515</v>
      </c>
      <c r="J714" s="19" t="s">
        <v>4546</v>
      </c>
    </row>
    <row r="715" spans="1:10" x14ac:dyDescent="0.2">
      <c r="A715" s="3">
        <v>3771</v>
      </c>
      <c r="B715" s="3" t="s">
        <v>757</v>
      </c>
      <c r="C715" s="3" t="s">
        <v>756</v>
      </c>
      <c r="D715" s="3" t="s">
        <v>309</v>
      </c>
      <c r="E715" s="3" t="str">
        <v>Riaz</v>
      </c>
      <c r="I715" s="19">
        <v>2516</v>
      </c>
      <c r="J715" s="19" t="s">
        <v>4550</v>
      </c>
    </row>
    <row r="716" spans="1:10" x14ac:dyDescent="0.2">
      <c r="A716" s="3">
        <v>3776</v>
      </c>
      <c r="B716" s="3" t="s">
        <v>758</v>
      </c>
      <c r="C716" s="3" t="s">
        <v>756</v>
      </c>
      <c r="D716" s="3" t="s">
        <v>309</v>
      </c>
      <c r="E716" s="3" t="str">
        <v>La Roche</v>
      </c>
      <c r="I716" s="19">
        <v>2517</v>
      </c>
      <c r="J716" s="19" t="s">
        <v>4550</v>
      </c>
    </row>
    <row r="717" spans="1:10" x14ac:dyDescent="0.2">
      <c r="A717" s="3">
        <v>3784</v>
      </c>
      <c r="B717" s="3" t="s">
        <v>759</v>
      </c>
      <c r="C717" s="3" t="s">
        <v>760</v>
      </c>
      <c r="D717" s="3" t="s">
        <v>309</v>
      </c>
      <c r="E717" s="3" t="str">
        <v>Sâles</v>
      </c>
      <c r="I717" s="19">
        <v>2518</v>
      </c>
      <c r="J717" s="19" t="s">
        <v>4550</v>
      </c>
    </row>
    <row r="718" spans="1:10" x14ac:dyDescent="0.2">
      <c r="A718" s="3">
        <v>3785</v>
      </c>
      <c r="B718" s="3" t="s">
        <v>761</v>
      </c>
      <c r="C718" s="3" t="s">
        <v>760</v>
      </c>
      <c r="D718" s="3" t="s">
        <v>309</v>
      </c>
      <c r="E718" s="3" t="str">
        <v>Sorens</v>
      </c>
      <c r="I718" s="19">
        <v>2520</v>
      </c>
      <c r="J718" s="19" t="s">
        <v>4546</v>
      </c>
    </row>
    <row r="719" spans="1:10" x14ac:dyDescent="0.2">
      <c r="A719" s="3">
        <v>3782</v>
      </c>
      <c r="B719" s="3" t="s">
        <v>762</v>
      </c>
      <c r="C719" s="3" t="s">
        <v>763</v>
      </c>
      <c r="D719" s="3" t="s">
        <v>309</v>
      </c>
      <c r="E719" s="3" t="str">
        <v>Vaulruz</v>
      </c>
      <c r="I719" s="19">
        <v>2523</v>
      </c>
      <c r="J719" s="19" t="s">
        <v>4546</v>
      </c>
    </row>
    <row r="720" spans="1:10" x14ac:dyDescent="0.2">
      <c r="A720" s="3">
        <v>1657</v>
      </c>
      <c r="B720" s="3" t="s">
        <v>764</v>
      </c>
      <c r="C720" s="3" t="s">
        <v>765</v>
      </c>
      <c r="D720" s="3" t="s">
        <v>309</v>
      </c>
      <c r="E720" s="3" t="str">
        <v>Vuadens</v>
      </c>
      <c r="I720" s="19">
        <v>2525</v>
      </c>
      <c r="J720" s="19" t="s">
        <v>4546</v>
      </c>
    </row>
    <row r="721" spans="1:10" x14ac:dyDescent="0.2">
      <c r="A721" s="3">
        <v>3777</v>
      </c>
      <c r="B721" s="3" t="s">
        <v>766</v>
      </c>
      <c r="C721" s="3" t="s">
        <v>765</v>
      </c>
      <c r="D721" s="3" t="s">
        <v>309</v>
      </c>
      <c r="E721" s="3" t="str">
        <v>Bas-Intyamon</v>
      </c>
      <c r="I721" s="19">
        <v>2532</v>
      </c>
      <c r="J721" s="19" t="s">
        <v>4546</v>
      </c>
    </row>
    <row r="722" spans="1:10" x14ac:dyDescent="0.2">
      <c r="A722" s="3">
        <v>3778</v>
      </c>
      <c r="B722" s="3" t="s">
        <v>767</v>
      </c>
      <c r="C722" s="3" t="s">
        <v>765</v>
      </c>
      <c r="D722" s="3" t="s">
        <v>309</v>
      </c>
      <c r="E722" s="3" t="str">
        <v>Val-de-Charmey</v>
      </c>
      <c r="I722" s="19">
        <v>2533</v>
      </c>
      <c r="J722" s="19" t="s">
        <v>4546</v>
      </c>
    </row>
    <row r="723" spans="1:10" x14ac:dyDescent="0.2">
      <c r="A723" s="3">
        <v>3780</v>
      </c>
      <c r="B723" s="3" t="s">
        <v>768</v>
      </c>
      <c r="C723" s="3" t="s">
        <v>765</v>
      </c>
      <c r="D723" s="3" t="s">
        <v>309</v>
      </c>
      <c r="E723" s="3" t="str">
        <v>Autigny</v>
      </c>
      <c r="I723" s="19">
        <v>2534</v>
      </c>
      <c r="J723" s="19" t="s">
        <v>4550</v>
      </c>
    </row>
    <row r="724" spans="1:10" x14ac:dyDescent="0.2">
      <c r="A724" s="3">
        <v>3781</v>
      </c>
      <c r="B724" s="3" t="s">
        <v>769</v>
      </c>
      <c r="C724" s="3" t="s">
        <v>765</v>
      </c>
      <c r="D724" s="3" t="s">
        <v>309</v>
      </c>
      <c r="E724" s="3" t="str">
        <v>Avry</v>
      </c>
      <c r="I724" s="19">
        <v>2535</v>
      </c>
      <c r="J724" s="19" t="s">
        <v>4550</v>
      </c>
    </row>
    <row r="725" spans="1:10" x14ac:dyDescent="0.2">
      <c r="A725" s="3">
        <v>3783</v>
      </c>
      <c r="B725" s="3" t="s">
        <v>770</v>
      </c>
      <c r="C725" s="3" t="s">
        <v>765</v>
      </c>
      <c r="D725" s="3" t="s">
        <v>309</v>
      </c>
      <c r="E725" s="3" t="str">
        <v>Belfaux</v>
      </c>
      <c r="I725" s="19">
        <v>2536</v>
      </c>
      <c r="J725" s="19" t="s">
        <v>4550</v>
      </c>
    </row>
    <row r="726" spans="1:10" x14ac:dyDescent="0.2">
      <c r="A726" s="3">
        <v>3792</v>
      </c>
      <c r="B726" s="3" t="s">
        <v>765</v>
      </c>
      <c r="C726" s="3" t="s">
        <v>765</v>
      </c>
      <c r="D726" s="3" t="s">
        <v>309</v>
      </c>
      <c r="E726" s="3" t="str">
        <v>Chénens</v>
      </c>
      <c r="I726" s="19">
        <v>2537</v>
      </c>
      <c r="J726" s="19" t="s">
        <v>4551</v>
      </c>
    </row>
    <row r="727" spans="1:10" x14ac:dyDescent="0.2">
      <c r="A727" s="3">
        <v>1738</v>
      </c>
      <c r="B727" s="3" t="s">
        <v>771</v>
      </c>
      <c r="C727" s="3" t="s">
        <v>772</v>
      </c>
      <c r="D727" s="3" t="s">
        <v>309</v>
      </c>
      <c r="E727" s="3" t="str">
        <v>Corminboeuf</v>
      </c>
      <c r="I727" s="19">
        <v>2538</v>
      </c>
      <c r="J727" s="19" t="s">
        <v>4546</v>
      </c>
    </row>
    <row r="728" spans="1:10" x14ac:dyDescent="0.2">
      <c r="A728" s="3">
        <v>3156</v>
      </c>
      <c r="B728" s="3" t="s">
        <v>773</v>
      </c>
      <c r="C728" s="3" t="s">
        <v>772</v>
      </c>
      <c r="D728" s="3" t="s">
        <v>309</v>
      </c>
      <c r="E728" s="3" t="str">
        <v>Cottens (FR)</v>
      </c>
      <c r="I728" s="19">
        <v>2540</v>
      </c>
      <c r="J728" s="19" t="s">
        <v>4546</v>
      </c>
    </row>
    <row r="729" spans="1:10" x14ac:dyDescent="0.2">
      <c r="A729" s="3">
        <v>3158</v>
      </c>
      <c r="B729" s="3" t="s">
        <v>772</v>
      </c>
      <c r="C729" s="3" t="s">
        <v>772</v>
      </c>
      <c r="D729" s="3" t="s">
        <v>309</v>
      </c>
      <c r="E729" s="3" t="str">
        <v>Ferpicloz</v>
      </c>
      <c r="I729" s="19">
        <v>2542</v>
      </c>
      <c r="J729" s="19" t="s">
        <v>4546</v>
      </c>
    </row>
    <row r="730" spans="1:10" x14ac:dyDescent="0.2">
      <c r="A730" s="3">
        <v>3159</v>
      </c>
      <c r="B730" s="3" t="s">
        <v>774</v>
      </c>
      <c r="C730" s="3" t="s">
        <v>772</v>
      </c>
      <c r="D730" s="3" t="s">
        <v>309</v>
      </c>
      <c r="E730" s="3" t="str">
        <v>Fribourg</v>
      </c>
      <c r="I730" s="19">
        <v>2543</v>
      </c>
      <c r="J730" s="19" t="s">
        <v>4546</v>
      </c>
    </row>
    <row r="731" spans="1:10" x14ac:dyDescent="0.2">
      <c r="A731" s="3">
        <v>3153</v>
      </c>
      <c r="B731" s="3" t="s">
        <v>775</v>
      </c>
      <c r="C731" s="3" t="s">
        <v>776</v>
      </c>
      <c r="D731" s="3" t="s">
        <v>309</v>
      </c>
      <c r="E731" s="3" t="str">
        <v>Givisiez</v>
      </c>
      <c r="I731" s="19">
        <v>2544</v>
      </c>
      <c r="J731" s="19" t="s">
        <v>4546</v>
      </c>
    </row>
    <row r="732" spans="1:10" x14ac:dyDescent="0.2">
      <c r="A732" s="3">
        <v>3154</v>
      </c>
      <c r="B732" s="3" t="s">
        <v>777</v>
      </c>
      <c r="C732" s="3" t="s">
        <v>776</v>
      </c>
      <c r="D732" s="3" t="s">
        <v>309</v>
      </c>
      <c r="E732" s="3" t="str">
        <v>Granges-Paccot</v>
      </c>
      <c r="I732" s="19">
        <v>2545</v>
      </c>
      <c r="J732" s="19" t="s">
        <v>4546</v>
      </c>
    </row>
    <row r="733" spans="1:10" x14ac:dyDescent="0.2">
      <c r="A733" s="3">
        <v>3148</v>
      </c>
      <c r="B733" s="3" t="s">
        <v>778</v>
      </c>
      <c r="C733" s="3" t="s">
        <v>779</v>
      </c>
      <c r="D733" s="3" t="s">
        <v>309</v>
      </c>
      <c r="E733" s="3" t="str">
        <v>Grolley</v>
      </c>
      <c r="I733" s="19">
        <v>2552</v>
      </c>
      <c r="J733" s="19" t="s">
        <v>4546</v>
      </c>
    </row>
    <row r="734" spans="1:10" x14ac:dyDescent="0.2">
      <c r="A734" s="3">
        <v>3150</v>
      </c>
      <c r="B734" s="3" t="s">
        <v>779</v>
      </c>
      <c r="C734" s="3" t="s">
        <v>779</v>
      </c>
      <c r="D734" s="3" t="s">
        <v>309</v>
      </c>
      <c r="E734" s="3" t="str">
        <v>Marly</v>
      </c>
      <c r="I734" s="19">
        <v>2553</v>
      </c>
      <c r="J734" s="19" t="s">
        <v>4546</v>
      </c>
    </row>
    <row r="735" spans="1:10" x14ac:dyDescent="0.2">
      <c r="A735" s="3">
        <v>3152</v>
      </c>
      <c r="B735" s="3" t="s">
        <v>780</v>
      </c>
      <c r="C735" s="3" t="s">
        <v>779</v>
      </c>
      <c r="D735" s="3" t="s">
        <v>309</v>
      </c>
      <c r="E735" s="3" t="str">
        <v>Matran</v>
      </c>
      <c r="I735" s="19">
        <v>2554</v>
      </c>
      <c r="J735" s="19" t="s">
        <v>4546</v>
      </c>
    </row>
    <row r="736" spans="1:10" x14ac:dyDescent="0.2">
      <c r="A736" s="3">
        <v>3157</v>
      </c>
      <c r="B736" s="3" t="s">
        <v>781</v>
      </c>
      <c r="C736" s="3" t="s">
        <v>779</v>
      </c>
      <c r="D736" s="3" t="s">
        <v>309</v>
      </c>
      <c r="E736" s="3" t="str">
        <v>Neyruz (FR)</v>
      </c>
      <c r="I736" s="19">
        <v>2555</v>
      </c>
      <c r="J736" s="19" t="s">
        <v>4546</v>
      </c>
    </row>
    <row r="737" spans="1:10" x14ac:dyDescent="0.2">
      <c r="A737" s="3">
        <v>3183</v>
      </c>
      <c r="B737" s="3" t="s">
        <v>782</v>
      </c>
      <c r="C737" s="3" t="s">
        <v>779</v>
      </c>
      <c r="D737" s="3" t="s">
        <v>309</v>
      </c>
      <c r="E737" s="3" t="str">
        <v>Pierrafortscha</v>
      </c>
      <c r="I737" s="19">
        <v>2556</v>
      </c>
      <c r="J737" s="19" t="s">
        <v>4546</v>
      </c>
    </row>
    <row r="738" spans="1:10" x14ac:dyDescent="0.2">
      <c r="A738" s="3">
        <v>3123</v>
      </c>
      <c r="B738" s="3" t="s">
        <v>783</v>
      </c>
      <c r="C738" s="3" t="s">
        <v>783</v>
      </c>
      <c r="D738" s="3" t="s">
        <v>309</v>
      </c>
      <c r="E738" s="3" t="str">
        <v>Ponthaux</v>
      </c>
      <c r="I738" s="19">
        <v>2557</v>
      </c>
      <c r="J738" s="19" t="s">
        <v>4546</v>
      </c>
    </row>
    <row r="739" spans="1:10" x14ac:dyDescent="0.2">
      <c r="A739" s="3">
        <v>3124</v>
      </c>
      <c r="B739" s="3" t="s">
        <v>784</v>
      </c>
      <c r="C739" s="3" t="s">
        <v>783</v>
      </c>
      <c r="D739" s="3" t="s">
        <v>309</v>
      </c>
      <c r="E739" s="3" t="str">
        <v>Le Mouret</v>
      </c>
      <c r="I739" s="19">
        <v>2558</v>
      </c>
      <c r="J739" s="19" t="s">
        <v>4546</v>
      </c>
    </row>
    <row r="740" spans="1:10" x14ac:dyDescent="0.2">
      <c r="A740" s="3">
        <v>3664</v>
      </c>
      <c r="B740" s="3" t="s">
        <v>785</v>
      </c>
      <c r="C740" s="3" t="s">
        <v>785</v>
      </c>
      <c r="D740" s="3" t="s">
        <v>309</v>
      </c>
      <c r="E740" s="3" t="str">
        <v>Treyvaux</v>
      </c>
      <c r="I740" s="19">
        <v>2560</v>
      </c>
      <c r="J740" s="19" t="s">
        <v>4546</v>
      </c>
    </row>
    <row r="741" spans="1:10" x14ac:dyDescent="0.2">
      <c r="A741" s="3">
        <v>3115</v>
      </c>
      <c r="B741" s="3" t="s">
        <v>786</v>
      </c>
      <c r="C741" s="3" t="s">
        <v>786</v>
      </c>
      <c r="D741" s="3" t="s">
        <v>309</v>
      </c>
      <c r="E741" s="3" t="str">
        <v>Villars-sur-Glâne</v>
      </c>
      <c r="I741" s="19">
        <v>2562</v>
      </c>
      <c r="J741" s="19" t="s">
        <v>4546</v>
      </c>
    </row>
    <row r="742" spans="1:10" x14ac:dyDescent="0.2">
      <c r="A742" s="3">
        <v>3663</v>
      </c>
      <c r="B742" s="3" t="s">
        <v>787</v>
      </c>
      <c r="C742" s="3" t="s">
        <v>787</v>
      </c>
      <c r="D742" s="3" t="s">
        <v>309</v>
      </c>
      <c r="E742" s="3" t="str">
        <v>Villarsel-sur-Marly</v>
      </c>
      <c r="I742" s="19">
        <v>2563</v>
      </c>
      <c r="J742" s="19" t="s">
        <v>4546</v>
      </c>
    </row>
    <row r="743" spans="1:10" x14ac:dyDescent="0.2">
      <c r="A743" s="3">
        <v>3629</v>
      </c>
      <c r="B743" s="3" t="s">
        <v>788</v>
      </c>
      <c r="C743" s="3" t="s">
        <v>788</v>
      </c>
      <c r="D743" s="3" t="s">
        <v>309</v>
      </c>
      <c r="E743" s="3" t="str">
        <v>Hauterive (FR)</v>
      </c>
      <c r="I743" s="19">
        <v>2564</v>
      </c>
      <c r="J743" s="19" t="s">
        <v>4546</v>
      </c>
    </row>
    <row r="744" spans="1:10" x14ac:dyDescent="0.2">
      <c r="A744" s="3">
        <v>3126</v>
      </c>
      <c r="B744" s="3" t="s">
        <v>789</v>
      </c>
      <c r="C744" s="3" t="s">
        <v>789</v>
      </c>
      <c r="D744" s="3" t="s">
        <v>309</v>
      </c>
      <c r="E744" s="3" t="str">
        <v>La Brillaz</v>
      </c>
      <c r="I744" s="19">
        <v>2565</v>
      </c>
      <c r="J744" s="19" t="s">
        <v>4546</v>
      </c>
    </row>
    <row r="745" spans="1:10" x14ac:dyDescent="0.2">
      <c r="A745" s="3">
        <v>3122</v>
      </c>
      <c r="B745" s="3" t="s">
        <v>790</v>
      </c>
      <c r="C745" s="3" t="s">
        <v>790</v>
      </c>
      <c r="D745" s="3" t="s">
        <v>309</v>
      </c>
      <c r="E745" s="3" t="str">
        <v>La Sonnaz</v>
      </c>
      <c r="I745" s="19">
        <v>2572</v>
      </c>
      <c r="J745" s="19" t="s">
        <v>4546</v>
      </c>
    </row>
    <row r="746" spans="1:10" x14ac:dyDescent="0.2">
      <c r="A746" s="3">
        <v>3116</v>
      </c>
      <c r="B746" s="3" t="s">
        <v>791</v>
      </c>
      <c r="C746" s="3" t="s">
        <v>792</v>
      </c>
      <c r="D746" s="3" t="s">
        <v>309</v>
      </c>
      <c r="E746" s="3" t="str">
        <v>Gibloux</v>
      </c>
      <c r="I746" s="19">
        <v>2575</v>
      </c>
      <c r="J746" s="19" t="s">
        <v>4546</v>
      </c>
    </row>
    <row r="747" spans="1:10" x14ac:dyDescent="0.2">
      <c r="A747" s="3">
        <v>3116</v>
      </c>
      <c r="B747" s="3" t="s">
        <v>793</v>
      </c>
      <c r="C747" s="3" t="s">
        <v>792</v>
      </c>
      <c r="D747" s="3" t="s">
        <v>309</v>
      </c>
      <c r="E747" s="3" t="str">
        <v>Prez</v>
      </c>
      <c r="I747" s="19">
        <v>2576</v>
      </c>
      <c r="J747" s="19" t="s">
        <v>4546</v>
      </c>
    </row>
    <row r="748" spans="1:10" x14ac:dyDescent="0.2">
      <c r="A748" s="3">
        <v>3116</v>
      </c>
      <c r="B748" s="3" t="s">
        <v>794</v>
      </c>
      <c r="C748" s="3" t="s">
        <v>792</v>
      </c>
      <c r="D748" s="3" t="s">
        <v>309</v>
      </c>
      <c r="E748" s="3" t="str">
        <v>Bois-d'Amont</v>
      </c>
      <c r="I748" s="19">
        <v>2577</v>
      </c>
      <c r="J748" s="19" t="s">
        <v>4546</v>
      </c>
    </row>
    <row r="749" spans="1:10" x14ac:dyDescent="0.2">
      <c r="A749" s="3">
        <v>3126</v>
      </c>
      <c r="B749" s="3" t="s">
        <v>795</v>
      </c>
      <c r="C749" s="3" t="s">
        <v>792</v>
      </c>
      <c r="D749" s="3" t="s">
        <v>309</v>
      </c>
      <c r="E749" s="3" t="str">
        <v>Courgevaux</v>
      </c>
      <c r="I749" s="19">
        <v>2603</v>
      </c>
      <c r="J749" s="19" t="s">
        <v>4550</v>
      </c>
    </row>
    <row r="750" spans="1:10" x14ac:dyDescent="0.2">
      <c r="A750" s="3">
        <v>3087</v>
      </c>
      <c r="B750" s="3" t="s">
        <v>796</v>
      </c>
      <c r="C750" s="3" t="s">
        <v>796</v>
      </c>
      <c r="D750" s="3" t="s">
        <v>309</v>
      </c>
      <c r="E750" s="3" t="str">
        <v>Courtepin</v>
      </c>
      <c r="I750" s="19">
        <v>2604</v>
      </c>
      <c r="J750" s="19" t="s">
        <v>4550</v>
      </c>
    </row>
    <row r="751" spans="1:10" x14ac:dyDescent="0.2">
      <c r="A751" s="3">
        <v>3099</v>
      </c>
      <c r="B751" s="3" t="s">
        <v>797</v>
      </c>
      <c r="C751" s="3" t="s">
        <v>798</v>
      </c>
      <c r="D751" s="3" t="s">
        <v>309</v>
      </c>
      <c r="E751" s="3" t="str">
        <v>Cressier (FR)</v>
      </c>
      <c r="I751" s="19">
        <v>2605</v>
      </c>
      <c r="J751" s="19" t="s">
        <v>4550</v>
      </c>
    </row>
    <row r="752" spans="1:10" x14ac:dyDescent="0.2">
      <c r="A752" s="3">
        <v>3128</v>
      </c>
      <c r="B752" s="3" t="s">
        <v>799</v>
      </c>
      <c r="C752" s="3" t="s">
        <v>798</v>
      </c>
      <c r="D752" s="3" t="s">
        <v>309</v>
      </c>
      <c r="E752" s="3" t="str">
        <v>Fräschels</v>
      </c>
      <c r="I752" s="19">
        <v>2606</v>
      </c>
      <c r="J752" s="19" t="s">
        <v>4550</v>
      </c>
    </row>
    <row r="753" spans="1:10" x14ac:dyDescent="0.2">
      <c r="A753" s="3">
        <v>3132</v>
      </c>
      <c r="B753" s="3" t="s">
        <v>798</v>
      </c>
      <c r="C753" s="3" t="s">
        <v>798</v>
      </c>
      <c r="D753" s="3" t="s">
        <v>309</v>
      </c>
      <c r="E753" s="3" t="str">
        <v>Greng</v>
      </c>
      <c r="I753" s="19">
        <v>2607</v>
      </c>
      <c r="J753" s="19" t="s">
        <v>4550</v>
      </c>
    </row>
    <row r="754" spans="1:10" x14ac:dyDescent="0.2">
      <c r="A754" s="3">
        <v>3088</v>
      </c>
      <c r="B754" s="3" t="s">
        <v>800</v>
      </c>
      <c r="C754" s="3" t="s">
        <v>800</v>
      </c>
      <c r="D754" s="3" t="s">
        <v>309</v>
      </c>
      <c r="E754" s="3" t="str">
        <v>Gurmels</v>
      </c>
      <c r="I754" s="19">
        <v>2608</v>
      </c>
      <c r="J754" s="19" t="s">
        <v>4550</v>
      </c>
    </row>
    <row r="755" spans="1:10" x14ac:dyDescent="0.2">
      <c r="A755" s="3">
        <v>3088</v>
      </c>
      <c r="B755" s="3" t="s">
        <v>801</v>
      </c>
      <c r="C755" s="3" t="s">
        <v>800</v>
      </c>
      <c r="D755" s="3" t="s">
        <v>309</v>
      </c>
      <c r="E755" s="3" t="str">
        <v>Kerzers</v>
      </c>
      <c r="I755" s="19">
        <v>2610</v>
      </c>
      <c r="J755" s="19" t="s">
        <v>4550</v>
      </c>
    </row>
    <row r="756" spans="1:10" x14ac:dyDescent="0.2">
      <c r="A756" s="3">
        <v>3089</v>
      </c>
      <c r="B756" s="3" t="s">
        <v>802</v>
      </c>
      <c r="C756" s="3" t="s">
        <v>800</v>
      </c>
      <c r="D756" s="3" t="s">
        <v>309</v>
      </c>
      <c r="E756" s="3" t="str">
        <v>Kleinbösingen</v>
      </c>
      <c r="I756" s="19">
        <v>2612</v>
      </c>
      <c r="J756" s="19" t="s">
        <v>4550</v>
      </c>
    </row>
    <row r="757" spans="1:10" x14ac:dyDescent="0.2">
      <c r="A757" s="3">
        <v>3155</v>
      </c>
      <c r="B757" s="3" t="s">
        <v>803</v>
      </c>
      <c r="C757" s="3" t="s">
        <v>800</v>
      </c>
      <c r="D757" s="3" t="s">
        <v>309</v>
      </c>
      <c r="E757" s="3" t="str">
        <v>Meyriez</v>
      </c>
      <c r="I757" s="19">
        <v>2613</v>
      </c>
      <c r="J757" s="19" t="s">
        <v>4550</v>
      </c>
    </row>
    <row r="758" spans="1:10" x14ac:dyDescent="0.2">
      <c r="A758" s="3">
        <v>3662</v>
      </c>
      <c r="B758" s="3" t="s">
        <v>804</v>
      </c>
      <c r="C758" s="3" t="s">
        <v>804</v>
      </c>
      <c r="D758" s="3" t="s">
        <v>309</v>
      </c>
      <c r="E758" s="3" t="str">
        <v>Misery-Courtion</v>
      </c>
      <c r="I758" s="19">
        <v>2615</v>
      </c>
      <c r="J758" s="19" t="s">
        <v>4550</v>
      </c>
    </row>
    <row r="759" spans="1:10" x14ac:dyDescent="0.2">
      <c r="A759" s="3">
        <v>3125</v>
      </c>
      <c r="B759" s="3" t="s">
        <v>805</v>
      </c>
      <c r="C759" s="3" t="s">
        <v>805</v>
      </c>
      <c r="D759" s="3" t="s">
        <v>309</v>
      </c>
      <c r="E759" s="3" t="str">
        <v>Muntelier</v>
      </c>
      <c r="I759" s="19">
        <v>2616</v>
      </c>
      <c r="J759" s="19" t="s">
        <v>4550</v>
      </c>
    </row>
    <row r="760" spans="1:10" x14ac:dyDescent="0.2">
      <c r="A760" s="3">
        <v>3628</v>
      </c>
      <c r="B760" s="3" t="s">
        <v>806</v>
      </c>
      <c r="C760" s="3" t="s">
        <v>806</v>
      </c>
      <c r="D760" s="3" t="s">
        <v>309</v>
      </c>
      <c r="E760" s="3" t="str">
        <v>Murten</v>
      </c>
      <c r="I760" s="19">
        <v>2710</v>
      </c>
      <c r="J760" s="19" t="s">
        <v>4550</v>
      </c>
    </row>
    <row r="761" spans="1:10" x14ac:dyDescent="0.2">
      <c r="A761" s="3">
        <v>3665</v>
      </c>
      <c r="B761" s="3" t="s">
        <v>807</v>
      </c>
      <c r="C761" s="3" t="s">
        <v>807</v>
      </c>
      <c r="D761" s="3" t="s">
        <v>309</v>
      </c>
      <c r="E761" s="3" t="str">
        <v>Ried bei Kerzers</v>
      </c>
      <c r="I761" s="19">
        <v>2712</v>
      </c>
      <c r="J761" s="19" t="s">
        <v>4550</v>
      </c>
    </row>
    <row r="762" spans="1:10" x14ac:dyDescent="0.2">
      <c r="A762" s="3">
        <v>3086</v>
      </c>
      <c r="B762" s="3" t="s">
        <v>808</v>
      </c>
      <c r="C762" s="3" t="s">
        <v>809</v>
      </c>
      <c r="D762" s="3" t="s">
        <v>309</v>
      </c>
      <c r="E762" s="3" t="str">
        <v>Ulmiz</v>
      </c>
      <c r="I762" s="19">
        <v>2713</v>
      </c>
      <c r="J762" s="19" t="s">
        <v>4550</v>
      </c>
    </row>
    <row r="763" spans="1:10" x14ac:dyDescent="0.2">
      <c r="A763" s="3">
        <v>3086</v>
      </c>
      <c r="B763" s="3" t="s">
        <v>810</v>
      </c>
      <c r="C763" s="3" t="s">
        <v>809</v>
      </c>
      <c r="D763" s="3" t="s">
        <v>309</v>
      </c>
      <c r="E763" s="3" t="str">
        <v>Mont-Vully</v>
      </c>
      <c r="I763" s="19">
        <v>2714</v>
      </c>
      <c r="J763" s="19" t="s">
        <v>4550</v>
      </c>
    </row>
    <row r="764" spans="1:10" x14ac:dyDescent="0.2">
      <c r="A764" s="3">
        <v>3127</v>
      </c>
      <c r="B764" s="3" t="s">
        <v>811</v>
      </c>
      <c r="C764" s="3" t="s">
        <v>812</v>
      </c>
      <c r="D764" s="3" t="s">
        <v>309</v>
      </c>
      <c r="E764" s="3" t="str">
        <v>Brünisried</v>
      </c>
      <c r="I764" s="19">
        <v>2715</v>
      </c>
      <c r="J764" s="19" t="s">
        <v>4550</v>
      </c>
    </row>
    <row r="765" spans="1:10" x14ac:dyDescent="0.2">
      <c r="A765" s="3">
        <v>3127</v>
      </c>
      <c r="B765" s="3" t="s">
        <v>813</v>
      </c>
      <c r="C765" s="3" t="s">
        <v>812</v>
      </c>
      <c r="D765" s="3" t="s">
        <v>309</v>
      </c>
      <c r="E765" s="3" t="str">
        <v>Düdingen</v>
      </c>
      <c r="I765" s="19">
        <v>2716</v>
      </c>
      <c r="J765" s="19" t="s">
        <v>4550</v>
      </c>
    </row>
    <row r="766" spans="1:10" x14ac:dyDescent="0.2">
      <c r="A766" s="3">
        <v>3128</v>
      </c>
      <c r="B766" s="3" t="s">
        <v>814</v>
      </c>
      <c r="C766" s="3" t="s">
        <v>812</v>
      </c>
      <c r="D766" s="3" t="s">
        <v>309</v>
      </c>
      <c r="E766" s="3" t="str">
        <v>Giffers</v>
      </c>
      <c r="I766" s="19">
        <v>2717</v>
      </c>
      <c r="J766" s="19" t="s">
        <v>4550</v>
      </c>
    </row>
    <row r="767" spans="1:10" x14ac:dyDescent="0.2">
      <c r="A767" s="3">
        <v>3536</v>
      </c>
      <c r="B767" s="3" t="s">
        <v>815</v>
      </c>
      <c r="C767" s="3" t="s">
        <v>816</v>
      </c>
      <c r="D767" s="3" t="s">
        <v>309</v>
      </c>
      <c r="E767" s="3" t="str">
        <v>Bösingen</v>
      </c>
      <c r="I767" s="19">
        <v>2718</v>
      </c>
      <c r="J767" s="19" t="s">
        <v>4550</v>
      </c>
    </row>
    <row r="768" spans="1:10" x14ac:dyDescent="0.2">
      <c r="A768" s="3">
        <v>3537</v>
      </c>
      <c r="B768" s="3" t="s">
        <v>816</v>
      </c>
      <c r="C768" s="3" t="s">
        <v>816</v>
      </c>
      <c r="D768" s="3" t="s">
        <v>309</v>
      </c>
      <c r="E768" s="3" t="str">
        <v>Heitenried</v>
      </c>
      <c r="I768" s="19">
        <v>2720</v>
      </c>
      <c r="J768" s="19" t="s">
        <v>4550</v>
      </c>
    </row>
    <row r="769" spans="1:10" x14ac:dyDescent="0.2">
      <c r="A769" s="3">
        <v>3550</v>
      </c>
      <c r="B769" s="3" t="s">
        <v>817</v>
      </c>
      <c r="C769" s="3" t="s">
        <v>817</v>
      </c>
      <c r="D769" s="3" t="s">
        <v>309</v>
      </c>
      <c r="E769" s="3" t="str">
        <v>Plaffeien</v>
      </c>
      <c r="I769" s="19">
        <v>2722</v>
      </c>
      <c r="J769" s="19" t="s">
        <v>4550</v>
      </c>
    </row>
    <row r="770" spans="1:10" x14ac:dyDescent="0.2">
      <c r="A770" s="3">
        <v>3551</v>
      </c>
      <c r="B770" s="3" t="s">
        <v>818</v>
      </c>
      <c r="C770" s="3" t="s">
        <v>817</v>
      </c>
      <c r="D770" s="3" t="s">
        <v>309</v>
      </c>
      <c r="E770" s="3" t="str">
        <v>Plasselb</v>
      </c>
      <c r="I770" s="19">
        <v>2723</v>
      </c>
      <c r="J770" s="19" t="s">
        <v>4550</v>
      </c>
    </row>
    <row r="771" spans="1:10" x14ac:dyDescent="0.2">
      <c r="A771" s="3">
        <v>3552</v>
      </c>
      <c r="B771" s="3" t="s">
        <v>819</v>
      </c>
      <c r="C771" s="3" t="s">
        <v>817</v>
      </c>
      <c r="D771" s="3" t="s">
        <v>309</v>
      </c>
      <c r="E771" s="3" t="str">
        <v>Rechthalten</v>
      </c>
      <c r="I771" s="19">
        <v>2732</v>
      </c>
      <c r="J771" s="19" t="s">
        <v>4550</v>
      </c>
    </row>
    <row r="772" spans="1:10" x14ac:dyDescent="0.2">
      <c r="A772" s="3">
        <v>3553</v>
      </c>
      <c r="B772" s="3" t="s">
        <v>820</v>
      </c>
      <c r="C772" s="3" t="s">
        <v>817</v>
      </c>
      <c r="D772" s="3" t="s">
        <v>309</v>
      </c>
      <c r="E772" s="3" t="str">
        <v>St. Silvester</v>
      </c>
      <c r="I772" s="19">
        <v>2733</v>
      </c>
      <c r="J772" s="19" t="s">
        <v>4551</v>
      </c>
    </row>
    <row r="773" spans="1:10" x14ac:dyDescent="0.2">
      <c r="A773" s="3">
        <v>3438</v>
      </c>
      <c r="B773" s="3" t="s">
        <v>821</v>
      </c>
      <c r="C773" s="3" t="s">
        <v>821</v>
      </c>
      <c r="D773" s="3" t="s">
        <v>309</v>
      </c>
      <c r="E773" s="3" t="str">
        <v>St. Ursen</v>
      </c>
      <c r="I773" s="19">
        <v>2735</v>
      </c>
      <c r="J773" s="19" t="s">
        <v>4551</v>
      </c>
    </row>
    <row r="774" spans="1:10" x14ac:dyDescent="0.2">
      <c r="A774" s="3">
        <v>3543</v>
      </c>
      <c r="B774" s="3" t="s">
        <v>822</v>
      </c>
      <c r="C774" s="3" t="s">
        <v>821</v>
      </c>
      <c r="D774" s="3" t="s">
        <v>309</v>
      </c>
      <c r="E774" s="3" t="str">
        <v>Schmitten (FR)</v>
      </c>
      <c r="I774" s="19">
        <v>2736</v>
      </c>
      <c r="J774" s="19" t="s">
        <v>4551</v>
      </c>
    </row>
    <row r="775" spans="1:10" x14ac:dyDescent="0.2">
      <c r="A775" s="3">
        <v>3538</v>
      </c>
      <c r="B775" s="3" t="s">
        <v>823</v>
      </c>
      <c r="C775" s="3" t="s">
        <v>823</v>
      </c>
      <c r="D775" s="3" t="s">
        <v>309</v>
      </c>
      <c r="E775" s="3" t="str">
        <v>Tafers</v>
      </c>
      <c r="I775" s="19">
        <v>2738</v>
      </c>
      <c r="J775" s="19" t="s">
        <v>4551</v>
      </c>
    </row>
    <row r="776" spans="1:10" x14ac:dyDescent="0.2">
      <c r="A776" s="3">
        <v>3433</v>
      </c>
      <c r="B776" s="3" t="s">
        <v>824</v>
      </c>
      <c r="C776" s="3" t="s">
        <v>825</v>
      </c>
      <c r="D776" s="3" t="s">
        <v>309</v>
      </c>
      <c r="E776" s="3" t="str">
        <v>Tentlingen</v>
      </c>
      <c r="I776" s="19">
        <v>2740</v>
      </c>
      <c r="J776" s="19" t="s">
        <v>4551</v>
      </c>
    </row>
    <row r="777" spans="1:10" x14ac:dyDescent="0.2">
      <c r="A777" s="3">
        <v>3436</v>
      </c>
      <c r="B777" s="3" t="s">
        <v>826</v>
      </c>
      <c r="C777" s="3" t="s">
        <v>825</v>
      </c>
      <c r="D777" s="3" t="s">
        <v>309</v>
      </c>
      <c r="E777" s="3" t="str">
        <v>Ueberstorf</v>
      </c>
      <c r="I777" s="19">
        <v>2742</v>
      </c>
      <c r="J777" s="19" t="s">
        <v>4551</v>
      </c>
    </row>
    <row r="778" spans="1:10" x14ac:dyDescent="0.2">
      <c r="A778" s="3">
        <v>3437</v>
      </c>
      <c r="B778" s="3" t="s">
        <v>825</v>
      </c>
      <c r="C778" s="3" t="s">
        <v>825</v>
      </c>
      <c r="D778" s="3" t="s">
        <v>309</v>
      </c>
      <c r="E778" s="3" t="str">
        <v>Wünnewil-Flamatt</v>
      </c>
      <c r="I778" s="19">
        <v>2743</v>
      </c>
      <c r="J778" s="19" t="s">
        <v>4551</v>
      </c>
    </row>
    <row r="779" spans="1:10" x14ac:dyDescent="0.2">
      <c r="A779" s="3">
        <v>6197</v>
      </c>
      <c r="B779" s="3" t="s">
        <v>827</v>
      </c>
      <c r="C779" s="3" t="s">
        <v>827</v>
      </c>
      <c r="D779" s="3" t="s">
        <v>309</v>
      </c>
      <c r="E779" s="3" t="str">
        <v>Attalens</v>
      </c>
      <c r="I779" s="19">
        <v>2744</v>
      </c>
      <c r="J779" s="19" t="s">
        <v>4551</v>
      </c>
    </row>
    <row r="780" spans="1:10" x14ac:dyDescent="0.2">
      <c r="A780" s="3">
        <v>3534</v>
      </c>
      <c r="B780" s="3" t="s">
        <v>828</v>
      </c>
      <c r="C780" s="3" t="s">
        <v>828</v>
      </c>
      <c r="D780" s="3" t="s">
        <v>309</v>
      </c>
      <c r="E780" s="3" t="str">
        <v>Bossonnens</v>
      </c>
      <c r="I780" s="19">
        <v>2745</v>
      </c>
      <c r="J780" s="19" t="s">
        <v>4551</v>
      </c>
    </row>
    <row r="781" spans="1:10" x14ac:dyDescent="0.2">
      <c r="A781" s="3">
        <v>3535</v>
      </c>
      <c r="B781" s="3" t="s">
        <v>829</v>
      </c>
      <c r="C781" s="3" t="s">
        <v>828</v>
      </c>
      <c r="D781" s="3" t="s">
        <v>309</v>
      </c>
      <c r="E781" s="3" t="str">
        <v>Châtel-Saint-Denis</v>
      </c>
      <c r="I781" s="19">
        <v>2746</v>
      </c>
      <c r="J781" s="19" t="s">
        <v>4551</v>
      </c>
    </row>
    <row r="782" spans="1:10" x14ac:dyDescent="0.2">
      <c r="A782" s="3">
        <v>3556</v>
      </c>
      <c r="B782" s="3" t="s">
        <v>830</v>
      </c>
      <c r="C782" s="3" t="s">
        <v>830</v>
      </c>
      <c r="D782" s="3" t="s">
        <v>309</v>
      </c>
      <c r="E782" s="3" t="str">
        <v>Granges (Veveyse)</v>
      </c>
      <c r="I782" s="19">
        <v>2747</v>
      </c>
      <c r="J782" s="19" t="s">
        <v>4551</v>
      </c>
    </row>
    <row r="783" spans="1:10" x14ac:dyDescent="0.2">
      <c r="A783" s="3">
        <v>3557</v>
      </c>
      <c r="B783" s="3" t="s">
        <v>831</v>
      </c>
      <c r="C783" s="3" t="s">
        <v>830</v>
      </c>
      <c r="D783" s="3" t="s">
        <v>309</v>
      </c>
      <c r="E783" s="3" t="str">
        <v>Remaufens</v>
      </c>
      <c r="I783" s="19">
        <v>2748</v>
      </c>
      <c r="J783" s="19" t="s">
        <v>4550</v>
      </c>
    </row>
    <row r="784" spans="1:10" x14ac:dyDescent="0.2">
      <c r="A784" s="3">
        <v>3555</v>
      </c>
      <c r="B784" s="3" t="s">
        <v>832</v>
      </c>
      <c r="C784" s="3" t="s">
        <v>832</v>
      </c>
      <c r="D784" s="3" t="s">
        <v>309</v>
      </c>
      <c r="E784" s="3" t="str">
        <v>Saint-Martin (FR)</v>
      </c>
      <c r="I784" s="19">
        <v>2762</v>
      </c>
      <c r="J784" s="19" t="s">
        <v>4551</v>
      </c>
    </row>
    <row r="785" spans="1:10" x14ac:dyDescent="0.2">
      <c r="A785" s="3">
        <v>3633</v>
      </c>
      <c r="B785" s="3" t="s">
        <v>833</v>
      </c>
      <c r="C785" s="3" t="s">
        <v>833</v>
      </c>
      <c r="D785" s="3" t="s">
        <v>309</v>
      </c>
      <c r="E785" s="3" t="str">
        <v>Semsales</v>
      </c>
      <c r="I785" s="19">
        <v>2800</v>
      </c>
      <c r="J785" s="19" t="s">
        <v>4551</v>
      </c>
    </row>
    <row r="786" spans="1:10" x14ac:dyDescent="0.2">
      <c r="A786" s="3">
        <v>3638</v>
      </c>
      <c r="B786" s="3" t="s">
        <v>834</v>
      </c>
      <c r="C786" s="3" t="s">
        <v>834</v>
      </c>
      <c r="D786" s="3" t="s">
        <v>309</v>
      </c>
      <c r="E786" s="3" t="str">
        <v>Le Flon</v>
      </c>
      <c r="I786" s="19">
        <v>2802</v>
      </c>
      <c r="J786" s="19" t="s">
        <v>4551</v>
      </c>
    </row>
    <row r="787" spans="1:10" x14ac:dyDescent="0.2">
      <c r="A787" s="3">
        <v>3615</v>
      </c>
      <c r="B787" s="3" t="s">
        <v>835</v>
      </c>
      <c r="C787" s="3" t="s">
        <v>836</v>
      </c>
      <c r="D787" s="3" t="s">
        <v>309</v>
      </c>
      <c r="E787" s="3" t="str">
        <v>La Verrerie</v>
      </c>
      <c r="I787" s="19">
        <v>2803</v>
      </c>
      <c r="J787" s="19" t="s">
        <v>4551</v>
      </c>
    </row>
    <row r="788" spans="1:10" x14ac:dyDescent="0.2">
      <c r="A788" s="3">
        <v>3619</v>
      </c>
      <c r="B788" s="3" t="s">
        <v>837</v>
      </c>
      <c r="C788" s="3" t="s">
        <v>837</v>
      </c>
      <c r="D788" s="3" t="s">
        <v>309</v>
      </c>
      <c r="E788" s="3" t="str">
        <v>Egerkingen</v>
      </c>
      <c r="I788" s="19">
        <v>2805</v>
      </c>
      <c r="J788" s="19" t="s">
        <v>4551</v>
      </c>
    </row>
    <row r="789" spans="1:10" x14ac:dyDescent="0.2">
      <c r="A789" s="3">
        <v>3617</v>
      </c>
      <c r="B789" s="3" t="s">
        <v>838</v>
      </c>
      <c r="C789" s="3" t="s">
        <v>839</v>
      </c>
      <c r="D789" s="3" t="s">
        <v>309</v>
      </c>
      <c r="E789" s="3" t="str">
        <v>Härkingen</v>
      </c>
      <c r="I789" s="19">
        <v>2806</v>
      </c>
      <c r="J789" s="19" t="s">
        <v>4551</v>
      </c>
    </row>
    <row r="790" spans="1:10" x14ac:dyDescent="0.2">
      <c r="A790" s="3">
        <v>3625</v>
      </c>
      <c r="B790" s="3" t="s">
        <v>840</v>
      </c>
      <c r="C790" s="3" t="s">
        <v>840</v>
      </c>
      <c r="D790" s="3" t="s">
        <v>309</v>
      </c>
      <c r="E790" s="3" t="str">
        <v>Kestenholz</v>
      </c>
      <c r="I790" s="19">
        <v>2807</v>
      </c>
      <c r="J790" s="19" t="s">
        <v>4552</v>
      </c>
    </row>
    <row r="791" spans="1:10" x14ac:dyDescent="0.2">
      <c r="A791" s="3">
        <v>3627</v>
      </c>
      <c r="B791" s="3" t="s">
        <v>841</v>
      </c>
      <c r="C791" s="3" t="s">
        <v>841</v>
      </c>
      <c r="D791" s="3" t="s">
        <v>309</v>
      </c>
      <c r="E791" s="3" t="str">
        <v>Neuendorf</v>
      </c>
      <c r="I791" s="19">
        <v>2812</v>
      </c>
      <c r="J791" s="19" t="s">
        <v>4552</v>
      </c>
    </row>
    <row r="792" spans="1:10" x14ac:dyDescent="0.2">
      <c r="A792" s="3">
        <v>3626</v>
      </c>
      <c r="B792" s="3" t="s">
        <v>842</v>
      </c>
      <c r="C792" s="3" t="s">
        <v>843</v>
      </c>
      <c r="D792" s="3" t="s">
        <v>309</v>
      </c>
      <c r="E792" s="3" t="str">
        <v>Niederbuchsiten</v>
      </c>
      <c r="I792" s="19">
        <v>2813</v>
      </c>
      <c r="J792" s="19" t="s">
        <v>4552</v>
      </c>
    </row>
    <row r="793" spans="1:10" x14ac:dyDescent="0.2">
      <c r="A793" s="3">
        <v>3652</v>
      </c>
      <c r="B793" s="3" t="s">
        <v>843</v>
      </c>
      <c r="C793" s="3" t="s">
        <v>843</v>
      </c>
      <c r="D793" s="3" t="s">
        <v>309</v>
      </c>
      <c r="E793" s="3" t="str">
        <v>Oberbuchsiten</v>
      </c>
      <c r="I793" s="19">
        <v>2814</v>
      </c>
      <c r="J793" s="19" t="s">
        <v>4552</v>
      </c>
    </row>
    <row r="794" spans="1:10" x14ac:dyDescent="0.2">
      <c r="A794" s="3">
        <v>3622</v>
      </c>
      <c r="B794" s="3" t="s">
        <v>844</v>
      </c>
      <c r="C794" s="3" t="s">
        <v>845</v>
      </c>
      <c r="D794" s="3" t="s">
        <v>309</v>
      </c>
      <c r="E794" s="3" t="str">
        <v>Oensingen</v>
      </c>
      <c r="I794" s="19">
        <v>2822</v>
      </c>
      <c r="J794" s="19" t="s">
        <v>4551</v>
      </c>
    </row>
    <row r="795" spans="1:10" x14ac:dyDescent="0.2">
      <c r="A795" s="3">
        <v>3623</v>
      </c>
      <c r="B795" s="3" t="s">
        <v>846</v>
      </c>
      <c r="C795" s="3" t="s">
        <v>847</v>
      </c>
      <c r="D795" s="3" t="s">
        <v>309</v>
      </c>
      <c r="E795" s="3" t="str">
        <v>Wolfwil</v>
      </c>
      <c r="I795" s="19">
        <v>2823</v>
      </c>
      <c r="J795" s="19" t="s">
        <v>4551</v>
      </c>
    </row>
    <row r="796" spans="1:10" x14ac:dyDescent="0.2">
      <c r="A796" s="3">
        <v>3623</v>
      </c>
      <c r="B796" s="3" t="s">
        <v>848</v>
      </c>
      <c r="C796" s="3" t="s">
        <v>847</v>
      </c>
      <c r="D796" s="3" t="s">
        <v>309</v>
      </c>
      <c r="E796" s="3" t="str">
        <v>Aedermannsdorf</v>
      </c>
      <c r="I796" s="19">
        <v>2824</v>
      </c>
      <c r="J796" s="19" t="s">
        <v>4551</v>
      </c>
    </row>
    <row r="797" spans="1:10" x14ac:dyDescent="0.2">
      <c r="A797" s="3">
        <v>3653</v>
      </c>
      <c r="B797" s="3" t="s">
        <v>849</v>
      </c>
      <c r="C797" s="3" t="s">
        <v>849</v>
      </c>
      <c r="D797" s="3" t="s">
        <v>309</v>
      </c>
      <c r="E797" s="3" t="str">
        <v>Balsthal</v>
      </c>
      <c r="I797" s="19">
        <v>2825</v>
      </c>
      <c r="J797" s="19" t="s">
        <v>4551</v>
      </c>
    </row>
    <row r="798" spans="1:10" x14ac:dyDescent="0.2">
      <c r="A798" s="3">
        <v>3638</v>
      </c>
      <c r="B798" s="3" t="s">
        <v>850</v>
      </c>
      <c r="C798" s="3" t="s">
        <v>850</v>
      </c>
      <c r="D798" s="3" t="s">
        <v>309</v>
      </c>
      <c r="E798" s="3" t="str">
        <v>Herbetswil</v>
      </c>
      <c r="I798" s="19">
        <v>2826</v>
      </c>
      <c r="J798" s="19" t="s">
        <v>4551</v>
      </c>
    </row>
    <row r="799" spans="1:10" x14ac:dyDescent="0.2">
      <c r="A799" s="3">
        <v>3654</v>
      </c>
      <c r="B799" s="3" t="s">
        <v>851</v>
      </c>
      <c r="C799" s="3" t="s">
        <v>852</v>
      </c>
      <c r="D799" s="3" t="s">
        <v>309</v>
      </c>
      <c r="E799" s="3" t="str">
        <v>Holderbank (SO)</v>
      </c>
      <c r="I799" s="19">
        <v>2827</v>
      </c>
      <c r="J799" s="19" t="s">
        <v>4551</v>
      </c>
    </row>
    <row r="800" spans="1:10" x14ac:dyDescent="0.2">
      <c r="A800" s="3">
        <v>3655</v>
      </c>
      <c r="B800" s="3" t="s">
        <v>852</v>
      </c>
      <c r="C800" s="3" t="s">
        <v>852</v>
      </c>
      <c r="D800" s="3" t="s">
        <v>309</v>
      </c>
      <c r="E800" s="3" t="str">
        <v>Laupersdorf</v>
      </c>
      <c r="I800" s="19">
        <v>2828</v>
      </c>
      <c r="J800" s="19" t="s">
        <v>4551</v>
      </c>
    </row>
    <row r="801" spans="1:10" x14ac:dyDescent="0.2">
      <c r="A801" s="3">
        <v>3656</v>
      </c>
      <c r="B801" s="3" t="s">
        <v>853</v>
      </c>
      <c r="C801" s="3" t="s">
        <v>852</v>
      </c>
      <c r="D801" s="3" t="s">
        <v>309</v>
      </c>
      <c r="E801" s="3" t="str">
        <v>Matzendorf</v>
      </c>
      <c r="I801" s="19">
        <v>2829</v>
      </c>
      <c r="J801" s="19" t="s">
        <v>4551</v>
      </c>
    </row>
    <row r="802" spans="1:10" x14ac:dyDescent="0.2">
      <c r="A802" s="3">
        <v>3656</v>
      </c>
      <c r="B802" s="3" t="s">
        <v>854</v>
      </c>
      <c r="C802" s="3" t="s">
        <v>852</v>
      </c>
      <c r="D802" s="3" t="s">
        <v>309</v>
      </c>
      <c r="E802" s="3" t="str">
        <v>Mümliswil-Ramiswil</v>
      </c>
      <c r="I802" s="19">
        <v>2830</v>
      </c>
      <c r="J802" s="19" t="s">
        <v>4551</v>
      </c>
    </row>
    <row r="803" spans="1:10" x14ac:dyDescent="0.2">
      <c r="A803" s="3">
        <v>3656</v>
      </c>
      <c r="B803" s="3" t="s">
        <v>855</v>
      </c>
      <c r="C803" s="3" t="s">
        <v>852</v>
      </c>
      <c r="D803" s="3" t="s">
        <v>309</v>
      </c>
      <c r="E803" s="3" t="str">
        <v>Welschenrohr-Gänsbrunnen</v>
      </c>
      <c r="I803" s="19">
        <v>2832</v>
      </c>
      <c r="J803" s="19" t="s">
        <v>4551</v>
      </c>
    </row>
    <row r="804" spans="1:10" x14ac:dyDescent="0.2">
      <c r="A804" s="3">
        <v>3657</v>
      </c>
      <c r="B804" s="3" t="s">
        <v>856</v>
      </c>
      <c r="C804" s="3" t="s">
        <v>852</v>
      </c>
      <c r="D804" s="3" t="s">
        <v>309</v>
      </c>
      <c r="E804" s="3" t="str">
        <v>Biezwil</v>
      </c>
      <c r="I804" s="19">
        <v>2842</v>
      </c>
      <c r="J804" s="19" t="s">
        <v>4551</v>
      </c>
    </row>
    <row r="805" spans="1:10" x14ac:dyDescent="0.2">
      <c r="A805" s="3">
        <v>3658</v>
      </c>
      <c r="B805" s="3" t="s">
        <v>857</v>
      </c>
      <c r="C805" s="3" t="s">
        <v>852</v>
      </c>
      <c r="D805" s="3" t="s">
        <v>309</v>
      </c>
      <c r="E805" s="3" t="str">
        <v>Lüterkofen-Ichertswil</v>
      </c>
      <c r="I805" s="19">
        <v>2843</v>
      </c>
      <c r="J805" s="19" t="s">
        <v>4551</v>
      </c>
    </row>
    <row r="806" spans="1:10" x14ac:dyDescent="0.2">
      <c r="A806" s="3">
        <v>3612</v>
      </c>
      <c r="B806" s="3" t="s">
        <v>858</v>
      </c>
      <c r="C806" s="3" t="s">
        <v>858</v>
      </c>
      <c r="D806" s="3" t="s">
        <v>309</v>
      </c>
      <c r="E806" s="3" t="str">
        <v>Lüterswil-Gächliwil</v>
      </c>
      <c r="I806" s="19">
        <v>2852</v>
      </c>
      <c r="J806" s="19" t="s">
        <v>4551</v>
      </c>
    </row>
    <row r="807" spans="1:10" x14ac:dyDescent="0.2">
      <c r="A807" s="3">
        <v>3613</v>
      </c>
      <c r="B807" s="3" t="s">
        <v>858</v>
      </c>
      <c r="C807" s="3" t="s">
        <v>858</v>
      </c>
      <c r="D807" s="3" t="s">
        <v>309</v>
      </c>
      <c r="E807" s="3" t="str">
        <v>Messen</v>
      </c>
      <c r="I807" s="19">
        <v>2853</v>
      </c>
      <c r="J807" s="19" t="s">
        <v>4551</v>
      </c>
    </row>
    <row r="808" spans="1:10" x14ac:dyDescent="0.2">
      <c r="A808" s="3">
        <v>3624</v>
      </c>
      <c r="B808" s="3" t="s">
        <v>859</v>
      </c>
      <c r="C808" s="3" t="s">
        <v>858</v>
      </c>
      <c r="D808" s="3" t="s">
        <v>309</v>
      </c>
      <c r="E808" s="3" t="str">
        <v>Schnottwil</v>
      </c>
      <c r="I808" s="19">
        <v>2854</v>
      </c>
      <c r="J808" s="19" t="s">
        <v>4551</v>
      </c>
    </row>
    <row r="809" spans="1:10" x14ac:dyDescent="0.2">
      <c r="A809" s="3">
        <v>3623</v>
      </c>
      <c r="B809" s="3" t="s">
        <v>860</v>
      </c>
      <c r="C809" s="3" t="s">
        <v>861</v>
      </c>
      <c r="D809" s="3" t="s">
        <v>309</v>
      </c>
      <c r="E809" s="3" t="str">
        <v>Unterramsern</v>
      </c>
      <c r="I809" s="19">
        <v>2855</v>
      </c>
      <c r="J809" s="19" t="s">
        <v>4551</v>
      </c>
    </row>
    <row r="810" spans="1:10" x14ac:dyDescent="0.2">
      <c r="A810" s="3">
        <v>3634</v>
      </c>
      <c r="B810" s="3" t="s">
        <v>862</v>
      </c>
      <c r="C810" s="3" t="s">
        <v>862</v>
      </c>
      <c r="D810" s="3" t="s">
        <v>309</v>
      </c>
      <c r="E810" s="3" t="str">
        <v>Lüsslingen-Nennigkofen</v>
      </c>
      <c r="I810" s="19">
        <v>2856</v>
      </c>
      <c r="J810" s="19" t="s">
        <v>4551</v>
      </c>
    </row>
    <row r="811" spans="1:10" x14ac:dyDescent="0.2">
      <c r="A811" s="3">
        <v>3600</v>
      </c>
      <c r="B811" s="3" t="s">
        <v>863</v>
      </c>
      <c r="C811" s="3" t="s">
        <v>863</v>
      </c>
      <c r="D811" s="3" t="s">
        <v>309</v>
      </c>
      <c r="E811" s="3" t="str">
        <v>Buchegg</v>
      </c>
      <c r="I811" s="19">
        <v>2857</v>
      </c>
      <c r="J811" s="19" t="s">
        <v>4551</v>
      </c>
    </row>
    <row r="812" spans="1:10" x14ac:dyDescent="0.2">
      <c r="A812" s="3">
        <v>3603</v>
      </c>
      <c r="B812" s="3" t="s">
        <v>863</v>
      </c>
      <c r="C812" s="3" t="s">
        <v>863</v>
      </c>
      <c r="D812" s="3" t="s">
        <v>309</v>
      </c>
      <c r="E812" s="3" t="str">
        <v>Bättwil</v>
      </c>
      <c r="I812" s="19">
        <v>2863</v>
      </c>
      <c r="J812" s="19" t="s">
        <v>4551</v>
      </c>
    </row>
    <row r="813" spans="1:10" x14ac:dyDescent="0.2">
      <c r="A813" s="3">
        <v>3604</v>
      </c>
      <c r="B813" s="3" t="s">
        <v>863</v>
      </c>
      <c r="C813" s="3" t="s">
        <v>863</v>
      </c>
      <c r="D813" s="3" t="s">
        <v>309</v>
      </c>
      <c r="E813" s="3" t="str">
        <v>Büren (SO)</v>
      </c>
      <c r="I813" s="19">
        <v>2864</v>
      </c>
      <c r="J813" s="19" t="s">
        <v>4551</v>
      </c>
    </row>
    <row r="814" spans="1:10" x14ac:dyDescent="0.2">
      <c r="A814" s="3">
        <v>3608</v>
      </c>
      <c r="B814" s="3" t="s">
        <v>863</v>
      </c>
      <c r="C814" s="3" t="s">
        <v>863</v>
      </c>
      <c r="D814" s="3" t="s">
        <v>309</v>
      </c>
      <c r="E814" s="3" t="str">
        <v>Dornach</v>
      </c>
      <c r="I814" s="19">
        <v>2873</v>
      </c>
      <c r="J814" s="19" t="s">
        <v>4550</v>
      </c>
    </row>
    <row r="815" spans="1:10" x14ac:dyDescent="0.2">
      <c r="A815" s="3">
        <v>3624</v>
      </c>
      <c r="B815" s="3" t="s">
        <v>864</v>
      </c>
      <c r="C815" s="3" t="s">
        <v>863</v>
      </c>
      <c r="D815" s="3" t="s">
        <v>309</v>
      </c>
      <c r="E815" s="3" t="str">
        <v>Gempen</v>
      </c>
      <c r="I815" s="19">
        <v>2882</v>
      </c>
      <c r="J815" s="19" t="s">
        <v>4551</v>
      </c>
    </row>
    <row r="816" spans="1:10" x14ac:dyDescent="0.2">
      <c r="A816" s="3">
        <v>3645</v>
      </c>
      <c r="B816" s="3" t="s">
        <v>865</v>
      </c>
      <c r="C816" s="3" t="s">
        <v>863</v>
      </c>
      <c r="D816" s="3" t="s">
        <v>309</v>
      </c>
      <c r="E816" s="3" t="str">
        <v>Hochwald</v>
      </c>
      <c r="I816" s="19">
        <v>2883</v>
      </c>
      <c r="J816" s="19" t="s">
        <v>4550</v>
      </c>
    </row>
    <row r="817" spans="1:10" x14ac:dyDescent="0.2">
      <c r="A817" s="3">
        <v>3635</v>
      </c>
      <c r="B817" s="3" t="s">
        <v>866</v>
      </c>
      <c r="C817" s="3" t="s">
        <v>866</v>
      </c>
      <c r="D817" s="3" t="s">
        <v>309</v>
      </c>
      <c r="E817" s="3" t="str">
        <v>Hofstetten-Flüh</v>
      </c>
      <c r="I817" s="19">
        <v>2884</v>
      </c>
      <c r="J817" s="19" t="s">
        <v>4550</v>
      </c>
    </row>
    <row r="818" spans="1:10" x14ac:dyDescent="0.2">
      <c r="A818" s="3">
        <v>3661</v>
      </c>
      <c r="B818" s="3" t="s">
        <v>867</v>
      </c>
      <c r="C818" s="3" t="s">
        <v>867</v>
      </c>
      <c r="D818" s="3" t="s">
        <v>309</v>
      </c>
      <c r="E818" s="3" t="str">
        <v>Metzerlen-Mariastein</v>
      </c>
      <c r="I818" s="19">
        <v>2885</v>
      </c>
      <c r="J818" s="19" t="s">
        <v>4550</v>
      </c>
    </row>
    <row r="819" spans="1:10" x14ac:dyDescent="0.2">
      <c r="A819" s="3">
        <v>3614</v>
      </c>
      <c r="B819" s="3" t="s">
        <v>868</v>
      </c>
      <c r="C819" s="3" t="s">
        <v>868</v>
      </c>
      <c r="D819" s="3" t="s">
        <v>309</v>
      </c>
      <c r="E819" s="3" t="str">
        <v>Nuglar-St. Pantaleon</v>
      </c>
      <c r="I819" s="19">
        <v>2886</v>
      </c>
      <c r="J819" s="19" t="s">
        <v>4550</v>
      </c>
    </row>
    <row r="820" spans="1:10" x14ac:dyDescent="0.2">
      <c r="A820" s="3">
        <v>3616</v>
      </c>
      <c r="B820" s="3" t="s">
        <v>869</v>
      </c>
      <c r="C820" s="3" t="s">
        <v>868</v>
      </c>
      <c r="D820" s="3" t="s">
        <v>309</v>
      </c>
      <c r="E820" s="3" t="str">
        <v>Rodersdorf</v>
      </c>
      <c r="I820" s="19">
        <v>2887</v>
      </c>
      <c r="J820" s="19" t="s">
        <v>4550</v>
      </c>
    </row>
    <row r="821" spans="1:10" x14ac:dyDescent="0.2">
      <c r="A821" s="3">
        <v>3618</v>
      </c>
      <c r="B821" s="3" t="s">
        <v>870</v>
      </c>
      <c r="C821" s="3" t="s">
        <v>871</v>
      </c>
      <c r="D821" s="3" t="s">
        <v>309</v>
      </c>
      <c r="E821" s="3" t="str">
        <v>Seewen</v>
      </c>
      <c r="I821" s="19">
        <v>2888</v>
      </c>
      <c r="J821" s="19" t="s">
        <v>4550</v>
      </c>
    </row>
    <row r="822" spans="1:10" x14ac:dyDescent="0.2">
      <c r="A822" s="3">
        <v>3645</v>
      </c>
      <c r="B822" s="3" t="s">
        <v>872</v>
      </c>
      <c r="C822" s="3" t="s">
        <v>872</v>
      </c>
      <c r="D822" s="3" t="s">
        <v>309</v>
      </c>
      <c r="E822" s="3" t="str">
        <v>Witterswil</v>
      </c>
      <c r="I822" s="19">
        <v>2889</v>
      </c>
      <c r="J822" s="19" t="s">
        <v>4550</v>
      </c>
    </row>
    <row r="823" spans="1:10" x14ac:dyDescent="0.2">
      <c r="A823" s="3">
        <v>3636</v>
      </c>
      <c r="B823" s="3" t="s">
        <v>873</v>
      </c>
      <c r="C823" s="3" t="s">
        <v>874</v>
      </c>
      <c r="D823" s="3" t="s">
        <v>309</v>
      </c>
      <c r="E823" s="3" t="str">
        <v>Hauenstein-Ifenthal</v>
      </c>
      <c r="I823" s="19">
        <v>2900</v>
      </c>
      <c r="J823" s="19" t="s">
        <v>4552</v>
      </c>
    </row>
    <row r="824" spans="1:10" x14ac:dyDescent="0.2">
      <c r="A824" s="3">
        <v>3636</v>
      </c>
      <c r="B824" s="3" t="s">
        <v>875</v>
      </c>
      <c r="C824" s="3" t="s">
        <v>874</v>
      </c>
      <c r="D824" s="3" t="s">
        <v>309</v>
      </c>
      <c r="E824" s="3" t="str">
        <v>Kienberg</v>
      </c>
      <c r="I824" s="19">
        <v>2902</v>
      </c>
      <c r="J824" s="19" t="s">
        <v>4552</v>
      </c>
    </row>
    <row r="825" spans="1:10" x14ac:dyDescent="0.2">
      <c r="A825" s="3">
        <v>3416</v>
      </c>
      <c r="B825" s="3" t="s">
        <v>876</v>
      </c>
      <c r="C825" s="3" t="s">
        <v>876</v>
      </c>
      <c r="D825" s="3" t="s">
        <v>309</v>
      </c>
      <c r="E825" s="3" t="str">
        <v>Lostorf</v>
      </c>
      <c r="I825" s="19">
        <v>2903</v>
      </c>
      <c r="J825" s="19" t="s">
        <v>4552</v>
      </c>
    </row>
    <row r="826" spans="1:10" x14ac:dyDescent="0.2">
      <c r="A826" s="3">
        <v>3462</v>
      </c>
      <c r="B826" s="3" t="s">
        <v>877</v>
      </c>
      <c r="C826" s="3" t="s">
        <v>876</v>
      </c>
      <c r="D826" s="3" t="s">
        <v>309</v>
      </c>
      <c r="E826" s="3" t="str">
        <v>Niedergösgen</v>
      </c>
      <c r="I826" s="19">
        <v>2904</v>
      </c>
      <c r="J826" s="19" t="s">
        <v>4552</v>
      </c>
    </row>
    <row r="827" spans="1:10" x14ac:dyDescent="0.2">
      <c r="A827" s="3">
        <v>3463</v>
      </c>
      <c r="B827" s="3" t="s">
        <v>878</v>
      </c>
      <c r="C827" s="3" t="s">
        <v>876</v>
      </c>
      <c r="D827" s="3" t="s">
        <v>309</v>
      </c>
      <c r="E827" s="3" t="str">
        <v>Obergösgen</v>
      </c>
      <c r="I827" s="19">
        <v>2905</v>
      </c>
      <c r="J827" s="19" t="s">
        <v>4552</v>
      </c>
    </row>
    <row r="828" spans="1:10" x14ac:dyDescent="0.2">
      <c r="A828" s="3">
        <v>3465</v>
      </c>
      <c r="B828" s="3" t="s">
        <v>879</v>
      </c>
      <c r="C828" s="3" t="s">
        <v>879</v>
      </c>
      <c r="D828" s="3" t="s">
        <v>309</v>
      </c>
      <c r="E828" s="3" t="str">
        <v>Stüsslingen</v>
      </c>
      <c r="I828" s="19">
        <v>2906</v>
      </c>
      <c r="J828" s="19" t="s">
        <v>4552</v>
      </c>
    </row>
    <row r="829" spans="1:10" x14ac:dyDescent="0.2">
      <c r="A829" s="3">
        <v>4952</v>
      </c>
      <c r="B829" s="3" t="s">
        <v>880</v>
      </c>
      <c r="C829" s="3" t="s">
        <v>880</v>
      </c>
      <c r="D829" s="3" t="s">
        <v>309</v>
      </c>
      <c r="E829" s="3" t="str">
        <v>Trimbach</v>
      </c>
      <c r="I829" s="19">
        <v>2907</v>
      </c>
      <c r="J829" s="19" t="s">
        <v>4552</v>
      </c>
    </row>
    <row r="830" spans="1:10" x14ac:dyDescent="0.2">
      <c r="A830" s="3">
        <v>4950</v>
      </c>
      <c r="B830" s="3" t="s">
        <v>881</v>
      </c>
      <c r="C830" s="3" t="s">
        <v>881</v>
      </c>
      <c r="D830" s="3" t="s">
        <v>309</v>
      </c>
      <c r="E830" s="3" t="str">
        <v>Winznau</v>
      </c>
      <c r="I830" s="19">
        <v>2908</v>
      </c>
      <c r="J830" s="19" t="s">
        <v>4552</v>
      </c>
    </row>
    <row r="831" spans="1:10" x14ac:dyDescent="0.2">
      <c r="A831" s="3">
        <v>4953</v>
      </c>
      <c r="B831" s="3" t="s">
        <v>882</v>
      </c>
      <c r="C831" s="3" t="s">
        <v>881</v>
      </c>
      <c r="D831" s="3" t="s">
        <v>309</v>
      </c>
      <c r="E831" s="3" t="str">
        <v>Wisen (SO)</v>
      </c>
      <c r="I831" s="19">
        <v>2912</v>
      </c>
      <c r="J831" s="19" t="s">
        <v>4552</v>
      </c>
    </row>
    <row r="832" spans="1:10" x14ac:dyDescent="0.2">
      <c r="A832" s="3">
        <v>3432</v>
      </c>
      <c r="B832" s="3" t="s">
        <v>883</v>
      </c>
      <c r="C832" s="3" t="s">
        <v>884</v>
      </c>
      <c r="D832" s="3" t="s">
        <v>309</v>
      </c>
      <c r="E832" s="3" t="str">
        <v>Erlinsbach (SO)</v>
      </c>
      <c r="I832" s="19">
        <v>2914</v>
      </c>
      <c r="J832" s="19" t="s">
        <v>4552</v>
      </c>
    </row>
    <row r="833" spans="1:10" x14ac:dyDescent="0.2">
      <c r="A833" s="3">
        <v>3435</v>
      </c>
      <c r="B833" s="3" t="s">
        <v>885</v>
      </c>
      <c r="C833" s="3" t="s">
        <v>884</v>
      </c>
      <c r="D833" s="3" t="s">
        <v>309</v>
      </c>
      <c r="E833" s="3" t="str">
        <v>Aeschi (SO)</v>
      </c>
      <c r="I833" s="19">
        <v>2915</v>
      </c>
      <c r="J833" s="19" t="s">
        <v>4552</v>
      </c>
    </row>
    <row r="834" spans="1:10" x14ac:dyDescent="0.2">
      <c r="A834" s="3">
        <v>3439</v>
      </c>
      <c r="B834" s="3" t="s">
        <v>886</v>
      </c>
      <c r="C834" s="3" t="s">
        <v>884</v>
      </c>
      <c r="D834" s="3" t="s">
        <v>309</v>
      </c>
      <c r="E834" s="3" t="str">
        <v>Biberist</v>
      </c>
      <c r="I834" s="19">
        <v>2916</v>
      </c>
      <c r="J834" s="19" t="s">
        <v>4552</v>
      </c>
    </row>
    <row r="835" spans="1:10" x14ac:dyDescent="0.2">
      <c r="A835" s="3">
        <v>3452</v>
      </c>
      <c r="B835" s="3" t="s">
        <v>887</v>
      </c>
      <c r="C835" s="3" t="s">
        <v>884</v>
      </c>
      <c r="D835" s="3" t="s">
        <v>309</v>
      </c>
      <c r="E835" s="3" t="str">
        <v>Bolken</v>
      </c>
      <c r="I835" s="19">
        <v>2922</v>
      </c>
      <c r="J835" s="19" t="s">
        <v>4552</v>
      </c>
    </row>
    <row r="836" spans="1:10" x14ac:dyDescent="0.2">
      <c r="A836" s="3">
        <v>3415</v>
      </c>
      <c r="B836" s="3" t="s">
        <v>888</v>
      </c>
      <c r="C836" s="3" t="s">
        <v>889</v>
      </c>
      <c r="D836" s="3" t="s">
        <v>309</v>
      </c>
      <c r="E836" s="3" t="str">
        <v>Deitingen</v>
      </c>
      <c r="I836" s="19">
        <v>2923</v>
      </c>
      <c r="J836" s="19" t="s">
        <v>4552</v>
      </c>
    </row>
    <row r="837" spans="1:10" x14ac:dyDescent="0.2">
      <c r="A837" s="3">
        <v>3417</v>
      </c>
      <c r="B837" s="3" t="s">
        <v>889</v>
      </c>
      <c r="C837" s="3" t="s">
        <v>889</v>
      </c>
      <c r="D837" s="3" t="s">
        <v>309</v>
      </c>
      <c r="E837" s="3" t="str">
        <v>Derendingen</v>
      </c>
      <c r="I837" s="19">
        <v>2924</v>
      </c>
      <c r="J837" s="19" t="s">
        <v>4552</v>
      </c>
    </row>
    <row r="838" spans="1:10" x14ac:dyDescent="0.2">
      <c r="A838" s="3">
        <v>3418</v>
      </c>
      <c r="B838" s="3" t="s">
        <v>890</v>
      </c>
      <c r="C838" s="3" t="s">
        <v>889</v>
      </c>
      <c r="D838" s="3" t="s">
        <v>309</v>
      </c>
      <c r="E838" s="3" t="str">
        <v>Etziken</v>
      </c>
      <c r="I838" s="19">
        <v>2925</v>
      </c>
      <c r="J838" s="19" t="s">
        <v>4552</v>
      </c>
    </row>
    <row r="839" spans="1:10" x14ac:dyDescent="0.2">
      <c r="A839" s="3">
        <v>3454</v>
      </c>
      <c r="B839" s="3" t="s">
        <v>891</v>
      </c>
      <c r="C839" s="3" t="s">
        <v>891</v>
      </c>
      <c r="D839" s="3" t="s">
        <v>309</v>
      </c>
      <c r="E839" s="3" t="str">
        <v>Gerlafingen</v>
      </c>
      <c r="I839" s="19">
        <v>2926</v>
      </c>
      <c r="J839" s="19" t="s">
        <v>4552</v>
      </c>
    </row>
    <row r="840" spans="1:10" x14ac:dyDescent="0.2">
      <c r="A840" s="3">
        <v>3455</v>
      </c>
      <c r="B840" s="3" t="s">
        <v>892</v>
      </c>
      <c r="C840" s="3" t="s">
        <v>891</v>
      </c>
      <c r="D840" s="3" t="s">
        <v>309</v>
      </c>
      <c r="E840" s="3" t="str">
        <v>Halten</v>
      </c>
      <c r="I840" s="19">
        <v>2932</v>
      </c>
      <c r="J840" s="19" t="s">
        <v>4552</v>
      </c>
    </row>
    <row r="841" spans="1:10" x14ac:dyDescent="0.2">
      <c r="A841" s="3">
        <v>3457</v>
      </c>
      <c r="B841" s="3" t="s">
        <v>893</v>
      </c>
      <c r="C841" s="3" t="s">
        <v>891</v>
      </c>
      <c r="D841" s="3" t="s">
        <v>309</v>
      </c>
      <c r="E841" s="3" t="str">
        <v>Horriwil</v>
      </c>
      <c r="I841" s="19">
        <v>2933</v>
      </c>
      <c r="J841" s="19" t="s">
        <v>4552</v>
      </c>
    </row>
    <row r="842" spans="1:10" x14ac:dyDescent="0.2">
      <c r="A842" s="3">
        <v>3453</v>
      </c>
      <c r="B842" s="3" t="s">
        <v>894</v>
      </c>
      <c r="C842" s="3" t="s">
        <v>895</v>
      </c>
      <c r="D842" s="3" t="s">
        <v>309</v>
      </c>
      <c r="E842" s="3" t="str">
        <v>Hüniken</v>
      </c>
      <c r="I842" s="19">
        <v>2935</v>
      </c>
      <c r="J842" s="19" t="s">
        <v>4552</v>
      </c>
    </row>
    <row r="843" spans="1:10" x14ac:dyDescent="0.2">
      <c r="A843" s="3">
        <v>3456</v>
      </c>
      <c r="B843" s="3" t="s">
        <v>895</v>
      </c>
      <c r="C843" s="3" t="s">
        <v>895</v>
      </c>
      <c r="D843" s="3" t="s">
        <v>309</v>
      </c>
      <c r="E843" s="3" t="str">
        <v>Kriegstetten</v>
      </c>
      <c r="I843" s="19">
        <v>2942</v>
      </c>
      <c r="J843" s="19" t="s">
        <v>4552</v>
      </c>
    </row>
    <row r="844" spans="1:10" x14ac:dyDescent="0.2">
      <c r="A844" s="3">
        <v>3464</v>
      </c>
      <c r="B844" s="3" t="s">
        <v>896</v>
      </c>
      <c r="C844" s="3" t="s">
        <v>897</v>
      </c>
      <c r="D844" s="3" t="s">
        <v>309</v>
      </c>
      <c r="E844" s="3" t="str">
        <v>Lohn-Ammannsegg</v>
      </c>
      <c r="I844" s="19">
        <v>2943</v>
      </c>
      <c r="J844" s="19" t="s">
        <v>4552</v>
      </c>
    </row>
    <row r="845" spans="1:10" x14ac:dyDescent="0.2">
      <c r="A845" s="3">
        <v>4942</v>
      </c>
      <c r="B845" s="3" t="s">
        <v>898</v>
      </c>
      <c r="C845" s="3" t="s">
        <v>897</v>
      </c>
      <c r="D845" s="3" t="s">
        <v>309</v>
      </c>
      <c r="E845" s="3" t="str">
        <v>Luterbach</v>
      </c>
      <c r="I845" s="19">
        <v>2944</v>
      </c>
      <c r="J845" s="19" t="s">
        <v>4552</v>
      </c>
    </row>
    <row r="846" spans="1:10" x14ac:dyDescent="0.2">
      <c r="A846" s="3">
        <v>4954</v>
      </c>
      <c r="B846" s="3" t="s">
        <v>899</v>
      </c>
      <c r="C846" s="3" t="s">
        <v>899</v>
      </c>
      <c r="D846" s="3" t="s">
        <v>309</v>
      </c>
      <c r="E846" s="3" t="str">
        <v>Obergerlafingen</v>
      </c>
      <c r="I846" s="19">
        <v>2946</v>
      </c>
      <c r="J846" s="19" t="s">
        <v>4552</v>
      </c>
    </row>
    <row r="847" spans="1:10" x14ac:dyDescent="0.2">
      <c r="A847" s="3">
        <v>4536</v>
      </c>
      <c r="B847" s="3" t="s">
        <v>900</v>
      </c>
      <c r="C847" s="3" t="s">
        <v>900</v>
      </c>
      <c r="D847" s="3" t="s">
        <v>309</v>
      </c>
      <c r="E847" s="3" t="str">
        <v>Oekingen</v>
      </c>
      <c r="I847" s="19">
        <v>2947</v>
      </c>
      <c r="J847" s="19" t="s">
        <v>4552</v>
      </c>
    </row>
    <row r="848" spans="1:10" x14ac:dyDescent="0.2">
      <c r="A848" s="3">
        <v>3376</v>
      </c>
      <c r="B848" s="3" t="s">
        <v>901</v>
      </c>
      <c r="C848" s="3" t="s">
        <v>901</v>
      </c>
      <c r="D848" s="3" t="s">
        <v>309</v>
      </c>
      <c r="E848" s="3" t="str">
        <v>Recherswil</v>
      </c>
      <c r="I848" s="19">
        <v>2950</v>
      </c>
      <c r="J848" s="19" t="s">
        <v>4552</v>
      </c>
    </row>
    <row r="849" spans="1:10" x14ac:dyDescent="0.2">
      <c r="A849" s="3">
        <v>3366</v>
      </c>
      <c r="B849" s="3" t="s">
        <v>902</v>
      </c>
      <c r="C849" s="3" t="s">
        <v>902</v>
      </c>
      <c r="D849" s="3" t="s">
        <v>309</v>
      </c>
      <c r="E849" s="3" t="str">
        <v>Subingen</v>
      </c>
      <c r="I849" s="19">
        <v>2952</v>
      </c>
      <c r="J849" s="19" t="s">
        <v>4552</v>
      </c>
    </row>
    <row r="850" spans="1:10" x14ac:dyDescent="0.2">
      <c r="A850" s="3">
        <v>3366</v>
      </c>
      <c r="B850" s="3" t="s">
        <v>903</v>
      </c>
      <c r="C850" s="3" t="s">
        <v>902</v>
      </c>
      <c r="D850" s="3" t="s">
        <v>309</v>
      </c>
      <c r="E850" s="3" t="str">
        <v>Zuchwil</v>
      </c>
      <c r="I850" s="19">
        <v>2953</v>
      </c>
      <c r="J850" s="19" t="s">
        <v>4552</v>
      </c>
    </row>
    <row r="851" spans="1:10" x14ac:dyDescent="0.2">
      <c r="A851" s="3">
        <v>4539</v>
      </c>
      <c r="B851" s="3" t="s">
        <v>904</v>
      </c>
      <c r="C851" s="3" t="s">
        <v>904</v>
      </c>
      <c r="D851" s="3" t="s">
        <v>309</v>
      </c>
      <c r="E851" s="3" t="str">
        <v>Drei Höfe</v>
      </c>
      <c r="I851" s="19">
        <v>2954</v>
      </c>
      <c r="J851" s="19" t="s">
        <v>4552</v>
      </c>
    </row>
    <row r="852" spans="1:10" x14ac:dyDescent="0.2">
      <c r="A852" s="3">
        <v>3376</v>
      </c>
      <c r="B852" s="3" t="s">
        <v>905</v>
      </c>
      <c r="C852" s="3" t="s">
        <v>905</v>
      </c>
      <c r="D852" s="3" t="s">
        <v>309</v>
      </c>
      <c r="E852" s="3" t="str">
        <v>Balm bei Günsberg</v>
      </c>
      <c r="I852" s="19">
        <v>3004</v>
      </c>
      <c r="J852" s="19" t="s">
        <v>4546</v>
      </c>
    </row>
    <row r="853" spans="1:10" x14ac:dyDescent="0.2">
      <c r="A853" s="3">
        <v>3372</v>
      </c>
      <c r="B853" s="3" t="s">
        <v>906</v>
      </c>
      <c r="C853" s="3" t="s">
        <v>907</v>
      </c>
      <c r="D853" s="3" t="s">
        <v>309</v>
      </c>
      <c r="E853" s="3" t="str">
        <v>Bellach</v>
      </c>
      <c r="I853" s="19">
        <v>3005</v>
      </c>
      <c r="J853" s="19" t="s">
        <v>4546</v>
      </c>
    </row>
    <row r="854" spans="1:10" x14ac:dyDescent="0.2">
      <c r="A854" s="3">
        <v>3373</v>
      </c>
      <c r="B854" s="3" t="s">
        <v>908</v>
      </c>
      <c r="C854" s="3" t="s">
        <v>907</v>
      </c>
      <c r="D854" s="3" t="s">
        <v>309</v>
      </c>
      <c r="E854" s="3" t="str">
        <v>Bettlach</v>
      </c>
      <c r="I854" s="19">
        <v>3006</v>
      </c>
      <c r="J854" s="19" t="s">
        <v>4546</v>
      </c>
    </row>
    <row r="855" spans="1:10" x14ac:dyDescent="0.2">
      <c r="A855" s="3">
        <v>3373</v>
      </c>
      <c r="B855" s="3" t="s">
        <v>907</v>
      </c>
      <c r="C855" s="3" t="s">
        <v>907</v>
      </c>
      <c r="D855" s="3" t="s">
        <v>309</v>
      </c>
      <c r="E855" s="3" t="str">
        <v>Feldbrunnen-St. Niklaus</v>
      </c>
      <c r="I855" s="19">
        <v>3007</v>
      </c>
      <c r="J855" s="19" t="s">
        <v>4546</v>
      </c>
    </row>
    <row r="856" spans="1:10" x14ac:dyDescent="0.2">
      <c r="A856" s="3">
        <v>3360</v>
      </c>
      <c r="B856" s="3" t="s">
        <v>909</v>
      </c>
      <c r="C856" s="3" t="s">
        <v>909</v>
      </c>
      <c r="D856" s="3" t="s">
        <v>309</v>
      </c>
      <c r="E856" s="3" t="str">
        <v>Flumenthal</v>
      </c>
      <c r="I856" s="19">
        <v>3008</v>
      </c>
      <c r="J856" s="19" t="s">
        <v>4546</v>
      </c>
    </row>
    <row r="857" spans="1:10" x14ac:dyDescent="0.2">
      <c r="A857" s="3">
        <v>3363</v>
      </c>
      <c r="B857" s="3" t="s">
        <v>910</v>
      </c>
      <c r="C857" s="3" t="s">
        <v>909</v>
      </c>
      <c r="D857" s="3" t="s">
        <v>309</v>
      </c>
      <c r="E857" s="3" t="str">
        <v>Grenchen</v>
      </c>
      <c r="I857" s="19">
        <v>3010</v>
      </c>
      <c r="J857" s="19" t="s">
        <v>4546</v>
      </c>
    </row>
    <row r="858" spans="1:10" x14ac:dyDescent="0.2">
      <c r="A858" s="3">
        <v>3375</v>
      </c>
      <c r="B858" s="3" t="s">
        <v>911</v>
      </c>
      <c r="C858" s="3" t="s">
        <v>911</v>
      </c>
      <c r="D858" s="3" t="s">
        <v>309</v>
      </c>
      <c r="E858" s="3" t="str">
        <v>Günsberg</v>
      </c>
      <c r="I858" s="19">
        <v>3011</v>
      </c>
      <c r="J858" s="19" t="s">
        <v>4546</v>
      </c>
    </row>
    <row r="859" spans="1:10" x14ac:dyDescent="0.2">
      <c r="A859" s="3">
        <v>4704</v>
      </c>
      <c r="B859" s="3" t="s">
        <v>912</v>
      </c>
      <c r="C859" s="3" t="s">
        <v>912</v>
      </c>
      <c r="D859" s="3" t="s">
        <v>309</v>
      </c>
      <c r="E859" s="3" t="str">
        <v>Hubersdorf</v>
      </c>
      <c r="I859" s="19">
        <v>3012</v>
      </c>
      <c r="J859" s="19" t="s">
        <v>4546</v>
      </c>
    </row>
    <row r="860" spans="1:10" x14ac:dyDescent="0.2">
      <c r="A860" s="3">
        <v>4704</v>
      </c>
      <c r="B860" s="3" t="s">
        <v>913</v>
      </c>
      <c r="C860" s="3" t="s">
        <v>912</v>
      </c>
      <c r="D860" s="3" t="s">
        <v>309</v>
      </c>
      <c r="E860" s="3" t="str">
        <v>Kammersrohr</v>
      </c>
      <c r="I860" s="19">
        <v>3013</v>
      </c>
      <c r="J860" s="19" t="s">
        <v>4546</v>
      </c>
    </row>
    <row r="861" spans="1:10" x14ac:dyDescent="0.2">
      <c r="A861" s="3">
        <v>3362</v>
      </c>
      <c r="B861" s="3" t="s">
        <v>914</v>
      </c>
      <c r="C861" s="3" t="s">
        <v>914</v>
      </c>
      <c r="D861" s="3" t="s">
        <v>309</v>
      </c>
      <c r="E861" s="3" t="str">
        <v>Langendorf</v>
      </c>
      <c r="I861" s="19">
        <v>3014</v>
      </c>
      <c r="J861" s="19" t="s">
        <v>4546</v>
      </c>
    </row>
    <row r="862" spans="1:10" x14ac:dyDescent="0.2">
      <c r="A862" s="3">
        <v>4538</v>
      </c>
      <c r="B862" s="3" t="s">
        <v>915</v>
      </c>
      <c r="C862" s="3" t="s">
        <v>915</v>
      </c>
      <c r="D862" s="3" t="s">
        <v>309</v>
      </c>
      <c r="E862" s="3" t="str">
        <v>Lommiswil</v>
      </c>
      <c r="I862" s="19">
        <v>3015</v>
      </c>
      <c r="J862" s="19" t="s">
        <v>4546</v>
      </c>
    </row>
    <row r="863" spans="1:10" x14ac:dyDescent="0.2">
      <c r="A863" s="3">
        <v>3367</v>
      </c>
      <c r="B863" s="3" t="s">
        <v>916</v>
      </c>
      <c r="C863" s="3" t="s">
        <v>916</v>
      </c>
      <c r="D863" s="3" t="s">
        <v>309</v>
      </c>
      <c r="E863" s="3" t="str">
        <v>Oberdorf (SO)</v>
      </c>
      <c r="I863" s="19">
        <v>3018</v>
      </c>
      <c r="J863" s="19" t="s">
        <v>4546</v>
      </c>
    </row>
    <row r="864" spans="1:10" x14ac:dyDescent="0.2">
      <c r="A864" s="3">
        <v>3476</v>
      </c>
      <c r="B864" s="3" t="s">
        <v>917</v>
      </c>
      <c r="C864" s="3" t="s">
        <v>916</v>
      </c>
      <c r="D864" s="3" t="s">
        <v>309</v>
      </c>
      <c r="E864" s="3" t="str">
        <v>Riedholz</v>
      </c>
      <c r="I864" s="19">
        <v>3019</v>
      </c>
      <c r="J864" s="19" t="s">
        <v>4546</v>
      </c>
    </row>
    <row r="865" spans="1:10" x14ac:dyDescent="0.2">
      <c r="A865" s="3">
        <v>4539</v>
      </c>
      <c r="B865" s="3" t="s">
        <v>918</v>
      </c>
      <c r="C865" s="3" t="s">
        <v>918</v>
      </c>
      <c r="D865" s="3" t="s">
        <v>309</v>
      </c>
      <c r="E865" s="3" t="str">
        <v>Rüttenen</v>
      </c>
      <c r="I865" s="19">
        <v>3020</v>
      </c>
      <c r="J865" s="19" t="s">
        <v>4546</v>
      </c>
    </row>
    <row r="866" spans="1:10" x14ac:dyDescent="0.2">
      <c r="A866" s="3">
        <v>3365</v>
      </c>
      <c r="B866" s="3" t="s">
        <v>919</v>
      </c>
      <c r="C866" s="3" t="s">
        <v>920</v>
      </c>
      <c r="D866" s="3" t="s">
        <v>309</v>
      </c>
      <c r="E866" s="3" t="str">
        <v>Selzach</v>
      </c>
      <c r="I866" s="19">
        <v>3027</v>
      </c>
      <c r="J866" s="19" t="s">
        <v>4546</v>
      </c>
    </row>
    <row r="867" spans="1:10" x14ac:dyDescent="0.2">
      <c r="A867" s="3">
        <v>3365</v>
      </c>
      <c r="B867" s="3" t="s">
        <v>920</v>
      </c>
      <c r="C867" s="3" t="s">
        <v>920</v>
      </c>
      <c r="D867" s="3" t="s">
        <v>309</v>
      </c>
      <c r="E867" s="3" t="str">
        <v>Boningen</v>
      </c>
      <c r="I867" s="19">
        <v>3032</v>
      </c>
      <c r="J867" s="19" t="s">
        <v>4546</v>
      </c>
    </row>
    <row r="868" spans="1:10" x14ac:dyDescent="0.2">
      <c r="A868" s="3">
        <v>3475</v>
      </c>
      <c r="B868" s="3" t="s">
        <v>921</v>
      </c>
      <c r="C868" s="3" t="s">
        <v>920</v>
      </c>
      <c r="D868" s="3" t="s">
        <v>309</v>
      </c>
      <c r="E868" s="3" t="str">
        <v>Däniken</v>
      </c>
      <c r="I868" s="19">
        <v>3033</v>
      </c>
      <c r="J868" s="19" t="s">
        <v>4546</v>
      </c>
    </row>
    <row r="869" spans="1:10" x14ac:dyDescent="0.2">
      <c r="A869" s="3">
        <v>3475</v>
      </c>
      <c r="B869" s="3" t="s">
        <v>922</v>
      </c>
      <c r="C869" s="3" t="s">
        <v>920</v>
      </c>
      <c r="D869" s="3" t="s">
        <v>309</v>
      </c>
      <c r="E869" s="3" t="str">
        <v>Dulliken</v>
      </c>
      <c r="I869" s="19">
        <v>3034</v>
      </c>
      <c r="J869" s="19" t="s">
        <v>4546</v>
      </c>
    </row>
    <row r="870" spans="1:10" x14ac:dyDescent="0.2">
      <c r="A870" s="3">
        <v>3367</v>
      </c>
      <c r="B870" s="3" t="s">
        <v>923</v>
      </c>
      <c r="C870" s="3" t="s">
        <v>923</v>
      </c>
      <c r="D870" s="3" t="s">
        <v>309</v>
      </c>
      <c r="E870" s="3" t="str">
        <v>Eppenberg-Wöschnau</v>
      </c>
      <c r="I870" s="19">
        <v>3035</v>
      </c>
      <c r="J870" s="19" t="s">
        <v>4546</v>
      </c>
    </row>
    <row r="871" spans="1:10" x14ac:dyDescent="0.2">
      <c r="A871" s="3">
        <v>3380</v>
      </c>
      <c r="B871" s="3" t="s">
        <v>924</v>
      </c>
      <c r="C871" s="3" t="s">
        <v>925</v>
      </c>
      <c r="D871" s="3" t="s">
        <v>309</v>
      </c>
      <c r="E871" s="3" t="str">
        <v>Fulenbach</v>
      </c>
      <c r="I871" s="19">
        <v>3036</v>
      </c>
      <c r="J871" s="19" t="s">
        <v>4546</v>
      </c>
    </row>
    <row r="872" spans="1:10" x14ac:dyDescent="0.2">
      <c r="A872" s="3">
        <v>3377</v>
      </c>
      <c r="B872" s="3" t="s">
        <v>926</v>
      </c>
      <c r="C872" s="3" t="s">
        <v>927</v>
      </c>
      <c r="D872" s="3" t="s">
        <v>309</v>
      </c>
      <c r="E872" s="3" t="str">
        <v>Gretzenbach</v>
      </c>
      <c r="I872" s="19">
        <v>3037</v>
      </c>
      <c r="J872" s="19" t="s">
        <v>4546</v>
      </c>
    </row>
    <row r="873" spans="1:10" x14ac:dyDescent="0.2">
      <c r="A873" s="3">
        <v>3380</v>
      </c>
      <c r="B873" s="3" t="s">
        <v>928</v>
      </c>
      <c r="C873" s="3" t="s">
        <v>928</v>
      </c>
      <c r="D873" s="3" t="s">
        <v>309</v>
      </c>
      <c r="E873" s="3" t="str">
        <v>Gunzgen</v>
      </c>
      <c r="I873" s="19">
        <v>3038</v>
      </c>
      <c r="J873" s="19" t="s">
        <v>4546</v>
      </c>
    </row>
    <row r="874" spans="1:10" x14ac:dyDescent="0.2">
      <c r="A874" s="3">
        <v>3374</v>
      </c>
      <c r="B874" s="3" t="s">
        <v>929</v>
      </c>
      <c r="C874" s="3" t="s">
        <v>929</v>
      </c>
      <c r="D874" s="3" t="s">
        <v>309</v>
      </c>
      <c r="E874" s="3" t="str">
        <v>Hägendorf</v>
      </c>
      <c r="I874" s="19">
        <v>3042</v>
      </c>
      <c r="J874" s="19" t="s">
        <v>4546</v>
      </c>
    </row>
    <row r="875" spans="1:10" x14ac:dyDescent="0.2">
      <c r="A875" s="3">
        <v>4537</v>
      </c>
      <c r="B875" s="3" t="s">
        <v>930</v>
      </c>
      <c r="C875" s="3" t="s">
        <v>930</v>
      </c>
      <c r="D875" s="3" t="s">
        <v>309</v>
      </c>
      <c r="E875" s="3" t="str">
        <v>Kappel (SO)</v>
      </c>
      <c r="I875" s="19">
        <v>3043</v>
      </c>
      <c r="J875" s="19" t="s">
        <v>4546</v>
      </c>
    </row>
    <row r="876" spans="1:10" x14ac:dyDescent="0.2">
      <c r="A876" s="3">
        <v>6112</v>
      </c>
      <c r="B876" s="3" t="s">
        <v>931</v>
      </c>
      <c r="C876" s="3" t="s">
        <v>931</v>
      </c>
      <c r="D876" s="3" t="s">
        <v>932</v>
      </c>
      <c r="E876" s="3" t="str">
        <v>Olten</v>
      </c>
      <c r="I876" s="19">
        <v>3044</v>
      </c>
      <c r="J876" s="19" t="s">
        <v>4546</v>
      </c>
    </row>
    <row r="877" spans="1:10" x14ac:dyDescent="0.2">
      <c r="A877" s="3">
        <v>6162</v>
      </c>
      <c r="B877" s="3" t="s">
        <v>933</v>
      </c>
      <c r="C877" s="3" t="s">
        <v>933</v>
      </c>
      <c r="D877" s="3" t="s">
        <v>932</v>
      </c>
      <c r="E877" s="3" t="str">
        <v>Rickenbach (SO)</v>
      </c>
      <c r="I877" s="19">
        <v>3045</v>
      </c>
      <c r="J877" s="19" t="s">
        <v>4546</v>
      </c>
    </row>
    <row r="878" spans="1:10" x14ac:dyDescent="0.2">
      <c r="A878" s="3">
        <v>6162</v>
      </c>
      <c r="B878" s="3" t="s">
        <v>934</v>
      </c>
      <c r="C878" s="3" t="s">
        <v>933</v>
      </c>
      <c r="D878" s="3" t="s">
        <v>932</v>
      </c>
      <c r="E878" s="3" t="str">
        <v>Schönenwerd</v>
      </c>
      <c r="I878" s="19">
        <v>3046</v>
      </c>
      <c r="J878" s="19" t="s">
        <v>4546</v>
      </c>
    </row>
    <row r="879" spans="1:10" x14ac:dyDescent="0.2">
      <c r="A879" s="3">
        <v>6162</v>
      </c>
      <c r="B879" s="3" t="s">
        <v>935</v>
      </c>
      <c r="C879" s="3" t="s">
        <v>933</v>
      </c>
      <c r="D879" s="3" t="s">
        <v>932</v>
      </c>
      <c r="E879" s="3" t="str">
        <v>Starrkirch-Wil</v>
      </c>
      <c r="I879" s="19">
        <v>3047</v>
      </c>
      <c r="J879" s="19" t="s">
        <v>4546</v>
      </c>
    </row>
    <row r="880" spans="1:10" x14ac:dyDescent="0.2">
      <c r="A880" s="3">
        <v>6163</v>
      </c>
      <c r="B880" s="3" t="s">
        <v>936</v>
      </c>
      <c r="C880" s="3" t="s">
        <v>933</v>
      </c>
      <c r="D880" s="3" t="s">
        <v>932</v>
      </c>
      <c r="E880" s="3" t="str">
        <v>Walterswil (SO)</v>
      </c>
      <c r="I880" s="19">
        <v>3048</v>
      </c>
      <c r="J880" s="19" t="s">
        <v>4546</v>
      </c>
    </row>
    <row r="881" spans="1:10" x14ac:dyDescent="0.2">
      <c r="A881" s="3">
        <v>6173</v>
      </c>
      <c r="B881" s="3" t="s">
        <v>937</v>
      </c>
      <c r="C881" s="3" t="s">
        <v>938</v>
      </c>
      <c r="D881" s="3" t="s">
        <v>932</v>
      </c>
      <c r="E881" s="3" t="str">
        <v>Wangen bei Olten</v>
      </c>
      <c r="I881" s="19">
        <v>3049</v>
      </c>
      <c r="J881" s="19" t="s">
        <v>4546</v>
      </c>
    </row>
    <row r="882" spans="1:10" x14ac:dyDescent="0.2">
      <c r="A882" s="3">
        <v>6174</v>
      </c>
      <c r="B882" s="3" t="s">
        <v>939</v>
      </c>
      <c r="C882" s="3" t="s">
        <v>938</v>
      </c>
      <c r="D882" s="3" t="s">
        <v>932</v>
      </c>
      <c r="E882" s="3" t="str">
        <v>Solothurn</v>
      </c>
      <c r="I882" s="19">
        <v>3052</v>
      </c>
      <c r="J882" s="19" t="s">
        <v>4546</v>
      </c>
    </row>
    <row r="883" spans="1:10" x14ac:dyDescent="0.2">
      <c r="A883" s="3">
        <v>6166</v>
      </c>
      <c r="B883" s="3" t="s">
        <v>940</v>
      </c>
      <c r="C883" s="3" t="s">
        <v>941</v>
      </c>
      <c r="D883" s="3" t="s">
        <v>932</v>
      </c>
      <c r="E883" s="3" t="str">
        <v>Bärschwil</v>
      </c>
      <c r="I883" s="19">
        <v>3053</v>
      </c>
      <c r="J883" s="19" t="s">
        <v>4546</v>
      </c>
    </row>
    <row r="884" spans="1:10" x14ac:dyDescent="0.2">
      <c r="A884" s="3">
        <v>6110</v>
      </c>
      <c r="B884" s="3" t="s">
        <v>942</v>
      </c>
      <c r="C884" s="3" t="s">
        <v>943</v>
      </c>
      <c r="D884" s="3" t="s">
        <v>932</v>
      </c>
      <c r="E884" s="3" t="str">
        <v>Beinwil (SO)</v>
      </c>
      <c r="I884" s="19">
        <v>3054</v>
      </c>
      <c r="J884" s="19" t="s">
        <v>4546</v>
      </c>
    </row>
    <row r="885" spans="1:10" x14ac:dyDescent="0.2">
      <c r="A885" s="3">
        <v>6113</v>
      </c>
      <c r="B885" s="3" t="s">
        <v>943</v>
      </c>
      <c r="C885" s="3" t="s">
        <v>943</v>
      </c>
      <c r="D885" s="3" t="s">
        <v>932</v>
      </c>
      <c r="E885" s="3" t="str">
        <v>Breitenbach</v>
      </c>
      <c r="I885" s="19">
        <v>3063</v>
      </c>
      <c r="J885" s="19" t="s">
        <v>4546</v>
      </c>
    </row>
    <row r="886" spans="1:10" x14ac:dyDescent="0.2">
      <c r="A886" s="3">
        <v>6167</v>
      </c>
      <c r="B886" s="3" t="s">
        <v>944</v>
      </c>
      <c r="C886" s="3" t="s">
        <v>943</v>
      </c>
      <c r="D886" s="3" t="s">
        <v>932</v>
      </c>
      <c r="E886" s="3" t="str">
        <v>Büsserach</v>
      </c>
      <c r="I886" s="19">
        <v>3065</v>
      </c>
      <c r="J886" s="19" t="s">
        <v>4546</v>
      </c>
    </row>
    <row r="887" spans="1:10" x14ac:dyDescent="0.2">
      <c r="A887" s="3">
        <v>6170</v>
      </c>
      <c r="B887" s="3" t="s">
        <v>945</v>
      </c>
      <c r="C887" s="3" t="s">
        <v>945</v>
      </c>
      <c r="D887" s="3" t="s">
        <v>932</v>
      </c>
      <c r="E887" s="3" t="str">
        <v>Erschwil</v>
      </c>
      <c r="I887" s="19">
        <v>3066</v>
      </c>
      <c r="J887" s="19" t="s">
        <v>4546</v>
      </c>
    </row>
    <row r="888" spans="1:10" x14ac:dyDescent="0.2">
      <c r="A888" s="3">
        <v>6105</v>
      </c>
      <c r="B888" s="3" t="s">
        <v>946</v>
      </c>
      <c r="C888" s="3" t="s">
        <v>947</v>
      </c>
      <c r="D888" s="3" t="s">
        <v>932</v>
      </c>
      <c r="E888" s="3" t="str">
        <v>Fehren</v>
      </c>
      <c r="I888" s="19">
        <v>3067</v>
      </c>
      <c r="J888" s="19" t="s">
        <v>4546</v>
      </c>
    </row>
    <row r="889" spans="1:10" x14ac:dyDescent="0.2">
      <c r="A889" s="3">
        <v>6106</v>
      </c>
      <c r="B889" s="3" t="s">
        <v>947</v>
      </c>
      <c r="C889" s="3" t="s">
        <v>947</v>
      </c>
      <c r="D889" s="3" t="s">
        <v>932</v>
      </c>
      <c r="E889" s="3" t="str">
        <v>Grindel</v>
      </c>
      <c r="I889" s="19">
        <v>3068</v>
      </c>
      <c r="J889" s="19" t="s">
        <v>4546</v>
      </c>
    </row>
    <row r="890" spans="1:10" x14ac:dyDescent="0.2">
      <c r="A890" s="3">
        <v>6182</v>
      </c>
      <c r="B890" s="3" t="s">
        <v>948</v>
      </c>
      <c r="C890" s="3" t="s">
        <v>949</v>
      </c>
      <c r="D890" s="3" t="s">
        <v>932</v>
      </c>
      <c r="E890" s="3" t="str">
        <v>Himmelried</v>
      </c>
      <c r="I890" s="19">
        <v>3072</v>
      </c>
      <c r="J890" s="19" t="s">
        <v>4546</v>
      </c>
    </row>
    <row r="891" spans="1:10" x14ac:dyDescent="0.2">
      <c r="A891" s="3">
        <v>6192</v>
      </c>
      <c r="B891" s="3" t="s">
        <v>950</v>
      </c>
      <c r="C891" s="3" t="s">
        <v>949</v>
      </c>
      <c r="D891" s="3" t="s">
        <v>932</v>
      </c>
      <c r="E891" s="3" t="str">
        <v>Kleinlützel</v>
      </c>
      <c r="I891" s="19">
        <v>3073</v>
      </c>
      <c r="J891" s="19" t="s">
        <v>4546</v>
      </c>
    </row>
    <row r="892" spans="1:10" x14ac:dyDescent="0.2">
      <c r="A892" s="3">
        <v>6196</v>
      </c>
      <c r="B892" s="3" t="s">
        <v>951</v>
      </c>
      <c r="C892" s="3" t="s">
        <v>949</v>
      </c>
      <c r="D892" s="3" t="s">
        <v>932</v>
      </c>
      <c r="E892" s="3" t="str">
        <v>Meltingen</v>
      </c>
      <c r="I892" s="19">
        <v>3074</v>
      </c>
      <c r="J892" s="19" t="s">
        <v>4546</v>
      </c>
    </row>
    <row r="893" spans="1:10" x14ac:dyDescent="0.2">
      <c r="A893" s="3">
        <v>6287</v>
      </c>
      <c r="B893" s="3" t="s">
        <v>952</v>
      </c>
      <c r="C893" s="3" t="s">
        <v>953</v>
      </c>
      <c r="D893" s="3" t="s">
        <v>932</v>
      </c>
      <c r="E893" s="3" t="str">
        <v>Nunningen</v>
      </c>
      <c r="I893" s="19">
        <v>3075</v>
      </c>
      <c r="J893" s="19" t="s">
        <v>4546</v>
      </c>
    </row>
    <row r="894" spans="1:10" x14ac:dyDescent="0.2">
      <c r="A894" s="3">
        <v>6275</v>
      </c>
      <c r="B894" s="3" t="s">
        <v>954</v>
      </c>
      <c r="C894" s="3" t="s">
        <v>954</v>
      </c>
      <c r="D894" s="3" t="s">
        <v>932</v>
      </c>
      <c r="E894" s="3" t="str">
        <v>Zullwil</v>
      </c>
      <c r="I894" s="19">
        <v>3076</v>
      </c>
      <c r="J894" s="19" t="s">
        <v>4546</v>
      </c>
    </row>
    <row r="895" spans="1:10" x14ac:dyDescent="0.2">
      <c r="A895" s="3">
        <v>6020</v>
      </c>
      <c r="B895" s="3" t="s">
        <v>955</v>
      </c>
      <c r="C895" s="3" t="s">
        <v>956</v>
      </c>
      <c r="D895" s="3" t="s">
        <v>932</v>
      </c>
      <c r="E895" s="3" t="str">
        <v>Basel</v>
      </c>
      <c r="I895" s="19">
        <v>3077</v>
      </c>
      <c r="J895" s="19" t="s">
        <v>4546</v>
      </c>
    </row>
    <row r="896" spans="1:10" x14ac:dyDescent="0.2">
      <c r="A896" s="3">
        <v>6032</v>
      </c>
      <c r="B896" s="3" t="s">
        <v>956</v>
      </c>
      <c r="C896" s="3" t="s">
        <v>956</v>
      </c>
      <c r="D896" s="3" t="s">
        <v>932</v>
      </c>
      <c r="E896" s="3" t="str">
        <v>Bettingen</v>
      </c>
      <c r="I896" s="19">
        <v>3078</v>
      </c>
      <c r="J896" s="19" t="s">
        <v>4546</v>
      </c>
    </row>
    <row r="897" spans="1:10" x14ac:dyDescent="0.2">
      <c r="A897" s="3">
        <v>6294</v>
      </c>
      <c r="B897" s="3" t="s">
        <v>957</v>
      </c>
      <c r="C897" s="3" t="s">
        <v>957</v>
      </c>
      <c r="D897" s="3" t="s">
        <v>932</v>
      </c>
      <c r="E897" s="3" t="str">
        <v>Riehen</v>
      </c>
      <c r="I897" s="19">
        <v>3082</v>
      </c>
      <c r="J897" s="19" t="s">
        <v>4546</v>
      </c>
    </row>
    <row r="898" spans="1:10" x14ac:dyDescent="0.2">
      <c r="A898" s="3">
        <v>6274</v>
      </c>
      <c r="B898" s="3" t="s">
        <v>958</v>
      </c>
      <c r="C898" s="3" t="s">
        <v>959</v>
      </c>
      <c r="D898" s="3" t="s">
        <v>932</v>
      </c>
      <c r="E898" s="3" t="str">
        <v>Aesch (BL)</v>
      </c>
      <c r="I898" s="19">
        <v>3083</v>
      </c>
      <c r="J898" s="19" t="s">
        <v>4546</v>
      </c>
    </row>
    <row r="899" spans="1:10" x14ac:dyDescent="0.2">
      <c r="A899" s="3">
        <v>6284</v>
      </c>
      <c r="B899" s="3" t="s">
        <v>960</v>
      </c>
      <c r="C899" s="3" t="s">
        <v>961</v>
      </c>
      <c r="D899" s="3" t="s">
        <v>932</v>
      </c>
      <c r="E899" s="3" t="str">
        <v>Allschwil</v>
      </c>
      <c r="I899" s="19">
        <v>3084</v>
      </c>
      <c r="J899" s="19" t="s">
        <v>4546</v>
      </c>
    </row>
    <row r="900" spans="1:10" x14ac:dyDescent="0.2">
      <c r="A900" s="3">
        <v>6284</v>
      </c>
      <c r="B900" s="3" t="s">
        <v>962</v>
      </c>
      <c r="C900" s="3" t="s">
        <v>961</v>
      </c>
      <c r="D900" s="3" t="s">
        <v>932</v>
      </c>
      <c r="E900" s="3" t="str">
        <v>Arlesheim</v>
      </c>
      <c r="I900" s="19">
        <v>3086</v>
      </c>
      <c r="J900" s="19" t="s">
        <v>4546</v>
      </c>
    </row>
    <row r="901" spans="1:10" x14ac:dyDescent="0.2">
      <c r="A901" s="3">
        <v>6285</v>
      </c>
      <c r="B901" s="3" t="s">
        <v>961</v>
      </c>
      <c r="C901" s="3" t="s">
        <v>961</v>
      </c>
      <c r="D901" s="3" t="s">
        <v>932</v>
      </c>
      <c r="E901" s="3" t="str">
        <v>Biel-Benken</v>
      </c>
      <c r="I901" s="19">
        <v>3087</v>
      </c>
      <c r="J901" s="19" t="s">
        <v>4546</v>
      </c>
    </row>
    <row r="902" spans="1:10" x14ac:dyDescent="0.2">
      <c r="A902" s="3">
        <v>6285</v>
      </c>
      <c r="B902" s="3" t="s">
        <v>963</v>
      </c>
      <c r="C902" s="3" t="s">
        <v>961</v>
      </c>
      <c r="D902" s="3" t="s">
        <v>932</v>
      </c>
      <c r="E902" s="3" t="str">
        <v>Binningen</v>
      </c>
      <c r="I902" s="19">
        <v>3088</v>
      </c>
      <c r="J902" s="19" t="s">
        <v>4553</v>
      </c>
    </row>
    <row r="903" spans="1:10" x14ac:dyDescent="0.2">
      <c r="A903" s="3">
        <v>6286</v>
      </c>
      <c r="B903" s="3" t="s">
        <v>964</v>
      </c>
      <c r="C903" s="3" t="s">
        <v>961</v>
      </c>
      <c r="D903" s="3" t="s">
        <v>932</v>
      </c>
      <c r="E903" s="3" t="str">
        <v>Birsfelden</v>
      </c>
      <c r="I903" s="19">
        <v>3089</v>
      </c>
      <c r="J903" s="19" t="s">
        <v>4540</v>
      </c>
    </row>
    <row r="904" spans="1:10" x14ac:dyDescent="0.2">
      <c r="A904" s="3">
        <v>6289</v>
      </c>
      <c r="B904" s="3" t="s">
        <v>965</v>
      </c>
      <c r="C904" s="3" t="s">
        <v>961</v>
      </c>
      <c r="D904" s="3" t="s">
        <v>932</v>
      </c>
      <c r="E904" s="3" t="str">
        <v>Bottmingen</v>
      </c>
      <c r="I904" s="19">
        <v>3095</v>
      </c>
      <c r="J904" s="19" t="s">
        <v>4546</v>
      </c>
    </row>
    <row r="905" spans="1:10" x14ac:dyDescent="0.2">
      <c r="A905" s="3">
        <v>6289</v>
      </c>
      <c r="B905" s="3" t="s">
        <v>966</v>
      </c>
      <c r="C905" s="3" t="s">
        <v>961</v>
      </c>
      <c r="D905" s="3" t="s">
        <v>932</v>
      </c>
      <c r="E905" s="3" t="str">
        <v>Ettingen</v>
      </c>
      <c r="I905" s="19">
        <v>3096</v>
      </c>
      <c r="J905" s="19" t="s">
        <v>4546</v>
      </c>
    </row>
    <row r="906" spans="1:10" x14ac:dyDescent="0.2">
      <c r="A906" s="3">
        <v>6289</v>
      </c>
      <c r="B906" s="3" t="s">
        <v>966</v>
      </c>
      <c r="C906" s="3" t="s">
        <v>961</v>
      </c>
      <c r="D906" s="3" t="s">
        <v>932</v>
      </c>
      <c r="E906" s="3" t="str">
        <v>Münchenstein</v>
      </c>
      <c r="I906" s="19">
        <v>3097</v>
      </c>
      <c r="J906" s="19" t="s">
        <v>4546</v>
      </c>
    </row>
    <row r="907" spans="1:10" x14ac:dyDescent="0.2">
      <c r="A907" s="3">
        <v>6295</v>
      </c>
      <c r="B907" s="3" t="s">
        <v>967</v>
      </c>
      <c r="C907" s="3" t="s">
        <v>961</v>
      </c>
      <c r="D907" s="3" t="s">
        <v>932</v>
      </c>
      <c r="E907" s="3" t="str">
        <v>Muttenz</v>
      </c>
      <c r="I907" s="19">
        <v>3098</v>
      </c>
      <c r="J907" s="19" t="s">
        <v>4546</v>
      </c>
    </row>
    <row r="908" spans="1:10" x14ac:dyDescent="0.2">
      <c r="A908" s="3">
        <v>6280</v>
      </c>
      <c r="B908" s="3" t="s">
        <v>968</v>
      </c>
      <c r="C908" s="3" t="s">
        <v>968</v>
      </c>
      <c r="D908" s="3" t="s">
        <v>932</v>
      </c>
      <c r="E908" s="3" t="str">
        <v>Oberwil (BL)</v>
      </c>
      <c r="I908" s="19">
        <v>3099</v>
      </c>
      <c r="J908" s="19" t="s">
        <v>4553</v>
      </c>
    </row>
    <row r="909" spans="1:10" x14ac:dyDescent="0.2">
      <c r="A909" s="3">
        <v>6280</v>
      </c>
      <c r="B909" s="3" t="s">
        <v>969</v>
      </c>
      <c r="C909" s="3" t="s">
        <v>968</v>
      </c>
      <c r="D909" s="3" t="s">
        <v>932</v>
      </c>
      <c r="E909" s="3" t="str">
        <v>Pfeffingen</v>
      </c>
      <c r="I909" s="19">
        <v>3110</v>
      </c>
      <c r="J909" s="19" t="s">
        <v>4546</v>
      </c>
    </row>
    <row r="910" spans="1:10" x14ac:dyDescent="0.2">
      <c r="A910" s="3">
        <v>6283</v>
      </c>
      <c r="B910" s="3" t="s">
        <v>970</v>
      </c>
      <c r="C910" s="3" t="s">
        <v>968</v>
      </c>
      <c r="D910" s="3" t="s">
        <v>932</v>
      </c>
      <c r="E910" s="3" t="str">
        <v>Reinach (BL)</v>
      </c>
      <c r="I910" s="19">
        <v>3111</v>
      </c>
      <c r="J910" s="19" t="s">
        <v>4553</v>
      </c>
    </row>
    <row r="911" spans="1:10" x14ac:dyDescent="0.2">
      <c r="A911" s="3">
        <v>6276</v>
      </c>
      <c r="B911" s="3" t="s">
        <v>971</v>
      </c>
      <c r="C911" s="3" t="s">
        <v>971</v>
      </c>
      <c r="D911" s="3" t="s">
        <v>932</v>
      </c>
      <c r="E911" s="3" t="str">
        <v>Schönenbuch</v>
      </c>
      <c r="I911" s="19">
        <v>3112</v>
      </c>
      <c r="J911" s="19" t="s">
        <v>4546</v>
      </c>
    </row>
    <row r="912" spans="1:10" x14ac:dyDescent="0.2">
      <c r="A912" s="3">
        <v>6277</v>
      </c>
      <c r="B912" s="3" t="s">
        <v>972</v>
      </c>
      <c r="C912" s="3" t="s">
        <v>971</v>
      </c>
      <c r="D912" s="3" t="s">
        <v>932</v>
      </c>
      <c r="E912" s="3" t="str">
        <v>Therwil</v>
      </c>
      <c r="I912" s="19">
        <v>3113</v>
      </c>
      <c r="J912" s="19" t="s">
        <v>4546</v>
      </c>
    </row>
    <row r="913" spans="1:10" x14ac:dyDescent="0.2">
      <c r="A913" s="3">
        <v>6277</v>
      </c>
      <c r="B913" s="3" t="s">
        <v>973</v>
      </c>
      <c r="C913" s="3" t="s">
        <v>971</v>
      </c>
      <c r="D913" s="3" t="s">
        <v>932</v>
      </c>
      <c r="E913" s="3" t="str">
        <v>Blauen</v>
      </c>
      <c r="I913" s="19">
        <v>3114</v>
      </c>
      <c r="J913" s="19" t="s">
        <v>4553</v>
      </c>
    </row>
    <row r="914" spans="1:10" x14ac:dyDescent="0.2">
      <c r="A914" s="3">
        <v>6034</v>
      </c>
      <c r="B914" s="3" t="s">
        <v>974</v>
      </c>
      <c r="C914" s="3" t="s">
        <v>974</v>
      </c>
      <c r="D914" s="3" t="s">
        <v>932</v>
      </c>
      <c r="E914" s="3" t="str">
        <v>Brislach</v>
      </c>
      <c r="I914" s="19">
        <v>3115</v>
      </c>
      <c r="J914" s="19" t="s">
        <v>4553</v>
      </c>
    </row>
    <row r="915" spans="1:10" x14ac:dyDescent="0.2">
      <c r="A915" s="3">
        <v>6026</v>
      </c>
      <c r="B915" s="3" t="s">
        <v>975</v>
      </c>
      <c r="C915" s="3" t="s">
        <v>975</v>
      </c>
      <c r="D915" s="3" t="s">
        <v>932</v>
      </c>
      <c r="E915" s="3" t="str">
        <v>Burg im Leimental</v>
      </c>
      <c r="I915" s="19">
        <v>3116</v>
      </c>
      <c r="J915" s="19" t="s">
        <v>4553</v>
      </c>
    </row>
    <row r="916" spans="1:10" x14ac:dyDescent="0.2">
      <c r="A916" s="3">
        <v>6027</v>
      </c>
      <c r="B916" s="3" t="s">
        <v>976</v>
      </c>
      <c r="C916" s="3" t="s">
        <v>977</v>
      </c>
      <c r="D916" s="3" t="s">
        <v>932</v>
      </c>
      <c r="E916" s="3" t="str">
        <v>Dittingen</v>
      </c>
      <c r="I916" s="19">
        <v>3122</v>
      </c>
      <c r="J916" s="19" t="s">
        <v>4546</v>
      </c>
    </row>
    <row r="917" spans="1:10" x14ac:dyDescent="0.2">
      <c r="A917" s="3">
        <v>6028</v>
      </c>
      <c r="B917" s="3" t="s">
        <v>978</v>
      </c>
      <c r="C917" s="3" t="s">
        <v>977</v>
      </c>
      <c r="D917" s="3" t="s">
        <v>932</v>
      </c>
      <c r="E917" s="3" t="str">
        <v>Duggingen</v>
      </c>
      <c r="I917" s="19">
        <v>3123</v>
      </c>
      <c r="J917" s="19" t="s">
        <v>4546</v>
      </c>
    </row>
    <row r="918" spans="1:10" x14ac:dyDescent="0.2">
      <c r="A918" s="3">
        <v>6023</v>
      </c>
      <c r="B918" s="3" t="s">
        <v>979</v>
      </c>
      <c r="C918" s="3" t="s">
        <v>979</v>
      </c>
      <c r="D918" s="3" t="s">
        <v>932</v>
      </c>
      <c r="E918" s="3" t="str">
        <v>Grellingen</v>
      </c>
      <c r="I918" s="19">
        <v>3124</v>
      </c>
      <c r="J918" s="19" t="s">
        <v>4546</v>
      </c>
    </row>
    <row r="919" spans="1:10" x14ac:dyDescent="0.2">
      <c r="A919" s="3">
        <v>6288</v>
      </c>
      <c r="B919" s="3" t="s">
        <v>980</v>
      </c>
      <c r="C919" s="3" t="s">
        <v>980</v>
      </c>
      <c r="D919" s="3" t="s">
        <v>932</v>
      </c>
      <c r="E919" s="3" t="str">
        <v>Laufen</v>
      </c>
      <c r="I919" s="19">
        <v>3125</v>
      </c>
      <c r="J919" s="19" t="s">
        <v>4546</v>
      </c>
    </row>
    <row r="920" spans="1:10" x14ac:dyDescent="0.2">
      <c r="A920" s="3">
        <v>6043</v>
      </c>
      <c r="B920" s="3" t="s">
        <v>981</v>
      </c>
      <c r="C920" s="3" t="s">
        <v>981</v>
      </c>
      <c r="D920" s="3" t="s">
        <v>932</v>
      </c>
      <c r="E920" s="3" t="str">
        <v>Liesberg</v>
      </c>
      <c r="I920" s="19">
        <v>3126</v>
      </c>
      <c r="J920" s="19" t="s">
        <v>4553</v>
      </c>
    </row>
    <row r="921" spans="1:10" x14ac:dyDescent="0.2">
      <c r="A921" s="3">
        <v>6033</v>
      </c>
      <c r="B921" s="3" t="s">
        <v>982</v>
      </c>
      <c r="C921" s="3" t="s">
        <v>982</v>
      </c>
      <c r="D921" s="3" t="s">
        <v>932</v>
      </c>
      <c r="E921" s="3" t="str">
        <v>Nenzlingen</v>
      </c>
      <c r="I921" s="19">
        <v>3127</v>
      </c>
      <c r="J921" s="19" t="s">
        <v>4553</v>
      </c>
    </row>
    <row r="922" spans="1:10" x14ac:dyDescent="0.2">
      <c r="A922" s="3">
        <v>6035</v>
      </c>
      <c r="B922" s="3" t="s">
        <v>983</v>
      </c>
      <c r="C922" s="3" t="s">
        <v>982</v>
      </c>
      <c r="D922" s="3" t="s">
        <v>932</v>
      </c>
      <c r="E922" s="3" t="str">
        <v>Roggenburg</v>
      </c>
      <c r="I922" s="19">
        <v>3128</v>
      </c>
      <c r="J922" s="19" t="s">
        <v>4553</v>
      </c>
    </row>
    <row r="923" spans="1:10" x14ac:dyDescent="0.2">
      <c r="A923" s="3">
        <v>6036</v>
      </c>
      <c r="B923" s="3" t="s">
        <v>984</v>
      </c>
      <c r="C923" s="3" t="s">
        <v>984</v>
      </c>
      <c r="D923" s="3" t="s">
        <v>932</v>
      </c>
      <c r="E923" s="3" t="str">
        <v>Röschenz</v>
      </c>
      <c r="I923" s="19">
        <v>3132</v>
      </c>
      <c r="J923" s="19" t="s">
        <v>4553</v>
      </c>
    </row>
    <row r="924" spans="1:10" x14ac:dyDescent="0.2">
      <c r="A924" s="3">
        <v>6030</v>
      </c>
      <c r="B924" s="3" t="s">
        <v>985</v>
      </c>
      <c r="C924" s="3" t="s">
        <v>985</v>
      </c>
      <c r="D924" s="3" t="s">
        <v>932</v>
      </c>
      <c r="E924" s="3" t="str">
        <v>Wahlen</v>
      </c>
      <c r="I924" s="19">
        <v>3144</v>
      </c>
      <c r="J924" s="19" t="s">
        <v>4546</v>
      </c>
    </row>
    <row r="925" spans="1:10" x14ac:dyDescent="0.2">
      <c r="A925" s="3">
        <v>6038</v>
      </c>
      <c r="B925" s="3" t="s">
        <v>986</v>
      </c>
      <c r="C925" s="3" t="s">
        <v>986</v>
      </c>
      <c r="D925" s="3" t="s">
        <v>932</v>
      </c>
      <c r="E925" s="3" t="str">
        <v>Zwingen</v>
      </c>
      <c r="I925" s="19">
        <v>3145</v>
      </c>
      <c r="J925" s="19" t="s">
        <v>4546</v>
      </c>
    </row>
    <row r="926" spans="1:10" x14ac:dyDescent="0.2">
      <c r="A926" s="3">
        <v>6404</v>
      </c>
      <c r="B926" s="3" t="s">
        <v>987</v>
      </c>
      <c r="C926" s="3" t="s">
        <v>987</v>
      </c>
      <c r="D926" s="3" t="s">
        <v>932</v>
      </c>
      <c r="E926" s="3" t="str">
        <v>Arisdorf</v>
      </c>
      <c r="I926" s="19">
        <v>3147</v>
      </c>
      <c r="J926" s="19" t="s">
        <v>4546</v>
      </c>
    </row>
    <row r="927" spans="1:10" x14ac:dyDescent="0.2">
      <c r="A927" s="3">
        <v>6038</v>
      </c>
      <c r="B927" s="3" t="s">
        <v>988</v>
      </c>
      <c r="C927" s="3" t="s">
        <v>988</v>
      </c>
      <c r="D927" s="3" t="s">
        <v>932</v>
      </c>
      <c r="E927" s="3" t="str">
        <v>Augst</v>
      </c>
      <c r="I927" s="19">
        <v>3148</v>
      </c>
      <c r="J927" s="19" t="s">
        <v>4546</v>
      </c>
    </row>
    <row r="928" spans="1:10" x14ac:dyDescent="0.2">
      <c r="A928" s="3">
        <v>6005</v>
      </c>
      <c r="B928" s="3" t="s">
        <v>989</v>
      </c>
      <c r="C928" s="3" t="s">
        <v>990</v>
      </c>
      <c r="D928" s="3" t="s">
        <v>932</v>
      </c>
      <c r="E928" s="3" t="str">
        <v>Bubendorf</v>
      </c>
      <c r="I928" s="19">
        <v>3150</v>
      </c>
      <c r="J928" s="19" t="s">
        <v>4540</v>
      </c>
    </row>
    <row r="929" spans="1:10" x14ac:dyDescent="0.2">
      <c r="A929" s="3">
        <v>6047</v>
      </c>
      <c r="B929" s="3" t="s">
        <v>991</v>
      </c>
      <c r="C929" s="3" t="s">
        <v>990</v>
      </c>
      <c r="D929" s="3" t="s">
        <v>932</v>
      </c>
      <c r="E929" s="3" t="str">
        <v>Frenkendorf</v>
      </c>
      <c r="I929" s="19">
        <v>3152</v>
      </c>
      <c r="J929" s="19" t="s">
        <v>4540</v>
      </c>
    </row>
    <row r="930" spans="1:10" x14ac:dyDescent="0.2">
      <c r="A930" s="3">
        <v>6048</v>
      </c>
      <c r="B930" s="3" t="s">
        <v>990</v>
      </c>
      <c r="C930" s="3" t="s">
        <v>990</v>
      </c>
      <c r="D930" s="3" t="s">
        <v>932</v>
      </c>
      <c r="E930" s="3" t="str">
        <v>Füllinsdorf</v>
      </c>
      <c r="I930" s="19">
        <v>3153</v>
      </c>
      <c r="J930" s="19" t="s">
        <v>4540</v>
      </c>
    </row>
    <row r="931" spans="1:10" x14ac:dyDescent="0.2">
      <c r="A931" s="3">
        <v>6010</v>
      </c>
      <c r="B931" s="3" t="s">
        <v>992</v>
      </c>
      <c r="C931" s="3" t="s">
        <v>992</v>
      </c>
      <c r="D931" s="3" t="s">
        <v>932</v>
      </c>
      <c r="E931" s="3" t="str">
        <v>Giebenach</v>
      </c>
      <c r="I931" s="19">
        <v>3154</v>
      </c>
      <c r="J931" s="19" t="s">
        <v>4540</v>
      </c>
    </row>
    <row r="932" spans="1:10" x14ac:dyDescent="0.2">
      <c r="A932" s="3">
        <v>6012</v>
      </c>
      <c r="B932" s="3" t="s">
        <v>993</v>
      </c>
      <c r="C932" s="3" t="s">
        <v>992</v>
      </c>
      <c r="D932" s="3" t="s">
        <v>932</v>
      </c>
      <c r="E932" s="3" t="str">
        <v>Hersberg</v>
      </c>
      <c r="I932" s="19">
        <v>3155</v>
      </c>
      <c r="J932" s="19" t="s">
        <v>4540</v>
      </c>
    </row>
    <row r="933" spans="1:10" x14ac:dyDescent="0.2">
      <c r="A933" s="3">
        <v>6003</v>
      </c>
      <c r="B933" s="3" t="s">
        <v>994</v>
      </c>
      <c r="C933" s="3" t="s">
        <v>994</v>
      </c>
      <c r="D933" s="3" t="s">
        <v>932</v>
      </c>
      <c r="E933" s="3" t="str">
        <v>Lausen</v>
      </c>
      <c r="I933" s="19">
        <v>3156</v>
      </c>
      <c r="J933" s="19" t="s">
        <v>4540</v>
      </c>
    </row>
    <row r="934" spans="1:10" x14ac:dyDescent="0.2">
      <c r="A934" s="3">
        <v>6004</v>
      </c>
      <c r="B934" s="3" t="s">
        <v>994</v>
      </c>
      <c r="C934" s="3" t="s">
        <v>994</v>
      </c>
      <c r="D934" s="3" t="s">
        <v>932</v>
      </c>
      <c r="E934" s="3" t="str">
        <v>Liestal</v>
      </c>
      <c r="I934" s="19">
        <v>3157</v>
      </c>
      <c r="J934" s="19" t="s">
        <v>4540</v>
      </c>
    </row>
    <row r="935" spans="1:10" x14ac:dyDescent="0.2">
      <c r="A935" s="3">
        <v>6005</v>
      </c>
      <c r="B935" s="3" t="s">
        <v>994</v>
      </c>
      <c r="C935" s="3" t="s">
        <v>994</v>
      </c>
      <c r="D935" s="3" t="s">
        <v>932</v>
      </c>
      <c r="E935" s="3" t="str">
        <v>Lupsingen</v>
      </c>
      <c r="I935" s="19">
        <v>3158</v>
      </c>
      <c r="J935" s="19" t="s">
        <v>4540</v>
      </c>
    </row>
    <row r="936" spans="1:10" x14ac:dyDescent="0.2">
      <c r="A936" s="3">
        <v>6006</v>
      </c>
      <c r="B936" s="3" t="s">
        <v>994</v>
      </c>
      <c r="C936" s="3" t="s">
        <v>994</v>
      </c>
      <c r="D936" s="3" t="s">
        <v>932</v>
      </c>
      <c r="E936" s="3" t="str">
        <v>Pratteln</v>
      </c>
      <c r="I936" s="19">
        <v>3159</v>
      </c>
      <c r="J936" s="19" t="s">
        <v>4540</v>
      </c>
    </row>
    <row r="937" spans="1:10" x14ac:dyDescent="0.2">
      <c r="A937" s="3">
        <v>6014</v>
      </c>
      <c r="B937" s="3" t="s">
        <v>994</v>
      </c>
      <c r="C937" s="3" t="s">
        <v>994</v>
      </c>
      <c r="D937" s="3" t="s">
        <v>932</v>
      </c>
      <c r="E937" s="3" t="str">
        <v>Ramlinsburg</v>
      </c>
      <c r="I937" s="19">
        <v>3172</v>
      </c>
      <c r="J937" s="19" t="s">
        <v>4546</v>
      </c>
    </row>
    <row r="938" spans="1:10" x14ac:dyDescent="0.2">
      <c r="A938" s="3">
        <v>6015</v>
      </c>
      <c r="B938" s="3" t="s">
        <v>994</v>
      </c>
      <c r="C938" s="3" t="s">
        <v>994</v>
      </c>
      <c r="D938" s="3" t="s">
        <v>932</v>
      </c>
      <c r="E938" s="3" t="str">
        <v>Seltisberg</v>
      </c>
      <c r="I938" s="19">
        <v>3173</v>
      </c>
      <c r="J938" s="19" t="s">
        <v>4546</v>
      </c>
    </row>
    <row r="939" spans="1:10" x14ac:dyDescent="0.2">
      <c r="A939" s="3">
        <v>6102</v>
      </c>
      <c r="B939" s="3" t="s">
        <v>995</v>
      </c>
      <c r="C939" s="3" t="s">
        <v>995</v>
      </c>
      <c r="D939" s="3" t="s">
        <v>932</v>
      </c>
      <c r="E939" s="3" t="str">
        <v>Ziefen</v>
      </c>
      <c r="I939" s="19">
        <v>3174</v>
      </c>
      <c r="J939" s="19" t="s">
        <v>4546</v>
      </c>
    </row>
    <row r="940" spans="1:10" x14ac:dyDescent="0.2">
      <c r="A940" s="3">
        <v>6045</v>
      </c>
      <c r="B940" s="3" t="s">
        <v>996</v>
      </c>
      <c r="C940" s="3" t="s">
        <v>996</v>
      </c>
      <c r="D940" s="3" t="s">
        <v>932</v>
      </c>
      <c r="E940" s="3" t="str">
        <v>Anwil</v>
      </c>
      <c r="I940" s="19">
        <v>3175</v>
      </c>
      <c r="J940" s="19" t="s">
        <v>4546</v>
      </c>
    </row>
    <row r="941" spans="1:10" x14ac:dyDescent="0.2">
      <c r="A941" s="3">
        <v>6344</v>
      </c>
      <c r="B941" s="3" t="s">
        <v>997</v>
      </c>
      <c r="C941" s="3" t="s">
        <v>997</v>
      </c>
      <c r="D941" s="3" t="s">
        <v>932</v>
      </c>
      <c r="E941" s="3" t="str">
        <v>Böckten</v>
      </c>
      <c r="I941" s="19">
        <v>3176</v>
      </c>
      <c r="J941" s="19" t="s">
        <v>4546</v>
      </c>
    </row>
    <row r="942" spans="1:10" x14ac:dyDescent="0.2">
      <c r="A942" s="3">
        <v>6037</v>
      </c>
      <c r="B942" s="3" t="s">
        <v>998</v>
      </c>
      <c r="C942" s="3" t="s">
        <v>998</v>
      </c>
      <c r="D942" s="3" t="s">
        <v>932</v>
      </c>
      <c r="E942" s="3" t="str">
        <v>Buckten</v>
      </c>
      <c r="I942" s="19">
        <v>3177</v>
      </c>
      <c r="J942" s="19" t="s">
        <v>4543</v>
      </c>
    </row>
    <row r="943" spans="1:10" x14ac:dyDescent="0.2">
      <c r="A943" s="3">
        <v>6039</v>
      </c>
      <c r="B943" s="3" t="s">
        <v>999</v>
      </c>
      <c r="C943" s="3" t="s">
        <v>998</v>
      </c>
      <c r="D943" s="3" t="s">
        <v>932</v>
      </c>
      <c r="E943" s="3" t="str">
        <v>Buus</v>
      </c>
      <c r="I943" s="19">
        <v>3178</v>
      </c>
      <c r="J943" s="19" t="s">
        <v>4543</v>
      </c>
    </row>
    <row r="944" spans="1:10" x14ac:dyDescent="0.2">
      <c r="A944" s="3">
        <v>6013</v>
      </c>
      <c r="B944" s="3" t="s">
        <v>1000</v>
      </c>
      <c r="C944" s="3" t="s">
        <v>1001</v>
      </c>
      <c r="D944" s="3" t="s">
        <v>932</v>
      </c>
      <c r="E944" s="3" t="str">
        <v>Diepflingen</v>
      </c>
      <c r="I944" s="19">
        <v>3179</v>
      </c>
      <c r="J944" s="19" t="s">
        <v>4543</v>
      </c>
    </row>
    <row r="945" spans="1:10" x14ac:dyDescent="0.2">
      <c r="A945" s="3">
        <v>6103</v>
      </c>
      <c r="B945" s="3" t="s">
        <v>1002</v>
      </c>
      <c r="C945" s="3" t="s">
        <v>1001</v>
      </c>
      <c r="D945" s="3" t="s">
        <v>932</v>
      </c>
      <c r="E945" s="3" t="str">
        <v>Gelterkinden</v>
      </c>
      <c r="I945" s="19">
        <v>3182</v>
      </c>
      <c r="J945" s="19" t="s">
        <v>4546</v>
      </c>
    </row>
    <row r="946" spans="1:10" x14ac:dyDescent="0.2">
      <c r="A946" s="3">
        <v>6044</v>
      </c>
      <c r="B946" s="3" t="s">
        <v>1003</v>
      </c>
      <c r="C946" s="3" t="s">
        <v>1003</v>
      </c>
      <c r="D946" s="3" t="s">
        <v>932</v>
      </c>
      <c r="E946" s="3" t="str">
        <v>Häfelfingen</v>
      </c>
      <c r="I946" s="19">
        <v>3183</v>
      </c>
      <c r="J946" s="19" t="s">
        <v>4546</v>
      </c>
    </row>
    <row r="947" spans="1:10" x14ac:dyDescent="0.2">
      <c r="A947" s="3">
        <v>6354</v>
      </c>
      <c r="B947" s="3" t="s">
        <v>1004</v>
      </c>
      <c r="C947" s="3" t="s">
        <v>1004</v>
      </c>
      <c r="D947" s="3" t="s">
        <v>932</v>
      </c>
      <c r="E947" s="3" t="str">
        <v>Hemmiken</v>
      </c>
      <c r="I947" s="19">
        <v>3184</v>
      </c>
      <c r="J947" s="19" t="s">
        <v>4546</v>
      </c>
    </row>
    <row r="948" spans="1:10" x14ac:dyDescent="0.2">
      <c r="A948" s="3">
        <v>6353</v>
      </c>
      <c r="B948" s="3" t="s">
        <v>1005</v>
      </c>
      <c r="C948" s="3" t="s">
        <v>1005</v>
      </c>
      <c r="D948" s="3" t="s">
        <v>932</v>
      </c>
      <c r="E948" s="3" t="str">
        <v>Itingen</v>
      </c>
      <c r="I948" s="19">
        <v>3185</v>
      </c>
      <c r="J948" s="19" t="s">
        <v>4540</v>
      </c>
    </row>
    <row r="949" spans="1:10" x14ac:dyDescent="0.2">
      <c r="A949" s="3">
        <v>6356</v>
      </c>
      <c r="B949" s="3" t="s">
        <v>1006</v>
      </c>
      <c r="C949" s="3" t="s">
        <v>1005</v>
      </c>
      <c r="D949" s="3" t="s">
        <v>932</v>
      </c>
      <c r="E949" s="3" t="str">
        <v>Känerkinden</v>
      </c>
      <c r="I949" s="19">
        <v>3186</v>
      </c>
      <c r="J949" s="19" t="s">
        <v>4540</v>
      </c>
    </row>
    <row r="950" spans="1:10" x14ac:dyDescent="0.2">
      <c r="A950" s="3">
        <v>6025</v>
      </c>
      <c r="B950" s="3" t="s">
        <v>1007</v>
      </c>
      <c r="C950" s="3" t="s">
        <v>1008</v>
      </c>
      <c r="D950" s="3" t="s">
        <v>932</v>
      </c>
      <c r="E950" s="3" t="str">
        <v>Kilchberg (BL)</v>
      </c>
      <c r="I950" s="19">
        <v>3202</v>
      </c>
      <c r="J950" s="19" t="s">
        <v>4546</v>
      </c>
    </row>
    <row r="951" spans="1:10" x14ac:dyDescent="0.2">
      <c r="A951" s="3">
        <v>6215</v>
      </c>
      <c r="B951" s="3" t="s">
        <v>1008</v>
      </c>
      <c r="C951" s="3" t="s">
        <v>1008</v>
      </c>
      <c r="D951" s="3" t="s">
        <v>932</v>
      </c>
      <c r="E951" s="3" t="str">
        <v>Läufelfingen</v>
      </c>
      <c r="I951" s="19">
        <v>3203</v>
      </c>
      <c r="J951" s="19" t="s">
        <v>4546</v>
      </c>
    </row>
    <row r="952" spans="1:10" x14ac:dyDescent="0.2">
      <c r="A952" s="3">
        <v>6215</v>
      </c>
      <c r="B952" s="3" t="s">
        <v>1009</v>
      </c>
      <c r="C952" s="3" t="s">
        <v>1008</v>
      </c>
      <c r="D952" s="3" t="s">
        <v>932</v>
      </c>
      <c r="E952" s="3" t="str">
        <v>Maisprach</v>
      </c>
      <c r="I952" s="19">
        <v>3204</v>
      </c>
      <c r="J952" s="19" t="s">
        <v>4546</v>
      </c>
    </row>
    <row r="953" spans="1:10" x14ac:dyDescent="0.2">
      <c r="A953" s="3">
        <v>6222</v>
      </c>
      <c r="B953" s="3" t="s">
        <v>1010</v>
      </c>
      <c r="C953" s="3" t="s">
        <v>1008</v>
      </c>
      <c r="D953" s="3" t="s">
        <v>932</v>
      </c>
      <c r="E953" s="3" t="str">
        <v>Nusshof</v>
      </c>
      <c r="I953" s="19">
        <v>3205</v>
      </c>
      <c r="J953" s="19" t="s">
        <v>4546</v>
      </c>
    </row>
    <row r="954" spans="1:10" x14ac:dyDescent="0.2">
      <c r="A954" s="3">
        <v>6233</v>
      </c>
      <c r="B954" s="3" t="s">
        <v>1011</v>
      </c>
      <c r="C954" s="3" t="s">
        <v>1011</v>
      </c>
      <c r="D954" s="3" t="s">
        <v>932</v>
      </c>
      <c r="E954" s="3" t="str">
        <v>Oltingen</v>
      </c>
      <c r="I954" s="19">
        <v>3206</v>
      </c>
      <c r="J954" s="19" t="s">
        <v>4543</v>
      </c>
    </row>
    <row r="955" spans="1:10" x14ac:dyDescent="0.2">
      <c r="A955" s="3">
        <v>6018</v>
      </c>
      <c r="B955" s="3" t="s">
        <v>1012</v>
      </c>
      <c r="C955" s="3" t="s">
        <v>1012</v>
      </c>
      <c r="D955" s="3" t="s">
        <v>932</v>
      </c>
      <c r="E955" s="3" t="str">
        <v>Ormalingen</v>
      </c>
      <c r="I955" s="19">
        <v>3207</v>
      </c>
      <c r="J955" s="19" t="s">
        <v>4546</v>
      </c>
    </row>
    <row r="956" spans="1:10" x14ac:dyDescent="0.2">
      <c r="A956" s="3">
        <v>6205</v>
      </c>
      <c r="B956" s="3" t="s">
        <v>1013</v>
      </c>
      <c r="C956" s="3" t="s">
        <v>1013</v>
      </c>
      <c r="D956" s="3" t="s">
        <v>932</v>
      </c>
      <c r="E956" s="3" t="str">
        <v>Rickenbach (BL)</v>
      </c>
      <c r="I956" s="19">
        <v>3208</v>
      </c>
      <c r="J956" s="19" t="s">
        <v>4546</v>
      </c>
    </row>
    <row r="957" spans="1:10" x14ac:dyDescent="0.2">
      <c r="A957" s="3">
        <v>6232</v>
      </c>
      <c r="B957" s="3" t="s">
        <v>1014</v>
      </c>
      <c r="C957" s="3" t="s">
        <v>1014</v>
      </c>
      <c r="D957" s="3" t="s">
        <v>932</v>
      </c>
      <c r="E957" s="3" t="str">
        <v>Rothenfluh</v>
      </c>
      <c r="I957" s="19">
        <v>3210</v>
      </c>
      <c r="J957" s="19" t="s">
        <v>4546</v>
      </c>
    </row>
    <row r="958" spans="1:10" x14ac:dyDescent="0.2">
      <c r="A958" s="3">
        <v>6022</v>
      </c>
      <c r="B958" s="3" t="s">
        <v>1015</v>
      </c>
      <c r="C958" s="3" t="s">
        <v>1015</v>
      </c>
      <c r="D958" s="3" t="s">
        <v>932</v>
      </c>
      <c r="E958" s="3" t="str">
        <v>Rümlingen</v>
      </c>
      <c r="I958" s="19">
        <v>3212</v>
      </c>
      <c r="J958" s="19" t="s">
        <v>4543</v>
      </c>
    </row>
    <row r="959" spans="1:10" x14ac:dyDescent="0.2">
      <c r="A959" s="3">
        <v>6024</v>
      </c>
      <c r="B959" s="3" t="s">
        <v>1016</v>
      </c>
      <c r="C959" s="3" t="s">
        <v>1016</v>
      </c>
      <c r="D959" s="3" t="s">
        <v>932</v>
      </c>
      <c r="E959" s="3" t="str">
        <v>Rünenberg</v>
      </c>
      <c r="I959" s="19">
        <v>3213</v>
      </c>
      <c r="J959" s="19" t="s">
        <v>4543</v>
      </c>
    </row>
    <row r="960" spans="1:10" x14ac:dyDescent="0.2">
      <c r="A960" s="3">
        <v>6212</v>
      </c>
      <c r="B960" s="3" t="s">
        <v>1017</v>
      </c>
      <c r="C960" s="3" t="s">
        <v>1018</v>
      </c>
      <c r="D960" s="3" t="s">
        <v>932</v>
      </c>
      <c r="E960" s="3" t="str">
        <v>Sissach</v>
      </c>
      <c r="I960" s="19">
        <v>3214</v>
      </c>
      <c r="J960" s="19" t="s">
        <v>4543</v>
      </c>
    </row>
    <row r="961" spans="1:10" x14ac:dyDescent="0.2">
      <c r="A961" s="3">
        <v>6213</v>
      </c>
      <c r="B961" s="3" t="s">
        <v>1018</v>
      </c>
      <c r="C961" s="3" t="s">
        <v>1018</v>
      </c>
      <c r="D961" s="3" t="s">
        <v>932</v>
      </c>
      <c r="E961" s="3" t="str">
        <v>Tecknau</v>
      </c>
      <c r="I961" s="19">
        <v>3215</v>
      </c>
      <c r="J961" s="19" t="s">
        <v>4543</v>
      </c>
    </row>
    <row r="962" spans="1:10" x14ac:dyDescent="0.2">
      <c r="A962" s="3">
        <v>6212</v>
      </c>
      <c r="B962" s="3" t="s">
        <v>1019</v>
      </c>
      <c r="C962" s="3" t="s">
        <v>1020</v>
      </c>
      <c r="D962" s="3" t="s">
        <v>932</v>
      </c>
      <c r="E962" s="3" t="str">
        <v>Tenniken</v>
      </c>
      <c r="I962" s="19">
        <v>3216</v>
      </c>
      <c r="J962" s="19" t="s">
        <v>4543</v>
      </c>
    </row>
    <row r="963" spans="1:10" x14ac:dyDescent="0.2">
      <c r="A963" s="3">
        <v>6216</v>
      </c>
      <c r="B963" s="3" t="s">
        <v>1020</v>
      </c>
      <c r="C963" s="3" t="s">
        <v>1020</v>
      </c>
      <c r="D963" s="3" t="s">
        <v>932</v>
      </c>
      <c r="E963" s="3" t="str">
        <v>Thürnen</v>
      </c>
      <c r="I963" s="19">
        <v>3225</v>
      </c>
      <c r="J963" s="19" t="s">
        <v>4543</v>
      </c>
    </row>
    <row r="964" spans="1:10" x14ac:dyDescent="0.2">
      <c r="A964" s="3">
        <v>6016</v>
      </c>
      <c r="B964" s="3" t="s">
        <v>1021</v>
      </c>
      <c r="C964" s="3" t="s">
        <v>1022</v>
      </c>
      <c r="D964" s="3" t="s">
        <v>932</v>
      </c>
      <c r="E964" s="3" t="str">
        <v>Wenslingen</v>
      </c>
      <c r="I964" s="19">
        <v>3226</v>
      </c>
      <c r="J964" s="19" t="s">
        <v>4546</v>
      </c>
    </row>
    <row r="965" spans="1:10" x14ac:dyDescent="0.2">
      <c r="A965" s="3">
        <v>6203</v>
      </c>
      <c r="B965" s="3" t="s">
        <v>1023</v>
      </c>
      <c r="C965" s="3" t="s">
        <v>1022</v>
      </c>
      <c r="D965" s="3" t="s">
        <v>932</v>
      </c>
      <c r="E965" s="3" t="str">
        <v>Wintersingen</v>
      </c>
      <c r="I965" s="19">
        <v>3232</v>
      </c>
      <c r="J965" s="19" t="s">
        <v>4543</v>
      </c>
    </row>
    <row r="966" spans="1:10" x14ac:dyDescent="0.2">
      <c r="A966" s="3">
        <v>6206</v>
      </c>
      <c r="B966" s="3" t="s">
        <v>1022</v>
      </c>
      <c r="C966" s="3" t="s">
        <v>1022</v>
      </c>
      <c r="D966" s="3" t="s">
        <v>932</v>
      </c>
      <c r="E966" s="3" t="str">
        <v>Wittinsburg</v>
      </c>
      <c r="I966" s="19">
        <v>3233</v>
      </c>
      <c r="J966" s="19" t="s">
        <v>4543</v>
      </c>
    </row>
    <row r="967" spans="1:10" x14ac:dyDescent="0.2">
      <c r="A967" s="3">
        <v>6207</v>
      </c>
      <c r="B967" s="3" t="s">
        <v>1024</v>
      </c>
      <c r="C967" s="3" t="s">
        <v>1024</v>
      </c>
      <c r="D967" s="3" t="s">
        <v>932</v>
      </c>
      <c r="E967" s="3" t="str">
        <v>Zeglingen</v>
      </c>
      <c r="I967" s="19">
        <v>3234</v>
      </c>
      <c r="J967" s="19" t="s">
        <v>4546</v>
      </c>
    </row>
    <row r="968" spans="1:10" x14ac:dyDescent="0.2">
      <c r="A968" s="3">
        <v>6208</v>
      </c>
      <c r="B968" s="3" t="s">
        <v>1025</v>
      </c>
      <c r="C968" s="3" t="s">
        <v>1026</v>
      </c>
      <c r="D968" s="3" t="s">
        <v>932</v>
      </c>
      <c r="E968" s="3" t="str">
        <v>Zunzgen</v>
      </c>
      <c r="I968" s="19">
        <v>3235</v>
      </c>
      <c r="J968" s="19" t="s">
        <v>4546</v>
      </c>
    </row>
    <row r="969" spans="1:10" x14ac:dyDescent="0.2">
      <c r="A969" s="3">
        <v>5735</v>
      </c>
      <c r="B969" s="3" t="s">
        <v>1027</v>
      </c>
      <c r="C969" s="3" t="s">
        <v>1028</v>
      </c>
      <c r="D969" s="3" t="s">
        <v>932</v>
      </c>
      <c r="E969" s="3" t="str">
        <v>Arboldswil</v>
      </c>
      <c r="I969" s="19">
        <v>3236</v>
      </c>
      <c r="J969" s="19" t="s">
        <v>4543</v>
      </c>
    </row>
    <row r="970" spans="1:10" x14ac:dyDescent="0.2">
      <c r="A970" s="3">
        <v>6221</v>
      </c>
      <c r="B970" s="3" t="s">
        <v>1029</v>
      </c>
      <c r="C970" s="3" t="s">
        <v>1028</v>
      </c>
      <c r="D970" s="3" t="s">
        <v>932</v>
      </c>
      <c r="E970" s="3" t="str">
        <v>Bennwil</v>
      </c>
      <c r="I970" s="19">
        <v>3237</v>
      </c>
      <c r="J970" s="19" t="s">
        <v>4546</v>
      </c>
    </row>
    <row r="971" spans="1:10" x14ac:dyDescent="0.2">
      <c r="A971" s="3">
        <v>6017</v>
      </c>
      <c r="B971" s="3" t="s">
        <v>1030</v>
      </c>
      <c r="C971" s="3" t="s">
        <v>1030</v>
      </c>
      <c r="D971" s="3" t="s">
        <v>932</v>
      </c>
      <c r="E971" s="3" t="str">
        <v>Bretzwil</v>
      </c>
      <c r="I971" s="19">
        <v>3238</v>
      </c>
      <c r="J971" s="19" t="s">
        <v>4543</v>
      </c>
    </row>
    <row r="972" spans="1:10" x14ac:dyDescent="0.2">
      <c r="A972" s="3">
        <v>6019</v>
      </c>
      <c r="B972" s="3" t="s">
        <v>1031</v>
      </c>
      <c r="C972" s="3" t="s">
        <v>1030</v>
      </c>
      <c r="D972" s="3" t="s">
        <v>932</v>
      </c>
      <c r="E972" s="3" t="str">
        <v>Diegten</v>
      </c>
      <c r="I972" s="19">
        <v>3250</v>
      </c>
      <c r="J972" s="19" t="s">
        <v>4546</v>
      </c>
    </row>
    <row r="973" spans="1:10" x14ac:dyDescent="0.2">
      <c r="A973" s="3">
        <v>6214</v>
      </c>
      <c r="B973" s="3" t="s">
        <v>1032</v>
      </c>
      <c r="C973" s="3" t="s">
        <v>1032</v>
      </c>
      <c r="D973" s="3" t="s">
        <v>932</v>
      </c>
      <c r="E973" s="3" t="str">
        <v>Eptingen</v>
      </c>
      <c r="I973" s="19">
        <v>3251</v>
      </c>
      <c r="J973" s="19" t="s">
        <v>4546</v>
      </c>
    </row>
    <row r="974" spans="1:10" x14ac:dyDescent="0.2">
      <c r="A974" s="3">
        <v>6231</v>
      </c>
      <c r="B974" s="3" t="s">
        <v>1033</v>
      </c>
      <c r="C974" s="3" t="s">
        <v>1033</v>
      </c>
      <c r="D974" s="3" t="s">
        <v>932</v>
      </c>
      <c r="E974" s="3" t="str">
        <v>Hölstein</v>
      </c>
      <c r="I974" s="19">
        <v>3252</v>
      </c>
      <c r="J974" s="19" t="s">
        <v>4546</v>
      </c>
    </row>
    <row r="975" spans="1:10" x14ac:dyDescent="0.2">
      <c r="A975" s="3">
        <v>6204</v>
      </c>
      <c r="B975" s="3" t="s">
        <v>1034</v>
      </c>
      <c r="C975" s="3" t="s">
        <v>1034</v>
      </c>
      <c r="D975" s="3" t="s">
        <v>932</v>
      </c>
      <c r="E975" s="3" t="str">
        <v>Lampenberg</v>
      </c>
      <c r="I975" s="19">
        <v>3253</v>
      </c>
      <c r="J975" s="19" t="s">
        <v>4546</v>
      </c>
    </row>
    <row r="976" spans="1:10" x14ac:dyDescent="0.2">
      <c r="A976" s="3">
        <v>6210</v>
      </c>
      <c r="B976" s="3" t="s">
        <v>1035</v>
      </c>
      <c r="C976" s="3" t="s">
        <v>1035</v>
      </c>
      <c r="D976" s="3" t="s">
        <v>932</v>
      </c>
      <c r="E976" s="3" t="str">
        <v>Langenbruck</v>
      </c>
      <c r="I976" s="19">
        <v>3254</v>
      </c>
      <c r="J976" s="19" t="s">
        <v>4546</v>
      </c>
    </row>
    <row r="977" spans="1:10" x14ac:dyDescent="0.2">
      <c r="A977" s="3">
        <v>6234</v>
      </c>
      <c r="B977" s="3" t="s">
        <v>1036</v>
      </c>
      <c r="C977" s="3" t="s">
        <v>1036</v>
      </c>
      <c r="D977" s="3" t="s">
        <v>932</v>
      </c>
      <c r="E977" s="3" t="str">
        <v>Lauwil</v>
      </c>
      <c r="I977" s="19">
        <v>3255</v>
      </c>
      <c r="J977" s="19" t="s">
        <v>4546</v>
      </c>
    </row>
    <row r="978" spans="1:10" x14ac:dyDescent="0.2">
      <c r="A978" s="3">
        <v>6234</v>
      </c>
      <c r="B978" s="3" t="s">
        <v>1037</v>
      </c>
      <c r="C978" s="3" t="s">
        <v>1036</v>
      </c>
      <c r="D978" s="3" t="s">
        <v>932</v>
      </c>
      <c r="E978" s="3" t="str">
        <v>Liedertswil</v>
      </c>
      <c r="I978" s="19">
        <v>3256</v>
      </c>
      <c r="J978" s="19" t="s">
        <v>4546</v>
      </c>
    </row>
    <row r="979" spans="1:10" x14ac:dyDescent="0.2">
      <c r="A979" s="3">
        <v>6235</v>
      </c>
      <c r="B979" s="3" t="s">
        <v>1038</v>
      </c>
      <c r="C979" s="3" t="s">
        <v>1036</v>
      </c>
      <c r="D979" s="3" t="s">
        <v>932</v>
      </c>
      <c r="E979" s="3" t="str">
        <v>Niederdorf</v>
      </c>
      <c r="I979" s="19">
        <v>3257</v>
      </c>
      <c r="J979" s="19" t="s">
        <v>4546</v>
      </c>
    </row>
    <row r="980" spans="1:10" x14ac:dyDescent="0.2">
      <c r="A980" s="3">
        <v>6236</v>
      </c>
      <c r="B980" s="3" t="s">
        <v>1039</v>
      </c>
      <c r="C980" s="3" t="s">
        <v>1036</v>
      </c>
      <c r="D980" s="3" t="s">
        <v>932</v>
      </c>
      <c r="E980" s="3" t="str">
        <v>Oberdorf (BL)</v>
      </c>
      <c r="I980" s="19">
        <v>3262</v>
      </c>
      <c r="J980" s="19" t="s">
        <v>4546</v>
      </c>
    </row>
    <row r="981" spans="1:10" x14ac:dyDescent="0.2">
      <c r="A981" s="3">
        <v>6110</v>
      </c>
      <c r="B981" s="3" t="s">
        <v>1040</v>
      </c>
      <c r="C981" s="3" t="s">
        <v>1040</v>
      </c>
      <c r="D981" s="3" t="s">
        <v>932</v>
      </c>
      <c r="E981" s="3" t="str">
        <v>Reigoldswil</v>
      </c>
      <c r="I981" s="19">
        <v>3263</v>
      </c>
      <c r="J981" s="19" t="s">
        <v>4546</v>
      </c>
    </row>
    <row r="982" spans="1:10" x14ac:dyDescent="0.2">
      <c r="A982" s="3">
        <v>6114</v>
      </c>
      <c r="B982" s="3" t="s">
        <v>1041</v>
      </c>
      <c r="C982" s="3" t="s">
        <v>1040</v>
      </c>
      <c r="D982" s="3" t="s">
        <v>932</v>
      </c>
      <c r="E982" s="3" t="str">
        <v>Titterten</v>
      </c>
      <c r="I982" s="19">
        <v>3264</v>
      </c>
      <c r="J982" s="19" t="s">
        <v>4546</v>
      </c>
    </row>
    <row r="983" spans="1:10" x14ac:dyDescent="0.2">
      <c r="A983" s="3">
        <v>6248</v>
      </c>
      <c r="B983" s="3" t="s">
        <v>1042</v>
      </c>
      <c r="C983" s="3" t="s">
        <v>1042</v>
      </c>
      <c r="D983" s="3" t="s">
        <v>932</v>
      </c>
      <c r="E983" s="3" t="str">
        <v>Waldenburg</v>
      </c>
      <c r="I983" s="19">
        <v>3266</v>
      </c>
      <c r="J983" s="19" t="s">
        <v>4546</v>
      </c>
    </row>
    <row r="984" spans="1:10" x14ac:dyDescent="0.2">
      <c r="A984" s="3">
        <v>6147</v>
      </c>
      <c r="B984" s="3" t="s">
        <v>1043</v>
      </c>
      <c r="C984" s="3" t="s">
        <v>1043</v>
      </c>
      <c r="D984" s="3" t="s">
        <v>932</v>
      </c>
      <c r="E984" s="3" t="str">
        <v>Gächlingen</v>
      </c>
      <c r="I984" s="19">
        <v>3267</v>
      </c>
      <c r="J984" s="19" t="s">
        <v>4546</v>
      </c>
    </row>
    <row r="985" spans="1:10" x14ac:dyDescent="0.2">
      <c r="A985" s="3">
        <v>6245</v>
      </c>
      <c r="B985" s="3" t="s">
        <v>1044</v>
      </c>
      <c r="C985" s="3" t="s">
        <v>1045</v>
      </c>
      <c r="D985" s="3" t="s">
        <v>932</v>
      </c>
      <c r="E985" s="3" t="str">
        <v>Löhningen</v>
      </c>
      <c r="I985" s="19">
        <v>3268</v>
      </c>
      <c r="J985" s="19" t="s">
        <v>4546</v>
      </c>
    </row>
    <row r="986" spans="1:10" x14ac:dyDescent="0.2">
      <c r="A986" s="3">
        <v>6246</v>
      </c>
      <c r="B986" s="3" t="s">
        <v>1045</v>
      </c>
      <c r="C986" s="3" t="s">
        <v>1045</v>
      </c>
      <c r="D986" s="3" t="s">
        <v>932</v>
      </c>
      <c r="E986" s="3" t="str">
        <v>Neunkirch</v>
      </c>
      <c r="I986" s="19">
        <v>3270</v>
      </c>
      <c r="J986" s="19" t="s">
        <v>4546</v>
      </c>
    </row>
    <row r="987" spans="1:10" x14ac:dyDescent="0.2">
      <c r="A987" s="3">
        <v>6211</v>
      </c>
      <c r="B987" s="3" t="s">
        <v>1046</v>
      </c>
      <c r="C987" s="3" t="s">
        <v>1047</v>
      </c>
      <c r="D987" s="3" t="s">
        <v>932</v>
      </c>
      <c r="E987" s="3" t="str">
        <v>Büttenhardt</v>
      </c>
      <c r="I987" s="19">
        <v>3271</v>
      </c>
      <c r="J987" s="19" t="s">
        <v>4546</v>
      </c>
    </row>
    <row r="988" spans="1:10" x14ac:dyDescent="0.2">
      <c r="A988" s="3">
        <v>6252</v>
      </c>
      <c r="B988" s="3" t="s">
        <v>1047</v>
      </c>
      <c r="C988" s="3" t="s">
        <v>1047</v>
      </c>
      <c r="D988" s="3" t="s">
        <v>932</v>
      </c>
      <c r="E988" s="3" t="str">
        <v>Dörflingen</v>
      </c>
      <c r="I988" s="19">
        <v>3272</v>
      </c>
      <c r="J988" s="19" t="s">
        <v>4546</v>
      </c>
    </row>
    <row r="989" spans="1:10" x14ac:dyDescent="0.2">
      <c r="A989" s="3">
        <v>6253</v>
      </c>
      <c r="B989" s="3" t="s">
        <v>1048</v>
      </c>
      <c r="C989" s="3" t="s">
        <v>1047</v>
      </c>
      <c r="D989" s="3" t="s">
        <v>932</v>
      </c>
      <c r="E989" s="3" t="str">
        <v>Lohn (SH)</v>
      </c>
      <c r="I989" s="19">
        <v>3273</v>
      </c>
      <c r="J989" s="19" t="s">
        <v>4546</v>
      </c>
    </row>
    <row r="990" spans="1:10" x14ac:dyDescent="0.2">
      <c r="A990" s="3">
        <v>6243</v>
      </c>
      <c r="B990" s="3" t="s">
        <v>1049</v>
      </c>
      <c r="C990" s="3" t="s">
        <v>1049</v>
      </c>
      <c r="D990" s="3" t="s">
        <v>932</v>
      </c>
      <c r="E990" s="3" t="str">
        <v>Stetten (SH)</v>
      </c>
      <c r="I990" s="19">
        <v>3274</v>
      </c>
      <c r="J990" s="19" t="s">
        <v>4546</v>
      </c>
    </row>
    <row r="991" spans="1:10" x14ac:dyDescent="0.2">
      <c r="A991" s="3">
        <v>6217</v>
      </c>
      <c r="B991" s="3" t="s">
        <v>1050</v>
      </c>
      <c r="C991" s="3" t="s">
        <v>1051</v>
      </c>
      <c r="D991" s="3" t="s">
        <v>932</v>
      </c>
      <c r="E991" s="3" t="str">
        <v>Thayngen</v>
      </c>
      <c r="I991" s="19">
        <v>3280</v>
      </c>
      <c r="J991" s="19" t="s">
        <v>4543</v>
      </c>
    </row>
    <row r="992" spans="1:10" x14ac:dyDescent="0.2">
      <c r="A992" s="3">
        <v>6218</v>
      </c>
      <c r="B992" s="3" t="s">
        <v>1051</v>
      </c>
      <c r="C992" s="3" t="s">
        <v>1051</v>
      </c>
      <c r="D992" s="3" t="s">
        <v>932</v>
      </c>
      <c r="E992" s="3" t="str">
        <v>Bargen (SH)</v>
      </c>
      <c r="I992" s="19">
        <v>3282</v>
      </c>
      <c r="J992" s="19" t="s">
        <v>4546</v>
      </c>
    </row>
    <row r="993" spans="1:10" x14ac:dyDescent="0.2">
      <c r="A993" s="3">
        <v>6145</v>
      </c>
      <c r="B993" s="3" t="s">
        <v>1052</v>
      </c>
      <c r="C993" s="3" t="s">
        <v>1053</v>
      </c>
      <c r="D993" s="3" t="s">
        <v>932</v>
      </c>
      <c r="E993" s="3" t="str">
        <v>Beringen</v>
      </c>
      <c r="I993" s="19">
        <v>3283</v>
      </c>
      <c r="J993" s="19" t="s">
        <v>4546</v>
      </c>
    </row>
    <row r="994" spans="1:10" x14ac:dyDescent="0.2">
      <c r="A994" s="3">
        <v>6146</v>
      </c>
      <c r="B994" s="3" t="s">
        <v>1054</v>
      </c>
      <c r="C994" s="3" t="s">
        <v>1054</v>
      </c>
      <c r="D994" s="3" t="s">
        <v>932</v>
      </c>
      <c r="E994" s="3" t="str">
        <v>Buchberg</v>
      </c>
      <c r="I994" s="19">
        <v>3284</v>
      </c>
      <c r="J994" s="19" t="s">
        <v>4546</v>
      </c>
    </row>
    <row r="995" spans="1:10" x14ac:dyDescent="0.2">
      <c r="A995" s="3">
        <v>6133</v>
      </c>
      <c r="B995" s="3" t="s">
        <v>1055</v>
      </c>
      <c r="C995" s="3" t="s">
        <v>1056</v>
      </c>
      <c r="D995" s="3" t="s">
        <v>932</v>
      </c>
      <c r="E995" s="3" t="str">
        <v>Merishausen</v>
      </c>
      <c r="I995" s="19">
        <v>3285</v>
      </c>
      <c r="J995" s="19" t="s">
        <v>4543</v>
      </c>
    </row>
    <row r="996" spans="1:10" x14ac:dyDescent="0.2">
      <c r="A996" s="3">
        <v>6154</v>
      </c>
      <c r="B996" s="3" t="s">
        <v>1057</v>
      </c>
      <c r="C996" s="3" t="s">
        <v>1058</v>
      </c>
      <c r="D996" s="3" t="s">
        <v>932</v>
      </c>
      <c r="E996" s="3" t="str">
        <v>Neuhausen am Rheinfall</v>
      </c>
      <c r="I996" s="19">
        <v>3286</v>
      </c>
      <c r="J996" s="19" t="s">
        <v>4543</v>
      </c>
    </row>
    <row r="997" spans="1:10" x14ac:dyDescent="0.2">
      <c r="A997" s="3">
        <v>6156</v>
      </c>
      <c r="B997" s="3" t="s">
        <v>1058</v>
      </c>
      <c r="C997" s="3" t="s">
        <v>1058</v>
      </c>
      <c r="D997" s="3" t="s">
        <v>932</v>
      </c>
      <c r="E997" s="3" t="str">
        <v>Rüdlingen</v>
      </c>
      <c r="I997" s="19">
        <v>3292</v>
      </c>
      <c r="J997" s="19" t="s">
        <v>4546</v>
      </c>
    </row>
    <row r="998" spans="1:10" x14ac:dyDescent="0.2">
      <c r="A998" s="3">
        <v>6156</v>
      </c>
      <c r="B998" s="3" t="s">
        <v>1059</v>
      </c>
      <c r="C998" s="3" t="s">
        <v>1058</v>
      </c>
      <c r="D998" s="3" t="s">
        <v>932</v>
      </c>
      <c r="E998" s="3" t="str">
        <v>Schaffhausen</v>
      </c>
      <c r="I998" s="19">
        <v>3293</v>
      </c>
      <c r="J998" s="19" t="s">
        <v>4546</v>
      </c>
    </row>
    <row r="999" spans="1:10" x14ac:dyDescent="0.2">
      <c r="A999" s="3">
        <v>6122</v>
      </c>
      <c r="B999" s="3" t="s">
        <v>1060</v>
      </c>
      <c r="C999" s="3" t="s">
        <v>1060</v>
      </c>
      <c r="D999" s="3" t="s">
        <v>932</v>
      </c>
      <c r="E999" s="3" t="str">
        <v>Beggingen</v>
      </c>
      <c r="I999" s="19">
        <v>3294</v>
      </c>
      <c r="J999" s="19" t="s">
        <v>4546</v>
      </c>
    </row>
    <row r="1000" spans="1:10" x14ac:dyDescent="0.2">
      <c r="A1000" s="3">
        <v>6123</v>
      </c>
      <c r="B1000" s="3" t="s">
        <v>1061</v>
      </c>
      <c r="C1000" s="3" t="s">
        <v>1060</v>
      </c>
      <c r="D1000" s="3" t="s">
        <v>932</v>
      </c>
      <c r="E1000" s="3" t="str">
        <v>Schleitheim</v>
      </c>
      <c r="I1000" s="19">
        <v>3295</v>
      </c>
      <c r="J1000" s="19" t="s">
        <v>4546</v>
      </c>
    </row>
    <row r="1001" spans="1:10" x14ac:dyDescent="0.2">
      <c r="A1001" s="3">
        <v>6125</v>
      </c>
      <c r="B1001" s="3" t="s">
        <v>1062</v>
      </c>
      <c r="C1001" s="3" t="s">
        <v>1060</v>
      </c>
      <c r="D1001" s="3" t="s">
        <v>932</v>
      </c>
      <c r="E1001" s="3" t="str">
        <v>Siblingen</v>
      </c>
      <c r="I1001" s="19">
        <v>3296</v>
      </c>
      <c r="J1001" s="19" t="s">
        <v>4546</v>
      </c>
    </row>
    <row r="1002" spans="1:10" x14ac:dyDescent="0.2">
      <c r="A1002" s="3">
        <v>6244</v>
      </c>
      <c r="B1002" s="3" t="s">
        <v>1063</v>
      </c>
      <c r="C1002" s="3" t="s">
        <v>1063</v>
      </c>
      <c r="D1002" s="3" t="s">
        <v>932</v>
      </c>
      <c r="E1002" s="3" t="str">
        <v>Buch (SH)</v>
      </c>
      <c r="I1002" s="19">
        <v>3297</v>
      </c>
      <c r="J1002" s="19" t="s">
        <v>4546</v>
      </c>
    </row>
    <row r="1003" spans="1:10" x14ac:dyDescent="0.2">
      <c r="A1003" s="3">
        <v>4915</v>
      </c>
      <c r="B1003" s="3" t="s">
        <v>1064</v>
      </c>
      <c r="C1003" s="3" t="s">
        <v>1065</v>
      </c>
      <c r="D1003" s="3" t="s">
        <v>932</v>
      </c>
      <c r="E1003" s="3" t="str">
        <v>Hemishofen</v>
      </c>
      <c r="I1003" s="19">
        <v>3298</v>
      </c>
      <c r="J1003" s="19" t="s">
        <v>4546</v>
      </c>
    </row>
    <row r="1004" spans="1:10" x14ac:dyDescent="0.2">
      <c r="A1004" s="3">
        <v>6264</v>
      </c>
      <c r="B1004" s="3" t="s">
        <v>1065</v>
      </c>
      <c r="C1004" s="3" t="s">
        <v>1065</v>
      </c>
      <c r="D1004" s="3" t="s">
        <v>932</v>
      </c>
      <c r="E1004" s="3" t="str">
        <v>Ramsen</v>
      </c>
      <c r="I1004" s="19">
        <v>3302</v>
      </c>
      <c r="J1004" s="19" t="s">
        <v>4546</v>
      </c>
    </row>
    <row r="1005" spans="1:10" x14ac:dyDescent="0.2">
      <c r="A1005" s="3">
        <v>6260</v>
      </c>
      <c r="B1005" s="3" t="s">
        <v>1066</v>
      </c>
      <c r="C1005" s="3" t="s">
        <v>1066</v>
      </c>
      <c r="D1005" s="3" t="s">
        <v>932</v>
      </c>
      <c r="E1005" s="3" t="str">
        <v>Stein am Rhein</v>
      </c>
      <c r="I1005" s="19">
        <v>3303</v>
      </c>
      <c r="J1005" s="19" t="s">
        <v>4546</v>
      </c>
    </row>
    <row r="1006" spans="1:10" x14ac:dyDescent="0.2">
      <c r="A1006" s="3">
        <v>6260</v>
      </c>
      <c r="B1006" s="3" t="s">
        <v>1067</v>
      </c>
      <c r="C1006" s="3" t="s">
        <v>1066</v>
      </c>
      <c r="D1006" s="3" t="s">
        <v>932</v>
      </c>
      <c r="E1006" s="3" t="str">
        <v>Hallau</v>
      </c>
      <c r="I1006" s="19">
        <v>3305</v>
      </c>
      <c r="J1006" s="19" t="s">
        <v>4546</v>
      </c>
    </row>
    <row r="1007" spans="1:10" x14ac:dyDescent="0.2">
      <c r="A1007" s="3">
        <v>6260</v>
      </c>
      <c r="B1007" s="3" t="s">
        <v>1068</v>
      </c>
      <c r="C1007" s="3" t="s">
        <v>1066</v>
      </c>
      <c r="D1007" s="3" t="s">
        <v>932</v>
      </c>
      <c r="E1007" s="3" t="str">
        <v>Oberhallau</v>
      </c>
      <c r="I1007" s="19">
        <v>3306</v>
      </c>
      <c r="J1007" s="19" t="s">
        <v>4546</v>
      </c>
    </row>
    <row r="1008" spans="1:10" x14ac:dyDescent="0.2">
      <c r="A1008" s="3">
        <v>6262</v>
      </c>
      <c r="B1008" s="3" t="s">
        <v>1069</v>
      </c>
      <c r="C1008" s="3" t="s">
        <v>1066</v>
      </c>
      <c r="D1008" s="3" t="s">
        <v>932</v>
      </c>
      <c r="E1008" s="3" t="str">
        <v>Trasadingen</v>
      </c>
      <c r="I1008" s="19">
        <v>3307</v>
      </c>
      <c r="J1008" s="19" t="s">
        <v>4546</v>
      </c>
    </row>
    <row r="1009" spans="1:10" x14ac:dyDescent="0.2">
      <c r="A1009" s="3">
        <v>6263</v>
      </c>
      <c r="B1009" s="3" t="s">
        <v>1070</v>
      </c>
      <c r="C1009" s="3" t="s">
        <v>1066</v>
      </c>
      <c r="D1009" s="3" t="s">
        <v>932</v>
      </c>
      <c r="E1009" s="3" t="str">
        <v>Wilchingen</v>
      </c>
      <c r="I1009" s="19">
        <v>3308</v>
      </c>
      <c r="J1009" s="19" t="s">
        <v>4546</v>
      </c>
    </row>
    <row r="1010" spans="1:10" x14ac:dyDescent="0.2">
      <c r="A1010" s="3">
        <v>6265</v>
      </c>
      <c r="B1010" s="3" t="s">
        <v>1071</v>
      </c>
      <c r="C1010" s="3" t="s">
        <v>1071</v>
      </c>
      <c r="D1010" s="3" t="s">
        <v>932</v>
      </c>
      <c r="E1010" s="3" t="str">
        <v>Herisau</v>
      </c>
      <c r="I1010" s="19">
        <v>3309</v>
      </c>
      <c r="J1010" s="19" t="s">
        <v>4546</v>
      </c>
    </row>
    <row r="1011" spans="1:10" x14ac:dyDescent="0.2">
      <c r="A1011" s="3">
        <v>6143</v>
      </c>
      <c r="B1011" s="3" t="s">
        <v>1072</v>
      </c>
      <c r="C1011" s="3" t="s">
        <v>1073</v>
      </c>
      <c r="D1011" s="3" t="s">
        <v>932</v>
      </c>
      <c r="E1011" s="3" t="str">
        <v>Hundwil</v>
      </c>
      <c r="I1011" s="19">
        <v>3312</v>
      </c>
      <c r="J1011" s="19" t="s">
        <v>4546</v>
      </c>
    </row>
    <row r="1012" spans="1:10" x14ac:dyDescent="0.2">
      <c r="A1012" s="3">
        <v>6247</v>
      </c>
      <c r="B1012" s="3" t="s">
        <v>1073</v>
      </c>
      <c r="C1012" s="3" t="s">
        <v>1073</v>
      </c>
      <c r="D1012" s="3" t="s">
        <v>932</v>
      </c>
      <c r="E1012" s="3" t="str">
        <v>Schönengrund</v>
      </c>
      <c r="I1012" s="19">
        <v>3313</v>
      </c>
      <c r="J1012" s="19" t="s">
        <v>4546</v>
      </c>
    </row>
    <row r="1013" spans="1:10" x14ac:dyDescent="0.2">
      <c r="A1013" s="3">
        <v>6153</v>
      </c>
      <c r="B1013" s="3" t="s">
        <v>1074</v>
      </c>
      <c r="C1013" s="3" t="s">
        <v>1074</v>
      </c>
      <c r="D1013" s="3" t="s">
        <v>932</v>
      </c>
      <c r="E1013" s="3" t="str">
        <v>Schwellbrunn</v>
      </c>
      <c r="I1013" s="19">
        <v>3314</v>
      </c>
      <c r="J1013" s="19" t="s">
        <v>4546</v>
      </c>
    </row>
    <row r="1014" spans="1:10" x14ac:dyDescent="0.2">
      <c r="A1014" s="3">
        <v>6242</v>
      </c>
      <c r="B1014" s="3" t="s">
        <v>1075</v>
      </c>
      <c r="C1014" s="3" t="s">
        <v>1075</v>
      </c>
      <c r="D1014" s="3" t="s">
        <v>932</v>
      </c>
      <c r="E1014" s="3" t="str">
        <v>Stein (AR)</v>
      </c>
      <c r="I1014" s="19">
        <v>3315</v>
      </c>
      <c r="J1014" s="19" t="s">
        <v>4546</v>
      </c>
    </row>
    <row r="1015" spans="1:10" x14ac:dyDescent="0.2">
      <c r="A1015" s="3">
        <v>4806</v>
      </c>
      <c r="B1015" s="3" t="s">
        <v>1076</v>
      </c>
      <c r="C1015" s="3" t="s">
        <v>1076</v>
      </c>
      <c r="D1015" s="3" t="s">
        <v>932</v>
      </c>
      <c r="E1015" s="3" t="str">
        <v>Urnäsch</v>
      </c>
      <c r="I1015" s="19">
        <v>3317</v>
      </c>
      <c r="J1015" s="19" t="s">
        <v>4546</v>
      </c>
    </row>
    <row r="1016" spans="1:10" x14ac:dyDescent="0.2">
      <c r="A1016" s="3">
        <v>6260</v>
      </c>
      <c r="B1016" s="3" t="s">
        <v>1077</v>
      </c>
      <c r="C1016" s="3" t="s">
        <v>1076</v>
      </c>
      <c r="D1016" s="3" t="s">
        <v>932</v>
      </c>
      <c r="E1016" s="3" t="str">
        <v>Waldstatt</v>
      </c>
      <c r="I1016" s="19">
        <v>3322</v>
      </c>
      <c r="J1016" s="19" t="s">
        <v>4546</v>
      </c>
    </row>
    <row r="1017" spans="1:10" x14ac:dyDescent="0.2">
      <c r="A1017" s="3">
        <v>6144</v>
      </c>
      <c r="B1017" s="3" t="s">
        <v>1078</v>
      </c>
      <c r="C1017" s="3" t="s">
        <v>1079</v>
      </c>
      <c r="D1017" s="3" t="s">
        <v>932</v>
      </c>
      <c r="E1017" s="3" t="str">
        <v>Bühler</v>
      </c>
      <c r="I1017" s="19">
        <v>3323</v>
      </c>
      <c r="J1017" s="19" t="s">
        <v>4546</v>
      </c>
    </row>
    <row r="1018" spans="1:10" x14ac:dyDescent="0.2">
      <c r="A1018" s="3">
        <v>6152</v>
      </c>
      <c r="B1018" s="3" t="s">
        <v>1080</v>
      </c>
      <c r="C1018" s="3" t="s">
        <v>1079</v>
      </c>
      <c r="D1018" s="3" t="s">
        <v>932</v>
      </c>
      <c r="E1018" s="3" t="str">
        <v>Gais</v>
      </c>
      <c r="I1018" s="19">
        <v>3324</v>
      </c>
      <c r="J1018" s="19" t="s">
        <v>4546</v>
      </c>
    </row>
    <row r="1019" spans="1:10" x14ac:dyDescent="0.2">
      <c r="A1019" s="3">
        <v>6126</v>
      </c>
      <c r="B1019" s="3" t="s">
        <v>1081</v>
      </c>
      <c r="C1019" s="3" t="s">
        <v>1082</v>
      </c>
      <c r="D1019" s="3" t="s">
        <v>932</v>
      </c>
      <c r="E1019" s="3" t="str">
        <v>Speicher</v>
      </c>
      <c r="I1019" s="19">
        <v>3325</v>
      </c>
      <c r="J1019" s="19" t="s">
        <v>4546</v>
      </c>
    </row>
    <row r="1020" spans="1:10" x14ac:dyDescent="0.2">
      <c r="A1020" s="3">
        <v>6130</v>
      </c>
      <c r="B1020" s="3" t="s">
        <v>1082</v>
      </c>
      <c r="C1020" s="3" t="s">
        <v>1082</v>
      </c>
      <c r="D1020" s="3" t="s">
        <v>932</v>
      </c>
      <c r="E1020" s="3" t="str">
        <v>Teufen (AR)</v>
      </c>
      <c r="I1020" s="19">
        <v>3326</v>
      </c>
      <c r="J1020" s="19" t="s">
        <v>4546</v>
      </c>
    </row>
    <row r="1021" spans="1:10" x14ac:dyDescent="0.2">
      <c r="A1021" s="3">
        <v>6132</v>
      </c>
      <c r="B1021" s="3" t="s">
        <v>1083</v>
      </c>
      <c r="C1021" s="3" t="s">
        <v>1082</v>
      </c>
      <c r="D1021" s="3" t="s">
        <v>932</v>
      </c>
      <c r="E1021" s="3" t="str">
        <v>Trogen</v>
      </c>
      <c r="I1021" s="19">
        <v>3360</v>
      </c>
      <c r="J1021" s="19" t="s">
        <v>4554</v>
      </c>
    </row>
    <row r="1022" spans="1:10" x14ac:dyDescent="0.2">
      <c r="A1022" s="3">
        <v>6142</v>
      </c>
      <c r="B1022" s="3" t="s">
        <v>1084</v>
      </c>
      <c r="C1022" s="3" t="s">
        <v>1082</v>
      </c>
      <c r="D1022" s="3" t="s">
        <v>932</v>
      </c>
      <c r="E1022" s="3" t="str">
        <v>Grub (AR)</v>
      </c>
      <c r="I1022" s="19">
        <v>3362</v>
      </c>
      <c r="J1022" s="19" t="s">
        <v>4554</v>
      </c>
    </row>
    <row r="1023" spans="1:10" x14ac:dyDescent="0.2">
      <c r="A1023" s="3">
        <v>6460</v>
      </c>
      <c r="B1023" s="3" t="s">
        <v>1085</v>
      </c>
      <c r="C1023" s="3" t="s">
        <v>1086</v>
      </c>
      <c r="D1023" s="3" t="s">
        <v>1087</v>
      </c>
      <c r="E1023" s="3" t="str">
        <v>Heiden</v>
      </c>
      <c r="I1023" s="19">
        <v>3363</v>
      </c>
      <c r="J1023" s="19" t="s">
        <v>4554</v>
      </c>
    </row>
    <row r="1024" spans="1:10" x14ac:dyDescent="0.2">
      <c r="A1024" s="3">
        <v>6490</v>
      </c>
      <c r="B1024" s="3" t="s">
        <v>1088</v>
      </c>
      <c r="C1024" s="3" t="s">
        <v>1088</v>
      </c>
      <c r="D1024" s="3" t="s">
        <v>1087</v>
      </c>
      <c r="E1024" s="3" t="str">
        <v>Lutzenberg</v>
      </c>
      <c r="I1024" s="19">
        <v>3365</v>
      </c>
      <c r="J1024" s="19" t="s">
        <v>4554</v>
      </c>
    </row>
    <row r="1025" spans="1:10" x14ac:dyDescent="0.2">
      <c r="A1025" s="3">
        <v>6468</v>
      </c>
      <c r="B1025" s="3" t="s">
        <v>1089</v>
      </c>
      <c r="C1025" s="3" t="s">
        <v>1089</v>
      </c>
      <c r="D1025" s="3" t="s">
        <v>1087</v>
      </c>
      <c r="E1025" s="3" t="str">
        <v>Rehetobel</v>
      </c>
      <c r="I1025" s="19">
        <v>3366</v>
      </c>
      <c r="J1025" s="19" t="s">
        <v>4554</v>
      </c>
    </row>
    <row r="1026" spans="1:10" x14ac:dyDescent="0.2">
      <c r="A1026" s="3">
        <v>6463</v>
      </c>
      <c r="B1026" s="3" t="s">
        <v>1090</v>
      </c>
      <c r="C1026" s="3" t="s">
        <v>1091</v>
      </c>
      <c r="D1026" s="3" t="s">
        <v>1087</v>
      </c>
      <c r="E1026" s="3" t="str">
        <v>Reute (AR)</v>
      </c>
      <c r="I1026" s="19">
        <v>3367</v>
      </c>
      <c r="J1026" s="19" t="s">
        <v>4554</v>
      </c>
    </row>
    <row r="1027" spans="1:10" x14ac:dyDescent="0.2">
      <c r="A1027" s="3">
        <v>6472</v>
      </c>
      <c r="B1027" s="3" t="s">
        <v>1092</v>
      </c>
      <c r="C1027" s="3" t="s">
        <v>1092</v>
      </c>
      <c r="D1027" s="3" t="s">
        <v>1087</v>
      </c>
      <c r="E1027" s="3" t="str">
        <v>Wald (AR)</v>
      </c>
      <c r="I1027" s="19">
        <v>3368</v>
      </c>
      <c r="J1027" s="19" t="s">
        <v>4554</v>
      </c>
    </row>
    <row r="1028" spans="1:10" x14ac:dyDescent="0.2">
      <c r="A1028" s="3">
        <v>6454</v>
      </c>
      <c r="B1028" s="3" t="s">
        <v>1093</v>
      </c>
      <c r="C1028" s="3" t="s">
        <v>1093</v>
      </c>
      <c r="D1028" s="3" t="s">
        <v>1087</v>
      </c>
      <c r="E1028" s="3" t="str">
        <v>Walzenhausen</v>
      </c>
      <c r="I1028" s="19">
        <v>3372</v>
      </c>
      <c r="J1028" s="19" t="s">
        <v>4554</v>
      </c>
    </row>
    <row r="1029" spans="1:10" x14ac:dyDescent="0.2">
      <c r="A1029" s="3">
        <v>6487</v>
      </c>
      <c r="B1029" s="3" t="s">
        <v>1094</v>
      </c>
      <c r="C1029" s="3" t="s">
        <v>1094</v>
      </c>
      <c r="D1029" s="3" t="s">
        <v>1087</v>
      </c>
      <c r="E1029" s="3" t="str">
        <v>Wolfhalden</v>
      </c>
      <c r="I1029" s="19">
        <v>3373</v>
      </c>
      <c r="J1029" s="19" t="s">
        <v>4554</v>
      </c>
    </row>
    <row r="1030" spans="1:10" x14ac:dyDescent="0.2">
      <c r="A1030" s="3">
        <v>6476</v>
      </c>
      <c r="B1030" s="3" t="s">
        <v>1095</v>
      </c>
      <c r="C1030" s="3" t="s">
        <v>1096</v>
      </c>
      <c r="D1030" s="3" t="s">
        <v>1087</v>
      </c>
      <c r="E1030" s="3" t="str">
        <v>Appenzell</v>
      </c>
      <c r="I1030" s="19">
        <v>3374</v>
      </c>
      <c r="J1030" s="19" t="s">
        <v>4554</v>
      </c>
    </row>
    <row r="1031" spans="1:10" x14ac:dyDescent="0.2">
      <c r="A1031" s="3">
        <v>6482</v>
      </c>
      <c r="B1031" s="3" t="s">
        <v>1096</v>
      </c>
      <c r="C1031" s="3" t="s">
        <v>1096</v>
      </c>
      <c r="D1031" s="3" t="s">
        <v>1087</v>
      </c>
      <c r="E1031" s="3" t="str">
        <v>Gonten</v>
      </c>
      <c r="I1031" s="19">
        <v>3375</v>
      </c>
      <c r="J1031" s="19" t="s">
        <v>4554</v>
      </c>
    </row>
    <row r="1032" spans="1:10" x14ac:dyDescent="0.2">
      <c r="A1032" s="3">
        <v>6493</v>
      </c>
      <c r="B1032" s="3" t="s">
        <v>1097</v>
      </c>
      <c r="C1032" s="3" t="s">
        <v>1097</v>
      </c>
      <c r="D1032" s="3" t="s">
        <v>1087</v>
      </c>
      <c r="E1032" s="3" t="str">
        <v>Schlatt-Haslen</v>
      </c>
      <c r="I1032" s="19">
        <v>3376</v>
      </c>
      <c r="J1032" s="19" t="s">
        <v>4554</v>
      </c>
    </row>
    <row r="1033" spans="1:10" x14ac:dyDescent="0.2">
      <c r="A1033" s="3">
        <v>6461</v>
      </c>
      <c r="B1033" s="3" t="s">
        <v>1098</v>
      </c>
      <c r="C1033" s="3" t="s">
        <v>1098</v>
      </c>
      <c r="D1033" s="3" t="s">
        <v>1087</v>
      </c>
      <c r="E1033" s="3" t="str">
        <v>Oberegg</v>
      </c>
      <c r="I1033" s="19">
        <v>3377</v>
      </c>
      <c r="J1033" s="19" t="s">
        <v>4554</v>
      </c>
    </row>
    <row r="1034" spans="1:10" x14ac:dyDescent="0.2">
      <c r="A1034" s="3">
        <v>6491</v>
      </c>
      <c r="B1034" s="3" t="s">
        <v>1099</v>
      </c>
      <c r="C1034" s="3" t="s">
        <v>1099</v>
      </c>
      <c r="D1034" s="3" t="s">
        <v>1087</v>
      </c>
      <c r="E1034" s="3" t="str">
        <v>Schwende-Rüte</v>
      </c>
      <c r="I1034" s="19">
        <v>3380</v>
      </c>
      <c r="J1034" s="19" t="s">
        <v>4554</v>
      </c>
    </row>
    <row r="1035" spans="1:10" x14ac:dyDescent="0.2">
      <c r="A1035" s="3">
        <v>6467</v>
      </c>
      <c r="B1035" s="3" t="s">
        <v>1100</v>
      </c>
      <c r="C1035" s="3" t="s">
        <v>1100</v>
      </c>
      <c r="D1035" s="3" t="s">
        <v>1087</v>
      </c>
      <c r="E1035" s="3" t="str">
        <v>Häggenschwil</v>
      </c>
      <c r="I1035" s="19">
        <v>3400</v>
      </c>
      <c r="J1035" s="19" t="s">
        <v>4546</v>
      </c>
    </row>
    <row r="1036" spans="1:10" x14ac:dyDescent="0.2">
      <c r="A1036" s="3">
        <v>6469</v>
      </c>
      <c r="B1036" s="3" t="s">
        <v>1101</v>
      </c>
      <c r="C1036" s="3" t="s">
        <v>1100</v>
      </c>
      <c r="D1036" s="3" t="s">
        <v>1087</v>
      </c>
      <c r="E1036" s="3" t="str">
        <v>Muolen</v>
      </c>
      <c r="I1036" s="19">
        <v>3412</v>
      </c>
      <c r="J1036" s="19" t="s">
        <v>4546</v>
      </c>
    </row>
    <row r="1037" spans="1:10" x14ac:dyDescent="0.2">
      <c r="A1037" s="3">
        <v>6462</v>
      </c>
      <c r="B1037" s="3" t="s">
        <v>1102</v>
      </c>
      <c r="C1037" s="3" t="s">
        <v>1103</v>
      </c>
      <c r="D1037" s="3" t="s">
        <v>1087</v>
      </c>
      <c r="E1037" s="3" t="str">
        <v>St. Gallen</v>
      </c>
      <c r="I1037" s="19">
        <v>3413</v>
      </c>
      <c r="J1037" s="19" t="s">
        <v>4546</v>
      </c>
    </row>
    <row r="1038" spans="1:10" x14ac:dyDescent="0.2">
      <c r="A1038" s="3">
        <v>6466</v>
      </c>
      <c r="B1038" s="3" t="s">
        <v>1104</v>
      </c>
      <c r="C1038" s="3" t="s">
        <v>1103</v>
      </c>
      <c r="D1038" s="3" t="s">
        <v>1087</v>
      </c>
      <c r="E1038" s="3" t="str">
        <v>Wittenbach</v>
      </c>
      <c r="I1038" s="19">
        <v>3414</v>
      </c>
      <c r="J1038" s="19" t="s">
        <v>4546</v>
      </c>
    </row>
    <row r="1039" spans="1:10" x14ac:dyDescent="0.2">
      <c r="A1039" s="3">
        <v>6377</v>
      </c>
      <c r="B1039" s="3" t="s">
        <v>1105</v>
      </c>
      <c r="C1039" s="3" t="s">
        <v>1105</v>
      </c>
      <c r="D1039" s="3" t="s">
        <v>1087</v>
      </c>
      <c r="E1039" s="3" t="str">
        <v>Berg (SG)</v>
      </c>
      <c r="I1039" s="19">
        <v>3415</v>
      </c>
      <c r="J1039" s="19" t="s">
        <v>4546</v>
      </c>
    </row>
    <row r="1040" spans="1:10" x14ac:dyDescent="0.2">
      <c r="A1040" s="3">
        <v>6441</v>
      </c>
      <c r="B1040" s="3" t="s">
        <v>1106</v>
      </c>
      <c r="C1040" s="3" t="s">
        <v>1105</v>
      </c>
      <c r="D1040" s="3" t="s">
        <v>1087</v>
      </c>
      <c r="E1040" s="3" t="str">
        <v>Eggersriet</v>
      </c>
      <c r="I1040" s="19">
        <v>3416</v>
      </c>
      <c r="J1040" s="19" t="s">
        <v>4554</v>
      </c>
    </row>
    <row r="1041" spans="1:10" x14ac:dyDescent="0.2">
      <c r="A1041" s="3">
        <v>6473</v>
      </c>
      <c r="B1041" s="3" t="s">
        <v>1107</v>
      </c>
      <c r="C1041" s="3" t="s">
        <v>1107</v>
      </c>
      <c r="D1041" s="3" t="s">
        <v>1087</v>
      </c>
      <c r="E1041" s="3" t="str">
        <v>Goldach</v>
      </c>
      <c r="I1041" s="19">
        <v>3417</v>
      </c>
      <c r="J1041" s="19" t="s">
        <v>4546</v>
      </c>
    </row>
    <row r="1042" spans="1:10" x14ac:dyDescent="0.2">
      <c r="A1042" s="3">
        <v>6474</v>
      </c>
      <c r="B1042" s="3" t="s">
        <v>1108</v>
      </c>
      <c r="C1042" s="3" t="s">
        <v>1107</v>
      </c>
      <c r="D1042" s="3" t="s">
        <v>1087</v>
      </c>
      <c r="E1042" s="3" t="str">
        <v>Mörschwil</v>
      </c>
      <c r="I1042" s="19">
        <v>3418</v>
      </c>
      <c r="J1042" s="19" t="s">
        <v>4546</v>
      </c>
    </row>
    <row r="1043" spans="1:10" x14ac:dyDescent="0.2">
      <c r="A1043" s="3">
        <v>6475</v>
      </c>
      <c r="B1043" s="3" t="s">
        <v>1109</v>
      </c>
      <c r="C1043" s="3" t="s">
        <v>1107</v>
      </c>
      <c r="D1043" s="3" t="s">
        <v>1087</v>
      </c>
      <c r="E1043" s="3" t="str">
        <v>Rorschach</v>
      </c>
      <c r="I1043" s="19">
        <v>3419</v>
      </c>
      <c r="J1043" s="19" t="s">
        <v>4546</v>
      </c>
    </row>
    <row r="1044" spans="1:10" x14ac:dyDescent="0.2">
      <c r="A1044" s="3">
        <v>6452</v>
      </c>
      <c r="B1044" s="3" t="s">
        <v>1110</v>
      </c>
      <c r="C1044" s="3" t="s">
        <v>1110</v>
      </c>
      <c r="D1044" s="3" t="s">
        <v>1087</v>
      </c>
      <c r="E1044" s="3" t="str">
        <v>Rorschacherberg</v>
      </c>
      <c r="I1044" s="19">
        <v>3421</v>
      </c>
      <c r="J1044" s="19" t="s">
        <v>4546</v>
      </c>
    </row>
    <row r="1045" spans="1:10" x14ac:dyDescent="0.2">
      <c r="A1045" s="3">
        <v>6464</v>
      </c>
      <c r="B1045" s="3" t="s">
        <v>1111</v>
      </c>
      <c r="C1045" s="3" t="s">
        <v>1111</v>
      </c>
      <c r="D1045" s="3" t="s">
        <v>1087</v>
      </c>
      <c r="E1045" s="3" t="str">
        <v>Steinach</v>
      </c>
      <c r="I1045" s="19">
        <v>3422</v>
      </c>
      <c r="J1045" s="19" t="s">
        <v>4546</v>
      </c>
    </row>
    <row r="1046" spans="1:10" x14ac:dyDescent="0.2">
      <c r="A1046" s="3">
        <v>8751</v>
      </c>
      <c r="B1046" s="3" t="s">
        <v>1112</v>
      </c>
      <c r="C1046" s="3" t="s">
        <v>1111</v>
      </c>
      <c r="D1046" s="3" t="s">
        <v>1087</v>
      </c>
      <c r="E1046" s="3" t="str">
        <v>Tübach</v>
      </c>
      <c r="I1046" s="19">
        <v>3423</v>
      </c>
      <c r="J1046" s="19" t="s">
        <v>4546</v>
      </c>
    </row>
    <row r="1047" spans="1:10" x14ac:dyDescent="0.2">
      <c r="A1047" s="3">
        <v>6465</v>
      </c>
      <c r="B1047" s="3" t="s">
        <v>1113</v>
      </c>
      <c r="C1047" s="3" t="s">
        <v>1113</v>
      </c>
      <c r="D1047" s="3" t="s">
        <v>1087</v>
      </c>
      <c r="E1047" s="3" t="str">
        <v>Untereggen</v>
      </c>
      <c r="I1047" s="19">
        <v>3424</v>
      </c>
      <c r="J1047" s="19" t="s">
        <v>4546</v>
      </c>
    </row>
    <row r="1048" spans="1:10" x14ac:dyDescent="0.2">
      <c r="A1048" s="3">
        <v>6484</v>
      </c>
      <c r="B1048" s="3" t="s">
        <v>1114</v>
      </c>
      <c r="C1048" s="3" t="s">
        <v>1115</v>
      </c>
      <c r="D1048" s="3" t="s">
        <v>1087</v>
      </c>
      <c r="E1048" s="3" t="str">
        <v>Au (SG)</v>
      </c>
      <c r="I1048" s="19">
        <v>3425</v>
      </c>
      <c r="J1048" s="19" t="s">
        <v>4546</v>
      </c>
    </row>
    <row r="1049" spans="1:10" x14ac:dyDescent="0.2">
      <c r="A1049" s="3">
        <v>6485</v>
      </c>
      <c r="B1049" s="3" t="s">
        <v>1116</v>
      </c>
      <c r="C1049" s="3" t="s">
        <v>1115</v>
      </c>
      <c r="D1049" s="3" t="s">
        <v>1087</v>
      </c>
      <c r="E1049" s="3" t="str">
        <v>Balgach</v>
      </c>
      <c r="I1049" s="19">
        <v>3426</v>
      </c>
      <c r="J1049" s="19" t="s">
        <v>4546</v>
      </c>
    </row>
    <row r="1050" spans="1:10" x14ac:dyDescent="0.2">
      <c r="A1050" s="3">
        <v>8836</v>
      </c>
      <c r="B1050" s="3" t="s">
        <v>1117</v>
      </c>
      <c r="C1050" s="3" t="s">
        <v>1118</v>
      </c>
      <c r="D1050" s="3" t="s">
        <v>1119</v>
      </c>
      <c r="E1050" s="3" t="str">
        <v>Berneck</v>
      </c>
      <c r="I1050" s="19">
        <v>3427</v>
      </c>
      <c r="J1050" s="19" t="s">
        <v>4546</v>
      </c>
    </row>
    <row r="1051" spans="1:10" x14ac:dyDescent="0.2">
      <c r="A1051" s="3">
        <v>8840</v>
      </c>
      <c r="B1051" s="3" t="s">
        <v>1118</v>
      </c>
      <c r="C1051" s="3" t="s">
        <v>1118</v>
      </c>
      <c r="D1051" s="3" t="s">
        <v>1119</v>
      </c>
      <c r="E1051" s="3" t="str">
        <v>Diepoldsau</v>
      </c>
      <c r="I1051" s="19">
        <v>3428</v>
      </c>
      <c r="J1051" s="19" t="s">
        <v>4546</v>
      </c>
    </row>
    <row r="1052" spans="1:10" x14ac:dyDescent="0.2">
      <c r="A1052" s="3">
        <v>8840</v>
      </c>
      <c r="B1052" s="3" t="s">
        <v>1120</v>
      </c>
      <c r="C1052" s="3" t="s">
        <v>1118</v>
      </c>
      <c r="D1052" s="3" t="s">
        <v>1119</v>
      </c>
      <c r="E1052" s="3" t="str">
        <v>Rheineck</v>
      </c>
      <c r="I1052" s="19">
        <v>3429</v>
      </c>
      <c r="J1052" s="19" t="s">
        <v>4554</v>
      </c>
    </row>
    <row r="1053" spans="1:10" x14ac:dyDescent="0.2">
      <c r="A1053" s="3">
        <v>8841</v>
      </c>
      <c r="B1053" s="3" t="s">
        <v>1121</v>
      </c>
      <c r="C1053" s="3" t="s">
        <v>1118</v>
      </c>
      <c r="D1053" s="3" t="s">
        <v>1119</v>
      </c>
      <c r="E1053" s="3" t="str">
        <v>St. Margrethen</v>
      </c>
      <c r="I1053" s="19">
        <v>3432</v>
      </c>
      <c r="J1053" s="19" t="s">
        <v>4546</v>
      </c>
    </row>
    <row r="1054" spans="1:10" x14ac:dyDescent="0.2">
      <c r="A1054" s="3">
        <v>8844</v>
      </c>
      <c r="B1054" s="3" t="s">
        <v>1122</v>
      </c>
      <c r="C1054" s="3" t="s">
        <v>1118</v>
      </c>
      <c r="D1054" s="3" t="s">
        <v>1119</v>
      </c>
      <c r="E1054" s="3" t="str">
        <v>Thal</v>
      </c>
      <c r="I1054" s="19">
        <v>3433</v>
      </c>
      <c r="J1054" s="19" t="s">
        <v>4546</v>
      </c>
    </row>
    <row r="1055" spans="1:10" x14ac:dyDescent="0.2">
      <c r="A1055" s="3">
        <v>8846</v>
      </c>
      <c r="B1055" s="3" t="s">
        <v>1123</v>
      </c>
      <c r="C1055" s="3" t="s">
        <v>1118</v>
      </c>
      <c r="D1055" s="3" t="s">
        <v>1119</v>
      </c>
      <c r="E1055" s="3" t="str">
        <v>Widnau</v>
      </c>
      <c r="I1055" s="19">
        <v>3434</v>
      </c>
      <c r="J1055" s="19" t="s">
        <v>4546</v>
      </c>
    </row>
    <row r="1056" spans="1:10" x14ac:dyDescent="0.2">
      <c r="A1056" s="3">
        <v>8847</v>
      </c>
      <c r="B1056" s="3" t="s">
        <v>1124</v>
      </c>
      <c r="C1056" s="3" t="s">
        <v>1118</v>
      </c>
      <c r="D1056" s="3" t="s">
        <v>1119</v>
      </c>
      <c r="E1056" s="3" t="str">
        <v>Altstätten</v>
      </c>
      <c r="I1056" s="19">
        <v>3435</v>
      </c>
      <c r="J1056" s="19" t="s">
        <v>4546</v>
      </c>
    </row>
    <row r="1057" spans="1:10" x14ac:dyDescent="0.2">
      <c r="A1057" s="3">
        <v>6410</v>
      </c>
      <c r="B1057" s="3" t="s">
        <v>1125</v>
      </c>
      <c r="C1057" s="3" t="s">
        <v>1126</v>
      </c>
      <c r="D1057" s="3" t="s">
        <v>1119</v>
      </c>
      <c r="E1057" s="3" t="str">
        <v>Eichberg</v>
      </c>
      <c r="I1057" s="19">
        <v>3436</v>
      </c>
      <c r="J1057" s="19" t="s">
        <v>4546</v>
      </c>
    </row>
    <row r="1058" spans="1:10" x14ac:dyDescent="0.2">
      <c r="A1058" s="3">
        <v>6442</v>
      </c>
      <c r="B1058" s="3" t="s">
        <v>1126</v>
      </c>
      <c r="C1058" s="3" t="s">
        <v>1126</v>
      </c>
      <c r="D1058" s="3" t="s">
        <v>1119</v>
      </c>
      <c r="E1058" s="3" t="str">
        <v>Marbach (SG)</v>
      </c>
      <c r="I1058" s="19">
        <v>3437</v>
      </c>
      <c r="J1058" s="19" t="s">
        <v>4546</v>
      </c>
    </row>
    <row r="1059" spans="1:10" x14ac:dyDescent="0.2">
      <c r="A1059" s="3">
        <v>8834</v>
      </c>
      <c r="B1059" s="3" t="s">
        <v>1127</v>
      </c>
      <c r="C1059" s="3" t="s">
        <v>1128</v>
      </c>
      <c r="D1059" s="3" t="s">
        <v>1119</v>
      </c>
      <c r="E1059" s="3" t="str">
        <v>Oberriet (SG)</v>
      </c>
      <c r="I1059" s="19">
        <v>3438</v>
      </c>
      <c r="J1059" s="19" t="s">
        <v>4546</v>
      </c>
    </row>
    <row r="1060" spans="1:10" x14ac:dyDescent="0.2">
      <c r="A1060" s="3">
        <v>8835</v>
      </c>
      <c r="B1060" s="3" t="s">
        <v>1128</v>
      </c>
      <c r="C1060" s="3" t="s">
        <v>1128</v>
      </c>
      <c r="D1060" s="3" t="s">
        <v>1119</v>
      </c>
      <c r="E1060" s="3" t="str">
        <v>Rebstein</v>
      </c>
      <c r="I1060" s="19">
        <v>3439</v>
      </c>
      <c r="J1060" s="19" t="s">
        <v>4546</v>
      </c>
    </row>
    <row r="1061" spans="1:10" x14ac:dyDescent="0.2">
      <c r="A1061" s="3">
        <v>8640</v>
      </c>
      <c r="B1061" s="3" t="s">
        <v>1129</v>
      </c>
      <c r="C1061" s="3" t="s">
        <v>1130</v>
      </c>
      <c r="D1061" s="3" t="s">
        <v>1119</v>
      </c>
      <c r="E1061" s="3" t="str">
        <v>Rüthi (SG)</v>
      </c>
      <c r="I1061" s="19">
        <v>3452</v>
      </c>
      <c r="J1061" s="19" t="s">
        <v>4546</v>
      </c>
    </row>
    <row r="1062" spans="1:10" x14ac:dyDescent="0.2">
      <c r="A1062" s="3">
        <v>8806</v>
      </c>
      <c r="B1062" s="3" t="s">
        <v>1131</v>
      </c>
      <c r="C1062" s="3" t="s">
        <v>1130</v>
      </c>
      <c r="D1062" s="3" t="s">
        <v>1119</v>
      </c>
      <c r="E1062" s="3" t="str">
        <v>Buchs (SG)</v>
      </c>
      <c r="I1062" s="19">
        <v>3453</v>
      </c>
      <c r="J1062" s="19" t="s">
        <v>4546</v>
      </c>
    </row>
    <row r="1063" spans="1:10" x14ac:dyDescent="0.2">
      <c r="A1063" s="3">
        <v>8807</v>
      </c>
      <c r="B1063" s="3" t="s">
        <v>1130</v>
      </c>
      <c r="C1063" s="3" t="s">
        <v>1130</v>
      </c>
      <c r="D1063" s="3" t="s">
        <v>1119</v>
      </c>
      <c r="E1063" s="3" t="str">
        <v>Gams</v>
      </c>
      <c r="I1063" s="19">
        <v>3454</v>
      </c>
      <c r="J1063" s="19" t="s">
        <v>4546</v>
      </c>
    </row>
    <row r="1064" spans="1:10" x14ac:dyDescent="0.2">
      <c r="A1064" s="3">
        <v>8808</v>
      </c>
      <c r="B1064" s="3" t="s">
        <v>1132</v>
      </c>
      <c r="C1064" s="3" t="s">
        <v>1130</v>
      </c>
      <c r="D1064" s="3" t="s">
        <v>1119</v>
      </c>
      <c r="E1064" s="3" t="str">
        <v>Grabs</v>
      </c>
      <c r="I1064" s="19">
        <v>3455</v>
      </c>
      <c r="J1064" s="19" t="s">
        <v>4546</v>
      </c>
    </row>
    <row r="1065" spans="1:10" x14ac:dyDescent="0.2">
      <c r="A1065" s="3">
        <v>8832</v>
      </c>
      <c r="B1065" s="3" t="s">
        <v>1133</v>
      </c>
      <c r="C1065" s="3" t="s">
        <v>1130</v>
      </c>
      <c r="D1065" s="3" t="s">
        <v>1119</v>
      </c>
      <c r="E1065" s="3" t="str">
        <v>Sennwald</v>
      </c>
      <c r="I1065" s="19">
        <v>3456</v>
      </c>
      <c r="J1065" s="19" t="s">
        <v>4546</v>
      </c>
    </row>
    <row r="1066" spans="1:10" x14ac:dyDescent="0.2">
      <c r="A1066" s="3">
        <v>8832</v>
      </c>
      <c r="B1066" s="3" t="s">
        <v>1134</v>
      </c>
      <c r="C1066" s="3" t="s">
        <v>1130</v>
      </c>
      <c r="D1066" s="3" t="s">
        <v>1119</v>
      </c>
      <c r="E1066" s="3" t="str">
        <v>Sevelen</v>
      </c>
      <c r="I1066" s="19">
        <v>3457</v>
      </c>
      <c r="J1066" s="19" t="s">
        <v>4554</v>
      </c>
    </row>
    <row r="1067" spans="1:10" x14ac:dyDescent="0.2">
      <c r="A1067" s="3">
        <v>8832</v>
      </c>
      <c r="B1067" s="3" t="s">
        <v>1133</v>
      </c>
      <c r="C1067" s="3" t="s">
        <v>1133</v>
      </c>
      <c r="D1067" s="3" t="s">
        <v>1119</v>
      </c>
      <c r="E1067" s="3" t="str">
        <v>Wartau</v>
      </c>
      <c r="I1067" s="19">
        <v>3462</v>
      </c>
      <c r="J1067" s="19" t="s">
        <v>4554</v>
      </c>
    </row>
    <row r="1068" spans="1:10" x14ac:dyDescent="0.2">
      <c r="A1068" s="3">
        <v>6402</v>
      </c>
      <c r="B1068" s="3" t="s">
        <v>1135</v>
      </c>
      <c r="C1068" s="3" t="s">
        <v>1136</v>
      </c>
      <c r="D1068" s="3" t="s">
        <v>1119</v>
      </c>
      <c r="E1068" s="3" t="str">
        <v>Bad Ragaz</v>
      </c>
      <c r="I1068" s="19">
        <v>3463</v>
      </c>
      <c r="J1068" s="19" t="s">
        <v>4554</v>
      </c>
    </row>
    <row r="1069" spans="1:10" x14ac:dyDescent="0.2">
      <c r="A1069" s="3">
        <v>6403</v>
      </c>
      <c r="B1069" s="3" t="s">
        <v>1137</v>
      </c>
      <c r="C1069" s="3" t="s">
        <v>1136</v>
      </c>
      <c r="D1069" s="3" t="s">
        <v>1119</v>
      </c>
      <c r="E1069" s="3" t="str">
        <v>Flums</v>
      </c>
      <c r="I1069" s="19">
        <v>3464</v>
      </c>
      <c r="J1069" s="19" t="s">
        <v>4554</v>
      </c>
    </row>
    <row r="1070" spans="1:10" x14ac:dyDescent="0.2">
      <c r="A1070" s="3">
        <v>6405</v>
      </c>
      <c r="B1070" s="3" t="s">
        <v>1138</v>
      </c>
      <c r="C1070" s="3" t="s">
        <v>1136</v>
      </c>
      <c r="D1070" s="3" t="s">
        <v>1119</v>
      </c>
      <c r="E1070" s="3" t="str">
        <v>Mels</v>
      </c>
      <c r="I1070" s="19">
        <v>3465</v>
      </c>
      <c r="J1070" s="19" t="s">
        <v>4554</v>
      </c>
    </row>
    <row r="1071" spans="1:10" x14ac:dyDescent="0.2">
      <c r="A1071" s="3">
        <v>8852</v>
      </c>
      <c r="B1071" s="3" t="s">
        <v>1139</v>
      </c>
      <c r="C1071" s="3" t="s">
        <v>1139</v>
      </c>
      <c r="D1071" s="3" t="s">
        <v>1119</v>
      </c>
      <c r="E1071" s="3" t="str">
        <v>Pfäfers</v>
      </c>
      <c r="I1071" s="19">
        <v>3472</v>
      </c>
      <c r="J1071" s="19" t="s">
        <v>4554</v>
      </c>
    </row>
    <row r="1072" spans="1:10" x14ac:dyDescent="0.2">
      <c r="A1072" s="3">
        <v>8854</v>
      </c>
      <c r="B1072" s="3" t="s">
        <v>1140</v>
      </c>
      <c r="C1072" s="3" t="s">
        <v>1140</v>
      </c>
      <c r="D1072" s="3" t="s">
        <v>1119</v>
      </c>
      <c r="E1072" s="3" t="str">
        <v>Quarten</v>
      </c>
      <c r="I1072" s="19">
        <v>3473</v>
      </c>
      <c r="J1072" s="19" t="s">
        <v>4554</v>
      </c>
    </row>
    <row r="1073" spans="1:10" x14ac:dyDescent="0.2">
      <c r="A1073" s="3">
        <v>8858</v>
      </c>
      <c r="B1073" s="3" t="s">
        <v>1141</v>
      </c>
      <c r="C1073" s="3" t="s">
        <v>1141</v>
      </c>
      <c r="D1073" s="3" t="s">
        <v>1119</v>
      </c>
      <c r="E1073" s="3" t="str">
        <v>Sargans</v>
      </c>
      <c r="I1073" s="19">
        <v>3474</v>
      </c>
      <c r="J1073" s="19" t="s">
        <v>4554</v>
      </c>
    </row>
    <row r="1074" spans="1:10" x14ac:dyDescent="0.2">
      <c r="A1074" s="3">
        <v>8853</v>
      </c>
      <c r="B1074" s="3" t="s">
        <v>1142</v>
      </c>
      <c r="C1074" s="3" t="s">
        <v>1143</v>
      </c>
      <c r="D1074" s="3" t="s">
        <v>1119</v>
      </c>
      <c r="E1074" s="3" t="str">
        <v>Vilters-Wangs</v>
      </c>
      <c r="I1074" s="19">
        <v>3475</v>
      </c>
      <c r="J1074" s="19" t="s">
        <v>4554</v>
      </c>
    </row>
    <row r="1075" spans="1:10" x14ac:dyDescent="0.2">
      <c r="A1075" s="3">
        <v>8864</v>
      </c>
      <c r="B1075" s="3" t="s">
        <v>1144</v>
      </c>
      <c r="C1075" s="3" t="s">
        <v>1144</v>
      </c>
      <c r="D1075" s="3" t="s">
        <v>1119</v>
      </c>
      <c r="E1075" s="3" t="str">
        <v>Walenstadt</v>
      </c>
      <c r="I1075" s="19">
        <v>3476</v>
      </c>
      <c r="J1075" s="19" t="s">
        <v>4554</v>
      </c>
    </row>
    <row r="1076" spans="1:10" x14ac:dyDescent="0.2">
      <c r="A1076" s="3">
        <v>8854</v>
      </c>
      <c r="B1076" s="3" t="s">
        <v>1145</v>
      </c>
      <c r="C1076" s="3" t="s">
        <v>1146</v>
      </c>
      <c r="D1076" s="3" t="s">
        <v>1119</v>
      </c>
      <c r="E1076" s="3" t="str">
        <v>Amden</v>
      </c>
      <c r="I1076" s="19">
        <v>3503</v>
      </c>
      <c r="J1076" s="19" t="s">
        <v>4546</v>
      </c>
    </row>
    <row r="1077" spans="1:10" x14ac:dyDescent="0.2">
      <c r="A1077" s="3">
        <v>8862</v>
      </c>
      <c r="B1077" s="3" t="s">
        <v>1146</v>
      </c>
      <c r="C1077" s="3" t="s">
        <v>1146</v>
      </c>
      <c r="D1077" s="3" t="s">
        <v>1119</v>
      </c>
      <c r="E1077" s="3" t="str">
        <v>Benken (SG)</v>
      </c>
      <c r="I1077" s="19">
        <v>3504</v>
      </c>
      <c r="J1077" s="19" t="s">
        <v>4553</v>
      </c>
    </row>
    <row r="1078" spans="1:10" x14ac:dyDescent="0.2">
      <c r="A1078" s="3">
        <v>8863</v>
      </c>
      <c r="B1078" s="3" t="s">
        <v>1147</v>
      </c>
      <c r="C1078" s="3" t="s">
        <v>1146</v>
      </c>
      <c r="D1078" s="3" t="s">
        <v>1119</v>
      </c>
      <c r="E1078" s="3" t="str">
        <v>Kaltbrunn</v>
      </c>
      <c r="I1078" s="19">
        <v>3506</v>
      </c>
      <c r="J1078" s="19" t="s">
        <v>4553</v>
      </c>
    </row>
    <row r="1079" spans="1:10" x14ac:dyDescent="0.2">
      <c r="A1079" s="3">
        <v>8856</v>
      </c>
      <c r="B1079" s="3" t="s">
        <v>1148</v>
      </c>
      <c r="C1079" s="3" t="s">
        <v>1148</v>
      </c>
      <c r="D1079" s="3" t="s">
        <v>1119</v>
      </c>
      <c r="E1079" s="3" t="str">
        <v>Schänis</v>
      </c>
      <c r="I1079" s="19">
        <v>3507</v>
      </c>
      <c r="J1079" s="19" t="s">
        <v>4546</v>
      </c>
    </row>
    <row r="1080" spans="1:10" x14ac:dyDescent="0.2">
      <c r="A1080" s="3">
        <v>8857</v>
      </c>
      <c r="B1080" s="3" t="s">
        <v>1149</v>
      </c>
      <c r="C1080" s="3" t="s">
        <v>1149</v>
      </c>
      <c r="D1080" s="3" t="s">
        <v>1119</v>
      </c>
      <c r="E1080" s="3" t="str">
        <v>Weesen</v>
      </c>
      <c r="I1080" s="19">
        <v>3508</v>
      </c>
      <c r="J1080" s="19" t="s">
        <v>4546</v>
      </c>
    </row>
    <row r="1081" spans="1:10" x14ac:dyDescent="0.2">
      <c r="A1081" s="3">
        <v>8855</v>
      </c>
      <c r="B1081" s="3" t="s">
        <v>1150</v>
      </c>
      <c r="C1081" s="3" t="s">
        <v>1151</v>
      </c>
      <c r="D1081" s="3" t="s">
        <v>1119</v>
      </c>
      <c r="E1081" s="3" t="str">
        <v>Schmerikon</v>
      </c>
      <c r="I1081" s="19">
        <v>3510</v>
      </c>
      <c r="J1081" s="19" t="s">
        <v>4553</v>
      </c>
    </row>
    <row r="1082" spans="1:10" x14ac:dyDescent="0.2">
      <c r="A1082" s="3">
        <v>8849</v>
      </c>
      <c r="B1082" s="3" t="s">
        <v>1152</v>
      </c>
      <c r="C1082" s="3" t="s">
        <v>1152</v>
      </c>
      <c r="D1082" s="3" t="s">
        <v>1119</v>
      </c>
      <c r="E1082" s="3" t="str">
        <v>Uznach</v>
      </c>
      <c r="I1082" s="19">
        <v>3512</v>
      </c>
      <c r="J1082" s="19" t="s">
        <v>4546</v>
      </c>
    </row>
    <row r="1083" spans="1:10" x14ac:dyDescent="0.2">
      <c r="A1083" s="3">
        <v>6410</v>
      </c>
      <c r="B1083" s="3" t="s">
        <v>1153</v>
      </c>
      <c r="C1083" s="3" t="s">
        <v>1154</v>
      </c>
      <c r="D1083" s="3" t="s">
        <v>1119</v>
      </c>
      <c r="E1083" s="3" t="str">
        <v>Rapperswil-Jona</v>
      </c>
      <c r="I1083" s="19">
        <v>3513</v>
      </c>
      <c r="J1083" s="19" t="s">
        <v>4546</v>
      </c>
    </row>
    <row r="1084" spans="1:10" x14ac:dyDescent="0.2">
      <c r="A1084" s="3">
        <v>6410</v>
      </c>
      <c r="B1084" s="3" t="s">
        <v>1155</v>
      </c>
      <c r="C1084" s="3" t="s">
        <v>1154</v>
      </c>
      <c r="D1084" s="3" t="s">
        <v>1119</v>
      </c>
      <c r="E1084" s="3" t="str">
        <v>Gommiswald</v>
      </c>
      <c r="I1084" s="19">
        <v>3531</v>
      </c>
      <c r="J1084" s="19" t="s">
        <v>4546</v>
      </c>
    </row>
    <row r="1085" spans="1:10" x14ac:dyDescent="0.2">
      <c r="A1085" s="3">
        <v>6410</v>
      </c>
      <c r="B1085" s="3" t="s">
        <v>1156</v>
      </c>
      <c r="C1085" s="3" t="s">
        <v>1154</v>
      </c>
      <c r="D1085" s="3" t="s">
        <v>1119</v>
      </c>
      <c r="E1085" s="3" t="str">
        <v>Eschenbach (SG)</v>
      </c>
      <c r="I1085" s="19">
        <v>3532</v>
      </c>
      <c r="J1085" s="19" t="s">
        <v>4546</v>
      </c>
    </row>
    <row r="1086" spans="1:10" x14ac:dyDescent="0.2">
      <c r="A1086" s="3">
        <v>6410</v>
      </c>
      <c r="B1086" s="3" t="s">
        <v>1157</v>
      </c>
      <c r="C1086" s="3" t="s">
        <v>1154</v>
      </c>
      <c r="D1086" s="3" t="s">
        <v>1119</v>
      </c>
      <c r="E1086" s="3" t="str">
        <v>Ebnat-Kappel</v>
      </c>
      <c r="I1086" s="19">
        <v>3533</v>
      </c>
      <c r="J1086" s="19" t="s">
        <v>4546</v>
      </c>
    </row>
    <row r="1087" spans="1:10" x14ac:dyDescent="0.2">
      <c r="A1087" s="3">
        <v>6414</v>
      </c>
      <c r="B1087" s="3" t="s">
        <v>1158</v>
      </c>
      <c r="C1087" s="3" t="s">
        <v>1154</v>
      </c>
      <c r="D1087" s="3" t="s">
        <v>1119</v>
      </c>
      <c r="E1087" s="3" t="str">
        <v>Wildhaus-Alt St. Johann</v>
      </c>
      <c r="I1087" s="19">
        <v>3534</v>
      </c>
      <c r="J1087" s="19" t="s">
        <v>4546</v>
      </c>
    </row>
    <row r="1088" spans="1:10" x14ac:dyDescent="0.2">
      <c r="A1088" s="3">
        <v>6415</v>
      </c>
      <c r="B1088" s="3" t="s">
        <v>1154</v>
      </c>
      <c r="C1088" s="3" t="s">
        <v>1154</v>
      </c>
      <c r="D1088" s="3" t="s">
        <v>1119</v>
      </c>
      <c r="E1088" s="3" t="str">
        <v>Nesslau</v>
      </c>
      <c r="I1088" s="19">
        <v>3535</v>
      </c>
      <c r="J1088" s="19" t="s">
        <v>4546</v>
      </c>
    </row>
    <row r="1089" spans="1:10" x14ac:dyDescent="0.2">
      <c r="A1089" s="3">
        <v>6434</v>
      </c>
      <c r="B1089" s="3" t="s">
        <v>1159</v>
      </c>
      <c r="C1089" s="3" t="s">
        <v>1159</v>
      </c>
      <c r="D1089" s="3" t="s">
        <v>1119</v>
      </c>
      <c r="E1089" s="3" t="str">
        <v>Hemberg</v>
      </c>
      <c r="I1089" s="19">
        <v>3536</v>
      </c>
      <c r="J1089" s="19" t="s">
        <v>4546</v>
      </c>
    </row>
    <row r="1090" spans="1:10" x14ac:dyDescent="0.2">
      <c r="A1090" s="3">
        <v>6440</v>
      </c>
      <c r="B1090" s="3" t="s">
        <v>1160</v>
      </c>
      <c r="C1090" s="3" t="s">
        <v>1161</v>
      </c>
      <c r="D1090" s="3" t="s">
        <v>1119</v>
      </c>
      <c r="E1090" s="3" t="str">
        <v>Lichtensteig</v>
      </c>
      <c r="I1090" s="19">
        <v>3537</v>
      </c>
      <c r="J1090" s="19" t="s">
        <v>4546</v>
      </c>
    </row>
    <row r="1091" spans="1:10" x14ac:dyDescent="0.2">
      <c r="A1091" s="3">
        <v>6424</v>
      </c>
      <c r="B1091" s="3" t="s">
        <v>1162</v>
      </c>
      <c r="C1091" s="3" t="s">
        <v>1162</v>
      </c>
      <c r="D1091" s="3" t="s">
        <v>1119</v>
      </c>
      <c r="E1091" s="3" t="str">
        <v>Oberhelfenschwil</v>
      </c>
      <c r="I1091" s="19">
        <v>3538</v>
      </c>
      <c r="J1091" s="19" t="s">
        <v>4546</v>
      </c>
    </row>
    <row r="1092" spans="1:10" x14ac:dyDescent="0.2">
      <c r="A1092" s="3">
        <v>6433</v>
      </c>
      <c r="B1092" s="3" t="s">
        <v>1163</v>
      </c>
      <c r="C1092" s="3" t="s">
        <v>1164</v>
      </c>
      <c r="D1092" s="3" t="s">
        <v>1119</v>
      </c>
      <c r="E1092" s="3" t="str">
        <v>Neckertal</v>
      </c>
      <c r="I1092" s="19">
        <v>3543</v>
      </c>
      <c r="J1092" s="19" t="s">
        <v>4546</v>
      </c>
    </row>
    <row r="1093" spans="1:10" x14ac:dyDescent="0.2">
      <c r="A1093" s="3">
        <v>6443</v>
      </c>
      <c r="B1093" s="3" t="s">
        <v>1164</v>
      </c>
      <c r="C1093" s="3" t="s">
        <v>1164</v>
      </c>
      <c r="D1093" s="3" t="s">
        <v>1119</v>
      </c>
      <c r="E1093" s="3" t="str">
        <v>Wattwil</v>
      </c>
      <c r="I1093" s="19">
        <v>3550</v>
      </c>
      <c r="J1093" s="19" t="s">
        <v>4546</v>
      </c>
    </row>
    <row r="1094" spans="1:10" x14ac:dyDescent="0.2">
      <c r="A1094" s="3">
        <v>6436</v>
      </c>
      <c r="B1094" s="3" t="s">
        <v>1165</v>
      </c>
      <c r="C1094" s="3" t="s">
        <v>1165</v>
      </c>
      <c r="D1094" s="3" t="s">
        <v>1119</v>
      </c>
      <c r="E1094" s="3" t="str">
        <v>Kirchberg (SG)</v>
      </c>
      <c r="I1094" s="19">
        <v>3551</v>
      </c>
      <c r="J1094" s="19" t="s">
        <v>4546</v>
      </c>
    </row>
    <row r="1095" spans="1:10" x14ac:dyDescent="0.2">
      <c r="A1095" s="3">
        <v>6436</v>
      </c>
      <c r="B1095" s="3" t="s">
        <v>1166</v>
      </c>
      <c r="C1095" s="3" t="s">
        <v>1165</v>
      </c>
      <c r="D1095" s="3" t="s">
        <v>1119</v>
      </c>
      <c r="E1095" s="3" t="str">
        <v>Lütisburg</v>
      </c>
      <c r="I1095" s="19">
        <v>3552</v>
      </c>
      <c r="J1095" s="19" t="s">
        <v>4546</v>
      </c>
    </row>
    <row r="1096" spans="1:10" x14ac:dyDescent="0.2">
      <c r="A1096" s="3">
        <v>6436</v>
      </c>
      <c r="B1096" s="3" t="s">
        <v>1167</v>
      </c>
      <c r="C1096" s="3" t="s">
        <v>1165</v>
      </c>
      <c r="D1096" s="3" t="s">
        <v>1119</v>
      </c>
      <c r="E1096" s="3" t="str">
        <v>Mosnang</v>
      </c>
      <c r="I1096" s="19">
        <v>3553</v>
      </c>
      <c r="J1096" s="19" t="s">
        <v>4546</v>
      </c>
    </row>
    <row r="1097" spans="1:10" x14ac:dyDescent="0.2">
      <c r="A1097" s="3">
        <v>8843</v>
      </c>
      <c r="B1097" s="3" t="s">
        <v>1168</v>
      </c>
      <c r="C1097" s="3" t="s">
        <v>1168</v>
      </c>
      <c r="D1097" s="3" t="s">
        <v>1119</v>
      </c>
      <c r="E1097" s="3" t="str">
        <v>Bütschwil-Ganterschwil</v>
      </c>
      <c r="I1097" s="19">
        <v>3555</v>
      </c>
      <c r="J1097" s="19" t="s">
        <v>4546</v>
      </c>
    </row>
    <row r="1098" spans="1:10" x14ac:dyDescent="0.2">
      <c r="A1098" s="3">
        <v>6452</v>
      </c>
      <c r="B1098" s="3" t="s">
        <v>1169</v>
      </c>
      <c r="C1098" s="3" t="s">
        <v>1169</v>
      </c>
      <c r="D1098" s="3" t="s">
        <v>1119</v>
      </c>
      <c r="E1098" s="3" t="str">
        <v>Degersheim</v>
      </c>
      <c r="I1098" s="19">
        <v>3556</v>
      </c>
      <c r="J1098" s="19" t="s">
        <v>4546</v>
      </c>
    </row>
    <row r="1099" spans="1:10" x14ac:dyDescent="0.2">
      <c r="A1099" s="3">
        <v>6418</v>
      </c>
      <c r="B1099" s="3" t="s">
        <v>1170</v>
      </c>
      <c r="C1099" s="3" t="s">
        <v>1170</v>
      </c>
      <c r="D1099" s="3" t="s">
        <v>1119</v>
      </c>
      <c r="E1099" s="3" t="str">
        <v>Flawil</v>
      </c>
      <c r="I1099" s="19">
        <v>3557</v>
      </c>
      <c r="J1099" s="19" t="s">
        <v>4555</v>
      </c>
    </row>
    <row r="1100" spans="1:10" x14ac:dyDescent="0.2">
      <c r="A1100" s="3">
        <v>6417</v>
      </c>
      <c r="B1100" s="3" t="s">
        <v>1171</v>
      </c>
      <c r="C1100" s="3" t="s">
        <v>1171</v>
      </c>
      <c r="D1100" s="3" t="s">
        <v>1119</v>
      </c>
      <c r="E1100" s="3" t="str">
        <v>Jonschwil</v>
      </c>
      <c r="I1100" s="19">
        <v>3600</v>
      </c>
      <c r="J1100" s="19" t="s">
        <v>4553</v>
      </c>
    </row>
    <row r="1101" spans="1:10" x14ac:dyDescent="0.2">
      <c r="A1101" s="3">
        <v>6423</v>
      </c>
      <c r="B1101" s="3" t="s">
        <v>1172</v>
      </c>
      <c r="C1101" s="3" t="s">
        <v>1173</v>
      </c>
      <c r="D1101" s="3" t="s">
        <v>1119</v>
      </c>
      <c r="E1101" s="3" t="str">
        <v>Oberuzwil</v>
      </c>
      <c r="I1101" s="19">
        <v>3603</v>
      </c>
      <c r="J1101" s="19" t="s">
        <v>4553</v>
      </c>
    </row>
    <row r="1102" spans="1:10" x14ac:dyDescent="0.2">
      <c r="A1102" s="3">
        <v>6430</v>
      </c>
      <c r="B1102" s="3" t="s">
        <v>1173</v>
      </c>
      <c r="C1102" s="3" t="s">
        <v>1173</v>
      </c>
      <c r="D1102" s="3" t="s">
        <v>1119</v>
      </c>
      <c r="E1102" s="3" t="str">
        <v>Uzwil</v>
      </c>
      <c r="I1102" s="19">
        <v>3604</v>
      </c>
      <c r="J1102" s="19" t="s">
        <v>4553</v>
      </c>
    </row>
    <row r="1103" spans="1:10" x14ac:dyDescent="0.2">
      <c r="A1103" s="3">
        <v>6432</v>
      </c>
      <c r="B1103" s="3" t="s">
        <v>1174</v>
      </c>
      <c r="C1103" s="3" t="s">
        <v>1173</v>
      </c>
      <c r="D1103" s="3" t="s">
        <v>1119</v>
      </c>
      <c r="E1103" s="3" t="str">
        <v>Niederbüren</v>
      </c>
      <c r="I1103" s="19">
        <v>3608</v>
      </c>
      <c r="J1103" s="19" t="s">
        <v>4553</v>
      </c>
    </row>
    <row r="1104" spans="1:10" x14ac:dyDescent="0.2">
      <c r="A1104" s="3">
        <v>6438</v>
      </c>
      <c r="B1104" s="3" t="s">
        <v>1175</v>
      </c>
      <c r="C1104" s="3" t="s">
        <v>1173</v>
      </c>
      <c r="D1104" s="3" t="s">
        <v>1119</v>
      </c>
      <c r="E1104" s="3" t="str">
        <v>Niederhelfenschwil</v>
      </c>
      <c r="I1104" s="19">
        <v>3612</v>
      </c>
      <c r="J1104" s="19" t="s">
        <v>4553</v>
      </c>
    </row>
    <row r="1105" spans="1:10" x14ac:dyDescent="0.2">
      <c r="A1105" s="3">
        <v>6422</v>
      </c>
      <c r="B1105" s="3" t="s">
        <v>1176</v>
      </c>
      <c r="C1105" s="3" t="s">
        <v>1176</v>
      </c>
      <c r="D1105" s="3" t="s">
        <v>1119</v>
      </c>
      <c r="E1105" s="3" t="str">
        <v>Oberbüren</v>
      </c>
      <c r="I1105" s="19">
        <v>3613</v>
      </c>
      <c r="J1105" s="19" t="s">
        <v>4553</v>
      </c>
    </row>
    <row r="1106" spans="1:10" x14ac:dyDescent="0.2">
      <c r="A1106" s="3">
        <v>6416</v>
      </c>
      <c r="B1106" s="3" t="s">
        <v>1177</v>
      </c>
      <c r="C1106" s="3" t="s">
        <v>1177</v>
      </c>
      <c r="D1106" s="3" t="s">
        <v>1119</v>
      </c>
      <c r="E1106" s="3" t="str">
        <v>Zuzwil (SG)</v>
      </c>
      <c r="I1106" s="19">
        <v>3614</v>
      </c>
      <c r="J1106" s="19" t="s">
        <v>4553</v>
      </c>
    </row>
    <row r="1107" spans="1:10" x14ac:dyDescent="0.2">
      <c r="A1107" s="3">
        <v>8842</v>
      </c>
      <c r="B1107" s="3" t="s">
        <v>1178</v>
      </c>
      <c r="C1107" s="3" t="s">
        <v>1178</v>
      </c>
      <c r="D1107" s="3" t="s">
        <v>1119</v>
      </c>
      <c r="E1107" s="3" t="str">
        <v>Wil (SG)</v>
      </c>
      <c r="I1107" s="19">
        <v>3615</v>
      </c>
      <c r="J1107" s="19" t="s">
        <v>4553</v>
      </c>
    </row>
    <row r="1108" spans="1:10" x14ac:dyDescent="0.2">
      <c r="A1108" s="3">
        <v>8845</v>
      </c>
      <c r="B1108" s="3" t="s">
        <v>1179</v>
      </c>
      <c r="C1108" s="3" t="s">
        <v>1178</v>
      </c>
      <c r="D1108" s="3" t="s">
        <v>1119</v>
      </c>
      <c r="E1108" s="3" t="str">
        <v>Andwil (SG)</v>
      </c>
      <c r="I1108" s="19">
        <v>3616</v>
      </c>
      <c r="J1108" s="19" t="s">
        <v>4553</v>
      </c>
    </row>
    <row r="1109" spans="1:10" x14ac:dyDescent="0.2">
      <c r="A1109" s="3">
        <v>6010</v>
      </c>
      <c r="B1109" s="3" t="s">
        <v>1180</v>
      </c>
      <c r="C1109" s="3" t="s">
        <v>1181</v>
      </c>
      <c r="D1109" s="3" t="s">
        <v>1182</v>
      </c>
      <c r="E1109" s="3" t="str">
        <v>Gaiserwald</v>
      </c>
      <c r="I1109" s="19">
        <v>3617</v>
      </c>
      <c r="J1109" s="19" t="s">
        <v>4553</v>
      </c>
    </row>
    <row r="1110" spans="1:10" x14ac:dyDescent="0.2">
      <c r="A1110" s="3">
        <v>6053</v>
      </c>
      <c r="B1110" s="3" t="s">
        <v>1183</v>
      </c>
      <c r="C1110" s="3" t="s">
        <v>1181</v>
      </c>
      <c r="D1110" s="3" t="s">
        <v>1182</v>
      </c>
      <c r="E1110" s="3" t="str">
        <v>Gossau (SG)</v>
      </c>
      <c r="I1110" s="19">
        <v>3618</v>
      </c>
      <c r="J1110" s="19" t="s">
        <v>4553</v>
      </c>
    </row>
    <row r="1111" spans="1:10" x14ac:dyDescent="0.2">
      <c r="A1111" s="3">
        <v>6055</v>
      </c>
      <c r="B1111" s="3" t="s">
        <v>1184</v>
      </c>
      <c r="C1111" s="3" t="s">
        <v>1181</v>
      </c>
      <c r="D1111" s="3" t="s">
        <v>1182</v>
      </c>
      <c r="E1111" s="3" t="str">
        <v>Waldkirch</v>
      </c>
      <c r="I1111" s="19">
        <v>3619</v>
      </c>
      <c r="J1111" s="19" t="s">
        <v>4553</v>
      </c>
    </row>
    <row r="1112" spans="1:10" x14ac:dyDescent="0.2">
      <c r="A1112" s="3">
        <v>6388</v>
      </c>
      <c r="B1112" s="3" t="s">
        <v>1185</v>
      </c>
      <c r="C1112" s="3" t="s">
        <v>1186</v>
      </c>
      <c r="D1112" s="3" t="s">
        <v>1182</v>
      </c>
      <c r="E1112" s="3" t="str">
        <v>Vaz/Obervaz</v>
      </c>
      <c r="I1112" s="19">
        <v>3622</v>
      </c>
      <c r="J1112" s="19" t="s">
        <v>4553</v>
      </c>
    </row>
    <row r="1113" spans="1:10" x14ac:dyDescent="0.2">
      <c r="A1113" s="3">
        <v>6390</v>
      </c>
      <c r="B1113" s="3" t="s">
        <v>1186</v>
      </c>
      <c r="C1113" s="3" t="s">
        <v>1186</v>
      </c>
      <c r="D1113" s="3" t="s">
        <v>1182</v>
      </c>
      <c r="E1113" s="3" t="str">
        <v>Lantsch/Lenz</v>
      </c>
      <c r="I1113" s="19">
        <v>3623</v>
      </c>
      <c r="J1113" s="19" t="s">
        <v>4553</v>
      </c>
    </row>
    <row r="1114" spans="1:10" x14ac:dyDescent="0.2">
      <c r="A1114" s="3">
        <v>6074</v>
      </c>
      <c r="B1114" s="3" t="s">
        <v>1187</v>
      </c>
      <c r="C1114" s="3" t="s">
        <v>1187</v>
      </c>
      <c r="D1114" s="3" t="s">
        <v>1182</v>
      </c>
      <c r="E1114" s="3" t="str">
        <v>Schmitten (GR)</v>
      </c>
      <c r="I1114" s="19">
        <v>3624</v>
      </c>
      <c r="J1114" s="19" t="s">
        <v>4553</v>
      </c>
    </row>
    <row r="1115" spans="1:10" x14ac:dyDescent="0.2">
      <c r="A1115" s="3">
        <v>6064</v>
      </c>
      <c r="B1115" s="3" t="s">
        <v>1188</v>
      </c>
      <c r="C1115" s="3" t="s">
        <v>1188</v>
      </c>
      <c r="D1115" s="3" t="s">
        <v>1182</v>
      </c>
      <c r="E1115" s="3" t="str">
        <v>Albula/Alvra</v>
      </c>
      <c r="I1115" s="19">
        <v>3625</v>
      </c>
      <c r="J1115" s="19" t="s">
        <v>4553</v>
      </c>
    </row>
    <row r="1116" spans="1:10" x14ac:dyDescent="0.2">
      <c r="A1116" s="3">
        <v>6066</v>
      </c>
      <c r="B1116" s="3" t="s">
        <v>1189</v>
      </c>
      <c r="C1116" s="3" t="s">
        <v>1188</v>
      </c>
      <c r="D1116" s="3" t="s">
        <v>1182</v>
      </c>
      <c r="E1116" s="3" t="str">
        <v>Surses</v>
      </c>
      <c r="I1116" s="19">
        <v>3626</v>
      </c>
      <c r="J1116" s="19" t="s">
        <v>4553</v>
      </c>
    </row>
    <row r="1117" spans="1:10" x14ac:dyDescent="0.2">
      <c r="A1117" s="3">
        <v>6067</v>
      </c>
      <c r="B1117" s="3" t="s">
        <v>1190</v>
      </c>
      <c r="C1117" s="3" t="s">
        <v>1188</v>
      </c>
      <c r="D1117" s="3" t="s">
        <v>1182</v>
      </c>
      <c r="E1117" s="3" t="str">
        <v>Bergün Filisur</v>
      </c>
      <c r="I1117" s="19">
        <v>3627</v>
      </c>
      <c r="J1117" s="19" t="s">
        <v>4553</v>
      </c>
    </row>
    <row r="1118" spans="1:10" x14ac:dyDescent="0.2">
      <c r="A1118" s="3">
        <v>6068</v>
      </c>
      <c r="B1118" s="3" t="s">
        <v>1191</v>
      </c>
      <c r="C1118" s="3" t="s">
        <v>1188</v>
      </c>
      <c r="D1118" s="3" t="s">
        <v>1182</v>
      </c>
      <c r="E1118" s="3" t="str">
        <v>Brusio</v>
      </c>
      <c r="I1118" s="19">
        <v>3628</v>
      </c>
      <c r="J1118" s="19" t="s">
        <v>4553</v>
      </c>
    </row>
    <row r="1119" spans="1:10" x14ac:dyDescent="0.2">
      <c r="A1119" s="3">
        <v>6078</v>
      </c>
      <c r="B1119" s="3" t="s">
        <v>1192</v>
      </c>
      <c r="C1119" s="3" t="s">
        <v>1192</v>
      </c>
      <c r="D1119" s="3" t="s">
        <v>1182</v>
      </c>
      <c r="E1119" s="3" t="str">
        <v>Poschiavo</v>
      </c>
      <c r="I1119" s="19">
        <v>3629</v>
      </c>
      <c r="J1119" s="19" t="s">
        <v>4553</v>
      </c>
    </row>
    <row r="1120" spans="1:10" x14ac:dyDescent="0.2">
      <c r="A1120" s="3">
        <v>6078</v>
      </c>
      <c r="B1120" s="3" t="s">
        <v>1193</v>
      </c>
      <c r="C1120" s="3" t="s">
        <v>1192</v>
      </c>
      <c r="D1120" s="3" t="s">
        <v>1182</v>
      </c>
      <c r="E1120" s="3" t="str">
        <v>Falera</v>
      </c>
      <c r="I1120" s="19">
        <v>3631</v>
      </c>
      <c r="J1120" s="19" t="s">
        <v>4553</v>
      </c>
    </row>
    <row r="1121" spans="1:10" x14ac:dyDescent="0.2">
      <c r="A1121" s="3">
        <v>6072</v>
      </c>
      <c r="B1121" s="3" t="s">
        <v>1194</v>
      </c>
      <c r="C1121" s="3" t="s">
        <v>1194</v>
      </c>
      <c r="D1121" s="3" t="s">
        <v>1182</v>
      </c>
      <c r="E1121" s="3" t="str">
        <v>Laax</v>
      </c>
      <c r="I1121" s="19">
        <v>3632</v>
      </c>
      <c r="J1121" s="19" t="s">
        <v>4553</v>
      </c>
    </row>
    <row r="1122" spans="1:10" x14ac:dyDescent="0.2">
      <c r="A1122" s="3">
        <v>6073</v>
      </c>
      <c r="B1122" s="3" t="s">
        <v>1195</v>
      </c>
      <c r="C1122" s="3" t="s">
        <v>1194</v>
      </c>
      <c r="D1122" s="3" t="s">
        <v>1182</v>
      </c>
      <c r="E1122" s="3" t="str">
        <v>Sagogn</v>
      </c>
      <c r="I1122" s="19">
        <v>3633</v>
      </c>
      <c r="J1122" s="19" t="s">
        <v>4553</v>
      </c>
    </row>
    <row r="1123" spans="1:10" x14ac:dyDescent="0.2">
      <c r="A1123" s="3">
        <v>6056</v>
      </c>
      <c r="B1123" s="3" t="s">
        <v>1196</v>
      </c>
      <c r="C1123" s="3" t="s">
        <v>1197</v>
      </c>
      <c r="D1123" s="3" t="s">
        <v>1182</v>
      </c>
      <c r="E1123" s="3" t="str">
        <v>Schluein</v>
      </c>
      <c r="I1123" s="19">
        <v>3634</v>
      </c>
      <c r="J1123" s="19" t="s">
        <v>4553</v>
      </c>
    </row>
    <row r="1124" spans="1:10" x14ac:dyDescent="0.2">
      <c r="A1124" s="3">
        <v>6060</v>
      </c>
      <c r="B1124" s="3" t="s">
        <v>1197</v>
      </c>
      <c r="C1124" s="3" t="s">
        <v>1197</v>
      </c>
      <c r="D1124" s="3" t="s">
        <v>1182</v>
      </c>
      <c r="E1124" s="3" t="str">
        <v>Vals</v>
      </c>
      <c r="I1124" s="19">
        <v>3635</v>
      </c>
      <c r="J1124" s="19" t="s">
        <v>4553</v>
      </c>
    </row>
    <row r="1125" spans="1:10" x14ac:dyDescent="0.2">
      <c r="A1125" s="3">
        <v>6060</v>
      </c>
      <c r="B1125" s="3" t="s">
        <v>1198</v>
      </c>
      <c r="C1125" s="3" t="s">
        <v>1197</v>
      </c>
      <c r="D1125" s="3" t="s">
        <v>1182</v>
      </c>
      <c r="E1125" s="3" t="str">
        <v>Lumnezia</v>
      </c>
      <c r="I1125" s="19">
        <v>3636</v>
      </c>
      <c r="J1125" s="19" t="s">
        <v>4553</v>
      </c>
    </row>
    <row r="1126" spans="1:10" x14ac:dyDescent="0.2">
      <c r="A1126" s="3">
        <v>6062</v>
      </c>
      <c r="B1126" s="3" t="s">
        <v>1199</v>
      </c>
      <c r="C1126" s="3" t="s">
        <v>1197</v>
      </c>
      <c r="D1126" s="3" t="s">
        <v>1182</v>
      </c>
      <c r="E1126" s="3" t="str">
        <v>Ilanz/Glion</v>
      </c>
      <c r="I1126" s="19">
        <v>3638</v>
      </c>
      <c r="J1126" s="19" t="s">
        <v>4553</v>
      </c>
    </row>
    <row r="1127" spans="1:10" x14ac:dyDescent="0.2">
      <c r="A1127" s="3">
        <v>6063</v>
      </c>
      <c r="B1127" s="3" t="s">
        <v>1200</v>
      </c>
      <c r="C1127" s="3" t="s">
        <v>1197</v>
      </c>
      <c r="D1127" s="3" t="s">
        <v>1182</v>
      </c>
      <c r="E1127" s="3" t="str">
        <v>Fürstenau</v>
      </c>
      <c r="I1127" s="19">
        <v>3645</v>
      </c>
      <c r="J1127" s="19" t="s">
        <v>4553</v>
      </c>
    </row>
    <row r="1128" spans="1:10" x14ac:dyDescent="0.2">
      <c r="A1128" s="3">
        <v>6375</v>
      </c>
      <c r="B1128" s="3" t="s">
        <v>1201</v>
      </c>
      <c r="C1128" s="3" t="s">
        <v>1201</v>
      </c>
      <c r="D1128" s="3" t="s">
        <v>1202</v>
      </c>
      <c r="E1128" s="3" t="str">
        <v>Rothenbrunnen</v>
      </c>
      <c r="I1128" s="19">
        <v>3646</v>
      </c>
      <c r="J1128" s="19" t="s">
        <v>4553</v>
      </c>
    </row>
    <row r="1129" spans="1:10" x14ac:dyDescent="0.2">
      <c r="A1129" s="3">
        <v>6374</v>
      </c>
      <c r="B1129" s="3" t="s">
        <v>1203</v>
      </c>
      <c r="C1129" s="3" t="s">
        <v>1203</v>
      </c>
      <c r="D1129" s="3" t="s">
        <v>1202</v>
      </c>
      <c r="E1129" s="3" t="str">
        <v>Scharans</v>
      </c>
      <c r="I1129" s="19">
        <v>3647</v>
      </c>
      <c r="J1129" s="19" t="s">
        <v>4553</v>
      </c>
    </row>
    <row r="1130" spans="1:10" x14ac:dyDescent="0.2">
      <c r="A1130" s="3">
        <v>6383</v>
      </c>
      <c r="B1130" s="3" t="s">
        <v>1204</v>
      </c>
      <c r="C1130" s="3" t="s">
        <v>1204</v>
      </c>
      <c r="D1130" s="3" t="s">
        <v>1202</v>
      </c>
      <c r="E1130" s="3" t="str">
        <v>Sils im Domleschg</v>
      </c>
      <c r="I1130" s="19">
        <v>3652</v>
      </c>
      <c r="J1130" s="19" t="s">
        <v>4553</v>
      </c>
    </row>
    <row r="1131" spans="1:10" x14ac:dyDescent="0.2">
      <c r="A1131" s="3">
        <v>6383</v>
      </c>
      <c r="B1131" s="3" t="s">
        <v>1205</v>
      </c>
      <c r="C1131" s="3" t="s">
        <v>1204</v>
      </c>
      <c r="D1131" s="3" t="s">
        <v>1202</v>
      </c>
      <c r="E1131" s="3" t="str">
        <v>Cazis</v>
      </c>
      <c r="I1131" s="19">
        <v>3653</v>
      </c>
      <c r="J1131" s="19" t="s">
        <v>4553</v>
      </c>
    </row>
    <row r="1132" spans="1:10" x14ac:dyDescent="0.2">
      <c r="A1132" s="3">
        <v>6383</v>
      </c>
      <c r="B1132" s="3" t="s">
        <v>1206</v>
      </c>
      <c r="C1132" s="3" t="s">
        <v>1204</v>
      </c>
      <c r="D1132" s="3" t="s">
        <v>1202</v>
      </c>
      <c r="E1132" s="3" t="str">
        <v>Flerden</v>
      </c>
      <c r="I1132" s="19">
        <v>3654</v>
      </c>
      <c r="J1132" s="19" t="s">
        <v>4553</v>
      </c>
    </row>
    <row r="1133" spans="1:10" x14ac:dyDescent="0.2">
      <c r="A1133" s="3">
        <v>6376</v>
      </c>
      <c r="B1133" s="3" t="s">
        <v>1207</v>
      </c>
      <c r="C1133" s="3" t="s">
        <v>1207</v>
      </c>
      <c r="D1133" s="3" t="s">
        <v>1202</v>
      </c>
      <c r="E1133" s="3" t="str">
        <v>Masein</v>
      </c>
      <c r="I1133" s="19">
        <v>3655</v>
      </c>
      <c r="J1133" s="19" t="s">
        <v>4553</v>
      </c>
    </row>
    <row r="1134" spans="1:10" x14ac:dyDescent="0.2">
      <c r="A1134" s="3">
        <v>6363</v>
      </c>
      <c r="B1134" s="3" t="s">
        <v>1208</v>
      </c>
      <c r="C1134" s="3" t="s">
        <v>1209</v>
      </c>
      <c r="D1134" s="3" t="s">
        <v>1202</v>
      </c>
      <c r="E1134" s="3" t="str">
        <v>Thusis</v>
      </c>
      <c r="I1134" s="19">
        <v>3656</v>
      </c>
      <c r="J1134" s="19" t="s">
        <v>4553</v>
      </c>
    </row>
    <row r="1135" spans="1:10" x14ac:dyDescent="0.2">
      <c r="A1135" s="3">
        <v>6373</v>
      </c>
      <c r="B1135" s="3" t="s">
        <v>1209</v>
      </c>
      <c r="C1135" s="3" t="s">
        <v>1209</v>
      </c>
      <c r="D1135" s="3" t="s">
        <v>1202</v>
      </c>
      <c r="E1135" s="3" t="str">
        <v>Tschappina</v>
      </c>
      <c r="I1135" s="19">
        <v>3657</v>
      </c>
      <c r="J1135" s="19" t="s">
        <v>4553</v>
      </c>
    </row>
    <row r="1136" spans="1:10" x14ac:dyDescent="0.2">
      <c r="A1136" s="3">
        <v>6372</v>
      </c>
      <c r="B1136" s="3" t="s">
        <v>1210</v>
      </c>
      <c r="C1136" s="3" t="s">
        <v>1210</v>
      </c>
      <c r="D1136" s="3" t="s">
        <v>1202</v>
      </c>
      <c r="E1136" s="3" t="str">
        <v>Urmein</v>
      </c>
      <c r="I1136" s="19">
        <v>3658</v>
      </c>
      <c r="J1136" s="19" t="s">
        <v>4553</v>
      </c>
    </row>
    <row r="1137" spans="1:10" x14ac:dyDescent="0.2">
      <c r="A1137" s="3">
        <v>6052</v>
      </c>
      <c r="B1137" s="3" t="s">
        <v>1211</v>
      </c>
      <c r="C1137" s="3" t="s">
        <v>1212</v>
      </c>
      <c r="D1137" s="3" t="s">
        <v>1202</v>
      </c>
      <c r="E1137" s="3" t="str">
        <v>Safiental</v>
      </c>
      <c r="I1137" s="19">
        <v>3661</v>
      </c>
      <c r="J1137" s="19" t="s">
        <v>4553</v>
      </c>
    </row>
    <row r="1138" spans="1:10" x14ac:dyDescent="0.2">
      <c r="A1138" s="3">
        <v>6370</v>
      </c>
      <c r="B1138" s="3" t="s">
        <v>1213</v>
      </c>
      <c r="C1138" s="3" t="s">
        <v>1214</v>
      </c>
      <c r="D1138" s="3" t="s">
        <v>1202</v>
      </c>
      <c r="E1138" s="3" t="str">
        <v>Domleschg</v>
      </c>
      <c r="I1138" s="19">
        <v>3662</v>
      </c>
      <c r="J1138" s="19" t="s">
        <v>4553</v>
      </c>
    </row>
    <row r="1139" spans="1:10" x14ac:dyDescent="0.2">
      <c r="A1139" s="3">
        <v>6382</v>
      </c>
      <c r="B1139" s="3" t="s">
        <v>1215</v>
      </c>
      <c r="C1139" s="3" t="s">
        <v>1214</v>
      </c>
      <c r="D1139" s="3" t="s">
        <v>1202</v>
      </c>
      <c r="E1139" s="3" t="str">
        <v>Avers</v>
      </c>
      <c r="I1139" s="19">
        <v>3663</v>
      </c>
      <c r="J1139" s="19" t="s">
        <v>4553</v>
      </c>
    </row>
    <row r="1140" spans="1:10" x14ac:dyDescent="0.2">
      <c r="A1140" s="3">
        <v>6383</v>
      </c>
      <c r="B1140" s="3" t="s">
        <v>1216</v>
      </c>
      <c r="C1140" s="3" t="s">
        <v>1214</v>
      </c>
      <c r="D1140" s="3" t="s">
        <v>1202</v>
      </c>
      <c r="E1140" s="3" t="str">
        <v>Sufers</v>
      </c>
      <c r="I1140" s="19">
        <v>3664</v>
      </c>
      <c r="J1140" s="19" t="s">
        <v>4553</v>
      </c>
    </row>
    <row r="1141" spans="1:10" x14ac:dyDescent="0.2">
      <c r="A1141" s="3">
        <v>6370</v>
      </c>
      <c r="B1141" s="3" t="s">
        <v>1217</v>
      </c>
      <c r="C1141" s="3" t="s">
        <v>1217</v>
      </c>
      <c r="D1141" s="3" t="s">
        <v>1202</v>
      </c>
      <c r="E1141" s="3" t="str">
        <v>Andeer</v>
      </c>
      <c r="I1141" s="19">
        <v>3665</v>
      </c>
      <c r="J1141" s="19" t="s">
        <v>4553</v>
      </c>
    </row>
    <row r="1142" spans="1:10" x14ac:dyDescent="0.2">
      <c r="A1142" s="3">
        <v>6362</v>
      </c>
      <c r="B1142" s="3" t="s">
        <v>1218</v>
      </c>
      <c r="C1142" s="3" t="s">
        <v>1218</v>
      </c>
      <c r="D1142" s="3" t="s">
        <v>1202</v>
      </c>
      <c r="E1142" s="3" t="str">
        <v>Rongellen</v>
      </c>
      <c r="I1142" s="19">
        <v>3671</v>
      </c>
      <c r="J1142" s="19" t="s">
        <v>4553</v>
      </c>
    </row>
    <row r="1143" spans="1:10" x14ac:dyDescent="0.2">
      <c r="A1143" s="3">
        <v>6363</v>
      </c>
      <c r="B1143" s="3" t="s">
        <v>1219</v>
      </c>
      <c r="C1143" s="3" t="s">
        <v>1218</v>
      </c>
      <c r="D1143" s="3" t="s">
        <v>1202</v>
      </c>
      <c r="E1143" s="3" t="str">
        <v>Zillis-Reischen</v>
      </c>
      <c r="I1143" s="19">
        <v>3672</v>
      </c>
      <c r="J1143" s="19" t="s">
        <v>4553</v>
      </c>
    </row>
    <row r="1144" spans="1:10" x14ac:dyDescent="0.2">
      <c r="A1144" s="3">
        <v>6363</v>
      </c>
      <c r="B1144" s="3" t="s">
        <v>1220</v>
      </c>
      <c r="C1144" s="3" t="s">
        <v>1218</v>
      </c>
      <c r="D1144" s="3" t="s">
        <v>1202</v>
      </c>
      <c r="E1144" s="3" t="str">
        <v>Ferrera</v>
      </c>
      <c r="I1144" s="19">
        <v>3673</v>
      </c>
      <c r="J1144" s="19" t="s">
        <v>4553</v>
      </c>
    </row>
    <row r="1145" spans="1:10" x14ac:dyDescent="0.2">
      <c r="A1145" s="3">
        <v>6365</v>
      </c>
      <c r="B1145" s="3" t="s">
        <v>1221</v>
      </c>
      <c r="C1145" s="3" t="s">
        <v>1218</v>
      </c>
      <c r="D1145" s="3" t="s">
        <v>1202</v>
      </c>
      <c r="E1145" s="3" t="str">
        <v>Rheinwald</v>
      </c>
      <c r="I1145" s="19">
        <v>3674</v>
      </c>
      <c r="J1145" s="19" t="s">
        <v>4553</v>
      </c>
    </row>
    <row r="1146" spans="1:10" x14ac:dyDescent="0.2">
      <c r="A1146" s="3">
        <v>6386</v>
      </c>
      <c r="B1146" s="3" t="s">
        <v>1222</v>
      </c>
      <c r="C1146" s="3" t="s">
        <v>1222</v>
      </c>
      <c r="D1146" s="3" t="s">
        <v>1202</v>
      </c>
      <c r="E1146" s="3" t="str">
        <v>Muntogna da Schons</v>
      </c>
      <c r="I1146" s="19">
        <v>3700</v>
      </c>
      <c r="J1146" s="19" t="s">
        <v>4553</v>
      </c>
    </row>
    <row r="1147" spans="1:10" x14ac:dyDescent="0.2">
      <c r="A1147" s="3">
        <v>6387</v>
      </c>
      <c r="B1147" s="3" t="s">
        <v>1223</v>
      </c>
      <c r="C1147" s="3" t="s">
        <v>1222</v>
      </c>
      <c r="D1147" s="3" t="s">
        <v>1202</v>
      </c>
      <c r="E1147" s="3" t="str">
        <v>Bonaduz</v>
      </c>
      <c r="I1147" s="19">
        <v>3702</v>
      </c>
      <c r="J1147" s="19" t="s">
        <v>4553</v>
      </c>
    </row>
    <row r="1148" spans="1:10" x14ac:dyDescent="0.2">
      <c r="A1148" s="3">
        <v>8752</v>
      </c>
      <c r="B1148" s="3" t="s">
        <v>1224</v>
      </c>
      <c r="C1148" s="3" t="s">
        <v>1225</v>
      </c>
      <c r="D1148" s="3" t="s">
        <v>1226</v>
      </c>
      <c r="E1148" s="3" t="str">
        <v>Domat/Ems</v>
      </c>
      <c r="I1148" s="19">
        <v>3703</v>
      </c>
      <c r="J1148" s="19" t="s">
        <v>4553</v>
      </c>
    </row>
    <row r="1149" spans="1:10" x14ac:dyDescent="0.2">
      <c r="A1149" s="3">
        <v>8753</v>
      </c>
      <c r="B1149" s="3" t="s">
        <v>1227</v>
      </c>
      <c r="C1149" s="3" t="s">
        <v>1225</v>
      </c>
      <c r="D1149" s="3" t="s">
        <v>1226</v>
      </c>
      <c r="E1149" s="3" t="str">
        <v>Rhäzüns</v>
      </c>
      <c r="I1149" s="19">
        <v>3704</v>
      </c>
      <c r="J1149" s="19" t="s">
        <v>4553</v>
      </c>
    </row>
    <row r="1150" spans="1:10" x14ac:dyDescent="0.2">
      <c r="A1150" s="3">
        <v>8757</v>
      </c>
      <c r="B1150" s="3" t="s">
        <v>1228</v>
      </c>
      <c r="C1150" s="3" t="s">
        <v>1225</v>
      </c>
      <c r="D1150" s="3" t="s">
        <v>1226</v>
      </c>
      <c r="E1150" s="3" t="str">
        <v>Felsberg</v>
      </c>
      <c r="I1150" s="19">
        <v>3705</v>
      </c>
      <c r="J1150" s="19" t="s">
        <v>4553</v>
      </c>
    </row>
    <row r="1151" spans="1:10" x14ac:dyDescent="0.2">
      <c r="A1151" s="3">
        <v>8758</v>
      </c>
      <c r="B1151" s="3" t="s">
        <v>1229</v>
      </c>
      <c r="C1151" s="3" t="s">
        <v>1225</v>
      </c>
      <c r="D1151" s="3" t="s">
        <v>1226</v>
      </c>
      <c r="E1151" s="3" t="str">
        <v>Flims</v>
      </c>
      <c r="I1151" s="19">
        <v>3706</v>
      </c>
      <c r="J1151" s="19" t="s">
        <v>4553</v>
      </c>
    </row>
    <row r="1152" spans="1:10" x14ac:dyDescent="0.2">
      <c r="A1152" s="3">
        <v>8865</v>
      </c>
      <c r="B1152" s="3" t="s">
        <v>1230</v>
      </c>
      <c r="C1152" s="3" t="s">
        <v>1225</v>
      </c>
      <c r="D1152" s="3" t="s">
        <v>1226</v>
      </c>
      <c r="E1152" s="3" t="str">
        <v>Tamins</v>
      </c>
      <c r="I1152" s="19">
        <v>3707</v>
      </c>
      <c r="J1152" s="19" t="s">
        <v>4553</v>
      </c>
    </row>
    <row r="1153" spans="1:10" x14ac:dyDescent="0.2">
      <c r="A1153" s="3">
        <v>8867</v>
      </c>
      <c r="B1153" s="3" t="s">
        <v>1231</v>
      </c>
      <c r="C1153" s="3" t="s">
        <v>1225</v>
      </c>
      <c r="D1153" s="3" t="s">
        <v>1226</v>
      </c>
      <c r="E1153" s="3" t="str">
        <v>Trin</v>
      </c>
      <c r="I1153" s="19">
        <v>3711</v>
      </c>
      <c r="J1153" s="19" t="s">
        <v>4553</v>
      </c>
    </row>
    <row r="1154" spans="1:10" x14ac:dyDescent="0.2">
      <c r="A1154" s="3">
        <v>8868</v>
      </c>
      <c r="B1154" s="3" t="s">
        <v>1232</v>
      </c>
      <c r="C1154" s="3" t="s">
        <v>1225</v>
      </c>
      <c r="D1154" s="3" t="s">
        <v>1226</v>
      </c>
      <c r="E1154" s="3" t="str">
        <v>Zernez</v>
      </c>
      <c r="I1154" s="19">
        <v>3713</v>
      </c>
      <c r="J1154" s="19" t="s">
        <v>4553</v>
      </c>
    </row>
    <row r="1155" spans="1:10" x14ac:dyDescent="0.2">
      <c r="A1155" s="3">
        <v>8874</v>
      </c>
      <c r="B1155" s="3" t="s">
        <v>1233</v>
      </c>
      <c r="C1155" s="3" t="s">
        <v>1225</v>
      </c>
      <c r="D1155" s="3" t="s">
        <v>1226</v>
      </c>
      <c r="E1155" s="3" t="str">
        <v>Samnaun</v>
      </c>
      <c r="I1155" s="19">
        <v>3714</v>
      </c>
      <c r="J1155" s="19" t="s">
        <v>4553</v>
      </c>
    </row>
    <row r="1156" spans="1:10" x14ac:dyDescent="0.2">
      <c r="A1156" s="3">
        <v>8756</v>
      </c>
      <c r="B1156" s="3" t="s">
        <v>1234</v>
      </c>
      <c r="C1156" s="3" t="s">
        <v>1235</v>
      </c>
      <c r="D1156" s="3" t="s">
        <v>1226</v>
      </c>
      <c r="E1156" s="3" t="str">
        <v>Scuol</v>
      </c>
      <c r="I1156" s="19">
        <v>3715</v>
      </c>
      <c r="J1156" s="19" t="s">
        <v>4544</v>
      </c>
    </row>
    <row r="1157" spans="1:10" x14ac:dyDescent="0.2">
      <c r="A1157" s="3">
        <v>8762</v>
      </c>
      <c r="B1157" s="3" t="s">
        <v>1236</v>
      </c>
      <c r="C1157" s="3" t="s">
        <v>1235</v>
      </c>
      <c r="D1157" s="3" t="s">
        <v>1226</v>
      </c>
      <c r="E1157" s="3" t="str">
        <v>Valsot</v>
      </c>
      <c r="I1157" s="19">
        <v>3716</v>
      </c>
      <c r="J1157" s="19" t="s">
        <v>4553</v>
      </c>
    </row>
    <row r="1158" spans="1:10" x14ac:dyDescent="0.2">
      <c r="A1158" s="3">
        <v>8762</v>
      </c>
      <c r="B1158" s="3" t="s">
        <v>1237</v>
      </c>
      <c r="C1158" s="3" t="s">
        <v>1235</v>
      </c>
      <c r="D1158" s="3" t="s">
        <v>1226</v>
      </c>
      <c r="E1158" s="3" t="str">
        <v>Bever</v>
      </c>
      <c r="I1158" s="19">
        <v>3717</v>
      </c>
      <c r="J1158" s="19" t="s">
        <v>4553</v>
      </c>
    </row>
    <row r="1159" spans="1:10" x14ac:dyDescent="0.2">
      <c r="A1159" s="3">
        <v>8762</v>
      </c>
      <c r="B1159" s="3" t="s">
        <v>1238</v>
      </c>
      <c r="C1159" s="3" t="s">
        <v>1235</v>
      </c>
      <c r="D1159" s="3" t="s">
        <v>1226</v>
      </c>
      <c r="E1159" s="3" t="str">
        <v>Celerina/Schlarigna</v>
      </c>
      <c r="I1159" s="19">
        <v>3718</v>
      </c>
      <c r="J1159" s="19" t="s">
        <v>4544</v>
      </c>
    </row>
    <row r="1160" spans="1:10" x14ac:dyDescent="0.2">
      <c r="A1160" s="3">
        <v>8765</v>
      </c>
      <c r="B1160" s="3" t="s">
        <v>1239</v>
      </c>
      <c r="C1160" s="3" t="s">
        <v>1235</v>
      </c>
      <c r="D1160" s="3" t="s">
        <v>1226</v>
      </c>
      <c r="E1160" s="3" t="str">
        <v>Madulain</v>
      </c>
      <c r="I1160" s="19">
        <v>3722</v>
      </c>
      <c r="J1160" s="19" t="s">
        <v>4553</v>
      </c>
    </row>
    <row r="1161" spans="1:10" x14ac:dyDescent="0.2">
      <c r="A1161" s="3">
        <v>8766</v>
      </c>
      <c r="B1161" s="3" t="s">
        <v>1240</v>
      </c>
      <c r="C1161" s="3" t="s">
        <v>1235</v>
      </c>
      <c r="D1161" s="3" t="s">
        <v>1226</v>
      </c>
      <c r="E1161" s="3" t="str">
        <v>Pontresina</v>
      </c>
      <c r="I1161" s="19">
        <v>3723</v>
      </c>
      <c r="J1161" s="19" t="s">
        <v>4553</v>
      </c>
    </row>
    <row r="1162" spans="1:10" x14ac:dyDescent="0.2">
      <c r="A1162" s="3">
        <v>8767</v>
      </c>
      <c r="B1162" s="3" t="s">
        <v>1241</v>
      </c>
      <c r="C1162" s="3" t="s">
        <v>1235</v>
      </c>
      <c r="D1162" s="3" t="s">
        <v>1226</v>
      </c>
      <c r="E1162" s="3" t="str">
        <v>La Punt Chamues-ch</v>
      </c>
      <c r="I1162" s="19">
        <v>3724</v>
      </c>
      <c r="J1162" s="19" t="s">
        <v>4544</v>
      </c>
    </row>
    <row r="1163" spans="1:10" x14ac:dyDescent="0.2">
      <c r="A1163" s="3">
        <v>8772</v>
      </c>
      <c r="B1163" s="3" t="s">
        <v>1242</v>
      </c>
      <c r="C1163" s="3" t="s">
        <v>1235</v>
      </c>
      <c r="D1163" s="3" t="s">
        <v>1226</v>
      </c>
      <c r="E1163" s="3" t="str">
        <v>Samedan</v>
      </c>
      <c r="I1163" s="19">
        <v>3725</v>
      </c>
      <c r="J1163" s="19" t="s">
        <v>4544</v>
      </c>
    </row>
    <row r="1164" spans="1:10" x14ac:dyDescent="0.2">
      <c r="A1164" s="3">
        <v>8773</v>
      </c>
      <c r="B1164" s="3" t="s">
        <v>1243</v>
      </c>
      <c r="C1164" s="3" t="s">
        <v>1235</v>
      </c>
      <c r="D1164" s="3" t="s">
        <v>1226</v>
      </c>
      <c r="E1164" s="3" t="str">
        <v>St. Moritz</v>
      </c>
      <c r="I1164" s="19">
        <v>3752</v>
      </c>
      <c r="J1164" s="19" t="s">
        <v>4553</v>
      </c>
    </row>
    <row r="1165" spans="1:10" x14ac:dyDescent="0.2">
      <c r="A1165" s="3">
        <v>8774</v>
      </c>
      <c r="B1165" s="3" t="s">
        <v>1244</v>
      </c>
      <c r="C1165" s="3" t="s">
        <v>1235</v>
      </c>
      <c r="D1165" s="3" t="s">
        <v>1226</v>
      </c>
      <c r="E1165" s="3" t="str">
        <v>S-chanf</v>
      </c>
      <c r="I1165" s="19">
        <v>3753</v>
      </c>
      <c r="J1165" s="19" t="s">
        <v>4553</v>
      </c>
    </row>
    <row r="1166" spans="1:10" x14ac:dyDescent="0.2">
      <c r="A1166" s="3">
        <v>8775</v>
      </c>
      <c r="B1166" s="3" t="s">
        <v>1245</v>
      </c>
      <c r="C1166" s="3" t="s">
        <v>1235</v>
      </c>
      <c r="D1166" s="3" t="s">
        <v>1226</v>
      </c>
      <c r="E1166" s="3" t="str">
        <v>Sils im Engadin/Segl</v>
      </c>
      <c r="I1166" s="19">
        <v>3754</v>
      </c>
      <c r="J1166" s="19" t="s">
        <v>4553</v>
      </c>
    </row>
    <row r="1167" spans="1:10" x14ac:dyDescent="0.2">
      <c r="A1167" s="3">
        <v>8775</v>
      </c>
      <c r="B1167" s="3" t="s">
        <v>1246</v>
      </c>
      <c r="C1167" s="3" t="s">
        <v>1235</v>
      </c>
      <c r="D1167" s="3" t="s">
        <v>1226</v>
      </c>
      <c r="E1167" s="3" t="str">
        <v>Silvaplana</v>
      </c>
      <c r="I1167" s="19">
        <v>3755</v>
      </c>
      <c r="J1167" s="19" t="s">
        <v>4544</v>
      </c>
    </row>
    <row r="1168" spans="1:10" x14ac:dyDescent="0.2">
      <c r="A1168" s="3">
        <v>8777</v>
      </c>
      <c r="B1168" s="3" t="s">
        <v>1247</v>
      </c>
      <c r="C1168" s="3" t="s">
        <v>1235</v>
      </c>
      <c r="D1168" s="3" t="s">
        <v>1226</v>
      </c>
      <c r="E1168" s="3" t="str">
        <v>Zuoz</v>
      </c>
      <c r="I1168" s="19">
        <v>3756</v>
      </c>
      <c r="J1168" s="19" t="s">
        <v>4544</v>
      </c>
    </row>
    <row r="1169" spans="1:10" x14ac:dyDescent="0.2">
      <c r="A1169" s="3">
        <v>8777</v>
      </c>
      <c r="B1169" s="3" t="s">
        <v>1248</v>
      </c>
      <c r="C1169" s="3" t="s">
        <v>1235</v>
      </c>
      <c r="D1169" s="3" t="s">
        <v>1226</v>
      </c>
      <c r="E1169" s="3" t="str">
        <v>Bregaglia</v>
      </c>
      <c r="I1169" s="19">
        <v>3757</v>
      </c>
      <c r="J1169" s="19" t="s">
        <v>4544</v>
      </c>
    </row>
    <row r="1170" spans="1:10" x14ac:dyDescent="0.2">
      <c r="A1170" s="3">
        <v>8782</v>
      </c>
      <c r="B1170" s="3" t="s">
        <v>1249</v>
      </c>
      <c r="C1170" s="3" t="s">
        <v>1235</v>
      </c>
      <c r="D1170" s="3" t="s">
        <v>1226</v>
      </c>
      <c r="E1170" s="3" t="str">
        <v>Buseno</v>
      </c>
      <c r="I1170" s="19">
        <v>3758</v>
      </c>
      <c r="J1170" s="19" t="s">
        <v>4553</v>
      </c>
    </row>
    <row r="1171" spans="1:10" x14ac:dyDescent="0.2">
      <c r="A1171" s="3">
        <v>8783</v>
      </c>
      <c r="B1171" s="3" t="s">
        <v>1250</v>
      </c>
      <c r="C1171" s="3" t="s">
        <v>1235</v>
      </c>
      <c r="D1171" s="3" t="s">
        <v>1226</v>
      </c>
      <c r="E1171" s="3" t="str">
        <v>Castaneda</v>
      </c>
      <c r="I1171" s="19">
        <v>3762</v>
      </c>
      <c r="J1171" s="19" t="s">
        <v>4553</v>
      </c>
    </row>
    <row r="1172" spans="1:10" x14ac:dyDescent="0.2">
      <c r="A1172" s="3">
        <v>8784</v>
      </c>
      <c r="B1172" s="3" t="s">
        <v>1251</v>
      </c>
      <c r="C1172" s="3" t="s">
        <v>1235</v>
      </c>
      <c r="D1172" s="3" t="s">
        <v>1226</v>
      </c>
      <c r="E1172" s="3" t="str">
        <v>Rossa</v>
      </c>
      <c r="I1172" s="19">
        <v>3763</v>
      </c>
      <c r="J1172" s="19" t="s">
        <v>4553</v>
      </c>
    </row>
    <row r="1173" spans="1:10" x14ac:dyDescent="0.2">
      <c r="A1173" s="3">
        <v>8750</v>
      </c>
      <c r="B1173" s="3" t="s">
        <v>1252</v>
      </c>
      <c r="C1173" s="3" t="s">
        <v>1252</v>
      </c>
      <c r="D1173" s="3" t="s">
        <v>1226</v>
      </c>
      <c r="E1173" s="3" t="str">
        <v>Santa Maria in Calanca</v>
      </c>
      <c r="I1173" s="19">
        <v>3764</v>
      </c>
      <c r="J1173" s="19" t="s">
        <v>4553</v>
      </c>
    </row>
    <row r="1174" spans="1:10" x14ac:dyDescent="0.2">
      <c r="A1174" s="3">
        <v>8750</v>
      </c>
      <c r="B1174" s="3" t="s">
        <v>1253</v>
      </c>
      <c r="C1174" s="3" t="s">
        <v>1252</v>
      </c>
      <c r="D1174" s="3" t="s">
        <v>1226</v>
      </c>
      <c r="E1174" s="3" t="str">
        <v>Lostallo</v>
      </c>
      <c r="I1174" s="19">
        <v>3765</v>
      </c>
      <c r="J1174" s="19" t="s">
        <v>4553</v>
      </c>
    </row>
    <row r="1175" spans="1:10" x14ac:dyDescent="0.2">
      <c r="A1175" s="3">
        <v>8750</v>
      </c>
      <c r="B1175" s="3" t="s">
        <v>1254</v>
      </c>
      <c r="C1175" s="3" t="s">
        <v>1252</v>
      </c>
      <c r="D1175" s="3" t="s">
        <v>1226</v>
      </c>
      <c r="E1175" s="3" t="str">
        <v>Mesocco</v>
      </c>
      <c r="I1175" s="19">
        <v>3766</v>
      </c>
      <c r="J1175" s="19" t="s">
        <v>4544</v>
      </c>
    </row>
    <row r="1176" spans="1:10" x14ac:dyDescent="0.2">
      <c r="A1176" s="3">
        <v>8754</v>
      </c>
      <c r="B1176" s="3" t="s">
        <v>1255</v>
      </c>
      <c r="C1176" s="3" t="s">
        <v>1252</v>
      </c>
      <c r="D1176" s="3" t="s">
        <v>1226</v>
      </c>
      <c r="E1176" s="3" t="str">
        <v>Soazza</v>
      </c>
      <c r="I1176" s="19">
        <v>3770</v>
      </c>
      <c r="J1176" s="19" t="s">
        <v>4544</v>
      </c>
    </row>
    <row r="1177" spans="1:10" x14ac:dyDescent="0.2">
      <c r="A1177" s="3">
        <v>8755</v>
      </c>
      <c r="B1177" s="3" t="s">
        <v>1256</v>
      </c>
      <c r="C1177" s="3" t="s">
        <v>1252</v>
      </c>
      <c r="D1177" s="3" t="s">
        <v>1226</v>
      </c>
      <c r="E1177" s="3" t="str">
        <v>Cama</v>
      </c>
      <c r="I1177" s="19">
        <v>3771</v>
      </c>
      <c r="J1177" s="19" t="s">
        <v>4544</v>
      </c>
    </row>
    <row r="1178" spans="1:10" x14ac:dyDescent="0.2">
      <c r="A1178" s="3">
        <v>6319</v>
      </c>
      <c r="B1178" s="3" t="s">
        <v>1257</v>
      </c>
      <c r="C1178" s="3" t="s">
        <v>1258</v>
      </c>
      <c r="D1178" s="3" t="s">
        <v>1259</v>
      </c>
      <c r="E1178" s="3" t="str">
        <v>Grono</v>
      </c>
      <c r="I1178" s="19">
        <v>3772</v>
      </c>
      <c r="J1178" s="19" t="s">
        <v>4544</v>
      </c>
    </row>
    <row r="1179" spans="1:10" x14ac:dyDescent="0.2">
      <c r="A1179" s="3">
        <v>6340</v>
      </c>
      <c r="B1179" s="3" t="s">
        <v>1258</v>
      </c>
      <c r="C1179" s="3" t="s">
        <v>1258</v>
      </c>
      <c r="D1179" s="3" t="s">
        <v>1259</v>
      </c>
      <c r="E1179" s="3" t="str">
        <v>Roveredo (GR)</v>
      </c>
      <c r="I1179" s="19">
        <v>3773</v>
      </c>
      <c r="J1179" s="19" t="s">
        <v>4544</v>
      </c>
    </row>
    <row r="1180" spans="1:10" x14ac:dyDescent="0.2">
      <c r="A1180" s="3">
        <v>6330</v>
      </c>
      <c r="B1180" s="3" t="s">
        <v>1260</v>
      </c>
      <c r="C1180" s="3" t="s">
        <v>1260</v>
      </c>
      <c r="D1180" s="3" t="s">
        <v>1259</v>
      </c>
      <c r="E1180" s="3" t="str">
        <v>San Vittore</v>
      </c>
      <c r="I1180" s="19">
        <v>3775</v>
      </c>
      <c r="J1180" s="19" t="s">
        <v>4544</v>
      </c>
    </row>
    <row r="1181" spans="1:10" x14ac:dyDescent="0.2">
      <c r="A1181" s="3">
        <v>6332</v>
      </c>
      <c r="B1181" s="3" t="s">
        <v>1261</v>
      </c>
      <c r="C1181" s="3" t="s">
        <v>1260</v>
      </c>
      <c r="D1181" s="3" t="s">
        <v>1259</v>
      </c>
      <c r="E1181" s="3" t="str">
        <v>Calanca</v>
      </c>
      <c r="I1181" s="19">
        <v>3776</v>
      </c>
      <c r="J1181" s="19" t="s">
        <v>4544</v>
      </c>
    </row>
    <row r="1182" spans="1:10" x14ac:dyDescent="0.2">
      <c r="A1182" s="3">
        <v>6331</v>
      </c>
      <c r="B1182" s="3" t="s">
        <v>1262</v>
      </c>
      <c r="C1182" s="3" t="s">
        <v>1262</v>
      </c>
      <c r="D1182" s="3" t="s">
        <v>1259</v>
      </c>
      <c r="E1182" s="3" t="str">
        <v>Val Müstair</v>
      </c>
      <c r="I1182" s="19">
        <v>3777</v>
      </c>
      <c r="J1182" s="19" t="s">
        <v>4544</v>
      </c>
    </row>
    <row r="1183" spans="1:10" x14ac:dyDescent="0.2">
      <c r="A1183" s="3">
        <v>6333</v>
      </c>
      <c r="B1183" s="3" t="s">
        <v>1263</v>
      </c>
      <c r="C1183" s="3" t="s">
        <v>1262</v>
      </c>
      <c r="D1183" s="3" t="s">
        <v>1259</v>
      </c>
      <c r="E1183" s="3" t="str">
        <v>Davos</v>
      </c>
      <c r="I1183" s="19">
        <v>3778</v>
      </c>
      <c r="J1183" s="19" t="s">
        <v>4544</v>
      </c>
    </row>
    <row r="1184" spans="1:10" x14ac:dyDescent="0.2">
      <c r="A1184" s="3">
        <v>6313</v>
      </c>
      <c r="B1184" s="3" t="s">
        <v>1264</v>
      </c>
      <c r="C1184" s="3" t="s">
        <v>1264</v>
      </c>
      <c r="D1184" s="3" t="s">
        <v>1259</v>
      </c>
      <c r="E1184" s="3" t="str">
        <v>Fideris</v>
      </c>
      <c r="I1184" s="19">
        <v>3780</v>
      </c>
      <c r="J1184" s="19" t="s">
        <v>4544</v>
      </c>
    </row>
    <row r="1185" spans="1:10" x14ac:dyDescent="0.2">
      <c r="A1185" s="3">
        <v>6313</v>
      </c>
      <c r="B1185" s="3" t="s">
        <v>1264</v>
      </c>
      <c r="C1185" s="3" t="s">
        <v>1264</v>
      </c>
      <c r="D1185" s="3" t="s">
        <v>1259</v>
      </c>
      <c r="E1185" s="3" t="str">
        <v>Furna</v>
      </c>
      <c r="I1185" s="19">
        <v>3781</v>
      </c>
      <c r="J1185" s="19" t="s">
        <v>4544</v>
      </c>
    </row>
    <row r="1186" spans="1:10" x14ac:dyDescent="0.2">
      <c r="A1186" s="3">
        <v>6313</v>
      </c>
      <c r="B1186" s="3" t="s">
        <v>1265</v>
      </c>
      <c r="C1186" s="3" t="s">
        <v>1264</v>
      </c>
      <c r="D1186" s="3" t="s">
        <v>1259</v>
      </c>
      <c r="E1186" s="3" t="str">
        <v>Jenaz</v>
      </c>
      <c r="I1186" s="19">
        <v>3782</v>
      </c>
      <c r="J1186" s="19" t="s">
        <v>4544</v>
      </c>
    </row>
    <row r="1187" spans="1:10" x14ac:dyDescent="0.2">
      <c r="A1187" s="3">
        <v>6313</v>
      </c>
      <c r="B1187" s="3" t="s">
        <v>1266</v>
      </c>
      <c r="C1187" s="3" t="s">
        <v>1264</v>
      </c>
      <c r="D1187" s="3" t="s">
        <v>1259</v>
      </c>
      <c r="E1187" s="3" t="str">
        <v>Klosters</v>
      </c>
      <c r="I1187" s="19">
        <v>3783</v>
      </c>
      <c r="J1187" s="19" t="s">
        <v>4544</v>
      </c>
    </row>
    <row r="1188" spans="1:10" x14ac:dyDescent="0.2">
      <c r="A1188" s="3">
        <v>6340</v>
      </c>
      <c r="B1188" s="3" t="s">
        <v>1267</v>
      </c>
      <c r="C1188" s="3" t="s">
        <v>1268</v>
      </c>
      <c r="D1188" s="3" t="s">
        <v>1259</v>
      </c>
      <c r="E1188" s="3" t="str">
        <v>Conters im Prättigau</v>
      </c>
      <c r="I1188" s="19">
        <v>3784</v>
      </c>
      <c r="J1188" s="19" t="s">
        <v>4544</v>
      </c>
    </row>
    <row r="1189" spans="1:10" x14ac:dyDescent="0.2">
      <c r="A1189" s="3">
        <v>6345</v>
      </c>
      <c r="B1189" s="3" t="s">
        <v>1268</v>
      </c>
      <c r="C1189" s="3" t="s">
        <v>1268</v>
      </c>
      <c r="D1189" s="3" t="s">
        <v>1259</v>
      </c>
      <c r="E1189" s="3" t="str">
        <v>Küblis</v>
      </c>
      <c r="I1189" s="19">
        <v>3785</v>
      </c>
      <c r="J1189" s="19" t="s">
        <v>4544</v>
      </c>
    </row>
    <row r="1190" spans="1:10" x14ac:dyDescent="0.2">
      <c r="A1190" s="3">
        <v>6315</v>
      </c>
      <c r="B1190" s="3" t="s">
        <v>1269</v>
      </c>
      <c r="C1190" s="3" t="s">
        <v>1269</v>
      </c>
      <c r="D1190" s="3" t="s">
        <v>1259</v>
      </c>
      <c r="E1190" s="3" t="str">
        <v>Luzein</v>
      </c>
      <c r="I1190" s="19">
        <v>3792</v>
      </c>
      <c r="J1190" s="19" t="s">
        <v>4544</v>
      </c>
    </row>
    <row r="1191" spans="1:10" x14ac:dyDescent="0.2">
      <c r="A1191" s="3">
        <v>6315</v>
      </c>
      <c r="B1191" s="3" t="s">
        <v>1270</v>
      </c>
      <c r="C1191" s="3" t="s">
        <v>1269</v>
      </c>
      <c r="D1191" s="3" t="s">
        <v>1259</v>
      </c>
      <c r="E1191" s="3" t="str">
        <v>Chur</v>
      </c>
      <c r="I1191" s="19">
        <v>3800</v>
      </c>
      <c r="J1191" s="19" t="s">
        <v>4553</v>
      </c>
    </row>
    <row r="1192" spans="1:10" x14ac:dyDescent="0.2">
      <c r="A1192" s="3">
        <v>6315</v>
      </c>
      <c r="B1192" s="3" t="s">
        <v>1271</v>
      </c>
      <c r="C1192" s="3" t="s">
        <v>1269</v>
      </c>
      <c r="D1192" s="3" t="s">
        <v>1259</v>
      </c>
      <c r="E1192" s="3" t="str">
        <v>Churwalden</v>
      </c>
      <c r="I1192" s="19">
        <v>3801</v>
      </c>
      <c r="J1192" s="19" t="s">
        <v>4553</v>
      </c>
    </row>
    <row r="1193" spans="1:10" x14ac:dyDescent="0.2">
      <c r="A1193" s="3">
        <v>6343</v>
      </c>
      <c r="B1193" s="3" t="s">
        <v>1272</v>
      </c>
      <c r="C1193" s="3" t="s">
        <v>1273</v>
      </c>
      <c r="D1193" s="3" t="s">
        <v>1259</v>
      </c>
      <c r="E1193" s="3" t="str">
        <v>Arosa</v>
      </c>
      <c r="I1193" s="19">
        <v>3803</v>
      </c>
      <c r="J1193" s="19" t="s">
        <v>4553</v>
      </c>
    </row>
    <row r="1194" spans="1:10" x14ac:dyDescent="0.2">
      <c r="A1194" s="3">
        <v>6343</v>
      </c>
      <c r="B1194" s="3" t="s">
        <v>1274</v>
      </c>
      <c r="C1194" s="3" t="s">
        <v>1273</v>
      </c>
      <c r="D1194" s="3" t="s">
        <v>1259</v>
      </c>
      <c r="E1194" s="3" t="str">
        <v>Tschiertschen-Praden</v>
      </c>
      <c r="I1194" s="19">
        <v>3804</v>
      </c>
      <c r="J1194" s="19" t="s">
        <v>4553</v>
      </c>
    </row>
    <row r="1195" spans="1:10" x14ac:dyDescent="0.2">
      <c r="A1195" s="3">
        <v>6343</v>
      </c>
      <c r="B1195" s="3" t="s">
        <v>1273</v>
      </c>
      <c r="C1195" s="3" t="s">
        <v>1273</v>
      </c>
      <c r="D1195" s="3" t="s">
        <v>1259</v>
      </c>
      <c r="E1195" s="3" t="str">
        <v>Trimmis</v>
      </c>
      <c r="I1195" s="19">
        <v>3805</v>
      </c>
      <c r="J1195" s="19" t="s">
        <v>4553</v>
      </c>
    </row>
    <row r="1196" spans="1:10" x14ac:dyDescent="0.2">
      <c r="A1196" s="3">
        <v>6343</v>
      </c>
      <c r="B1196" s="3" t="s">
        <v>1275</v>
      </c>
      <c r="C1196" s="3" t="s">
        <v>1273</v>
      </c>
      <c r="D1196" s="3" t="s">
        <v>1259</v>
      </c>
      <c r="E1196" s="3" t="str">
        <v>Untervaz</v>
      </c>
      <c r="I1196" s="19">
        <v>3806</v>
      </c>
      <c r="J1196" s="19" t="s">
        <v>4553</v>
      </c>
    </row>
    <row r="1197" spans="1:10" x14ac:dyDescent="0.2">
      <c r="A1197" s="3">
        <v>6312</v>
      </c>
      <c r="B1197" s="3" t="s">
        <v>1276</v>
      </c>
      <c r="C1197" s="3" t="s">
        <v>1276</v>
      </c>
      <c r="D1197" s="3" t="s">
        <v>1259</v>
      </c>
      <c r="E1197" s="3" t="str">
        <v>Zizers</v>
      </c>
      <c r="I1197" s="19">
        <v>3807</v>
      </c>
      <c r="J1197" s="19" t="s">
        <v>4553</v>
      </c>
    </row>
    <row r="1198" spans="1:10" x14ac:dyDescent="0.2">
      <c r="A1198" s="3">
        <v>6314</v>
      </c>
      <c r="B1198" s="3" t="s">
        <v>1277</v>
      </c>
      <c r="C1198" s="3" t="s">
        <v>1277</v>
      </c>
      <c r="D1198" s="3" t="s">
        <v>1259</v>
      </c>
      <c r="E1198" s="3" t="str">
        <v>Fläsch</v>
      </c>
      <c r="I1198" s="19">
        <v>3812</v>
      </c>
      <c r="J1198" s="19" t="s">
        <v>4553</v>
      </c>
    </row>
    <row r="1199" spans="1:10" x14ac:dyDescent="0.2">
      <c r="A1199" s="3">
        <v>6314</v>
      </c>
      <c r="B1199" s="3" t="s">
        <v>1278</v>
      </c>
      <c r="C1199" s="3" t="s">
        <v>1277</v>
      </c>
      <c r="D1199" s="3" t="s">
        <v>1259</v>
      </c>
      <c r="E1199" s="3" t="str">
        <v>Jenins</v>
      </c>
      <c r="I1199" s="19">
        <v>3813</v>
      </c>
      <c r="J1199" s="19" t="s">
        <v>4553</v>
      </c>
    </row>
    <row r="1200" spans="1:10" x14ac:dyDescent="0.2">
      <c r="A1200" s="3">
        <v>6318</v>
      </c>
      <c r="B1200" s="3" t="s">
        <v>1279</v>
      </c>
      <c r="C1200" s="3" t="s">
        <v>1279</v>
      </c>
      <c r="D1200" s="3" t="s">
        <v>1259</v>
      </c>
      <c r="E1200" s="3" t="str">
        <v>Maienfeld</v>
      </c>
      <c r="I1200" s="19">
        <v>3814</v>
      </c>
      <c r="J1200" s="19" t="s">
        <v>4553</v>
      </c>
    </row>
    <row r="1201" spans="1:10" x14ac:dyDescent="0.2">
      <c r="A1201" s="3">
        <v>6300</v>
      </c>
      <c r="B1201" s="3" t="s">
        <v>1280</v>
      </c>
      <c r="C1201" s="3" t="s">
        <v>1280</v>
      </c>
      <c r="D1201" s="3" t="s">
        <v>1259</v>
      </c>
      <c r="E1201" s="3" t="str">
        <v>Malans</v>
      </c>
      <c r="I1201" s="19">
        <v>3815</v>
      </c>
      <c r="J1201" s="19" t="s">
        <v>4553</v>
      </c>
    </row>
    <row r="1202" spans="1:10" x14ac:dyDescent="0.2">
      <c r="A1202" s="3">
        <v>6300</v>
      </c>
      <c r="B1202" s="3" t="s">
        <v>1281</v>
      </c>
      <c r="C1202" s="3" t="s">
        <v>1280</v>
      </c>
      <c r="D1202" s="3" t="s">
        <v>1259</v>
      </c>
      <c r="E1202" s="3" t="str">
        <v>Landquart</v>
      </c>
      <c r="I1202" s="19">
        <v>3816</v>
      </c>
      <c r="J1202" s="19" t="s">
        <v>4553</v>
      </c>
    </row>
    <row r="1203" spans="1:10" x14ac:dyDescent="0.2">
      <c r="A1203" s="3">
        <v>6317</v>
      </c>
      <c r="B1203" s="3" t="s">
        <v>1282</v>
      </c>
      <c r="C1203" s="3" t="s">
        <v>1280</v>
      </c>
      <c r="D1203" s="3" t="s">
        <v>1259</v>
      </c>
      <c r="E1203" s="3" t="str">
        <v>Grüsch</v>
      </c>
      <c r="I1203" s="19">
        <v>3818</v>
      </c>
      <c r="J1203" s="19" t="s">
        <v>4553</v>
      </c>
    </row>
    <row r="1204" spans="1:10" x14ac:dyDescent="0.2">
      <c r="A1204" s="3">
        <v>1473</v>
      </c>
      <c r="B1204" s="3" t="s">
        <v>1283</v>
      </c>
      <c r="C1204" s="3" t="s">
        <v>1284</v>
      </c>
      <c r="D1204" s="3" t="s">
        <v>1285</v>
      </c>
      <c r="E1204" s="3" t="str">
        <v>Schiers</v>
      </c>
      <c r="I1204" s="19">
        <v>3822</v>
      </c>
      <c r="J1204" s="19" t="s">
        <v>4553</v>
      </c>
    </row>
    <row r="1205" spans="1:10" x14ac:dyDescent="0.2">
      <c r="A1205" s="3">
        <v>1482</v>
      </c>
      <c r="B1205" s="3" t="s">
        <v>1286</v>
      </c>
      <c r="C1205" s="3" t="s">
        <v>1287</v>
      </c>
      <c r="D1205" s="3" t="s">
        <v>1285</v>
      </c>
      <c r="E1205" s="3" t="str">
        <v>Seewis im Prättigau</v>
      </c>
      <c r="I1205" s="19">
        <v>3823</v>
      </c>
      <c r="J1205" s="19" t="s">
        <v>4553</v>
      </c>
    </row>
    <row r="1206" spans="1:10" x14ac:dyDescent="0.2">
      <c r="A1206" s="3">
        <v>1483</v>
      </c>
      <c r="B1206" s="3" t="s">
        <v>1288</v>
      </c>
      <c r="C1206" s="3" t="s">
        <v>1287</v>
      </c>
      <c r="D1206" s="3" t="s">
        <v>1285</v>
      </c>
      <c r="E1206" s="3" t="str">
        <v>Breil/Brigels</v>
      </c>
      <c r="I1206" s="19">
        <v>3824</v>
      </c>
      <c r="J1206" s="19" t="s">
        <v>4553</v>
      </c>
    </row>
    <row r="1207" spans="1:10" x14ac:dyDescent="0.2">
      <c r="A1207" s="3">
        <v>1532</v>
      </c>
      <c r="B1207" s="3" t="s">
        <v>1289</v>
      </c>
      <c r="C1207" s="3" t="s">
        <v>1289</v>
      </c>
      <c r="D1207" s="3" t="s">
        <v>1285</v>
      </c>
      <c r="E1207" s="3" t="str">
        <v>Disentis/Mustér</v>
      </c>
      <c r="I1207" s="19">
        <v>3825</v>
      </c>
      <c r="J1207" s="19" t="s">
        <v>4544</v>
      </c>
    </row>
    <row r="1208" spans="1:10" x14ac:dyDescent="0.2">
      <c r="A1208" s="3">
        <v>1544</v>
      </c>
      <c r="B1208" s="3" t="s">
        <v>1290</v>
      </c>
      <c r="C1208" s="3" t="s">
        <v>1290</v>
      </c>
      <c r="D1208" s="3" t="s">
        <v>1285</v>
      </c>
      <c r="E1208" s="3" t="str">
        <v>Medel (Lucmagn)</v>
      </c>
      <c r="I1208" s="19">
        <v>3826</v>
      </c>
      <c r="J1208" s="19" t="s">
        <v>4544</v>
      </c>
    </row>
    <row r="1209" spans="1:10" x14ac:dyDescent="0.2">
      <c r="A1209" s="3">
        <v>1470</v>
      </c>
      <c r="B1209" s="3" t="s">
        <v>1291</v>
      </c>
      <c r="C1209" s="3" t="s">
        <v>1292</v>
      </c>
      <c r="D1209" s="3" t="s">
        <v>1285</v>
      </c>
      <c r="E1209" s="3" t="str">
        <v>Sumvitg</v>
      </c>
      <c r="I1209" s="19">
        <v>3852</v>
      </c>
      <c r="J1209" s="19" t="s">
        <v>4553</v>
      </c>
    </row>
    <row r="1210" spans="1:10" x14ac:dyDescent="0.2">
      <c r="A1210" s="3">
        <v>1470</v>
      </c>
      <c r="B1210" s="3" t="s">
        <v>1293</v>
      </c>
      <c r="C1210" s="3" t="s">
        <v>1292</v>
      </c>
      <c r="D1210" s="3" t="s">
        <v>1285</v>
      </c>
      <c r="E1210" s="3" t="str">
        <v>Tujetsch</v>
      </c>
      <c r="I1210" s="19">
        <v>3853</v>
      </c>
      <c r="J1210" s="19" t="s">
        <v>4553</v>
      </c>
    </row>
    <row r="1211" spans="1:10" x14ac:dyDescent="0.2">
      <c r="A1211" s="3">
        <v>1470</v>
      </c>
      <c r="B1211" s="3" t="s">
        <v>1294</v>
      </c>
      <c r="C1211" s="3" t="s">
        <v>1292</v>
      </c>
      <c r="D1211" s="3" t="s">
        <v>1285</v>
      </c>
      <c r="E1211" s="3" t="str">
        <v>Trun</v>
      </c>
      <c r="I1211" s="19">
        <v>3854</v>
      </c>
      <c r="J1211" s="19" t="s">
        <v>4553</v>
      </c>
    </row>
    <row r="1212" spans="1:10" x14ac:dyDescent="0.2">
      <c r="A1212" s="3">
        <v>1533</v>
      </c>
      <c r="B1212" s="3" t="s">
        <v>1295</v>
      </c>
      <c r="C1212" s="3" t="s">
        <v>1295</v>
      </c>
      <c r="D1212" s="3" t="s">
        <v>1285</v>
      </c>
      <c r="E1212" s="3" t="str">
        <v>Obersaxen Mundaun</v>
      </c>
      <c r="I1212" s="19">
        <v>3855</v>
      </c>
      <c r="J1212" s="19" t="s">
        <v>4553</v>
      </c>
    </row>
    <row r="1213" spans="1:10" x14ac:dyDescent="0.2">
      <c r="A1213" s="3">
        <v>1774</v>
      </c>
      <c r="B1213" s="3" t="s">
        <v>1296</v>
      </c>
      <c r="C1213" s="3" t="s">
        <v>1297</v>
      </c>
      <c r="D1213" s="3" t="s">
        <v>1285</v>
      </c>
      <c r="E1213" s="3" t="str">
        <v>Aarau</v>
      </c>
      <c r="I1213" s="19">
        <v>3856</v>
      </c>
      <c r="J1213" s="19" t="s">
        <v>4553</v>
      </c>
    </row>
    <row r="1214" spans="1:10" x14ac:dyDescent="0.2">
      <c r="A1214" s="3">
        <v>1774</v>
      </c>
      <c r="B1214" s="3" t="s">
        <v>1296</v>
      </c>
      <c r="C1214" s="3" t="s">
        <v>1297</v>
      </c>
      <c r="D1214" s="3" t="s">
        <v>1285</v>
      </c>
      <c r="E1214" s="3" t="str">
        <v>Biberstein</v>
      </c>
      <c r="I1214" s="19">
        <v>3857</v>
      </c>
      <c r="J1214" s="19" t="s">
        <v>4553</v>
      </c>
    </row>
    <row r="1215" spans="1:10" x14ac:dyDescent="0.2">
      <c r="A1215" s="3">
        <v>1774</v>
      </c>
      <c r="B1215" s="3" t="s">
        <v>1298</v>
      </c>
      <c r="C1215" s="3" t="s">
        <v>1297</v>
      </c>
      <c r="D1215" s="3" t="s">
        <v>1285</v>
      </c>
      <c r="E1215" s="3" t="str">
        <v>Buchs (AG)</v>
      </c>
      <c r="I1215" s="19">
        <v>3858</v>
      </c>
      <c r="J1215" s="19" t="s">
        <v>4553</v>
      </c>
    </row>
    <row r="1216" spans="1:10" x14ac:dyDescent="0.2">
      <c r="A1216" s="3">
        <v>1775</v>
      </c>
      <c r="B1216" s="3" t="s">
        <v>1299</v>
      </c>
      <c r="C1216" s="3" t="s">
        <v>1297</v>
      </c>
      <c r="D1216" s="3" t="s">
        <v>1285</v>
      </c>
      <c r="E1216" s="3" t="str">
        <v>Densbüren</v>
      </c>
      <c r="I1216" s="19">
        <v>3860</v>
      </c>
      <c r="J1216" s="19" t="s">
        <v>4553</v>
      </c>
    </row>
    <row r="1217" spans="1:10" x14ac:dyDescent="0.2">
      <c r="A1217" s="3">
        <v>1775</v>
      </c>
      <c r="B1217" s="3" t="s">
        <v>1300</v>
      </c>
      <c r="C1217" s="3" t="s">
        <v>1297</v>
      </c>
      <c r="D1217" s="3" t="s">
        <v>1285</v>
      </c>
      <c r="E1217" s="3" t="str">
        <v>Erlinsbach (AG)</v>
      </c>
      <c r="I1217" s="19">
        <v>3862</v>
      </c>
      <c r="J1217" s="19" t="s">
        <v>4553</v>
      </c>
    </row>
    <row r="1218" spans="1:10" x14ac:dyDescent="0.2">
      <c r="A1218" s="3">
        <v>1776</v>
      </c>
      <c r="B1218" s="3" t="s">
        <v>1301</v>
      </c>
      <c r="C1218" s="3" t="s">
        <v>1297</v>
      </c>
      <c r="D1218" s="3" t="s">
        <v>1285</v>
      </c>
      <c r="E1218" s="3" t="str">
        <v>Gränichen</v>
      </c>
      <c r="I1218" s="19">
        <v>3863</v>
      </c>
      <c r="J1218" s="19" t="s">
        <v>4553</v>
      </c>
    </row>
    <row r="1219" spans="1:10" x14ac:dyDescent="0.2">
      <c r="A1219" s="3">
        <v>1485</v>
      </c>
      <c r="B1219" s="3" t="s">
        <v>1302</v>
      </c>
      <c r="C1219" s="3" t="s">
        <v>1302</v>
      </c>
      <c r="D1219" s="3" t="s">
        <v>1285</v>
      </c>
      <c r="E1219" s="3" t="str">
        <v>Hirschthal</v>
      </c>
      <c r="I1219" s="19">
        <v>3864</v>
      </c>
      <c r="J1219" s="19" t="s">
        <v>4553</v>
      </c>
    </row>
    <row r="1220" spans="1:10" x14ac:dyDescent="0.2">
      <c r="A1220" s="3">
        <v>1410</v>
      </c>
      <c r="B1220" s="3" t="s">
        <v>1303</v>
      </c>
      <c r="C1220" s="3" t="s">
        <v>1303</v>
      </c>
      <c r="D1220" s="3" t="s">
        <v>1285</v>
      </c>
      <c r="E1220" s="3" t="str">
        <v>Küttigen</v>
      </c>
      <c r="I1220" s="19">
        <v>3900</v>
      </c>
      <c r="J1220" s="19" t="s">
        <v>4547</v>
      </c>
    </row>
    <row r="1221" spans="1:10" x14ac:dyDescent="0.2">
      <c r="A1221" s="3">
        <v>1566</v>
      </c>
      <c r="B1221" s="3" t="s">
        <v>1304</v>
      </c>
      <c r="C1221" s="3" t="s">
        <v>1305</v>
      </c>
      <c r="D1221" s="3" t="s">
        <v>1285</v>
      </c>
      <c r="E1221" s="3" t="str">
        <v>Muhen</v>
      </c>
      <c r="I1221" s="19">
        <v>3901</v>
      </c>
      <c r="J1221" s="19" t="s">
        <v>4549</v>
      </c>
    </row>
    <row r="1222" spans="1:10" x14ac:dyDescent="0.2">
      <c r="A1222" s="3">
        <v>1566</v>
      </c>
      <c r="B1222" s="3" t="s">
        <v>1306</v>
      </c>
      <c r="C1222" s="3" t="s">
        <v>1305</v>
      </c>
      <c r="D1222" s="3" t="s">
        <v>1285</v>
      </c>
      <c r="E1222" s="3" t="str">
        <v>Oberentfelden</v>
      </c>
      <c r="I1222" s="19">
        <v>3902</v>
      </c>
      <c r="J1222" s="19" t="s">
        <v>4547</v>
      </c>
    </row>
    <row r="1223" spans="1:10" x14ac:dyDescent="0.2">
      <c r="A1223" s="3">
        <v>1541</v>
      </c>
      <c r="B1223" s="3" t="s">
        <v>1307</v>
      </c>
      <c r="C1223" s="3" t="s">
        <v>1307</v>
      </c>
      <c r="D1223" s="3" t="s">
        <v>1285</v>
      </c>
      <c r="E1223" s="3" t="str">
        <v>Suhr</v>
      </c>
      <c r="I1223" s="19">
        <v>3903</v>
      </c>
      <c r="J1223" s="19" t="s">
        <v>4548</v>
      </c>
    </row>
    <row r="1224" spans="1:10" x14ac:dyDescent="0.2">
      <c r="A1224" s="3">
        <v>1527</v>
      </c>
      <c r="B1224" s="3" t="s">
        <v>1308</v>
      </c>
      <c r="C1224" s="3" t="s">
        <v>1309</v>
      </c>
      <c r="D1224" s="3" t="s">
        <v>1285</v>
      </c>
      <c r="E1224" s="3" t="str">
        <v>Unterentfelden</v>
      </c>
      <c r="I1224" s="19">
        <v>3904</v>
      </c>
      <c r="J1224" s="19" t="s">
        <v>4547</v>
      </c>
    </row>
    <row r="1225" spans="1:10" x14ac:dyDescent="0.2">
      <c r="A1225" s="3">
        <v>1528</v>
      </c>
      <c r="B1225" s="3" t="s">
        <v>1309</v>
      </c>
      <c r="C1225" s="3" t="s">
        <v>1309</v>
      </c>
      <c r="D1225" s="3" t="s">
        <v>1285</v>
      </c>
      <c r="E1225" s="3" t="str">
        <v>Baden</v>
      </c>
      <c r="I1225" s="19">
        <v>3905</v>
      </c>
      <c r="J1225" s="19" t="s">
        <v>4549</v>
      </c>
    </row>
    <row r="1226" spans="1:10" x14ac:dyDescent="0.2">
      <c r="A1226" s="3">
        <v>1528</v>
      </c>
      <c r="B1226" s="3" t="s">
        <v>1310</v>
      </c>
      <c r="C1226" s="3" t="s">
        <v>1309</v>
      </c>
      <c r="D1226" s="3" t="s">
        <v>1285</v>
      </c>
      <c r="E1226" s="3" t="str">
        <v>Bellikon</v>
      </c>
      <c r="I1226" s="19">
        <v>3906</v>
      </c>
      <c r="J1226" s="19" t="s">
        <v>4549</v>
      </c>
    </row>
    <row r="1227" spans="1:10" x14ac:dyDescent="0.2">
      <c r="A1227" s="3">
        <v>1529</v>
      </c>
      <c r="B1227" s="3" t="s">
        <v>1311</v>
      </c>
      <c r="C1227" s="3" t="s">
        <v>1309</v>
      </c>
      <c r="D1227" s="3" t="s">
        <v>1285</v>
      </c>
      <c r="E1227" s="3" t="str">
        <v>Bergdietikon</v>
      </c>
      <c r="I1227" s="19">
        <v>3907</v>
      </c>
      <c r="J1227" s="19" t="s">
        <v>4556</v>
      </c>
    </row>
    <row r="1228" spans="1:10" x14ac:dyDescent="0.2">
      <c r="A1228" s="3">
        <v>1534</v>
      </c>
      <c r="B1228" s="3" t="s">
        <v>1312</v>
      </c>
      <c r="C1228" s="3" t="s">
        <v>1309</v>
      </c>
      <c r="D1228" s="3" t="s">
        <v>1285</v>
      </c>
      <c r="E1228" s="3" t="str">
        <v>Birmenstorf (AG)</v>
      </c>
      <c r="I1228" s="19">
        <v>3908</v>
      </c>
      <c r="J1228" s="19" t="s">
        <v>4549</v>
      </c>
    </row>
    <row r="1229" spans="1:10" x14ac:dyDescent="0.2">
      <c r="A1229" s="3">
        <v>1565</v>
      </c>
      <c r="B1229" s="3" t="s">
        <v>1313</v>
      </c>
      <c r="C1229" s="3" t="s">
        <v>1313</v>
      </c>
      <c r="D1229" s="3" t="s">
        <v>1285</v>
      </c>
      <c r="E1229" s="3" t="str">
        <v>Ennetbaden</v>
      </c>
      <c r="I1229" s="19">
        <v>3910</v>
      </c>
      <c r="J1229" s="19" t="s">
        <v>4549</v>
      </c>
    </row>
    <row r="1230" spans="1:10" x14ac:dyDescent="0.2">
      <c r="A1230" s="3">
        <v>1483</v>
      </c>
      <c r="B1230" s="3" t="s">
        <v>1314</v>
      </c>
      <c r="C1230" s="3" t="s">
        <v>1315</v>
      </c>
      <c r="D1230" s="3" t="s">
        <v>1285</v>
      </c>
      <c r="E1230" s="3" t="str">
        <v>Fislisbach</v>
      </c>
      <c r="I1230" s="19">
        <v>3911</v>
      </c>
      <c r="J1230" s="19" t="s">
        <v>4548</v>
      </c>
    </row>
    <row r="1231" spans="1:10" x14ac:dyDescent="0.2">
      <c r="A1231" s="3">
        <v>1483</v>
      </c>
      <c r="B1231" s="3" t="s">
        <v>1316</v>
      </c>
      <c r="C1231" s="3" t="s">
        <v>1315</v>
      </c>
      <c r="D1231" s="3" t="s">
        <v>1285</v>
      </c>
      <c r="E1231" s="3" t="str">
        <v>Freienwil</v>
      </c>
      <c r="I1231" s="19">
        <v>3912</v>
      </c>
      <c r="J1231" s="19" t="s">
        <v>4548</v>
      </c>
    </row>
    <row r="1232" spans="1:10" x14ac:dyDescent="0.2">
      <c r="A1232" s="3">
        <v>1484</v>
      </c>
      <c r="B1232" s="3" t="s">
        <v>1317</v>
      </c>
      <c r="C1232" s="3" t="s">
        <v>1315</v>
      </c>
      <c r="D1232" s="3" t="s">
        <v>1285</v>
      </c>
      <c r="E1232" s="3" t="str">
        <v>Gebenstorf</v>
      </c>
      <c r="I1232" s="19">
        <v>3913</v>
      </c>
      <c r="J1232" s="19" t="s">
        <v>4557</v>
      </c>
    </row>
    <row r="1233" spans="1:10" x14ac:dyDescent="0.2">
      <c r="A1233" s="3">
        <v>1484</v>
      </c>
      <c r="B1233" s="3" t="s">
        <v>1318</v>
      </c>
      <c r="C1233" s="3" t="s">
        <v>1315</v>
      </c>
      <c r="D1233" s="3" t="s">
        <v>1285</v>
      </c>
      <c r="E1233" s="3" t="str">
        <v>Killwangen</v>
      </c>
      <c r="I1233" s="19">
        <v>3914</v>
      </c>
      <c r="J1233" s="19" t="s">
        <v>4548</v>
      </c>
    </row>
    <row r="1234" spans="1:10" x14ac:dyDescent="0.2">
      <c r="A1234" s="3">
        <v>1567</v>
      </c>
      <c r="B1234" s="3" t="s">
        <v>1319</v>
      </c>
      <c r="C1234" s="3" t="s">
        <v>1320</v>
      </c>
      <c r="D1234" s="3" t="s">
        <v>1285</v>
      </c>
      <c r="E1234" s="3" t="str">
        <v>Künten</v>
      </c>
      <c r="I1234" s="19">
        <v>3916</v>
      </c>
      <c r="J1234" s="19" t="s">
        <v>4548</v>
      </c>
    </row>
    <row r="1235" spans="1:10" x14ac:dyDescent="0.2">
      <c r="A1235" s="3">
        <v>1568</v>
      </c>
      <c r="B1235" s="3" t="s">
        <v>1321</v>
      </c>
      <c r="C1235" s="3" t="s">
        <v>1320</v>
      </c>
      <c r="D1235" s="3" t="s">
        <v>1285</v>
      </c>
      <c r="E1235" s="3" t="str">
        <v>Mägenwil</v>
      </c>
      <c r="I1235" s="19">
        <v>3917</v>
      </c>
      <c r="J1235" s="19" t="s">
        <v>4548</v>
      </c>
    </row>
    <row r="1236" spans="1:10" x14ac:dyDescent="0.2">
      <c r="A1236" s="3">
        <v>1563</v>
      </c>
      <c r="B1236" s="3" t="s">
        <v>1322</v>
      </c>
      <c r="C1236" s="3" t="s">
        <v>1323</v>
      </c>
      <c r="D1236" s="3" t="s">
        <v>1285</v>
      </c>
      <c r="E1236" s="3" t="str">
        <v>Mellingen</v>
      </c>
      <c r="I1236" s="19">
        <v>3918</v>
      </c>
      <c r="J1236" s="19" t="s">
        <v>4548</v>
      </c>
    </row>
    <row r="1237" spans="1:10" x14ac:dyDescent="0.2">
      <c r="A1237" s="3">
        <v>1564</v>
      </c>
      <c r="B1237" s="3" t="s">
        <v>1324</v>
      </c>
      <c r="C1237" s="3" t="s">
        <v>1323</v>
      </c>
      <c r="D1237" s="3" t="s">
        <v>1285</v>
      </c>
      <c r="E1237" s="3" t="str">
        <v>Neuenhof</v>
      </c>
      <c r="I1237" s="19">
        <v>3919</v>
      </c>
      <c r="J1237" s="19" t="s">
        <v>4548</v>
      </c>
    </row>
    <row r="1238" spans="1:10" x14ac:dyDescent="0.2">
      <c r="A1238" s="3">
        <v>1773</v>
      </c>
      <c r="B1238" s="3" t="s">
        <v>1325</v>
      </c>
      <c r="C1238" s="3" t="s">
        <v>1323</v>
      </c>
      <c r="D1238" s="3" t="s">
        <v>1285</v>
      </c>
      <c r="E1238" s="3" t="str">
        <v>Niederrohrdorf</v>
      </c>
      <c r="I1238" s="19">
        <v>3920</v>
      </c>
      <c r="J1238" s="19" t="s">
        <v>4549</v>
      </c>
    </row>
    <row r="1239" spans="1:10" x14ac:dyDescent="0.2">
      <c r="A1239" s="3">
        <v>1773</v>
      </c>
      <c r="B1239" s="3" t="s">
        <v>1326</v>
      </c>
      <c r="C1239" s="3" t="s">
        <v>1323</v>
      </c>
      <c r="D1239" s="3" t="s">
        <v>1285</v>
      </c>
      <c r="E1239" s="3" t="str">
        <v>Oberrohrdorf</v>
      </c>
      <c r="I1239" s="19">
        <v>3922</v>
      </c>
      <c r="J1239" s="19" t="s">
        <v>4547</v>
      </c>
    </row>
    <row r="1240" spans="1:10" x14ac:dyDescent="0.2">
      <c r="A1240" s="3">
        <v>1773</v>
      </c>
      <c r="B1240" s="3" t="s">
        <v>1327</v>
      </c>
      <c r="C1240" s="3" t="s">
        <v>1323</v>
      </c>
      <c r="D1240" s="3" t="s">
        <v>1285</v>
      </c>
      <c r="E1240" s="3" t="str">
        <v>Obersiggenthal</v>
      </c>
      <c r="I1240" s="19">
        <v>3923</v>
      </c>
      <c r="J1240" s="19" t="s">
        <v>4548</v>
      </c>
    </row>
    <row r="1241" spans="1:10" x14ac:dyDescent="0.2">
      <c r="A1241" s="3">
        <v>1470</v>
      </c>
      <c r="B1241" s="3" t="s">
        <v>1328</v>
      </c>
      <c r="C1241" s="3" t="s">
        <v>1329</v>
      </c>
      <c r="D1241" s="3" t="s">
        <v>1285</v>
      </c>
      <c r="E1241" s="3" t="str">
        <v>Remetschwil</v>
      </c>
      <c r="I1241" s="19">
        <v>3924</v>
      </c>
      <c r="J1241" s="19" t="s">
        <v>4549</v>
      </c>
    </row>
    <row r="1242" spans="1:10" x14ac:dyDescent="0.2">
      <c r="A1242" s="3">
        <v>1473</v>
      </c>
      <c r="B1242" s="3" t="s">
        <v>1330</v>
      </c>
      <c r="C1242" s="3" t="s">
        <v>1329</v>
      </c>
      <c r="D1242" s="3" t="s">
        <v>1285</v>
      </c>
      <c r="E1242" s="3" t="str">
        <v>Spreitenbach</v>
      </c>
      <c r="I1242" s="19">
        <v>3925</v>
      </c>
      <c r="J1242" s="19" t="s">
        <v>4549</v>
      </c>
    </row>
    <row r="1243" spans="1:10" x14ac:dyDescent="0.2">
      <c r="A1243" s="3">
        <v>1473</v>
      </c>
      <c r="B1243" s="3" t="s">
        <v>1330</v>
      </c>
      <c r="C1243" s="3" t="s">
        <v>1329</v>
      </c>
      <c r="D1243" s="3" t="s">
        <v>1285</v>
      </c>
      <c r="E1243" s="3" t="str">
        <v>Stetten (AG)</v>
      </c>
      <c r="I1243" s="19">
        <v>3926</v>
      </c>
      <c r="J1243" s="19" t="s">
        <v>4548</v>
      </c>
    </row>
    <row r="1244" spans="1:10" x14ac:dyDescent="0.2">
      <c r="A1244" s="3">
        <v>1475</v>
      </c>
      <c r="B1244" s="3" t="s">
        <v>1331</v>
      </c>
      <c r="C1244" s="3" t="s">
        <v>1329</v>
      </c>
      <c r="D1244" s="3" t="s">
        <v>1285</v>
      </c>
      <c r="E1244" s="3" t="str">
        <v>Turgi</v>
      </c>
      <c r="I1244" s="19">
        <v>3927</v>
      </c>
      <c r="J1244" s="19" t="s">
        <v>4549</v>
      </c>
    </row>
    <row r="1245" spans="1:10" x14ac:dyDescent="0.2">
      <c r="A1245" s="3">
        <v>1475</v>
      </c>
      <c r="B1245" s="3" t="s">
        <v>1332</v>
      </c>
      <c r="C1245" s="3" t="s">
        <v>1329</v>
      </c>
      <c r="D1245" s="3" t="s">
        <v>1285</v>
      </c>
      <c r="E1245" s="3" t="str">
        <v>Untersiggenthal</v>
      </c>
      <c r="I1245" s="19">
        <v>3928</v>
      </c>
      <c r="J1245" s="19" t="s">
        <v>4549</v>
      </c>
    </row>
    <row r="1246" spans="1:10" x14ac:dyDescent="0.2">
      <c r="A1246" s="3">
        <v>1475</v>
      </c>
      <c r="B1246" s="3" t="s">
        <v>1333</v>
      </c>
      <c r="C1246" s="3" t="s">
        <v>1329</v>
      </c>
      <c r="D1246" s="3" t="s">
        <v>1285</v>
      </c>
      <c r="E1246" s="3" t="str">
        <v>Wettingen</v>
      </c>
      <c r="I1246" s="19">
        <v>3929</v>
      </c>
      <c r="J1246" s="19" t="s">
        <v>4549</v>
      </c>
    </row>
    <row r="1247" spans="1:10" x14ac:dyDescent="0.2">
      <c r="A1247" s="3">
        <v>1486</v>
      </c>
      <c r="B1247" s="3" t="s">
        <v>1334</v>
      </c>
      <c r="C1247" s="3" t="s">
        <v>1329</v>
      </c>
      <c r="D1247" s="3" t="s">
        <v>1285</v>
      </c>
      <c r="E1247" s="3" t="str">
        <v>Wohlenschwil</v>
      </c>
      <c r="I1247" s="19">
        <v>3930</v>
      </c>
      <c r="J1247" s="19" t="s">
        <v>4547</v>
      </c>
    </row>
    <row r="1248" spans="1:10" x14ac:dyDescent="0.2">
      <c r="A1248" s="3">
        <v>1489</v>
      </c>
      <c r="B1248" s="3" t="s">
        <v>1335</v>
      </c>
      <c r="C1248" s="3" t="s">
        <v>1329</v>
      </c>
      <c r="D1248" s="3" t="s">
        <v>1285</v>
      </c>
      <c r="E1248" s="3" t="str">
        <v>Würenlingen</v>
      </c>
      <c r="I1248" s="19">
        <v>3931</v>
      </c>
      <c r="J1248" s="19" t="s">
        <v>4547</v>
      </c>
    </row>
    <row r="1249" spans="1:10" x14ac:dyDescent="0.2">
      <c r="A1249" s="3">
        <v>1541</v>
      </c>
      <c r="B1249" s="3" t="s">
        <v>1336</v>
      </c>
      <c r="C1249" s="3" t="s">
        <v>1329</v>
      </c>
      <c r="D1249" s="3" t="s">
        <v>1285</v>
      </c>
      <c r="E1249" s="3" t="str">
        <v>Würenlos</v>
      </c>
      <c r="I1249" s="19">
        <v>3932</v>
      </c>
      <c r="J1249" s="19" t="s">
        <v>4548</v>
      </c>
    </row>
    <row r="1250" spans="1:10" x14ac:dyDescent="0.2">
      <c r="A1250" s="3">
        <v>1541</v>
      </c>
      <c r="B1250" s="3" t="s">
        <v>1337</v>
      </c>
      <c r="C1250" s="3" t="s">
        <v>1329</v>
      </c>
      <c r="D1250" s="3" t="s">
        <v>1285</v>
      </c>
      <c r="E1250" s="3" t="str">
        <v>Ehrendingen</v>
      </c>
      <c r="I1250" s="19">
        <v>3933</v>
      </c>
      <c r="J1250" s="19" t="s">
        <v>4548</v>
      </c>
    </row>
    <row r="1251" spans="1:10" x14ac:dyDescent="0.2">
      <c r="A1251" s="3">
        <v>1542</v>
      </c>
      <c r="B1251" s="3" t="s">
        <v>1338</v>
      </c>
      <c r="C1251" s="3" t="s">
        <v>1329</v>
      </c>
      <c r="D1251" s="3" t="s">
        <v>1285</v>
      </c>
      <c r="E1251" s="3" t="str">
        <v>Arni (AG)</v>
      </c>
      <c r="I1251" s="19">
        <v>3934</v>
      </c>
      <c r="J1251" s="19" t="s">
        <v>4548</v>
      </c>
    </row>
    <row r="1252" spans="1:10" x14ac:dyDescent="0.2">
      <c r="A1252" s="3">
        <v>1468</v>
      </c>
      <c r="B1252" s="3" t="s">
        <v>1339</v>
      </c>
      <c r="C1252" s="3" t="s">
        <v>1340</v>
      </c>
      <c r="D1252" s="3" t="s">
        <v>1285</v>
      </c>
      <c r="E1252" s="3" t="str">
        <v>Berikon</v>
      </c>
      <c r="I1252" s="19">
        <v>3935</v>
      </c>
      <c r="J1252" s="19" t="s">
        <v>4548</v>
      </c>
    </row>
    <row r="1253" spans="1:10" x14ac:dyDescent="0.2">
      <c r="A1253" s="3">
        <v>1474</v>
      </c>
      <c r="B1253" s="3" t="s">
        <v>1341</v>
      </c>
      <c r="C1253" s="3" t="s">
        <v>1340</v>
      </c>
      <c r="D1253" s="3" t="s">
        <v>1285</v>
      </c>
      <c r="E1253" s="3" t="str">
        <v>Bremgarten (AG)</v>
      </c>
      <c r="I1253" s="19">
        <v>3937</v>
      </c>
      <c r="J1253" s="19" t="s">
        <v>4547</v>
      </c>
    </row>
    <row r="1254" spans="1:10" x14ac:dyDescent="0.2">
      <c r="A1254" s="3">
        <v>1673</v>
      </c>
      <c r="B1254" s="3" t="s">
        <v>1342</v>
      </c>
      <c r="C1254" s="3" t="s">
        <v>1342</v>
      </c>
      <c r="D1254" s="3" t="s">
        <v>1285</v>
      </c>
      <c r="E1254" s="3" t="str">
        <v>Büttikon</v>
      </c>
      <c r="I1254" s="19">
        <v>3938</v>
      </c>
      <c r="J1254" s="19" t="s">
        <v>4548</v>
      </c>
    </row>
    <row r="1255" spans="1:10" x14ac:dyDescent="0.2">
      <c r="A1255" s="3">
        <v>1681</v>
      </c>
      <c r="B1255" s="3" t="s">
        <v>1343</v>
      </c>
      <c r="C1255" s="3" t="s">
        <v>1344</v>
      </c>
      <c r="D1255" s="3" t="s">
        <v>1285</v>
      </c>
      <c r="E1255" s="3" t="str">
        <v>Dottikon</v>
      </c>
      <c r="I1255" s="19">
        <v>3939</v>
      </c>
      <c r="J1255" s="19" t="s">
        <v>4547</v>
      </c>
    </row>
    <row r="1256" spans="1:10" x14ac:dyDescent="0.2">
      <c r="A1256" s="3">
        <v>1681</v>
      </c>
      <c r="B1256" s="3" t="s">
        <v>1345</v>
      </c>
      <c r="C1256" s="3" t="s">
        <v>1344</v>
      </c>
      <c r="D1256" s="3" t="s">
        <v>1285</v>
      </c>
      <c r="E1256" s="3" t="str">
        <v>Eggenwil</v>
      </c>
      <c r="I1256" s="19">
        <v>3940</v>
      </c>
      <c r="J1256" s="19" t="s">
        <v>4547</v>
      </c>
    </row>
    <row r="1257" spans="1:10" x14ac:dyDescent="0.2">
      <c r="A1257" s="3">
        <v>1608</v>
      </c>
      <c r="B1257" s="3" t="s">
        <v>1346</v>
      </c>
      <c r="C1257" s="3" t="s">
        <v>1346</v>
      </c>
      <c r="D1257" s="3" t="s">
        <v>1285</v>
      </c>
      <c r="E1257" s="3" t="str">
        <v>Fischbach-Göslikon</v>
      </c>
      <c r="I1257" s="19">
        <v>3942</v>
      </c>
      <c r="J1257" s="19" t="s">
        <v>4547</v>
      </c>
    </row>
    <row r="1258" spans="1:10" x14ac:dyDescent="0.2">
      <c r="A1258" s="3">
        <v>1689</v>
      </c>
      <c r="B1258" s="3" t="s">
        <v>1347</v>
      </c>
      <c r="C1258" s="3" t="s">
        <v>1348</v>
      </c>
      <c r="D1258" s="3" t="s">
        <v>1285</v>
      </c>
      <c r="E1258" s="3" t="str">
        <v>Hägglingen</v>
      </c>
      <c r="I1258" s="19">
        <v>3943</v>
      </c>
      <c r="J1258" s="19" t="s">
        <v>4548</v>
      </c>
    </row>
    <row r="1259" spans="1:10" x14ac:dyDescent="0.2">
      <c r="A1259" s="3">
        <v>1553</v>
      </c>
      <c r="B1259" s="3" t="s">
        <v>1349</v>
      </c>
      <c r="C1259" s="3" t="s">
        <v>1349</v>
      </c>
      <c r="D1259" s="3" t="s">
        <v>1285</v>
      </c>
      <c r="E1259" s="3" t="str">
        <v>Jonen</v>
      </c>
      <c r="I1259" s="19">
        <v>3944</v>
      </c>
      <c r="J1259" s="19" t="s">
        <v>4548</v>
      </c>
    </row>
    <row r="1260" spans="1:10" x14ac:dyDescent="0.2">
      <c r="A1260" s="3">
        <v>1673</v>
      </c>
      <c r="B1260" s="3" t="s">
        <v>1350</v>
      </c>
      <c r="C1260" s="3" t="s">
        <v>1351</v>
      </c>
      <c r="D1260" s="3" t="s">
        <v>1285</v>
      </c>
      <c r="E1260" s="3" t="str">
        <v>Niederwil (AG)</v>
      </c>
      <c r="I1260" s="19">
        <v>3945</v>
      </c>
      <c r="J1260" s="19" t="s">
        <v>4547</v>
      </c>
    </row>
    <row r="1261" spans="1:10" x14ac:dyDescent="0.2">
      <c r="A1261" s="3">
        <v>1686</v>
      </c>
      <c r="B1261" s="3" t="s">
        <v>1352</v>
      </c>
      <c r="C1261" s="3" t="s">
        <v>1353</v>
      </c>
      <c r="D1261" s="3" t="s">
        <v>1285</v>
      </c>
      <c r="E1261" s="3" t="str">
        <v>Oberlunkhofen</v>
      </c>
      <c r="I1261" s="19">
        <v>3946</v>
      </c>
      <c r="J1261" s="19" t="s">
        <v>4547</v>
      </c>
    </row>
    <row r="1262" spans="1:10" x14ac:dyDescent="0.2">
      <c r="A1262" s="3">
        <v>1692</v>
      </c>
      <c r="B1262" s="3" t="s">
        <v>1354</v>
      </c>
      <c r="C1262" s="3" t="s">
        <v>1354</v>
      </c>
      <c r="D1262" s="3" t="s">
        <v>1285</v>
      </c>
      <c r="E1262" s="3" t="str">
        <v>Oberwil-Lieli</v>
      </c>
      <c r="I1262" s="19">
        <v>3947</v>
      </c>
      <c r="J1262" s="19" t="s">
        <v>4548</v>
      </c>
    </row>
    <row r="1263" spans="1:10" x14ac:dyDescent="0.2">
      <c r="A1263" s="3">
        <v>1680</v>
      </c>
      <c r="B1263" s="3" t="s">
        <v>1355</v>
      </c>
      <c r="C1263" s="3" t="s">
        <v>1356</v>
      </c>
      <c r="D1263" s="3" t="s">
        <v>1285</v>
      </c>
      <c r="E1263" s="3" t="str">
        <v>Rudolfstetten-Friedlisberg</v>
      </c>
      <c r="I1263" s="19">
        <v>3948</v>
      </c>
      <c r="J1263" s="19" t="s">
        <v>4548</v>
      </c>
    </row>
    <row r="1264" spans="1:10" x14ac:dyDescent="0.2">
      <c r="A1264" s="3">
        <v>1684</v>
      </c>
      <c r="B1264" s="3" t="s">
        <v>1357</v>
      </c>
      <c r="C1264" s="3" t="s">
        <v>1356</v>
      </c>
      <c r="D1264" s="3" t="s">
        <v>1285</v>
      </c>
      <c r="E1264" s="3" t="str">
        <v>Sarmenstorf</v>
      </c>
      <c r="I1264" s="19">
        <v>3949</v>
      </c>
      <c r="J1264" s="19" t="s">
        <v>4547</v>
      </c>
    </row>
    <row r="1265" spans="1:10" x14ac:dyDescent="0.2">
      <c r="A1265" s="3">
        <v>1674</v>
      </c>
      <c r="B1265" s="3" t="s">
        <v>1358</v>
      </c>
      <c r="C1265" s="3" t="s">
        <v>1358</v>
      </c>
      <c r="D1265" s="3" t="s">
        <v>1285</v>
      </c>
      <c r="E1265" s="3" t="str">
        <v>Tägerig</v>
      </c>
      <c r="I1265" s="19">
        <v>3951</v>
      </c>
      <c r="J1265" s="19" t="s">
        <v>4547</v>
      </c>
    </row>
    <row r="1266" spans="1:10" x14ac:dyDescent="0.2">
      <c r="A1266" s="3">
        <v>1680</v>
      </c>
      <c r="B1266" s="3" t="s">
        <v>1359</v>
      </c>
      <c r="C1266" s="3" t="s">
        <v>1360</v>
      </c>
      <c r="D1266" s="3" t="s">
        <v>1285</v>
      </c>
      <c r="E1266" s="3" t="str">
        <v>Uezwil</v>
      </c>
      <c r="I1266" s="19">
        <v>3952</v>
      </c>
      <c r="J1266" s="19" t="s">
        <v>4547</v>
      </c>
    </row>
    <row r="1267" spans="1:10" x14ac:dyDescent="0.2">
      <c r="A1267" s="3">
        <v>1673</v>
      </c>
      <c r="B1267" s="3" t="s">
        <v>1361</v>
      </c>
      <c r="C1267" s="3" t="s">
        <v>1362</v>
      </c>
      <c r="D1267" s="3" t="s">
        <v>1285</v>
      </c>
      <c r="E1267" s="3" t="str">
        <v>Unterlunkhofen</v>
      </c>
      <c r="I1267" s="19">
        <v>3953</v>
      </c>
      <c r="J1267" s="19" t="s">
        <v>4547</v>
      </c>
    </row>
    <row r="1268" spans="1:10" x14ac:dyDescent="0.2">
      <c r="A1268" s="3">
        <v>1673</v>
      </c>
      <c r="B1268" s="3" t="s">
        <v>1363</v>
      </c>
      <c r="C1268" s="3" t="s">
        <v>1362</v>
      </c>
      <c r="D1268" s="3" t="s">
        <v>1285</v>
      </c>
      <c r="E1268" s="3" t="str">
        <v>Villmergen</v>
      </c>
      <c r="I1268" s="19">
        <v>3954</v>
      </c>
      <c r="J1268" s="19" t="s">
        <v>4548</v>
      </c>
    </row>
    <row r="1269" spans="1:10" x14ac:dyDescent="0.2">
      <c r="A1269" s="3">
        <v>1673</v>
      </c>
      <c r="B1269" s="3" t="s">
        <v>1362</v>
      </c>
      <c r="C1269" s="3" t="s">
        <v>1362</v>
      </c>
      <c r="D1269" s="3" t="s">
        <v>1285</v>
      </c>
      <c r="E1269" s="3" t="str">
        <v>Widen</v>
      </c>
      <c r="I1269" s="19">
        <v>3955</v>
      </c>
      <c r="J1269" s="19" t="s">
        <v>4548</v>
      </c>
    </row>
    <row r="1270" spans="1:10" x14ac:dyDescent="0.2">
      <c r="A1270" s="3">
        <v>1675</v>
      </c>
      <c r="B1270" s="3" t="s">
        <v>1364</v>
      </c>
      <c r="C1270" s="3" t="s">
        <v>1362</v>
      </c>
      <c r="D1270" s="3" t="s">
        <v>1285</v>
      </c>
      <c r="E1270" s="3" t="str">
        <v>Wohlen (AG)</v>
      </c>
      <c r="I1270" s="19">
        <v>3956</v>
      </c>
      <c r="J1270" s="19" t="s">
        <v>4548</v>
      </c>
    </row>
    <row r="1271" spans="1:10" x14ac:dyDescent="0.2">
      <c r="A1271" s="3">
        <v>1676</v>
      </c>
      <c r="B1271" s="3" t="s">
        <v>1365</v>
      </c>
      <c r="C1271" s="3" t="s">
        <v>1366</v>
      </c>
      <c r="D1271" s="3" t="s">
        <v>1285</v>
      </c>
      <c r="E1271" s="3" t="str">
        <v>Zufikon</v>
      </c>
      <c r="I1271" s="19">
        <v>3957</v>
      </c>
      <c r="J1271" s="19" t="s">
        <v>4548</v>
      </c>
    </row>
    <row r="1272" spans="1:10" x14ac:dyDescent="0.2">
      <c r="A1272" s="3">
        <v>1677</v>
      </c>
      <c r="B1272" s="3" t="s">
        <v>1367</v>
      </c>
      <c r="C1272" s="3" t="s">
        <v>1366</v>
      </c>
      <c r="D1272" s="3" t="s">
        <v>1285</v>
      </c>
      <c r="E1272" s="3" t="str">
        <v>Islisberg</v>
      </c>
      <c r="I1272" s="19">
        <v>3960</v>
      </c>
      <c r="J1272" s="19" t="s">
        <v>4547</v>
      </c>
    </row>
    <row r="1273" spans="1:10" x14ac:dyDescent="0.2">
      <c r="A1273" s="3">
        <v>1678</v>
      </c>
      <c r="B1273" s="3" t="s">
        <v>1366</v>
      </c>
      <c r="C1273" s="3" t="s">
        <v>1366</v>
      </c>
      <c r="D1273" s="3" t="s">
        <v>1285</v>
      </c>
      <c r="E1273" s="3" t="str">
        <v>Auenstein</v>
      </c>
      <c r="I1273" s="19">
        <v>3961</v>
      </c>
      <c r="J1273" s="19" t="s">
        <v>4548</v>
      </c>
    </row>
    <row r="1274" spans="1:10" x14ac:dyDescent="0.2">
      <c r="A1274" s="3">
        <v>1679</v>
      </c>
      <c r="B1274" s="3" t="s">
        <v>1368</v>
      </c>
      <c r="C1274" s="3" t="s">
        <v>1366</v>
      </c>
      <c r="D1274" s="3" t="s">
        <v>1285</v>
      </c>
      <c r="E1274" s="3" t="str">
        <v>Birr</v>
      </c>
      <c r="I1274" s="19">
        <v>3963</v>
      </c>
      <c r="J1274" s="19" t="s">
        <v>4548</v>
      </c>
    </row>
    <row r="1275" spans="1:10" x14ac:dyDescent="0.2">
      <c r="A1275" s="3">
        <v>1670</v>
      </c>
      <c r="B1275" s="3" t="s">
        <v>1369</v>
      </c>
      <c r="C1275" s="3" t="s">
        <v>1369</v>
      </c>
      <c r="D1275" s="3" t="s">
        <v>1285</v>
      </c>
      <c r="E1275" s="3" t="str">
        <v>Birrhard</v>
      </c>
      <c r="I1275" s="19">
        <v>3965</v>
      </c>
      <c r="J1275" s="19" t="s">
        <v>4547</v>
      </c>
    </row>
    <row r="1276" spans="1:10" x14ac:dyDescent="0.2">
      <c r="A1276" s="3">
        <v>1670</v>
      </c>
      <c r="B1276" s="3" t="s">
        <v>1370</v>
      </c>
      <c r="C1276" s="3" t="s">
        <v>1369</v>
      </c>
      <c r="D1276" s="3" t="s">
        <v>1285</v>
      </c>
      <c r="E1276" s="3" t="str">
        <v>Brugg</v>
      </c>
      <c r="I1276" s="19">
        <v>3966</v>
      </c>
      <c r="J1276" s="19" t="s">
        <v>4547</v>
      </c>
    </row>
    <row r="1277" spans="1:10" x14ac:dyDescent="0.2">
      <c r="A1277" s="3">
        <v>1670</v>
      </c>
      <c r="B1277" s="3" t="s">
        <v>1371</v>
      </c>
      <c r="C1277" s="3" t="s">
        <v>1369</v>
      </c>
      <c r="D1277" s="3" t="s">
        <v>1285</v>
      </c>
      <c r="E1277" s="3" t="str">
        <v>Habsburg</v>
      </c>
      <c r="I1277" s="19">
        <v>3967</v>
      </c>
      <c r="J1277" s="19" t="s">
        <v>4548</v>
      </c>
    </row>
    <row r="1278" spans="1:10" x14ac:dyDescent="0.2">
      <c r="A1278" s="3">
        <v>1674</v>
      </c>
      <c r="B1278" s="3" t="s">
        <v>1372</v>
      </c>
      <c r="C1278" s="3" t="s">
        <v>1369</v>
      </c>
      <c r="D1278" s="3" t="s">
        <v>1285</v>
      </c>
      <c r="E1278" s="3" t="str">
        <v>Hausen (AG)</v>
      </c>
      <c r="I1278" s="19">
        <v>3968</v>
      </c>
      <c r="J1278" s="19" t="s">
        <v>4547</v>
      </c>
    </row>
    <row r="1279" spans="1:10" x14ac:dyDescent="0.2">
      <c r="A1279" s="3">
        <v>1674</v>
      </c>
      <c r="B1279" s="3" t="s">
        <v>1373</v>
      </c>
      <c r="C1279" s="3" t="s">
        <v>1369</v>
      </c>
      <c r="D1279" s="3" t="s">
        <v>1285</v>
      </c>
      <c r="E1279" s="3" t="str">
        <v>Lupfig</v>
      </c>
      <c r="I1279" s="19">
        <v>3970</v>
      </c>
      <c r="J1279" s="19" t="s">
        <v>4547</v>
      </c>
    </row>
    <row r="1280" spans="1:10" x14ac:dyDescent="0.2">
      <c r="A1280" s="3">
        <v>1675</v>
      </c>
      <c r="B1280" s="3" t="s">
        <v>1374</v>
      </c>
      <c r="C1280" s="3" t="s">
        <v>1369</v>
      </c>
      <c r="D1280" s="3" t="s">
        <v>1285</v>
      </c>
      <c r="E1280" s="3" t="str">
        <v>Mandach</v>
      </c>
      <c r="I1280" s="19">
        <v>3971</v>
      </c>
      <c r="J1280" s="19" t="s">
        <v>4548</v>
      </c>
    </row>
    <row r="1281" spans="1:10" x14ac:dyDescent="0.2">
      <c r="A1281" s="3">
        <v>1675</v>
      </c>
      <c r="B1281" s="3" t="s">
        <v>1375</v>
      </c>
      <c r="C1281" s="3" t="s">
        <v>1369</v>
      </c>
      <c r="D1281" s="3" t="s">
        <v>1285</v>
      </c>
      <c r="E1281" s="3" t="str">
        <v>Mönthal</v>
      </c>
      <c r="I1281" s="19">
        <v>3972</v>
      </c>
      <c r="J1281" s="19" t="s">
        <v>4547</v>
      </c>
    </row>
    <row r="1282" spans="1:10" x14ac:dyDescent="0.2">
      <c r="A1282" s="3">
        <v>1685</v>
      </c>
      <c r="B1282" s="3" t="s">
        <v>1376</v>
      </c>
      <c r="C1282" s="3" t="s">
        <v>1377</v>
      </c>
      <c r="D1282" s="3" t="s">
        <v>1285</v>
      </c>
      <c r="E1282" s="3" t="str">
        <v>Mülligen</v>
      </c>
      <c r="I1282" s="19">
        <v>3973</v>
      </c>
      <c r="J1282" s="19" t="s">
        <v>4547</v>
      </c>
    </row>
    <row r="1283" spans="1:10" x14ac:dyDescent="0.2">
      <c r="A1283" s="3">
        <v>1686</v>
      </c>
      <c r="B1283" s="3" t="s">
        <v>1378</v>
      </c>
      <c r="C1283" s="3" t="s">
        <v>1377</v>
      </c>
      <c r="D1283" s="3" t="s">
        <v>1285</v>
      </c>
      <c r="E1283" s="3" t="str">
        <v>Remigen</v>
      </c>
      <c r="I1283" s="19">
        <v>3974</v>
      </c>
      <c r="J1283" s="19" t="s">
        <v>4548</v>
      </c>
    </row>
    <row r="1284" spans="1:10" x14ac:dyDescent="0.2">
      <c r="A1284" s="3">
        <v>1687</v>
      </c>
      <c r="B1284" s="3" t="s">
        <v>1377</v>
      </c>
      <c r="C1284" s="3" t="s">
        <v>1377</v>
      </c>
      <c r="D1284" s="3" t="s">
        <v>1285</v>
      </c>
      <c r="E1284" s="3" t="str">
        <v>Riniken</v>
      </c>
      <c r="I1284" s="19">
        <v>3975</v>
      </c>
      <c r="J1284" s="19" t="s">
        <v>4548</v>
      </c>
    </row>
    <row r="1285" spans="1:10" x14ac:dyDescent="0.2">
      <c r="A1285" s="3">
        <v>1687</v>
      </c>
      <c r="B1285" s="3" t="s">
        <v>1379</v>
      </c>
      <c r="C1285" s="3" t="s">
        <v>1377</v>
      </c>
      <c r="D1285" s="3" t="s">
        <v>1285</v>
      </c>
      <c r="E1285" s="3" t="str">
        <v>Rüfenach</v>
      </c>
      <c r="I1285" s="19">
        <v>3976</v>
      </c>
      <c r="J1285" s="19" t="s">
        <v>4547</v>
      </c>
    </row>
    <row r="1286" spans="1:10" x14ac:dyDescent="0.2">
      <c r="A1286" s="3">
        <v>1687</v>
      </c>
      <c r="B1286" s="3" t="s">
        <v>1380</v>
      </c>
      <c r="C1286" s="3" t="s">
        <v>1377</v>
      </c>
      <c r="D1286" s="3" t="s">
        <v>1285</v>
      </c>
      <c r="E1286" s="3" t="str">
        <v>Thalheim (AG)</v>
      </c>
      <c r="I1286" s="19">
        <v>3977</v>
      </c>
      <c r="J1286" s="19" t="s">
        <v>4547</v>
      </c>
    </row>
    <row r="1287" spans="1:10" x14ac:dyDescent="0.2">
      <c r="A1287" s="3">
        <v>1688</v>
      </c>
      <c r="B1287" s="3" t="s">
        <v>1381</v>
      </c>
      <c r="C1287" s="3" t="s">
        <v>1377</v>
      </c>
      <c r="D1287" s="3" t="s">
        <v>1285</v>
      </c>
      <c r="E1287" s="3" t="str">
        <v>Veltheim (AG)</v>
      </c>
      <c r="I1287" s="19">
        <v>3978</v>
      </c>
      <c r="J1287" s="19" t="s">
        <v>4547</v>
      </c>
    </row>
    <row r="1288" spans="1:10" x14ac:dyDescent="0.2">
      <c r="A1288" s="3">
        <v>1688</v>
      </c>
      <c r="B1288" s="3" t="s">
        <v>1382</v>
      </c>
      <c r="C1288" s="3" t="s">
        <v>1377</v>
      </c>
      <c r="D1288" s="3" t="s">
        <v>1285</v>
      </c>
      <c r="E1288" s="3" t="str">
        <v>Villigen</v>
      </c>
      <c r="I1288" s="19">
        <v>3979</v>
      </c>
      <c r="J1288" s="19" t="s">
        <v>4547</v>
      </c>
    </row>
    <row r="1289" spans="1:10" x14ac:dyDescent="0.2">
      <c r="A1289" s="3">
        <v>1697</v>
      </c>
      <c r="B1289" s="3" t="s">
        <v>1383</v>
      </c>
      <c r="C1289" s="3" t="s">
        <v>1377</v>
      </c>
      <c r="D1289" s="3" t="s">
        <v>1285</v>
      </c>
      <c r="E1289" s="3" t="str">
        <v>Villnachern</v>
      </c>
      <c r="I1289" s="19">
        <v>3982</v>
      </c>
      <c r="J1289" s="19" t="s">
        <v>4547</v>
      </c>
    </row>
    <row r="1290" spans="1:10" x14ac:dyDescent="0.2">
      <c r="A1290" s="3">
        <v>1697</v>
      </c>
      <c r="B1290" s="3" t="s">
        <v>1384</v>
      </c>
      <c r="C1290" s="3" t="s">
        <v>1377</v>
      </c>
      <c r="D1290" s="3" t="s">
        <v>1285</v>
      </c>
      <c r="E1290" s="3" t="str">
        <v>Windisch</v>
      </c>
      <c r="I1290" s="19">
        <v>3983</v>
      </c>
      <c r="J1290" s="19" t="s">
        <v>4557</v>
      </c>
    </row>
    <row r="1291" spans="1:10" x14ac:dyDescent="0.2">
      <c r="A1291" s="3">
        <v>1694</v>
      </c>
      <c r="B1291" s="3" t="s">
        <v>1385</v>
      </c>
      <c r="C1291" s="3" t="s">
        <v>1386</v>
      </c>
      <c r="D1291" s="3" t="s">
        <v>1285</v>
      </c>
      <c r="E1291" s="3" t="str">
        <v>Bözberg</v>
      </c>
      <c r="I1291" s="19">
        <v>3984</v>
      </c>
      <c r="J1291" s="19" t="s">
        <v>4557</v>
      </c>
    </row>
    <row r="1292" spans="1:10" x14ac:dyDescent="0.2">
      <c r="A1292" s="3">
        <v>1694</v>
      </c>
      <c r="B1292" s="3" t="s">
        <v>1387</v>
      </c>
      <c r="C1292" s="3" t="s">
        <v>1386</v>
      </c>
      <c r="D1292" s="3" t="s">
        <v>1285</v>
      </c>
      <c r="E1292" s="3" t="str">
        <v>Schinznach</v>
      </c>
      <c r="I1292" s="19">
        <v>3985</v>
      </c>
      <c r="J1292" s="19" t="s">
        <v>4557</v>
      </c>
    </row>
    <row r="1293" spans="1:10" x14ac:dyDescent="0.2">
      <c r="A1293" s="3">
        <v>1694</v>
      </c>
      <c r="B1293" s="3" t="s">
        <v>1388</v>
      </c>
      <c r="C1293" s="3" t="s">
        <v>1386</v>
      </c>
      <c r="D1293" s="3" t="s">
        <v>1285</v>
      </c>
      <c r="E1293" s="3" t="str">
        <v>Beinwil am See</v>
      </c>
      <c r="I1293" s="19">
        <v>3986</v>
      </c>
      <c r="J1293" s="19" t="s">
        <v>4548</v>
      </c>
    </row>
    <row r="1294" spans="1:10" x14ac:dyDescent="0.2">
      <c r="A1294" s="3">
        <v>1694</v>
      </c>
      <c r="B1294" s="3" t="s">
        <v>1389</v>
      </c>
      <c r="C1294" s="3" t="s">
        <v>1386</v>
      </c>
      <c r="D1294" s="3" t="s">
        <v>1285</v>
      </c>
      <c r="E1294" s="3" t="str">
        <v>Birrwil</v>
      </c>
      <c r="I1294" s="19">
        <v>3987</v>
      </c>
      <c r="J1294" s="19" t="s">
        <v>4557</v>
      </c>
    </row>
    <row r="1295" spans="1:10" x14ac:dyDescent="0.2">
      <c r="A1295" s="3">
        <v>1748</v>
      </c>
      <c r="B1295" s="3" t="s">
        <v>1390</v>
      </c>
      <c r="C1295" s="3" t="s">
        <v>1391</v>
      </c>
      <c r="D1295" s="3" t="s">
        <v>1285</v>
      </c>
      <c r="E1295" s="3" t="str">
        <v>Burg (AG)</v>
      </c>
      <c r="I1295" s="19">
        <v>3988</v>
      </c>
      <c r="J1295" s="19" t="s">
        <v>4557</v>
      </c>
    </row>
    <row r="1296" spans="1:10" x14ac:dyDescent="0.2">
      <c r="A1296" s="3">
        <v>1749</v>
      </c>
      <c r="B1296" s="3" t="s">
        <v>1392</v>
      </c>
      <c r="C1296" s="3" t="s">
        <v>1391</v>
      </c>
      <c r="D1296" s="3" t="s">
        <v>1285</v>
      </c>
      <c r="E1296" s="3" t="str">
        <v>Dürrenäsch</v>
      </c>
      <c r="I1296" s="19">
        <v>3989</v>
      </c>
      <c r="J1296" s="19" t="s">
        <v>4557</v>
      </c>
    </row>
    <row r="1297" spans="1:10" x14ac:dyDescent="0.2">
      <c r="A1297" s="3">
        <v>1690</v>
      </c>
      <c r="B1297" s="3" t="s">
        <v>1393</v>
      </c>
      <c r="C1297" s="3" t="s">
        <v>1394</v>
      </c>
      <c r="D1297" s="3" t="s">
        <v>1285</v>
      </c>
      <c r="E1297" s="3" t="str">
        <v>Gontenschwil</v>
      </c>
      <c r="I1297" s="19">
        <v>3991</v>
      </c>
      <c r="J1297" s="19" t="s">
        <v>4557</v>
      </c>
    </row>
    <row r="1298" spans="1:10" x14ac:dyDescent="0.2">
      <c r="A1298" s="3">
        <v>1690</v>
      </c>
      <c r="B1298" s="3" t="s">
        <v>1395</v>
      </c>
      <c r="C1298" s="3" t="s">
        <v>1394</v>
      </c>
      <c r="D1298" s="3" t="s">
        <v>1285</v>
      </c>
      <c r="E1298" s="3" t="str">
        <v>Holziken</v>
      </c>
      <c r="I1298" s="19">
        <v>3992</v>
      </c>
      <c r="J1298" s="19" t="s">
        <v>4557</v>
      </c>
    </row>
    <row r="1299" spans="1:10" x14ac:dyDescent="0.2">
      <c r="A1299" s="3">
        <v>1691</v>
      </c>
      <c r="B1299" s="3" t="s">
        <v>1396</v>
      </c>
      <c r="C1299" s="3" t="s">
        <v>1394</v>
      </c>
      <c r="D1299" s="3" t="s">
        <v>1285</v>
      </c>
      <c r="E1299" s="3" t="str">
        <v>Leimbach (AG)</v>
      </c>
      <c r="I1299" s="19">
        <v>3993</v>
      </c>
      <c r="J1299" s="19" t="s">
        <v>4557</v>
      </c>
    </row>
    <row r="1300" spans="1:10" x14ac:dyDescent="0.2">
      <c r="A1300" s="3">
        <v>1669</v>
      </c>
      <c r="B1300" s="3" t="s">
        <v>1397</v>
      </c>
      <c r="C1300" s="3" t="s">
        <v>1398</v>
      </c>
      <c r="D1300" s="3" t="s">
        <v>1285</v>
      </c>
      <c r="E1300" s="3" t="str">
        <v>Leutwil</v>
      </c>
      <c r="I1300" s="19">
        <v>3994</v>
      </c>
      <c r="J1300" s="19" t="s">
        <v>4557</v>
      </c>
    </row>
    <row r="1301" spans="1:10" x14ac:dyDescent="0.2">
      <c r="A1301" s="3">
        <v>1669</v>
      </c>
      <c r="B1301" s="3" t="s">
        <v>1399</v>
      </c>
      <c r="C1301" s="3" t="s">
        <v>1398</v>
      </c>
      <c r="D1301" s="3" t="s">
        <v>1285</v>
      </c>
      <c r="E1301" s="3" t="str">
        <v>Menziken</v>
      </c>
      <c r="I1301" s="19">
        <v>3995</v>
      </c>
      <c r="J1301" s="19" t="s">
        <v>4557</v>
      </c>
    </row>
    <row r="1302" spans="1:10" x14ac:dyDescent="0.2">
      <c r="A1302" s="3">
        <v>1669</v>
      </c>
      <c r="B1302" s="3" t="s">
        <v>1400</v>
      </c>
      <c r="C1302" s="3" t="s">
        <v>1398</v>
      </c>
      <c r="D1302" s="3" t="s">
        <v>1285</v>
      </c>
      <c r="E1302" s="3" t="str">
        <v>Oberkulm</v>
      </c>
      <c r="I1302" s="19">
        <v>3996</v>
      </c>
      <c r="J1302" s="19" t="s">
        <v>4557</v>
      </c>
    </row>
    <row r="1303" spans="1:10" x14ac:dyDescent="0.2">
      <c r="A1303" s="3">
        <v>1669</v>
      </c>
      <c r="B1303" s="3" t="s">
        <v>1401</v>
      </c>
      <c r="C1303" s="3" t="s">
        <v>1398</v>
      </c>
      <c r="D1303" s="3" t="s">
        <v>1285</v>
      </c>
      <c r="E1303" s="3" t="str">
        <v>Reinach (AG)</v>
      </c>
      <c r="I1303" s="19">
        <v>3997</v>
      </c>
      <c r="J1303" s="19" t="s">
        <v>4557</v>
      </c>
    </row>
    <row r="1304" spans="1:10" x14ac:dyDescent="0.2">
      <c r="A1304" s="3">
        <v>1669</v>
      </c>
      <c r="B1304" s="3" t="s">
        <v>1402</v>
      </c>
      <c r="C1304" s="3" t="s">
        <v>1398</v>
      </c>
      <c r="D1304" s="3" t="s">
        <v>1285</v>
      </c>
      <c r="E1304" s="3" t="str">
        <v>Schlossrued</v>
      </c>
      <c r="I1304" s="19">
        <v>3998</v>
      </c>
      <c r="J1304" s="19" t="s">
        <v>4557</v>
      </c>
    </row>
    <row r="1305" spans="1:10" x14ac:dyDescent="0.2">
      <c r="A1305" s="3">
        <v>1643</v>
      </c>
      <c r="B1305" s="3" t="s">
        <v>1403</v>
      </c>
      <c r="C1305" s="3" t="s">
        <v>1404</v>
      </c>
      <c r="D1305" s="3" t="s">
        <v>1285</v>
      </c>
      <c r="E1305" s="3" t="str">
        <v>Schmiedrued</v>
      </c>
      <c r="I1305" s="19">
        <v>3999</v>
      </c>
      <c r="J1305" s="19" t="s">
        <v>4557</v>
      </c>
    </row>
    <row r="1306" spans="1:10" x14ac:dyDescent="0.2">
      <c r="A1306" s="3">
        <v>1644</v>
      </c>
      <c r="B1306" s="3" t="s">
        <v>1405</v>
      </c>
      <c r="C1306" s="3" t="s">
        <v>1404</v>
      </c>
      <c r="D1306" s="3" t="s">
        <v>1285</v>
      </c>
      <c r="E1306" s="3" t="str">
        <v>Schöftland</v>
      </c>
      <c r="I1306" s="19">
        <v>4001</v>
      </c>
      <c r="J1306" s="19" t="s">
        <v>4552</v>
      </c>
    </row>
    <row r="1307" spans="1:10" x14ac:dyDescent="0.2">
      <c r="A1307" s="3">
        <v>1645</v>
      </c>
      <c r="B1307" s="3" t="s">
        <v>1406</v>
      </c>
      <c r="C1307" s="3" t="s">
        <v>1404</v>
      </c>
      <c r="D1307" s="3" t="s">
        <v>1285</v>
      </c>
      <c r="E1307" s="3" t="str">
        <v>Teufenthal (AG)</v>
      </c>
      <c r="I1307" s="19">
        <v>4031</v>
      </c>
      <c r="J1307" s="19" t="s">
        <v>4552</v>
      </c>
    </row>
    <row r="1308" spans="1:10" x14ac:dyDescent="0.2">
      <c r="A1308" s="3">
        <v>1652</v>
      </c>
      <c r="B1308" s="3" t="s">
        <v>1407</v>
      </c>
      <c r="C1308" s="3" t="s">
        <v>1407</v>
      </c>
      <c r="D1308" s="3" t="s">
        <v>1285</v>
      </c>
      <c r="E1308" s="3" t="str">
        <v>Unterkulm</v>
      </c>
      <c r="I1308" s="19">
        <v>4051</v>
      </c>
      <c r="J1308" s="19" t="s">
        <v>4552</v>
      </c>
    </row>
    <row r="1309" spans="1:10" x14ac:dyDescent="0.2">
      <c r="A1309" s="3">
        <v>1652</v>
      </c>
      <c r="B1309" s="3" t="s">
        <v>1408</v>
      </c>
      <c r="C1309" s="3" t="s">
        <v>1407</v>
      </c>
      <c r="D1309" s="3" t="s">
        <v>1285</v>
      </c>
      <c r="E1309" s="3" t="str">
        <v>Zetzwil</v>
      </c>
      <c r="I1309" s="19">
        <v>4052</v>
      </c>
      <c r="J1309" s="19" t="s">
        <v>4552</v>
      </c>
    </row>
    <row r="1310" spans="1:10" x14ac:dyDescent="0.2">
      <c r="A1310" s="3">
        <v>1636</v>
      </c>
      <c r="B1310" s="3" t="s">
        <v>1409</v>
      </c>
      <c r="C1310" s="3" t="s">
        <v>1409</v>
      </c>
      <c r="D1310" s="3" t="s">
        <v>1285</v>
      </c>
      <c r="E1310" s="3" t="str">
        <v>Eiken</v>
      </c>
      <c r="I1310" s="19">
        <v>4053</v>
      </c>
      <c r="J1310" s="19" t="s">
        <v>4552</v>
      </c>
    </row>
    <row r="1311" spans="1:10" x14ac:dyDescent="0.2">
      <c r="A1311" s="3">
        <v>1630</v>
      </c>
      <c r="B1311" s="3" t="s">
        <v>1410</v>
      </c>
      <c r="C1311" s="3" t="s">
        <v>1410</v>
      </c>
      <c r="D1311" s="3" t="s">
        <v>1285</v>
      </c>
      <c r="E1311" s="3" t="str">
        <v>Frick</v>
      </c>
      <c r="I1311" s="19">
        <v>4054</v>
      </c>
      <c r="J1311" s="19" t="s">
        <v>4552</v>
      </c>
    </row>
    <row r="1312" spans="1:10" x14ac:dyDescent="0.2">
      <c r="A1312" s="3">
        <v>1635</v>
      </c>
      <c r="B1312" s="3" t="s">
        <v>1411</v>
      </c>
      <c r="C1312" s="3" t="s">
        <v>1410</v>
      </c>
      <c r="D1312" s="3" t="s">
        <v>1285</v>
      </c>
      <c r="E1312" s="3" t="str">
        <v>Gansingen</v>
      </c>
      <c r="I1312" s="19">
        <v>4055</v>
      </c>
      <c r="J1312" s="19" t="s">
        <v>4552</v>
      </c>
    </row>
    <row r="1313" spans="1:10" x14ac:dyDescent="0.2">
      <c r="A1313" s="3">
        <v>1653</v>
      </c>
      <c r="B1313" s="3" t="s">
        <v>1412</v>
      </c>
      <c r="C1313" s="3" t="s">
        <v>1412</v>
      </c>
      <c r="D1313" s="3" t="s">
        <v>1285</v>
      </c>
      <c r="E1313" s="3" t="str">
        <v>Gipf-Oberfrick</v>
      </c>
      <c r="I1313" s="19">
        <v>4056</v>
      </c>
      <c r="J1313" s="19" t="s">
        <v>4552</v>
      </c>
    </row>
    <row r="1314" spans="1:10" x14ac:dyDescent="0.2">
      <c r="A1314" s="3">
        <v>1647</v>
      </c>
      <c r="B1314" s="3" t="s">
        <v>1413</v>
      </c>
      <c r="C1314" s="3" t="s">
        <v>1413</v>
      </c>
      <c r="D1314" s="3" t="s">
        <v>1285</v>
      </c>
      <c r="E1314" s="3" t="str">
        <v>Herznach</v>
      </c>
      <c r="I1314" s="19">
        <v>4057</v>
      </c>
      <c r="J1314" s="19" t="s">
        <v>4552</v>
      </c>
    </row>
    <row r="1315" spans="1:10" x14ac:dyDescent="0.2">
      <c r="A1315" s="3">
        <v>1651</v>
      </c>
      <c r="B1315" s="3" t="s">
        <v>1414</v>
      </c>
      <c r="C1315" s="3" t="s">
        <v>1413</v>
      </c>
      <c r="D1315" s="3" t="s">
        <v>1285</v>
      </c>
      <c r="E1315" s="3" t="str">
        <v>Kaisten</v>
      </c>
      <c r="I1315" s="19">
        <v>4058</v>
      </c>
      <c r="J1315" s="19" t="s">
        <v>4552</v>
      </c>
    </row>
    <row r="1316" spans="1:10" x14ac:dyDescent="0.2">
      <c r="A1316" s="3">
        <v>1653</v>
      </c>
      <c r="B1316" s="3" t="s">
        <v>1415</v>
      </c>
      <c r="C1316" s="3" t="s">
        <v>1415</v>
      </c>
      <c r="D1316" s="3" t="s">
        <v>1285</v>
      </c>
      <c r="E1316" s="3" t="str">
        <v>Laufenburg</v>
      </c>
      <c r="I1316" s="19">
        <v>4059</v>
      </c>
      <c r="J1316" s="19" t="s">
        <v>4552</v>
      </c>
    </row>
    <row r="1317" spans="1:10" x14ac:dyDescent="0.2">
      <c r="A1317" s="3">
        <v>1646</v>
      </c>
      <c r="B1317" s="3" t="s">
        <v>1416</v>
      </c>
      <c r="C1317" s="3" t="s">
        <v>1416</v>
      </c>
      <c r="D1317" s="3" t="s">
        <v>1285</v>
      </c>
      <c r="E1317" s="3" t="str">
        <v>Münchwilen (AG)</v>
      </c>
      <c r="I1317" s="19">
        <v>4101</v>
      </c>
      <c r="J1317" s="19" t="s">
        <v>4552</v>
      </c>
    </row>
    <row r="1318" spans="1:10" x14ac:dyDescent="0.2">
      <c r="A1318" s="3">
        <v>1666</v>
      </c>
      <c r="B1318" s="3" t="s">
        <v>1417</v>
      </c>
      <c r="C1318" s="3" t="s">
        <v>1417</v>
      </c>
      <c r="D1318" s="3" t="s">
        <v>1285</v>
      </c>
      <c r="E1318" s="3" t="str">
        <v>Oberhof</v>
      </c>
      <c r="I1318" s="19">
        <v>4102</v>
      </c>
      <c r="J1318" s="19" t="s">
        <v>4552</v>
      </c>
    </row>
    <row r="1319" spans="1:10" x14ac:dyDescent="0.2">
      <c r="A1319" s="3">
        <v>1663</v>
      </c>
      <c r="B1319" s="3" t="s">
        <v>1418</v>
      </c>
      <c r="C1319" s="3" t="s">
        <v>1418</v>
      </c>
      <c r="D1319" s="3" t="s">
        <v>1285</v>
      </c>
      <c r="E1319" s="3" t="str">
        <v>Oeschgen</v>
      </c>
      <c r="I1319" s="19">
        <v>4103</v>
      </c>
      <c r="J1319" s="19" t="s">
        <v>4552</v>
      </c>
    </row>
    <row r="1320" spans="1:10" x14ac:dyDescent="0.2">
      <c r="A1320" s="3">
        <v>1663</v>
      </c>
      <c r="B1320" s="3" t="s">
        <v>1419</v>
      </c>
      <c r="C1320" s="3" t="s">
        <v>1418</v>
      </c>
      <c r="D1320" s="3" t="s">
        <v>1285</v>
      </c>
      <c r="E1320" s="3" t="str">
        <v>Schwaderloch</v>
      </c>
      <c r="I1320" s="19">
        <v>4104</v>
      </c>
      <c r="J1320" s="19" t="s">
        <v>4552</v>
      </c>
    </row>
    <row r="1321" spans="1:10" x14ac:dyDescent="0.2">
      <c r="A1321" s="3">
        <v>1663</v>
      </c>
      <c r="B1321" s="3" t="s">
        <v>1420</v>
      </c>
      <c r="C1321" s="3" t="s">
        <v>1418</v>
      </c>
      <c r="D1321" s="3" t="s">
        <v>1285</v>
      </c>
      <c r="E1321" s="3" t="str">
        <v>Sisseln</v>
      </c>
      <c r="I1321" s="19">
        <v>4105</v>
      </c>
      <c r="J1321" s="19" t="s">
        <v>4552</v>
      </c>
    </row>
    <row r="1322" spans="1:10" x14ac:dyDescent="0.2">
      <c r="A1322" s="3">
        <v>1663</v>
      </c>
      <c r="B1322" s="3" t="s">
        <v>1421</v>
      </c>
      <c r="C1322" s="3" t="s">
        <v>1418</v>
      </c>
      <c r="D1322" s="3" t="s">
        <v>1285</v>
      </c>
      <c r="E1322" s="3" t="str">
        <v>Ueken</v>
      </c>
      <c r="I1322" s="19">
        <v>4106</v>
      </c>
      <c r="J1322" s="19" t="s">
        <v>4552</v>
      </c>
    </row>
    <row r="1323" spans="1:10" x14ac:dyDescent="0.2">
      <c r="A1323" s="3">
        <v>1648</v>
      </c>
      <c r="B1323" s="3" t="s">
        <v>1422</v>
      </c>
      <c r="C1323" s="3" t="s">
        <v>1422</v>
      </c>
      <c r="D1323" s="3" t="s">
        <v>1285</v>
      </c>
      <c r="E1323" s="3" t="str">
        <v>Wittnau</v>
      </c>
      <c r="I1323" s="19">
        <v>4107</v>
      </c>
      <c r="J1323" s="19" t="s">
        <v>4552</v>
      </c>
    </row>
    <row r="1324" spans="1:10" x14ac:dyDescent="0.2">
      <c r="A1324" s="3">
        <v>1656</v>
      </c>
      <c r="B1324" s="3" t="s">
        <v>1423</v>
      </c>
      <c r="C1324" s="3" t="s">
        <v>1423</v>
      </c>
      <c r="D1324" s="3" t="s">
        <v>1285</v>
      </c>
      <c r="E1324" s="3" t="str">
        <v>Wölflinswil</v>
      </c>
      <c r="I1324" s="19">
        <v>4108</v>
      </c>
      <c r="J1324" s="19" t="s">
        <v>4552</v>
      </c>
    </row>
    <row r="1325" spans="1:10" x14ac:dyDescent="0.2">
      <c r="A1325" s="3">
        <v>1656</v>
      </c>
      <c r="B1325" s="3" t="s">
        <v>1424</v>
      </c>
      <c r="C1325" s="3" t="s">
        <v>1423</v>
      </c>
      <c r="D1325" s="3" t="s">
        <v>1285</v>
      </c>
      <c r="E1325" s="3" t="str">
        <v>Zeihen</v>
      </c>
      <c r="I1325" s="19">
        <v>4112</v>
      </c>
      <c r="J1325" s="19" t="s">
        <v>4552</v>
      </c>
    </row>
    <row r="1326" spans="1:10" x14ac:dyDescent="0.2">
      <c r="A1326" s="3">
        <v>1633</v>
      </c>
      <c r="B1326" s="3" t="s">
        <v>1425</v>
      </c>
      <c r="C1326" s="3" t="s">
        <v>1425</v>
      </c>
      <c r="D1326" s="3" t="s">
        <v>1285</v>
      </c>
      <c r="E1326" s="3" t="str">
        <v>Mettauertal</v>
      </c>
      <c r="I1326" s="19">
        <v>4114</v>
      </c>
      <c r="J1326" s="19" t="s">
        <v>4552</v>
      </c>
    </row>
    <row r="1327" spans="1:10" x14ac:dyDescent="0.2">
      <c r="A1327" s="3">
        <v>1633</v>
      </c>
      <c r="B1327" s="3" t="s">
        <v>1426</v>
      </c>
      <c r="C1327" s="3" t="s">
        <v>1425</v>
      </c>
      <c r="D1327" s="3" t="s">
        <v>1285</v>
      </c>
      <c r="E1327" s="3" t="str">
        <v>Böztal</v>
      </c>
      <c r="I1327" s="19">
        <v>4115</v>
      </c>
      <c r="J1327" s="19" t="s">
        <v>4552</v>
      </c>
    </row>
    <row r="1328" spans="1:10" x14ac:dyDescent="0.2">
      <c r="A1328" s="3">
        <v>1638</v>
      </c>
      <c r="B1328" s="3" t="s">
        <v>1427</v>
      </c>
      <c r="C1328" s="3" t="s">
        <v>1427</v>
      </c>
      <c r="D1328" s="3" t="s">
        <v>1285</v>
      </c>
      <c r="E1328" s="3" t="str">
        <v>Ammerswil</v>
      </c>
      <c r="I1328" s="19">
        <v>4116</v>
      </c>
      <c r="J1328" s="19" t="s">
        <v>4552</v>
      </c>
    </row>
    <row r="1329" spans="1:10" x14ac:dyDescent="0.2">
      <c r="A1329" s="3">
        <v>1661</v>
      </c>
      <c r="B1329" s="3" t="s">
        <v>1428</v>
      </c>
      <c r="C1329" s="3" t="s">
        <v>1429</v>
      </c>
      <c r="D1329" s="3" t="s">
        <v>1285</v>
      </c>
      <c r="E1329" s="3" t="str">
        <v>Boniswil</v>
      </c>
      <c r="I1329" s="19">
        <v>4117</v>
      </c>
      <c r="J1329" s="19" t="s">
        <v>4552</v>
      </c>
    </row>
    <row r="1330" spans="1:10" x14ac:dyDescent="0.2">
      <c r="A1330" s="3">
        <v>1649</v>
      </c>
      <c r="B1330" s="3" t="s">
        <v>1430</v>
      </c>
      <c r="C1330" s="3" t="s">
        <v>1430</v>
      </c>
      <c r="D1330" s="3" t="s">
        <v>1285</v>
      </c>
      <c r="E1330" s="3" t="str">
        <v>Brunegg</v>
      </c>
      <c r="I1330" s="19">
        <v>4118</v>
      </c>
      <c r="J1330" s="19" t="s">
        <v>4552</v>
      </c>
    </row>
    <row r="1331" spans="1:10" x14ac:dyDescent="0.2">
      <c r="A1331" s="3">
        <v>1632</v>
      </c>
      <c r="B1331" s="3" t="s">
        <v>1431</v>
      </c>
      <c r="C1331" s="3" t="s">
        <v>1431</v>
      </c>
      <c r="D1331" s="3" t="s">
        <v>1285</v>
      </c>
      <c r="E1331" s="3" t="str">
        <v>Dintikon</v>
      </c>
      <c r="I1331" s="19">
        <v>4123</v>
      </c>
      <c r="J1331" s="19" t="s">
        <v>4552</v>
      </c>
    </row>
    <row r="1332" spans="1:10" x14ac:dyDescent="0.2">
      <c r="A1332" s="3">
        <v>1634</v>
      </c>
      <c r="B1332" s="3" t="s">
        <v>1432</v>
      </c>
      <c r="C1332" s="3" t="s">
        <v>1433</v>
      </c>
      <c r="D1332" s="3" t="s">
        <v>1285</v>
      </c>
      <c r="E1332" s="3" t="str">
        <v>Egliswil</v>
      </c>
      <c r="I1332" s="19">
        <v>4124</v>
      </c>
      <c r="J1332" s="19" t="s">
        <v>4552</v>
      </c>
    </row>
    <row r="1333" spans="1:10" x14ac:dyDescent="0.2">
      <c r="A1333" s="3">
        <v>1625</v>
      </c>
      <c r="B1333" s="3" t="s">
        <v>1434</v>
      </c>
      <c r="C1333" s="3" t="s">
        <v>1435</v>
      </c>
      <c r="D1333" s="3" t="s">
        <v>1285</v>
      </c>
      <c r="E1333" s="3" t="str">
        <v>Fahrwangen</v>
      </c>
      <c r="I1333" s="19">
        <v>4125</v>
      </c>
      <c r="J1333" s="19" t="s">
        <v>4552</v>
      </c>
    </row>
    <row r="1334" spans="1:10" x14ac:dyDescent="0.2">
      <c r="A1334" s="3">
        <v>1625</v>
      </c>
      <c r="B1334" s="3" t="s">
        <v>1436</v>
      </c>
      <c r="C1334" s="3" t="s">
        <v>1435</v>
      </c>
      <c r="D1334" s="3" t="s">
        <v>1285</v>
      </c>
      <c r="E1334" s="3" t="str">
        <v>Hallwil</v>
      </c>
      <c r="I1334" s="19">
        <v>4126</v>
      </c>
      <c r="J1334" s="19" t="s">
        <v>4552</v>
      </c>
    </row>
    <row r="1335" spans="1:10" x14ac:dyDescent="0.2">
      <c r="A1335" s="3">
        <v>1626</v>
      </c>
      <c r="B1335" s="3" t="s">
        <v>1437</v>
      </c>
      <c r="C1335" s="3" t="s">
        <v>1435</v>
      </c>
      <c r="D1335" s="3" t="s">
        <v>1285</v>
      </c>
      <c r="E1335" s="3" t="str">
        <v>Hendschiken</v>
      </c>
      <c r="I1335" s="19">
        <v>4127</v>
      </c>
      <c r="J1335" s="19" t="s">
        <v>4552</v>
      </c>
    </row>
    <row r="1336" spans="1:10" x14ac:dyDescent="0.2">
      <c r="A1336" s="3">
        <v>1626</v>
      </c>
      <c r="B1336" s="3" t="s">
        <v>1438</v>
      </c>
      <c r="C1336" s="3" t="s">
        <v>1435</v>
      </c>
      <c r="D1336" s="3" t="s">
        <v>1285</v>
      </c>
      <c r="E1336" s="3" t="str">
        <v>Holderbank (AG)</v>
      </c>
      <c r="I1336" s="19">
        <v>4132</v>
      </c>
      <c r="J1336" s="19" t="s">
        <v>4552</v>
      </c>
    </row>
    <row r="1337" spans="1:10" x14ac:dyDescent="0.2">
      <c r="A1337" s="3">
        <v>1626</v>
      </c>
      <c r="B1337" s="3" t="s">
        <v>1439</v>
      </c>
      <c r="C1337" s="3" t="s">
        <v>1435</v>
      </c>
      <c r="D1337" s="3" t="s">
        <v>1285</v>
      </c>
      <c r="E1337" s="3" t="str">
        <v>Hunzenschwil</v>
      </c>
      <c r="I1337" s="19">
        <v>4133</v>
      </c>
      <c r="J1337" s="19" t="s">
        <v>4552</v>
      </c>
    </row>
    <row r="1338" spans="1:10" x14ac:dyDescent="0.2">
      <c r="A1338" s="3">
        <v>1642</v>
      </c>
      <c r="B1338" s="3" t="s">
        <v>1440</v>
      </c>
      <c r="C1338" s="3" t="s">
        <v>1440</v>
      </c>
      <c r="D1338" s="3" t="s">
        <v>1285</v>
      </c>
      <c r="E1338" s="3" t="str">
        <v>Lenzburg</v>
      </c>
      <c r="I1338" s="19">
        <v>4142</v>
      </c>
      <c r="J1338" s="19" t="s">
        <v>4552</v>
      </c>
    </row>
    <row r="1339" spans="1:10" x14ac:dyDescent="0.2">
      <c r="A1339" s="3">
        <v>1627</v>
      </c>
      <c r="B1339" s="3" t="s">
        <v>1441</v>
      </c>
      <c r="C1339" s="3" t="s">
        <v>1441</v>
      </c>
      <c r="D1339" s="3" t="s">
        <v>1285</v>
      </c>
      <c r="E1339" s="3" t="str">
        <v>Meisterschwanden</v>
      </c>
      <c r="I1339" s="19">
        <v>4143</v>
      </c>
      <c r="J1339" s="19" t="s">
        <v>4552</v>
      </c>
    </row>
    <row r="1340" spans="1:10" x14ac:dyDescent="0.2">
      <c r="A1340" s="3">
        <v>1628</v>
      </c>
      <c r="B1340" s="3" t="s">
        <v>1442</v>
      </c>
      <c r="C1340" s="3" t="s">
        <v>1442</v>
      </c>
      <c r="D1340" s="3" t="s">
        <v>1285</v>
      </c>
      <c r="E1340" s="3" t="str">
        <v>Möriken-Wildegg</v>
      </c>
      <c r="I1340" s="19">
        <v>4144</v>
      </c>
      <c r="J1340" s="19" t="s">
        <v>4552</v>
      </c>
    </row>
    <row r="1341" spans="1:10" x14ac:dyDescent="0.2">
      <c r="A1341" s="3">
        <v>1665</v>
      </c>
      <c r="B1341" s="3" t="s">
        <v>1443</v>
      </c>
      <c r="C1341" s="3" t="s">
        <v>1444</v>
      </c>
      <c r="D1341" s="3" t="s">
        <v>1285</v>
      </c>
      <c r="E1341" s="3" t="str">
        <v>Niederlenz</v>
      </c>
      <c r="I1341" s="19">
        <v>4145</v>
      </c>
      <c r="J1341" s="19" t="s">
        <v>4552</v>
      </c>
    </row>
    <row r="1342" spans="1:10" x14ac:dyDescent="0.2">
      <c r="A1342" s="3">
        <v>1666</v>
      </c>
      <c r="B1342" s="3" t="s">
        <v>1445</v>
      </c>
      <c r="C1342" s="3" t="s">
        <v>1444</v>
      </c>
      <c r="D1342" s="3" t="s">
        <v>1285</v>
      </c>
      <c r="E1342" s="3" t="str">
        <v>Othmarsingen</v>
      </c>
      <c r="I1342" s="19">
        <v>4146</v>
      </c>
      <c r="J1342" s="19" t="s">
        <v>4552</v>
      </c>
    </row>
    <row r="1343" spans="1:10" x14ac:dyDescent="0.2">
      <c r="A1343" s="3">
        <v>1667</v>
      </c>
      <c r="B1343" s="3" t="s">
        <v>1446</v>
      </c>
      <c r="C1343" s="3" t="s">
        <v>1444</v>
      </c>
      <c r="D1343" s="3" t="s">
        <v>1285</v>
      </c>
      <c r="E1343" s="3" t="str">
        <v>Rupperswil</v>
      </c>
      <c r="I1343" s="19">
        <v>4147</v>
      </c>
      <c r="J1343" s="19" t="s">
        <v>4552</v>
      </c>
    </row>
    <row r="1344" spans="1:10" x14ac:dyDescent="0.2">
      <c r="A1344" s="3">
        <v>1637</v>
      </c>
      <c r="B1344" s="3" t="s">
        <v>1447</v>
      </c>
      <c r="C1344" s="3" t="s">
        <v>1448</v>
      </c>
      <c r="D1344" s="3" t="s">
        <v>1285</v>
      </c>
      <c r="E1344" s="3" t="str">
        <v>Schafisheim</v>
      </c>
      <c r="I1344" s="19">
        <v>4148</v>
      </c>
      <c r="J1344" s="19" t="s">
        <v>4552</v>
      </c>
    </row>
    <row r="1345" spans="1:10" x14ac:dyDescent="0.2">
      <c r="A1345" s="3">
        <v>1654</v>
      </c>
      <c r="B1345" s="3" t="s">
        <v>1449</v>
      </c>
      <c r="C1345" s="3" t="s">
        <v>1448</v>
      </c>
      <c r="D1345" s="3" t="s">
        <v>1285</v>
      </c>
      <c r="E1345" s="3" t="str">
        <v>Seengen</v>
      </c>
      <c r="I1345" s="19">
        <v>4153</v>
      </c>
      <c r="J1345" s="19" t="s">
        <v>4552</v>
      </c>
    </row>
    <row r="1346" spans="1:10" x14ac:dyDescent="0.2">
      <c r="A1346" s="3">
        <v>1742</v>
      </c>
      <c r="B1346" s="3" t="s">
        <v>1450</v>
      </c>
      <c r="C1346" s="3" t="s">
        <v>1450</v>
      </c>
      <c r="D1346" s="3" t="s">
        <v>1285</v>
      </c>
      <c r="E1346" s="3" t="str">
        <v>Seon</v>
      </c>
      <c r="I1346" s="19">
        <v>4202</v>
      </c>
      <c r="J1346" s="19" t="s">
        <v>4552</v>
      </c>
    </row>
    <row r="1347" spans="1:10" x14ac:dyDescent="0.2">
      <c r="A1347" s="3">
        <v>1754</v>
      </c>
      <c r="B1347" s="3" t="s">
        <v>1451</v>
      </c>
      <c r="C1347" s="3" t="s">
        <v>1452</v>
      </c>
      <c r="D1347" s="3" t="s">
        <v>1285</v>
      </c>
      <c r="E1347" s="3" t="str">
        <v>Staufen</v>
      </c>
      <c r="I1347" s="19">
        <v>4203</v>
      </c>
      <c r="J1347" s="19" t="s">
        <v>4552</v>
      </c>
    </row>
    <row r="1348" spans="1:10" x14ac:dyDescent="0.2">
      <c r="A1348" s="3">
        <v>1754</v>
      </c>
      <c r="B1348" s="3" t="s">
        <v>1453</v>
      </c>
      <c r="C1348" s="3" t="s">
        <v>1452</v>
      </c>
      <c r="D1348" s="3" t="s">
        <v>1285</v>
      </c>
      <c r="E1348" s="3" t="str">
        <v>Abtwil</v>
      </c>
      <c r="I1348" s="19">
        <v>4204</v>
      </c>
      <c r="J1348" s="19" t="s">
        <v>4552</v>
      </c>
    </row>
    <row r="1349" spans="1:10" x14ac:dyDescent="0.2">
      <c r="A1349" s="3">
        <v>1782</v>
      </c>
      <c r="B1349" s="3" t="s">
        <v>1454</v>
      </c>
      <c r="C1349" s="3" t="s">
        <v>1454</v>
      </c>
      <c r="D1349" s="3" t="s">
        <v>1285</v>
      </c>
      <c r="E1349" s="3" t="str">
        <v>Aristau</v>
      </c>
      <c r="I1349" s="19">
        <v>4206</v>
      </c>
      <c r="J1349" s="19" t="s">
        <v>4552</v>
      </c>
    </row>
    <row r="1350" spans="1:10" x14ac:dyDescent="0.2">
      <c r="A1350" s="3">
        <v>1782</v>
      </c>
      <c r="B1350" s="3" t="s">
        <v>1455</v>
      </c>
      <c r="C1350" s="3" t="s">
        <v>1454</v>
      </c>
      <c r="D1350" s="3" t="s">
        <v>1285</v>
      </c>
      <c r="E1350" s="3" t="str">
        <v>Auw</v>
      </c>
      <c r="I1350" s="19">
        <v>4207</v>
      </c>
      <c r="J1350" s="19" t="s">
        <v>4552</v>
      </c>
    </row>
    <row r="1351" spans="1:10" x14ac:dyDescent="0.2">
      <c r="A1351" s="3">
        <v>1744</v>
      </c>
      <c r="B1351" s="3" t="s">
        <v>1456</v>
      </c>
      <c r="C1351" s="3" t="s">
        <v>1456</v>
      </c>
      <c r="D1351" s="3" t="s">
        <v>1285</v>
      </c>
      <c r="E1351" s="3" t="str">
        <v>Beinwil (Freiamt)</v>
      </c>
      <c r="I1351" s="19">
        <v>4208</v>
      </c>
      <c r="J1351" s="19" t="s">
        <v>4552</v>
      </c>
    </row>
    <row r="1352" spans="1:10" x14ac:dyDescent="0.2">
      <c r="A1352" s="3">
        <v>1720</v>
      </c>
      <c r="B1352" s="3" t="s">
        <v>1457</v>
      </c>
      <c r="C1352" s="3" t="s">
        <v>1457</v>
      </c>
      <c r="D1352" s="3" t="s">
        <v>1285</v>
      </c>
      <c r="E1352" s="3" t="str">
        <v>Besenbüren</v>
      </c>
      <c r="I1352" s="19">
        <v>4222</v>
      </c>
      <c r="J1352" s="19" t="s">
        <v>4552</v>
      </c>
    </row>
    <row r="1353" spans="1:10" x14ac:dyDescent="0.2">
      <c r="A1353" s="3">
        <v>1720</v>
      </c>
      <c r="B1353" s="3" t="s">
        <v>1458</v>
      </c>
      <c r="C1353" s="3" t="s">
        <v>1457</v>
      </c>
      <c r="D1353" s="3" t="s">
        <v>1285</v>
      </c>
      <c r="E1353" s="3" t="str">
        <v>Bettwil</v>
      </c>
      <c r="I1353" s="19">
        <v>4223</v>
      </c>
      <c r="J1353" s="19" t="s">
        <v>4552</v>
      </c>
    </row>
    <row r="1354" spans="1:10" x14ac:dyDescent="0.2">
      <c r="A1354" s="3">
        <v>1741</v>
      </c>
      <c r="B1354" s="3" t="s">
        <v>1459</v>
      </c>
      <c r="C1354" s="3" t="s">
        <v>1460</v>
      </c>
      <c r="D1354" s="3" t="s">
        <v>1285</v>
      </c>
      <c r="E1354" s="3" t="str">
        <v>Boswil</v>
      </c>
      <c r="I1354" s="19">
        <v>4224</v>
      </c>
      <c r="J1354" s="19" t="s">
        <v>4552</v>
      </c>
    </row>
    <row r="1355" spans="1:10" x14ac:dyDescent="0.2">
      <c r="A1355" s="3">
        <v>1724</v>
      </c>
      <c r="B1355" s="3" t="s">
        <v>1461</v>
      </c>
      <c r="C1355" s="3" t="s">
        <v>1461</v>
      </c>
      <c r="D1355" s="3" t="s">
        <v>1285</v>
      </c>
      <c r="E1355" s="3" t="str">
        <v>Bünzen</v>
      </c>
      <c r="I1355" s="19">
        <v>4225</v>
      </c>
      <c r="J1355" s="19" t="s">
        <v>4552</v>
      </c>
    </row>
    <row r="1356" spans="1:10" x14ac:dyDescent="0.2">
      <c r="A1356" s="3">
        <v>1700</v>
      </c>
      <c r="B1356" s="3" t="s">
        <v>1462</v>
      </c>
      <c r="C1356" s="3" t="s">
        <v>1462</v>
      </c>
      <c r="D1356" s="3" t="s">
        <v>1285</v>
      </c>
      <c r="E1356" s="3" t="str">
        <v>Buttwil</v>
      </c>
      <c r="I1356" s="19">
        <v>4226</v>
      </c>
      <c r="J1356" s="19" t="s">
        <v>4552</v>
      </c>
    </row>
    <row r="1357" spans="1:10" x14ac:dyDescent="0.2">
      <c r="A1357" s="3">
        <v>1722</v>
      </c>
      <c r="B1357" s="3" t="s">
        <v>1463</v>
      </c>
      <c r="C1357" s="3" t="s">
        <v>1462</v>
      </c>
      <c r="D1357" s="3" t="s">
        <v>1285</v>
      </c>
      <c r="E1357" s="3" t="str">
        <v>Dietwil</v>
      </c>
      <c r="I1357" s="19">
        <v>4227</v>
      </c>
      <c r="J1357" s="19" t="s">
        <v>4552</v>
      </c>
    </row>
    <row r="1358" spans="1:10" x14ac:dyDescent="0.2">
      <c r="A1358" s="3">
        <v>1762</v>
      </c>
      <c r="B1358" s="3" t="s">
        <v>1464</v>
      </c>
      <c r="C1358" s="3" t="s">
        <v>1464</v>
      </c>
      <c r="D1358" s="3" t="s">
        <v>1285</v>
      </c>
      <c r="E1358" s="3" t="str">
        <v>Geltwil</v>
      </c>
      <c r="I1358" s="19">
        <v>4228</v>
      </c>
      <c r="J1358" s="19" t="s">
        <v>4552</v>
      </c>
    </row>
    <row r="1359" spans="1:10" x14ac:dyDescent="0.2">
      <c r="A1359" s="3">
        <v>1763</v>
      </c>
      <c r="B1359" s="3" t="s">
        <v>1465</v>
      </c>
      <c r="C1359" s="3" t="s">
        <v>1465</v>
      </c>
      <c r="D1359" s="3" t="s">
        <v>1285</v>
      </c>
      <c r="E1359" s="3" t="str">
        <v>Kallern</v>
      </c>
      <c r="I1359" s="19">
        <v>4229</v>
      </c>
      <c r="J1359" s="19" t="s">
        <v>4552</v>
      </c>
    </row>
    <row r="1360" spans="1:10" x14ac:dyDescent="0.2">
      <c r="A1360" s="3">
        <v>1772</v>
      </c>
      <c r="B1360" s="3" t="s">
        <v>1466</v>
      </c>
      <c r="C1360" s="3" t="s">
        <v>1466</v>
      </c>
      <c r="D1360" s="3" t="s">
        <v>1285</v>
      </c>
      <c r="E1360" s="3" t="str">
        <v>Merenschwand</v>
      </c>
      <c r="I1360" s="19">
        <v>4232</v>
      </c>
      <c r="J1360" s="19" t="s">
        <v>4552</v>
      </c>
    </row>
    <row r="1361" spans="1:10" x14ac:dyDescent="0.2">
      <c r="A1361" s="3">
        <v>1723</v>
      </c>
      <c r="B1361" s="3" t="s">
        <v>1467</v>
      </c>
      <c r="C1361" s="3" t="s">
        <v>1467</v>
      </c>
      <c r="D1361" s="3" t="s">
        <v>1285</v>
      </c>
      <c r="E1361" s="3" t="str">
        <v>Mühlau</v>
      </c>
      <c r="I1361" s="19">
        <v>4233</v>
      </c>
      <c r="J1361" s="19" t="s">
        <v>4552</v>
      </c>
    </row>
    <row r="1362" spans="1:10" x14ac:dyDescent="0.2">
      <c r="A1362" s="3">
        <v>1753</v>
      </c>
      <c r="B1362" s="3" t="s">
        <v>1468</v>
      </c>
      <c r="C1362" s="3" t="s">
        <v>1468</v>
      </c>
      <c r="D1362" s="3" t="s">
        <v>1285</v>
      </c>
      <c r="E1362" s="3" t="str">
        <v>Muri (AG)</v>
      </c>
      <c r="I1362" s="19">
        <v>4234</v>
      </c>
      <c r="J1362" s="19" t="s">
        <v>4552</v>
      </c>
    </row>
    <row r="1363" spans="1:10" x14ac:dyDescent="0.2">
      <c r="A1363" s="3">
        <v>1740</v>
      </c>
      <c r="B1363" s="3" t="s">
        <v>1469</v>
      </c>
      <c r="C1363" s="3" t="s">
        <v>1470</v>
      </c>
      <c r="D1363" s="3" t="s">
        <v>1285</v>
      </c>
      <c r="E1363" s="3" t="str">
        <v>Oberrüti</v>
      </c>
      <c r="I1363" s="19">
        <v>4242</v>
      </c>
      <c r="J1363" s="19" t="s">
        <v>4552</v>
      </c>
    </row>
    <row r="1364" spans="1:10" x14ac:dyDescent="0.2">
      <c r="A1364" s="3">
        <v>1723</v>
      </c>
      <c r="B1364" s="3" t="s">
        <v>1471</v>
      </c>
      <c r="C1364" s="3" t="s">
        <v>1471</v>
      </c>
      <c r="D1364" s="3" t="s">
        <v>1285</v>
      </c>
      <c r="E1364" s="3" t="str">
        <v>Rottenschwil</v>
      </c>
      <c r="I1364" s="19">
        <v>4243</v>
      </c>
      <c r="J1364" s="19" t="s">
        <v>4552</v>
      </c>
    </row>
    <row r="1365" spans="1:10" x14ac:dyDescent="0.2">
      <c r="A1365" s="3">
        <v>1772</v>
      </c>
      <c r="B1365" s="3" t="s">
        <v>1472</v>
      </c>
      <c r="C1365" s="3" t="s">
        <v>1473</v>
      </c>
      <c r="D1365" s="3" t="s">
        <v>1285</v>
      </c>
      <c r="E1365" s="3" t="str">
        <v>Sins</v>
      </c>
      <c r="I1365" s="19">
        <v>4244</v>
      </c>
      <c r="J1365" s="19" t="s">
        <v>4552</v>
      </c>
    </row>
    <row r="1366" spans="1:10" x14ac:dyDescent="0.2">
      <c r="A1366" s="3">
        <v>1772</v>
      </c>
      <c r="B1366" s="3" t="s">
        <v>1473</v>
      </c>
      <c r="C1366" s="3" t="s">
        <v>1473</v>
      </c>
      <c r="D1366" s="3" t="s">
        <v>1285</v>
      </c>
      <c r="E1366" s="3" t="str">
        <v>Waltenschwil</v>
      </c>
      <c r="I1366" s="19">
        <v>4245</v>
      </c>
      <c r="J1366" s="19" t="s">
        <v>4552</v>
      </c>
    </row>
    <row r="1367" spans="1:10" x14ac:dyDescent="0.2">
      <c r="A1367" s="3">
        <v>1724</v>
      </c>
      <c r="B1367" s="3" t="s">
        <v>1474</v>
      </c>
      <c r="C1367" s="3" t="s">
        <v>1474</v>
      </c>
      <c r="D1367" s="3" t="s">
        <v>1285</v>
      </c>
      <c r="E1367" s="3" t="str">
        <v>Hellikon</v>
      </c>
      <c r="I1367" s="19">
        <v>4246</v>
      </c>
      <c r="J1367" s="19" t="s">
        <v>4552</v>
      </c>
    </row>
    <row r="1368" spans="1:10" x14ac:dyDescent="0.2">
      <c r="A1368" s="3">
        <v>1724</v>
      </c>
      <c r="B1368" s="3" t="s">
        <v>1475</v>
      </c>
      <c r="C1368" s="3" t="s">
        <v>1474</v>
      </c>
      <c r="D1368" s="3" t="s">
        <v>1285</v>
      </c>
      <c r="E1368" s="3" t="str">
        <v>Kaiseraugst</v>
      </c>
      <c r="I1368" s="19">
        <v>4247</v>
      </c>
      <c r="J1368" s="19" t="s">
        <v>4552</v>
      </c>
    </row>
    <row r="1369" spans="1:10" x14ac:dyDescent="0.2">
      <c r="A1369" s="3">
        <v>1724</v>
      </c>
      <c r="B1369" s="3" t="s">
        <v>1476</v>
      </c>
      <c r="C1369" s="3" t="s">
        <v>1474</v>
      </c>
      <c r="D1369" s="3" t="s">
        <v>1285</v>
      </c>
      <c r="E1369" s="3" t="str">
        <v>Magden</v>
      </c>
      <c r="I1369" s="19">
        <v>4252</v>
      </c>
      <c r="J1369" s="19" t="s">
        <v>4552</v>
      </c>
    </row>
    <row r="1370" spans="1:10" x14ac:dyDescent="0.2">
      <c r="A1370" s="3">
        <v>1724</v>
      </c>
      <c r="B1370" s="3" t="s">
        <v>1477</v>
      </c>
      <c r="C1370" s="3" t="s">
        <v>1474</v>
      </c>
      <c r="D1370" s="3" t="s">
        <v>1285</v>
      </c>
      <c r="E1370" s="3" t="str">
        <v>Möhlin</v>
      </c>
      <c r="I1370" s="19">
        <v>4253</v>
      </c>
      <c r="J1370" s="19" t="s">
        <v>4552</v>
      </c>
    </row>
    <row r="1371" spans="1:10" x14ac:dyDescent="0.2">
      <c r="A1371" s="3">
        <v>1724</v>
      </c>
      <c r="B1371" s="3" t="s">
        <v>1478</v>
      </c>
      <c r="C1371" s="3" t="s">
        <v>1474</v>
      </c>
      <c r="D1371" s="3" t="s">
        <v>1285</v>
      </c>
      <c r="E1371" s="3" t="str">
        <v>Mumpf</v>
      </c>
      <c r="I1371" s="19">
        <v>4254</v>
      </c>
      <c r="J1371" s="19" t="s">
        <v>4552</v>
      </c>
    </row>
    <row r="1372" spans="1:10" x14ac:dyDescent="0.2">
      <c r="A1372" s="3">
        <v>1724</v>
      </c>
      <c r="B1372" s="3" t="s">
        <v>1479</v>
      </c>
      <c r="C1372" s="3" t="s">
        <v>1474</v>
      </c>
      <c r="D1372" s="3" t="s">
        <v>1285</v>
      </c>
      <c r="E1372" s="3" t="str">
        <v>Obermumpf</v>
      </c>
      <c r="I1372" s="19">
        <v>4302</v>
      </c>
      <c r="J1372" s="19" t="s">
        <v>4552</v>
      </c>
    </row>
    <row r="1373" spans="1:10" x14ac:dyDescent="0.2">
      <c r="A1373" s="3">
        <v>1733</v>
      </c>
      <c r="B1373" s="3" t="s">
        <v>1480</v>
      </c>
      <c r="C1373" s="3" t="s">
        <v>1480</v>
      </c>
      <c r="D1373" s="3" t="s">
        <v>1285</v>
      </c>
      <c r="E1373" s="3" t="str">
        <v>Olsberg</v>
      </c>
      <c r="I1373" s="19">
        <v>4303</v>
      </c>
      <c r="J1373" s="19" t="s">
        <v>4552</v>
      </c>
    </row>
    <row r="1374" spans="1:10" x14ac:dyDescent="0.2">
      <c r="A1374" s="3">
        <v>1752</v>
      </c>
      <c r="B1374" s="3" t="s">
        <v>1481</v>
      </c>
      <c r="C1374" s="3" t="s">
        <v>1481</v>
      </c>
      <c r="D1374" s="3" t="s">
        <v>1285</v>
      </c>
      <c r="E1374" s="3" t="str">
        <v>Rheinfelden</v>
      </c>
      <c r="I1374" s="19">
        <v>4304</v>
      </c>
      <c r="J1374" s="19" t="s">
        <v>4552</v>
      </c>
    </row>
    <row r="1375" spans="1:10" x14ac:dyDescent="0.2">
      <c r="A1375" s="3">
        <v>1723</v>
      </c>
      <c r="B1375" s="3" t="s">
        <v>1482</v>
      </c>
      <c r="C1375" s="3" t="s">
        <v>1482</v>
      </c>
      <c r="D1375" s="3" t="s">
        <v>1285</v>
      </c>
      <c r="E1375" s="3" t="str">
        <v>Schupfart</v>
      </c>
      <c r="I1375" s="19">
        <v>4305</v>
      </c>
      <c r="J1375" s="19" t="s">
        <v>4552</v>
      </c>
    </row>
    <row r="1376" spans="1:10" x14ac:dyDescent="0.2">
      <c r="A1376" s="3">
        <v>1725</v>
      </c>
      <c r="B1376" s="3" t="s">
        <v>1483</v>
      </c>
      <c r="C1376" s="3" t="s">
        <v>1484</v>
      </c>
      <c r="D1376" s="3" t="s">
        <v>1285</v>
      </c>
      <c r="E1376" s="3" t="str">
        <v>Stein (AG)</v>
      </c>
      <c r="I1376" s="19">
        <v>4310</v>
      </c>
      <c r="J1376" s="19" t="s">
        <v>4552</v>
      </c>
    </row>
    <row r="1377" spans="1:10" x14ac:dyDescent="0.2">
      <c r="A1377" s="3">
        <v>1730</v>
      </c>
      <c r="B1377" s="3" t="s">
        <v>1485</v>
      </c>
      <c r="C1377" s="3" t="s">
        <v>1484</v>
      </c>
      <c r="D1377" s="3" t="s">
        <v>1285</v>
      </c>
      <c r="E1377" s="3" t="str">
        <v>Wallbach</v>
      </c>
      <c r="I1377" s="19">
        <v>4312</v>
      </c>
      <c r="J1377" s="19" t="s">
        <v>4552</v>
      </c>
    </row>
    <row r="1378" spans="1:10" x14ac:dyDescent="0.2">
      <c r="A1378" s="3">
        <v>1745</v>
      </c>
      <c r="B1378" s="3" t="s">
        <v>1486</v>
      </c>
      <c r="C1378" s="3" t="s">
        <v>1487</v>
      </c>
      <c r="D1378" s="3" t="s">
        <v>1285</v>
      </c>
      <c r="E1378" s="3" t="str">
        <v>Wegenstetten</v>
      </c>
      <c r="I1378" s="19">
        <v>4313</v>
      </c>
      <c r="J1378" s="19" t="s">
        <v>4552</v>
      </c>
    </row>
    <row r="1379" spans="1:10" x14ac:dyDescent="0.2">
      <c r="A1379" s="3">
        <v>1756</v>
      </c>
      <c r="B1379" s="3" t="s">
        <v>1488</v>
      </c>
      <c r="C1379" s="3" t="s">
        <v>1487</v>
      </c>
      <c r="D1379" s="3" t="s">
        <v>1285</v>
      </c>
      <c r="E1379" s="3" t="str">
        <v>Zeiningen</v>
      </c>
      <c r="I1379" s="19">
        <v>4314</v>
      </c>
      <c r="J1379" s="19" t="s">
        <v>4551</v>
      </c>
    </row>
    <row r="1380" spans="1:10" x14ac:dyDescent="0.2">
      <c r="A1380" s="3">
        <v>1756</v>
      </c>
      <c r="B1380" s="3" t="s">
        <v>1489</v>
      </c>
      <c r="C1380" s="3" t="s">
        <v>1487</v>
      </c>
      <c r="D1380" s="3" t="s">
        <v>1285</v>
      </c>
      <c r="E1380" s="3" t="str">
        <v>Zuzgen</v>
      </c>
      <c r="I1380" s="19">
        <v>4315</v>
      </c>
      <c r="J1380" s="19" t="s">
        <v>4551</v>
      </c>
    </row>
    <row r="1381" spans="1:10" x14ac:dyDescent="0.2">
      <c r="A1381" s="3">
        <v>1782</v>
      </c>
      <c r="B1381" s="3" t="s">
        <v>1490</v>
      </c>
      <c r="C1381" s="3" t="s">
        <v>1491</v>
      </c>
      <c r="D1381" s="3" t="s">
        <v>1285</v>
      </c>
      <c r="E1381" s="3" t="str">
        <v>Aarburg</v>
      </c>
      <c r="I1381" s="19">
        <v>4316</v>
      </c>
      <c r="J1381" s="19" t="s">
        <v>4551</v>
      </c>
    </row>
    <row r="1382" spans="1:10" x14ac:dyDescent="0.2">
      <c r="A1382" s="3">
        <v>1782</v>
      </c>
      <c r="B1382" s="3" t="s">
        <v>1492</v>
      </c>
      <c r="C1382" s="3" t="s">
        <v>1491</v>
      </c>
      <c r="D1382" s="3" t="s">
        <v>1285</v>
      </c>
      <c r="E1382" s="3" t="str">
        <v>Bottenwil</v>
      </c>
      <c r="I1382" s="19">
        <v>4317</v>
      </c>
      <c r="J1382" s="19" t="s">
        <v>4551</v>
      </c>
    </row>
    <row r="1383" spans="1:10" x14ac:dyDescent="0.2">
      <c r="A1383" s="3">
        <v>1782</v>
      </c>
      <c r="B1383" s="3" t="s">
        <v>1493</v>
      </c>
      <c r="C1383" s="3" t="s">
        <v>1491</v>
      </c>
      <c r="D1383" s="3" t="s">
        <v>1285</v>
      </c>
      <c r="E1383" s="3" t="str">
        <v>Brittnau</v>
      </c>
      <c r="I1383" s="19">
        <v>4322</v>
      </c>
      <c r="J1383" s="19" t="s">
        <v>4551</v>
      </c>
    </row>
    <row r="1384" spans="1:10" x14ac:dyDescent="0.2">
      <c r="A1384" s="3">
        <v>1782</v>
      </c>
      <c r="B1384" s="3" t="s">
        <v>1494</v>
      </c>
      <c r="C1384" s="3" t="s">
        <v>1491</v>
      </c>
      <c r="D1384" s="3" t="s">
        <v>1285</v>
      </c>
      <c r="E1384" s="3" t="str">
        <v>Kirchleerau</v>
      </c>
      <c r="I1384" s="19">
        <v>4323</v>
      </c>
      <c r="J1384" s="19" t="s">
        <v>4551</v>
      </c>
    </row>
    <row r="1385" spans="1:10" x14ac:dyDescent="0.2">
      <c r="A1385" s="3">
        <v>1695</v>
      </c>
      <c r="B1385" s="3" t="s">
        <v>1495</v>
      </c>
      <c r="C1385" s="3" t="s">
        <v>1496</v>
      </c>
      <c r="D1385" s="3" t="s">
        <v>1285</v>
      </c>
      <c r="E1385" s="3" t="str">
        <v>Kölliken</v>
      </c>
      <c r="I1385" s="19">
        <v>4324</v>
      </c>
      <c r="J1385" s="19" t="s">
        <v>4551</v>
      </c>
    </row>
    <row r="1386" spans="1:10" x14ac:dyDescent="0.2">
      <c r="A1386" s="3">
        <v>1695</v>
      </c>
      <c r="B1386" s="3" t="s">
        <v>1497</v>
      </c>
      <c r="C1386" s="3" t="s">
        <v>1496</v>
      </c>
      <c r="D1386" s="3" t="s">
        <v>1285</v>
      </c>
      <c r="E1386" s="3" t="str">
        <v>Moosleerau</v>
      </c>
      <c r="I1386" s="19">
        <v>4325</v>
      </c>
      <c r="J1386" s="19" t="s">
        <v>4551</v>
      </c>
    </row>
    <row r="1387" spans="1:10" x14ac:dyDescent="0.2">
      <c r="A1387" s="3">
        <v>1695</v>
      </c>
      <c r="B1387" s="3" t="s">
        <v>1498</v>
      </c>
      <c r="C1387" s="3" t="s">
        <v>1496</v>
      </c>
      <c r="D1387" s="3" t="s">
        <v>1285</v>
      </c>
      <c r="E1387" s="3" t="str">
        <v>Murgenthal</v>
      </c>
      <c r="I1387" s="19">
        <v>4332</v>
      </c>
      <c r="J1387" s="19" t="s">
        <v>4551</v>
      </c>
    </row>
    <row r="1388" spans="1:10" x14ac:dyDescent="0.2">
      <c r="A1388" s="3">
        <v>1695</v>
      </c>
      <c r="B1388" s="3" t="s">
        <v>1499</v>
      </c>
      <c r="C1388" s="3" t="s">
        <v>1496</v>
      </c>
      <c r="D1388" s="3" t="s">
        <v>1285</v>
      </c>
      <c r="E1388" s="3" t="str">
        <v>Oftringen</v>
      </c>
      <c r="I1388" s="19">
        <v>4333</v>
      </c>
      <c r="J1388" s="19" t="s">
        <v>4551</v>
      </c>
    </row>
    <row r="1389" spans="1:10" x14ac:dyDescent="0.2">
      <c r="A1389" s="3">
        <v>1696</v>
      </c>
      <c r="B1389" s="3" t="s">
        <v>1500</v>
      </c>
      <c r="C1389" s="3" t="s">
        <v>1496</v>
      </c>
      <c r="D1389" s="3" t="s">
        <v>1285</v>
      </c>
      <c r="E1389" s="3" t="str">
        <v>Reitnau</v>
      </c>
      <c r="I1389" s="19">
        <v>4334</v>
      </c>
      <c r="J1389" s="19" t="s">
        <v>4551</v>
      </c>
    </row>
    <row r="1390" spans="1:10" x14ac:dyDescent="0.2">
      <c r="A1390" s="3">
        <v>1726</v>
      </c>
      <c r="B1390" s="3" t="s">
        <v>1501</v>
      </c>
      <c r="C1390" s="3" t="s">
        <v>1496</v>
      </c>
      <c r="D1390" s="3" t="s">
        <v>1285</v>
      </c>
      <c r="E1390" s="3" t="str">
        <v>Rothrist</v>
      </c>
      <c r="I1390" s="19">
        <v>4402</v>
      </c>
      <c r="J1390" s="19" t="s">
        <v>4552</v>
      </c>
    </row>
    <row r="1391" spans="1:10" x14ac:dyDescent="0.2">
      <c r="A1391" s="3">
        <v>1726</v>
      </c>
      <c r="B1391" s="3" t="s">
        <v>1502</v>
      </c>
      <c r="C1391" s="3" t="s">
        <v>1496</v>
      </c>
      <c r="D1391" s="3" t="s">
        <v>1285</v>
      </c>
      <c r="E1391" s="3" t="str">
        <v>Safenwil</v>
      </c>
      <c r="I1391" s="19">
        <v>4410</v>
      </c>
      <c r="J1391" s="19" t="s">
        <v>4552</v>
      </c>
    </row>
    <row r="1392" spans="1:10" x14ac:dyDescent="0.2">
      <c r="A1392" s="3">
        <v>1726</v>
      </c>
      <c r="B1392" s="3" t="s">
        <v>1503</v>
      </c>
      <c r="C1392" s="3" t="s">
        <v>1496</v>
      </c>
      <c r="D1392" s="3" t="s">
        <v>1285</v>
      </c>
      <c r="E1392" s="3" t="str">
        <v>Staffelbach</v>
      </c>
      <c r="I1392" s="19">
        <v>4411</v>
      </c>
      <c r="J1392" s="19" t="s">
        <v>4552</v>
      </c>
    </row>
    <row r="1393" spans="1:10" x14ac:dyDescent="0.2">
      <c r="A1393" s="3">
        <v>1726</v>
      </c>
      <c r="B1393" s="3" t="s">
        <v>1504</v>
      </c>
      <c r="C1393" s="3" t="s">
        <v>1496</v>
      </c>
      <c r="D1393" s="3" t="s">
        <v>1285</v>
      </c>
      <c r="E1393" s="3" t="str">
        <v>Strengelbach</v>
      </c>
      <c r="I1393" s="19">
        <v>4412</v>
      </c>
      <c r="J1393" s="19" t="s">
        <v>4552</v>
      </c>
    </row>
    <row r="1394" spans="1:10" x14ac:dyDescent="0.2">
      <c r="A1394" s="3">
        <v>1727</v>
      </c>
      <c r="B1394" s="3" t="s">
        <v>1505</v>
      </c>
      <c r="C1394" s="3" t="s">
        <v>1496</v>
      </c>
      <c r="D1394" s="3" t="s">
        <v>1285</v>
      </c>
      <c r="E1394" s="3" t="str">
        <v>Uerkheim</v>
      </c>
      <c r="I1394" s="19">
        <v>4413</v>
      </c>
      <c r="J1394" s="19" t="s">
        <v>4552</v>
      </c>
    </row>
    <row r="1395" spans="1:10" x14ac:dyDescent="0.2">
      <c r="A1395" s="3">
        <v>1727</v>
      </c>
      <c r="B1395" s="3" t="s">
        <v>1506</v>
      </c>
      <c r="C1395" s="3" t="s">
        <v>1496</v>
      </c>
      <c r="D1395" s="3" t="s">
        <v>1285</v>
      </c>
      <c r="E1395" s="3" t="str">
        <v>Vordemwald</v>
      </c>
      <c r="I1395" s="19">
        <v>4414</v>
      </c>
      <c r="J1395" s="19" t="s">
        <v>4552</v>
      </c>
    </row>
    <row r="1396" spans="1:10" x14ac:dyDescent="0.2">
      <c r="A1396" s="3">
        <v>1728</v>
      </c>
      <c r="B1396" s="3" t="s">
        <v>1507</v>
      </c>
      <c r="C1396" s="3" t="s">
        <v>1496</v>
      </c>
      <c r="D1396" s="3" t="s">
        <v>1285</v>
      </c>
      <c r="E1396" s="3" t="str">
        <v>Wiliberg</v>
      </c>
      <c r="I1396" s="19">
        <v>4415</v>
      </c>
      <c r="J1396" s="19" t="s">
        <v>4552</v>
      </c>
    </row>
    <row r="1397" spans="1:10" x14ac:dyDescent="0.2">
      <c r="A1397" s="3">
        <v>1746</v>
      </c>
      <c r="B1397" s="3" t="s">
        <v>1508</v>
      </c>
      <c r="C1397" s="3" t="s">
        <v>1509</v>
      </c>
      <c r="D1397" s="3" t="s">
        <v>1285</v>
      </c>
      <c r="E1397" s="3" t="str">
        <v>Zofingen</v>
      </c>
      <c r="I1397" s="19">
        <v>4416</v>
      </c>
      <c r="J1397" s="19" t="s">
        <v>4552</v>
      </c>
    </row>
    <row r="1398" spans="1:10" x14ac:dyDescent="0.2">
      <c r="A1398" s="3">
        <v>1747</v>
      </c>
      <c r="B1398" s="3" t="s">
        <v>1510</v>
      </c>
      <c r="C1398" s="3" t="s">
        <v>1509</v>
      </c>
      <c r="D1398" s="3" t="s">
        <v>1285</v>
      </c>
      <c r="E1398" s="3" t="str">
        <v>Böttstein</v>
      </c>
      <c r="I1398" s="19">
        <v>4417</v>
      </c>
      <c r="J1398" s="19" t="s">
        <v>4552</v>
      </c>
    </row>
    <row r="1399" spans="1:10" x14ac:dyDescent="0.2">
      <c r="A1399" s="3">
        <v>1757</v>
      </c>
      <c r="B1399" s="3" t="s">
        <v>1511</v>
      </c>
      <c r="C1399" s="3" t="s">
        <v>1509</v>
      </c>
      <c r="D1399" s="3" t="s">
        <v>1285</v>
      </c>
      <c r="E1399" s="3" t="str">
        <v>Döttingen</v>
      </c>
      <c r="I1399" s="19">
        <v>4418</v>
      </c>
      <c r="J1399" s="19" t="s">
        <v>4552</v>
      </c>
    </row>
    <row r="1400" spans="1:10" x14ac:dyDescent="0.2">
      <c r="A1400" s="3">
        <v>1724</v>
      </c>
      <c r="B1400" s="3" t="s">
        <v>1512</v>
      </c>
      <c r="C1400" s="3" t="s">
        <v>1513</v>
      </c>
      <c r="D1400" s="3" t="s">
        <v>1285</v>
      </c>
      <c r="E1400" s="3" t="str">
        <v>Endingen</v>
      </c>
      <c r="I1400" s="19">
        <v>4419</v>
      </c>
      <c r="J1400" s="19" t="s">
        <v>4552</v>
      </c>
    </row>
    <row r="1401" spans="1:10" x14ac:dyDescent="0.2">
      <c r="A1401" s="3">
        <v>1731</v>
      </c>
      <c r="B1401" s="3" t="s">
        <v>1514</v>
      </c>
      <c r="C1401" s="3" t="s">
        <v>1513</v>
      </c>
      <c r="D1401" s="3" t="s">
        <v>1285</v>
      </c>
      <c r="E1401" s="3" t="str">
        <v>Fisibach</v>
      </c>
      <c r="I1401" s="19">
        <v>4421</v>
      </c>
      <c r="J1401" s="19" t="s">
        <v>4552</v>
      </c>
    </row>
    <row r="1402" spans="1:10" x14ac:dyDescent="0.2">
      <c r="A1402" s="3">
        <v>1732</v>
      </c>
      <c r="B1402" s="3" t="s">
        <v>1515</v>
      </c>
      <c r="C1402" s="3" t="s">
        <v>1513</v>
      </c>
      <c r="D1402" s="3" t="s">
        <v>1285</v>
      </c>
      <c r="E1402" s="3" t="str">
        <v>Full-Reuenthal</v>
      </c>
      <c r="I1402" s="19">
        <v>4422</v>
      </c>
      <c r="J1402" s="19" t="s">
        <v>4552</v>
      </c>
    </row>
    <row r="1403" spans="1:10" x14ac:dyDescent="0.2">
      <c r="A1403" s="3">
        <v>1796</v>
      </c>
      <c r="B1403" s="3" t="s">
        <v>1516</v>
      </c>
      <c r="C1403" s="3" t="s">
        <v>1516</v>
      </c>
      <c r="D1403" s="3" t="s">
        <v>1285</v>
      </c>
      <c r="E1403" s="3" t="str">
        <v>Klingnau</v>
      </c>
      <c r="I1403" s="19">
        <v>4423</v>
      </c>
      <c r="J1403" s="19" t="s">
        <v>4552</v>
      </c>
    </row>
    <row r="1404" spans="1:10" x14ac:dyDescent="0.2">
      <c r="A1404" s="3">
        <v>1583</v>
      </c>
      <c r="B1404" s="3" t="s">
        <v>1517</v>
      </c>
      <c r="C1404" s="3" t="s">
        <v>1518</v>
      </c>
      <c r="D1404" s="3" t="s">
        <v>1285</v>
      </c>
      <c r="E1404" s="3" t="str">
        <v>Koblenz</v>
      </c>
      <c r="I1404" s="19">
        <v>4424</v>
      </c>
      <c r="J1404" s="19" t="s">
        <v>4551</v>
      </c>
    </row>
    <row r="1405" spans="1:10" x14ac:dyDescent="0.2">
      <c r="A1405" s="3">
        <v>1783</v>
      </c>
      <c r="B1405" s="3" t="s">
        <v>1519</v>
      </c>
      <c r="C1405" s="3" t="s">
        <v>1518</v>
      </c>
      <c r="D1405" s="3" t="s">
        <v>1285</v>
      </c>
      <c r="E1405" s="3" t="str">
        <v>Leibstadt</v>
      </c>
      <c r="I1405" s="19">
        <v>4425</v>
      </c>
      <c r="J1405" s="19" t="s">
        <v>4551</v>
      </c>
    </row>
    <row r="1406" spans="1:10" x14ac:dyDescent="0.2">
      <c r="A1406" s="3">
        <v>1783</v>
      </c>
      <c r="B1406" s="3" t="s">
        <v>1520</v>
      </c>
      <c r="C1406" s="3" t="s">
        <v>1518</v>
      </c>
      <c r="D1406" s="3" t="s">
        <v>1285</v>
      </c>
      <c r="E1406" s="3" t="str">
        <v>Lengnau (AG)</v>
      </c>
      <c r="I1406" s="19">
        <v>4426</v>
      </c>
      <c r="J1406" s="19" t="s">
        <v>4551</v>
      </c>
    </row>
    <row r="1407" spans="1:10" x14ac:dyDescent="0.2">
      <c r="A1407" s="3">
        <v>1784</v>
      </c>
      <c r="B1407" s="3" t="s">
        <v>1518</v>
      </c>
      <c r="C1407" s="3" t="s">
        <v>1518</v>
      </c>
      <c r="D1407" s="3" t="s">
        <v>1285</v>
      </c>
      <c r="E1407" s="3" t="str">
        <v>Leuggern</v>
      </c>
      <c r="I1407" s="19">
        <v>4431</v>
      </c>
      <c r="J1407" s="19" t="s">
        <v>4551</v>
      </c>
    </row>
    <row r="1408" spans="1:10" x14ac:dyDescent="0.2">
      <c r="A1408" s="3">
        <v>1784</v>
      </c>
      <c r="B1408" s="3" t="s">
        <v>1521</v>
      </c>
      <c r="C1408" s="3" t="s">
        <v>1518</v>
      </c>
      <c r="D1408" s="3" t="s">
        <v>1285</v>
      </c>
      <c r="E1408" s="3" t="str">
        <v>Mellikon</v>
      </c>
      <c r="I1408" s="19">
        <v>4432</v>
      </c>
      <c r="J1408" s="19" t="s">
        <v>4551</v>
      </c>
    </row>
    <row r="1409" spans="1:10" x14ac:dyDescent="0.2">
      <c r="A1409" s="3">
        <v>1791</v>
      </c>
      <c r="B1409" s="3" t="s">
        <v>1522</v>
      </c>
      <c r="C1409" s="3" t="s">
        <v>1518</v>
      </c>
      <c r="D1409" s="3" t="s">
        <v>1285</v>
      </c>
      <c r="E1409" s="3" t="str">
        <v>Schneisingen</v>
      </c>
      <c r="I1409" s="19">
        <v>4433</v>
      </c>
      <c r="J1409" s="19" t="s">
        <v>4551</v>
      </c>
    </row>
    <row r="1410" spans="1:10" x14ac:dyDescent="0.2">
      <c r="A1410" s="3">
        <v>1785</v>
      </c>
      <c r="B1410" s="3" t="s">
        <v>1523</v>
      </c>
      <c r="C1410" s="3" t="s">
        <v>1524</v>
      </c>
      <c r="D1410" s="3" t="s">
        <v>1285</v>
      </c>
      <c r="E1410" s="3" t="str">
        <v>Siglistorf</v>
      </c>
      <c r="I1410" s="19">
        <v>4434</v>
      </c>
      <c r="J1410" s="19" t="s">
        <v>4551</v>
      </c>
    </row>
    <row r="1411" spans="1:10" x14ac:dyDescent="0.2">
      <c r="A1411" s="3">
        <v>3284</v>
      </c>
      <c r="B1411" s="3" t="s">
        <v>1525</v>
      </c>
      <c r="C1411" s="3" t="s">
        <v>1525</v>
      </c>
      <c r="D1411" s="3" t="s">
        <v>1285</v>
      </c>
      <c r="E1411" s="3" t="str">
        <v>Tegerfelden</v>
      </c>
      <c r="I1411" s="19">
        <v>4435</v>
      </c>
      <c r="J1411" s="19" t="s">
        <v>4551</v>
      </c>
    </row>
    <row r="1412" spans="1:10" x14ac:dyDescent="0.2">
      <c r="A1412" s="3">
        <v>3280</v>
      </c>
      <c r="B1412" s="3" t="s">
        <v>1526</v>
      </c>
      <c r="C1412" s="3" t="s">
        <v>1526</v>
      </c>
      <c r="D1412" s="3" t="s">
        <v>1285</v>
      </c>
      <c r="E1412" s="3" t="str">
        <v>Zurzach</v>
      </c>
      <c r="I1412" s="19">
        <v>4436</v>
      </c>
      <c r="J1412" s="19" t="s">
        <v>4551</v>
      </c>
    </row>
    <row r="1413" spans="1:10" x14ac:dyDescent="0.2">
      <c r="A1413" s="3">
        <v>1792</v>
      </c>
      <c r="B1413" s="3" t="s">
        <v>1527</v>
      </c>
      <c r="C1413" s="3" t="s">
        <v>1528</v>
      </c>
      <c r="D1413" s="3" t="s">
        <v>1285</v>
      </c>
      <c r="E1413" s="3" t="str">
        <v>Arbon</v>
      </c>
      <c r="I1413" s="19">
        <v>4437</v>
      </c>
      <c r="J1413" s="19" t="s">
        <v>4551</v>
      </c>
    </row>
    <row r="1414" spans="1:10" x14ac:dyDescent="0.2">
      <c r="A1414" s="3">
        <v>1792</v>
      </c>
      <c r="B1414" s="3" t="s">
        <v>1529</v>
      </c>
      <c r="C1414" s="3" t="s">
        <v>1528</v>
      </c>
      <c r="D1414" s="3" t="s">
        <v>1285</v>
      </c>
      <c r="E1414" s="3" t="str">
        <v>Dozwil</v>
      </c>
      <c r="I1414" s="19">
        <v>4438</v>
      </c>
      <c r="J1414" s="19" t="s">
        <v>4551</v>
      </c>
    </row>
    <row r="1415" spans="1:10" x14ac:dyDescent="0.2">
      <c r="A1415" s="3">
        <v>3206</v>
      </c>
      <c r="B1415" s="3" t="s">
        <v>1530</v>
      </c>
      <c r="C1415" s="3" t="s">
        <v>1528</v>
      </c>
      <c r="D1415" s="3" t="s">
        <v>1285</v>
      </c>
      <c r="E1415" s="3" t="str">
        <v>Egnach</v>
      </c>
      <c r="I1415" s="19">
        <v>4441</v>
      </c>
      <c r="J1415" s="19" t="s">
        <v>4551</v>
      </c>
    </row>
    <row r="1416" spans="1:10" x14ac:dyDescent="0.2">
      <c r="A1416" s="3">
        <v>3212</v>
      </c>
      <c r="B1416" s="3" t="s">
        <v>1528</v>
      </c>
      <c r="C1416" s="3" t="s">
        <v>1528</v>
      </c>
      <c r="D1416" s="3" t="s">
        <v>1285</v>
      </c>
      <c r="E1416" s="3" t="str">
        <v>Hefenhofen</v>
      </c>
      <c r="I1416" s="19">
        <v>4442</v>
      </c>
      <c r="J1416" s="19" t="s">
        <v>4551</v>
      </c>
    </row>
    <row r="1417" spans="1:10" x14ac:dyDescent="0.2">
      <c r="A1417" s="3">
        <v>3212</v>
      </c>
      <c r="B1417" s="3" t="s">
        <v>1531</v>
      </c>
      <c r="C1417" s="3" t="s">
        <v>1528</v>
      </c>
      <c r="D1417" s="3" t="s">
        <v>1285</v>
      </c>
      <c r="E1417" s="3" t="str">
        <v>Horn</v>
      </c>
      <c r="I1417" s="19">
        <v>4443</v>
      </c>
      <c r="J1417" s="19" t="s">
        <v>4551</v>
      </c>
    </row>
    <row r="1418" spans="1:10" x14ac:dyDescent="0.2">
      <c r="A1418" s="3">
        <v>3213</v>
      </c>
      <c r="B1418" s="3" t="s">
        <v>1532</v>
      </c>
      <c r="C1418" s="3" t="s">
        <v>1528</v>
      </c>
      <c r="D1418" s="3" t="s">
        <v>1285</v>
      </c>
      <c r="E1418" s="3" t="str">
        <v>Kesswil</v>
      </c>
      <c r="I1418" s="19">
        <v>4444</v>
      </c>
      <c r="J1418" s="19" t="s">
        <v>4551</v>
      </c>
    </row>
    <row r="1419" spans="1:10" x14ac:dyDescent="0.2">
      <c r="A1419" s="3">
        <v>3210</v>
      </c>
      <c r="B1419" s="3" t="s">
        <v>1533</v>
      </c>
      <c r="C1419" s="3" t="s">
        <v>1533</v>
      </c>
      <c r="D1419" s="3" t="s">
        <v>1285</v>
      </c>
      <c r="E1419" s="3" t="str">
        <v>Roggwil (TG)</v>
      </c>
      <c r="I1419" s="19">
        <v>4445</v>
      </c>
      <c r="J1419" s="19" t="s">
        <v>4551</v>
      </c>
    </row>
    <row r="1420" spans="1:10" x14ac:dyDescent="0.2">
      <c r="A1420" s="3">
        <v>3213</v>
      </c>
      <c r="B1420" s="3" t="s">
        <v>1534</v>
      </c>
      <c r="C1420" s="3" t="s">
        <v>1534</v>
      </c>
      <c r="D1420" s="3" t="s">
        <v>1285</v>
      </c>
      <c r="E1420" s="3" t="str">
        <v>Romanshorn</v>
      </c>
      <c r="I1420" s="19">
        <v>4446</v>
      </c>
      <c r="J1420" s="19" t="s">
        <v>4551</v>
      </c>
    </row>
    <row r="1421" spans="1:10" x14ac:dyDescent="0.2">
      <c r="A1421" s="3">
        <v>3280</v>
      </c>
      <c r="B1421" s="3" t="s">
        <v>1535</v>
      </c>
      <c r="C1421" s="3" t="s">
        <v>1535</v>
      </c>
      <c r="D1421" s="3" t="s">
        <v>1285</v>
      </c>
      <c r="E1421" s="3" t="str">
        <v>Salmsach</v>
      </c>
      <c r="I1421" s="19">
        <v>4447</v>
      </c>
      <c r="J1421" s="19" t="s">
        <v>4551</v>
      </c>
    </row>
    <row r="1422" spans="1:10" x14ac:dyDescent="0.2">
      <c r="A1422" s="3">
        <v>1721</v>
      </c>
      <c r="B1422" s="3" t="s">
        <v>1536</v>
      </c>
      <c r="C1422" s="3" t="s">
        <v>1537</v>
      </c>
      <c r="D1422" s="3" t="s">
        <v>1285</v>
      </c>
      <c r="E1422" s="3" t="str">
        <v>Sommeri</v>
      </c>
      <c r="I1422" s="19">
        <v>4448</v>
      </c>
      <c r="J1422" s="19" t="s">
        <v>4551</v>
      </c>
    </row>
    <row r="1423" spans="1:10" x14ac:dyDescent="0.2">
      <c r="A1423" s="3">
        <v>1721</v>
      </c>
      <c r="B1423" s="3" t="s">
        <v>1538</v>
      </c>
      <c r="C1423" s="3" t="s">
        <v>1537</v>
      </c>
      <c r="D1423" s="3" t="s">
        <v>1285</v>
      </c>
      <c r="E1423" s="3" t="str">
        <v>Uttwil</v>
      </c>
      <c r="I1423" s="19">
        <v>4450</v>
      </c>
      <c r="J1423" s="19" t="s">
        <v>4551</v>
      </c>
    </row>
    <row r="1424" spans="1:10" x14ac:dyDescent="0.2">
      <c r="A1424" s="3">
        <v>1721</v>
      </c>
      <c r="B1424" s="3" t="s">
        <v>1539</v>
      </c>
      <c r="C1424" s="3" t="s">
        <v>1537</v>
      </c>
      <c r="D1424" s="3" t="s">
        <v>1285</v>
      </c>
      <c r="E1424" s="3" t="str">
        <v>Amriswil</v>
      </c>
      <c r="I1424" s="19">
        <v>4451</v>
      </c>
      <c r="J1424" s="19" t="s">
        <v>4551</v>
      </c>
    </row>
    <row r="1425" spans="1:10" x14ac:dyDescent="0.2">
      <c r="A1425" s="3">
        <v>1721</v>
      </c>
      <c r="B1425" s="3" t="s">
        <v>1540</v>
      </c>
      <c r="C1425" s="3" t="s">
        <v>1537</v>
      </c>
      <c r="D1425" s="3" t="s">
        <v>1285</v>
      </c>
      <c r="E1425" s="3" t="str">
        <v>Bischofszell</v>
      </c>
      <c r="I1425" s="19">
        <v>4452</v>
      </c>
      <c r="J1425" s="19" t="s">
        <v>4551</v>
      </c>
    </row>
    <row r="1426" spans="1:10" x14ac:dyDescent="0.2">
      <c r="A1426" s="3">
        <v>3286</v>
      </c>
      <c r="B1426" s="3" t="s">
        <v>1541</v>
      </c>
      <c r="C1426" s="3" t="s">
        <v>1541</v>
      </c>
      <c r="D1426" s="3" t="s">
        <v>1285</v>
      </c>
      <c r="E1426" s="3" t="str">
        <v>Erlen</v>
      </c>
      <c r="I1426" s="19">
        <v>4453</v>
      </c>
      <c r="J1426" s="19" t="s">
        <v>4551</v>
      </c>
    </row>
    <row r="1427" spans="1:10" x14ac:dyDescent="0.2">
      <c r="A1427" s="3">
        <v>1595</v>
      </c>
      <c r="B1427" s="3" t="s">
        <v>1542</v>
      </c>
      <c r="C1427" s="3" t="s">
        <v>1543</v>
      </c>
      <c r="D1427" s="3" t="s">
        <v>1285</v>
      </c>
      <c r="E1427" s="3" t="str">
        <v>Hauptwil-Gottshaus</v>
      </c>
      <c r="I1427" s="19">
        <v>4455</v>
      </c>
      <c r="J1427" s="19" t="s">
        <v>4551</v>
      </c>
    </row>
    <row r="1428" spans="1:10" x14ac:dyDescent="0.2">
      <c r="A1428" s="3">
        <v>1793</v>
      </c>
      <c r="B1428" s="3" t="s">
        <v>1544</v>
      </c>
      <c r="C1428" s="3" t="s">
        <v>1543</v>
      </c>
      <c r="D1428" s="3" t="s">
        <v>1285</v>
      </c>
      <c r="E1428" s="3" t="str">
        <v>Hohentannen</v>
      </c>
      <c r="I1428" s="19">
        <v>4456</v>
      </c>
      <c r="J1428" s="19" t="s">
        <v>4551</v>
      </c>
    </row>
    <row r="1429" spans="1:10" x14ac:dyDescent="0.2">
      <c r="A1429" s="3">
        <v>1794</v>
      </c>
      <c r="B1429" s="3" t="s">
        <v>1545</v>
      </c>
      <c r="C1429" s="3" t="s">
        <v>1543</v>
      </c>
      <c r="D1429" s="3" t="s">
        <v>1285</v>
      </c>
      <c r="E1429" s="3" t="str">
        <v>Kradolf-Schönenberg</v>
      </c>
      <c r="I1429" s="19">
        <v>4457</v>
      </c>
      <c r="J1429" s="19" t="s">
        <v>4551</v>
      </c>
    </row>
    <row r="1430" spans="1:10" x14ac:dyDescent="0.2">
      <c r="A1430" s="3">
        <v>1795</v>
      </c>
      <c r="B1430" s="3" t="s">
        <v>1546</v>
      </c>
      <c r="C1430" s="3" t="s">
        <v>1543</v>
      </c>
      <c r="D1430" s="3" t="s">
        <v>1285</v>
      </c>
      <c r="E1430" s="3" t="str">
        <v>Sulgen</v>
      </c>
      <c r="I1430" s="19">
        <v>4458</v>
      </c>
      <c r="J1430" s="19" t="s">
        <v>4551</v>
      </c>
    </row>
    <row r="1431" spans="1:10" x14ac:dyDescent="0.2">
      <c r="A1431" s="3">
        <v>3215</v>
      </c>
      <c r="B1431" s="3" t="s">
        <v>1547</v>
      </c>
      <c r="C1431" s="3" t="s">
        <v>1543</v>
      </c>
      <c r="D1431" s="3" t="s">
        <v>1285</v>
      </c>
      <c r="E1431" s="3" t="str">
        <v>Zihlschlacht-Sitterdorf</v>
      </c>
      <c r="I1431" s="19">
        <v>4460</v>
      </c>
      <c r="J1431" s="19" t="s">
        <v>4551</v>
      </c>
    </row>
    <row r="1432" spans="1:10" x14ac:dyDescent="0.2">
      <c r="A1432" s="3">
        <v>3215</v>
      </c>
      <c r="B1432" s="3" t="s">
        <v>1548</v>
      </c>
      <c r="C1432" s="3" t="s">
        <v>1543</v>
      </c>
      <c r="D1432" s="3" t="s">
        <v>1285</v>
      </c>
      <c r="E1432" s="3" t="str">
        <v>Basadingen-Schlattingen</v>
      </c>
      <c r="I1432" s="19">
        <v>4461</v>
      </c>
      <c r="J1432" s="19" t="s">
        <v>4551</v>
      </c>
    </row>
    <row r="1433" spans="1:10" x14ac:dyDescent="0.2">
      <c r="A1433" s="3">
        <v>3215</v>
      </c>
      <c r="B1433" s="3" t="s">
        <v>1549</v>
      </c>
      <c r="C1433" s="3" t="s">
        <v>1543</v>
      </c>
      <c r="D1433" s="3" t="s">
        <v>1285</v>
      </c>
      <c r="E1433" s="3" t="str">
        <v>Diessenhofen</v>
      </c>
      <c r="I1433" s="19">
        <v>4462</v>
      </c>
      <c r="J1433" s="19" t="s">
        <v>4551</v>
      </c>
    </row>
    <row r="1434" spans="1:10" x14ac:dyDescent="0.2">
      <c r="A1434" s="3">
        <v>3280</v>
      </c>
      <c r="B1434" s="3" t="s">
        <v>1543</v>
      </c>
      <c r="C1434" s="3" t="s">
        <v>1543</v>
      </c>
      <c r="D1434" s="3" t="s">
        <v>1285</v>
      </c>
      <c r="E1434" s="3" t="str">
        <v>Schlatt (TG)</v>
      </c>
      <c r="I1434" s="19">
        <v>4463</v>
      </c>
      <c r="J1434" s="19" t="s">
        <v>4551</v>
      </c>
    </row>
    <row r="1435" spans="1:10" x14ac:dyDescent="0.2">
      <c r="A1435" s="3">
        <v>3285</v>
      </c>
      <c r="B1435" s="3" t="s">
        <v>1550</v>
      </c>
      <c r="C1435" s="3" t="s">
        <v>1543</v>
      </c>
      <c r="D1435" s="3" t="s">
        <v>1285</v>
      </c>
      <c r="E1435" s="3" t="str">
        <v>Aadorf</v>
      </c>
      <c r="I1435" s="19">
        <v>4464</v>
      </c>
      <c r="J1435" s="19" t="s">
        <v>4551</v>
      </c>
    </row>
    <row r="1436" spans="1:10" x14ac:dyDescent="0.2">
      <c r="A1436" s="3">
        <v>3216</v>
      </c>
      <c r="B1436" s="3" t="s">
        <v>1551</v>
      </c>
      <c r="C1436" s="3" t="s">
        <v>1552</v>
      </c>
      <c r="D1436" s="3" t="s">
        <v>1285</v>
      </c>
      <c r="E1436" s="3" t="str">
        <v>Felben-Wellhausen</v>
      </c>
      <c r="I1436" s="19">
        <v>4465</v>
      </c>
      <c r="J1436" s="19" t="s">
        <v>4551</v>
      </c>
    </row>
    <row r="1437" spans="1:10" x14ac:dyDescent="0.2">
      <c r="A1437" s="3">
        <v>3216</v>
      </c>
      <c r="B1437" s="3" t="s">
        <v>1553</v>
      </c>
      <c r="C1437" s="3" t="s">
        <v>1552</v>
      </c>
      <c r="D1437" s="3" t="s">
        <v>1285</v>
      </c>
      <c r="E1437" s="3" t="str">
        <v>Frauenfeld</v>
      </c>
      <c r="I1437" s="19">
        <v>4466</v>
      </c>
      <c r="J1437" s="19" t="s">
        <v>4551</v>
      </c>
    </row>
    <row r="1438" spans="1:10" x14ac:dyDescent="0.2">
      <c r="A1438" s="3">
        <v>3214</v>
      </c>
      <c r="B1438" s="3" t="s">
        <v>1554</v>
      </c>
      <c r="C1438" s="3" t="s">
        <v>1554</v>
      </c>
      <c r="D1438" s="3" t="s">
        <v>1285</v>
      </c>
      <c r="E1438" s="3" t="str">
        <v>Gachnang</v>
      </c>
      <c r="I1438" s="19">
        <v>4467</v>
      </c>
      <c r="J1438" s="19" t="s">
        <v>4551</v>
      </c>
    </row>
    <row r="1439" spans="1:10" x14ac:dyDescent="0.2">
      <c r="A1439" s="3">
        <v>1786</v>
      </c>
      <c r="B1439" s="3" t="s">
        <v>1555</v>
      </c>
      <c r="C1439" s="3" t="s">
        <v>1556</v>
      </c>
      <c r="D1439" s="3" t="s">
        <v>1285</v>
      </c>
      <c r="E1439" s="3" t="str">
        <v>Hüttlingen</v>
      </c>
      <c r="I1439" s="19">
        <v>4468</v>
      </c>
      <c r="J1439" s="19" t="s">
        <v>4551</v>
      </c>
    </row>
    <row r="1440" spans="1:10" x14ac:dyDescent="0.2">
      <c r="A1440" s="3">
        <v>1787</v>
      </c>
      <c r="B1440" s="3" t="s">
        <v>1557</v>
      </c>
      <c r="C1440" s="3" t="s">
        <v>1556</v>
      </c>
      <c r="D1440" s="3" t="s">
        <v>1285</v>
      </c>
      <c r="E1440" s="3" t="str">
        <v>Matzingen</v>
      </c>
      <c r="I1440" s="19">
        <v>4469</v>
      </c>
      <c r="J1440" s="19" t="s">
        <v>4551</v>
      </c>
    </row>
    <row r="1441" spans="1:10" x14ac:dyDescent="0.2">
      <c r="A1441" s="3">
        <v>1787</v>
      </c>
      <c r="B1441" s="3" t="s">
        <v>1558</v>
      </c>
      <c r="C1441" s="3" t="s">
        <v>1556</v>
      </c>
      <c r="D1441" s="3" t="s">
        <v>1285</v>
      </c>
      <c r="E1441" s="3" t="str">
        <v>Neunforn</v>
      </c>
      <c r="I1441" s="19">
        <v>4492</v>
      </c>
      <c r="J1441" s="19" t="s">
        <v>4551</v>
      </c>
    </row>
    <row r="1442" spans="1:10" x14ac:dyDescent="0.2">
      <c r="A1442" s="3">
        <v>1788</v>
      </c>
      <c r="B1442" s="3" t="s">
        <v>1559</v>
      </c>
      <c r="C1442" s="3" t="s">
        <v>1556</v>
      </c>
      <c r="D1442" s="3" t="s">
        <v>1285</v>
      </c>
      <c r="E1442" s="3" t="str">
        <v>Stettfurt</v>
      </c>
      <c r="I1442" s="19">
        <v>4493</v>
      </c>
      <c r="J1442" s="19" t="s">
        <v>4551</v>
      </c>
    </row>
    <row r="1443" spans="1:10" x14ac:dyDescent="0.2">
      <c r="A1443" s="3">
        <v>1789</v>
      </c>
      <c r="B1443" s="3" t="s">
        <v>1560</v>
      </c>
      <c r="C1443" s="3" t="s">
        <v>1556</v>
      </c>
      <c r="D1443" s="3" t="s">
        <v>1285</v>
      </c>
      <c r="E1443" s="3" t="str">
        <v>Thundorf</v>
      </c>
      <c r="I1443" s="19">
        <v>4494</v>
      </c>
      <c r="J1443" s="19" t="s">
        <v>4551</v>
      </c>
    </row>
    <row r="1444" spans="1:10" x14ac:dyDescent="0.2">
      <c r="A1444" s="3">
        <v>1719</v>
      </c>
      <c r="B1444" s="3" t="s">
        <v>1561</v>
      </c>
      <c r="C1444" s="3" t="s">
        <v>1561</v>
      </c>
      <c r="D1444" s="3" t="s">
        <v>1285</v>
      </c>
      <c r="E1444" s="3" t="str">
        <v>Uesslingen-Buch</v>
      </c>
      <c r="I1444" s="19">
        <v>4495</v>
      </c>
      <c r="J1444" s="19" t="s">
        <v>4551</v>
      </c>
    </row>
    <row r="1445" spans="1:10" x14ac:dyDescent="0.2">
      <c r="A1445" s="3">
        <v>3186</v>
      </c>
      <c r="B1445" s="3" t="s">
        <v>1562</v>
      </c>
      <c r="C1445" s="3" t="s">
        <v>1562</v>
      </c>
      <c r="D1445" s="3" t="s">
        <v>1285</v>
      </c>
      <c r="E1445" s="3" t="str">
        <v>Warth-Weiningen</v>
      </c>
      <c r="I1445" s="19">
        <v>4496</v>
      </c>
      <c r="J1445" s="19" t="s">
        <v>4551</v>
      </c>
    </row>
    <row r="1446" spans="1:10" x14ac:dyDescent="0.2">
      <c r="A1446" s="3">
        <v>1735</v>
      </c>
      <c r="B1446" s="3" t="s">
        <v>1563</v>
      </c>
      <c r="C1446" s="3" t="s">
        <v>1563</v>
      </c>
      <c r="D1446" s="3" t="s">
        <v>1285</v>
      </c>
      <c r="E1446" s="3" t="str">
        <v>Altnau</v>
      </c>
      <c r="I1446" s="19">
        <v>4497</v>
      </c>
      <c r="J1446" s="19" t="s">
        <v>4551</v>
      </c>
    </row>
    <row r="1447" spans="1:10" x14ac:dyDescent="0.2">
      <c r="A1447" s="3">
        <v>3178</v>
      </c>
      <c r="B1447" s="3" t="s">
        <v>1564</v>
      </c>
      <c r="C1447" s="3" t="s">
        <v>1564</v>
      </c>
      <c r="D1447" s="3" t="s">
        <v>1285</v>
      </c>
      <c r="E1447" s="3" t="str">
        <v>Bottighofen</v>
      </c>
      <c r="I1447" s="19">
        <v>4500</v>
      </c>
      <c r="J1447" s="19" t="s">
        <v>4554</v>
      </c>
    </row>
    <row r="1448" spans="1:10" x14ac:dyDescent="0.2">
      <c r="A1448" s="3">
        <v>1714</v>
      </c>
      <c r="B1448" s="3" t="s">
        <v>1565</v>
      </c>
      <c r="C1448" s="3" t="s">
        <v>1565</v>
      </c>
      <c r="D1448" s="3" t="s">
        <v>1285</v>
      </c>
      <c r="E1448" s="3" t="str">
        <v>Ermatingen</v>
      </c>
      <c r="I1448" s="19">
        <v>4512</v>
      </c>
      <c r="J1448" s="19" t="s">
        <v>4554</v>
      </c>
    </row>
    <row r="1449" spans="1:10" x14ac:dyDescent="0.2">
      <c r="A1449" s="3">
        <v>1716</v>
      </c>
      <c r="B1449" s="3" t="s">
        <v>1566</v>
      </c>
      <c r="C1449" s="3" t="s">
        <v>1566</v>
      </c>
      <c r="D1449" s="3" t="s">
        <v>1285</v>
      </c>
      <c r="E1449" s="3" t="str">
        <v>Gottlieben</v>
      </c>
      <c r="I1449" s="19">
        <v>4513</v>
      </c>
      <c r="J1449" s="19" t="s">
        <v>4554</v>
      </c>
    </row>
    <row r="1450" spans="1:10" x14ac:dyDescent="0.2">
      <c r="A1450" s="3">
        <v>1716</v>
      </c>
      <c r="B1450" s="3" t="s">
        <v>1567</v>
      </c>
      <c r="C1450" s="3" t="s">
        <v>1566</v>
      </c>
      <c r="D1450" s="3" t="s">
        <v>1285</v>
      </c>
      <c r="E1450" s="3" t="str">
        <v>Güttingen</v>
      </c>
      <c r="I1450" s="19">
        <v>4514</v>
      </c>
      <c r="J1450" s="19" t="s">
        <v>4554</v>
      </c>
    </row>
    <row r="1451" spans="1:10" x14ac:dyDescent="0.2">
      <c r="A1451" s="3">
        <v>1716</v>
      </c>
      <c r="B1451" s="3" t="s">
        <v>1568</v>
      </c>
      <c r="C1451" s="3" t="s">
        <v>1566</v>
      </c>
      <c r="D1451" s="3" t="s">
        <v>1285</v>
      </c>
      <c r="E1451" s="3" t="str">
        <v>Kemmental</v>
      </c>
      <c r="I1451" s="19">
        <v>4515</v>
      </c>
      <c r="J1451" s="19" t="s">
        <v>4554</v>
      </c>
    </row>
    <row r="1452" spans="1:10" x14ac:dyDescent="0.2">
      <c r="A1452" s="3">
        <v>1719</v>
      </c>
      <c r="B1452" s="3" t="s">
        <v>1569</v>
      </c>
      <c r="C1452" s="3" t="s">
        <v>1566</v>
      </c>
      <c r="D1452" s="3" t="s">
        <v>1285</v>
      </c>
      <c r="E1452" s="3" t="str">
        <v>Kreuzlingen</v>
      </c>
      <c r="I1452" s="19">
        <v>4522</v>
      </c>
      <c r="J1452" s="19" t="s">
        <v>4554</v>
      </c>
    </row>
    <row r="1453" spans="1:10" x14ac:dyDescent="0.2">
      <c r="A1453" s="3">
        <v>1737</v>
      </c>
      <c r="B1453" s="3" t="s">
        <v>1570</v>
      </c>
      <c r="C1453" s="3" t="s">
        <v>1570</v>
      </c>
      <c r="D1453" s="3" t="s">
        <v>1285</v>
      </c>
      <c r="E1453" s="3" t="str">
        <v>Langrickenbach</v>
      </c>
      <c r="I1453" s="19">
        <v>4523</v>
      </c>
      <c r="J1453" s="19" t="s">
        <v>4554</v>
      </c>
    </row>
    <row r="1454" spans="1:10" x14ac:dyDescent="0.2">
      <c r="A1454" s="3">
        <v>1718</v>
      </c>
      <c r="B1454" s="3" t="s">
        <v>1571</v>
      </c>
      <c r="C1454" s="3" t="s">
        <v>1571</v>
      </c>
      <c r="D1454" s="3" t="s">
        <v>1285</v>
      </c>
      <c r="E1454" s="3" t="str">
        <v>Lengwil</v>
      </c>
      <c r="I1454" s="19">
        <v>4524</v>
      </c>
      <c r="J1454" s="19" t="s">
        <v>4554</v>
      </c>
    </row>
    <row r="1455" spans="1:10" x14ac:dyDescent="0.2">
      <c r="A1455" s="3">
        <v>1736</v>
      </c>
      <c r="B1455" s="3" t="s">
        <v>1572</v>
      </c>
      <c r="C1455" s="3" t="s">
        <v>1572</v>
      </c>
      <c r="D1455" s="3" t="s">
        <v>1285</v>
      </c>
      <c r="E1455" s="3" t="str">
        <v>Münsterlingen</v>
      </c>
      <c r="I1455" s="19">
        <v>4525</v>
      </c>
      <c r="J1455" s="19" t="s">
        <v>4554</v>
      </c>
    </row>
    <row r="1456" spans="1:10" x14ac:dyDescent="0.2">
      <c r="A1456" s="3">
        <v>1717</v>
      </c>
      <c r="B1456" s="3" t="s">
        <v>1573</v>
      </c>
      <c r="C1456" s="3" t="s">
        <v>1573</v>
      </c>
      <c r="D1456" s="3" t="s">
        <v>1285</v>
      </c>
      <c r="E1456" s="3" t="str">
        <v>Tägerwilen</v>
      </c>
      <c r="I1456" s="19">
        <v>4528</v>
      </c>
      <c r="J1456" s="19" t="s">
        <v>4554</v>
      </c>
    </row>
    <row r="1457" spans="1:10" x14ac:dyDescent="0.2">
      <c r="A1457" s="3">
        <v>3185</v>
      </c>
      <c r="B1457" s="3" t="s">
        <v>1574</v>
      </c>
      <c r="C1457" s="3" t="s">
        <v>1575</v>
      </c>
      <c r="D1457" s="3" t="s">
        <v>1285</v>
      </c>
      <c r="E1457" s="3" t="str">
        <v>Wäldi</v>
      </c>
      <c r="I1457" s="19">
        <v>4532</v>
      </c>
      <c r="J1457" s="19" t="s">
        <v>4554</v>
      </c>
    </row>
    <row r="1458" spans="1:10" x14ac:dyDescent="0.2">
      <c r="A1458" s="3">
        <v>1712</v>
      </c>
      <c r="B1458" s="3" t="s">
        <v>1576</v>
      </c>
      <c r="C1458" s="3" t="s">
        <v>1576</v>
      </c>
      <c r="D1458" s="3" t="s">
        <v>1285</v>
      </c>
      <c r="E1458" s="3" t="str">
        <v>Affeltrangen</v>
      </c>
      <c r="I1458" s="19">
        <v>4533</v>
      </c>
      <c r="J1458" s="19" t="s">
        <v>4554</v>
      </c>
    </row>
    <row r="1459" spans="1:10" x14ac:dyDescent="0.2">
      <c r="A1459" s="3">
        <v>1713</v>
      </c>
      <c r="B1459" s="3" t="s">
        <v>1577</v>
      </c>
      <c r="C1459" s="3" t="s">
        <v>1576</v>
      </c>
      <c r="D1459" s="3" t="s">
        <v>1285</v>
      </c>
      <c r="E1459" s="3" t="str">
        <v>Bettwiesen</v>
      </c>
      <c r="I1459" s="19">
        <v>4534</v>
      </c>
      <c r="J1459" s="19" t="s">
        <v>4554</v>
      </c>
    </row>
    <row r="1460" spans="1:10" x14ac:dyDescent="0.2">
      <c r="A1460" s="3">
        <v>1715</v>
      </c>
      <c r="B1460" s="3" t="s">
        <v>1578</v>
      </c>
      <c r="C1460" s="3" t="s">
        <v>1576</v>
      </c>
      <c r="D1460" s="3" t="s">
        <v>1285</v>
      </c>
      <c r="E1460" s="3" t="str">
        <v>Bichelsee-Balterswil</v>
      </c>
      <c r="I1460" s="19">
        <v>4535</v>
      </c>
      <c r="J1460" s="19" t="s">
        <v>4554</v>
      </c>
    </row>
    <row r="1461" spans="1:10" x14ac:dyDescent="0.2">
      <c r="A1461" s="3">
        <v>1734</v>
      </c>
      <c r="B1461" s="3" t="s">
        <v>1579</v>
      </c>
      <c r="C1461" s="3" t="s">
        <v>1579</v>
      </c>
      <c r="D1461" s="3" t="s">
        <v>1285</v>
      </c>
      <c r="E1461" s="3" t="str">
        <v>Braunau</v>
      </c>
      <c r="I1461" s="19">
        <v>4536</v>
      </c>
      <c r="J1461" s="19" t="s">
        <v>4554</v>
      </c>
    </row>
    <row r="1462" spans="1:10" x14ac:dyDescent="0.2">
      <c r="A1462" s="3">
        <v>3182</v>
      </c>
      <c r="B1462" s="3" t="s">
        <v>1580</v>
      </c>
      <c r="C1462" s="3" t="s">
        <v>1580</v>
      </c>
      <c r="D1462" s="3" t="s">
        <v>1285</v>
      </c>
      <c r="E1462" s="3" t="str">
        <v>Eschlikon</v>
      </c>
      <c r="I1462" s="19">
        <v>4537</v>
      </c>
      <c r="J1462" s="19" t="s">
        <v>4554</v>
      </c>
    </row>
    <row r="1463" spans="1:10" x14ac:dyDescent="0.2">
      <c r="A1463" s="3">
        <v>3175</v>
      </c>
      <c r="B1463" s="3" t="s">
        <v>1581</v>
      </c>
      <c r="C1463" s="3" t="s">
        <v>1582</v>
      </c>
      <c r="D1463" s="3" t="s">
        <v>1285</v>
      </c>
      <c r="E1463" s="3" t="str">
        <v>Fischingen</v>
      </c>
      <c r="I1463" s="19">
        <v>4538</v>
      </c>
      <c r="J1463" s="19" t="s">
        <v>4554</v>
      </c>
    </row>
    <row r="1464" spans="1:10" x14ac:dyDescent="0.2">
      <c r="A1464" s="3">
        <v>3184</v>
      </c>
      <c r="B1464" s="3" t="s">
        <v>1583</v>
      </c>
      <c r="C1464" s="3" t="s">
        <v>1582</v>
      </c>
      <c r="D1464" s="3" t="s">
        <v>1285</v>
      </c>
      <c r="E1464" s="3" t="str">
        <v>Lommis</v>
      </c>
      <c r="I1464" s="19">
        <v>4539</v>
      </c>
      <c r="J1464" s="19" t="s">
        <v>4554</v>
      </c>
    </row>
    <row r="1465" spans="1:10" x14ac:dyDescent="0.2">
      <c r="A1465" s="3">
        <v>1616</v>
      </c>
      <c r="B1465" s="3" t="s">
        <v>1584</v>
      </c>
      <c r="C1465" s="3" t="s">
        <v>1584</v>
      </c>
      <c r="D1465" s="3" t="s">
        <v>1285</v>
      </c>
      <c r="E1465" s="3" t="str">
        <v>Münchwilen (TG)</v>
      </c>
      <c r="I1465" s="19">
        <v>4542</v>
      </c>
      <c r="J1465" s="19" t="s">
        <v>4554</v>
      </c>
    </row>
    <row r="1466" spans="1:10" x14ac:dyDescent="0.2">
      <c r="A1466" s="3">
        <v>1617</v>
      </c>
      <c r="B1466" s="3" t="s">
        <v>1585</v>
      </c>
      <c r="C1466" s="3" t="s">
        <v>1584</v>
      </c>
      <c r="D1466" s="3" t="s">
        <v>1285</v>
      </c>
      <c r="E1466" s="3" t="str">
        <v>Rickenbach (TG)</v>
      </c>
      <c r="I1466" s="19">
        <v>4543</v>
      </c>
      <c r="J1466" s="19" t="s">
        <v>4554</v>
      </c>
    </row>
    <row r="1467" spans="1:10" x14ac:dyDescent="0.2">
      <c r="A1467" s="3">
        <v>1615</v>
      </c>
      <c r="B1467" s="3" t="s">
        <v>1586</v>
      </c>
      <c r="C1467" s="3" t="s">
        <v>1586</v>
      </c>
      <c r="D1467" s="3" t="s">
        <v>1285</v>
      </c>
      <c r="E1467" s="3" t="str">
        <v>Schönholzerswilen</v>
      </c>
      <c r="I1467" s="19">
        <v>4552</v>
      </c>
      <c r="J1467" s="19" t="s">
        <v>4554</v>
      </c>
    </row>
    <row r="1468" spans="1:10" x14ac:dyDescent="0.2">
      <c r="A1468" s="3">
        <v>1618</v>
      </c>
      <c r="B1468" s="3" t="s">
        <v>1587</v>
      </c>
      <c r="C1468" s="3" t="s">
        <v>1588</v>
      </c>
      <c r="D1468" s="3" t="s">
        <v>1285</v>
      </c>
      <c r="E1468" s="3" t="str">
        <v>Sirnach</v>
      </c>
      <c r="I1468" s="19">
        <v>4553</v>
      </c>
      <c r="J1468" s="19" t="s">
        <v>4554</v>
      </c>
    </row>
    <row r="1469" spans="1:10" x14ac:dyDescent="0.2">
      <c r="A1469" s="3">
        <v>1619</v>
      </c>
      <c r="B1469" s="3" t="s">
        <v>1589</v>
      </c>
      <c r="C1469" s="3" t="s">
        <v>1588</v>
      </c>
      <c r="D1469" s="3" t="s">
        <v>1285</v>
      </c>
      <c r="E1469" s="3" t="str">
        <v>Tobel-Tägerschen</v>
      </c>
      <c r="I1469" s="19">
        <v>4554</v>
      </c>
      <c r="J1469" s="19" t="s">
        <v>4554</v>
      </c>
    </row>
    <row r="1470" spans="1:10" x14ac:dyDescent="0.2">
      <c r="A1470" s="3">
        <v>1614</v>
      </c>
      <c r="B1470" s="3" t="s">
        <v>1590</v>
      </c>
      <c r="C1470" s="3" t="s">
        <v>1590</v>
      </c>
      <c r="D1470" s="3" t="s">
        <v>1285</v>
      </c>
      <c r="E1470" s="3" t="str">
        <v>Wängi</v>
      </c>
      <c r="I1470" s="19">
        <v>4556</v>
      </c>
      <c r="J1470" s="19" t="s">
        <v>4554</v>
      </c>
    </row>
    <row r="1471" spans="1:10" x14ac:dyDescent="0.2">
      <c r="A1471" s="3">
        <v>1617</v>
      </c>
      <c r="B1471" s="3" t="s">
        <v>1591</v>
      </c>
      <c r="C1471" s="3" t="s">
        <v>1591</v>
      </c>
      <c r="D1471" s="3" t="s">
        <v>1285</v>
      </c>
      <c r="E1471" s="3" t="str">
        <v>Wilen (TG)</v>
      </c>
      <c r="I1471" s="19">
        <v>4557</v>
      </c>
      <c r="J1471" s="19" t="s">
        <v>4554</v>
      </c>
    </row>
    <row r="1472" spans="1:10" x14ac:dyDescent="0.2">
      <c r="A1472" s="3">
        <v>1609</v>
      </c>
      <c r="B1472" s="3" t="s">
        <v>1592</v>
      </c>
      <c r="C1472" s="3" t="s">
        <v>1593</v>
      </c>
      <c r="D1472" s="3" t="s">
        <v>1285</v>
      </c>
      <c r="E1472" s="3" t="str">
        <v>Wuppenau</v>
      </c>
      <c r="I1472" s="19">
        <v>4558</v>
      </c>
      <c r="J1472" s="19" t="s">
        <v>4554</v>
      </c>
    </row>
    <row r="1473" spans="1:10" x14ac:dyDescent="0.2">
      <c r="A1473" s="3">
        <v>1609</v>
      </c>
      <c r="B1473" s="3" t="s">
        <v>1594</v>
      </c>
      <c r="C1473" s="3" t="s">
        <v>1593</v>
      </c>
      <c r="D1473" s="3" t="s">
        <v>1285</v>
      </c>
      <c r="E1473" s="3" t="str">
        <v>Berlingen</v>
      </c>
      <c r="I1473" s="19">
        <v>4562</v>
      </c>
      <c r="J1473" s="19" t="s">
        <v>4554</v>
      </c>
    </row>
    <row r="1474" spans="1:10" x14ac:dyDescent="0.2">
      <c r="A1474" s="3">
        <v>1609</v>
      </c>
      <c r="B1474" s="3" t="s">
        <v>1595</v>
      </c>
      <c r="C1474" s="3" t="s">
        <v>1593</v>
      </c>
      <c r="D1474" s="3" t="s">
        <v>1285</v>
      </c>
      <c r="E1474" s="3" t="str">
        <v>Eschenz</v>
      </c>
      <c r="I1474" s="19">
        <v>4563</v>
      </c>
      <c r="J1474" s="19" t="s">
        <v>4554</v>
      </c>
    </row>
    <row r="1475" spans="1:10" x14ac:dyDescent="0.2">
      <c r="A1475" s="3">
        <v>1623</v>
      </c>
      <c r="B1475" s="3" t="s">
        <v>1596</v>
      </c>
      <c r="C1475" s="3" t="s">
        <v>1596</v>
      </c>
      <c r="D1475" s="3" t="s">
        <v>1285</v>
      </c>
      <c r="E1475" s="3" t="str">
        <v>Herdern</v>
      </c>
      <c r="I1475" s="19">
        <v>4564</v>
      </c>
      <c r="J1475" s="19" t="s">
        <v>4554</v>
      </c>
    </row>
    <row r="1476" spans="1:10" x14ac:dyDescent="0.2">
      <c r="A1476" s="3">
        <v>1699</v>
      </c>
      <c r="B1476" s="3" t="s">
        <v>1597</v>
      </c>
      <c r="C1476" s="3" t="s">
        <v>1598</v>
      </c>
      <c r="D1476" s="3" t="s">
        <v>1285</v>
      </c>
      <c r="E1476" s="3" t="str">
        <v>Homburg</v>
      </c>
      <c r="I1476" s="19">
        <v>4565</v>
      </c>
      <c r="J1476" s="19" t="s">
        <v>4554</v>
      </c>
    </row>
    <row r="1477" spans="1:10" x14ac:dyDescent="0.2">
      <c r="A1477" s="3">
        <v>1699</v>
      </c>
      <c r="B1477" s="3" t="s">
        <v>1599</v>
      </c>
      <c r="C1477" s="3" t="s">
        <v>1598</v>
      </c>
      <c r="D1477" s="3" t="s">
        <v>1285</v>
      </c>
      <c r="E1477" s="3" t="str">
        <v>Hüttwilen</v>
      </c>
      <c r="I1477" s="19">
        <v>4566</v>
      </c>
      <c r="J1477" s="19" t="s">
        <v>4554</v>
      </c>
    </row>
    <row r="1478" spans="1:10" x14ac:dyDescent="0.2">
      <c r="A1478" s="3">
        <v>1699</v>
      </c>
      <c r="B1478" s="3" t="s">
        <v>1600</v>
      </c>
      <c r="C1478" s="3" t="s">
        <v>1598</v>
      </c>
      <c r="D1478" s="3" t="s">
        <v>1285</v>
      </c>
      <c r="E1478" s="3" t="str">
        <v>Mammern</v>
      </c>
      <c r="I1478" s="19">
        <v>4571</v>
      </c>
      <c r="J1478" s="19" t="s">
        <v>4546</v>
      </c>
    </row>
    <row r="1479" spans="1:10" x14ac:dyDescent="0.2">
      <c r="A1479" s="3">
        <v>1611</v>
      </c>
      <c r="B1479" s="3" t="s">
        <v>1601</v>
      </c>
      <c r="C1479" s="3" t="s">
        <v>1602</v>
      </c>
      <c r="D1479" s="3" t="s">
        <v>1285</v>
      </c>
      <c r="E1479" s="3" t="str">
        <v>Müllheim</v>
      </c>
      <c r="I1479" s="19">
        <v>4573</v>
      </c>
      <c r="J1479" s="19" t="s">
        <v>4546</v>
      </c>
    </row>
    <row r="1480" spans="1:10" x14ac:dyDescent="0.2">
      <c r="A1480" s="3">
        <v>1624</v>
      </c>
      <c r="B1480" s="3" t="s">
        <v>1602</v>
      </c>
      <c r="C1480" s="3" t="s">
        <v>1602</v>
      </c>
      <c r="D1480" s="3" t="s">
        <v>1285</v>
      </c>
      <c r="E1480" s="3" t="str">
        <v>Pfyn</v>
      </c>
      <c r="I1480" s="19">
        <v>4574</v>
      </c>
      <c r="J1480" s="19" t="s">
        <v>4546</v>
      </c>
    </row>
    <row r="1481" spans="1:10" x14ac:dyDescent="0.2">
      <c r="A1481" s="3">
        <v>1624</v>
      </c>
      <c r="B1481" s="3" t="s">
        <v>1603</v>
      </c>
      <c r="C1481" s="3" t="s">
        <v>1602</v>
      </c>
      <c r="D1481" s="3" t="s">
        <v>1285</v>
      </c>
      <c r="E1481" s="3" t="str">
        <v>Raperswilen</v>
      </c>
      <c r="I1481" s="19">
        <v>4576</v>
      </c>
      <c r="J1481" s="19" t="s">
        <v>4546</v>
      </c>
    </row>
    <row r="1482" spans="1:10" x14ac:dyDescent="0.2">
      <c r="A1482" s="3">
        <v>1624</v>
      </c>
      <c r="B1482" s="3" t="s">
        <v>1604</v>
      </c>
      <c r="C1482" s="3" t="s">
        <v>1602</v>
      </c>
      <c r="D1482" s="3" t="s">
        <v>1285</v>
      </c>
      <c r="E1482" s="3" t="str">
        <v>Salenstein</v>
      </c>
      <c r="I1482" s="19">
        <v>4577</v>
      </c>
      <c r="J1482" s="19" t="s">
        <v>4546</v>
      </c>
    </row>
    <row r="1483" spans="1:10" x14ac:dyDescent="0.2">
      <c r="A1483" s="3">
        <v>1624</v>
      </c>
      <c r="B1483" s="3" t="s">
        <v>1604</v>
      </c>
      <c r="C1483" s="3" t="s">
        <v>1602</v>
      </c>
      <c r="D1483" s="3" t="s">
        <v>1285</v>
      </c>
      <c r="E1483" s="3" t="str">
        <v>Steckborn</v>
      </c>
      <c r="I1483" s="19">
        <v>4578</v>
      </c>
      <c r="J1483" s="19" t="s">
        <v>4546</v>
      </c>
    </row>
    <row r="1484" spans="1:10" x14ac:dyDescent="0.2">
      <c r="A1484" s="3">
        <v>4622</v>
      </c>
      <c r="B1484" s="3" t="s">
        <v>1605</v>
      </c>
      <c r="C1484" s="3" t="s">
        <v>1605</v>
      </c>
      <c r="D1484" s="3" t="s">
        <v>1606</v>
      </c>
      <c r="E1484" s="3" t="str">
        <v>Wagenhausen</v>
      </c>
      <c r="I1484" s="19">
        <v>4579</v>
      </c>
      <c r="J1484" s="19" t="s">
        <v>4546</v>
      </c>
    </row>
    <row r="1485" spans="1:10" x14ac:dyDescent="0.2">
      <c r="A1485" s="3">
        <v>4624</v>
      </c>
      <c r="B1485" s="3" t="s">
        <v>1607</v>
      </c>
      <c r="C1485" s="3" t="s">
        <v>1607</v>
      </c>
      <c r="D1485" s="3" t="s">
        <v>1606</v>
      </c>
      <c r="E1485" s="3" t="str">
        <v>Amlikon-Bissegg</v>
      </c>
      <c r="I1485" s="19">
        <v>4581</v>
      </c>
      <c r="J1485" s="19" t="s">
        <v>4546</v>
      </c>
    </row>
    <row r="1486" spans="1:10" x14ac:dyDescent="0.2">
      <c r="A1486" s="3">
        <v>4703</v>
      </c>
      <c r="B1486" s="3" t="s">
        <v>1608</v>
      </c>
      <c r="C1486" s="3" t="s">
        <v>1608</v>
      </c>
      <c r="D1486" s="3" t="s">
        <v>1606</v>
      </c>
      <c r="E1486" s="3" t="str">
        <v>Berg (TG)</v>
      </c>
      <c r="I1486" s="19">
        <v>4582</v>
      </c>
      <c r="J1486" s="19" t="s">
        <v>4546</v>
      </c>
    </row>
    <row r="1487" spans="1:10" x14ac:dyDescent="0.2">
      <c r="A1487" s="3">
        <v>4623</v>
      </c>
      <c r="B1487" s="3" t="s">
        <v>1609</v>
      </c>
      <c r="C1487" s="3" t="s">
        <v>1609</v>
      </c>
      <c r="D1487" s="3" t="s">
        <v>1606</v>
      </c>
      <c r="E1487" s="3" t="str">
        <v>Birwinken</v>
      </c>
      <c r="I1487" s="19">
        <v>4583</v>
      </c>
      <c r="J1487" s="19" t="s">
        <v>4546</v>
      </c>
    </row>
    <row r="1488" spans="1:10" x14ac:dyDescent="0.2">
      <c r="A1488" s="3">
        <v>4626</v>
      </c>
      <c r="B1488" s="3" t="s">
        <v>1610</v>
      </c>
      <c r="C1488" s="3" t="s">
        <v>1610</v>
      </c>
      <c r="D1488" s="3" t="s">
        <v>1606</v>
      </c>
      <c r="E1488" s="3" t="str">
        <v>Bürglen (TG)</v>
      </c>
      <c r="I1488" s="19">
        <v>4584</v>
      </c>
      <c r="J1488" s="19" t="s">
        <v>4546</v>
      </c>
    </row>
    <row r="1489" spans="1:10" x14ac:dyDescent="0.2">
      <c r="A1489" s="3">
        <v>4625</v>
      </c>
      <c r="B1489" s="3" t="s">
        <v>1611</v>
      </c>
      <c r="C1489" s="3" t="s">
        <v>1611</v>
      </c>
      <c r="D1489" s="3" t="s">
        <v>1606</v>
      </c>
      <c r="E1489" s="3" t="str">
        <v>Bussnang</v>
      </c>
      <c r="I1489" s="19">
        <v>4585</v>
      </c>
      <c r="J1489" s="19" t="s">
        <v>4546</v>
      </c>
    </row>
    <row r="1490" spans="1:10" x14ac:dyDescent="0.2">
      <c r="A1490" s="3">
        <v>4702</v>
      </c>
      <c r="B1490" s="3" t="s">
        <v>1612</v>
      </c>
      <c r="C1490" s="3" t="s">
        <v>1612</v>
      </c>
      <c r="D1490" s="3" t="s">
        <v>1606</v>
      </c>
      <c r="E1490" s="3" t="str">
        <v>Märstetten</v>
      </c>
      <c r="I1490" s="19">
        <v>4586</v>
      </c>
      <c r="J1490" s="19" t="s">
        <v>4546</v>
      </c>
    </row>
    <row r="1491" spans="1:10" x14ac:dyDescent="0.2">
      <c r="A1491" s="3">
        <v>4628</v>
      </c>
      <c r="B1491" s="3" t="s">
        <v>1613</v>
      </c>
      <c r="C1491" s="3" t="s">
        <v>1613</v>
      </c>
      <c r="D1491" s="3" t="s">
        <v>1606</v>
      </c>
      <c r="E1491" s="3" t="str">
        <v>Weinfelden</v>
      </c>
      <c r="I1491" s="19">
        <v>4587</v>
      </c>
      <c r="J1491" s="19" t="s">
        <v>4546</v>
      </c>
    </row>
    <row r="1492" spans="1:10" x14ac:dyDescent="0.2">
      <c r="A1492" s="3">
        <v>4714</v>
      </c>
      <c r="B1492" s="3" t="s">
        <v>1614</v>
      </c>
      <c r="C1492" s="3" t="s">
        <v>1614</v>
      </c>
      <c r="D1492" s="3" t="s">
        <v>1606</v>
      </c>
      <c r="E1492" s="3" t="str">
        <v>Wigoltingen</v>
      </c>
      <c r="I1492" s="19">
        <v>4588</v>
      </c>
      <c r="J1492" s="19" t="s">
        <v>4546</v>
      </c>
    </row>
    <row r="1493" spans="1:10" x14ac:dyDescent="0.2">
      <c r="A1493" s="3">
        <v>4710</v>
      </c>
      <c r="B1493" s="3" t="s">
        <v>1615</v>
      </c>
      <c r="C1493" s="3" t="s">
        <v>1615</v>
      </c>
      <c r="D1493" s="3" t="s">
        <v>1606</v>
      </c>
      <c r="E1493" s="3" t="str">
        <v>Arbedo-Castione</v>
      </c>
      <c r="I1493" s="19">
        <v>4600</v>
      </c>
      <c r="J1493" s="19" t="s">
        <v>4558</v>
      </c>
    </row>
    <row r="1494" spans="1:10" x14ac:dyDescent="0.2">
      <c r="A1494" s="3">
        <v>4715</v>
      </c>
      <c r="B1494" s="3" t="s">
        <v>1616</v>
      </c>
      <c r="C1494" s="3" t="s">
        <v>1616</v>
      </c>
      <c r="D1494" s="3" t="s">
        <v>1606</v>
      </c>
      <c r="E1494" s="3" t="str">
        <v>Bellinzona</v>
      </c>
      <c r="I1494" s="19">
        <v>4612</v>
      </c>
      <c r="J1494" s="19" t="s">
        <v>4554</v>
      </c>
    </row>
    <row r="1495" spans="1:10" x14ac:dyDescent="0.2">
      <c r="A1495" s="3">
        <v>4718</v>
      </c>
      <c r="B1495" s="3" t="s">
        <v>1617</v>
      </c>
      <c r="C1495" s="3" t="s">
        <v>1618</v>
      </c>
      <c r="D1495" s="3" t="s">
        <v>1606</v>
      </c>
      <c r="E1495" s="3" t="str">
        <v>Cadenazzo</v>
      </c>
      <c r="I1495" s="19">
        <v>4613</v>
      </c>
      <c r="J1495" s="19" t="s">
        <v>4554</v>
      </c>
    </row>
    <row r="1496" spans="1:10" x14ac:dyDescent="0.2">
      <c r="A1496" s="3">
        <v>4712</v>
      </c>
      <c r="B1496" s="3" t="s">
        <v>1619</v>
      </c>
      <c r="C1496" s="3" t="s">
        <v>1619</v>
      </c>
      <c r="D1496" s="3" t="s">
        <v>1606</v>
      </c>
      <c r="E1496" s="3" t="str">
        <v>Isone</v>
      </c>
      <c r="I1496" s="19">
        <v>4614</v>
      </c>
      <c r="J1496" s="19" t="s">
        <v>4554</v>
      </c>
    </row>
    <row r="1497" spans="1:10" x14ac:dyDescent="0.2">
      <c r="A1497" s="3">
        <v>4713</v>
      </c>
      <c r="B1497" s="3" t="s">
        <v>1620</v>
      </c>
      <c r="C1497" s="3" t="s">
        <v>1620</v>
      </c>
      <c r="D1497" s="3" t="s">
        <v>1606</v>
      </c>
      <c r="E1497" s="3" t="str">
        <v>Lumino</v>
      </c>
      <c r="I1497" s="19">
        <v>4615</v>
      </c>
      <c r="J1497" s="19" t="s">
        <v>4554</v>
      </c>
    </row>
    <row r="1498" spans="1:10" x14ac:dyDescent="0.2">
      <c r="A1498" s="3">
        <v>4717</v>
      </c>
      <c r="B1498" s="3" t="s">
        <v>1621</v>
      </c>
      <c r="C1498" s="3" t="s">
        <v>1622</v>
      </c>
      <c r="D1498" s="3" t="s">
        <v>1606</v>
      </c>
      <c r="E1498" s="3" t="str">
        <v>Sant'Antonino</v>
      </c>
      <c r="I1498" s="19">
        <v>4616</v>
      </c>
      <c r="J1498" s="19" t="s">
        <v>4554</v>
      </c>
    </row>
    <row r="1499" spans="1:10" x14ac:dyDescent="0.2">
      <c r="A1499" s="3">
        <v>4719</v>
      </c>
      <c r="B1499" s="3" t="s">
        <v>1623</v>
      </c>
      <c r="C1499" s="3" t="s">
        <v>1622</v>
      </c>
      <c r="D1499" s="3" t="s">
        <v>1606</v>
      </c>
      <c r="E1499" s="3" t="str">
        <v>Acquarossa</v>
      </c>
      <c r="I1499" s="19">
        <v>4617</v>
      </c>
      <c r="J1499" s="19" t="s">
        <v>4554</v>
      </c>
    </row>
    <row r="1500" spans="1:10" x14ac:dyDescent="0.2">
      <c r="A1500" s="3">
        <v>4716</v>
      </c>
      <c r="B1500" s="3" t="s">
        <v>1624</v>
      </c>
      <c r="C1500" s="3" t="s">
        <v>1625</v>
      </c>
      <c r="D1500" s="3" t="s">
        <v>1606</v>
      </c>
      <c r="E1500" s="3" t="str">
        <v>Blenio</v>
      </c>
      <c r="I1500" s="19">
        <v>4618</v>
      </c>
      <c r="J1500" s="19" t="s">
        <v>4554</v>
      </c>
    </row>
    <row r="1501" spans="1:10" x14ac:dyDescent="0.2">
      <c r="A1501" s="3">
        <v>4716</v>
      </c>
      <c r="B1501" s="3" t="s">
        <v>1626</v>
      </c>
      <c r="C1501" s="3" t="s">
        <v>1625</v>
      </c>
      <c r="D1501" s="3" t="s">
        <v>1606</v>
      </c>
      <c r="E1501" s="3" t="str">
        <v>Serravalle</v>
      </c>
      <c r="I1501" s="19">
        <v>4622</v>
      </c>
      <c r="J1501" s="19" t="s">
        <v>4554</v>
      </c>
    </row>
    <row r="1502" spans="1:10" x14ac:dyDescent="0.2">
      <c r="A1502" s="3">
        <v>4585</v>
      </c>
      <c r="B1502" s="3" t="s">
        <v>1627</v>
      </c>
      <c r="C1502" s="3" t="s">
        <v>1627</v>
      </c>
      <c r="D1502" s="3" t="s">
        <v>1606</v>
      </c>
      <c r="E1502" s="3" t="str">
        <v>Airolo</v>
      </c>
      <c r="I1502" s="19">
        <v>4623</v>
      </c>
      <c r="J1502" s="19" t="s">
        <v>4554</v>
      </c>
    </row>
    <row r="1503" spans="1:10" x14ac:dyDescent="0.2">
      <c r="A1503" s="3">
        <v>4571</v>
      </c>
      <c r="B1503" s="3" t="s">
        <v>1628</v>
      </c>
      <c r="C1503" s="3" t="s">
        <v>1629</v>
      </c>
      <c r="D1503" s="3" t="s">
        <v>1606</v>
      </c>
      <c r="E1503" s="3" t="str">
        <v>Bedretto</v>
      </c>
      <c r="I1503" s="19">
        <v>4624</v>
      </c>
      <c r="J1503" s="19" t="s">
        <v>4554</v>
      </c>
    </row>
    <row r="1504" spans="1:10" x14ac:dyDescent="0.2">
      <c r="A1504" s="3">
        <v>4571</v>
      </c>
      <c r="B1504" s="3" t="s">
        <v>1630</v>
      </c>
      <c r="C1504" s="3" t="s">
        <v>1629</v>
      </c>
      <c r="D1504" s="3" t="s">
        <v>1606</v>
      </c>
      <c r="E1504" s="3" t="str">
        <v>Bodio</v>
      </c>
      <c r="I1504" s="19">
        <v>4625</v>
      </c>
      <c r="J1504" s="19" t="s">
        <v>4554</v>
      </c>
    </row>
    <row r="1505" spans="1:10" x14ac:dyDescent="0.2">
      <c r="A1505" s="3">
        <v>4584</v>
      </c>
      <c r="B1505" s="3" t="s">
        <v>1631</v>
      </c>
      <c r="C1505" s="3" t="s">
        <v>1632</v>
      </c>
      <c r="D1505" s="3" t="s">
        <v>1606</v>
      </c>
      <c r="E1505" s="3" t="str">
        <v>Dalpe</v>
      </c>
      <c r="I1505" s="19">
        <v>4626</v>
      </c>
      <c r="J1505" s="19" t="s">
        <v>4554</v>
      </c>
    </row>
    <row r="1506" spans="1:10" x14ac:dyDescent="0.2">
      <c r="A1506" s="3">
        <v>4584</v>
      </c>
      <c r="B1506" s="3" t="s">
        <v>1633</v>
      </c>
      <c r="C1506" s="3" t="s">
        <v>1632</v>
      </c>
      <c r="D1506" s="3" t="s">
        <v>1606</v>
      </c>
      <c r="E1506" s="3" t="str">
        <v>Faido</v>
      </c>
      <c r="I1506" s="19">
        <v>4628</v>
      </c>
      <c r="J1506" s="19" t="s">
        <v>4554</v>
      </c>
    </row>
    <row r="1507" spans="1:10" x14ac:dyDescent="0.2">
      <c r="A1507" s="3">
        <v>3254</v>
      </c>
      <c r="B1507" s="3" t="s">
        <v>1634</v>
      </c>
      <c r="C1507" s="3" t="s">
        <v>1634</v>
      </c>
      <c r="D1507" s="3" t="s">
        <v>1606</v>
      </c>
      <c r="E1507" s="3" t="str">
        <v>Giornico</v>
      </c>
      <c r="I1507" s="19">
        <v>4629</v>
      </c>
      <c r="J1507" s="19" t="s">
        <v>4554</v>
      </c>
    </row>
    <row r="1508" spans="1:10" x14ac:dyDescent="0.2">
      <c r="A1508" s="3">
        <v>3254</v>
      </c>
      <c r="B1508" s="3" t="s">
        <v>1635</v>
      </c>
      <c r="C1508" s="3" t="s">
        <v>1634</v>
      </c>
      <c r="D1508" s="3" t="s">
        <v>1606</v>
      </c>
      <c r="E1508" s="3" t="str">
        <v>Personico</v>
      </c>
      <c r="I1508" s="19">
        <v>4632</v>
      </c>
      <c r="J1508" s="19" t="s">
        <v>4558</v>
      </c>
    </row>
    <row r="1509" spans="1:10" x14ac:dyDescent="0.2">
      <c r="A1509" s="3">
        <v>3307</v>
      </c>
      <c r="B1509" s="3" t="s">
        <v>1636</v>
      </c>
      <c r="C1509" s="3" t="s">
        <v>1634</v>
      </c>
      <c r="D1509" s="3" t="s">
        <v>1606</v>
      </c>
      <c r="E1509" s="3" t="str">
        <v>Pollegio</v>
      </c>
      <c r="I1509" s="19">
        <v>4633</v>
      </c>
      <c r="J1509" s="19" t="s">
        <v>4558</v>
      </c>
    </row>
    <row r="1510" spans="1:10" x14ac:dyDescent="0.2">
      <c r="A1510" s="3">
        <v>4588</v>
      </c>
      <c r="B1510" s="3" t="s">
        <v>1637</v>
      </c>
      <c r="C1510" s="3" t="s">
        <v>1634</v>
      </c>
      <c r="D1510" s="3" t="s">
        <v>1606</v>
      </c>
      <c r="E1510" s="3" t="str">
        <v>Prato (Leventina)</v>
      </c>
      <c r="I1510" s="19">
        <v>4634</v>
      </c>
      <c r="J1510" s="19" t="s">
        <v>4551</v>
      </c>
    </row>
    <row r="1511" spans="1:10" x14ac:dyDescent="0.2">
      <c r="A1511" s="3">
        <v>3253</v>
      </c>
      <c r="B1511" s="3" t="s">
        <v>1638</v>
      </c>
      <c r="C1511" s="3" t="s">
        <v>1638</v>
      </c>
      <c r="D1511" s="3" t="s">
        <v>1606</v>
      </c>
      <c r="E1511" s="3" t="str">
        <v>Quinto</v>
      </c>
      <c r="I1511" s="19">
        <v>4652</v>
      </c>
      <c r="J1511" s="19" t="s">
        <v>4558</v>
      </c>
    </row>
    <row r="1512" spans="1:10" x14ac:dyDescent="0.2">
      <c r="A1512" s="3">
        <v>4588</v>
      </c>
      <c r="B1512" s="3" t="s">
        <v>1639</v>
      </c>
      <c r="C1512" s="3" t="s">
        <v>1639</v>
      </c>
      <c r="D1512" s="3" t="s">
        <v>1606</v>
      </c>
      <c r="E1512" s="3" t="str">
        <v>Ascona</v>
      </c>
      <c r="I1512" s="19">
        <v>4653</v>
      </c>
      <c r="J1512" s="19" t="s">
        <v>4558</v>
      </c>
    </row>
    <row r="1513" spans="1:10" x14ac:dyDescent="0.2">
      <c r="A1513" s="3">
        <v>4574</v>
      </c>
      <c r="B1513" s="3" t="s">
        <v>1640</v>
      </c>
      <c r="C1513" s="3" t="s">
        <v>1641</v>
      </c>
      <c r="D1513" s="3" t="s">
        <v>1606</v>
      </c>
      <c r="E1513" s="3" t="str">
        <v>Brione sopra Minusio</v>
      </c>
      <c r="I1513" s="19">
        <v>4654</v>
      </c>
      <c r="J1513" s="19" t="s">
        <v>4558</v>
      </c>
    </row>
    <row r="1514" spans="1:10" x14ac:dyDescent="0.2">
      <c r="A1514" s="3">
        <v>4574</v>
      </c>
      <c r="B1514" s="3" t="s">
        <v>1642</v>
      </c>
      <c r="C1514" s="3" t="s">
        <v>1641</v>
      </c>
      <c r="D1514" s="3" t="s">
        <v>1606</v>
      </c>
      <c r="E1514" s="3" t="str">
        <v>Brissago</v>
      </c>
      <c r="I1514" s="19">
        <v>4655</v>
      </c>
      <c r="J1514" s="19" t="s">
        <v>4558</v>
      </c>
    </row>
    <row r="1515" spans="1:10" x14ac:dyDescent="0.2">
      <c r="A1515" s="3">
        <v>4576</v>
      </c>
      <c r="B1515" s="3" t="s">
        <v>1643</v>
      </c>
      <c r="C1515" s="3" t="s">
        <v>1644</v>
      </c>
      <c r="D1515" s="3" t="s">
        <v>1606</v>
      </c>
      <c r="E1515" s="3" t="str">
        <v>Gordola</v>
      </c>
      <c r="I1515" s="19">
        <v>4656</v>
      </c>
      <c r="J1515" s="19" t="s">
        <v>4558</v>
      </c>
    </row>
    <row r="1516" spans="1:10" x14ac:dyDescent="0.2">
      <c r="A1516" s="3">
        <v>4577</v>
      </c>
      <c r="B1516" s="3" t="s">
        <v>1645</v>
      </c>
      <c r="C1516" s="3" t="s">
        <v>1644</v>
      </c>
      <c r="D1516" s="3" t="s">
        <v>1606</v>
      </c>
      <c r="E1516" s="3" t="str">
        <v>Lavertezzo</v>
      </c>
      <c r="I1516" s="19">
        <v>4657</v>
      </c>
      <c r="J1516" s="19" t="s">
        <v>4558</v>
      </c>
    </row>
    <row r="1517" spans="1:10" x14ac:dyDescent="0.2">
      <c r="A1517" s="3">
        <v>4578</v>
      </c>
      <c r="B1517" s="3" t="s">
        <v>1646</v>
      </c>
      <c r="C1517" s="3" t="s">
        <v>1644</v>
      </c>
      <c r="D1517" s="3" t="s">
        <v>1606</v>
      </c>
      <c r="E1517" s="3" t="str">
        <v>Locarno</v>
      </c>
      <c r="I1517" s="19">
        <v>4658</v>
      </c>
      <c r="J1517" s="19" t="s">
        <v>4558</v>
      </c>
    </row>
    <row r="1518" spans="1:10" x14ac:dyDescent="0.2">
      <c r="A1518" s="3">
        <v>4579</v>
      </c>
      <c r="B1518" s="3" t="s">
        <v>1647</v>
      </c>
      <c r="C1518" s="3" t="s">
        <v>1644</v>
      </c>
      <c r="D1518" s="3" t="s">
        <v>1606</v>
      </c>
      <c r="E1518" s="3" t="str">
        <v>Losone</v>
      </c>
      <c r="I1518" s="19">
        <v>4663</v>
      </c>
      <c r="J1518" s="19" t="s">
        <v>4554</v>
      </c>
    </row>
    <row r="1519" spans="1:10" x14ac:dyDescent="0.2">
      <c r="A1519" s="3">
        <v>4581</v>
      </c>
      <c r="B1519" s="3" t="s">
        <v>1648</v>
      </c>
      <c r="C1519" s="3" t="s">
        <v>1644</v>
      </c>
      <c r="D1519" s="3" t="s">
        <v>1606</v>
      </c>
      <c r="E1519" s="3" t="str">
        <v>Mergoscia</v>
      </c>
      <c r="I1519" s="19">
        <v>4665</v>
      </c>
      <c r="J1519" s="19" t="s">
        <v>4558</v>
      </c>
    </row>
    <row r="1520" spans="1:10" x14ac:dyDescent="0.2">
      <c r="A1520" s="3">
        <v>4582</v>
      </c>
      <c r="B1520" s="3" t="s">
        <v>1649</v>
      </c>
      <c r="C1520" s="3" t="s">
        <v>1644</v>
      </c>
      <c r="D1520" s="3" t="s">
        <v>1606</v>
      </c>
      <c r="E1520" s="3" t="str">
        <v>Minusio</v>
      </c>
      <c r="I1520" s="19">
        <v>4702</v>
      </c>
      <c r="J1520" s="19" t="s">
        <v>4554</v>
      </c>
    </row>
    <row r="1521" spans="1:10" x14ac:dyDescent="0.2">
      <c r="A1521" s="3">
        <v>4583</v>
      </c>
      <c r="B1521" s="3" t="s">
        <v>1650</v>
      </c>
      <c r="C1521" s="3" t="s">
        <v>1644</v>
      </c>
      <c r="D1521" s="3" t="s">
        <v>1606</v>
      </c>
      <c r="E1521" s="3" t="str">
        <v>Muralto</v>
      </c>
      <c r="I1521" s="19">
        <v>4703</v>
      </c>
      <c r="J1521" s="19" t="s">
        <v>4554</v>
      </c>
    </row>
    <row r="1522" spans="1:10" x14ac:dyDescent="0.2">
      <c r="A1522" s="3">
        <v>4583</v>
      </c>
      <c r="B1522" s="3" t="s">
        <v>1651</v>
      </c>
      <c r="C1522" s="3" t="s">
        <v>1644</v>
      </c>
      <c r="D1522" s="3" t="s">
        <v>1606</v>
      </c>
      <c r="E1522" s="3" t="str">
        <v>Orselina</v>
      </c>
      <c r="I1522" s="19">
        <v>4704</v>
      </c>
      <c r="J1522" s="19" t="s">
        <v>4554</v>
      </c>
    </row>
    <row r="1523" spans="1:10" x14ac:dyDescent="0.2">
      <c r="A1523" s="3">
        <v>4586</v>
      </c>
      <c r="B1523" s="3" t="s">
        <v>1652</v>
      </c>
      <c r="C1523" s="3" t="s">
        <v>1644</v>
      </c>
      <c r="D1523" s="3" t="s">
        <v>1606</v>
      </c>
      <c r="E1523" s="3" t="str">
        <v>Ronco sopra Ascona</v>
      </c>
      <c r="I1523" s="19">
        <v>4710</v>
      </c>
      <c r="J1523" s="19" t="s">
        <v>4551</v>
      </c>
    </row>
    <row r="1524" spans="1:10" x14ac:dyDescent="0.2">
      <c r="A1524" s="3">
        <v>4587</v>
      </c>
      <c r="B1524" s="3" t="s">
        <v>1653</v>
      </c>
      <c r="C1524" s="3" t="s">
        <v>1644</v>
      </c>
      <c r="D1524" s="3" t="s">
        <v>1606</v>
      </c>
      <c r="E1524" s="3" t="str">
        <v>Tenero-Contra</v>
      </c>
      <c r="I1524" s="19">
        <v>4712</v>
      </c>
      <c r="J1524" s="19" t="s">
        <v>4551</v>
      </c>
    </row>
    <row r="1525" spans="1:10" x14ac:dyDescent="0.2">
      <c r="A1525" s="3">
        <v>4588</v>
      </c>
      <c r="B1525" s="3" t="s">
        <v>1654</v>
      </c>
      <c r="C1525" s="3" t="s">
        <v>1644</v>
      </c>
      <c r="D1525" s="3" t="s">
        <v>1606</v>
      </c>
      <c r="E1525" s="3" t="str">
        <v>Onsernone</v>
      </c>
      <c r="I1525" s="19">
        <v>4713</v>
      </c>
      <c r="J1525" s="19" t="s">
        <v>4551</v>
      </c>
    </row>
    <row r="1526" spans="1:10" x14ac:dyDescent="0.2">
      <c r="A1526" s="3">
        <v>4112</v>
      </c>
      <c r="B1526" s="3" t="s">
        <v>1655</v>
      </c>
      <c r="C1526" s="3" t="s">
        <v>1655</v>
      </c>
      <c r="D1526" s="3" t="s">
        <v>1606</v>
      </c>
      <c r="E1526" s="3" t="str">
        <v>Cugnasco-Gerra</v>
      </c>
      <c r="I1526" s="19">
        <v>4714</v>
      </c>
      <c r="J1526" s="19" t="s">
        <v>4551</v>
      </c>
    </row>
    <row r="1527" spans="1:10" x14ac:dyDescent="0.2">
      <c r="A1527" s="3">
        <v>4413</v>
      </c>
      <c r="B1527" s="3" t="s">
        <v>1656</v>
      </c>
      <c r="C1527" s="3" t="s">
        <v>1657</v>
      </c>
      <c r="D1527" s="3" t="s">
        <v>1606</v>
      </c>
      <c r="E1527" s="3" t="str">
        <v>Agno</v>
      </c>
      <c r="I1527" s="19">
        <v>4715</v>
      </c>
      <c r="J1527" s="19" t="s">
        <v>4551</v>
      </c>
    </row>
    <row r="1528" spans="1:10" x14ac:dyDescent="0.2">
      <c r="A1528" s="3">
        <v>4143</v>
      </c>
      <c r="B1528" s="3" t="s">
        <v>1658</v>
      </c>
      <c r="C1528" s="3" t="s">
        <v>1658</v>
      </c>
      <c r="D1528" s="3" t="s">
        <v>1606</v>
      </c>
      <c r="E1528" s="3" t="str">
        <v>Aranno</v>
      </c>
      <c r="I1528" s="19">
        <v>4716</v>
      </c>
      <c r="J1528" s="19" t="s">
        <v>4551</v>
      </c>
    </row>
    <row r="1529" spans="1:10" x14ac:dyDescent="0.2">
      <c r="A1529" s="3">
        <v>4145</v>
      </c>
      <c r="B1529" s="3" t="s">
        <v>1659</v>
      </c>
      <c r="C1529" s="3" t="s">
        <v>1659</v>
      </c>
      <c r="D1529" s="3" t="s">
        <v>1606</v>
      </c>
      <c r="E1529" s="3" t="str">
        <v>Arogno</v>
      </c>
      <c r="I1529" s="19">
        <v>4717</v>
      </c>
      <c r="J1529" s="19" t="s">
        <v>4551</v>
      </c>
    </row>
    <row r="1530" spans="1:10" x14ac:dyDescent="0.2">
      <c r="A1530" s="3">
        <v>4146</v>
      </c>
      <c r="B1530" s="3" t="s">
        <v>1660</v>
      </c>
      <c r="C1530" s="3" t="s">
        <v>1660</v>
      </c>
      <c r="D1530" s="3" t="s">
        <v>1606</v>
      </c>
      <c r="E1530" s="3" t="str">
        <v>Astano</v>
      </c>
      <c r="I1530" s="19">
        <v>4718</v>
      </c>
      <c r="J1530" s="19" t="s">
        <v>4551</v>
      </c>
    </row>
    <row r="1531" spans="1:10" x14ac:dyDescent="0.2">
      <c r="A1531" s="3">
        <v>4112</v>
      </c>
      <c r="B1531" s="3" t="s">
        <v>1661</v>
      </c>
      <c r="C1531" s="3" t="s">
        <v>1662</v>
      </c>
      <c r="D1531" s="3" t="s">
        <v>1606</v>
      </c>
      <c r="E1531" s="3" t="str">
        <v>Bedano</v>
      </c>
      <c r="I1531" s="19">
        <v>4719</v>
      </c>
      <c r="J1531" s="19" t="s">
        <v>4551</v>
      </c>
    </row>
    <row r="1532" spans="1:10" x14ac:dyDescent="0.2">
      <c r="A1532" s="3">
        <v>4114</v>
      </c>
      <c r="B1532" s="3" t="s">
        <v>1663</v>
      </c>
      <c r="C1532" s="3" t="s">
        <v>1662</v>
      </c>
      <c r="D1532" s="3" t="s">
        <v>1606</v>
      </c>
      <c r="E1532" s="3" t="str">
        <v>Bedigliora</v>
      </c>
      <c r="I1532" s="19">
        <v>4800</v>
      </c>
      <c r="J1532" s="19" t="s">
        <v>4558</v>
      </c>
    </row>
    <row r="1533" spans="1:10" x14ac:dyDescent="0.2">
      <c r="A1533" s="3">
        <v>4115</v>
      </c>
      <c r="B1533" s="3" t="s">
        <v>1664</v>
      </c>
      <c r="C1533" s="3" t="s">
        <v>1665</v>
      </c>
      <c r="D1533" s="3" t="s">
        <v>1606</v>
      </c>
      <c r="E1533" s="3" t="str">
        <v>Bioggio</v>
      </c>
      <c r="I1533" s="19">
        <v>4802</v>
      </c>
      <c r="J1533" s="19" t="s">
        <v>4554</v>
      </c>
    </row>
    <row r="1534" spans="1:10" x14ac:dyDescent="0.2">
      <c r="A1534" s="3">
        <v>4116</v>
      </c>
      <c r="B1534" s="3" t="s">
        <v>1666</v>
      </c>
      <c r="C1534" s="3" t="s">
        <v>1665</v>
      </c>
      <c r="D1534" s="3" t="s">
        <v>1606</v>
      </c>
      <c r="E1534" s="3" t="str">
        <v>Bissone</v>
      </c>
      <c r="I1534" s="19">
        <v>4803</v>
      </c>
      <c r="J1534" s="19" t="s">
        <v>4554</v>
      </c>
    </row>
    <row r="1535" spans="1:10" x14ac:dyDescent="0.2">
      <c r="A1535" s="3">
        <v>4412</v>
      </c>
      <c r="B1535" s="3" t="s">
        <v>1667</v>
      </c>
      <c r="C1535" s="3" t="s">
        <v>1668</v>
      </c>
      <c r="D1535" s="3" t="s">
        <v>1606</v>
      </c>
      <c r="E1535" s="3" t="str">
        <v>Brusino Arsizio</v>
      </c>
      <c r="I1535" s="19">
        <v>4805</v>
      </c>
      <c r="J1535" s="19" t="s">
        <v>4554</v>
      </c>
    </row>
    <row r="1536" spans="1:10" x14ac:dyDescent="0.2">
      <c r="A1536" s="3">
        <v>4421</v>
      </c>
      <c r="B1536" s="3" t="s">
        <v>1669</v>
      </c>
      <c r="C1536" s="3" t="s">
        <v>1668</v>
      </c>
      <c r="D1536" s="3" t="s">
        <v>1606</v>
      </c>
      <c r="E1536" s="3" t="str">
        <v>Cademario</v>
      </c>
      <c r="I1536" s="19">
        <v>4806</v>
      </c>
      <c r="J1536" s="19" t="s">
        <v>4558</v>
      </c>
    </row>
    <row r="1537" spans="1:10" x14ac:dyDescent="0.2">
      <c r="A1537" s="3">
        <v>4118</v>
      </c>
      <c r="B1537" s="3" t="s">
        <v>1670</v>
      </c>
      <c r="C1537" s="3" t="s">
        <v>1670</v>
      </c>
      <c r="D1537" s="3" t="s">
        <v>1606</v>
      </c>
      <c r="E1537" s="3" t="str">
        <v>Cadempino</v>
      </c>
      <c r="I1537" s="19">
        <v>4812</v>
      </c>
      <c r="J1537" s="19" t="s">
        <v>4558</v>
      </c>
    </row>
    <row r="1538" spans="1:10" x14ac:dyDescent="0.2">
      <c r="A1538" s="3">
        <v>4206</v>
      </c>
      <c r="B1538" s="3" t="s">
        <v>1671</v>
      </c>
      <c r="C1538" s="3" t="s">
        <v>1672</v>
      </c>
      <c r="D1538" s="3" t="s">
        <v>1606</v>
      </c>
      <c r="E1538" s="3" t="str">
        <v>Canobbio</v>
      </c>
      <c r="I1538" s="19">
        <v>4813</v>
      </c>
      <c r="J1538" s="19" t="s">
        <v>4558</v>
      </c>
    </row>
    <row r="1539" spans="1:10" x14ac:dyDescent="0.2">
      <c r="A1539" s="3">
        <v>4108</v>
      </c>
      <c r="B1539" s="3" t="s">
        <v>1673</v>
      </c>
      <c r="C1539" s="3" t="s">
        <v>1673</v>
      </c>
      <c r="D1539" s="3" t="s">
        <v>1606</v>
      </c>
      <c r="E1539" s="3" t="str">
        <v>Caslano</v>
      </c>
      <c r="I1539" s="19">
        <v>4814</v>
      </c>
      <c r="J1539" s="19" t="s">
        <v>4558</v>
      </c>
    </row>
    <row r="1540" spans="1:10" x14ac:dyDescent="0.2">
      <c r="A1540" s="3">
        <v>4633</v>
      </c>
      <c r="B1540" s="3" t="s">
        <v>1674</v>
      </c>
      <c r="C1540" s="3" t="s">
        <v>1675</v>
      </c>
      <c r="D1540" s="3" t="s">
        <v>1606</v>
      </c>
      <c r="E1540" s="3" t="str">
        <v>Comano</v>
      </c>
      <c r="I1540" s="19">
        <v>4852</v>
      </c>
      <c r="J1540" s="19" t="s">
        <v>4554</v>
      </c>
    </row>
    <row r="1541" spans="1:10" x14ac:dyDescent="0.2">
      <c r="A1541" s="3">
        <v>4468</v>
      </c>
      <c r="B1541" s="3" t="s">
        <v>1676</v>
      </c>
      <c r="C1541" s="3" t="s">
        <v>1676</v>
      </c>
      <c r="D1541" s="3" t="s">
        <v>1606</v>
      </c>
      <c r="E1541" s="3" t="str">
        <v>Cureglia</v>
      </c>
      <c r="I1541" s="19">
        <v>4853</v>
      </c>
      <c r="J1541" s="19" t="s">
        <v>4554</v>
      </c>
    </row>
    <row r="1542" spans="1:10" x14ac:dyDescent="0.2">
      <c r="A1542" s="3">
        <v>4654</v>
      </c>
      <c r="B1542" s="3" t="s">
        <v>1677</v>
      </c>
      <c r="C1542" s="3" t="s">
        <v>1677</v>
      </c>
      <c r="D1542" s="3" t="s">
        <v>1606</v>
      </c>
      <c r="E1542" s="3" t="str">
        <v>Curio</v>
      </c>
      <c r="I1542" s="19">
        <v>4856</v>
      </c>
      <c r="J1542" s="19" t="s">
        <v>4554</v>
      </c>
    </row>
    <row r="1543" spans="1:10" x14ac:dyDescent="0.2">
      <c r="A1543" s="3">
        <v>5013</v>
      </c>
      <c r="B1543" s="3" t="s">
        <v>1678</v>
      </c>
      <c r="C1543" s="3" t="s">
        <v>1678</v>
      </c>
      <c r="D1543" s="3" t="s">
        <v>1606</v>
      </c>
      <c r="E1543" s="3" t="str">
        <v>Grancia</v>
      </c>
      <c r="I1543" s="19">
        <v>4900</v>
      </c>
      <c r="J1543" s="19" t="s">
        <v>4554</v>
      </c>
    </row>
    <row r="1544" spans="1:10" x14ac:dyDescent="0.2">
      <c r="A1544" s="3">
        <v>4653</v>
      </c>
      <c r="B1544" s="3" t="s">
        <v>1679</v>
      </c>
      <c r="C1544" s="3" t="s">
        <v>1679</v>
      </c>
      <c r="D1544" s="3" t="s">
        <v>1606</v>
      </c>
      <c r="E1544" s="3" t="str">
        <v>Gravesano</v>
      </c>
      <c r="I1544" s="19">
        <v>4911</v>
      </c>
      <c r="J1544" s="19" t="s">
        <v>4554</v>
      </c>
    </row>
    <row r="1545" spans="1:10" x14ac:dyDescent="0.2">
      <c r="A1545" s="3">
        <v>4655</v>
      </c>
      <c r="B1545" s="3" t="s">
        <v>1680</v>
      </c>
      <c r="C1545" s="3" t="s">
        <v>1680</v>
      </c>
      <c r="D1545" s="3" t="s">
        <v>1606</v>
      </c>
      <c r="E1545" s="3" t="str">
        <v>Lamone</v>
      </c>
      <c r="I1545" s="19">
        <v>4912</v>
      </c>
      <c r="J1545" s="19" t="s">
        <v>4554</v>
      </c>
    </row>
    <row r="1546" spans="1:10" x14ac:dyDescent="0.2">
      <c r="A1546" s="3">
        <v>4655</v>
      </c>
      <c r="B1546" s="3" t="s">
        <v>1681</v>
      </c>
      <c r="C1546" s="3" t="s">
        <v>1680</v>
      </c>
      <c r="D1546" s="3" t="s">
        <v>1606</v>
      </c>
      <c r="E1546" s="3" t="str">
        <v>Lugano</v>
      </c>
      <c r="I1546" s="19">
        <v>4913</v>
      </c>
      <c r="J1546" s="19" t="s">
        <v>4554</v>
      </c>
    </row>
    <row r="1547" spans="1:10" x14ac:dyDescent="0.2">
      <c r="A1547" s="3">
        <v>4632</v>
      </c>
      <c r="B1547" s="3" t="s">
        <v>1682</v>
      </c>
      <c r="C1547" s="3" t="s">
        <v>1682</v>
      </c>
      <c r="D1547" s="3" t="s">
        <v>1606</v>
      </c>
      <c r="E1547" s="3" t="str">
        <v>Magliaso</v>
      </c>
      <c r="I1547" s="19">
        <v>4914</v>
      </c>
      <c r="J1547" s="19" t="s">
        <v>4554</v>
      </c>
    </row>
    <row r="1548" spans="1:10" x14ac:dyDescent="0.2">
      <c r="A1548" s="3">
        <v>4652</v>
      </c>
      <c r="B1548" s="3" t="s">
        <v>1683</v>
      </c>
      <c r="C1548" s="3" t="s">
        <v>1683</v>
      </c>
      <c r="D1548" s="3" t="s">
        <v>1606</v>
      </c>
      <c r="E1548" s="3" t="str">
        <v>Manno</v>
      </c>
      <c r="I1548" s="19">
        <v>4915</v>
      </c>
      <c r="J1548" s="19" t="s">
        <v>4554</v>
      </c>
    </row>
    <row r="1549" spans="1:10" x14ac:dyDescent="0.2">
      <c r="A1549" s="3">
        <v>4634</v>
      </c>
      <c r="B1549" s="3" t="s">
        <v>1684</v>
      </c>
      <c r="C1549" s="3" t="s">
        <v>1685</v>
      </c>
      <c r="D1549" s="3" t="s">
        <v>1606</v>
      </c>
      <c r="E1549" s="3" t="str">
        <v>Massagno</v>
      </c>
      <c r="I1549" s="19">
        <v>4916</v>
      </c>
      <c r="J1549" s="19" t="s">
        <v>4554</v>
      </c>
    </row>
    <row r="1550" spans="1:10" x14ac:dyDescent="0.2">
      <c r="A1550" s="3">
        <v>5015</v>
      </c>
      <c r="B1550" s="3" t="s">
        <v>1686</v>
      </c>
      <c r="C1550" s="3" t="s">
        <v>1687</v>
      </c>
      <c r="D1550" s="3" t="s">
        <v>1606</v>
      </c>
      <c r="E1550" s="3" t="str">
        <v>Melide</v>
      </c>
      <c r="I1550" s="19">
        <v>4917</v>
      </c>
      <c r="J1550" s="19" t="s">
        <v>4554</v>
      </c>
    </row>
    <row r="1551" spans="1:10" x14ac:dyDescent="0.2">
      <c r="A1551" s="3">
        <v>4556</v>
      </c>
      <c r="B1551" s="3" t="s">
        <v>1688</v>
      </c>
      <c r="C1551" s="3" t="s">
        <v>1689</v>
      </c>
      <c r="D1551" s="3" t="s">
        <v>1606</v>
      </c>
      <c r="E1551" s="3" t="str">
        <v>Mezzovico-Vira</v>
      </c>
      <c r="I1551" s="19">
        <v>4919</v>
      </c>
      <c r="J1551" s="19" t="s">
        <v>4554</v>
      </c>
    </row>
    <row r="1552" spans="1:10" x14ac:dyDescent="0.2">
      <c r="A1552" s="3">
        <v>4556</v>
      </c>
      <c r="B1552" s="3" t="s">
        <v>1690</v>
      </c>
      <c r="C1552" s="3" t="s">
        <v>1689</v>
      </c>
      <c r="D1552" s="3" t="s">
        <v>1606</v>
      </c>
      <c r="E1552" s="3" t="str">
        <v>Miglieglia</v>
      </c>
      <c r="I1552" s="19">
        <v>4922</v>
      </c>
      <c r="J1552" s="19" t="s">
        <v>4554</v>
      </c>
    </row>
    <row r="1553" spans="1:10" x14ac:dyDescent="0.2">
      <c r="A1553" s="3">
        <v>4556</v>
      </c>
      <c r="B1553" s="3" t="s">
        <v>1691</v>
      </c>
      <c r="C1553" s="3" t="s">
        <v>1689</v>
      </c>
      <c r="D1553" s="3" t="s">
        <v>1606</v>
      </c>
      <c r="E1553" s="3" t="str">
        <v>Morcote</v>
      </c>
      <c r="I1553" s="19">
        <v>4923</v>
      </c>
      <c r="J1553" s="19" t="s">
        <v>4554</v>
      </c>
    </row>
    <row r="1554" spans="1:10" x14ac:dyDescent="0.2">
      <c r="A1554" s="3">
        <v>4562</v>
      </c>
      <c r="B1554" s="3" t="s">
        <v>1692</v>
      </c>
      <c r="C1554" s="3" t="s">
        <v>1692</v>
      </c>
      <c r="D1554" s="3" t="s">
        <v>1606</v>
      </c>
      <c r="E1554" s="3" t="str">
        <v>Muzzano</v>
      </c>
      <c r="I1554" s="19">
        <v>4924</v>
      </c>
      <c r="J1554" s="19" t="s">
        <v>4554</v>
      </c>
    </row>
    <row r="1555" spans="1:10" x14ac:dyDescent="0.2">
      <c r="A1555" s="3">
        <v>4556</v>
      </c>
      <c r="B1555" s="3" t="s">
        <v>1693</v>
      </c>
      <c r="C1555" s="3" t="s">
        <v>1693</v>
      </c>
      <c r="D1555" s="3" t="s">
        <v>1606</v>
      </c>
      <c r="E1555" s="3" t="str">
        <v>Neggio</v>
      </c>
      <c r="I1555" s="19">
        <v>4932</v>
      </c>
      <c r="J1555" s="19" t="s">
        <v>4554</v>
      </c>
    </row>
    <row r="1556" spans="1:10" x14ac:dyDescent="0.2">
      <c r="A1556" s="3">
        <v>4543</v>
      </c>
      <c r="B1556" s="3" t="s">
        <v>1694</v>
      </c>
      <c r="C1556" s="3" t="s">
        <v>1694</v>
      </c>
      <c r="D1556" s="3" t="s">
        <v>1606</v>
      </c>
      <c r="E1556" s="3" t="str">
        <v>Novaggio</v>
      </c>
      <c r="I1556" s="19">
        <v>4933</v>
      </c>
      <c r="J1556" s="19" t="s">
        <v>4554</v>
      </c>
    </row>
    <row r="1557" spans="1:10" x14ac:dyDescent="0.2">
      <c r="A1557" s="3">
        <v>4552</v>
      </c>
      <c r="B1557" s="3" t="s">
        <v>1695</v>
      </c>
      <c r="C1557" s="3" t="s">
        <v>1695</v>
      </c>
      <c r="D1557" s="3" t="s">
        <v>1606</v>
      </c>
      <c r="E1557" s="3" t="str">
        <v>Origlio</v>
      </c>
      <c r="I1557" s="19">
        <v>4934</v>
      </c>
      <c r="J1557" s="19" t="s">
        <v>4554</v>
      </c>
    </row>
    <row r="1558" spans="1:10" x14ac:dyDescent="0.2">
      <c r="A1558" s="3">
        <v>4554</v>
      </c>
      <c r="B1558" s="3" t="s">
        <v>1696</v>
      </c>
      <c r="C1558" s="3" t="s">
        <v>1696</v>
      </c>
      <c r="D1558" s="3" t="s">
        <v>1606</v>
      </c>
      <c r="E1558" s="3" t="str">
        <v>Paradiso</v>
      </c>
      <c r="I1558" s="19">
        <v>4935</v>
      </c>
      <c r="J1558" s="19" t="s">
        <v>4554</v>
      </c>
    </row>
    <row r="1559" spans="1:10" x14ac:dyDescent="0.2">
      <c r="A1559" s="3">
        <v>4563</v>
      </c>
      <c r="B1559" s="3" t="s">
        <v>1697</v>
      </c>
      <c r="C1559" s="3" t="s">
        <v>1697</v>
      </c>
      <c r="D1559" s="3" t="s">
        <v>1606</v>
      </c>
      <c r="E1559" s="3" t="str">
        <v>Ponte Capriasca</v>
      </c>
      <c r="I1559" s="19">
        <v>4936</v>
      </c>
      <c r="J1559" s="19" t="s">
        <v>4554</v>
      </c>
    </row>
    <row r="1560" spans="1:10" x14ac:dyDescent="0.2">
      <c r="A1560" s="3">
        <v>4566</v>
      </c>
      <c r="B1560" s="3" t="s">
        <v>1698</v>
      </c>
      <c r="C1560" s="3" t="s">
        <v>1698</v>
      </c>
      <c r="D1560" s="3" t="s">
        <v>1606</v>
      </c>
      <c r="E1560" s="3" t="str">
        <v>Porza</v>
      </c>
      <c r="I1560" s="19">
        <v>4937</v>
      </c>
      <c r="J1560" s="19" t="s">
        <v>4554</v>
      </c>
    </row>
    <row r="1561" spans="1:10" x14ac:dyDescent="0.2">
      <c r="A1561" s="3">
        <v>4557</v>
      </c>
      <c r="B1561" s="3" t="s">
        <v>1699</v>
      </c>
      <c r="C1561" s="3" t="s">
        <v>1699</v>
      </c>
      <c r="D1561" s="3" t="s">
        <v>1606</v>
      </c>
      <c r="E1561" s="3" t="str">
        <v>Pura</v>
      </c>
      <c r="I1561" s="19">
        <v>4938</v>
      </c>
      <c r="J1561" s="19" t="s">
        <v>4554</v>
      </c>
    </row>
    <row r="1562" spans="1:10" x14ac:dyDescent="0.2">
      <c r="A1562" s="3">
        <v>4554</v>
      </c>
      <c r="B1562" s="3" t="s">
        <v>1700</v>
      </c>
      <c r="C1562" s="3" t="s">
        <v>1700</v>
      </c>
      <c r="D1562" s="3" t="s">
        <v>1606</v>
      </c>
      <c r="E1562" s="3" t="str">
        <v>Savosa</v>
      </c>
      <c r="I1562" s="19">
        <v>4942</v>
      </c>
      <c r="J1562" s="19" t="s">
        <v>4554</v>
      </c>
    </row>
    <row r="1563" spans="1:10" x14ac:dyDescent="0.2">
      <c r="A1563" s="3">
        <v>4566</v>
      </c>
      <c r="B1563" s="3" t="s">
        <v>1701</v>
      </c>
      <c r="C1563" s="3" t="s">
        <v>1701</v>
      </c>
      <c r="D1563" s="3" t="s">
        <v>1606</v>
      </c>
      <c r="E1563" s="3" t="str">
        <v>Sorengo</v>
      </c>
      <c r="I1563" s="19">
        <v>4943</v>
      </c>
      <c r="J1563" s="19" t="s">
        <v>4554</v>
      </c>
    </row>
    <row r="1564" spans="1:10" x14ac:dyDescent="0.2">
      <c r="A1564" s="3">
        <v>4573</v>
      </c>
      <c r="B1564" s="3" t="s">
        <v>1702</v>
      </c>
      <c r="C1564" s="3" t="s">
        <v>1702</v>
      </c>
      <c r="D1564" s="3" t="s">
        <v>1606</v>
      </c>
      <c r="E1564" s="3" t="str">
        <v>Capriasca</v>
      </c>
      <c r="I1564" s="19">
        <v>4944</v>
      </c>
      <c r="J1564" s="19" t="s">
        <v>4554</v>
      </c>
    </row>
    <row r="1565" spans="1:10" x14ac:dyDescent="0.2">
      <c r="A1565" s="3">
        <v>4542</v>
      </c>
      <c r="B1565" s="3" t="s">
        <v>1703</v>
      </c>
      <c r="C1565" s="3" t="s">
        <v>1703</v>
      </c>
      <c r="D1565" s="3" t="s">
        <v>1606</v>
      </c>
      <c r="E1565" s="3" t="str">
        <v>Torricella-Taverne</v>
      </c>
      <c r="I1565" s="19">
        <v>4950</v>
      </c>
      <c r="J1565" s="19" t="s">
        <v>4554</v>
      </c>
    </row>
    <row r="1566" spans="1:10" x14ac:dyDescent="0.2">
      <c r="A1566" s="3">
        <v>4564</v>
      </c>
      <c r="B1566" s="3" t="s">
        <v>1704</v>
      </c>
      <c r="C1566" s="3" t="s">
        <v>1704</v>
      </c>
      <c r="D1566" s="3" t="s">
        <v>1606</v>
      </c>
      <c r="E1566" s="3" t="str">
        <v>Vernate</v>
      </c>
      <c r="I1566" s="19">
        <v>4952</v>
      </c>
      <c r="J1566" s="19" t="s">
        <v>4554</v>
      </c>
    </row>
    <row r="1567" spans="1:10" x14ac:dyDescent="0.2">
      <c r="A1567" s="3">
        <v>4566</v>
      </c>
      <c r="B1567" s="3" t="s">
        <v>1705</v>
      </c>
      <c r="C1567" s="3" t="s">
        <v>1705</v>
      </c>
      <c r="D1567" s="3" t="s">
        <v>1606</v>
      </c>
      <c r="E1567" s="3" t="str">
        <v>Vezia</v>
      </c>
      <c r="I1567" s="19">
        <v>4953</v>
      </c>
      <c r="J1567" s="19" t="s">
        <v>4554</v>
      </c>
    </row>
    <row r="1568" spans="1:10" x14ac:dyDescent="0.2">
      <c r="A1568" s="3">
        <v>4565</v>
      </c>
      <c r="B1568" s="3" t="s">
        <v>1706</v>
      </c>
      <c r="C1568" s="3" t="s">
        <v>1706</v>
      </c>
      <c r="D1568" s="3" t="s">
        <v>1606</v>
      </c>
      <c r="E1568" s="3" t="str">
        <v>Vico Morcote</v>
      </c>
      <c r="I1568" s="19">
        <v>4954</v>
      </c>
      <c r="J1568" s="19" t="s">
        <v>4554</v>
      </c>
    </row>
    <row r="1569" spans="1:10" x14ac:dyDescent="0.2">
      <c r="A1569" s="3">
        <v>4553</v>
      </c>
      <c r="B1569" s="3" t="s">
        <v>1707</v>
      </c>
      <c r="C1569" s="3" t="s">
        <v>1707</v>
      </c>
      <c r="D1569" s="3" t="s">
        <v>1606</v>
      </c>
      <c r="E1569" s="3" t="str">
        <v>Collina d'Oro</v>
      </c>
      <c r="I1569" s="19">
        <v>4955</v>
      </c>
      <c r="J1569" s="19" t="s">
        <v>4554</v>
      </c>
    </row>
    <row r="1570" spans="1:10" x14ac:dyDescent="0.2">
      <c r="A1570" s="3">
        <v>4528</v>
      </c>
      <c r="B1570" s="3" t="s">
        <v>1708</v>
      </c>
      <c r="C1570" s="3" t="s">
        <v>1708</v>
      </c>
      <c r="D1570" s="3" t="s">
        <v>1606</v>
      </c>
      <c r="E1570" s="3" t="str">
        <v>Alto Malcantone</v>
      </c>
      <c r="I1570" s="19">
        <v>5000</v>
      </c>
      <c r="J1570" s="19" t="s">
        <v>4558</v>
      </c>
    </row>
    <row r="1571" spans="1:10" x14ac:dyDescent="0.2">
      <c r="A1571" s="3">
        <v>4558</v>
      </c>
      <c r="B1571" s="3" t="s">
        <v>1709</v>
      </c>
      <c r="C1571" s="3" t="s">
        <v>1710</v>
      </c>
      <c r="D1571" s="3" t="s">
        <v>1606</v>
      </c>
      <c r="E1571" s="3" t="str">
        <v>Monteceneri</v>
      </c>
      <c r="I1571" s="19">
        <v>5004</v>
      </c>
      <c r="J1571" s="19" t="s">
        <v>4558</v>
      </c>
    </row>
    <row r="1572" spans="1:10" x14ac:dyDescent="0.2">
      <c r="A1572" s="3">
        <v>4558</v>
      </c>
      <c r="B1572" s="3" t="s">
        <v>1711</v>
      </c>
      <c r="C1572" s="3" t="s">
        <v>1710</v>
      </c>
      <c r="D1572" s="3" t="s">
        <v>1606</v>
      </c>
      <c r="E1572" s="3" t="str">
        <v>Tresa</v>
      </c>
      <c r="I1572" s="19">
        <v>5012</v>
      </c>
      <c r="J1572" s="19" t="s">
        <v>4558</v>
      </c>
    </row>
    <row r="1573" spans="1:10" x14ac:dyDescent="0.2">
      <c r="A1573" s="3">
        <v>4558</v>
      </c>
      <c r="B1573" s="3" t="s">
        <v>1712</v>
      </c>
      <c r="C1573" s="3" t="s">
        <v>1710</v>
      </c>
      <c r="D1573" s="3" t="s">
        <v>1606</v>
      </c>
      <c r="E1573" s="3" t="str">
        <v>Val Mara</v>
      </c>
      <c r="I1573" s="19">
        <v>5013</v>
      </c>
      <c r="J1573" s="19" t="s">
        <v>4558</v>
      </c>
    </row>
    <row r="1574" spans="1:10" x14ac:dyDescent="0.2">
      <c r="A1574" s="3">
        <v>4524</v>
      </c>
      <c r="B1574" s="3" t="s">
        <v>1713</v>
      </c>
      <c r="C1574" s="3" t="s">
        <v>1714</v>
      </c>
      <c r="D1574" s="3" t="s">
        <v>1606</v>
      </c>
      <c r="E1574" s="3" t="str">
        <v>Balerna</v>
      </c>
      <c r="I1574" s="19">
        <v>5014</v>
      </c>
      <c r="J1574" s="19" t="s">
        <v>4558</v>
      </c>
    </row>
    <row r="1575" spans="1:10" x14ac:dyDescent="0.2">
      <c r="A1575" s="3">
        <v>4524</v>
      </c>
      <c r="B1575" s="3" t="s">
        <v>1715</v>
      </c>
      <c r="C1575" s="3" t="s">
        <v>1714</v>
      </c>
      <c r="D1575" s="3" t="s">
        <v>1606</v>
      </c>
      <c r="E1575" s="3" t="str">
        <v>Castel San Pietro</v>
      </c>
      <c r="I1575" s="19">
        <v>5015</v>
      </c>
      <c r="J1575" s="19" t="s">
        <v>4558</v>
      </c>
    </row>
    <row r="1576" spans="1:10" x14ac:dyDescent="0.2">
      <c r="A1576" s="3">
        <v>4525</v>
      </c>
      <c r="B1576" s="3" t="s">
        <v>1716</v>
      </c>
      <c r="C1576" s="3" t="s">
        <v>1714</v>
      </c>
      <c r="D1576" s="3" t="s">
        <v>1606</v>
      </c>
      <c r="E1576" s="3" t="str">
        <v>Chiasso</v>
      </c>
      <c r="I1576" s="19">
        <v>5017</v>
      </c>
      <c r="J1576" s="19" t="s">
        <v>4551</v>
      </c>
    </row>
    <row r="1577" spans="1:10" x14ac:dyDescent="0.2">
      <c r="A1577" s="3">
        <v>4512</v>
      </c>
      <c r="B1577" s="3" t="s">
        <v>1717</v>
      </c>
      <c r="C1577" s="3" t="s">
        <v>1717</v>
      </c>
      <c r="D1577" s="3" t="s">
        <v>1606</v>
      </c>
      <c r="E1577" s="3" t="str">
        <v>Coldrerio</v>
      </c>
      <c r="I1577" s="19">
        <v>5018</v>
      </c>
      <c r="J1577" s="19" t="s">
        <v>4558</v>
      </c>
    </row>
    <row r="1578" spans="1:10" x14ac:dyDescent="0.2">
      <c r="A1578" s="3">
        <v>2544</v>
      </c>
      <c r="B1578" s="3" t="s">
        <v>1718</v>
      </c>
      <c r="C1578" s="3" t="s">
        <v>1718</v>
      </c>
      <c r="D1578" s="3" t="s">
        <v>1606</v>
      </c>
      <c r="E1578" s="3" t="str">
        <v>Mendrisio</v>
      </c>
      <c r="I1578" s="19">
        <v>5022</v>
      </c>
      <c r="J1578" s="19" t="s">
        <v>4558</v>
      </c>
    </row>
    <row r="1579" spans="1:10" x14ac:dyDescent="0.2">
      <c r="A1579" s="3">
        <v>4532</v>
      </c>
      <c r="B1579" s="3" t="s">
        <v>1719</v>
      </c>
      <c r="C1579" s="3" t="s">
        <v>1720</v>
      </c>
      <c r="D1579" s="3" t="s">
        <v>1606</v>
      </c>
      <c r="E1579" s="3" t="str">
        <v>Morbio Inferiore</v>
      </c>
      <c r="I1579" s="19">
        <v>5023</v>
      </c>
      <c r="J1579" s="19" t="s">
        <v>4558</v>
      </c>
    </row>
    <row r="1580" spans="1:10" x14ac:dyDescent="0.2">
      <c r="A1580" s="3">
        <v>4534</v>
      </c>
      <c r="B1580" s="3" t="s">
        <v>1721</v>
      </c>
      <c r="C1580" s="3" t="s">
        <v>1721</v>
      </c>
      <c r="D1580" s="3" t="s">
        <v>1606</v>
      </c>
      <c r="E1580" s="3" t="str">
        <v>Novazzano</v>
      </c>
      <c r="I1580" s="19">
        <v>5024</v>
      </c>
      <c r="J1580" s="19" t="s">
        <v>4558</v>
      </c>
    </row>
    <row r="1581" spans="1:10" x14ac:dyDescent="0.2">
      <c r="A1581" s="3">
        <v>2540</v>
      </c>
      <c r="B1581" s="3" t="s">
        <v>1722</v>
      </c>
      <c r="C1581" s="3" t="s">
        <v>1722</v>
      </c>
      <c r="D1581" s="3" t="s">
        <v>1606</v>
      </c>
      <c r="E1581" s="3" t="str">
        <v>Riva San Vitale</v>
      </c>
      <c r="I1581" s="19">
        <v>5025</v>
      </c>
      <c r="J1581" s="19" t="s">
        <v>4551</v>
      </c>
    </row>
    <row r="1582" spans="1:10" x14ac:dyDescent="0.2">
      <c r="A1582" s="3">
        <v>4524</v>
      </c>
      <c r="B1582" s="3" t="s">
        <v>1723</v>
      </c>
      <c r="C1582" s="3" t="s">
        <v>1723</v>
      </c>
      <c r="D1582" s="3" t="s">
        <v>1606</v>
      </c>
      <c r="E1582" s="3" t="str">
        <v>Stabio</v>
      </c>
      <c r="I1582" s="19">
        <v>5026</v>
      </c>
      <c r="J1582" s="19" t="s">
        <v>4551</v>
      </c>
    </row>
    <row r="1583" spans="1:10" x14ac:dyDescent="0.2">
      <c r="A1583" s="3">
        <v>4535</v>
      </c>
      <c r="B1583" s="3" t="s">
        <v>1724</v>
      </c>
      <c r="C1583" s="3" t="s">
        <v>1724</v>
      </c>
      <c r="D1583" s="3" t="s">
        <v>1606</v>
      </c>
      <c r="E1583" s="3" t="str">
        <v>Vacallo</v>
      </c>
      <c r="I1583" s="19">
        <v>5027</v>
      </c>
      <c r="J1583" s="19" t="s">
        <v>4551</v>
      </c>
    </row>
    <row r="1584" spans="1:10" x14ac:dyDescent="0.2">
      <c r="A1584" s="3">
        <v>4535</v>
      </c>
      <c r="B1584" s="3" t="s">
        <v>1725</v>
      </c>
      <c r="C1584" s="3" t="s">
        <v>1725</v>
      </c>
      <c r="D1584" s="3" t="s">
        <v>1606</v>
      </c>
      <c r="E1584" s="3" t="str">
        <v>Breggia</v>
      </c>
      <c r="I1584" s="19">
        <v>5028</v>
      </c>
      <c r="J1584" s="19" t="s">
        <v>4551</v>
      </c>
    </row>
    <row r="1585" spans="1:10" x14ac:dyDescent="0.2">
      <c r="A1585" s="3">
        <v>4513</v>
      </c>
      <c r="B1585" s="3" t="s">
        <v>1726</v>
      </c>
      <c r="C1585" s="3" t="s">
        <v>1726</v>
      </c>
      <c r="D1585" s="3" t="s">
        <v>1606</v>
      </c>
      <c r="E1585" s="3" t="str">
        <v>Biasca</v>
      </c>
      <c r="I1585" s="19">
        <v>5032</v>
      </c>
      <c r="J1585" s="19" t="s">
        <v>4558</v>
      </c>
    </row>
    <row r="1586" spans="1:10" x14ac:dyDescent="0.2">
      <c r="A1586" s="3">
        <v>4514</v>
      </c>
      <c r="B1586" s="3" t="s">
        <v>1727</v>
      </c>
      <c r="C1586" s="3" t="s">
        <v>1727</v>
      </c>
      <c r="D1586" s="3" t="s">
        <v>1606</v>
      </c>
      <c r="E1586" s="3" t="str">
        <v>Riviera</v>
      </c>
      <c r="I1586" s="19">
        <v>5033</v>
      </c>
      <c r="J1586" s="19" t="s">
        <v>4558</v>
      </c>
    </row>
    <row r="1587" spans="1:10" x14ac:dyDescent="0.2">
      <c r="A1587" s="3">
        <v>4515</v>
      </c>
      <c r="B1587" s="3" t="s">
        <v>1728</v>
      </c>
      <c r="C1587" s="3" t="s">
        <v>1729</v>
      </c>
      <c r="D1587" s="3" t="s">
        <v>1606</v>
      </c>
      <c r="E1587" s="3" t="str">
        <v>Bosco/Gurin</v>
      </c>
      <c r="I1587" s="19">
        <v>5034</v>
      </c>
      <c r="J1587" s="19" t="s">
        <v>4558</v>
      </c>
    </row>
    <row r="1588" spans="1:10" x14ac:dyDescent="0.2">
      <c r="A1588" s="3">
        <v>4515</v>
      </c>
      <c r="B1588" s="3" t="s">
        <v>1730</v>
      </c>
      <c r="C1588" s="3" t="s">
        <v>1729</v>
      </c>
      <c r="D1588" s="3" t="s">
        <v>1606</v>
      </c>
      <c r="E1588" s="3" t="str">
        <v>Campo (Vallemaggia)</v>
      </c>
      <c r="I1588" s="19">
        <v>5035</v>
      </c>
      <c r="J1588" s="19" t="s">
        <v>4558</v>
      </c>
    </row>
    <row r="1589" spans="1:10" x14ac:dyDescent="0.2">
      <c r="A1589" s="3">
        <v>4523</v>
      </c>
      <c r="B1589" s="3" t="s">
        <v>1731</v>
      </c>
      <c r="C1589" s="3" t="s">
        <v>1732</v>
      </c>
      <c r="D1589" s="3" t="s">
        <v>1606</v>
      </c>
      <c r="E1589" s="3" t="str">
        <v>Cerentino</v>
      </c>
      <c r="I1589" s="19">
        <v>5036</v>
      </c>
      <c r="J1589" s="19" t="s">
        <v>4558</v>
      </c>
    </row>
    <row r="1590" spans="1:10" x14ac:dyDescent="0.2">
      <c r="A1590" s="3">
        <v>4533</v>
      </c>
      <c r="B1590" s="3" t="s">
        <v>1732</v>
      </c>
      <c r="C1590" s="3" t="s">
        <v>1732</v>
      </c>
      <c r="D1590" s="3" t="s">
        <v>1606</v>
      </c>
      <c r="E1590" s="3" t="str">
        <v>Cevio</v>
      </c>
      <c r="I1590" s="19">
        <v>5037</v>
      </c>
      <c r="J1590" s="19" t="s">
        <v>4558</v>
      </c>
    </row>
    <row r="1591" spans="1:10" x14ac:dyDescent="0.2">
      <c r="A1591" s="3">
        <v>4522</v>
      </c>
      <c r="B1591" s="3" t="s">
        <v>1733</v>
      </c>
      <c r="C1591" s="3" t="s">
        <v>1733</v>
      </c>
      <c r="D1591" s="3" t="s">
        <v>1606</v>
      </c>
      <c r="E1591" s="3" t="str">
        <v>Linescio</v>
      </c>
      <c r="I1591" s="19">
        <v>5040</v>
      </c>
      <c r="J1591" s="19" t="s">
        <v>4558</v>
      </c>
    </row>
    <row r="1592" spans="1:10" x14ac:dyDescent="0.2">
      <c r="A1592" s="3">
        <v>2545</v>
      </c>
      <c r="B1592" s="3" t="s">
        <v>1734</v>
      </c>
      <c r="C1592" s="3" t="s">
        <v>1734</v>
      </c>
      <c r="D1592" s="3" t="s">
        <v>1606</v>
      </c>
      <c r="E1592" s="3" t="str">
        <v>Maggia</v>
      </c>
      <c r="I1592" s="19">
        <v>5042</v>
      </c>
      <c r="J1592" s="19" t="s">
        <v>4558</v>
      </c>
    </row>
    <row r="1593" spans="1:10" x14ac:dyDescent="0.2">
      <c r="A1593" s="3">
        <v>4618</v>
      </c>
      <c r="B1593" s="3" t="s">
        <v>1735</v>
      </c>
      <c r="C1593" s="3" t="s">
        <v>1735</v>
      </c>
      <c r="D1593" s="3" t="s">
        <v>1606</v>
      </c>
      <c r="E1593" s="3" t="str">
        <v>Lavizzara</v>
      </c>
      <c r="I1593" s="19">
        <v>5043</v>
      </c>
      <c r="J1593" s="19" t="s">
        <v>4558</v>
      </c>
    </row>
    <row r="1594" spans="1:10" x14ac:dyDescent="0.2">
      <c r="A1594" s="3">
        <v>4658</v>
      </c>
      <c r="B1594" s="3" t="s">
        <v>1736</v>
      </c>
      <c r="C1594" s="3" t="s">
        <v>1737</v>
      </c>
      <c r="D1594" s="3" t="s">
        <v>1606</v>
      </c>
      <c r="E1594" s="3" t="str">
        <v>Avegno Gordevio</v>
      </c>
      <c r="I1594" s="19">
        <v>5044</v>
      </c>
      <c r="J1594" s="19" t="s">
        <v>4558</v>
      </c>
    </row>
    <row r="1595" spans="1:10" x14ac:dyDescent="0.2">
      <c r="A1595" s="3">
        <v>4657</v>
      </c>
      <c r="B1595" s="3" t="s">
        <v>1738</v>
      </c>
      <c r="C1595" s="3" t="s">
        <v>1738</v>
      </c>
      <c r="D1595" s="3" t="s">
        <v>1606</v>
      </c>
      <c r="E1595" s="3" t="str">
        <v>Comunanza Cadenazzo/Monteceneri</v>
      </c>
      <c r="I1595" s="19">
        <v>5046</v>
      </c>
      <c r="J1595" s="19" t="s">
        <v>4558</v>
      </c>
    </row>
    <row r="1596" spans="1:10" x14ac:dyDescent="0.2">
      <c r="A1596" s="3">
        <v>5012</v>
      </c>
      <c r="B1596" s="3" t="s">
        <v>1739</v>
      </c>
      <c r="C1596" s="3" t="s">
        <v>1740</v>
      </c>
      <c r="D1596" s="3" t="s">
        <v>1606</v>
      </c>
      <c r="E1596" s="3" t="str">
        <v>Terre di Pedemonte</v>
      </c>
      <c r="I1596" s="19">
        <v>5053</v>
      </c>
      <c r="J1596" s="19" t="s">
        <v>4558</v>
      </c>
    </row>
    <row r="1597" spans="1:10" x14ac:dyDescent="0.2">
      <c r="A1597" s="3">
        <v>5012</v>
      </c>
      <c r="B1597" s="3" t="s">
        <v>1741</v>
      </c>
      <c r="C1597" s="3" t="s">
        <v>1740</v>
      </c>
      <c r="D1597" s="3" t="s">
        <v>1606</v>
      </c>
      <c r="E1597" s="3" t="str">
        <v>Centovalli</v>
      </c>
      <c r="I1597" s="19">
        <v>5054</v>
      </c>
      <c r="J1597" s="19" t="s">
        <v>4558</v>
      </c>
    </row>
    <row r="1598" spans="1:10" x14ac:dyDescent="0.2">
      <c r="A1598" s="3">
        <v>4629</v>
      </c>
      <c r="B1598" s="3" t="s">
        <v>1742</v>
      </c>
      <c r="C1598" s="3" t="s">
        <v>1742</v>
      </c>
      <c r="D1598" s="3" t="s">
        <v>1606</v>
      </c>
      <c r="E1598" s="3" t="str">
        <v>Gambarogno</v>
      </c>
      <c r="I1598" s="19">
        <v>5056</v>
      </c>
      <c r="J1598" s="19" t="s">
        <v>4558</v>
      </c>
    </row>
    <row r="1599" spans="1:10" x14ac:dyDescent="0.2">
      <c r="A1599" s="3">
        <v>5014</v>
      </c>
      <c r="B1599" s="3" t="s">
        <v>1743</v>
      </c>
      <c r="C1599" s="3" t="s">
        <v>1743</v>
      </c>
      <c r="D1599" s="3" t="s">
        <v>1606</v>
      </c>
      <c r="E1599" s="3" t="str">
        <v>Verzasca</v>
      </c>
      <c r="I1599" s="19">
        <v>5057</v>
      </c>
      <c r="J1599" s="19" t="s">
        <v>4558</v>
      </c>
    </row>
    <row r="1600" spans="1:10" x14ac:dyDescent="0.2">
      <c r="A1600" s="3">
        <v>4617</v>
      </c>
      <c r="B1600" s="3" t="s">
        <v>1744</v>
      </c>
      <c r="C1600" s="3" t="s">
        <v>1744</v>
      </c>
      <c r="D1600" s="3" t="s">
        <v>1606</v>
      </c>
      <c r="E1600" s="3" t="str">
        <v>Aigle</v>
      </c>
      <c r="I1600" s="19">
        <v>5058</v>
      </c>
      <c r="J1600" s="19" t="s">
        <v>4558</v>
      </c>
    </row>
    <row r="1601" spans="1:10" x14ac:dyDescent="0.2">
      <c r="A1601" s="3">
        <v>4614</v>
      </c>
      <c r="B1601" s="3" t="s">
        <v>1745</v>
      </c>
      <c r="C1601" s="3" t="s">
        <v>1745</v>
      </c>
      <c r="D1601" s="3" t="s">
        <v>1606</v>
      </c>
      <c r="E1601" s="3" t="str">
        <v>Bex</v>
      </c>
      <c r="I1601" s="19">
        <v>5062</v>
      </c>
      <c r="J1601" s="19" t="s">
        <v>4551</v>
      </c>
    </row>
    <row r="1602" spans="1:10" x14ac:dyDescent="0.2">
      <c r="A1602" s="3">
        <v>4615</v>
      </c>
      <c r="B1602" s="3" t="s">
        <v>1746</v>
      </c>
      <c r="C1602" s="3" t="s">
        <v>1745</v>
      </c>
      <c r="D1602" s="3" t="s">
        <v>1606</v>
      </c>
      <c r="E1602" s="3" t="str">
        <v>Chessel</v>
      </c>
      <c r="I1602" s="19">
        <v>5063</v>
      </c>
      <c r="J1602" s="19" t="s">
        <v>4551</v>
      </c>
    </row>
    <row r="1603" spans="1:10" x14ac:dyDescent="0.2">
      <c r="A1603" s="3">
        <v>4616</v>
      </c>
      <c r="B1603" s="3" t="s">
        <v>1747</v>
      </c>
      <c r="C1603" s="3" t="s">
        <v>1748</v>
      </c>
      <c r="D1603" s="3" t="s">
        <v>1606</v>
      </c>
      <c r="E1603" s="3" t="str">
        <v>Corbeyrier</v>
      </c>
      <c r="I1603" s="19">
        <v>5064</v>
      </c>
      <c r="J1603" s="19" t="s">
        <v>4551</v>
      </c>
    </row>
    <row r="1604" spans="1:10" x14ac:dyDescent="0.2">
      <c r="A1604" s="3">
        <v>4600</v>
      </c>
      <c r="B1604" s="3" t="s">
        <v>1749</v>
      </c>
      <c r="C1604" s="3" t="s">
        <v>1749</v>
      </c>
      <c r="D1604" s="3" t="s">
        <v>1606</v>
      </c>
      <c r="E1604" s="3" t="str">
        <v>Gryon</v>
      </c>
      <c r="I1604" s="19">
        <v>5070</v>
      </c>
      <c r="J1604" s="19" t="s">
        <v>4551</v>
      </c>
    </row>
    <row r="1605" spans="1:10" x14ac:dyDescent="0.2">
      <c r="A1605" s="3">
        <v>4613</v>
      </c>
      <c r="B1605" s="3" t="s">
        <v>1750</v>
      </c>
      <c r="C1605" s="3" t="s">
        <v>1751</v>
      </c>
      <c r="D1605" s="3" t="s">
        <v>1606</v>
      </c>
      <c r="E1605" s="3" t="str">
        <v>Lavey-Morcles</v>
      </c>
      <c r="I1605" s="19">
        <v>5072</v>
      </c>
      <c r="J1605" s="19" t="s">
        <v>4551</v>
      </c>
    </row>
    <row r="1606" spans="1:10" x14ac:dyDescent="0.2">
      <c r="A1606" s="3">
        <v>5012</v>
      </c>
      <c r="B1606" s="3" t="s">
        <v>1752</v>
      </c>
      <c r="C1606" s="3" t="s">
        <v>1752</v>
      </c>
      <c r="D1606" s="3" t="s">
        <v>1606</v>
      </c>
      <c r="E1606" s="3" t="str">
        <v>Leysin</v>
      </c>
      <c r="I1606" s="19">
        <v>5073</v>
      </c>
      <c r="J1606" s="19" t="s">
        <v>4551</v>
      </c>
    </row>
    <row r="1607" spans="1:10" x14ac:dyDescent="0.2">
      <c r="A1607" s="3">
        <v>4656</v>
      </c>
      <c r="B1607" s="3" t="s">
        <v>1753</v>
      </c>
      <c r="C1607" s="3" t="s">
        <v>1753</v>
      </c>
      <c r="D1607" s="3" t="s">
        <v>1606</v>
      </c>
      <c r="E1607" s="3" t="str">
        <v>Noville</v>
      </c>
      <c r="I1607" s="19">
        <v>5074</v>
      </c>
      <c r="J1607" s="19" t="s">
        <v>4551</v>
      </c>
    </row>
    <row r="1608" spans="1:10" x14ac:dyDescent="0.2">
      <c r="A1608" s="3">
        <v>5746</v>
      </c>
      <c r="B1608" s="3" t="s">
        <v>1754</v>
      </c>
      <c r="C1608" s="3" t="s">
        <v>1755</v>
      </c>
      <c r="D1608" s="3" t="s">
        <v>1606</v>
      </c>
      <c r="E1608" s="3" t="str">
        <v>Ollon</v>
      </c>
      <c r="I1608" s="19">
        <v>5075</v>
      </c>
      <c r="J1608" s="19" t="s">
        <v>4551</v>
      </c>
    </row>
    <row r="1609" spans="1:10" x14ac:dyDescent="0.2">
      <c r="A1609" s="3">
        <v>4612</v>
      </c>
      <c r="B1609" s="3" t="s">
        <v>1756</v>
      </c>
      <c r="C1609" s="3" t="s">
        <v>1757</v>
      </c>
      <c r="D1609" s="3" t="s">
        <v>1606</v>
      </c>
      <c r="E1609" s="3" t="str">
        <v>Ormont-Dessous</v>
      </c>
      <c r="I1609" s="19">
        <v>5076</v>
      </c>
      <c r="J1609" s="19" t="s">
        <v>4551</v>
      </c>
    </row>
    <row r="1610" spans="1:10" x14ac:dyDescent="0.2">
      <c r="A1610" s="3">
        <v>4500</v>
      </c>
      <c r="B1610" s="3" t="s">
        <v>1758</v>
      </c>
      <c r="C1610" s="3" t="s">
        <v>1758</v>
      </c>
      <c r="D1610" s="3" t="s">
        <v>1606</v>
      </c>
      <c r="E1610" s="3" t="str">
        <v>Ormont-Dessus</v>
      </c>
      <c r="I1610" s="19">
        <v>5077</v>
      </c>
      <c r="J1610" s="19" t="s">
        <v>4551</v>
      </c>
    </row>
    <row r="1611" spans="1:10" x14ac:dyDescent="0.2">
      <c r="A1611" s="3">
        <v>4252</v>
      </c>
      <c r="B1611" s="3" t="s">
        <v>1759</v>
      </c>
      <c r="C1611" s="3" t="s">
        <v>1759</v>
      </c>
      <c r="D1611" s="3" t="s">
        <v>1606</v>
      </c>
      <c r="E1611" s="3" t="str">
        <v>Rennaz</v>
      </c>
      <c r="I1611" s="19">
        <v>5078</v>
      </c>
      <c r="J1611" s="19" t="s">
        <v>4551</v>
      </c>
    </row>
    <row r="1612" spans="1:10" x14ac:dyDescent="0.2">
      <c r="A1612" s="3">
        <v>4229</v>
      </c>
      <c r="B1612" s="3" t="s">
        <v>1760</v>
      </c>
      <c r="C1612" s="3" t="s">
        <v>1761</v>
      </c>
      <c r="D1612" s="3" t="s">
        <v>1606</v>
      </c>
      <c r="E1612" s="3" t="str">
        <v>Roche (VD)</v>
      </c>
      <c r="I1612" s="19">
        <v>5079</v>
      </c>
      <c r="J1612" s="19" t="s">
        <v>4551</v>
      </c>
    </row>
    <row r="1613" spans="1:10" x14ac:dyDescent="0.2">
      <c r="A1613" s="3">
        <v>4226</v>
      </c>
      <c r="B1613" s="3" t="s">
        <v>1762</v>
      </c>
      <c r="C1613" s="3" t="s">
        <v>1762</v>
      </c>
      <c r="D1613" s="3" t="s">
        <v>1606</v>
      </c>
      <c r="E1613" s="3" t="str">
        <v>Villeneuve (VD)</v>
      </c>
      <c r="I1613" s="19">
        <v>5080</v>
      </c>
      <c r="J1613" s="19" t="s">
        <v>4551</v>
      </c>
    </row>
    <row r="1614" spans="1:10" x14ac:dyDescent="0.2">
      <c r="A1614" s="3">
        <v>4227</v>
      </c>
      <c r="B1614" s="3" t="s">
        <v>1763</v>
      </c>
      <c r="C1614" s="3" t="s">
        <v>1763</v>
      </c>
      <c r="D1614" s="3" t="s">
        <v>1606</v>
      </c>
      <c r="E1614" s="3" t="str">
        <v>Yvorne</v>
      </c>
      <c r="I1614" s="19">
        <v>5082</v>
      </c>
      <c r="J1614" s="19" t="s">
        <v>4551</v>
      </c>
    </row>
    <row r="1615" spans="1:10" x14ac:dyDescent="0.2">
      <c r="A1615" s="3">
        <v>4228</v>
      </c>
      <c r="B1615" s="3" t="s">
        <v>1764</v>
      </c>
      <c r="C1615" s="3" t="s">
        <v>1764</v>
      </c>
      <c r="D1615" s="3" t="s">
        <v>1606</v>
      </c>
      <c r="E1615" s="3" t="str">
        <v>Aubonne</v>
      </c>
      <c r="I1615" s="19">
        <v>5083</v>
      </c>
      <c r="J1615" s="19" t="s">
        <v>4551</v>
      </c>
    </row>
    <row r="1616" spans="1:10" x14ac:dyDescent="0.2">
      <c r="A1616" s="3">
        <v>4232</v>
      </c>
      <c r="B1616" s="3" t="s">
        <v>1765</v>
      </c>
      <c r="C1616" s="3" t="s">
        <v>1765</v>
      </c>
      <c r="D1616" s="3" t="s">
        <v>1606</v>
      </c>
      <c r="E1616" s="3" t="str">
        <v>Ballens</v>
      </c>
      <c r="I1616" s="19">
        <v>5084</v>
      </c>
      <c r="J1616" s="19" t="s">
        <v>4551</v>
      </c>
    </row>
    <row r="1617" spans="1:10" x14ac:dyDescent="0.2">
      <c r="A1617" s="3">
        <v>4247</v>
      </c>
      <c r="B1617" s="3" t="s">
        <v>1766</v>
      </c>
      <c r="C1617" s="3" t="s">
        <v>1766</v>
      </c>
      <c r="D1617" s="3" t="s">
        <v>1606</v>
      </c>
      <c r="E1617" s="3" t="str">
        <v>Berolle</v>
      </c>
      <c r="I1617" s="19">
        <v>5085</v>
      </c>
      <c r="J1617" s="19" t="s">
        <v>4551</v>
      </c>
    </row>
    <row r="1618" spans="1:10" x14ac:dyDescent="0.2">
      <c r="A1618" s="3">
        <v>4204</v>
      </c>
      <c r="B1618" s="3" t="s">
        <v>1767</v>
      </c>
      <c r="C1618" s="3" t="s">
        <v>1767</v>
      </c>
      <c r="D1618" s="3" t="s">
        <v>1606</v>
      </c>
      <c r="E1618" s="3" t="str">
        <v>Bière</v>
      </c>
      <c r="I1618" s="19">
        <v>5102</v>
      </c>
      <c r="J1618" s="19" t="s">
        <v>4558</v>
      </c>
    </row>
    <row r="1619" spans="1:10" x14ac:dyDescent="0.2">
      <c r="A1619" s="3">
        <v>4245</v>
      </c>
      <c r="B1619" s="3" t="s">
        <v>1768</v>
      </c>
      <c r="C1619" s="3" t="s">
        <v>1768</v>
      </c>
      <c r="D1619" s="3" t="s">
        <v>1606</v>
      </c>
      <c r="E1619" s="3" t="str">
        <v>Bougy-Villars</v>
      </c>
      <c r="I1619" s="19">
        <v>5103</v>
      </c>
      <c r="J1619" s="19" t="s">
        <v>4558</v>
      </c>
    </row>
    <row r="1620" spans="1:10" x14ac:dyDescent="0.2">
      <c r="A1620" s="3">
        <v>4233</v>
      </c>
      <c r="B1620" s="3" t="s">
        <v>1769</v>
      </c>
      <c r="C1620" s="3" t="s">
        <v>1769</v>
      </c>
      <c r="D1620" s="3" t="s">
        <v>1606</v>
      </c>
      <c r="E1620" s="3" t="str">
        <v>Féchy</v>
      </c>
      <c r="I1620" s="19">
        <v>5105</v>
      </c>
      <c r="J1620" s="19" t="s">
        <v>4558</v>
      </c>
    </row>
    <row r="1621" spans="1:10" x14ac:dyDescent="0.2">
      <c r="A1621" s="3">
        <v>4208</v>
      </c>
      <c r="B1621" s="3" t="s">
        <v>1770</v>
      </c>
      <c r="C1621" s="3" t="s">
        <v>1770</v>
      </c>
      <c r="D1621" s="3" t="s">
        <v>1606</v>
      </c>
      <c r="E1621" s="3" t="str">
        <v>Gimel</v>
      </c>
      <c r="I1621" s="19">
        <v>5106</v>
      </c>
      <c r="J1621" s="19" t="s">
        <v>4558</v>
      </c>
    </row>
    <row r="1622" spans="1:10" x14ac:dyDescent="0.2">
      <c r="A1622" s="3">
        <v>4234</v>
      </c>
      <c r="B1622" s="3" t="s">
        <v>1771</v>
      </c>
      <c r="C1622" s="3" t="s">
        <v>1771</v>
      </c>
      <c r="D1622" s="3" t="s">
        <v>1606</v>
      </c>
      <c r="E1622" s="3" t="str">
        <v>Longirod</v>
      </c>
      <c r="I1622" s="19">
        <v>5107</v>
      </c>
      <c r="J1622" s="19" t="s">
        <v>4558</v>
      </c>
    </row>
    <row r="1623" spans="1:10" x14ac:dyDescent="0.2">
      <c r="A1623" s="3">
        <v>4001</v>
      </c>
      <c r="B1623" s="3" t="s">
        <v>1772</v>
      </c>
      <c r="C1623" s="3" t="s">
        <v>1772</v>
      </c>
      <c r="D1623" s="3" t="s">
        <v>1773</v>
      </c>
      <c r="E1623" s="3" t="str">
        <v>Marchissy</v>
      </c>
      <c r="I1623" s="19">
        <v>5108</v>
      </c>
      <c r="J1623" s="19" t="s">
        <v>4558</v>
      </c>
    </row>
    <row r="1624" spans="1:10" x14ac:dyDescent="0.2">
      <c r="A1624" s="3">
        <v>4031</v>
      </c>
      <c r="B1624" s="3" t="s">
        <v>1772</v>
      </c>
      <c r="C1624" s="3" t="s">
        <v>1772</v>
      </c>
      <c r="D1624" s="3" t="s">
        <v>1773</v>
      </c>
      <c r="E1624" s="3" t="str">
        <v>Mollens (VD)</v>
      </c>
      <c r="I1624" s="19">
        <v>5112</v>
      </c>
      <c r="J1624" s="19" t="s">
        <v>4558</v>
      </c>
    </row>
    <row r="1625" spans="1:10" x14ac:dyDescent="0.2">
      <c r="A1625" s="3">
        <v>4031</v>
      </c>
      <c r="B1625" s="3" t="s">
        <v>1772</v>
      </c>
      <c r="C1625" s="3" t="s">
        <v>1772</v>
      </c>
      <c r="D1625" s="3" t="s">
        <v>1773</v>
      </c>
      <c r="E1625" s="3" t="str">
        <v>Saint-George</v>
      </c>
      <c r="I1625" s="19">
        <v>5113</v>
      </c>
      <c r="J1625" s="19" t="s">
        <v>4558</v>
      </c>
    </row>
    <row r="1626" spans="1:10" x14ac:dyDescent="0.2">
      <c r="A1626" s="3">
        <v>4051</v>
      </c>
      <c r="B1626" s="3" t="s">
        <v>1772</v>
      </c>
      <c r="C1626" s="3" t="s">
        <v>1772</v>
      </c>
      <c r="D1626" s="3" t="s">
        <v>1773</v>
      </c>
      <c r="E1626" s="3" t="str">
        <v>Saint-Livres</v>
      </c>
      <c r="I1626" s="19">
        <v>5116</v>
      </c>
      <c r="J1626" s="19" t="s">
        <v>4558</v>
      </c>
    </row>
    <row r="1627" spans="1:10" x14ac:dyDescent="0.2">
      <c r="A1627" s="3">
        <v>4052</v>
      </c>
      <c r="B1627" s="3" t="s">
        <v>1772</v>
      </c>
      <c r="C1627" s="3" t="s">
        <v>1772</v>
      </c>
      <c r="D1627" s="3" t="s">
        <v>1773</v>
      </c>
      <c r="E1627" s="3" t="str">
        <v>Saint-Oyens</v>
      </c>
      <c r="I1627" s="19">
        <v>5200</v>
      </c>
      <c r="J1627" s="19" t="s">
        <v>4558</v>
      </c>
    </row>
    <row r="1628" spans="1:10" x14ac:dyDescent="0.2">
      <c r="A1628" s="3">
        <v>4052</v>
      </c>
      <c r="B1628" s="3" t="s">
        <v>1772</v>
      </c>
      <c r="C1628" s="3" t="s">
        <v>1772</v>
      </c>
      <c r="D1628" s="3" t="s">
        <v>1773</v>
      </c>
      <c r="E1628" s="3" t="str">
        <v>Saubraz</v>
      </c>
      <c r="I1628" s="19">
        <v>5210</v>
      </c>
      <c r="J1628" s="19" t="s">
        <v>4558</v>
      </c>
    </row>
    <row r="1629" spans="1:10" x14ac:dyDescent="0.2">
      <c r="A1629" s="3">
        <v>4053</v>
      </c>
      <c r="B1629" s="3" t="s">
        <v>1772</v>
      </c>
      <c r="C1629" s="3" t="s">
        <v>1772</v>
      </c>
      <c r="D1629" s="3" t="s">
        <v>1773</v>
      </c>
      <c r="E1629" s="3" t="str">
        <v>Avenches</v>
      </c>
      <c r="I1629" s="19">
        <v>5212</v>
      </c>
      <c r="J1629" s="19" t="s">
        <v>4558</v>
      </c>
    </row>
    <row r="1630" spans="1:10" x14ac:dyDescent="0.2">
      <c r="A1630" s="3">
        <v>4054</v>
      </c>
      <c r="B1630" s="3" t="s">
        <v>1772</v>
      </c>
      <c r="C1630" s="3" t="s">
        <v>1772</v>
      </c>
      <c r="D1630" s="3" t="s">
        <v>1773</v>
      </c>
      <c r="E1630" s="3" t="str">
        <v>Cudrefin</v>
      </c>
      <c r="I1630" s="19">
        <v>5213</v>
      </c>
      <c r="J1630" s="19" t="s">
        <v>4558</v>
      </c>
    </row>
    <row r="1631" spans="1:10" x14ac:dyDescent="0.2">
      <c r="A1631" s="3">
        <v>4055</v>
      </c>
      <c r="B1631" s="3" t="s">
        <v>1772</v>
      </c>
      <c r="C1631" s="3" t="s">
        <v>1772</v>
      </c>
      <c r="D1631" s="3" t="s">
        <v>1773</v>
      </c>
      <c r="E1631" s="3" t="str">
        <v>Faoug</v>
      </c>
      <c r="I1631" s="19">
        <v>5222</v>
      </c>
      <c r="J1631" s="19" t="s">
        <v>4558</v>
      </c>
    </row>
    <row r="1632" spans="1:10" x14ac:dyDescent="0.2">
      <c r="A1632" s="3">
        <v>4056</v>
      </c>
      <c r="B1632" s="3" t="s">
        <v>1772</v>
      </c>
      <c r="C1632" s="3" t="s">
        <v>1772</v>
      </c>
      <c r="D1632" s="3" t="s">
        <v>1773</v>
      </c>
      <c r="E1632" s="3" t="str">
        <v>Vully-les-Lacs</v>
      </c>
      <c r="I1632" s="19">
        <v>5223</v>
      </c>
      <c r="J1632" s="19" t="s">
        <v>4558</v>
      </c>
    </row>
    <row r="1633" spans="1:10" x14ac:dyDescent="0.2">
      <c r="A1633" s="3">
        <v>4057</v>
      </c>
      <c r="B1633" s="3" t="s">
        <v>1772</v>
      </c>
      <c r="C1633" s="3" t="s">
        <v>1772</v>
      </c>
      <c r="D1633" s="3" t="s">
        <v>1773</v>
      </c>
      <c r="E1633" s="3" t="str">
        <v>Bettens</v>
      </c>
      <c r="I1633" s="19">
        <v>5225</v>
      </c>
      <c r="J1633" s="19" t="s">
        <v>4558</v>
      </c>
    </row>
    <row r="1634" spans="1:10" x14ac:dyDescent="0.2">
      <c r="A1634" s="3">
        <v>4058</v>
      </c>
      <c r="B1634" s="3" t="s">
        <v>1772</v>
      </c>
      <c r="C1634" s="3" t="s">
        <v>1772</v>
      </c>
      <c r="D1634" s="3" t="s">
        <v>1773</v>
      </c>
      <c r="E1634" s="3" t="str">
        <v>Bournens</v>
      </c>
      <c r="I1634" s="19">
        <v>5233</v>
      </c>
      <c r="J1634" s="19" t="s">
        <v>4559</v>
      </c>
    </row>
    <row r="1635" spans="1:10" x14ac:dyDescent="0.2">
      <c r="A1635" s="3">
        <v>4059</v>
      </c>
      <c r="B1635" s="3" t="s">
        <v>1772</v>
      </c>
      <c r="C1635" s="3" t="s">
        <v>1772</v>
      </c>
      <c r="D1635" s="3" t="s">
        <v>1773</v>
      </c>
      <c r="E1635" s="3" t="str">
        <v>Boussens</v>
      </c>
      <c r="I1635" s="19">
        <v>5234</v>
      </c>
      <c r="J1635" s="19" t="s">
        <v>4558</v>
      </c>
    </row>
    <row r="1636" spans="1:10" x14ac:dyDescent="0.2">
      <c r="A1636" s="3">
        <v>4126</v>
      </c>
      <c r="B1636" s="3" t="s">
        <v>1774</v>
      </c>
      <c r="C1636" s="3" t="s">
        <v>1774</v>
      </c>
      <c r="D1636" s="3" t="s">
        <v>1773</v>
      </c>
      <c r="E1636" s="3" t="str">
        <v>La Chaux (Cossonay)</v>
      </c>
      <c r="I1636" s="19">
        <v>5235</v>
      </c>
      <c r="J1636" s="19" t="s">
        <v>4558</v>
      </c>
    </row>
    <row r="1637" spans="1:10" x14ac:dyDescent="0.2">
      <c r="A1637" s="3">
        <v>4125</v>
      </c>
      <c r="B1637" s="3" t="s">
        <v>1775</v>
      </c>
      <c r="C1637" s="3" t="s">
        <v>1775</v>
      </c>
      <c r="D1637" s="3" t="s">
        <v>1773</v>
      </c>
      <c r="E1637" s="3" t="str">
        <v>Chavannes-le-Veyron</v>
      </c>
      <c r="I1637" s="19">
        <v>5236</v>
      </c>
      <c r="J1637" s="19" t="s">
        <v>4558</v>
      </c>
    </row>
    <row r="1638" spans="1:10" x14ac:dyDescent="0.2">
      <c r="A1638" s="3">
        <v>4147</v>
      </c>
      <c r="B1638" s="3" t="s">
        <v>1776</v>
      </c>
      <c r="C1638" s="3" t="s">
        <v>1777</v>
      </c>
      <c r="D1638" s="3" t="s">
        <v>1778</v>
      </c>
      <c r="E1638" s="3" t="str">
        <v>Chevilly</v>
      </c>
      <c r="I1638" s="19">
        <v>5237</v>
      </c>
      <c r="J1638" s="19" t="s">
        <v>4551</v>
      </c>
    </row>
    <row r="1639" spans="1:10" x14ac:dyDescent="0.2">
      <c r="A1639" s="3">
        <v>4123</v>
      </c>
      <c r="B1639" s="3" t="s">
        <v>1779</v>
      </c>
      <c r="C1639" s="3" t="s">
        <v>1779</v>
      </c>
      <c r="D1639" s="3" t="s">
        <v>1778</v>
      </c>
      <c r="E1639" s="3" t="str">
        <v>Cossonay</v>
      </c>
      <c r="I1639" s="19">
        <v>5242</v>
      </c>
      <c r="J1639" s="19" t="s">
        <v>4558</v>
      </c>
    </row>
    <row r="1640" spans="1:10" x14ac:dyDescent="0.2">
      <c r="A1640" s="3">
        <v>4144</v>
      </c>
      <c r="B1640" s="3" t="s">
        <v>1780</v>
      </c>
      <c r="C1640" s="3" t="s">
        <v>1780</v>
      </c>
      <c r="D1640" s="3" t="s">
        <v>1778</v>
      </c>
      <c r="E1640" s="3" t="str">
        <v>Cuarnens</v>
      </c>
      <c r="I1640" s="19">
        <v>5243</v>
      </c>
      <c r="J1640" s="19" t="s">
        <v>4558</v>
      </c>
    </row>
    <row r="1641" spans="1:10" x14ac:dyDescent="0.2">
      <c r="A1641" s="3">
        <v>4105</v>
      </c>
      <c r="B1641" s="3" t="s">
        <v>1781</v>
      </c>
      <c r="C1641" s="3" t="s">
        <v>1782</v>
      </c>
      <c r="D1641" s="3" t="s">
        <v>1778</v>
      </c>
      <c r="E1641" s="3" t="str">
        <v>Daillens</v>
      </c>
      <c r="I1641" s="19">
        <v>5244</v>
      </c>
      <c r="J1641" s="19" t="s">
        <v>4558</v>
      </c>
    </row>
    <row r="1642" spans="1:10" x14ac:dyDescent="0.2">
      <c r="A1642" s="3">
        <v>4101</v>
      </c>
      <c r="B1642" s="3" t="s">
        <v>1783</v>
      </c>
      <c r="C1642" s="3" t="s">
        <v>1784</v>
      </c>
      <c r="D1642" s="3" t="s">
        <v>1778</v>
      </c>
      <c r="E1642" s="3" t="str">
        <v>Dizy</v>
      </c>
      <c r="I1642" s="19">
        <v>5245</v>
      </c>
      <c r="J1642" s="19" t="s">
        <v>4558</v>
      </c>
    </row>
    <row r="1643" spans="1:10" x14ac:dyDescent="0.2">
      <c r="A1643" s="3">
        <v>4102</v>
      </c>
      <c r="B1643" s="3" t="s">
        <v>1784</v>
      </c>
      <c r="C1643" s="3" t="s">
        <v>1784</v>
      </c>
      <c r="D1643" s="3" t="s">
        <v>1778</v>
      </c>
      <c r="E1643" s="3" t="str">
        <v>Eclépens</v>
      </c>
      <c r="I1643" s="19">
        <v>5246</v>
      </c>
      <c r="J1643" s="19" t="s">
        <v>4558</v>
      </c>
    </row>
    <row r="1644" spans="1:10" x14ac:dyDescent="0.2">
      <c r="A1644" s="3">
        <v>4127</v>
      </c>
      <c r="B1644" s="3" t="s">
        <v>1785</v>
      </c>
      <c r="C1644" s="3" t="s">
        <v>1785</v>
      </c>
      <c r="D1644" s="3" t="s">
        <v>1778</v>
      </c>
      <c r="E1644" s="3" t="str">
        <v>Ferreyres</v>
      </c>
      <c r="I1644" s="19">
        <v>5272</v>
      </c>
      <c r="J1644" s="19" t="s">
        <v>4551</v>
      </c>
    </row>
    <row r="1645" spans="1:10" x14ac:dyDescent="0.2">
      <c r="A1645" s="3">
        <v>4103</v>
      </c>
      <c r="B1645" s="3" t="s">
        <v>1786</v>
      </c>
      <c r="C1645" s="3" t="s">
        <v>1786</v>
      </c>
      <c r="D1645" s="3" t="s">
        <v>1778</v>
      </c>
      <c r="E1645" s="3" t="str">
        <v>Gollion</v>
      </c>
      <c r="I1645" s="19">
        <v>5273</v>
      </c>
      <c r="J1645" s="19" t="s">
        <v>4551</v>
      </c>
    </row>
    <row r="1646" spans="1:10" x14ac:dyDescent="0.2">
      <c r="A1646" s="3">
        <v>4107</v>
      </c>
      <c r="B1646" s="3" t="s">
        <v>1787</v>
      </c>
      <c r="C1646" s="3" t="s">
        <v>1787</v>
      </c>
      <c r="D1646" s="3" t="s">
        <v>1778</v>
      </c>
      <c r="E1646" s="3" t="str">
        <v>Grancy</v>
      </c>
      <c r="I1646" s="19">
        <v>5274</v>
      </c>
      <c r="J1646" s="19" t="s">
        <v>4551</v>
      </c>
    </row>
    <row r="1647" spans="1:10" x14ac:dyDescent="0.2">
      <c r="A1647" s="3">
        <v>4142</v>
      </c>
      <c r="B1647" s="3" t="s">
        <v>1788</v>
      </c>
      <c r="C1647" s="3" t="s">
        <v>1788</v>
      </c>
      <c r="D1647" s="3" t="s">
        <v>1778</v>
      </c>
      <c r="E1647" s="3" t="str">
        <v>L'Isle</v>
      </c>
      <c r="I1647" s="19">
        <v>5275</v>
      </c>
      <c r="J1647" s="19" t="s">
        <v>4551</v>
      </c>
    </row>
    <row r="1648" spans="1:10" x14ac:dyDescent="0.2">
      <c r="A1648" s="3">
        <v>4132</v>
      </c>
      <c r="B1648" s="3" t="s">
        <v>1789</v>
      </c>
      <c r="C1648" s="3" t="s">
        <v>1789</v>
      </c>
      <c r="D1648" s="3" t="s">
        <v>1778</v>
      </c>
      <c r="E1648" s="3" t="str">
        <v>Lussery-Villars</v>
      </c>
      <c r="I1648" s="19">
        <v>5276</v>
      </c>
      <c r="J1648" s="19" t="s">
        <v>4551</v>
      </c>
    </row>
    <row r="1649" spans="1:10" x14ac:dyDescent="0.2">
      <c r="A1649" s="3">
        <v>4104</v>
      </c>
      <c r="B1649" s="3" t="s">
        <v>1790</v>
      </c>
      <c r="C1649" s="3" t="s">
        <v>1791</v>
      </c>
      <c r="D1649" s="3" t="s">
        <v>1778</v>
      </c>
      <c r="E1649" s="3" t="str">
        <v>Mauraz</v>
      </c>
      <c r="I1649" s="19">
        <v>5277</v>
      </c>
      <c r="J1649" s="19" t="s">
        <v>4551</v>
      </c>
    </row>
    <row r="1650" spans="1:10" x14ac:dyDescent="0.2">
      <c r="A1650" s="3">
        <v>4148</v>
      </c>
      <c r="B1650" s="3" t="s">
        <v>1792</v>
      </c>
      <c r="C1650" s="3" t="s">
        <v>1792</v>
      </c>
      <c r="D1650" s="3" t="s">
        <v>1778</v>
      </c>
      <c r="E1650" s="3" t="str">
        <v>Mex (VD)</v>
      </c>
      <c r="I1650" s="19">
        <v>5300</v>
      </c>
      <c r="J1650" s="19" t="s">
        <v>4559</v>
      </c>
    </row>
    <row r="1651" spans="1:10" x14ac:dyDescent="0.2">
      <c r="A1651" s="3">
        <v>4153</v>
      </c>
      <c r="B1651" s="3" t="s">
        <v>1793</v>
      </c>
      <c r="C1651" s="3" t="s">
        <v>1794</v>
      </c>
      <c r="D1651" s="3" t="s">
        <v>1778</v>
      </c>
      <c r="E1651" s="3" t="str">
        <v>Moiry</v>
      </c>
      <c r="I1651" s="19">
        <v>5301</v>
      </c>
      <c r="J1651" s="19" t="s">
        <v>4559</v>
      </c>
    </row>
    <row r="1652" spans="1:10" x14ac:dyDescent="0.2">
      <c r="A1652" s="3">
        <v>4124</v>
      </c>
      <c r="B1652" s="3" t="s">
        <v>1795</v>
      </c>
      <c r="C1652" s="3" t="s">
        <v>1795</v>
      </c>
      <c r="D1652" s="3" t="s">
        <v>1778</v>
      </c>
      <c r="E1652" s="3" t="str">
        <v>Mont-la-Ville</v>
      </c>
      <c r="I1652" s="19">
        <v>5303</v>
      </c>
      <c r="J1652" s="19" t="s">
        <v>4559</v>
      </c>
    </row>
    <row r="1653" spans="1:10" x14ac:dyDescent="0.2">
      <c r="A1653" s="3">
        <v>4106</v>
      </c>
      <c r="B1653" s="3" t="s">
        <v>1796</v>
      </c>
      <c r="C1653" s="3" t="s">
        <v>1796</v>
      </c>
      <c r="D1653" s="3" t="s">
        <v>1778</v>
      </c>
      <c r="E1653" s="3" t="str">
        <v>Montricher</v>
      </c>
      <c r="I1653" s="19">
        <v>5304</v>
      </c>
      <c r="J1653" s="19" t="s">
        <v>4559</v>
      </c>
    </row>
    <row r="1654" spans="1:10" x14ac:dyDescent="0.2">
      <c r="A1654" s="3">
        <v>4223</v>
      </c>
      <c r="B1654" s="3" t="s">
        <v>1797</v>
      </c>
      <c r="C1654" s="3" t="s">
        <v>1797</v>
      </c>
      <c r="D1654" s="3" t="s">
        <v>1778</v>
      </c>
      <c r="E1654" s="3" t="str">
        <v>Orny</v>
      </c>
      <c r="I1654" s="19">
        <v>5305</v>
      </c>
      <c r="J1654" s="19" t="s">
        <v>4559</v>
      </c>
    </row>
    <row r="1655" spans="1:10" x14ac:dyDescent="0.2">
      <c r="A1655" s="3">
        <v>4225</v>
      </c>
      <c r="B1655" s="3" t="s">
        <v>1798</v>
      </c>
      <c r="C1655" s="3" t="s">
        <v>1798</v>
      </c>
      <c r="D1655" s="3" t="s">
        <v>1778</v>
      </c>
      <c r="E1655" s="3" t="str">
        <v>Penthalaz</v>
      </c>
      <c r="I1655" s="19">
        <v>5306</v>
      </c>
      <c r="J1655" s="19" t="s">
        <v>4559</v>
      </c>
    </row>
    <row r="1656" spans="1:10" x14ac:dyDescent="0.2">
      <c r="A1656" s="3">
        <v>4117</v>
      </c>
      <c r="B1656" s="3" t="s">
        <v>1799</v>
      </c>
      <c r="C1656" s="3" t="s">
        <v>1799</v>
      </c>
      <c r="D1656" s="3" t="s">
        <v>1778</v>
      </c>
      <c r="E1656" s="3" t="str">
        <v>Penthaz</v>
      </c>
      <c r="I1656" s="19">
        <v>5312</v>
      </c>
      <c r="J1656" s="19" t="s">
        <v>4559</v>
      </c>
    </row>
    <row r="1657" spans="1:10" x14ac:dyDescent="0.2">
      <c r="A1657" s="3">
        <v>4243</v>
      </c>
      <c r="B1657" s="3" t="s">
        <v>1800</v>
      </c>
      <c r="C1657" s="3" t="s">
        <v>1800</v>
      </c>
      <c r="D1657" s="3" t="s">
        <v>1778</v>
      </c>
      <c r="E1657" s="3" t="str">
        <v>Pompaples</v>
      </c>
      <c r="I1657" s="19">
        <v>5313</v>
      </c>
      <c r="J1657" s="19" t="s">
        <v>4559</v>
      </c>
    </row>
    <row r="1658" spans="1:10" x14ac:dyDescent="0.2">
      <c r="A1658" s="3">
        <v>4202</v>
      </c>
      <c r="B1658" s="3" t="s">
        <v>1801</v>
      </c>
      <c r="C1658" s="3" t="s">
        <v>1801</v>
      </c>
      <c r="D1658" s="3" t="s">
        <v>1778</v>
      </c>
      <c r="E1658" s="3" t="str">
        <v>La Sarraz</v>
      </c>
      <c r="I1658" s="19">
        <v>5314</v>
      </c>
      <c r="J1658" s="19" t="s">
        <v>4559</v>
      </c>
    </row>
    <row r="1659" spans="1:10" x14ac:dyDescent="0.2">
      <c r="A1659" s="3">
        <v>4203</v>
      </c>
      <c r="B1659" s="3" t="s">
        <v>1802</v>
      </c>
      <c r="C1659" s="3" t="s">
        <v>1802</v>
      </c>
      <c r="D1659" s="3" t="s">
        <v>1778</v>
      </c>
      <c r="E1659" s="3" t="str">
        <v>Senarclens</v>
      </c>
      <c r="I1659" s="19">
        <v>5315</v>
      </c>
      <c r="J1659" s="19" t="s">
        <v>4559</v>
      </c>
    </row>
    <row r="1660" spans="1:10" x14ac:dyDescent="0.2">
      <c r="A1660" s="3">
        <v>4242</v>
      </c>
      <c r="B1660" s="3" t="s">
        <v>1803</v>
      </c>
      <c r="C1660" s="3" t="s">
        <v>1803</v>
      </c>
      <c r="D1660" s="3" t="s">
        <v>1778</v>
      </c>
      <c r="E1660" s="3" t="str">
        <v>Sullens</v>
      </c>
      <c r="I1660" s="19">
        <v>5316</v>
      </c>
      <c r="J1660" s="19" t="s">
        <v>4559</v>
      </c>
    </row>
    <row r="1661" spans="1:10" x14ac:dyDescent="0.2">
      <c r="A1661" s="3">
        <v>4253</v>
      </c>
      <c r="B1661" s="3" t="s">
        <v>1804</v>
      </c>
      <c r="C1661" s="3" t="s">
        <v>1804</v>
      </c>
      <c r="D1661" s="3" t="s">
        <v>1778</v>
      </c>
      <c r="E1661" s="3" t="str">
        <v>Vufflens-la-Ville</v>
      </c>
      <c r="I1661" s="19">
        <v>5317</v>
      </c>
      <c r="J1661" s="19" t="s">
        <v>4551</v>
      </c>
    </row>
    <row r="1662" spans="1:10" x14ac:dyDescent="0.2">
      <c r="A1662" s="3">
        <v>4254</v>
      </c>
      <c r="B1662" s="3" t="s">
        <v>1805</v>
      </c>
      <c r="C1662" s="3" t="s">
        <v>1804</v>
      </c>
      <c r="D1662" s="3" t="s">
        <v>1778</v>
      </c>
      <c r="E1662" s="3" t="str">
        <v>Assens</v>
      </c>
      <c r="I1662" s="19">
        <v>5318</v>
      </c>
      <c r="J1662" s="19" t="s">
        <v>4558</v>
      </c>
    </row>
    <row r="1663" spans="1:10" x14ac:dyDescent="0.2">
      <c r="A1663" s="3">
        <v>4224</v>
      </c>
      <c r="B1663" s="3" t="s">
        <v>1806</v>
      </c>
      <c r="C1663" s="3" t="s">
        <v>1806</v>
      </c>
      <c r="D1663" s="3" t="s">
        <v>1778</v>
      </c>
      <c r="E1663" s="3" t="str">
        <v>Bercher</v>
      </c>
      <c r="I1663" s="19">
        <v>5322</v>
      </c>
      <c r="J1663" s="19" t="s">
        <v>4559</v>
      </c>
    </row>
    <row r="1664" spans="1:10" x14ac:dyDescent="0.2">
      <c r="A1664" s="3">
        <v>2814</v>
      </c>
      <c r="B1664" s="3" t="s">
        <v>1807</v>
      </c>
      <c r="C1664" s="3" t="s">
        <v>1807</v>
      </c>
      <c r="D1664" s="3" t="s">
        <v>1778</v>
      </c>
      <c r="E1664" s="3" t="str">
        <v>Bottens</v>
      </c>
      <c r="I1664" s="19">
        <v>5323</v>
      </c>
      <c r="J1664" s="19" t="s">
        <v>4559</v>
      </c>
    </row>
    <row r="1665" spans="1:10" x14ac:dyDescent="0.2">
      <c r="A1665" s="3">
        <v>4244</v>
      </c>
      <c r="B1665" s="3" t="s">
        <v>1808</v>
      </c>
      <c r="C1665" s="3" t="s">
        <v>1808</v>
      </c>
      <c r="D1665" s="3" t="s">
        <v>1778</v>
      </c>
      <c r="E1665" s="3" t="str">
        <v>Bretigny-sur-Morrens</v>
      </c>
      <c r="I1665" s="19">
        <v>5324</v>
      </c>
      <c r="J1665" s="19" t="s">
        <v>4551</v>
      </c>
    </row>
    <row r="1666" spans="1:10" x14ac:dyDescent="0.2">
      <c r="A1666" s="3">
        <v>4246</v>
      </c>
      <c r="B1666" s="3" t="s">
        <v>1809</v>
      </c>
      <c r="C1666" s="3" t="s">
        <v>1810</v>
      </c>
      <c r="D1666" s="3" t="s">
        <v>1778</v>
      </c>
      <c r="E1666" s="3" t="str">
        <v>Cugy (VD)</v>
      </c>
      <c r="I1666" s="19">
        <v>5325</v>
      </c>
      <c r="J1666" s="19" t="s">
        <v>4551</v>
      </c>
    </row>
    <row r="1667" spans="1:10" x14ac:dyDescent="0.2">
      <c r="A1667" s="3">
        <v>4222</v>
      </c>
      <c r="B1667" s="3" t="s">
        <v>1811</v>
      </c>
      <c r="C1667" s="3" t="s">
        <v>1811</v>
      </c>
      <c r="D1667" s="3" t="s">
        <v>1778</v>
      </c>
      <c r="E1667" s="3" t="str">
        <v>Echallens</v>
      </c>
      <c r="I1667" s="19">
        <v>5326</v>
      </c>
      <c r="J1667" s="19" t="s">
        <v>4551</v>
      </c>
    </row>
    <row r="1668" spans="1:10" x14ac:dyDescent="0.2">
      <c r="A1668" s="3">
        <v>4422</v>
      </c>
      <c r="B1668" s="3" t="s">
        <v>1812</v>
      </c>
      <c r="C1668" s="3" t="s">
        <v>1812</v>
      </c>
      <c r="D1668" s="3" t="s">
        <v>1778</v>
      </c>
      <c r="E1668" s="3" t="str">
        <v>Essertines-sur-Yverdon</v>
      </c>
      <c r="I1668" s="19">
        <v>5330</v>
      </c>
      <c r="J1668" s="19" t="s">
        <v>4559</v>
      </c>
    </row>
    <row r="1669" spans="1:10" x14ac:dyDescent="0.2">
      <c r="A1669" s="3">
        <v>4302</v>
      </c>
      <c r="B1669" s="3" t="s">
        <v>1813</v>
      </c>
      <c r="C1669" s="3" t="s">
        <v>1814</v>
      </c>
      <c r="D1669" s="3" t="s">
        <v>1778</v>
      </c>
      <c r="E1669" s="3" t="str">
        <v>Etagnières</v>
      </c>
      <c r="I1669" s="19">
        <v>5332</v>
      </c>
      <c r="J1669" s="19" t="s">
        <v>4559</v>
      </c>
    </row>
    <row r="1670" spans="1:10" x14ac:dyDescent="0.2">
      <c r="A1670" s="3">
        <v>4416</v>
      </c>
      <c r="B1670" s="3" t="s">
        <v>1815</v>
      </c>
      <c r="C1670" s="3" t="s">
        <v>1815</v>
      </c>
      <c r="D1670" s="3" t="s">
        <v>1778</v>
      </c>
      <c r="E1670" s="3" t="str">
        <v>Fey</v>
      </c>
      <c r="I1670" s="19">
        <v>5333</v>
      </c>
      <c r="J1670" s="19" t="s">
        <v>4559</v>
      </c>
    </row>
    <row r="1671" spans="1:10" x14ac:dyDescent="0.2">
      <c r="A1671" s="3">
        <v>4402</v>
      </c>
      <c r="B1671" s="3" t="s">
        <v>1816</v>
      </c>
      <c r="C1671" s="3" t="s">
        <v>1816</v>
      </c>
      <c r="D1671" s="3" t="s">
        <v>1778</v>
      </c>
      <c r="E1671" s="3" t="str">
        <v>Froideville</v>
      </c>
      <c r="I1671" s="19">
        <v>5334</v>
      </c>
      <c r="J1671" s="19" t="s">
        <v>4559</v>
      </c>
    </row>
    <row r="1672" spans="1:10" x14ac:dyDescent="0.2">
      <c r="A1672" s="3">
        <v>4414</v>
      </c>
      <c r="B1672" s="3" t="s">
        <v>1817</v>
      </c>
      <c r="C1672" s="3" t="s">
        <v>1817</v>
      </c>
      <c r="D1672" s="3" t="s">
        <v>1778</v>
      </c>
      <c r="E1672" s="3" t="str">
        <v>Morrens (VD)</v>
      </c>
      <c r="I1672" s="19">
        <v>5400</v>
      </c>
      <c r="J1672" s="19" t="s">
        <v>4559</v>
      </c>
    </row>
    <row r="1673" spans="1:10" x14ac:dyDescent="0.2">
      <c r="A1673" s="3">
        <v>4304</v>
      </c>
      <c r="B1673" s="3" t="s">
        <v>1818</v>
      </c>
      <c r="C1673" s="3" t="s">
        <v>1818</v>
      </c>
      <c r="D1673" s="3" t="s">
        <v>1778</v>
      </c>
      <c r="E1673" s="3" t="str">
        <v>Oulens-sous-Echallens</v>
      </c>
      <c r="I1673" s="19">
        <v>5404</v>
      </c>
      <c r="J1673" s="19" t="s">
        <v>4559</v>
      </c>
    </row>
    <row r="1674" spans="1:10" x14ac:dyDescent="0.2">
      <c r="A1674" s="3">
        <v>4423</v>
      </c>
      <c r="B1674" s="3" t="s">
        <v>1819</v>
      </c>
      <c r="C1674" s="3" t="s">
        <v>1819</v>
      </c>
      <c r="D1674" s="3" t="s">
        <v>1778</v>
      </c>
      <c r="E1674" s="3" t="str">
        <v>Pailly</v>
      </c>
      <c r="I1674" s="19">
        <v>5405</v>
      </c>
      <c r="J1674" s="19" t="s">
        <v>4559</v>
      </c>
    </row>
    <row r="1675" spans="1:10" x14ac:dyDescent="0.2">
      <c r="A1675" s="3">
        <v>4415</v>
      </c>
      <c r="B1675" s="3" t="s">
        <v>1820</v>
      </c>
      <c r="C1675" s="3" t="s">
        <v>1820</v>
      </c>
      <c r="D1675" s="3" t="s">
        <v>1778</v>
      </c>
      <c r="E1675" s="3" t="str">
        <v>Penthéréaz</v>
      </c>
      <c r="I1675" s="19">
        <v>5406</v>
      </c>
      <c r="J1675" s="19" t="s">
        <v>4558</v>
      </c>
    </row>
    <row r="1676" spans="1:10" x14ac:dyDescent="0.2">
      <c r="A1676" s="3">
        <v>4410</v>
      </c>
      <c r="B1676" s="3" t="s">
        <v>1821</v>
      </c>
      <c r="C1676" s="3" t="s">
        <v>1821</v>
      </c>
      <c r="D1676" s="3" t="s">
        <v>1778</v>
      </c>
      <c r="E1676" s="3" t="str">
        <v>Poliez-Pittet</v>
      </c>
      <c r="I1676" s="19">
        <v>5408</v>
      </c>
      <c r="J1676" s="19" t="s">
        <v>4559</v>
      </c>
    </row>
    <row r="1677" spans="1:10" x14ac:dyDescent="0.2">
      <c r="A1677" s="3">
        <v>4419</v>
      </c>
      <c r="B1677" s="3" t="s">
        <v>1822</v>
      </c>
      <c r="C1677" s="3" t="s">
        <v>1822</v>
      </c>
      <c r="D1677" s="3" t="s">
        <v>1778</v>
      </c>
      <c r="E1677" s="3" t="str">
        <v>Rueyres</v>
      </c>
      <c r="I1677" s="19">
        <v>5412</v>
      </c>
      <c r="J1677" s="19" t="s">
        <v>4558</v>
      </c>
    </row>
    <row r="1678" spans="1:10" x14ac:dyDescent="0.2">
      <c r="A1678" s="3">
        <v>4133</v>
      </c>
      <c r="B1678" s="3" t="s">
        <v>1823</v>
      </c>
      <c r="C1678" s="3" t="s">
        <v>1823</v>
      </c>
      <c r="D1678" s="3" t="s">
        <v>1778</v>
      </c>
      <c r="E1678" s="3" t="str">
        <v>Saint-Barthélemy (VD)</v>
      </c>
      <c r="I1678" s="19">
        <v>5413</v>
      </c>
      <c r="J1678" s="19" t="s">
        <v>4558</v>
      </c>
    </row>
    <row r="1679" spans="1:10" x14ac:dyDescent="0.2">
      <c r="A1679" s="3">
        <v>4433</v>
      </c>
      <c r="B1679" s="3" t="s">
        <v>1824</v>
      </c>
      <c r="C1679" s="3" t="s">
        <v>1824</v>
      </c>
      <c r="D1679" s="3" t="s">
        <v>1778</v>
      </c>
      <c r="E1679" s="3" t="str">
        <v>Villars-le-Terroir</v>
      </c>
      <c r="I1679" s="19">
        <v>5415</v>
      </c>
      <c r="J1679" s="19" t="s">
        <v>4559</v>
      </c>
    </row>
    <row r="1680" spans="1:10" x14ac:dyDescent="0.2">
      <c r="A1680" s="3">
        <v>4411</v>
      </c>
      <c r="B1680" s="3" t="s">
        <v>1825</v>
      </c>
      <c r="C1680" s="3" t="s">
        <v>1825</v>
      </c>
      <c r="D1680" s="3" t="s">
        <v>1778</v>
      </c>
      <c r="E1680" s="3" t="str">
        <v>Vuarrens</v>
      </c>
      <c r="I1680" s="19">
        <v>5416</v>
      </c>
      <c r="J1680" s="19" t="s">
        <v>4559</v>
      </c>
    </row>
    <row r="1681" spans="1:10" x14ac:dyDescent="0.2">
      <c r="A1681" s="3">
        <v>4417</v>
      </c>
      <c r="B1681" s="3" t="s">
        <v>1826</v>
      </c>
      <c r="C1681" s="3" t="s">
        <v>1826</v>
      </c>
      <c r="D1681" s="3" t="s">
        <v>1778</v>
      </c>
      <c r="E1681" s="3" t="str">
        <v>Montilliez</v>
      </c>
      <c r="I1681" s="19">
        <v>5417</v>
      </c>
      <c r="J1681" s="19" t="s">
        <v>4559</v>
      </c>
    </row>
    <row r="1682" spans="1:10" x14ac:dyDescent="0.2">
      <c r="A1682" s="3">
        <v>4469</v>
      </c>
      <c r="B1682" s="3" t="s">
        <v>1827</v>
      </c>
      <c r="C1682" s="3" t="s">
        <v>1827</v>
      </c>
      <c r="D1682" s="3" t="s">
        <v>1778</v>
      </c>
      <c r="E1682" s="3" t="str">
        <v>Goumoëns</v>
      </c>
      <c r="I1682" s="19">
        <v>5420</v>
      </c>
      <c r="J1682" s="19" t="s">
        <v>4559</v>
      </c>
    </row>
    <row r="1683" spans="1:10" x14ac:dyDescent="0.2">
      <c r="A1683" s="3">
        <v>4461</v>
      </c>
      <c r="B1683" s="3" t="s">
        <v>1828</v>
      </c>
      <c r="C1683" s="3" t="s">
        <v>1828</v>
      </c>
      <c r="D1683" s="3" t="s">
        <v>1778</v>
      </c>
      <c r="E1683" s="3" t="str">
        <v>Bonvillars</v>
      </c>
      <c r="I1683" s="19">
        <v>5423</v>
      </c>
      <c r="J1683" s="19" t="s">
        <v>4559</v>
      </c>
    </row>
    <row r="1684" spans="1:10" x14ac:dyDescent="0.2">
      <c r="A1684" s="3">
        <v>4446</v>
      </c>
      <c r="B1684" s="3" t="s">
        <v>1829</v>
      </c>
      <c r="C1684" s="3" t="s">
        <v>1829</v>
      </c>
      <c r="D1684" s="3" t="s">
        <v>1778</v>
      </c>
      <c r="E1684" s="3" t="str">
        <v>Bullet</v>
      </c>
      <c r="I1684" s="19">
        <v>5425</v>
      </c>
      <c r="J1684" s="19" t="s">
        <v>4559</v>
      </c>
    </row>
    <row r="1685" spans="1:10" x14ac:dyDescent="0.2">
      <c r="A1685" s="3">
        <v>4463</v>
      </c>
      <c r="B1685" s="3" t="s">
        <v>1830</v>
      </c>
      <c r="C1685" s="3" t="s">
        <v>1830</v>
      </c>
      <c r="D1685" s="3" t="s">
        <v>1778</v>
      </c>
      <c r="E1685" s="3" t="str">
        <v>Champagne</v>
      </c>
      <c r="I1685" s="19">
        <v>5426</v>
      </c>
      <c r="J1685" s="19" t="s">
        <v>4559</v>
      </c>
    </row>
    <row r="1686" spans="1:10" x14ac:dyDescent="0.2">
      <c r="A1686" s="3">
        <v>4442</v>
      </c>
      <c r="B1686" s="3" t="s">
        <v>1831</v>
      </c>
      <c r="C1686" s="3" t="s">
        <v>1831</v>
      </c>
      <c r="D1686" s="3" t="s">
        <v>1778</v>
      </c>
      <c r="E1686" s="3" t="str">
        <v>Concise</v>
      </c>
      <c r="I1686" s="19">
        <v>5430</v>
      </c>
      <c r="J1686" s="19" t="s">
        <v>4559</v>
      </c>
    </row>
    <row r="1687" spans="1:10" x14ac:dyDescent="0.2">
      <c r="A1687" s="3">
        <v>4460</v>
      </c>
      <c r="B1687" s="3" t="s">
        <v>1832</v>
      </c>
      <c r="C1687" s="3" t="s">
        <v>1832</v>
      </c>
      <c r="D1687" s="3" t="s">
        <v>1778</v>
      </c>
      <c r="E1687" s="3" t="str">
        <v>Corcelles-près-Concise</v>
      </c>
      <c r="I1687" s="19">
        <v>5432</v>
      </c>
      <c r="J1687" s="19" t="s">
        <v>4559</v>
      </c>
    </row>
    <row r="1688" spans="1:10" x14ac:dyDescent="0.2">
      <c r="A1688" s="3">
        <v>4445</v>
      </c>
      <c r="B1688" s="3" t="s">
        <v>1833</v>
      </c>
      <c r="C1688" s="3" t="s">
        <v>1833</v>
      </c>
      <c r="D1688" s="3" t="s">
        <v>1778</v>
      </c>
      <c r="E1688" s="3" t="str">
        <v>Fiez</v>
      </c>
      <c r="I1688" s="19">
        <v>5436</v>
      </c>
      <c r="J1688" s="19" t="s">
        <v>4559</v>
      </c>
    </row>
    <row r="1689" spans="1:10" x14ac:dyDescent="0.2">
      <c r="A1689" s="3">
        <v>4465</v>
      </c>
      <c r="B1689" s="3" t="s">
        <v>1834</v>
      </c>
      <c r="C1689" s="3" t="s">
        <v>1834</v>
      </c>
      <c r="D1689" s="3" t="s">
        <v>1778</v>
      </c>
      <c r="E1689" s="3" t="str">
        <v>Fontaines-sur-Grandson</v>
      </c>
      <c r="I1689" s="19">
        <v>5442</v>
      </c>
      <c r="J1689" s="19" t="s">
        <v>4559</v>
      </c>
    </row>
    <row r="1690" spans="1:10" x14ac:dyDescent="0.2">
      <c r="A1690" s="3">
        <v>4452</v>
      </c>
      <c r="B1690" s="3" t="s">
        <v>1835</v>
      </c>
      <c r="C1690" s="3" t="s">
        <v>1835</v>
      </c>
      <c r="D1690" s="3" t="s">
        <v>1778</v>
      </c>
      <c r="E1690" s="3" t="str">
        <v>Giez</v>
      </c>
      <c r="I1690" s="19">
        <v>5443</v>
      </c>
      <c r="J1690" s="19" t="s">
        <v>4559</v>
      </c>
    </row>
    <row r="1691" spans="1:10" x14ac:dyDescent="0.2">
      <c r="A1691" s="3">
        <v>4447</v>
      </c>
      <c r="B1691" s="3" t="s">
        <v>1836</v>
      </c>
      <c r="C1691" s="3" t="s">
        <v>1836</v>
      </c>
      <c r="D1691" s="3" t="s">
        <v>1778</v>
      </c>
      <c r="E1691" s="3" t="str">
        <v>Grandevent</v>
      </c>
      <c r="I1691" s="19">
        <v>5444</v>
      </c>
      <c r="J1691" s="19" t="s">
        <v>4558</v>
      </c>
    </row>
    <row r="1692" spans="1:10" x14ac:dyDescent="0.2">
      <c r="A1692" s="3">
        <v>4496</v>
      </c>
      <c r="B1692" s="3" t="s">
        <v>1837</v>
      </c>
      <c r="C1692" s="3" t="s">
        <v>1838</v>
      </c>
      <c r="D1692" s="3" t="s">
        <v>1778</v>
      </c>
      <c r="E1692" s="3" t="str">
        <v>Grandson</v>
      </c>
      <c r="I1692" s="19">
        <v>5445</v>
      </c>
      <c r="J1692" s="19" t="s">
        <v>4558</v>
      </c>
    </row>
    <row r="1693" spans="1:10" x14ac:dyDescent="0.2">
      <c r="A1693" s="3">
        <v>4448</v>
      </c>
      <c r="B1693" s="3" t="s">
        <v>1839</v>
      </c>
      <c r="C1693" s="3" t="s">
        <v>1839</v>
      </c>
      <c r="D1693" s="3" t="s">
        <v>1778</v>
      </c>
      <c r="E1693" s="3" t="str">
        <v>Mauborget</v>
      </c>
      <c r="I1693" s="19">
        <v>5452</v>
      </c>
      <c r="J1693" s="19" t="s">
        <v>4559</v>
      </c>
    </row>
    <row r="1694" spans="1:10" x14ac:dyDescent="0.2">
      <c r="A1694" s="3">
        <v>4464</v>
      </c>
      <c r="B1694" s="3" t="s">
        <v>1840</v>
      </c>
      <c r="C1694" s="3" t="s">
        <v>1840</v>
      </c>
      <c r="D1694" s="3" t="s">
        <v>1778</v>
      </c>
      <c r="E1694" s="3" t="str">
        <v>Mutrux</v>
      </c>
      <c r="I1694" s="19">
        <v>5453</v>
      </c>
      <c r="J1694" s="19" t="s">
        <v>4559</v>
      </c>
    </row>
    <row r="1695" spans="1:10" x14ac:dyDescent="0.2">
      <c r="A1695" s="3">
        <v>4453</v>
      </c>
      <c r="B1695" s="3" t="s">
        <v>1841</v>
      </c>
      <c r="C1695" s="3" t="s">
        <v>1841</v>
      </c>
      <c r="D1695" s="3" t="s">
        <v>1778</v>
      </c>
      <c r="E1695" s="3" t="str">
        <v>Novalles</v>
      </c>
      <c r="I1695" s="19">
        <v>5454</v>
      </c>
      <c r="J1695" s="19" t="s">
        <v>4560</v>
      </c>
    </row>
    <row r="1696" spans="1:10" x14ac:dyDescent="0.2">
      <c r="A1696" s="3">
        <v>4494</v>
      </c>
      <c r="B1696" s="3" t="s">
        <v>1842</v>
      </c>
      <c r="C1696" s="3" t="s">
        <v>1842</v>
      </c>
      <c r="D1696" s="3" t="s">
        <v>1778</v>
      </c>
      <c r="E1696" s="3" t="str">
        <v>Onnens (VD)</v>
      </c>
      <c r="I1696" s="19">
        <v>5462</v>
      </c>
      <c r="J1696" s="19" t="s">
        <v>4559</v>
      </c>
    </row>
    <row r="1697" spans="1:10" x14ac:dyDescent="0.2">
      <c r="A1697" s="3">
        <v>4466</v>
      </c>
      <c r="B1697" s="3" t="s">
        <v>1843</v>
      </c>
      <c r="C1697" s="3" t="s">
        <v>1843</v>
      </c>
      <c r="D1697" s="3" t="s">
        <v>1778</v>
      </c>
      <c r="E1697" s="3" t="str">
        <v>Provence</v>
      </c>
      <c r="I1697" s="19">
        <v>5463</v>
      </c>
      <c r="J1697" s="19" t="s">
        <v>4559</v>
      </c>
    </row>
    <row r="1698" spans="1:10" x14ac:dyDescent="0.2">
      <c r="A1698" s="3">
        <v>4462</v>
      </c>
      <c r="B1698" s="3" t="s">
        <v>1844</v>
      </c>
      <c r="C1698" s="3" t="s">
        <v>1845</v>
      </c>
      <c r="D1698" s="3" t="s">
        <v>1778</v>
      </c>
      <c r="E1698" s="3" t="str">
        <v>Sainte-Croix</v>
      </c>
      <c r="I1698" s="19">
        <v>5464</v>
      </c>
      <c r="J1698" s="19" t="s">
        <v>4559</v>
      </c>
    </row>
    <row r="1699" spans="1:10" x14ac:dyDescent="0.2">
      <c r="A1699" s="3">
        <v>4467</v>
      </c>
      <c r="B1699" s="3" t="s">
        <v>1846</v>
      </c>
      <c r="C1699" s="3" t="s">
        <v>1846</v>
      </c>
      <c r="D1699" s="3" t="s">
        <v>1778</v>
      </c>
      <c r="E1699" s="3" t="str">
        <v>Tévenon</v>
      </c>
      <c r="I1699" s="19">
        <v>5465</v>
      </c>
      <c r="J1699" s="19" t="s">
        <v>4559</v>
      </c>
    </row>
    <row r="1700" spans="1:10" x14ac:dyDescent="0.2">
      <c r="A1700" s="3">
        <v>4444</v>
      </c>
      <c r="B1700" s="3" t="s">
        <v>1847</v>
      </c>
      <c r="C1700" s="3" t="s">
        <v>1847</v>
      </c>
      <c r="D1700" s="3" t="s">
        <v>1778</v>
      </c>
      <c r="E1700" s="3" t="str">
        <v>Belmont-sur-Lausanne</v>
      </c>
      <c r="I1700" s="19">
        <v>5466</v>
      </c>
      <c r="J1700" s="19" t="s">
        <v>4559</v>
      </c>
    </row>
    <row r="1701" spans="1:10" x14ac:dyDescent="0.2">
      <c r="A1701" s="3">
        <v>4497</v>
      </c>
      <c r="B1701" s="3" t="s">
        <v>1848</v>
      </c>
      <c r="C1701" s="3" t="s">
        <v>1848</v>
      </c>
      <c r="D1701" s="3" t="s">
        <v>1778</v>
      </c>
      <c r="E1701" s="3" t="str">
        <v>Cheseaux-sur-Lausanne</v>
      </c>
      <c r="I1701" s="19">
        <v>5467</v>
      </c>
      <c r="J1701" s="19" t="s">
        <v>4559</v>
      </c>
    </row>
    <row r="1702" spans="1:10" x14ac:dyDescent="0.2">
      <c r="A1702" s="3">
        <v>4450</v>
      </c>
      <c r="B1702" s="3" t="s">
        <v>1849</v>
      </c>
      <c r="C1702" s="3" t="s">
        <v>1849</v>
      </c>
      <c r="D1702" s="3" t="s">
        <v>1778</v>
      </c>
      <c r="E1702" s="3" t="str">
        <v>Crissier</v>
      </c>
      <c r="I1702" s="19">
        <v>5502</v>
      </c>
      <c r="J1702" s="19" t="s">
        <v>4558</v>
      </c>
    </row>
    <row r="1703" spans="1:10" x14ac:dyDescent="0.2">
      <c r="A1703" s="3">
        <v>4492</v>
      </c>
      <c r="B1703" s="3" t="s">
        <v>1850</v>
      </c>
      <c r="C1703" s="3" t="s">
        <v>1850</v>
      </c>
      <c r="D1703" s="3" t="s">
        <v>1778</v>
      </c>
      <c r="E1703" s="3" t="str">
        <v>Epalinges</v>
      </c>
      <c r="I1703" s="19">
        <v>5503</v>
      </c>
      <c r="J1703" s="19" t="s">
        <v>4558</v>
      </c>
    </row>
    <row r="1704" spans="1:10" x14ac:dyDescent="0.2">
      <c r="A1704" s="3">
        <v>4456</v>
      </c>
      <c r="B1704" s="3" t="s">
        <v>1851</v>
      </c>
      <c r="C1704" s="3" t="s">
        <v>1851</v>
      </c>
      <c r="D1704" s="3" t="s">
        <v>1778</v>
      </c>
      <c r="E1704" s="3" t="str">
        <v>Jouxtens-Mézery</v>
      </c>
      <c r="I1704" s="19">
        <v>5504</v>
      </c>
      <c r="J1704" s="19" t="s">
        <v>4558</v>
      </c>
    </row>
    <row r="1705" spans="1:10" x14ac:dyDescent="0.2">
      <c r="A1705" s="3">
        <v>4441</v>
      </c>
      <c r="B1705" s="3" t="s">
        <v>1852</v>
      </c>
      <c r="C1705" s="3" t="s">
        <v>1852</v>
      </c>
      <c r="D1705" s="3" t="s">
        <v>1778</v>
      </c>
      <c r="E1705" s="3" t="str">
        <v>Lausanne</v>
      </c>
      <c r="I1705" s="19">
        <v>5505</v>
      </c>
      <c r="J1705" s="19" t="s">
        <v>4558</v>
      </c>
    </row>
    <row r="1706" spans="1:10" x14ac:dyDescent="0.2">
      <c r="A1706" s="3">
        <v>4493</v>
      </c>
      <c r="B1706" s="3" t="s">
        <v>1853</v>
      </c>
      <c r="C1706" s="3" t="s">
        <v>1853</v>
      </c>
      <c r="D1706" s="3" t="s">
        <v>1778</v>
      </c>
      <c r="E1706" s="3" t="str">
        <v>Le Mont-sur-Lausanne</v>
      </c>
      <c r="I1706" s="19">
        <v>5506</v>
      </c>
      <c r="J1706" s="19" t="s">
        <v>4558</v>
      </c>
    </row>
    <row r="1707" spans="1:10" x14ac:dyDescent="0.2">
      <c r="A1707" s="3">
        <v>4451</v>
      </c>
      <c r="B1707" s="3" t="s">
        <v>1854</v>
      </c>
      <c r="C1707" s="3" t="s">
        <v>1854</v>
      </c>
      <c r="D1707" s="3" t="s">
        <v>1778</v>
      </c>
      <c r="E1707" s="3" t="str">
        <v>Paudex</v>
      </c>
      <c r="I1707" s="19">
        <v>5507</v>
      </c>
      <c r="J1707" s="19" t="s">
        <v>4558</v>
      </c>
    </row>
    <row r="1708" spans="1:10" x14ac:dyDescent="0.2">
      <c r="A1708" s="3">
        <v>4443</v>
      </c>
      <c r="B1708" s="3" t="s">
        <v>1855</v>
      </c>
      <c r="C1708" s="3" t="s">
        <v>1855</v>
      </c>
      <c r="D1708" s="3" t="s">
        <v>1778</v>
      </c>
      <c r="E1708" s="3" t="str">
        <v>Prilly</v>
      </c>
      <c r="I1708" s="19">
        <v>5512</v>
      </c>
      <c r="J1708" s="19" t="s">
        <v>4558</v>
      </c>
    </row>
    <row r="1709" spans="1:10" x14ac:dyDescent="0.2">
      <c r="A1709" s="3">
        <v>4495</v>
      </c>
      <c r="B1709" s="3" t="s">
        <v>1856</v>
      </c>
      <c r="C1709" s="3" t="s">
        <v>1856</v>
      </c>
      <c r="D1709" s="3" t="s">
        <v>1778</v>
      </c>
      <c r="E1709" s="3" t="str">
        <v>Pully</v>
      </c>
      <c r="I1709" s="19">
        <v>5522</v>
      </c>
      <c r="J1709" s="19" t="s">
        <v>4558</v>
      </c>
    </row>
    <row r="1710" spans="1:10" x14ac:dyDescent="0.2">
      <c r="A1710" s="3">
        <v>4455</v>
      </c>
      <c r="B1710" s="3" t="s">
        <v>1857</v>
      </c>
      <c r="C1710" s="3" t="s">
        <v>1857</v>
      </c>
      <c r="D1710" s="3" t="s">
        <v>1778</v>
      </c>
      <c r="E1710" s="3" t="str">
        <v>Renens (VD)</v>
      </c>
      <c r="I1710" s="19">
        <v>5524</v>
      </c>
      <c r="J1710" s="19" t="s">
        <v>4558</v>
      </c>
    </row>
    <row r="1711" spans="1:10" x14ac:dyDescent="0.2">
      <c r="A1711" s="3">
        <v>4424</v>
      </c>
      <c r="B1711" s="3" t="s">
        <v>1858</v>
      </c>
      <c r="C1711" s="3" t="s">
        <v>1858</v>
      </c>
      <c r="D1711" s="3" t="s">
        <v>1778</v>
      </c>
      <c r="E1711" s="3" t="str">
        <v>Romanel-sur-Lausanne</v>
      </c>
      <c r="I1711" s="19">
        <v>5525</v>
      </c>
      <c r="J1711" s="19" t="s">
        <v>4558</v>
      </c>
    </row>
    <row r="1712" spans="1:10" x14ac:dyDescent="0.2">
      <c r="A1712" s="3">
        <v>4431</v>
      </c>
      <c r="B1712" s="3" t="s">
        <v>1859</v>
      </c>
      <c r="C1712" s="3" t="s">
        <v>1859</v>
      </c>
      <c r="D1712" s="3" t="s">
        <v>1778</v>
      </c>
      <c r="E1712" s="3" t="str">
        <v>Chexbres</v>
      </c>
      <c r="I1712" s="19">
        <v>5600</v>
      </c>
      <c r="J1712" s="19" t="s">
        <v>4558</v>
      </c>
    </row>
    <row r="1713" spans="1:10" x14ac:dyDescent="0.2">
      <c r="A1713" s="3">
        <v>4207</v>
      </c>
      <c r="B1713" s="3" t="s">
        <v>1860</v>
      </c>
      <c r="C1713" s="3" t="s">
        <v>1860</v>
      </c>
      <c r="D1713" s="3" t="s">
        <v>1778</v>
      </c>
      <c r="E1713" s="3" t="str">
        <v>Forel (Lavaux)</v>
      </c>
      <c r="I1713" s="19">
        <v>5603</v>
      </c>
      <c r="J1713" s="19" t="s">
        <v>4558</v>
      </c>
    </row>
    <row r="1714" spans="1:10" x14ac:dyDescent="0.2">
      <c r="A1714" s="3">
        <v>4457</v>
      </c>
      <c r="B1714" s="3" t="s">
        <v>1861</v>
      </c>
      <c r="C1714" s="3" t="s">
        <v>1861</v>
      </c>
      <c r="D1714" s="3" t="s">
        <v>1778</v>
      </c>
      <c r="E1714" s="3" t="str">
        <v>Lutry</v>
      </c>
      <c r="I1714" s="19">
        <v>5604</v>
      </c>
      <c r="J1714" s="19" t="s">
        <v>4558</v>
      </c>
    </row>
    <row r="1715" spans="1:10" x14ac:dyDescent="0.2">
      <c r="A1715" s="3">
        <v>4458</v>
      </c>
      <c r="B1715" s="3" t="s">
        <v>1862</v>
      </c>
      <c r="C1715" s="3" t="s">
        <v>1862</v>
      </c>
      <c r="D1715" s="3" t="s">
        <v>1778</v>
      </c>
      <c r="E1715" s="3" t="str">
        <v>Puidoux</v>
      </c>
      <c r="I1715" s="19">
        <v>5605</v>
      </c>
      <c r="J1715" s="19" t="s">
        <v>4558</v>
      </c>
    </row>
    <row r="1716" spans="1:10" x14ac:dyDescent="0.2">
      <c r="A1716" s="3">
        <v>4434</v>
      </c>
      <c r="B1716" s="3" t="s">
        <v>1863</v>
      </c>
      <c r="C1716" s="3" t="s">
        <v>1863</v>
      </c>
      <c r="D1716" s="3" t="s">
        <v>1778</v>
      </c>
      <c r="E1716" s="3" t="str">
        <v>Rivaz</v>
      </c>
      <c r="I1716" s="19">
        <v>5606</v>
      </c>
      <c r="J1716" s="19" t="s">
        <v>4558</v>
      </c>
    </row>
    <row r="1717" spans="1:10" x14ac:dyDescent="0.2">
      <c r="A1717" s="3">
        <v>4432</v>
      </c>
      <c r="B1717" s="3" t="s">
        <v>1864</v>
      </c>
      <c r="C1717" s="3" t="s">
        <v>1864</v>
      </c>
      <c r="D1717" s="3" t="s">
        <v>1778</v>
      </c>
      <c r="E1717" s="3" t="str">
        <v>Saint-Saphorin (Lavaux)</v>
      </c>
      <c r="I1717" s="19">
        <v>5607</v>
      </c>
      <c r="J1717" s="19" t="s">
        <v>4558</v>
      </c>
    </row>
    <row r="1718" spans="1:10" x14ac:dyDescent="0.2">
      <c r="A1718" s="3">
        <v>4438</v>
      </c>
      <c r="B1718" s="3" t="s">
        <v>1865</v>
      </c>
      <c r="C1718" s="3" t="s">
        <v>1865</v>
      </c>
      <c r="D1718" s="3" t="s">
        <v>1778</v>
      </c>
      <c r="E1718" s="3" t="str">
        <v>Savigny</v>
      </c>
      <c r="I1718" s="19">
        <v>5608</v>
      </c>
      <c r="J1718" s="19" t="s">
        <v>4558</v>
      </c>
    </row>
    <row r="1719" spans="1:10" x14ac:dyDescent="0.2">
      <c r="A1719" s="3">
        <v>4426</v>
      </c>
      <c r="B1719" s="3" t="s">
        <v>1866</v>
      </c>
      <c r="C1719" s="3" t="s">
        <v>1866</v>
      </c>
      <c r="D1719" s="3" t="s">
        <v>1778</v>
      </c>
      <c r="E1719" s="3" t="str">
        <v>Bourg-en-Lavaux</v>
      </c>
      <c r="I1719" s="19">
        <v>5610</v>
      </c>
      <c r="J1719" s="19" t="s">
        <v>4558</v>
      </c>
    </row>
    <row r="1720" spans="1:10" x14ac:dyDescent="0.2">
      <c r="A1720" s="3">
        <v>4436</v>
      </c>
      <c r="B1720" s="3" t="s">
        <v>1867</v>
      </c>
      <c r="C1720" s="3" t="s">
        <v>1867</v>
      </c>
      <c r="D1720" s="3" t="s">
        <v>1778</v>
      </c>
      <c r="E1720" s="3" t="str">
        <v>Aclens</v>
      </c>
      <c r="I1720" s="19">
        <v>5611</v>
      </c>
      <c r="J1720" s="19" t="s">
        <v>4558</v>
      </c>
    </row>
    <row r="1721" spans="1:10" x14ac:dyDescent="0.2">
      <c r="A1721" s="3">
        <v>4435</v>
      </c>
      <c r="B1721" s="3" t="s">
        <v>1868</v>
      </c>
      <c r="C1721" s="3" t="s">
        <v>1868</v>
      </c>
      <c r="D1721" s="3" t="s">
        <v>1778</v>
      </c>
      <c r="E1721" s="3" t="str">
        <v>Bremblens</v>
      </c>
      <c r="I1721" s="19">
        <v>5612</v>
      </c>
      <c r="J1721" s="19" t="s">
        <v>4558</v>
      </c>
    </row>
    <row r="1722" spans="1:10" x14ac:dyDescent="0.2">
      <c r="A1722" s="3">
        <v>4436</v>
      </c>
      <c r="B1722" s="3" t="s">
        <v>1869</v>
      </c>
      <c r="C1722" s="3" t="s">
        <v>1870</v>
      </c>
      <c r="D1722" s="3" t="s">
        <v>1778</v>
      </c>
      <c r="E1722" s="3" t="str">
        <v>Buchillon</v>
      </c>
      <c r="I1722" s="19">
        <v>5613</v>
      </c>
      <c r="J1722" s="19" t="s">
        <v>4558</v>
      </c>
    </row>
    <row r="1723" spans="1:10" x14ac:dyDescent="0.2">
      <c r="A1723" s="3">
        <v>4418</v>
      </c>
      <c r="B1723" s="3" t="s">
        <v>1871</v>
      </c>
      <c r="C1723" s="3" t="s">
        <v>1871</v>
      </c>
      <c r="D1723" s="3" t="s">
        <v>1778</v>
      </c>
      <c r="E1723" s="3" t="str">
        <v>Bussigny</v>
      </c>
      <c r="I1723" s="19">
        <v>5614</v>
      </c>
      <c r="J1723" s="19" t="s">
        <v>4558</v>
      </c>
    </row>
    <row r="1724" spans="1:10" x14ac:dyDescent="0.2">
      <c r="A1724" s="3">
        <v>4425</v>
      </c>
      <c r="B1724" s="3" t="s">
        <v>1872</v>
      </c>
      <c r="C1724" s="3" t="s">
        <v>1872</v>
      </c>
      <c r="D1724" s="3" t="s">
        <v>1778</v>
      </c>
      <c r="E1724" s="3" t="str">
        <v>Chavannes-près-Renens</v>
      </c>
      <c r="I1724" s="19">
        <v>5615</v>
      </c>
      <c r="J1724" s="19" t="s">
        <v>4558</v>
      </c>
    </row>
    <row r="1725" spans="1:10" x14ac:dyDescent="0.2">
      <c r="A1725" s="3">
        <v>4437</v>
      </c>
      <c r="B1725" s="3" t="s">
        <v>1873</v>
      </c>
      <c r="C1725" s="3" t="s">
        <v>1873</v>
      </c>
      <c r="D1725" s="3" t="s">
        <v>1778</v>
      </c>
      <c r="E1725" s="3" t="str">
        <v>Chigny</v>
      </c>
      <c r="I1725" s="19">
        <v>5616</v>
      </c>
      <c r="J1725" s="19" t="s">
        <v>4558</v>
      </c>
    </row>
    <row r="1726" spans="1:10" x14ac:dyDescent="0.2">
      <c r="A1726" s="3">
        <v>8214</v>
      </c>
      <c r="B1726" s="3" t="s">
        <v>1874</v>
      </c>
      <c r="C1726" s="3" t="s">
        <v>1874</v>
      </c>
      <c r="D1726" s="3" t="s">
        <v>1875</v>
      </c>
      <c r="E1726" s="3" t="str">
        <v>Clarmont</v>
      </c>
      <c r="I1726" s="19">
        <v>5617</v>
      </c>
      <c r="J1726" s="19" t="s">
        <v>4558</v>
      </c>
    </row>
    <row r="1727" spans="1:10" x14ac:dyDescent="0.2">
      <c r="A1727" s="3">
        <v>8214</v>
      </c>
      <c r="B1727" s="3" t="s">
        <v>1874</v>
      </c>
      <c r="C1727" s="3" t="s">
        <v>1874</v>
      </c>
      <c r="D1727" s="3" t="s">
        <v>1875</v>
      </c>
      <c r="E1727" s="3" t="str">
        <v>Denens</v>
      </c>
      <c r="I1727" s="19">
        <v>5618</v>
      </c>
      <c r="J1727" s="19" t="s">
        <v>4558</v>
      </c>
    </row>
    <row r="1728" spans="1:10" x14ac:dyDescent="0.2">
      <c r="A1728" s="3">
        <v>8224</v>
      </c>
      <c r="B1728" s="3" t="s">
        <v>1876</v>
      </c>
      <c r="C1728" s="3" t="s">
        <v>1876</v>
      </c>
      <c r="D1728" s="3" t="s">
        <v>1875</v>
      </c>
      <c r="E1728" s="3" t="str">
        <v>Denges</v>
      </c>
      <c r="I1728" s="19">
        <v>5619</v>
      </c>
      <c r="J1728" s="19" t="s">
        <v>4558</v>
      </c>
    </row>
    <row r="1729" spans="1:10" x14ac:dyDescent="0.2">
      <c r="A1729" s="3">
        <v>8213</v>
      </c>
      <c r="B1729" s="3" t="s">
        <v>1877</v>
      </c>
      <c r="C1729" s="3" t="s">
        <v>1877</v>
      </c>
      <c r="D1729" s="3" t="s">
        <v>1875</v>
      </c>
      <c r="E1729" s="3" t="str">
        <v>Echandens</v>
      </c>
      <c r="I1729" s="19">
        <v>5620</v>
      </c>
      <c r="J1729" s="19" t="s">
        <v>4558</v>
      </c>
    </row>
    <row r="1730" spans="1:10" x14ac:dyDescent="0.2">
      <c r="A1730" s="3">
        <v>8236</v>
      </c>
      <c r="B1730" s="3" t="s">
        <v>1878</v>
      </c>
      <c r="C1730" s="3" t="s">
        <v>1878</v>
      </c>
      <c r="D1730" s="3" t="s">
        <v>1875</v>
      </c>
      <c r="E1730" s="3" t="str">
        <v>Echichens</v>
      </c>
      <c r="I1730" s="19">
        <v>5621</v>
      </c>
      <c r="J1730" s="19" t="s">
        <v>4558</v>
      </c>
    </row>
    <row r="1731" spans="1:10" x14ac:dyDescent="0.2">
      <c r="A1731" s="3">
        <v>8239</v>
      </c>
      <c r="B1731" s="3" t="s">
        <v>1879</v>
      </c>
      <c r="C1731" s="3" t="s">
        <v>1879</v>
      </c>
      <c r="D1731" s="3" t="s">
        <v>1875</v>
      </c>
      <c r="E1731" s="3" t="str">
        <v>Ecublens (VD)</v>
      </c>
      <c r="I1731" s="19">
        <v>5622</v>
      </c>
      <c r="J1731" s="19" t="s">
        <v>4558</v>
      </c>
    </row>
    <row r="1732" spans="1:10" x14ac:dyDescent="0.2">
      <c r="A1732" s="3">
        <v>8235</v>
      </c>
      <c r="B1732" s="3" t="s">
        <v>1880</v>
      </c>
      <c r="C1732" s="3" t="s">
        <v>1881</v>
      </c>
      <c r="D1732" s="3" t="s">
        <v>1875</v>
      </c>
      <c r="E1732" s="3" t="str">
        <v>Etoy</v>
      </c>
      <c r="I1732" s="19">
        <v>5623</v>
      </c>
      <c r="J1732" s="19" t="s">
        <v>4558</v>
      </c>
    </row>
    <row r="1733" spans="1:10" x14ac:dyDescent="0.2">
      <c r="A1733" s="3">
        <v>8234</v>
      </c>
      <c r="B1733" s="3" t="s">
        <v>1882</v>
      </c>
      <c r="C1733" s="3" t="s">
        <v>1883</v>
      </c>
      <c r="D1733" s="3" t="s">
        <v>1875</v>
      </c>
      <c r="E1733" s="3" t="str">
        <v>Lavigny</v>
      </c>
      <c r="I1733" s="19">
        <v>5624</v>
      </c>
      <c r="J1733" s="19" t="s">
        <v>4558</v>
      </c>
    </row>
    <row r="1734" spans="1:10" x14ac:dyDescent="0.2">
      <c r="A1734" s="3">
        <v>8236</v>
      </c>
      <c r="B1734" s="3" t="s">
        <v>1884</v>
      </c>
      <c r="C1734" s="3" t="s">
        <v>1885</v>
      </c>
      <c r="D1734" s="3" t="s">
        <v>1875</v>
      </c>
      <c r="E1734" s="3" t="str">
        <v>Lonay</v>
      </c>
      <c r="I1734" s="19">
        <v>5625</v>
      </c>
      <c r="J1734" s="19" t="s">
        <v>4558</v>
      </c>
    </row>
    <row r="1735" spans="1:10" x14ac:dyDescent="0.2">
      <c r="A1735" s="3">
        <v>8240</v>
      </c>
      <c r="B1735" s="3" t="s">
        <v>1885</v>
      </c>
      <c r="C1735" s="3" t="s">
        <v>1885</v>
      </c>
      <c r="D1735" s="3" t="s">
        <v>1875</v>
      </c>
      <c r="E1735" s="3" t="str">
        <v>Lully (VD)</v>
      </c>
      <c r="I1735" s="19">
        <v>5626</v>
      </c>
      <c r="J1735" s="19" t="s">
        <v>4558</v>
      </c>
    </row>
    <row r="1736" spans="1:10" x14ac:dyDescent="0.2">
      <c r="A1736" s="3">
        <v>8241</v>
      </c>
      <c r="B1736" s="3" t="s">
        <v>1886</v>
      </c>
      <c r="C1736" s="3" t="s">
        <v>1885</v>
      </c>
      <c r="D1736" s="3" t="s">
        <v>1875</v>
      </c>
      <c r="E1736" s="3" t="str">
        <v>Lussy-sur-Morges</v>
      </c>
      <c r="I1736" s="19">
        <v>5627</v>
      </c>
      <c r="J1736" s="19" t="s">
        <v>4558</v>
      </c>
    </row>
    <row r="1737" spans="1:10" x14ac:dyDescent="0.2">
      <c r="A1737" s="3">
        <v>8242</v>
      </c>
      <c r="B1737" s="3" t="s">
        <v>1887</v>
      </c>
      <c r="C1737" s="3" t="s">
        <v>1885</v>
      </c>
      <c r="D1737" s="3" t="s">
        <v>1875</v>
      </c>
      <c r="E1737" s="3" t="str">
        <v>Morges</v>
      </c>
      <c r="I1737" s="19">
        <v>5628</v>
      </c>
      <c r="J1737" s="19" t="s">
        <v>4558</v>
      </c>
    </row>
    <row r="1738" spans="1:10" x14ac:dyDescent="0.2">
      <c r="A1738" s="3">
        <v>8242</v>
      </c>
      <c r="B1738" s="3" t="s">
        <v>1888</v>
      </c>
      <c r="C1738" s="3" t="s">
        <v>1885</v>
      </c>
      <c r="D1738" s="3" t="s">
        <v>1875</v>
      </c>
      <c r="E1738" s="3" t="str">
        <v>Préverenges</v>
      </c>
      <c r="I1738" s="19">
        <v>5630</v>
      </c>
      <c r="J1738" s="19" t="s">
        <v>4558</v>
      </c>
    </row>
    <row r="1739" spans="1:10" x14ac:dyDescent="0.2">
      <c r="A1739" s="3">
        <v>8243</v>
      </c>
      <c r="B1739" s="3" t="s">
        <v>1889</v>
      </c>
      <c r="C1739" s="3" t="s">
        <v>1885</v>
      </c>
      <c r="D1739" s="3" t="s">
        <v>1875</v>
      </c>
      <c r="E1739" s="3" t="str">
        <v>Romanel-sur-Morges</v>
      </c>
      <c r="I1739" s="19">
        <v>5632</v>
      </c>
      <c r="J1739" s="19" t="s">
        <v>4558</v>
      </c>
    </row>
    <row r="1740" spans="1:10" x14ac:dyDescent="0.2">
      <c r="A1740" s="3">
        <v>8233</v>
      </c>
      <c r="B1740" s="3" t="s">
        <v>1890</v>
      </c>
      <c r="C1740" s="3" t="s">
        <v>1891</v>
      </c>
      <c r="D1740" s="3" t="s">
        <v>1875</v>
      </c>
      <c r="E1740" s="3" t="str">
        <v>Saint-Prex</v>
      </c>
      <c r="I1740" s="19">
        <v>5634</v>
      </c>
      <c r="J1740" s="19" t="s">
        <v>4555</v>
      </c>
    </row>
    <row r="1741" spans="1:10" x14ac:dyDescent="0.2">
      <c r="A1741" s="3">
        <v>8222</v>
      </c>
      <c r="B1741" s="3" t="s">
        <v>1892</v>
      </c>
      <c r="C1741" s="3" t="s">
        <v>1892</v>
      </c>
      <c r="D1741" s="3" t="s">
        <v>1875</v>
      </c>
      <c r="E1741" s="3" t="str">
        <v>Saint-Sulpice (VD)</v>
      </c>
      <c r="I1741" s="19">
        <v>5636</v>
      </c>
      <c r="J1741" s="19" t="s">
        <v>4555</v>
      </c>
    </row>
    <row r="1742" spans="1:10" x14ac:dyDescent="0.2">
      <c r="A1742" s="3">
        <v>8223</v>
      </c>
      <c r="B1742" s="3" t="s">
        <v>1893</v>
      </c>
      <c r="C1742" s="3" t="s">
        <v>1892</v>
      </c>
      <c r="D1742" s="3" t="s">
        <v>1875</v>
      </c>
      <c r="E1742" s="3" t="str">
        <v>Tolochenaz</v>
      </c>
      <c r="I1742" s="19">
        <v>5637</v>
      </c>
      <c r="J1742" s="19" t="s">
        <v>4555</v>
      </c>
    </row>
    <row r="1743" spans="1:10" x14ac:dyDescent="0.2">
      <c r="A1743" s="3">
        <v>8454</v>
      </c>
      <c r="B1743" s="3" t="s">
        <v>1894</v>
      </c>
      <c r="C1743" s="3" t="s">
        <v>1894</v>
      </c>
      <c r="D1743" s="3" t="s">
        <v>1875</v>
      </c>
      <c r="E1743" s="3" t="str">
        <v>Vaux-sur-Morges</v>
      </c>
      <c r="I1743" s="19">
        <v>5642</v>
      </c>
      <c r="J1743" s="19" t="s">
        <v>4555</v>
      </c>
    </row>
    <row r="1744" spans="1:10" x14ac:dyDescent="0.2">
      <c r="A1744" s="3">
        <v>8232</v>
      </c>
      <c r="B1744" s="3" t="s">
        <v>1895</v>
      </c>
      <c r="C1744" s="3" t="s">
        <v>1895</v>
      </c>
      <c r="D1744" s="3" t="s">
        <v>1875</v>
      </c>
      <c r="E1744" s="3" t="str">
        <v>Villars-Sainte-Croix</v>
      </c>
      <c r="I1744" s="19">
        <v>5643</v>
      </c>
      <c r="J1744" s="19" t="s">
        <v>4555</v>
      </c>
    </row>
    <row r="1745" spans="1:10" x14ac:dyDescent="0.2">
      <c r="A1745" s="3">
        <v>8212</v>
      </c>
      <c r="B1745" s="3" t="s">
        <v>1896</v>
      </c>
      <c r="C1745" s="3" t="s">
        <v>1896</v>
      </c>
      <c r="D1745" s="3" t="s">
        <v>1875</v>
      </c>
      <c r="E1745" s="3" t="str">
        <v>Villars-sous-Yens</v>
      </c>
      <c r="I1745" s="19">
        <v>5644</v>
      </c>
      <c r="J1745" s="19" t="s">
        <v>4555</v>
      </c>
    </row>
    <row r="1746" spans="1:10" x14ac:dyDescent="0.2">
      <c r="A1746" s="3">
        <v>8455</v>
      </c>
      <c r="B1746" s="3" t="s">
        <v>1897</v>
      </c>
      <c r="C1746" s="3" t="s">
        <v>1897</v>
      </c>
      <c r="D1746" s="3" t="s">
        <v>1875</v>
      </c>
      <c r="E1746" s="3" t="str">
        <v>Vufflens-le-Château</v>
      </c>
      <c r="I1746" s="19">
        <v>5645</v>
      </c>
      <c r="J1746" s="19" t="s">
        <v>4555</v>
      </c>
    </row>
    <row r="1747" spans="1:10" x14ac:dyDescent="0.2">
      <c r="A1747" s="3">
        <v>8200</v>
      </c>
      <c r="B1747" s="3" t="s">
        <v>1898</v>
      </c>
      <c r="C1747" s="3" t="s">
        <v>1898</v>
      </c>
      <c r="D1747" s="3" t="s">
        <v>1875</v>
      </c>
      <c r="E1747" s="3" t="str">
        <v>Vullierens</v>
      </c>
      <c r="I1747" s="19">
        <v>5646</v>
      </c>
      <c r="J1747" s="19" t="s">
        <v>4555</v>
      </c>
    </row>
    <row r="1748" spans="1:10" x14ac:dyDescent="0.2">
      <c r="A1748" s="3">
        <v>8203</v>
      </c>
      <c r="B1748" s="3" t="s">
        <v>1898</v>
      </c>
      <c r="C1748" s="3" t="s">
        <v>1898</v>
      </c>
      <c r="D1748" s="3" t="s">
        <v>1875</v>
      </c>
      <c r="E1748" s="3" t="str">
        <v>Yens</v>
      </c>
      <c r="I1748" s="19">
        <v>5647</v>
      </c>
      <c r="J1748" s="19" t="s">
        <v>4555</v>
      </c>
    </row>
    <row r="1749" spans="1:10" x14ac:dyDescent="0.2">
      <c r="A1749" s="3">
        <v>8207</v>
      </c>
      <c r="B1749" s="3" t="s">
        <v>1898</v>
      </c>
      <c r="C1749" s="3" t="s">
        <v>1898</v>
      </c>
      <c r="D1749" s="3" t="s">
        <v>1875</v>
      </c>
      <c r="E1749" s="3" t="str">
        <v>Hautemorges</v>
      </c>
      <c r="I1749" s="19">
        <v>5702</v>
      </c>
      <c r="J1749" s="19" t="s">
        <v>4558</v>
      </c>
    </row>
    <row r="1750" spans="1:10" x14ac:dyDescent="0.2">
      <c r="A1750" s="3">
        <v>8208</v>
      </c>
      <c r="B1750" s="3" t="s">
        <v>1898</v>
      </c>
      <c r="C1750" s="3" t="s">
        <v>1898</v>
      </c>
      <c r="D1750" s="3" t="s">
        <v>1875</v>
      </c>
      <c r="E1750" s="3" t="str">
        <v>Boulens</v>
      </c>
      <c r="I1750" s="19">
        <v>5703</v>
      </c>
      <c r="J1750" s="19" t="s">
        <v>4558</v>
      </c>
    </row>
    <row r="1751" spans="1:10" x14ac:dyDescent="0.2">
      <c r="A1751" s="3">
        <v>8231</v>
      </c>
      <c r="B1751" s="3" t="s">
        <v>1899</v>
      </c>
      <c r="C1751" s="3" t="s">
        <v>1898</v>
      </c>
      <c r="D1751" s="3" t="s">
        <v>1875</v>
      </c>
      <c r="E1751" s="3" t="str">
        <v>Bussy-sur-Moudon</v>
      </c>
      <c r="I1751" s="19">
        <v>5704</v>
      </c>
      <c r="J1751" s="19" t="s">
        <v>4558</v>
      </c>
    </row>
    <row r="1752" spans="1:10" x14ac:dyDescent="0.2">
      <c r="A1752" s="3">
        <v>8228</v>
      </c>
      <c r="B1752" s="3" t="s">
        <v>1900</v>
      </c>
      <c r="C1752" s="3" t="s">
        <v>1900</v>
      </c>
      <c r="D1752" s="3" t="s">
        <v>1875</v>
      </c>
      <c r="E1752" s="3" t="str">
        <v>Chavannes-sur-Moudon</v>
      </c>
      <c r="I1752" s="19">
        <v>5705</v>
      </c>
      <c r="J1752" s="19" t="s">
        <v>4558</v>
      </c>
    </row>
    <row r="1753" spans="1:10" x14ac:dyDescent="0.2">
      <c r="A1753" s="3">
        <v>8226</v>
      </c>
      <c r="B1753" s="3" t="s">
        <v>1901</v>
      </c>
      <c r="C1753" s="3" t="s">
        <v>1901</v>
      </c>
      <c r="D1753" s="3" t="s">
        <v>1875</v>
      </c>
      <c r="E1753" s="3" t="str">
        <v>Curtilles</v>
      </c>
      <c r="I1753" s="19">
        <v>5706</v>
      </c>
      <c r="J1753" s="19" t="s">
        <v>4558</v>
      </c>
    </row>
    <row r="1754" spans="1:10" x14ac:dyDescent="0.2">
      <c r="A1754" s="3">
        <v>8225</v>
      </c>
      <c r="B1754" s="3" t="s">
        <v>1902</v>
      </c>
      <c r="C1754" s="3" t="s">
        <v>1902</v>
      </c>
      <c r="D1754" s="3" t="s">
        <v>1875</v>
      </c>
      <c r="E1754" s="3" t="str">
        <v>Dompierre (VD)</v>
      </c>
      <c r="I1754" s="19">
        <v>5707</v>
      </c>
      <c r="J1754" s="19" t="s">
        <v>4558</v>
      </c>
    </row>
    <row r="1755" spans="1:10" x14ac:dyDescent="0.2">
      <c r="A1755" s="3">
        <v>8263</v>
      </c>
      <c r="B1755" s="3" t="s">
        <v>1903</v>
      </c>
      <c r="C1755" s="3" t="s">
        <v>1904</v>
      </c>
      <c r="D1755" s="3" t="s">
        <v>1875</v>
      </c>
      <c r="E1755" s="3" t="str">
        <v>Hermenches</v>
      </c>
      <c r="I1755" s="19">
        <v>5708</v>
      </c>
      <c r="J1755" s="19" t="s">
        <v>4558</v>
      </c>
    </row>
    <row r="1756" spans="1:10" x14ac:dyDescent="0.2">
      <c r="A1756" s="3">
        <v>8261</v>
      </c>
      <c r="B1756" s="3" t="s">
        <v>1905</v>
      </c>
      <c r="C1756" s="3" t="s">
        <v>1905</v>
      </c>
      <c r="D1756" s="3" t="s">
        <v>1875</v>
      </c>
      <c r="E1756" s="3" t="str">
        <v>Lovatens</v>
      </c>
      <c r="I1756" s="19">
        <v>5712</v>
      </c>
      <c r="J1756" s="19" t="s">
        <v>4558</v>
      </c>
    </row>
    <row r="1757" spans="1:10" x14ac:dyDescent="0.2">
      <c r="A1757" s="3">
        <v>8262</v>
      </c>
      <c r="B1757" s="3" t="s">
        <v>1906</v>
      </c>
      <c r="C1757" s="3" t="s">
        <v>1906</v>
      </c>
      <c r="D1757" s="3" t="s">
        <v>1875</v>
      </c>
      <c r="E1757" s="3" t="str">
        <v>Lucens</v>
      </c>
      <c r="I1757" s="19">
        <v>5722</v>
      </c>
      <c r="J1757" s="19" t="s">
        <v>4558</v>
      </c>
    </row>
    <row r="1758" spans="1:10" x14ac:dyDescent="0.2">
      <c r="A1758" s="3">
        <v>8260</v>
      </c>
      <c r="B1758" s="3" t="s">
        <v>1907</v>
      </c>
      <c r="C1758" s="3" t="s">
        <v>1907</v>
      </c>
      <c r="D1758" s="3" t="s">
        <v>1875</v>
      </c>
      <c r="E1758" s="3" t="str">
        <v>Moudon</v>
      </c>
      <c r="I1758" s="19">
        <v>5723</v>
      </c>
      <c r="J1758" s="19" t="s">
        <v>4558</v>
      </c>
    </row>
    <row r="1759" spans="1:10" x14ac:dyDescent="0.2">
      <c r="A1759" s="3">
        <v>8215</v>
      </c>
      <c r="B1759" s="3" t="s">
        <v>1908</v>
      </c>
      <c r="C1759" s="3" t="s">
        <v>1908</v>
      </c>
      <c r="D1759" s="3" t="s">
        <v>1875</v>
      </c>
      <c r="E1759" s="3" t="str">
        <v>Ogens</v>
      </c>
      <c r="I1759" s="19">
        <v>5724</v>
      </c>
      <c r="J1759" s="19" t="s">
        <v>4558</v>
      </c>
    </row>
    <row r="1760" spans="1:10" x14ac:dyDescent="0.2">
      <c r="A1760" s="3">
        <v>8216</v>
      </c>
      <c r="B1760" s="3" t="s">
        <v>1909</v>
      </c>
      <c r="C1760" s="3" t="s">
        <v>1909</v>
      </c>
      <c r="D1760" s="3" t="s">
        <v>1875</v>
      </c>
      <c r="E1760" s="3" t="str">
        <v>Prévonloup</v>
      </c>
      <c r="I1760" s="19">
        <v>5725</v>
      </c>
      <c r="J1760" s="19" t="s">
        <v>4558</v>
      </c>
    </row>
    <row r="1761" spans="1:10" x14ac:dyDescent="0.2">
      <c r="A1761" s="3">
        <v>8219</v>
      </c>
      <c r="B1761" s="3" t="s">
        <v>1910</v>
      </c>
      <c r="C1761" s="3" t="s">
        <v>1910</v>
      </c>
      <c r="D1761" s="3" t="s">
        <v>1875</v>
      </c>
      <c r="E1761" s="3" t="str">
        <v>Rossenges</v>
      </c>
      <c r="I1761" s="19">
        <v>5726</v>
      </c>
      <c r="J1761" s="19" t="s">
        <v>4558</v>
      </c>
    </row>
    <row r="1762" spans="1:10" x14ac:dyDescent="0.2">
      <c r="A1762" s="3">
        <v>8217</v>
      </c>
      <c r="B1762" s="3" t="s">
        <v>1911</v>
      </c>
      <c r="C1762" s="3" t="s">
        <v>1911</v>
      </c>
      <c r="D1762" s="3" t="s">
        <v>1875</v>
      </c>
      <c r="E1762" s="3" t="str">
        <v>Syens</v>
      </c>
      <c r="I1762" s="19">
        <v>5727</v>
      </c>
      <c r="J1762" s="19" t="s">
        <v>4558</v>
      </c>
    </row>
    <row r="1763" spans="1:10" x14ac:dyDescent="0.2">
      <c r="A1763" s="3">
        <v>8217</v>
      </c>
      <c r="B1763" s="3" t="s">
        <v>1911</v>
      </c>
      <c r="C1763" s="3" t="s">
        <v>1911</v>
      </c>
      <c r="D1763" s="3" t="s">
        <v>1875</v>
      </c>
      <c r="E1763" s="3" t="str">
        <v>Villars-le-Comte</v>
      </c>
      <c r="I1763" s="19">
        <v>5728</v>
      </c>
      <c r="J1763" s="19" t="s">
        <v>4558</v>
      </c>
    </row>
    <row r="1764" spans="1:10" x14ac:dyDescent="0.2">
      <c r="A1764" s="3">
        <v>8218</v>
      </c>
      <c r="B1764" s="3" t="s">
        <v>1912</v>
      </c>
      <c r="C1764" s="3" t="s">
        <v>1911</v>
      </c>
      <c r="D1764" s="3" t="s">
        <v>1875</v>
      </c>
      <c r="E1764" s="3" t="str">
        <v>Vucherens</v>
      </c>
      <c r="I1764" s="19">
        <v>5732</v>
      </c>
      <c r="J1764" s="19" t="s">
        <v>4558</v>
      </c>
    </row>
    <row r="1765" spans="1:10" x14ac:dyDescent="0.2">
      <c r="A1765" s="3">
        <v>9100</v>
      </c>
      <c r="B1765" s="3" t="s">
        <v>1913</v>
      </c>
      <c r="C1765" s="3" t="s">
        <v>1913</v>
      </c>
      <c r="D1765" s="3" t="s">
        <v>1914</v>
      </c>
      <c r="E1765" s="3" t="str">
        <v>Montanaire</v>
      </c>
      <c r="I1765" s="19">
        <v>5733</v>
      </c>
      <c r="J1765" s="19" t="s">
        <v>4558</v>
      </c>
    </row>
    <row r="1766" spans="1:10" x14ac:dyDescent="0.2">
      <c r="A1766" s="3">
        <v>9112</v>
      </c>
      <c r="B1766" s="3" t="s">
        <v>1915</v>
      </c>
      <c r="C1766" s="3" t="s">
        <v>1913</v>
      </c>
      <c r="D1766" s="3" t="s">
        <v>1914</v>
      </c>
      <c r="E1766" s="3" t="str">
        <v>Arnex-sur-Nyon</v>
      </c>
      <c r="I1766" s="19">
        <v>5734</v>
      </c>
      <c r="J1766" s="19" t="s">
        <v>4558</v>
      </c>
    </row>
    <row r="1767" spans="1:10" x14ac:dyDescent="0.2">
      <c r="A1767" s="3">
        <v>9064</v>
      </c>
      <c r="B1767" s="3" t="s">
        <v>1916</v>
      </c>
      <c r="C1767" s="3" t="s">
        <v>1916</v>
      </c>
      <c r="D1767" s="3" t="s">
        <v>1914</v>
      </c>
      <c r="E1767" s="3" t="str">
        <v>Arzier-Le Muids</v>
      </c>
      <c r="I1767" s="19">
        <v>5735</v>
      </c>
      <c r="J1767" s="19" t="s">
        <v>4558</v>
      </c>
    </row>
    <row r="1768" spans="1:10" x14ac:dyDescent="0.2">
      <c r="A1768" s="3">
        <v>9105</v>
      </c>
      <c r="B1768" s="3" t="s">
        <v>1917</v>
      </c>
      <c r="C1768" s="3" t="s">
        <v>1917</v>
      </c>
      <c r="D1768" s="3" t="s">
        <v>1914</v>
      </c>
      <c r="E1768" s="3" t="str">
        <v>Bassins</v>
      </c>
      <c r="I1768" s="19">
        <v>5736</v>
      </c>
      <c r="J1768" s="19" t="s">
        <v>4558</v>
      </c>
    </row>
    <row r="1769" spans="1:10" x14ac:dyDescent="0.2">
      <c r="A1769" s="3">
        <v>9103</v>
      </c>
      <c r="B1769" s="3" t="s">
        <v>1918</v>
      </c>
      <c r="C1769" s="3" t="s">
        <v>1918</v>
      </c>
      <c r="D1769" s="3" t="s">
        <v>1914</v>
      </c>
      <c r="E1769" s="3" t="str">
        <v>Begnins</v>
      </c>
      <c r="I1769" s="19">
        <v>5737</v>
      </c>
      <c r="J1769" s="19" t="s">
        <v>4558</v>
      </c>
    </row>
    <row r="1770" spans="1:10" x14ac:dyDescent="0.2">
      <c r="A1770" s="3">
        <v>9063</v>
      </c>
      <c r="B1770" s="3" t="s">
        <v>1919</v>
      </c>
      <c r="C1770" s="3" t="s">
        <v>1920</v>
      </c>
      <c r="D1770" s="3" t="s">
        <v>1914</v>
      </c>
      <c r="E1770" s="3" t="str">
        <v>Bogis-Bossey</v>
      </c>
      <c r="I1770" s="19">
        <v>5742</v>
      </c>
      <c r="J1770" s="19" t="s">
        <v>4558</v>
      </c>
    </row>
    <row r="1771" spans="1:10" x14ac:dyDescent="0.2">
      <c r="A1771" s="3">
        <v>9107</v>
      </c>
      <c r="B1771" s="3" t="s">
        <v>1921</v>
      </c>
      <c r="C1771" s="3" t="s">
        <v>1921</v>
      </c>
      <c r="D1771" s="3" t="s">
        <v>1914</v>
      </c>
      <c r="E1771" s="3" t="str">
        <v>Borex</v>
      </c>
      <c r="I1771" s="19">
        <v>5745</v>
      </c>
      <c r="J1771" s="19" t="s">
        <v>4558</v>
      </c>
    </row>
    <row r="1772" spans="1:10" x14ac:dyDescent="0.2">
      <c r="A1772" s="3">
        <v>9104</v>
      </c>
      <c r="B1772" s="3" t="s">
        <v>1922</v>
      </c>
      <c r="C1772" s="3" t="s">
        <v>1922</v>
      </c>
      <c r="D1772" s="3" t="s">
        <v>1914</v>
      </c>
      <c r="E1772" s="3" t="str">
        <v>Chavannes-de-Bogis</v>
      </c>
      <c r="I1772" s="19">
        <v>5746</v>
      </c>
      <c r="J1772" s="19" t="s">
        <v>4558</v>
      </c>
    </row>
    <row r="1773" spans="1:10" x14ac:dyDescent="0.2">
      <c r="A1773" s="3">
        <v>9055</v>
      </c>
      <c r="B1773" s="3" t="s">
        <v>1923</v>
      </c>
      <c r="C1773" s="3" t="s">
        <v>1923</v>
      </c>
      <c r="D1773" s="3" t="s">
        <v>1914</v>
      </c>
      <c r="E1773" s="3" t="str">
        <v>Chavannes-des-Bois</v>
      </c>
      <c r="I1773" s="19">
        <v>6003</v>
      </c>
      <c r="J1773" s="19" t="s">
        <v>4555</v>
      </c>
    </row>
    <row r="1774" spans="1:10" x14ac:dyDescent="0.2">
      <c r="A1774" s="3">
        <v>9056</v>
      </c>
      <c r="B1774" s="3" t="s">
        <v>1924</v>
      </c>
      <c r="C1774" s="3" t="s">
        <v>1924</v>
      </c>
      <c r="D1774" s="3" t="s">
        <v>1914</v>
      </c>
      <c r="E1774" s="3" t="str">
        <v>Chéserex</v>
      </c>
      <c r="I1774" s="19">
        <v>6004</v>
      </c>
      <c r="J1774" s="19" t="s">
        <v>4555</v>
      </c>
    </row>
    <row r="1775" spans="1:10" x14ac:dyDescent="0.2">
      <c r="A1775" s="3">
        <v>9037</v>
      </c>
      <c r="B1775" s="3" t="s">
        <v>1925</v>
      </c>
      <c r="C1775" s="3" t="s">
        <v>1926</v>
      </c>
      <c r="D1775" s="3" t="s">
        <v>1914</v>
      </c>
      <c r="E1775" s="3" t="str">
        <v>Coinsins</v>
      </c>
      <c r="I1775" s="19">
        <v>6005</v>
      </c>
      <c r="J1775" s="19" t="s">
        <v>4555</v>
      </c>
    </row>
    <row r="1776" spans="1:10" x14ac:dyDescent="0.2">
      <c r="A1776" s="3">
        <v>9042</v>
      </c>
      <c r="B1776" s="3" t="s">
        <v>1926</v>
      </c>
      <c r="C1776" s="3" t="s">
        <v>1926</v>
      </c>
      <c r="D1776" s="3" t="s">
        <v>1914</v>
      </c>
      <c r="E1776" s="3" t="str">
        <v>Commugny</v>
      </c>
      <c r="I1776" s="19">
        <v>6006</v>
      </c>
      <c r="J1776" s="19" t="s">
        <v>4555</v>
      </c>
    </row>
    <row r="1777" spans="1:10" x14ac:dyDescent="0.2">
      <c r="A1777" s="3">
        <v>9052</v>
      </c>
      <c r="B1777" s="3" t="s">
        <v>1927</v>
      </c>
      <c r="C1777" s="3" t="s">
        <v>1928</v>
      </c>
      <c r="D1777" s="3" t="s">
        <v>1914</v>
      </c>
      <c r="E1777" s="3" t="str">
        <v>Coppet</v>
      </c>
      <c r="I1777" s="19">
        <v>6010</v>
      </c>
      <c r="J1777" s="19" t="s">
        <v>4555</v>
      </c>
    </row>
    <row r="1778" spans="1:10" x14ac:dyDescent="0.2">
      <c r="A1778" s="3">
        <v>9053</v>
      </c>
      <c r="B1778" s="3" t="s">
        <v>1929</v>
      </c>
      <c r="C1778" s="3" t="s">
        <v>1928</v>
      </c>
      <c r="D1778" s="3" t="s">
        <v>1914</v>
      </c>
      <c r="E1778" s="3" t="str">
        <v>Crans (VD)</v>
      </c>
      <c r="I1778" s="19">
        <v>6012</v>
      </c>
      <c r="J1778" s="19" t="s">
        <v>4555</v>
      </c>
    </row>
    <row r="1779" spans="1:10" x14ac:dyDescent="0.2">
      <c r="A1779" s="3">
        <v>9062</v>
      </c>
      <c r="B1779" s="3" t="s">
        <v>1930</v>
      </c>
      <c r="C1779" s="3" t="s">
        <v>1928</v>
      </c>
      <c r="D1779" s="3" t="s">
        <v>1914</v>
      </c>
      <c r="E1779" s="3" t="str">
        <v>Crassier</v>
      </c>
      <c r="I1779" s="19">
        <v>6013</v>
      </c>
      <c r="J1779" s="19" t="s">
        <v>4555</v>
      </c>
    </row>
    <row r="1780" spans="1:10" x14ac:dyDescent="0.2">
      <c r="A1780" s="3">
        <v>9043</v>
      </c>
      <c r="B1780" s="3" t="s">
        <v>1931</v>
      </c>
      <c r="C1780" s="3" t="s">
        <v>1931</v>
      </c>
      <c r="D1780" s="3" t="s">
        <v>1914</v>
      </c>
      <c r="E1780" s="3" t="str">
        <v>Duillier</v>
      </c>
      <c r="I1780" s="19">
        <v>6014</v>
      </c>
      <c r="J1780" s="19" t="s">
        <v>4555</v>
      </c>
    </row>
    <row r="1781" spans="1:10" x14ac:dyDescent="0.2">
      <c r="A1781" s="3">
        <v>9035</v>
      </c>
      <c r="B1781" s="3" t="s">
        <v>1932</v>
      </c>
      <c r="C1781" s="3" t="s">
        <v>1933</v>
      </c>
      <c r="D1781" s="3" t="s">
        <v>1914</v>
      </c>
      <c r="E1781" s="3" t="str">
        <v>Eysins</v>
      </c>
      <c r="I1781" s="19">
        <v>6015</v>
      </c>
      <c r="J1781" s="19" t="s">
        <v>4555</v>
      </c>
    </row>
    <row r="1782" spans="1:10" x14ac:dyDescent="0.2">
      <c r="A1782" s="3">
        <v>9410</v>
      </c>
      <c r="B1782" s="3" t="s">
        <v>1934</v>
      </c>
      <c r="C1782" s="3" t="s">
        <v>1934</v>
      </c>
      <c r="D1782" s="3" t="s">
        <v>1914</v>
      </c>
      <c r="E1782" s="3" t="str">
        <v>Founex</v>
      </c>
      <c r="I1782" s="19">
        <v>6016</v>
      </c>
      <c r="J1782" s="19" t="s">
        <v>4555</v>
      </c>
    </row>
    <row r="1783" spans="1:10" x14ac:dyDescent="0.2">
      <c r="A1783" s="3">
        <v>9405</v>
      </c>
      <c r="B1783" s="3" t="s">
        <v>1935</v>
      </c>
      <c r="C1783" s="3" t="s">
        <v>1936</v>
      </c>
      <c r="D1783" s="3" t="s">
        <v>1914</v>
      </c>
      <c r="E1783" s="3" t="str">
        <v>Genolier</v>
      </c>
      <c r="I1783" s="19">
        <v>6017</v>
      </c>
      <c r="J1783" s="19" t="s">
        <v>4555</v>
      </c>
    </row>
    <row r="1784" spans="1:10" x14ac:dyDescent="0.2">
      <c r="A1784" s="3">
        <v>9426</v>
      </c>
      <c r="B1784" s="3" t="s">
        <v>1936</v>
      </c>
      <c r="C1784" s="3" t="s">
        <v>1936</v>
      </c>
      <c r="D1784" s="3" t="s">
        <v>1914</v>
      </c>
      <c r="E1784" s="3" t="str">
        <v>Gingins</v>
      </c>
      <c r="I1784" s="19">
        <v>6018</v>
      </c>
      <c r="J1784" s="19" t="s">
        <v>4555</v>
      </c>
    </row>
    <row r="1785" spans="1:10" x14ac:dyDescent="0.2">
      <c r="A1785" s="3">
        <v>9038</v>
      </c>
      <c r="B1785" s="3" t="s">
        <v>1937</v>
      </c>
      <c r="C1785" s="3" t="s">
        <v>1937</v>
      </c>
      <c r="D1785" s="3" t="s">
        <v>1914</v>
      </c>
      <c r="E1785" s="3" t="str">
        <v>Givrins</v>
      </c>
      <c r="I1785" s="19">
        <v>6019</v>
      </c>
      <c r="J1785" s="19" t="s">
        <v>4555</v>
      </c>
    </row>
    <row r="1786" spans="1:10" x14ac:dyDescent="0.2">
      <c r="A1786" s="3">
        <v>9411</v>
      </c>
      <c r="B1786" s="3" t="s">
        <v>1938</v>
      </c>
      <c r="C1786" s="3" t="s">
        <v>1939</v>
      </c>
      <c r="D1786" s="3" t="s">
        <v>1914</v>
      </c>
      <c r="E1786" s="3" t="str">
        <v>Gland</v>
      </c>
      <c r="I1786" s="19">
        <v>6020</v>
      </c>
      <c r="J1786" s="19" t="s">
        <v>4555</v>
      </c>
    </row>
    <row r="1787" spans="1:10" x14ac:dyDescent="0.2">
      <c r="A1787" s="3">
        <v>9411</v>
      </c>
      <c r="B1787" s="3" t="s">
        <v>1940</v>
      </c>
      <c r="C1787" s="3" t="s">
        <v>1939</v>
      </c>
      <c r="D1787" s="3" t="s">
        <v>1914</v>
      </c>
      <c r="E1787" s="3" t="str">
        <v>Grens</v>
      </c>
      <c r="I1787" s="19">
        <v>6022</v>
      </c>
      <c r="J1787" s="19" t="s">
        <v>4555</v>
      </c>
    </row>
    <row r="1788" spans="1:10" x14ac:dyDescent="0.2">
      <c r="A1788" s="3">
        <v>9044</v>
      </c>
      <c r="B1788" s="3" t="s">
        <v>1941</v>
      </c>
      <c r="C1788" s="3" t="s">
        <v>1942</v>
      </c>
      <c r="D1788" s="3" t="s">
        <v>1914</v>
      </c>
      <c r="E1788" s="3" t="str">
        <v>Mies</v>
      </c>
      <c r="I1788" s="19">
        <v>6023</v>
      </c>
      <c r="J1788" s="19" t="s">
        <v>4555</v>
      </c>
    </row>
    <row r="1789" spans="1:10" x14ac:dyDescent="0.2">
      <c r="A1789" s="3">
        <v>9428</v>
      </c>
      <c r="B1789" s="3" t="s">
        <v>1943</v>
      </c>
      <c r="C1789" s="3" t="s">
        <v>1943</v>
      </c>
      <c r="D1789" s="3" t="s">
        <v>1914</v>
      </c>
      <c r="E1789" s="3" t="str">
        <v>Nyon</v>
      </c>
      <c r="I1789" s="19">
        <v>6024</v>
      </c>
      <c r="J1789" s="19" t="s">
        <v>4555</v>
      </c>
    </row>
    <row r="1790" spans="1:10" x14ac:dyDescent="0.2">
      <c r="A1790" s="3">
        <v>9427</v>
      </c>
      <c r="B1790" s="3" t="s">
        <v>1944</v>
      </c>
      <c r="C1790" s="3" t="s">
        <v>1944</v>
      </c>
      <c r="D1790" s="3" t="s">
        <v>1914</v>
      </c>
      <c r="E1790" s="3" t="str">
        <v>Prangins</v>
      </c>
      <c r="I1790" s="19">
        <v>6025</v>
      </c>
      <c r="J1790" s="19" t="s">
        <v>4555</v>
      </c>
    </row>
    <row r="1791" spans="1:10" x14ac:dyDescent="0.2">
      <c r="A1791" s="3">
        <v>9050</v>
      </c>
      <c r="B1791" s="3" t="s">
        <v>1945</v>
      </c>
      <c r="C1791" s="3" t="s">
        <v>1945</v>
      </c>
      <c r="D1791" s="3" t="s">
        <v>1946</v>
      </c>
      <c r="E1791" s="3" t="str">
        <v>La Rippe</v>
      </c>
      <c r="I1791" s="19">
        <v>6026</v>
      </c>
      <c r="J1791" s="19" t="s">
        <v>4555</v>
      </c>
    </row>
    <row r="1792" spans="1:10" x14ac:dyDescent="0.2">
      <c r="A1792" s="3">
        <v>9050</v>
      </c>
      <c r="B1792" s="3" t="s">
        <v>1947</v>
      </c>
      <c r="C1792" s="3" t="s">
        <v>1945</v>
      </c>
      <c r="D1792" s="3" t="s">
        <v>1946</v>
      </c>
      <c r="E1792" s="3" t="str">
        <v>Saint-Cergue</v>
      </c>
      <c r="I1792" s="19">
        <v>6027</v>
      </c>
      <c r="J1792" s="19" t="s">
        <v>4555</v>
      </c>
    </row>
    <row r="1793" spans="1:10" x14ac:dyDescent="0.2">
      <c r="A1793" s="3">
        <v>9108</v>
      </c>
      <c r="B1793" s="3" t="s">
        <v>1948</v>
      </c>
      <c r="C1793" s="3" t="s">
        <v>1948</v>
      </c>
      <c r="D1793" s="3" t="s">
        <v>1946</v>
      </c>
      <c r="E1793" s="3" t="str">
        <v>Signy-Avenex</v>
      </c>
      <c r="I1793" s="19">
        <v>6028</v>
      </c>
      <c r="J1793" s="19" t="s">
        <v>4555</v>
      </c>
    </row>
    <row r="1794" spans="1:10" x14ac:dyDescent="0.2">
      <c r="A1794" s="3">
        <v>9108</v>
      </c>
      <c r="B1794" s="3" t="s">
        <v>1949</v>
      </c>
      <c r="C1794" s="3" t="s">
        <v>1948</v>
      </c>
      <c r="D1794" s="3" t="s">
        <v>1946</v>
      </c>
      <c r="E1794" s="3" t="str">
        <v>Tannay</v>
      </c>
      <c r="I1794" s="19">
        <v>6030</v>
      </c>
      <c r="J1794" s="19" t="s">
        <v>4555</v>
      </c>
    </row>
    <row r="1795" spans="1:10" x14ac:dyDescent="0.2">
      <c r="A1795" s="3">
        <v>9108</v>
      </c>
      <c r="B1795" s="3" t="s">
        <v>1950</v>
      </c>
      <c r="C1795" s="3" t="s">
        <v>1948</v>
      </c>
      <c r="D1795" s="3" t="s">
        <v>1946</v>
      </c>
      <c r="E1795" s="3" t="str">
        <v>Trélex</v>
      </c>
      <c r="I1795" s="19">
        <v>6032</v>
      </c>
      <c r="J1795" s="19" t="s">
        <v>4555</v>
      </c>
    </row>
    <row r="1796" spans="1:10" x14ac:dyDescent="0.2">
      <c r="A1796" s="3">
        <v>9050</v>
      </c>
      <c r="B1796" s="3" t="s">
        <v>1951</v>
      </c>
      <c r="C1796" s="3" t="s">
        <v>1952</v>
      </c>
      <c r="D1796" s="3" t="s">
        <v>1946</v>
      </c>
      <c r="E1796" s="3" t="str">
        <v>Le Vaud</v>
      </c>
      <c r="I1796" s="19">
        <v>6033</v>
      </c>
      <c r="J1796" s="19" t="s">
        <v>4555</v>
      </c>
    </row>
    <row r="1797" spans="1:10" x14ac:dyDescent="0.2">
      <c r="A1797" s="3">
        <v>9050</v>
      </c>
      <c r="B1797" s="3" t="s">
        <v>1953</v>
      </c>
      <c r="C1797" s="3" t="s">
        <v>1952</v>
      </c>
      <c r="D1797" s="3" t="s">
        <v>1946</v>
      </c>
      <c r="E1797" s="3" t="str">
        <v>Vich</v>
      </c>
      <c r="I1797" s="19">
        <v>6034</v>
      </c>
      <c r="J1797" s="19" t="s">
        <v>4555</v>
      </c>
    </row>
    <row r="1798" spans="1:10" x14ac:dyDescent="0.2">
      <c r="A1798" s="3">
        <v>9054</v>
      </c>
      <c r="B1798" s="3" t="s">
        <v>1954</v>
      </c>
      <c r="C1798" s="3" t="s">
        <v>1952</v>
      </c>
      <c r="D1798" s="3" t="s">
        <v>1946</v>
      </c>
      <c r="E1798" s="3" t="str">
        <v>L'Abergement</v>
      </c>
      <c r="I1798" s="19">
        <v>6035</v>
      </c>
      <c r="J1798" s="19" t="s">
        <v>4555</v>
      </c>
    </row>
    <row r="1799" spans="1:10" x14ac:dyDescent="0.2">
      <c r="A1799" s="3">
        <v>9413</v>
      </c>
      <c r="B1799" s="3" t="s">
        <v>1955</v>
      </c>
      <c r="C1799" s="3" t="s">
        <v>1955</v>
      </c>
      <c r="D1799" s="3" t="s">
        <v>1946</v>
      </c>
      <c r="E1799" s="3" t="str">
        <v>Agiez</v>
      </c>
      <c r="I1799" s="19">
        <v>6036</v>
      </c>
      <c r="J1799" s="19" t="s">
        <v>4555</v>
      </c>
    </row>
    <row r="1800" spans="1:10" x14ac:dyDescent="0.2">
      <c r="A1800" s="3">
        <v>9413</v>
      </c>
      <c r="B1800" s="3" t="s">
        <v>1955</v>
      </c>
      <c r="C1800" s="3" t="s">
        <v>1955</v>
      </c>
      <c r="D1800" s="3" t="s">
        <v>1946</v>
      </c>
      <c r="E1800" s="3" t="str">
        <v>Arnex-sur-Orbe</v>
      </c>
      <c r="I1800" s="19">
        <v>6037</v>
      </c>
      <c r="J1800" s="19" t="s">
        <v>4555</v>
      </c>
    </row>
    <row r="1801" spans="1:10" x14ac:dyDescent="0.2">
      <c r="A1801" s="3">
        <v>9442</v>
      </c>
      <c r="B1801" s="3" t="s">
        <v>1956</v>
      </c>
      <c r="C1801" s="3" t="s">
        <v>1955</v>
      </c>
      <c r="D1801" s="3" t="s">
        <v>1946</v>
      </c>
      <c r="E1801" s="3" t="str">
        <v>Ballaigues</v>
      </c>
      <c r="I1801" s="19">
        <v>6038</v>
      </c>
      <c r="J1801" s="19" t="s">
        <v>4555</v>
      </c>
    </row>
    <row r="1802" spans="1:10" x14ac:dyDescent="0.2">
      <c r="A1802" s="3">
        <v>9050</v>
      </c>
      <c r="B1802" s="3" t="s">
        <v>1957</v>
      </c>
      <c r="C1802" s="3" t="s">
        <v>1958</v>
      </c>
      <c r="D1802" s="3" t="s">
        <v>1946</v>
      </c>
      <c r="E1802" s="3" t="str">
        <v>Baulmes</v>
      </c>
      <c r="I1802" s="19">
        <v>6039</v>
      </c>
      <c r="J1802" s="19" t="s">
        <v>4555</v>
      </c>
    </row>
    <row r="1803" spans="1:10" x14ac:dyDescent="0.2">
      <c r="A1803" s="3">
        <v>9050</v>
      </c>
      <c r="B1803" s="3" t="s">
        <v>1959</v>
      </c>
      <c r="C1803" s="3" t="s">
        <v>1958</v>
      </c>
      <c r="D1803" s="3" t="s">
        <v>1946</v>
      </c>
      <c r="E1803" s="3" t="str">
        <v>Bavois</v>
      </c>
      <c r="I1803" s="19">
        <v>6042</v>
      </c>
      <c r="J1803" s="19" t="s">
        <v>4555</v>
      </c>
    </row>
    <row r="1804" spans="1:10" x14ac:dyDescent="0.2">
      <c r="A1804" s="3">
        <v>9057</v>
      </c>
      <c r="B1804" s="3" t="s">
        <v>1960</v>
      </c>
      <c r="C1804" s="3" t="s">
        <v>1958</v>
      </c>
      <c r="D1804" s="3" t="s">
        <v>1946</v>
      </c>
      <c r="E1804" s="3" t="str">
        <v>Bofflens</v>
      </c>
      <c r="I1804" s="19">
        <v>6043</v>
      </c>
      <c r="J1804" s="19" t="s">
        <v>4555</v>
      </c>
    </row>
    <row r="1805" spans="1:10" x14ac:dyDescent="0.2">
      <c r="A1805" s="3">
        <v>9057</v>
      </c>
      <c r="B1805" s="3" t="s">
        <v>1961</v>
      </c>
      <c r="C1805" s="3" t="s">
        <v>1958</v>
      </c>
      <c r="D1805" s="3" t="s">
        <v>1946</v>
      </c>
      <c r="E1805" s="3" t="str">
        <v>Bretonnières</v>
      </c>
      <c r="I1805" s="19">
        <v>6044</v>
      </c>
      <c r="J1805" s="19" t="s">
        <v>4555</v>
      </c>
    </row>
    <row r="1806" spans="1:10" x14ac:dyDescent="0.2">
      <c r="A1806" s="3">
        <v>9057</v>
      </c>
      <c r="B1806" s="3" t="s">
        <v>1962</v>
      </c>
      <c r="C1806" s="3" t="s">
        <v>1958</v>
      </c>
      <c r="D1806" s="3" t="s">
        <v>1946</v>
      </c>
      <c r="E1806" s="3" t="str">
        <v>Chavornay</v>
      </c>
      <c r="I1806" s="19">
        <v>6045</v>
      </c>
      <c r="J1806" s="19" t="s">
        <v>4555</v>
      </c>
    </row>
    <row r="1807" spans="1:10" x14ac:dyDescent="0.2">
      <c r="A1807" s="3">
        <v>9058</v>
      </c>
      <c r="B1807" s="3" t="s">
        <v>1963</v>
      </c>
      <c r="C1807" s="3" t="s">
        <v>1958</v>
      </c>
      <c r="D1807" s="3" t="s">
        <v>1946</v>
      </c>
      <c r="E1807" s="3" t="str">
        <v>Les Clées</v>
      </c>
      <c r="I1807" s="19">
        <v>6047</v>
      </c>
      <c r="J1807" s="19" t="s">
        <v>4555</v>
      </c>
    </row>
    <row r="1808" spans="1:10" x14ac:dyDescent="0.2">
      <c r="A1808" s="3">
        <v>9308</v>
      </c>
      <c r="B1808" s="3" t="s">
        <v>1964</v>
      </c>
      <c r="C1808" s="3" t="s">
        <v>1965</v>
      </c>
      <c r="D1808" s="3" t="s">
        <v>1966</v>
      </c>
      <c r="E1808" s="3" t="str">
        <v>Croy</v>
      </c>
      <c r="I1808" s="19">
        <v>6048</v>
      </c>
      <c r="J1808" s="19" t="s">
        <v>4555</v>
      </c>
    </row>
    <row r="1809" spans="1:10" x14ac:dyDescent="0.2">
      <c r="A1809" s="3">
        <v>9312</v>
      </c>
      <c r="B1809" s="3" t="s">
        <v>1965</v>
      </c>
      <c r="C1809" s="3" t="s">
        <v>1965</v>
      </c>
      <c r="D1809" s="3" t="s">
        <v>1966</v>
      </c>
      <c r="E1809" s="3" t="str">
        <v>Juriens</v>
      </c>
      <c r="I1809" s="19">
        <v>6052</v>
      </c>
      <c r="J1809" s="19" t="s">
        <v>4555</v>
      </c>
    </row>
    <row r="1810" spans="1:10" x14ac:dyDescent="0.2">
      <c r="A1810" s="3">
        <v>9313</v>
      </c>
      <c r="B1810" s="3" t="s">
        <v>1967</v>
      </c>
      <c r="C1810" s="3" t="s">
        <v>1967</v>
      </c>
      <c r="D1810" s="3" t="s">
        <v>1966</v>
      </c>
      <c r="E1810" s="3" t="str">
        <v>Lignerolle</v>
      </c>
      <c r="I1810" s="19">
        <v>6053</v>
      </c>
      <c r="J1810" s="19" t="s">
        <v>4555</v>
      </c>
    </row>
    <row r="1811" spans="1:10" x14ac:dyDescent="0.2">
      <c r="A1811" s="3">
        <v>9000</v>
      </c>
      <c r="B1811" s="3" t="s">
        <v>1968</v>
      </c>
      <c r="C1811" s="3" t="s">
        <v>1968</v>
      </c>
      <c r="D1811" s="3" t="s">
        <v>1966</v>
      </c>
      <c r="E1811" s="3" t="str">
        <v>Montcherand</v>
      </c>
      <c r="I1811" s="19">
        <v>6055</v>
      </c>
      <c r="J1811" s="19" t="s">
        <v>4555</v>
      </c>
    </row>
    <row r="1812" spans="1:10" x14ac:dyDescent="0.2">
      <c r="A1812" s="3">
        <v>9008</v>
      </c>
      <c r="B1812" s="3" t="s">
        <v>1968</v>
      </c>
      <c r="C1812" s="3" t="s">
        <v>1968</v>
      </c>
      <c r="D1812" s="3" t="s">
        <v>1966</v>
      </c>
      <c r="E1812" s="3" t="str">
        <v>Orbe</v>
      </c>
      <c r="I1812" s="19">
        <v>6056</v>
      </c>
      <c r="J1812" s="19" t="s">
        <v>4555</v>
      </c>
    </row>
    <row r="1813" spans="1:10" x14ac:dyDescent="0.2">
      <c r="A1813" s="3">
        <v>9010</v>
      </c>
      <c r="B1813" s="3" t="s">
        <v>1968</v>
      </c>
      <c r="C1813" s="3" t="s">
        <v>1968</v>
      </c>
      <c r="D1813" s="3" t="s">
        <v>1966</v>
      </c>
      <c r="E1813" s="3" t="str">
        <v>La Praz</v>
      </c>
      <c r="I1813" s="19">
        <v>6060</v>
      </c>
      <c r="J1813" s="19" t="s">
        <v>4555</v>
      </c>
    </row>
    <row r="1814" spans="1:10" x14ac:dyDescent="0.2">
      <c r="A1814" s="3">
        <v>9011</v>
      </c>
      <c r="B1814" s="3" t="s">
        <v>1968</v>
      </c>
      <c r="C1814" s="3" t="s">
        <v>1968</v>
      </c>
      <c r="D1814" s="3" t="s">
        <v>1966</v>
      </c>
      <c r="E1814" s="3" t="str">
        <v>Premier</v>
      </c>
      <c r="I1814" s="19">
        <v>6062</v>
      </c>
      <c r="J1814" s="19" t="s">
        <v>4555</v>
      </c>
    </row>
    <row r="1815" spans="1:10" x14ac:dyDescent="0.2">
      <c r="A1815" s="3">
        <v>9012</v>
      </c>
      <c r="B1815" s="3" t="s">
        <v>1968</v>
      </c>
      <c r="C1815" s="3" t="s">
        <v>1968</v>
      </c>
      <c r="D1815" s="3" t="s">
        <v>1966</v>
      </c>
      <c r="E1815" s="3" t="str">
        <v>Rances</v>
      </c>
      <c r="I1815" s="19">
        <v>6063</v>
      </c>
      <c r="J1815" s="19" t="s">
        <v>4555</v>
      </c>
    </row>
    <row r="1816" spans="1:10" x14ac:dyDescent="0.2">
      <c r="A1816" s="3">
        <v>9014</v>
      </c>
      <c r="B1816" s="3" t="s">
        <v>1968</v>
      </c>
      <c r="C1816" s="3" t="s">
        <v>1968</v>
      </c>
      <c r="D1816" s="3" t="s">
        <v>1966</v>
      </c>
      <c r="E1816" s="3" t="str">
        <v>Romainmôtier-Envy</v>
      </c>
      <c r="I1816" s="19">
        <v>6064</v>
      </c>
      <c r="J1816" s="19" t="s">
        <v>4555</v>
      </c>
    </row>
    <row r="1817" spans="1:10" x14ac:dyDescent="0.2">
      <c r="A1817" s="3">
        <v>9015</v>
      </c>
      <c r="B1817" s="3" t="s">
        <v>1968</v>
      </c>
      <c r="C1817" s="3" t="s">
        <v>1968</v>
      </c>
      <c r="D1817" s="3" t="s">
        <v>1966</v>
      </c>
      <c r="E1817" s="3" t="str">
        <v>Sergey</v>
      </c>
      <c r="I1817" s="19">
        <v>6066</v>
      </c>
      <c r="J1817" s="19" t="s">
        <v>4555</v>
      </c>
    </row>
    <row r="1818" spans="1:10" x14ac:dyDescent="0.2">
      <c r="A1818" s="3">
        <v>9016</v>
      </c>
      <c r="B1818" s="3" t="s">
        <v>1968</v>
      </c>
      <c r="C1818" s="3" t="s">
        <v>1968</v>
      </c>
      <c r="D1818" s="3" t="s">
        <v>1966</v>
      </c>
      <c r="E1818" s="3" t="str">
        <v>Valeyres-sous-Rances</v>
      </c>
      <c r="I1818" s="19">
        <v>6067</v>
      </c>
      <c r="J1818" s="19" t="s">
        <v>4561</v>
      </c>
    </row>
    <row r="1819" spans="1:10" x14ac:dyDescent="0.2">
      <c r="A1819" s="3">
        <v>9300</v>
      </c>
      <c r="B1819" s="3" t="s">
        <v>1969</v>
      </c>
      <c r="C1819" s="3" t="s">
        <v>1969</v>
      </c>
      <c r="D1819" s="3" t="s">
        <v>1966</v>
      </c>
      <c r="E1819" s="3" t="str">
        <v>Vallorbe</v>
      </c>
      <c r="I1819" s="19">
        <v>6068</v>
      </c>
      <c r="J1819" s="19" t="s">
        <v>4561</v>
      </c>
    </row>
    <row r="1820" spans="1:10" x14ac:dyDescent="0.2">
      <c r="A1820" s="3">
        <v>9305</v>
      </c>
      <c r="B1820" s="3" t="s">
        <v>1970</v>
      </c>
      <c r="C1820" s="3" t="s">
        <v>1971</v>
      </c>
      <c r="D1820" s="3" t="s">
        <v>1966</v>
      </c>
      <c r="E1820" s="3" t="str">
        <v>Vaulion</v>
      </c>
      <c r="I1820" s="19">
        <v>6072</v>
      </c>
      <c r="J1820" s="19" t="s">
        <v>4555</v>
      </c>
    </row>
    <row r="1821" spans="1:10" x14ac:dyDescent="0.2">
      <c r="A1821" s="3">
        <v>9034</v>
      </c>
      <c r="B1821" s="3" t="s">
        <v>1972</v>
      </c>
      <c r="C1821" s="3" t="s">
        <v>1972</v>
      </c>
      <c r="D1821" s="3" t="s">
        <v>1966</v>
      </c>
      <c r="E1821" s="3" t="str">
        <v>Vuiteboeuf</v>
      </c>
      <c r="I1821" s="19">
        <v>6073</v>
      </c>
      <c r="J1821" s="19" t="s">
        <v>4555</v>
      </c>
    </row>
    <row r="1822" spans="1:10" x14ac:dyDescent="0.2">
      <c r="A1822" s="3">
        <v>9036</v>
      </c>
      <c r="B1822" s="3" t="s">
        <v>1973</v>
      </c>
      <c r="C1822" s="3" t="s">
        <v>1972</v>
      </c>
      <c r="D1822" s="3" t="s">
        <v>1966</v>
      </c>
      <c r="E1822" s="3" t="str">
        <v>Corcelles-le-Jorat</v>
      </c>
      <c r="I1822" s="19">
        <v>6074</v>
      </c>
      <c r="J1822" s="19" t="s">
        <v>4555</v>
      </c>
    </row>
    <row r="1823" spans="1:10" x14ac:dyDescent="0.2">
      <c r="A1823" s="3">
        <v>9403</v>
      </c>
      <c r="B1823" s="3" t="s">
        <v>1974</v>
      </c>
      <c r="C1823" s="3" t="s">
        <v>1974</v>
      </c>
      <c r="D1823" s="3" t="s">
        <v>1966</v>
      </c>
      <c r="E1823" s="3" t="str">
        <v>Maracon</v>
      </c>
      <c r="I1823" s="19">
        <v>6078</v>
      </c>
      <c r="J1823" s="19" t="s">
        <v>4555</v>
      </c>
    </row>
    <row r="1824" spans="1:10" x14ac:dyDescent="0.2">
      <c r="A1824" s="3">
        <v>9402</v>
      </c>
      <c r="B1824" s="3" t="s">
        <v>1975</v>
      </c>
      <c r="C1824" s="3" t="s">
        <v>1975</v>
      </c>
      <c r="D1824" s="3" t="s">
        <v>1966</v>
      </c>
      <c r="E1824" s="3" t="str">
        <v>Montpreveyres</v>
      </c>
      <c r="I1824" s="19">
        <v>6083</v>
      </c>
      <c r="J1824" s="19" t="s">
        <v>4553</v>
      </c>
    </row>
    <row r="1825" spans="1:10" x14ac:dyDescent="0.2">
      <c r="A1825" s="3">
        <v>9400</v>
      </c>
      <c r="B1825" s="3" t="s">
        <v>1976</v>
      </c>
      <c r="C1825" s="3" t="s">
        <v>1976</v>
      </c>
      <c r="D1825" s="3" t="s">
        <v>1966</v>
      </c>
      <c r="E1825" s="3" t="str">
        <v>Ropraz</v>
      </c>
      <c r="I1825" s="19">
        <v>6084</v>
      </c>
      <c r="J1825" s="19" t="s">
        <v>4553</v>
      </c>
    </row>
    <row r="1826" spans="1:10" x14ac:dyDescent="0.2">
      <c r="A1826" s="3">
        <v>9404</v>
      </c>
      <c r="B1826" s="3" t="s">
        <v>1977</v>
      </c>
      <c r="C1826" s="3" t="s">
        <v>1977</v>
      </c>
      <c r="D1826" s="3" t="s">
        <v>1966</v>
      </c>
      <c r="E1826" s="3" t="str">
        <v>Servion</v>
      </c>
      <c r="I1826" s="19">
        <v>6085</v>
      </c>
      <c r="J1826" s="19" t="s">
        <v>4553</v>
      </c>
    </row>
    <row r="1827" spans="1:10" x14ac:dyDescent="0.2">
      <c r="A1827" s="3">
        <v>9323</v>
      </c>
      <c r="B1827" s="3" t="s">
        <v>1978</v>
      </c>
      <c r="C1827" s="3" t="s">
        <v>1978</v>
      </c>
      <c r="D1827" s="3" t="s">
        <v>1966</v>
      </c>
      <c r="E1827" s="3" t="str">
        <v>Vulliens</v>
      </c>
      <c r="I1827" s="19">
        <v>6086</v>
      </c>
      <c r="J1827" s="19" t="s">
        <v>4553</v>
      </c>
    </row>
    <row r="1828" spans="1:10" x14ac:dyDescent="0.2">
      <c r="A1828" s="3">
        <v>9327</v>
      </c>
      <c r="B1828" s="3" t="s">
        <v>1979</v>
      </c>
      <c r="C1828" s="3" t="s">
        <v>1979</v>
      </c>
      <c r="D1828" s="3" t="s">
        <v>1966</v>
      </c>
      <c r="E1828" s="3" t="str">
        <v>Jorat-Menthue</v>
      </c>
      <c r="I1828" s="19">
        <v>6102</v>
      </c>
      <c r="J1828" s="19" t="s">
        <v>4555</v>
      </c>
    </row>
    <row r="1829" spans="1:10" x14ac:dyDescent="0.2">
      <c r="A1829" s="3">
        <v>9033</v>
      </c>
      <c r="B1829" s="3" t="s">
        <v>1980</v>
      </c>
      <c r="C1829" s="3" t="s">
        <v>1980</v>
      </c>
      <c r="D1829" s="3" t="s">
        <v>1966</v>
      </c>
      <c r="E1829" s="3" t="str">
        <v>Oron</v>
      </c>
      <c r="I1829" s="19">
        <v>6103</v>
      </c>
      <c r="J1829" s="19" t="s">
        <v>4555</v>
      </c>
    </row>
    <row r="1830" spans="1:10" x14ac:dyDescent="0.2">
      <c r="A1830" s="3">
        <v>9434</v>
      </c>
      <c r="B1830" s="3" t="s">
        <v>1981</v>
      </c>
      <c r="C1830" s="3" t="s">
        <v>1982</v>
      </c>
      <c r="D1830" s="3" t="s">
        <v>1966</v>
      </c>
      <c r="E1830" s="3" t="str">
        <v>Jorat-Mézières</v>
      </c>
      <c r="I1830" s="19">
        <v>6105</v>
      </c>
      <c r="J1830" s="19" t="s">
        <v>4555</v>
      </c>
    </row>
    <row r="1831" spans="1:10" x14ac:dyDescent="0.2">
      <c r="A1831" s="3">
        <v>9435</v>
      </c>
      <c r="B1831" s="3" t="s">
        <v>1983</v>
      </c>
      <c r="C1831" s="3" t="s">
        <v>1982</v>
      </c>
      <c r="D1831" s="3" t="s">
        <v>1966</v>
      </c>
      <c r="E1831" s="3" t="str">
        <v>Champtauroz</v>
      </c>
      <c r="I1831" s="19">
        <v>6106</v>
      </c>
      <c r="J1831" s="19" t="s">
        <v>4555</v>
      </c>
    </row>
    <row r="1832" spans="1:10" x14ac:dyDescent="0.2">
      <c r="A1832" s="3">
        <v>9436</v>
      </c>
      <c r="B1832" s="3" t="s">
        <v>1984</v>
      </c>
      <c r="C1832" s="3" t="s">
        <v>1984</v>
      </c>
      <c r="D1832" s="3" t="s">
        <v>1966</v>
      </c>
      <c r="E1832" s="3" t="str">
        <v>Chevroux</v>
      </c>
      <c r="I1832" s="19">
        <v>6110</v>
      </c>
      <c r="J1832" s="19" t="s">
        <v>4555</v>
      </c>
    </row>
    <row r="1833" spans="1:10" x14ac:dyDescent="0.2">
      <c r="A1833" s="3">
        <v>9411</v>
      </c>
      <c r="B1833" s="3" t="s">
        <v>1938</v>
      </c>
      <c r="C1833" s="3" t="s">
        <v>1985</v>
      </c>
      <c r="D1833" s="3" t="s">
        <v>1966</v>
      </c>
      <c r="E1833" s="3" t="str">
        <v>Corcelles-près-Payerne</v>
      </c>
      <c r="I1833" s="19">
        <v>6112</v>
      </c>
      <c r="J1833" s="19" t="s">
        <v>4555</v>
      </c>
    </row>
    <row r="1834" spans="1:10" x14ac:dyDescent="0.2">
      <c r="A1834" s="3">
        <v>9442</v>
      </c>
      <c r="B1834" s="3" t="s">
        <v>1985</v>
      </c>
      <c r="C1834" s="3" t="s">
        <v>1985</v>
      </c>
      <c r="D1834" s="3" t="s">
        <v>1966</v>
      </c>
      <c r="E1834" s="3" t="str">
        <v>Grandcour</v>
      </c>
      <c r="I1834" s="19">
        <v>6113</v>
      </c>
      <c r="J1834" s="19" t="s">
        <v>4555</v>
      </c>
    </row>
    <row r="1835" spans="1:10" x14ac:dyDescent="0.2">
      <c r="A1835" s="3">
        <v>9444</v>
      </c>
      <c r="B1835" s="3" t="s">
        <v>1986</v>
      </c>
      <c r="C1835" s="3" t="s">
        <v>1986</v>
      </c>
      <c r="D1835" s="3" t="s">
        <v>1966</v>
      </c>
      <c r="E1835" s="3" t="str">
        <v>Henniez</v>
      </c>
      <c r="I1835" s="19">
        <v>6114</v>
      </c>
      <c r="J1835" s="19" t="s">
        <v>4555</v>
      </c>
    </row>
    <row r="1836" spans="1:10" x14ac:dyDescent="0.2">
      <c r="A1836" s="3">
        <v>9424</v>
      </c>
      <c r="B1836" s="3" t="s">
        <v>1987</v>
      </c>
      <c r="C1836" s="3" t="s">
        <v>1987</v>
      </c>
      <c r="D1836" s="3" t="s">
        <v>1966</v>
      </c>
      <c r="E1836" s="3" t="str">
        <v>Missy</v>
      </c>
      <c r="I1836" s="19">
        <v>6122</v>
      </c>
      <c r="J1836" s="19" t="s">
        <v>4555</v>
      </c>
    </row>
    <row r="1837" spans="1:10" x14ac:dyDescent="0.2">
      <c r="A1837" s="3">
        <v>9430</v>
      </c>
      <c r="B1837" s="3" t="s">
        <v>1988</v>
      </c>
      <c r="C1837" s="3" t="s">
        <v>1989</v>
      </c>
      <c r="D1837" s="3" t="s">
        <v>1966</v>
      </c>
      <c r="E1837" s="3" t="str">
        <v>Payerne</v>
      </c>
      <c r="I1837" s="19">
        <v>6123</v>
      </c>
      <c r="J1837" s="19" t="s">
        <v>4555</v>
      </c>
    </row>
    <row r="1838" spans="1:10" x14ac:dyDescent="0.2">
      <c r="A1838" s="3">
        <v>9422</v>
      </c>
      <c r="B1838" s="3" t="s">
        <v>1990</v>
      </c>
      <c r="C1838" s="3" t="s">
        <v>1991</v>
      </c>
      <c r="D1838" s="3" t="s">
        <v>1966</v>
      </c>
      <c r="E1838" s="3" t="str">
        <v>Trey</v>
      </c>
      <c r="I1838" s="19">
        <v>6125</v>
      </c>
      <c r="J1838" s="19" t="s">
        <v>4555</v>
      </c>
    </row>
    <row r="1839" spans="1:10" x14ac:dyDescent="0.2">
      <c r="A1839" s="3">
        <v>9423</v>
      </c>
      <c r="B1839" s="3" t="s">
        <v>1992</v>
      </c>
      <c r="C1839" s="3" t="s">
        <v>1991</v>
      </c>
      <c r="D1839" s="3" t="s">
        <v>1966</v>
      </c>
      <c r="E1839" s="3" t="str">
        <v>Treytorrens (Payerne)</v>
      </c>
      <c r="I1839" s="19">
        <v>6126</v>
      </c>
      <c r="J1839" s="19" t="s">
        <v>4555</v>
      </c>
    </row>
    <row r="1840" spans="1:10" x14ac:dyDescent="0.2">
      <c r="A1840" s="3">
        <v>9425</v>
      </c>
      <c r="B1840" s="3" t="s">
        <v>1991</v>
      </c>
      <c r="C1840" s="3" t="s">
        <v>1991</v>
      </c>
      <c r="D1840" s="3" t="s">
        <v>1966</v>
      </c>
      <c r="E1840" s="3" t="str">
        <v>Villarzel</v>
      </c>
      <c r="I1840" s="19">
        <v>6130</v>
      </c>
      <c r="J1840" s="19" t="s">
        <v>4554</v>
      </c>
    </row>
    <row r="1841" spans="1:10" x14ac:dyDescent="0.2">
      <c r="A1841" s="3">
        <v>9443</v>
      </c>
      <c r="B1841" s="3" t="s">
        <v>1993</v>
      </c>
      <c r="C1841" s="3" t="s">
        <v>1993</v>
      </c>
      <c r="D1841" s="3" t="s">
        <v>1966</v>
      </c>
      <c r="E1841" s="3" t="str">
        <v>Valbroye</v>
      </c>
      <c r="I1841" s="19">
        <v>6132</v>
      </c>
      <c r="J1841" s="19" t="s">
        <v>4554</v>
      </c>
    </row>
    <row r="1842" spans="1:10" x14ac:dyDescent="0.2">
      <c r="A1842" s="3">
        <v>9450</v>
      </c>
      <c r="B1842" s="3" t="s">
        <v>1994</v>
      </c>
      <c r="C1842" s="3" t="s">
        <v>1995</v>
      </c>
      <c r="D1842" s="3" t="s">
        <v>1966</v>
      </c>
      <c r="E1842" s="3" t="str">
        <v>Château-d'Oex</v>
      </c>
      <c r="I1842" s="19">
        <v>6133</v>
      </c>
      <c r="J1842" s="19" t="s">
        <v>4554</v>
      </c>
    </row>
    <row r="1843" spans="1:10" x14ac:dyDescent="0.2">
      <c r="A1843" s="3">
        <v>9450</v>
      </c>
      <c r="B1843" s="3" t="s">
        <v>1996</v>
      </c>
      <c r="C1843" s="3" t="s">
        <v>1995</v>
      </c>
      <c r="D1843" s="3" t="s">
        <v>1966</v>
      </c>
      <c r="E1843" s="3" t="str">
        <v>Rossinière</v>
      </c>
      <c r="I1843" s="19">
        <v>6142</v>
      </c>
      <c r="J1843" s="19" t="s">
        <v>4554</v>
      </c>
    </row>
    <row r="1844" spans="1:10" x14ac:dyDescent="0.2">
      <c r="A1844" s="3">
        <v>9452</v>
      </c>
      <c r="B1844" s="3" t="s">
        <v>1997</v>
      </c>
      <c r="C1844" s="3" t="s">
        <v>1995</v>
      </c>
      <c r="D1844" s="3" t="s">
        <v>1966</v>
      </c>
      <c r="E1844" s="3" t="str">
        <v>Rougemont</v>
      </c>
      <c r="I1844" s="19">
        <v>6143</v>
      </c>
      <c r="J1844" s="19" t="s">
        <v>4554</v>
      </c>
    </row>
    <row r="1845" spans="1:10" x14ac:dyDescent="0.2">
      <c r="A1845" s="3">
        <v>9464</v>
      </c>
      <c r="B1845" s="3" t="s">
        <v>1998</v>
      </c>
      <c r="C1845" s="3" t="s">
        <v>1995</v>
      </c>
      <c r="D1845" s="3" t="s">
        <v>1966</v>
      </c>
      <c r="E1845" s="3" t="str">
        <v>Allaman</v>
      </c>
      <c r="I1845" s="19">
        <v>6144</v>
      </c>
      <c r="J1845" s="19" t="s">
        <v>4554</v>
      </c>
    </row>
    <row r="1846" spans="1:10" x14ac:dyDescent="0.2">
      <c r="A1846" s="3">
        <v>9453</v>
      </c>
      <c r="B1846" s="3" t="s">
        <v>1999</v>
      </c>
      <c r="C1846" s="3" t="s">
        <v>1999</v>
      </c>
      <c r="D1846" s="3" t="s">
        <v>1966</v>
      </c>
      <c r="E1846" s="3" t="str">
        <v>Bursinel</v>
      </c>
      <c r="I1846" s="19">
        <v>6145</v>
      </c>
      <c r="J1846" s="19" t="s">
        <v>4554</v>
      </c>
    </row>
    <row r="1847" spans="1:10" x14ac:dyDescent="0.2">
      <c r="A1847" s="3">
        <v>9437</v>
      </c>
      <c r="B1847" s="3" t="s">
        <v>2000</v>
      </c>
      <c r="C1847" s="3" t="s">
        <v>2001</v>
      </c>
      <c r="D1847" s="3" t="s">
        <v>1966</v>
      </c>
      <c r="E1847" s="3" t="str">
        <v>Bursins</v>
      </c>
      <c r="I1847" s="19">
        <v>6146</v>
      </c>
      <c r="J1847" s="19" t="s">
        <v>4554</v>
      </c>
    </row>
    <row r="1848" spans="1:10" x14ac:dyDescent="0.2">
      <c r="A1848" s="3">
        <v>9451</v>
      </c>
      <c r="B1848" s="3" t="s">
        <v>2002</v>
      </c>
      <c r="C1848" s="3" t="s">
        <v>2003</v>
      </c>
      <c r="D1848" s="3" t="s">
        <v>1966</v>
      </c>
      <c r="E1848" s="3" t="str">
        <v>Burtigny</v>
      </c>
      <c r="I1848" s="19">
        <v>6147</v>
      </c>
      <c r="J1848" s="19" t="s">
        <v>4554</v>
      </c>
    </row>
    <row r="1849" spans="1:10" x14ac:dyDescent="0.2">
      <c r="A1849" s="3">
        <v>9462</v>
      </c>
      <c r="B1849" s="3" t="s">
        <v>2004</v>
      </c>
      <c r="C1849" s="3" t="s">
        <v>2003</v>
      </c>
      <c r="D1849" s="3" t="s">
        <v>1966</v>
      </c>
      <c r="E1849" s="3" t="str">
        <v>Dully</v>
      </c>
      <c r="I1849" s="19">
        <v>6152</v>
      </c>
      <c r="J1849" s="19" t="s">
        <v>4554</v>
      </c>
    </row>
    <row r="1850" spans="1:10" x14ac:dyDescent="0.2">
      <c r="A1850" s="3">
        <v>9463</v>
      </c>
      <c r="B1850" s="3" t="s">
        <v>2005</v>
      </c>
      <c r="C1850" s="3" t="s">
        <v>2003</v>
      </c>
      <c r="D1850" s="3" t="s">
        <v>1966</v>
      </c>
      <c r="E1850" s="3" t="str">
        <v>Essertines-sur-Rolle</v>
      </c>
      <c r="I1850" s="19">
        <v>6153</v>
      </c>
      <c r="J1850" s="19" t="s">
        <v>4554</v>
      </c>
    </row>
    <row r="1851" spans="1:10" x14ac:dyDescent="0.2">
      <c r="A1851" s="3">
        <v>9445</v>
      </c>
      <c r="B1851" s="3" t="s">
        <v>2006</v>
      </c>
      <c r="C1851" s="3" t="s">
        <v>2006</v>
      </c>
      <c r="D1851" s="3" t="s">
        <v>1966</v>
      </c>
      <c r="E1851" s="3" t="str">
        <v>Gilly</v>
      </c>
      <c r="I1851" s="19">
        <v>6154</v>
      </c>
      <c r="J1851" s="19" t="s">
        <v>4554</v>
      </c>
    </row>
    <row r="1852" spans="1:10" x14ac:dyDescent="0.2">
      <c r="A1852" s="3">
        <v>9464</v>
      </c>
      <c r="B1852" s="3" t="s">
        <v>2007</v>
      </c>
      <c r="C1852" s="3" t="s">
        <v>2008</v>
      </c>
      <c r="D1852" s="3" t="s">
        <v>1966</v>
      </c>
      <c r="E1852" s="3" t="str">
        <v>Luins</v>
      </c>
      <c r="I1852" s="19">
        <v>6156</v>
      </c>
      <c r="J1852" s="19" t="s">
        <v>4554</v>
      </c>
    </row>
    <row r="1853" spans="1:10" x14ac:dyDescent="0.2">
      <c r="A1853" s="3">
        <v>9470</v>
      </c>
      <c r="B1853" s="3" t="s">
        <v>2009</v>
      </c>
      <c r="C1853" s="3" t="s">
        <v>2010</v>
      </c>
      <c r="D1853" s="3" t="s">
        <v>1966</v>
      </c>
      <c r="E1853" s="3" t="str">
        <v>Mont-sur-Rolle</v>
      </c>
      <c r="I1853" s="19">
        <v>6162</v>
      </c>
      <c r="J1853" s="19" t="s">
        <v>4555</v>
      </c>
    </row>
    <row r="1854" spans="1:10" x14ac:dyDescent="0.2">
      <c r="A1854" s="3">
        <v>9473</v>
      </c>
      <c r="B1854" s="3" t="s">
        <v>2011</v>
      </c>
      <c r="C1854" s="3" t="s">
        <v>2011</v>
      </c>
      <c r="D1854" s="3" t="s">
        <v>1966</v>
      </c>
      <c r="E1854" s="3" t="str">
        <v>Perroy</v>
      </c>
      <c r="I1854" s="19">
        <v>6163</v>
      </c>
      <c r="J1854" s="19" t="s">
        <v>4555</v>
      </c>
    </row>
    <row r="1855" spans="1:10" x14ac:dyDescent="0.2">
      <c r="A1855" s="3">
        <v>9470</v>
      </c>
      <c r="B1855" s="3" t="s">
        <v>2012</v>
      </c>
      <c r="C1855" s="3" t="s">
        <v>2013</v>
      </c>
      <c r="D1855" s="3" t="s">
        <v>1966</v>
      </c>
      <c r="E1855" s="3" t="str">
        <v>Rolle</v>
      </c>
      <c r="I1855" s="19">
        <v>6166</v>
      </c>
      <c r="J1855" s="19" t="s">
        <v>4555</v>
      </c>
    </row>
    <row r="1856" spans="1:10" x14ac:dyDescent="0.2">
      <c r="A1856" s="3">
        <v>9472</v>
      </c>
      <c r="B1856" s="3" t="s">
        <v>2013</v>
      </c>
      <c r="C1856" s="3" t="s">
        <v>2013</v>
      </c>
      <c r="D1856" s="3" t="s">
        <v>1966</v>
      </c>
      <c r="E1856" s="3" t="str">
        <v>Tartegnin</v>
      </c>
      <c r="I1856" s="19">
        <v>6167</v>
      </c>
      <c r="J1856" s="19" t="s">
        <v>4555</v>
      </c>
    </row>
    <row r="1857" spans="1:10" x14ac:dyDescent="0.2">
      <c r="A1857" s="3">
        <v>9472</v>
      </c>
      <c r="B1857" s="3" t="s">
        <v>2014</v>
      </c>
      <c r="C1857" s="3" t="s">
        <v>2013</v>
      </c>
      <c r="D1857" s="3" t="s">
        <v>1966</v>
      </c>
      <c r="E1857" s="3" t="str">
        <v>Vinzel</v>
      </c>
      <c r="I1857" s="19">
        <v>6170</v>
      </c>
      <c r="J1857" s="19" t="s">
        <v>4555</v>
      </c>
    </row>
    <row r="1858" spans="1:10" x14ac:dyDescent="0.2">
      <c r="A1858" s="3">
        <v>9465</v>
      </c>
      <c r="B1858" s="3" t="s">
        <v>2015</v>
      </c>
      <c r="C1858" s="3" t="s">
        <v>2016</v>
      </c>
      <c r="D1858" s="3" t="s">
        <v>1966</v>
      </c>
      <c r="E1858" s="3" t="str">
        <v>L'Abbaye</v>
      </c>
      <c r="I1858" s="19">
        <v>6173</v>
      </c>
      <c r="J1858" s="19" t="s">
        <v>4555</v>
      </c>
    </row>
    <row r="1859" spans="1:10" x14ac:dyDescent="0.2">
      <c r="A1859" s="3">
        <v>9466</v>
      </c>
      <c r="B1859" s="3" t="s">
        <v>2016</v>
      </c>
      <c r="C1859" s="3" t="s">
        <v>2016</v>
      </c>
      <c r="D1859" s="3" t="s">
        <v>1966</v>
      </c>
      <c r="E1859" s="3" t="str">
        <v>Le Chenit</v>
      </c>
      <c r="I1859" s="19">
        <v>6174</v>
      </c>
      <c r="J1859" s="19" t="s">
        <v>4561</v>
      </c>
    </row>
    <row r="1860" spans="1:10" x14ac:dyDescent="0.2">
      <c r="A1860" s="3">
        <v>9467</v>
      </c>
      <c r="B1860" s="3" t="s">
        <v>2017</v>
      </c>
      <c r="C1860" s="3" t="s">
        <v>2016</v>
      </c>
      <c r="D1860" s="3" t="s">
        <v>1966</v>
      </c>
      <c r="E1860" s="3" t="str">
        <v>Le Lieu</v>
      </c>
      <c r="I1860" s="19">
        <v>6182</v>
      </c>
      <c r="J1860" s="19" t="s">
        <v>4555</v>
      </c>
    </row>
    <row r="1861" spans="1:10" x14ac:dyDescent="0.2">
      <c r="A1861" s="3">
        <v>9468</v>
      </c>
      <c r="B1861" s="3" t="s">
        <v>2018</v>
      </c>
      <c r="C1861" s="3" t="s">
        <v>2016</v>
      </c>
      <c r="D1861" s="3" t="s">
        <v>1966</v>
      </c>
      <c r="E1861" s="3" t="str">
        <v>Chardonne</v>
      </c>
      <c r="I1861" s="19">
        <v>6192</v>
      </c>
      <c r="J1861" s="19" t="s">
        <v>4546</v>
      </c>
    </row>
    <row r="1862" spans="1:10" x14ac:dyDescent="0.2">
      <c r="A1862" s="3">
        <v>9469</v>
      </c>
      <c r="B1862" s="3" t="s">
        <v>2019</v>
      </c>
      <c r="C1862" s="3" t="s">
        <v>2016</v>
      </c>
      <c r="D1862" s="3" t="s">
        <v>1966</v>
      </c>
      <c r="E1862" s="3" t="str">
        <v>Corseaux</v>
      </c>
      <c r="I1862" s="19">
        <v>6196</v>
      </c>
      <c r="J1862" s="19" t="s">
        <v>4546</v>
      </c>
    </row>
    <row r="1863" spans="1:10" x14ac:dyDescent="0.2">
      <c r="A1863" s="3">
        <v>9475</v>
      </c>
      <c r="B1863" s="3" t="s">
        <v>2020</v>
      </c>
      <c r="C1863" s="3" t="s">
        <v>2020</v>
      </c>
      <c r="D1863" s="3" t="s">
        <v>1966</v>
      </c>
      <c r="E1863" s="3" t="str">
        <v>Corsier-sur-Vevey</v>
      </c>
      <c r="I1863" s="19">
        <v>6197</v>
      </c>
      <c r="J1863" s="19" t="s">
        <v>4546</v>
      </c>
    </row>
    <row r="1864" spans="1:10" x14ac:dyDescent="0.2">
      <c r="A1864" s="3">
        <v>9476</v>
      </c>
      <c r="B1864" s="3" t="s">
        <v>2021</v>
      </c>
      <c r="C1864" s="3" t="s">
        <v>2022</v>
      </c>
      <c r="D1864" s="3" t="s">
        <v>1966</v>
      </c>
      <c r="E1864" s="3" t="str">
        <v>Jongny</v>
      </c>
      <c r="I1864" s="19">
        <v>6203</v>
      </c>
      <c r="J1864" s="19" t="s">
        <v>4555</v>
      </c>
    </row>
    <row r="1865" spans="1:10" x14ac:dyDescent="0.2">
      <c r="A1865" s="3">
        <v>9476</v>
      </c>
      <c r="B1865" s="3" t="s">
        <v>2023</v>
      </c>
      <c r="C1865" s="3" t="s">
        <v>2022</v>
      </c>
      <c r="D1865" s="3" t="s">
        <v>1966</v>
      </c>
      <c r="E1865" s="3" t="str">
        <v>Montreux</v>
      </c>
      <c r="I1865" s="19">
        <v>6204</v>
      </c>
      <c r="J1865" s="19" t="s">
        <v>4555</v>
      </c>
    </row>
    <row r="1866" spans="1:10" x14ac:dyDescent="0.2">
      <c r="A1866" s="3">
        <v>9477</v>
      </c>
      <c r="B1866" s="3" t="s">
        <v>2024</v>
      </c>
      <c r="C1866" s="3" t="s">
        <v>2022</v>
      </c>
      <c r="D1866" s="3" t="s">
        <v>1966</v>
      </c>
      <c r="E1866" s="3" t="str">
        <v>La Tour-de-Peilz</v>
      </c>
      <c r="I1866" s="19">
        <v>6205</v>
      </c>
      <c r="J1866" s="19" t="s">
        <v>4555</v>
      </c>
    </row>
    <row r="1867" spans="1:10" x14ac:dyDescent="0.2">
      <c r="A1867" s="3">
        <v>9478</v>
      </c>
      <c r="B1867" s="3" t="s">
        <v>2025</v>
      </c>
      <c r="C1867" s="3" t="s">
        <v>2022</v>
      </c>
      <c r="D1867" s="3" t="s">
        <v>1966</v>
      </c>
      <c r="E1867" s="3" t="str">
        <v>Vevey</v>
      </c>
      <c r="I1867" s="19">
        <v>6206</v>
      </c>
      <c r="J1867" s="19" t="s">
        <v>4555</v>
      </c>
    </row>
    <row r="1868" spans="1:10" x14ac:dyDescent="0.2">
      <c r="A1868" s="3">
        <v>9479</v>
      </c>
      <c r="B1868" s="3" t="s">
        <v>2026</v>
      </c>
      <c r="C1868" s="3" t="s">
        <v>2022</v>
      </c>
      <c r="D1868" s="3" t="s">
        <v>1966</v>
      </c>
      <c r="E1868" s="3" t="str">
        <v>Veytaux</v>
      </c>
      <c r="I1868" s="19">
        <v>6207</v>
      </c>
      <c r="J1868" s="19" t="s">
        <v>4555</v>
      </c>
    </row>
    <row r="1869" spans="1:10" x14ac:dyDescent="0.2">
      <c r="A1869" s="3">
        <v>9479</v>
      </c>
      <c r="B1869" s="3" t="s">
        <v>2027</v>
      </c>
      <c r="C1869" s="3" t="s">
        <v>2022</v>
      </c>
      <c r="D1869" s="3" t="s">
        <v>1966</v>
      </c>
      <c r="E1869" s="3" t="str">
        <v>Blonay - Saint-Légier</v>
      </c>
      <c r="I1869" s="19">
        <v>6208</v>
      </c>
      <c r="J1869" s="19" t="s">
        <v>4555</v>
      </c>
    </row>
    <row r="1870" spans="1:10" x14ac:dyDescent="0.2">
      <c r="A1870" s="3">
        <v>9479</v>
      </c>
      <c r="B1870" s="3" t="s">
        <v>2028</v>
      </c>
      <c r="C1870" s="3" t="s">
        <v>2022</v>
      </c>
      <c r="D1870" s="3" t="s">
        <v>1966</v>
      </c>
      <c r="E1870" s="3" t="str">
        <v>Belmont-sur-Yverdon</v>
      </c>
      <c r="I1870" s="19">
        <v>6210</v>
      </c>
      <c r="J1870" s="19" t="s">
        <v>4555</v>
      </c>
    </row>
    <row r="1871" spans="1:10" x14ac:dyDescent="0.2">
      <c r="A1871" s="3">
        <v>7310</v>
      </c>
      <c r="B1871" s="3" t="s">
        <v>2029</v>
      </c>
      <c r="C1871" s="3" t="s">
        <v>2029</v>
      </c>
      <c r="D1871" s="3" t="s">
        <v>1966</v>
      </c>
      <c r="E1871" s="3" t="str">
        <v>Bioley-Magnoux</v>
      </c>
      <c r="I1871" s="19">
        <v>6211</v>
      </c>
      <c r="J1871" s="19" t="s">
        <v>4558</v>
      </c>
    </row>
    <row r="1872" spans="1:10" x14ac:dyDescent="0.2">
      <c r="A1872" s="3">
        <v>8890</v>
      </c>
      <c r="B1872" s="3" t="s">
        <v>2030</v>
      </c>
      <c r="C1872" s="3" t="s">
        <v>2030</v>
      </c>
      <c r="D1872" s="3" t="s">
        <v>1966</v>
      </c>
      <c r="E1872" s="3" t="str">
        <v>Chamblon</v>
      </c>
      <c r="I1872" s="19">
        <v>6212</v>
      </c>
      <c r="J1872" s="19" t="s">
        <v>4558</v>
      </c>
    </row>
    <row r="1873" spans="1:10" x14ac:dyDescent="0.2">
      <c r="A1873" s="3">
        <v>8893</v>
      </c>
      <c r="B1873" s="3" t="s">
        <v>2031</v>
      </c>
      <c r="C1873" s="3" t="s">
        <v>2030</v>
      </c>
      <c r="D1873" s="3" t="s">
        <v>1966</v>
      </c>
      <c r="E1873" s="3" t="str">
        <v>Champvent</v>
      </c>
      <c r="I1873" s="19">
        <v>6213</v>
      </c>
      <c r="J1873" s="19" t="s">
        <v>4558</v>
      </c>
    </row>
    <row r="1874" spans="1:10" x14ac:dyDescent="0.2">
      <c r="A1874" s="3">
        <v>8894</v>
      </c>
      <c r="B1874" s="3" t="s">
        <v>2032</v>
      </c>
      <c r="C1874" s="3" t="s">
        <v>2030</v>
      </c>
      <c r="D1874" s="3" t="s">
        <v>1966</v>
      </c>
      <c r="E1874" s="3" t="str">
        <v>Chavannes-le-Chêne</v>
      </c>
      <c r="I1874" s="19">
        <v>6214</v>
      </c>
      <c r="J1874" s="19" t="s">
        <v>4555</v>
      </c>
    </row>
    <row r="1875" spans="1:10" x14ac:dyDescent="0.2">
      <c r="A1875" s="3">
        <v>8895</v>
      </c>
      <c r="B1875" s="3" t="s">
        <v>2033</v>
      </c>
      <c r="C1875" s="3" t="s">
        <v>2030</v>
      </c>
      <c r="D1875" s="3" t="s">
        <v>1966</v>
      </c>
      <c r="E1875" s="3" t="str">
        <v>Chêne-Pâquier</v>
      </c>
      <c r="I1875" s="19">
        <v>6215</v>
      </c>
      <c r="J1875" s="19" t="s">
        <v>4555</v>
      </c>
    </row>
    <row r="1876" spans="1:10" x14ac:dyDescent="0.2">
      <c r="A1876" s="3">
        <v>8896</v>
      </c>
      <c r="B1876" s="3" t="s">
        <v>2034</v>
      </c>
      <c r="C1876" s="3" t="s">
        <v>2030</v>
      </c>
      <c r="D1876" s="3" t="s">
        <v>1966</v>
      </c>
      <c r="E1876" s="3" t="str">
        <v>Cheseaux-Noréaz</v>
      </c>
      <c r="I1876" s="19">
        <v>6216</v>
      </c>
      <c r="J1876" s="19" t="s">
        <v>4555</v>
      </c>
    </row>
    <row r="1877" spans="1:10" x14ac:dyDescent="0.2">
      <c r="A1877" s="3">
        <v>8897</v>
      </c>
      <c r="B1877" s="3" t="s">
        <v>2035</v>
      </c>
      <c r="C1877" s="3" t="s">
        <v>2030</v>
      </c>
      <c r="D1877" s="3" t="s">
        <v>1966</v>
      </c>
      <c r="E1877" s="3" t="str">
        <v>Cronay</v>
      </c>
      <c r="I1877" s="19">
        <v>6217</v>
      </c>
      <c r="J1877" s="19" t="s">
        <v>4555</v>
      </c>
    </row>
    <row r="1878" spans="1:10" x14ac:dyDescent="0.2">
      <c r="A1878" s="3">
        <v>8898</v>
      </c>
      <c r="B1878" s="3" t="s">
        <v>2036</v>
      </c>
      <c r="C1878" s="3" t="s">
        <v>2030</v>
      </c>
      <c r="D1878" s="3" t="s">
        <v>1966</v>
      </c>
      <c r="E1878" s="3" t="str">
        <v>Cuarny</v>
      </c>
      <c r="I1878" s="19">
        <v>6218</v>
      </c>
      <c r="J1878" s="19" t="s">
        <v>4554</v>
      </c>
    </row>
    <row r="1879" spans="1:10" x14ac:dyDescent="0.2">
      <c r="A1879" s="3">
        <v>7325</v>
      </c>
      <c r="B1879" s="3" t="s">
        <v>2037</v>
      </c>
      <c r="C1879" s="3" t="s">
        <v>2038</v>
      </c>
      <c r="D1879" s="3" t="s">
        <v>1966</v>
      </c>
      <c r="E1879" s="3" t="str">
        <v>Démoret</v>
      </c>
      <c r="I1879" s="19">
        <v>6221</v>
      </c>
      <c r="J1879" s="19" t="s">
        <v>4558</v>
      </c>
    </row>
    <row r="1880" spans="1:10" x14ac:dyDescent="0.2">
      <c r="A1880" s="3">
        <v>7326</v>
      </c>
      <c r="B1880" s="3" t="s">
        <v>2039</v>
      </c>
      <c r="C1880" s="3" t="s">
        <v>2038</v>
      </c>
      <c r="D1880" s="3" t="s">
        <v>1966</v>
      </c>
      <c r="E1880" s="3" t="str">
        <v>Donneloye</v>
      </c>
      <c r="I1880" s="19">
        <v>6222</v>
      </c>
      <c r="J1880" s="19" t="s">
        <v>4558</v>
      </c>
    </row>
    <row r="1881" spans="1:10" x14ac:dyDescent="0.2">
      <c r="A1881" s="3">
        <v>8886</v>
      </c>
      <c r="B1881" s="3" t="s">
        <v>2040</v>
      </c>
      <c r="C1881" s="3" t="s">
        <v>2038</v>
      </c>
      <c r="D1881" s="3" t="s">
        <v>1966</v>
      </c>
      <c r="E1881" s="3" t="str">
        <v>Ependes (VD)</v>
      </c>
      <c r="I1881" s="19">
        <v>6231</v>
      </c>
      <c r="J1881" s="19" t="s">
        <v>4558</v>
      </c>
    </row>
    <row r="1882" spans="1:10" x14ac:dyDescent="0.2">
      <c r="A1882" s="3">
        <v>8887</v>
      </c>
      <c r="B1882" s="3" t="s">
        <v>2038</v>
      </c>
      <c r="C1882" s="3" t="s">
        <v>2038</v>
      </c>
      <c r="D1882" s="3" t="s">
        <v>1966</v>
      </c>
      <c r="E1882" s="3" t="str">
        <v>Mathod</v>
      </c>
      <c r="I1882" s="19">
        <v>6232</v>
      </c>
      <c r="J1882" s="19" t="s">
        <v>4558</v>
      </c>
    </row>
    <row r="1883" spans="1:10" x14ac:dyDescent="0.2">
      <c r="A1883" s="3">
        <v>8888</v>
      </c>
      <c r="B1883" s="3" t="s">
        <v>2041</v>
      </c>
      <c r="C1883" s="3" t="s">
        <v>2038</v>
      </c>
      <c r="D1883" s="3" t="s">
        <v>1966</v>
      </c>
      <c r="E1883" s="3" t="str">
        <v>Molondin</v>
      </c>
      <c r="I1883" s="19">
        <v>6233</v>
      </c>
      <c r="J1883" s="19" t="s">
        <v>4558</v>
      </c>
    </row>
    <row r="1884" spans="1:10" x14ac:dyDescent="0.2">
      <c r="A1884" s="3">
        <v>8889</v>
      </c>
      <c r="B1884" s="3" t="s">
        <v>2042</v>
      </c>
      <c r="C1884" s="3" t="s">
        <v>2038</v>
      </c>
      <c r="D1884" s="3" t="s">
        <v>1966</v>
      </c>
      <c r="E1884" s="3" t="str">
        <v>Montagny-près-Yverdon</v>
      </c>
      <c r="I1884" s="19">
        <v>6234</v>
      </c>
      <c r="J1884" s="19" t="s">
        <v>4558</v>
      </c>
    </row>
    <row r="1885" spans="1:10" x14ac:dyDescent="0.2">
      <c r="A1885" s="3">
        <v>7312</v>
      </c>
      <c r="B1885" s="3" t="s">
        <v>2043</v>
      </c>
      <c r="C1885" s="3" t="s">
        <v>2043</v>
      </c>
      <c r="D1885" s="3" t="s">
        <v>1966</v>
      </c>
      <c r="E1885" s="3" t="str">
        <v>Oppens</v>
      </c>
      <c r="I1885" s="19">
        <v>6235</v>
      </c>
      <c r="J1885" s="19" t="s">
        <v>4558</v>
      </c>
    </row>
    <row r="1886" spans="1:10" x14ac:dyDescent="0.2">
      <c r="A1886" s="3">
        <v>7313</v>
      </c>
      <c r="B1886" s="3" t="s">
        <v>2044</v>
      </c>
      <c r="C1886" s="3" t="s">
        <v>2043</v>
      </c>
      <c r="D1886" s="3" t="s">
        <v>1966</v>
      </c>
      <c r="E1886" s="3" t="str">
        <v>Orges</v>
      </c>
      <c r="I1886" s="19">
        <v>6236</v>
      </c>
      <c r="J1886" s="19" t="s">
        <v>4558</v>
      </c>
    </row>
    <row r="1887" spans="1:10" x14ac:dyDescent="0.2">
      <c r="A1887" s="3">
        <v>7314</v>
      </c>
      <c r="B1887" s="3" t="s">
        <v>2045</v>
      </c>
      <c r="C1887" s="3" t="s">
        <v>2043</v>
      </c>
      <c r="D1887" s="3" t="s">
        <v>1966</v>
      </c>
      <c r="E1887" s="3" t="str">
        <v>Orzens</v>
      </c>
      <c r="I1887" s="19">
        <v>6242</v>
      </c>
      <c r="J1887" s="19" t="s">
        <v>4558</v>
      </c>
    </row>
    <row r="1888" spans="1:10" x14ac:dyDescent="0.2">
      <c r="A1888" s="3">
        <v>7315</v>
      </c>
      <c r="B1888" s="3" t="s">
        <v>2046</v>
      </c>
      <c r="C1888" s="3" t="s">
        <v>2043</v>
      </c>
      <c r="D1888" s="3" t="s">
        <v>1966</v>
      </c>
      <c r="E1888" s="3" t="str">
        <v>Pomy</v>
      </c>
      <c r="I1888" s="19">
        <v>6243</v>
      </c>
      <c r="J1888" s="19" t="s">
        <v>4554</v>
      </c>
    </row>
    <row r="1889" spans="1:10" x14ac:dyDescent="0.2">
      <c r="A1889" s="3">
        <v>7317</v>
      </c>
      <c r="B1889" s="3" t="s">
        <v>2047</v>
      </c>
      <c r="C1889" s="3" t="s">
        <v>2043</v>
      </c>
      <c r="D1889" s="3" t="s">
        <v>1966</v>
      </c>
      <c r="E1889" s="3" t="str">
        <v>Rovray</v>
      </c>
      <c r="I1889" s="19">
        <v>6244</v>
      </c>
      <c r="J1889" s="19" t="s">
        <v>4554</v>
      </c>
    </row>
    <row r="1890" spans="1:10" x14ac:dyDescent="0.2">
      <c r="A1890" s="3">
        <v>7317</v>
      </c>
      <c r="B1890" s="3" t="s">
        <v>2048</v>
      </c>
      <c r="C1890" s="3" t="s">
        <v>2043</v>
      </c>
      <c r="D1890" s="3" t="s">
        <v>1966</v>
      </c>
      <c r="E1890" s="3" t="str">
        <v>Suchy</v>
      </c>
      <c r="I1890" s="19">
        <v>6245</v>
      </c>
      <c r="J1890" s="19" t="s">
        <v>4554</v>
      </c>
    </row>
    <row r="1891" spans="1:10" x14ac:dyDescent="0.2">
      <c r="A1891" s="3">
        <v>8877</v>
      </c>
      <c r="B1891" s="3" t="s">
        <v>2049</v>
      </c>
      <c r="C1891" s="3" t="s">
        <v>2050</v>
      </c>
      <c r="D1891" s="3" t="s">
        <v>1966</v>
      </c>
      <c r="E1891" s="3" t="str">
        <v>Suscévaz</v>
      </c>
      <c r="I1891" s="19">
        <v>6246</v>
      </c>
      <c r="J1891" s="19" t="s">
        <v>4554</v>
      </c>
    </row>
    <row r="1892" spans="1:10" x14ac:dyDescent="0.2">
      <c r="A1892" s="3">
        <v>8878</v>
      </c>
      <c r="B1892" s="3" t="s">
        <v>2051</v>
      </c>
      <c r="C1892" s="3" t="s">
        <v>2050</v>
      </c>
      <c r="D1892" s="3" t="s">
        <v>1966</v>
      </c>
      <c r="E1892" s="3" t="str">
        <v>Treycovagnes</v>
      </c>
      <c r="I1892" s="19">
        <v>6247</v>
      </c>
      <c r="J1892" s="19" t="s">
        <v>4554</v>
      </c>
    </row>
    <row r="1893" spans="1:10" x14ac:dyDescent="0.2">
      <c r="A1893" s="3">
        <v>8882</v>
      </c>
      <c r="B1893" s="3" t="s">
        <v>2052</v>
      </c>
      <c r="C1893" s="3" t="s">
        <v>2050</v>
      </c>
      <c r="D1893" s="3" t="s">
        <v>1966</v>
      </c>
      <c r="E1893" s="3" t="str">
        <v>Ursins</v>
      </c>
      <c r="I1893" s="19">
        <v>6248</v>
      </c>
      <c r="J1893" s="19" t="s">
        <v>4554</v>
      </c>
    </row>
    <row r="1894" spans="1:10" x14ac:dyDescent="0.2">
      <c r="A1894" s="3">
        <v>8883</v>
      </c>
      <c r="B1894" s="3" t="s">
        <v>2050</v>
      </c>
      <c r="C1894" s="3" t="s">
        <v>2050</v>
      </c>
      <c r="D1894" s="3" t="s">
        <v>1966</v>
      </c>
      <c r="E1894" s="3" t="str">
        <v>Valeyres-sous-Montagny</v>
      </c>
      <c r="I1894" s="19">
        <v>6252</v>
      </c>
      <c r="J1894" s="19" t="s">
        <v>4554</v>
      </c>
    </row>
    <row r="1895" spans="1:10" x14ac:dyDescent="0.2">
      <c r="A1895" s="3">
        <v>8884</v>
      </c>
      <c r="B1895" s="3" t="s">
        <v>2053</v>
      </c>
      <c r="C1895" s="3" t="s">
        <v>2050</v>
      </c>
      <c r="D1895" s="3" t="s">
        <v>1966</v>
      </c>
      <c r="E1895" s="3" t="str">
        <v>Valeyres-sous-Ursins</v>
      </c>
      <c r="I1895" s="19">
        <v>6253</v>
      </c>
      <c r="J1895" s="19" t="s">
        <v>4558</v>
      </c>
    </row>
    <row r="1896" spans="1:10" x14ac:dyDescent="0.2">
      <c r="A1896" s="3">
        <v>8885</v>
      </c>
      <c r="B1896" s="3" t="s">
        <v>2054</v>
      </c>
      <c r="C1896" s="3" t="s">
        <v>2050</v>
      </c>
      <c r="D1896" s="3" t="s">
        <v>1966</v>
      </c>
      <c r="E1896" s="3" t="str">
        <v>Villars-Epeney</v>
      </c>
      <c r="I1896" s="19">
        <v>6260</v>
      </c>
      <c r="J1896" s="19" t="s">
        <v>4558</v>
      </c>
    </row>
    <row r="1897" spans="1:10" x14ac:dyDescent="0.2">
      <c r="A1897" s="3">
        <v>7320</v>
      </c>
      <c r="B1897" s="3" t="s">
        <v>2055</v>
      </c>
      <c r="C1897" s="3" t="s">
        <v>2055</v>
      </c>
      <c r="D1897" s="3" t="s">
        <v>1966</v>
      </c>
      <c r="E1897" s="3" t="str">
        <v>Vugelles-La Mothe</v>
      </c>
      <c r="I1897" s="19">
        <v>6262</v>
      </c>
      <c r="J1897" s="19" t="s">
        <v>4554</v>
      </c>
    </row>
    <row r="1898" spans="1:10" x14ac:dyDescent="0.2">
      <c r="A1898" s="3">
        <v>7323</v>
      </c>
      <c r="B1898" s="3" t="s">
        <v>2056</v>
      </c>
      <c r="C1898" s="3" t="s">
        <v>2057</v>
      </c>
      <c r="D1898" s="3" t="s">
        <v>1966</v>
      </c>
      <c r="E1898" s="3" t="str">
        <v>Yverdon-les-Bains</v>
      </c>
      <c r="I1898" s="19">
        <v>6263</v>
      </c>
      <c r="J1898" s="19" t="s">
        <v>4554</v>
      </c>
    </row>
    <row r="1899" spans="1:10" x14ac:dyDescent="0.2">
      <c r="A1899" s="3">
        <v>7323</v>
      </c>
      <c r="B1899" s="3" t="s">
        <v>2056</v>
      </c>
      <c r="C1899" s="3" t="s">
        <v>2057</v>
      </c>
      <c r="D1899" s="3" t="s">
        <v>1966</v>
      </c>
      <c r="E1899" s="3" t="str">
        <v>Yvonand</v>
      </c>
      <c r="I1899" s="19">
        <v>6264</v>
      </c>
      <c r="J1899" s="19" t="s">
        <v>4554</v>
      </c>
    </row>
    <row r="1900" spans="1:10" x14ac:dyDescent="0.2">
      <c r="A1900" s="3">
        <v>7324</v>
      </c>
      <c r="B1900" s="3" t="s">
        <v>2058</v>
      </c>
      <c r="C1900" s="3" t="s">
        <v>2057</v>
      </c>
      <c r="D1900" s="3" t="s">
        <v>1966</v>
      </c>
      <c r="E1900" s="3" t="str">
        <v>Brig-Glis</v>
      </c>
      <c r="I1900" s="19">
        <v>6265</v>
      </c>
      <c r="J1900" s="19" t="s">
        <v>4554</v>
      </c>
    </row>
    <row r="1901" spans="1:10" x14ac:dyDescent="0.2">
      <c r="A1901" s="3">
        <v>8880</v>
      </c>
      <c r="B1901" s="3" t="s">
        <v>2059</v>
      </c>
      <c r="C1901" s="3" t="s">
        <v>2059</v>
      </c>
      <c r="D1901" s="3" t="s">
        <v>1966</v>
      </c>
      <c r="E1901" s="3" t="str">
        <v>Eggerberg</v>
      </c>
      <c r="I1901" s="19">
        <v>6274</v>
      </c>
      <c r="J1901" s="19" t="s">
        <v>4555</v>
      </c>
    </row>
    <row r="1902" spans="1:10" x14ac:dyDescent="0.2">
      <c r="A1902" s="3">
        <v>8881</v>
      </c>
      <c r="B1902" s="3" t="s">
        <v>2060</v>
      </c>
      <c r="C1902" s="3" t="s">
        <v>2059</v>
      </c>
      <c r="D1902" s="3" t="s">
        <v>1966</v>
      </c>
      <c r="E1902" s="3" t="str">
        <v>Naters</v>
      </c>
      <c r="I1902" s="19">
        <v>6275</v>
      </c>
      <c r="J1902" s="19" t="s">
        <v>4555</v>
      </c>
    </row>
    <row r="1903" spans="1:10" x14ac:dyDescent="0.2">
      <c r="A1903" s="3">
        <v>8881</v>
      </c>
      <c r="B1903" s="3" t="s">
        <v>2061</v>
      </c>
      <c r="C1903" s="3" t="s">
        <v>2059</v>
      </c>
      <c r="D1903" s="3" t="s">
        <v>1966</v>
      </c>
      <c r="E1903" s="3" t="str">
        <v>Ried-Brig</v>
      </c>
      <c r="I1903" s="19">
        <v>6276</v>
      </c>
      <c r="J1903" s="19" t="s">
        <v>4555</v>
      </c>
    </row>
    <row r="1904" spans="1:10" x14ac:dyDescent="0.2">
      <c r="A1904" s="3">
        <v>8892</v>
      </c>
      <c r="B1904" s="3" t="s">
        <v>2062</v>
      </c>
      <c r="C1904" s="3" t="s">
        <v>2059</v>
      </c>
      <c r="D1904" s="3" t="s">
        <v>1966</v>
      </c>
      <c r="E1904" s="3" t="str">
        <v>Simplon</v>
      </c>
      <c r="I1904" s="19">
        <v>6277</v>
      </c>
      <c r="J1904" s="19" t="s">
        <v>4555</v>
      </c>
    </row>
    <row r="1905" spans="1:10" x14ac:dyDescent="0.2">
      <c r="A1905" s="3">
        <v>8873</v>
      </c>
      <c r="B1905" s="3" t="s">
        <v>2063</v>
      </c>
      <c r="C1905" s="3" t="s">
        <v>2063</v>
      </c>
      <c r="D1905" s="3" t="s">
        <v>1966</v>
      </c>
      <c r="E1905" s="3" t="str">
        <v>Termen</v>
      </c>
      <c r="I1905" s="19">
        <v>6280</v>
      </c>
      <c r="J1905" s="19" t="s">
        <v>4555</v>
      </c>
    </row>
    <row r="1906" spans="1:10" x14ac:dyDescent="0.2">
      <c r="A1906" s="3">
        <v>8717</v>
      </c>
      <c r="B1906" s="3" t="s">
        <v>2064</v>
      </c>
      <c r="C1906" s="3" t="s">
        <v>2065</v>
      </c>
      <c r="D1906" s="3" t="s">
        <v>1966</v>
      </c>
      <c r="E1906" s="3" t="str">
        <v>Zwischbergen</v>
      </c>
      <c r="I1906" s="19">
        <v>6283</v>
      </c>
      <c r="J1906" s="19" t="s">
        <v>4555</v>
      </c>
    </row>
    <row r="1907" spans="1:10" x14ac:dyDescent="0.2">
      <c r="A1907" s="3">
        <v>8722</v>
      </c>
      <c r="B1907" s="3" t="s">
        <v>2066</v>
      </c>
      <c r="C1907" s="3" t="s">
        <v>2066</v>
      </c>
      <c r="D1907" s="3" t="s">
        <v>1966</v>
      </c>
      <c r="E1907" s="3" t="str">
        <v>Ardon</v>
      </c>
      <c r="I1907" s="19">
        <v>6284</v>
      </c>
      <c r="J1907" s="19" t="s">
        <v>4555</v>
      </c>
    </row>
    <row r="1908" spans="1:10" x14ac:dyDescent="0.2">
      <c r="A1908" s="3">
        <v>8718</v>
      </c>
      <c r="B1908" s="3" t="s">
        <v>2067</v>
      </c>
      <c r="C1908" s="3" t="s">
        <v>2067</v>
      </c>
      <c r="D1908" s="3" t="s">
        <v>1966</v>
      </c>
      <c r="E1908" s="3" t="str">
        <v>Chamoson</v>
      </c>
      <c r="I1908" s="19">
        <v>6285</v>
      </c>
      <c r="J1908" s="19" t="s">
        <v>4555</v>
      </c>
    </row>
    <row r="1909" spans="1:10" x14ac:dyDescent="0.2">
      <c r="A1909" s="3">
        <v>8723</v>
      </c>
      <c r="B1909" s="3" t="s">
        <v>2068</v>
      </c>
      <c r="C1909" s="3" t="s">
        <v>2067</v>
      </c>
      <c r="D1909" s="3" t="s">
        <v>1966</v>
      </c>
      <c r="E1909" s="3" t="str">
        <v>Conthey</v>
      </c>
      <c r="I1909" s="19">
        <v>6286</v>
      </c>
      <c r="J1909" s="19" t="s">
        <v>4558</v>
      </c>
    </row>
    <row r="1910" spans="1:10" x14ac:dyDescent="0.2">
      <c r="A1910" s="3">
        <v>8723</v>
      </c>
      <c r="B1910" s="3" t="s">
        <v>2069</v>
      </c>
      <c r="C1910" s="3" t="s">
        <v>2067</v>
      </c>
      <c r="D1910" s="3" t="s">
        <v>1966</v>
      </c>
      <c r="E1910" s="3" t="str">
        <v>Nendaz</v>
      </c>
      <c r="I1910" s="19">
        <v>6287</v>
      </c>
      <c r="J1910" s="19" t="s">
        <v>4558</v>
      </c>
    </row>
    <row r="1911" spans="1:10" x14ac:dyDescent="0.2">
      <c r="A1911" s="3">
        <v>8866</v>
      </c>
      <c r="B1911" s="3" t="s">
        <v>2070</v>
      </c>
      <c r="C1911" s="3" t="s">
        <v>2067</v>
      </c>
      <c r="D1911" s="3" t="s">
        <v>1966</v>
      </c>
      <c r="E1911" s="3" t="str">
        <v>Vétroz</v>
      </c>
      <c r="I1911" s="19">
        <v>6288</v>
      </c>
      <c r="J1911" s="19" t="s">
        <v>4558</v>
      </c>
    </row>
    <row r="1912" spans="1:10" x14ac:dyDescent="0.2">
      <c r="A1912" s="3">
        <v>8872</v>
      </c>
      <c r="B1912" s="3" t="s">
        <v>2071</v>
      </c>
      <c r="C1912" s="3" t="s">
        <v>2071</v>
      </c>
      <c r="D1912" s="3" t="s">
        <v>1966</v>
      </c>
      <c r="E1912" s="3" t="str">
        <v>Bourg-Saint-Pierre</v>
      </c>
      <c r="I1912" s="19">
        <v>6289</v>
      </c>
      <c r="J1912" s="19" t="s">
        <v>4558</v>
      </c>
    </row>
    <row r="1913" spans="1:10" x14ac:dyDescent="0.2">
      <c r="A1913" s="3">
        <v>8716</v>
      </c>
      <c r="B1913" s="3" t="s">
        <v>2072</v>
      </c>
      <c r="C1913" s="3" t="s">
        <v>2072</v>
      </c>
      <c r="D1913" s="3" t="s">
        <v>1966</v>
      </c>
      <c r="E1913" s="3" t="str">
        <v>Liddes</v>
      </c>
      <c r="I1913" s="19">
        <v>6294</v>
      </c>
      <c r="J1913" s="19" t="s">
        <v>4558</v>
      </c>
    </row>
    <row r="1914" spans="1:10" x14ac:dyDescent="0.2">
      <c r="A1914" s="3">
        <v>8730</v>
      </c>
      <c r="B1914" s="3" t="s">
        <v>2073</v>
      </c>
      <c r="C1914" s="3" t="s">
        <v>2073</v>
      </c>
      <c r="D1914" s="3" t="s">
        <v>1966</v>
      </c>
      <c r="E1914" s="3" t="str">
        <v>Orsières</v>
      </c>
      <c r="I1914" s="19">
        <v>6295</v>
      </c>
      <c r="J1914" s="19" t="s">
        <v>4558</v>
      </c>
    </row>
    <row r="1915" spans="1:10" x14ac:dyDescent="0.2">
      <c r="A1915" s="3">
        <v>8640</v>
      </c>
      <c r="B1915" s="3" t="s">
        <v>2074</v>
      </c>
      <c r="C1915" s="3" t="s">
        <v>2075</v>
      </c>
      <c r="D1915" s="3" t="s">
        <v>1966</v>
      </c>
      <c r="E1915" s="3" t="str">
        <v>Sembrancher</v>
      </c>
      <c r="I1915" s="19">
        <v>6300</v>
      </c>
      <c r="J1915" s="19" t="s">
        <v>4555</v>
      </c>
    </row>
    <row r="1916" spans="1:10" x14ac:dyDescent="0.2">
      <c r="A1916" s="3">
        <v>8645</v>
      </c>
      <c r="B1916" s="3" t="s">
        <v>2076</v>
      </c>
      <c r="C1916" s="3" t="s">
        <v>2075</v>
      </c>
      <c r="D1916" s="3" t="s">
        <v>1966</v>
      </c>
      <c r="E1916" s="3" t="str">
        <v>Val de Bagnes</v>
      </c>
      <c r="I1916" s="19">
        <v>6312</v>
      </c>
      <c r="J1916" s="19" t="s">
        <v>4555</v>
      </c>
    </row>
    <row r="1917" spans="1:10" x14ac:dyDescent="0.2">
      <c r="A1917" s="3">
        <v>8646</v>
      </c>
      <c r="B1917" s="3" t="s">
        <v>2077</v>
      </c>
      <c r="C1917" s="3" t="s">
        <v>2075</v>
      </c>
      <c r="D1917" s="3" t="s">
        <v>1966</v>
      </c>
      <c r="E1917" s="3" t="str">
        <v>Bellwald</v>
      </c>
      <c r="I1917" s="19">
        <v>6313</v>
      </c>
      <c r="J1917" s="19" t="s">
        <v>4560</v>
      </c>
    </row>
    <row r="1918" spans="1:10" x14ac:dyDescent="0.2">
      <c r="A1918" s="3">
        <v>8715</v>
      </c>
      <c r="B1918" s="3" t="s">
        <v>2078</v>
      </c>
      <c r="C1918" s="3" t="s">
        <v>2075</v>
      </c>
      <c r="D1918" s="3" t="s">
        <v>1966</v>
      </c>
      <c r="E1918" s="3" t="str">
        <v>Binn</v>
      </c>
      <c r="I1918" s="19">
        <v>6314</v>
      </c>
      <c r="J1918" s="19" t="s">
        <v>4555</v>
      </c>
    </row>
    <row r="1919" spans="1:10" x14ac:dyDescent="0.2">
      <c r="A1919" s="3">
        <v>8725</v>
      </c>
      <c r="B1919" s="3" t="s">
        <v>2079</v>
      </c>
      <c r="C1919" s="3" t="s">
        <v>2080</v>
      </c>
      <c r="D1919" s="3" t="s">
        <v>1966</v>
      </c>
      <c r="E1919" s="3" t="str">
        <v>Ernen</v>
      </c>
      <c r="I1919" s="19">
        <v>6315</v>
      </c>
      <c r="J1919" s="19" t="s">
        <v>4555</v>
      </c>
    </row>
    <row r="1920" spans="1:10" x14ac:dyDescent="0.2">
      <c r="A1920" s="3">
        <v>8725</v>
      </c>
      <c r="B1920" s="3" t="s">
        <v>2081</v>
      </c>
      <c r="C1920" s="3" t="s">
        <v>2080</v>
      </c>
      <c r="D1920" s="3" t="s">
        <v>1966</v>
      </c>
      <c r="E1920" s="3" t="str">
        <v>Fiesch</v>
      </c>
      <c r="I1920" s="19">
        <v>6317</v>
      </c>
      <c r="J1920" s="19" t="s">
        <v>4555</v>
      </c>
    </row>
    <row r="1921" spans="1:10" x14ac:dyDescent="0.2">
      <c r="A1921" s="3">
        <v>8737</v>
      </c>
      <c r="B1921" s="3" t="s">
        <v>2080</v>
      </c>
      <c r="C1921" s="3" t="s">
        <v>2080</v>
      </c>
      <c r="D1921" s="3" t="s">
        <v>1966</v>
      </c>
      <c r="E1921" s="3" t="str">
        <v>Fieschertal</v>
      </c>
      <c r="I1921" s="19">
        <v>6318</v>
      </c>
      <c r="J1921" s="19" t="s">
        <v>4555</v>
      </c>
    </row>
    <row r="1922" spans="1:10" x14ac:dyDescent="0.2">
      <c r="A1922" s="3">
        <v>8738</v>
      </c>
      <c r="B1922" s="3" t="s">
        <v>2082</v>
      </c>
      <c r="C1922" s="3" t="s">
        <v>2080</v>
      </c>
      <c r="D1922" s="3" t="s">
        <v>1966</v>
      </c>
      <c r="E1922" s="3" t="str">
        <v>Lax</v>
      </c>
      <c r="I1922" s="19">
        <v>6319</v>
      </c>
      <c r="J1922" s="19" t="s">
        <v>4560</v>
      </c>
    </row>
    <row r="1923" spans="1:10" x14ac:dyDescent="0.2">
      <c r="A1923" s="3">
        <v>8739</v>
      </c>
      <c r="B1923" s="3" t="s">
        <v>2083</v>
      </c>
      <c r="C1923" s="3" t="s">
        <v>2080</v>
      </c>
      <c r="D1923" s="3" t="s">
        <v>1966</v>
      </c>
      <c r="E1923" s="3" t="str">
        <v>Obergoms</v>
      </c>
      <c r="I1923" s="19">
        <v>6330</v>
      </c>
      <c r="J1923" s="19" t="s">
        <v>4555</v>
      </c>
    </row>
    <row r="1924" spans="1:10" x14ac:dyDescent="0.2">
      <c r="A1924" s="3">
        <v>8638</v>
      </c>
      <c r="B1924" s="3" t="s">
        <v>2084</v>
      </c>
      <c r="C1924" s="3" t="s">
        <v>2085</v>
      </c>
      <c r="D1924" s="3" t="s">
        <v>1966</v>
      </c>
      <c r="E1924" s="3" t="str">
        <v>Goms</v>
      </c>
      <c r="I1924" s="19">
        <v>6331</v>
      </c>
      <c r="J1924" s="19" t="s">
        <v>4555</v>
      </c>
    </row>
    <row r="1925" spans="1:10" x14ac:dyDescent="0.2">
      <c r="A1925" s="3">
        <v>8727</v>
      </c>
      <c r="B1925" s="3" t="s">
        <v>2086</v>
      </c>
      <c r="C1925" s="3" t="s">
        <v>2085</v>
      </c>
      <c r="D1925" s="3" t="s">
        <v>1966</v>
      </c>
      <c r="E1925" s="3" t="str">
        <v>Ayent</v>
      </c>
      <c r="I1925" s="19">
        <v>6332</v>
      </c>
      <c r="J1925" s="19" t="s">
        <v>4555</v>
      </c>
    </row>
    <row r="1926" spans="1:10" x14ac:dyDescent="0.2">
      <c r="A1926" s="3">
        <v>8732</v>
      </c>
      <c r="B1926" s="3" t="s">
        <v>2087</v>
      </c>
      <c r="C1926" s="3" t="s">
        <v>2085</v>
      </c>
      <c r="D1926" s="3" t="s">
        <v>1966</v>
      </c>
      <c r="E1926" s="3" t="str">
        <v>Evolène</v>
      </c>
      <c r="I1926" s="19">
        <v>6333</v>
      </c>
      <c r="J1926" s="19" t="s">
        <v>4555</v>
      </c>
    </row>
    <row r="1927" spans="1:10" x14ac:dyDescent="0.2">
      <c r="A1927" s="3">
        <v>8733</v>
      </c>
      <c r="B1927" s="3" t="s">
        <v>2088</v>
      </c>
      <c r="C1927" s="3" t="s">
        <v>2085</v>
      </c>
      <c r="D1927" s="3" t="s">
        <v>1966</v>
      </c>
      <c r="E1927" s="3" t="str">
        <v>Hérémence</v>
      </c>
      <c r="I1927" s="19">
        <v>6340</v>
      </c>
      <c r="J1927" s="19" t="s">
        <v>4560</v>
      </c>
    </row>
    <row r="1928" spans="1:10" x14ac:dyDescent="0.2">
      <c r="A1928" s="3">
        <v>8734</v>
      </c>
      <c r="B1928" s="3" t="s">
        <v>2089</v>
      </c>
      <c r="C1928" s="3" t="s">
        <v>2085</v>
      </c>
      <c r="D1928" s="3" t="s">
        <v>1966</v>
      </c>
      <c r="E1928" s="3" t="str">
        <v>Saint-Martin (VS)</v>
      </c>
      <c r="I1928" s="19">
        <v>6343</v>
      </c>
      <c r="J1928" s="19" t="s">
        <v>4555</v>
      </c>
    </row>
    <row r="1929" spans="1:10" x14ac:dyDescent="0.2">
      <c r="A1929" s="3">
        <v>8735</v>
      </c>
      <c r="B1929" s="3" t="s">
        <v>2090</v>
      </c>
      <c r="C1929" s="3" t="s">
        <v>2085</v>
      </c>
      <c r="D1929" s="3" t="s">
        <v>1966</v>
      </c>
      <c r="E1929" s="3" t="str">
        <v>Vex</v>
      </c>
      <c r="I1929" s="19">
        <v>6344</v>
      </c>
      <c r="J1929" s="19" t="s">
        <v>4555</v>
      </c>
    </row>
    <row r="1930" spans="1:10" x14ac:dyDescent="0.2">
      <c r="A1930" s="3">
        <v>8735</v>
      </c>
      <c r="B1930" s="3" t="s">
        <v>2091</v>
      </c>
      <c r="C1930" s="3" t="s">
        <v>2085</v>
      </c>
      <c r="D1930" s="3" t="s">
        <v>1966</v>
      </c>
      <c r="E1930" s="3" t="str">
        <v>Mont-Noble</v>
      </c>
      <c r="I1930" s="19">
        <v>6345</v>
      </c>
      <c r="J1930" s="19" t="s">
        <v>4560</v>
      </c>
    </row>
    <row r="1931" spans="1:10" x14ac:dyDescent="0.2">
      <c r="A1931" s="3">
        <v>9642</v>
      </c>
      <c r="B1931" s="3" t="s">
        <v>2092</v>
      </c>
      <c r="C1931" s="3" t="s">
        <v>2092</v>
      </c>
      <c r="D1931" s="3" t="s">
        <v>1966</v>
      </c>
      <c r="E1931" s="3" t="str">
        <v>Agarn</v>
      </c>
      <c r="I1931" s="19">
        <v>6353</v>
      </c>
      <c r="J1931" s="19" t="s">
        <v>4555</v>
      </c>
    </row>
    <row r="1932" spans="1:10" x14ac:dyDescent="0.2">
      <c r="A1932" s="3">
        <v>9656</v>
      </c>
      <c r="B1932" s="3" t="s">
        <v>2093</v>
      </c>
      <c r="C1932" s="3" t="s">
        <v>2094</v>
      </c>
      <c r="D1932" s="3" t="s">
        <v>1966</v>
      </c>
      <c r="E1932" s="3" t="str">
        <v>Albinen</v>
      </c>
      <c r="I1932" s="19">
        <v>6354</v>
      </c>
      <c r="J1932" s="19" t="s">
        <v>4555</v>
      </c>
    </row>
    <row r="1933" spans="1:10" x14ac:dyDescent="0.2">
      <c r="A1933" s="3">
        <v>9657</v>
      </c>
      <c r="B1933" s="3" t="s">
        <v>2095</v>
      </c>
      <c r="C1933" s="3" t="s">
        <v>2094</v>
      </c>
      <c r="D1933" s="3" t="s">
        <v>1966</v>
      </c>
      <c r="E1933" s="3" t="str">
        <v>Ergisch</v>
      </c>
      <c r="I1933" s="19">
        <v>6356</v>
      </c>
      <c r="J1933" s="19" t="s">
        <v>4561</v>
      </c>
    </row>
    <row r="1934" spans="1:10" x14ac:dyDescent="0.2">
      <c r="A1934" s="3">
        <v>9658</v>
      </c>
      <c r="B1934" s="3" t="s">
        <v>2096</v>
      </c>
      <c r="C1934" s="3" t="s">
        <v>2094</v>
      </c>
      <c r="D1934" s="3" t="s">
        <v>1966</v>
      </c>
      <c r="E1934" s="3" t="str">
        <v>Inden</v>
      </c>
      <c r="I1934" s="19">
        <v>6362</v>
      </c>
      <c r="J1934" s="19" t="s">
        <v>4555</v>
      </c>
    </row>
    <row r="1935" spans="1:10" x14ac:dyDescent="0.2">
      <c r="A1935" s="3">
        <v>9643</v>
      </c>
      <c r="B1935" s="3" t="s">
        <v>2097</v>
      </c>
      <c r="C1935" s="3" t="s">
        <v>2098</v>
      </c>
      <c r="D1935" s="3" t="s">
        <v>1966</v>
      </c>
      <c r="E1935" s="3" t="str">
        <v>Leuk</v>
      </c>
      <c r="I1935" s="19">
        <v>6363</v>
      </c>
      <c r="J1935" s="19" t="s">
        <v>4555</v>
      </c>
    </row>
    <row r="1936" spans="1:10" x14ac:dyDescent="0.2">
      <c r="A1936" s="3">
        <v>9650</v>
      </c>
      <c r="B1936" s="3" t="s">
        <v>2098</v>
      </c>
      <c r="C1936" s="3" t="s">
        <v>2098</v>
      </c>
      <c r="D1936" s="3" t="s">
        <v>1966</v>
      </c>
      <c r="E1936" s="3" t="str">
        <v>Leukerbad</v>
      </c>
      <c r="I1936" s="19">
        <v>6365</v>
      </c>
      <c r="J1936" s="19" t="s">
        <v>4555</v>
      </c>
    </row>
    <row r="1937" spans="1:10" x14ac:dyDescent="0.2">
      <c r="A1937" s="3">
        <v>9651</v>
      </c>
      <c r="B1937" s="3" t="s">
        <v>2099</v>
      </c>
      <c r="C1937" s="3" t="s">
        <v>2098</v>
      </c>
      <c r="D1937" s="3" t="s">
        <v>1966</v>
      </c>
      <c r="E1937" s="3" t="str">
        <v>Oberems</v>
      </c>
      <c r="I1937" s="19">
        <v>6370</v>
      </c>
      <c r="J1937" s="19" t="s">
        <v>4555</v>
      </c>
    </row>
    <row r="1938" spans="1:10" x14ac:dyDescent="0.2">
      <c r="A1938" s="3">
        <v>9652</v>
      </c>
      <c r="B1938" s="3" t="s">
        <v>2100</v>
      </c>
      <c r="C1938" s="3" t="s">
        <v>2098</v>
      </c>
      <c r="D1938" s="3" t="s">
        <v>1966</v>
      </c>
      <c r="E1938" s="3" t="str">
        <v>Salgesch</v>
      </c>
      <c r="I1938" s="19">
        <v>6372</v>
      </c>
      <c r="J1938" s="19" t="s">
        <v>4555</v>
      </c>
    </row>
    <row r="1939" spans="1:10" x14ac:dyDescent="0.2">
      <c r="A1939" s="3">
        <v>9655</v>
      </c>
      <c r="B1939" s="3" t="s">
        <v>2101</v>
      </c>
      <c r="C1939" s="3" t="s">
        <v>2098</v>
      </c>
      <c r="D1939" s="3" t="s">
        <v>1966</v>
      </c>
      <c r="E1939" s="3" t="str">
        <v>Varen</v>
      </c>
      <c r="I1939" s="19">
        <v>6373</v>
      </c>
      <c r="J1939" s="19" t="s">
        <v>4555</v>
      </c>
    </row>
    <row r="1940" spans="1:10" x14ac:dyDescent="0.2">
      <c r="A1940" s="3">
        <v>9633</v>
      </c>
      <c r="B1940" s="3" t="s">
        <v>2102</v>
      </c>
      <c r="C1940" s="3" t="s">
        <v>2102</v>
      </c>
      <c r="D1940" s="3" t="s">
        <v>1966</v>
      </c>
      <c r="E1940" s="3" t="str">
        <v>Guttet-Feschel</v>
      </c>
      <c r="I1940" s="19">
        <v>6374</v>
      </c>
      <c r="J1940" s="19" t="s">
        <v>4555</v>
      </c>
    </row>
    <row r="1941" spans="1:10" x14ac:dyDescent="0.2">
      <c r="A1941" s="3">
        <v>9633</v>
      </c>
      <c r="B1941" s="3" t="s">
        <v>2103</v>
      </c>
      <c r="C1941" s="3" t="s">
        <v>2102</v>
      </c>
      <c r="D1941" s="3" t="s">
        <v>1966</v>
      </c>
      <c r="E1941" s="3" t="str">
        <v>Gampel-Bratsch</v>
      </c>
      <c r="I1941" s="19">
        <v>6375</v>
      </c>
      <c r="J1941" s="19" t="s">
        <v>4562</v>
      </c>
    </row>
    <row r="1942" spans="1:10" x14ac:dyDescent="0.2">
      <c r="A1942" s="3">
        <v>9620</v>
      </c>
      <c r="B1942" s="3" t="s">
        <v>2104</v>
      </c>
      <c r="C1942" s="3" t="s">
        <v>2104</v>
      </c>
      <c r="D1942" s="3" t="s">
        <v>1966</v>
      </c>
      <c r="E1942" s="3" t="str">
        <v>Turtmann-Unterems</v>
      </c>
      <c r="I1942" s="19">
        <v>6376</v>
      </c>
      <c r="J1942" s="19" t="s">
        <v>4562</v>
      </c>
    </row>
    <row r="1943" spans="1:10" x14ac:dyDescent="0.2">
      <c r="A1943" s="3">
        <v>9621</v>
      </c>
      <c r="B1943" s="3" t="s">
        <v>2105</v>
      </c>
      <c r="C1943" s="3" t="s">
        <v>2105</v>
      </c>
      <c r="D1943" s="3" t="s">
        <v>1966</v>
      </c>
      <c r="E1943" s="3" t="str">
        <v>Bovernier</v>
      </c>
      <c r="I1943" s="19">
        <v>6377</v>
      </c>
      <c r="J1943" s="19" t="s">
        <v>4562</v>
      </c>
    </row>
    <row r="1944" spans="1:10" x14ac:dyDescent="0.2">
      <c r="A1944" s="3">
        <v>9114</v>
      </c>
      <c r="B1944" s="3" t="s">
        <v>2106</v>
      </c>
      <c r="C1944" s="3" t="s">
        <v>2107</v>
      </c>
      <c r="D1944" s="3" t="s">
        <v>1966</v>
      </c>
      <c r="E1944" s="3" t="str">
        <v>Fully</v>
      </c>
      <c r="I1944" s="19">
        <v>6382</v>
      </c>
      <c r="J1944" s="19" t="s">
        <v>4555</v>
      </c>
    </row>
    <row r="1945" spans="1:10" x14ac:dyDescent="0.2">
      <c r="A1945" s="3">
        <v>9115</v>
      </c>
      <c r="B1945" s="3" t="s">
        <v>2108</v>
      </c>
      <c r="C1945" s="3" t="s">
        <v>2107</v>
      </c>
      <c r="D1945" s="3" t="s">
        <v>1966</v>
      </c>
      <c r="E1945" s="3" t="str">
        <v>Isérables</v>
      </c>
      <c r="I1945" s="19">
        <v>6383</v>
      </c>
      <c r="J1945" s="19" t="s">
        <v>4555</v>
      </c>
    </row>
    <row r="1946" spans="1:10" x14ac:dyDescent="0.2">
      <c r="A1946" s="3">
        <v>9122</v>
      </c>
      <c r="B1946" s="3" t="s">
        <v>2109</v>
      </c>
      <c r="C1946" s="3" t="s">
        <v>2107</v>
      </c>
      <c r="D1946" s="3" t="s">
        <v>1966</v>
      </c>
      <c r="E1946" s="3" t="str">
        <v>Leytron</v>
      </c>
      <c r="I1946" s="19">
        <v>6386</v>
      </c>
      <c r="J1946" s="19" t="s">
        <v>4562</v>
      </c>
    </row>
    <row r="1947" spans="1:10" x14ac:dyDescent="0.2">
      <c r="A1947" s="3">
        <v>9122</v>
      </c>
      <c r="B1947" s="3" t="s">
        <v>2110</v>
      </c>
      <c r="C1947" s="3" t="s">
        <v>2107</v>
      </c>
      <c r="D1947" s="3" t="s">
        <v>1966</v>
      </c>
      <c r="E1947" s="3" t="str">
        <v>Martigny</v>
      </c>
      <c r="I1947" s="19">
        <v>6387</v>
      </c>
      <c r="J1947" s="19" t="s">
        <v>4561</v>
      </c>
    </row>
    <row r="1948" spans="1:10" x14ac:dyDescent="0.2">
      <c r="A1948" s="3">
        <v>9123</v>
      </c>
      <c r="B1948" s="3" t="s">
        <v>2111</v>
      </c>
      <c r="C1948" s="3" t="s">
        <v>2107</v>
      </c>
      <c r="D1948" s="3" t="s">
        <v>1966</v>
      </c>
      <c r="E1948" s="3" t="str">
        <v>Martigny-Combe</v>
      </c>
      <c r="I1948" s="19">
        <v>6388</v>
      </c>
      <c r="J1948" s="19" t="s">
        <v>4555</v>
      </c>
    </row>
    <row r="1949" spans="1:10" x14ac:dyDescent="0.2">
      <c r="A1949" s="3">
        <v>9125</v>
      </c>
      <c r="B1949" s="3" t="s">
        <v>2112</v>
      </c>
      <c r="C1949" s="3" t="s">
        <v>2107</v>
      </c>
      <c r="D1949" s="3" t="s">
        <v>1966</v>
      </c>
      <c r="E1949" s="3" t="str">
        <v>Riddes</v>
      </c>
      <c r="I1949" s="19">
        <v>6390</v>
      </c>
      <c r="J1949" s="19" t="s">
        <v>4561</v>
      </c>
    </row>
    <row r="1950" spans="1:10" x14ac:dyDescent="0.2">
      <c r="A1950" s="3">
        <v>9126</v>
      </c>
      <c r="B1950" s="3" t="s">
        <v>2113</v>
      </c>
      <c r="C1950" s="3" t="s">
        <v>2107</v>
      </c>
      <c r="D1950" s="3" t="s">
        <v>1966</v>
      </c>
      <c r="E1950" s="3" t="str">
        <v>Saillon</v>
      </c>
      <c r="I1950" s="19">
        <v>6402</v>
      </c>
      <c r="J1950" s="19" t="s">
        <v>4555</v>
      </c>
    </row>
    <row r="1951" spans="1:10" x14ac:dyDescent="0.2">
      <c r="A1951" s="3">
        <v>9127</v>
      </c>
      <c r="B1951" s="3" t="s">
        <v>2114</v>
      </c>
      <c r="C1951" s="3" t="s">
        <v>2107</v>
      </c>
      <c r="D1951" s="3" t="s">
        <v>1966</v>
      </c>
      <c r="E1951" s="3" t="str">
        <v>Saxon</v>
      </c>
      <c r="I1951" s="19">
        <v>6403</v>
      </c>
      <c r="J1951" s="19" t="s">
        <v>4555</v>
      </c>
    </row>
    <row r="1952" spans="1:10" x14ac:dyDescent="0.2">
      <c r="A1952" s="3">
        <v>8726</v>
      </c>
      <c r="B1952" s="3" t="s">
        <v>2115</v>
      </c>
      <c r="C1952" s="3" t="s">
        <v>2116</v>
      </c>
      <c r="D1952" s="3" t="s">
        <v>1966</v>
      </c>
      <c r="E1952" s="3" t="str">
        <v>Trient</v>
      </c>
      <c r="I1952" s="19">
        <v>6404</v>
      </c>
      <c r="J1952" s="19" t="s">
        <v>4555</v>
      </c>
    </row>
    <row r="1953" spans="1:10" x14ac:dyDescent="0.2">
      <c r="A1953" s="3">
        <v>9622</v>
      </c>
      <c r="B1953" s="3" t="s">
        <v>2117</v>
      </c>
      <c r="C1953" s="3" t="s">
        <v>2116</v>
      </c>
      <c r="D1953" s="3" t="s">
        <v>1966</v>
      </c>
      <c r="E1953" s="3" t="str">
        <v>Champéry</v>
      </c>
      <c r="I1953" s="19">
        <v>6405</v>
      </c>
      <c r="J1953" s="19" t="s">
        <v>4555</v>
      </c>
    </row>
    <row r="1954" spans="1:10" x14ac:dyDescent="0.2">
      <c r="A1954" s="3">
        <v>9630</v>
      </c>
      <c r="B1954" s="3" t="s">
        <v>2116</v>
      </c>
      <c r="C1954" s="3" t="s">
        <v>2116</v>
      </c>
      <c r="D1954" s="3" t="s">
        <v>1966</v>
      </c>
      <c r="E1954" s="3" t="str">
        <v>Collombey-Muraz</v>
      </c>
      <c r="I1954" s="19">
        <v>6410</v>
      </c>
      <c r="J1954" s="19" t="s">
        <v>4562</v>
      </c>
    </row>
    <row r="1955" spans="1:10" x14ac:dyDescent="0.2">
      <c r="A1955" s="3">
        <v>9631</v>
      </c>
      <c r="B1955" s="3" t="s">
        <v>2118</v>
      </c>
      <c r="C1955" s="3" t="s">
        <v>2116</v>
      </c>
      <c r="D1955" s="3" t="s">
        <v>1966</v>
      </c>
      <c r="E1955" s="3" t="str">
        <v>Monthey</v>
      </c>
      <c r="I1955" s="19">
        <v>6414</v>
      </c>
      <c r="J1955" s="19" t="s">
        <v>4562</v>
      </c>
    </row>
    <row r="1956" spans="1:10" x14ac:dyDescent="0.2">
      <c r="A1956" s="3">
        <v>9500</v>
      </c>
      <c r="B1956" s="3" t="s">
        <v>2119</v>
      </c>
      <c r="C1956" s="3" t="s">
        <v>2120</v>
      </c>
      <c r="D1956" s="3" t="s">
        <v>1966</v>
      </c>
      <c r="E1956" s="3" t="str">
        <v>Port-Valais</v>
      </c>
      <c r="I1956" s="19">
        <v>6415</v>
      </c>
      <c r="J1956" s="19" t="s">
        <v>4555</v>
      </c>
    </row>
    <row r="1957" spans="1:10" x14ac:dyDescent="0.2">
      <c r="A1957" s="3">
        <v>9533</v>
      </c>
      <c r="B1957" s="3" t="s">
        <v>2121</v>
      </c>
      <c r="C1957" s="3" t="s">
        <v>2120</v>
      </c>
      <c r="D1957" s="3" t="s">
        <v>1966</v>
      </c>
      <c r="E1957" s="3" t="str">
        <v>Saint-Gingolph</v>
      </c>
      <c r="I1957" s="19">
        <v>6416</v>
      </c>
      <c r="J1957" s="19" t="s">
        <v>4562</v>
      </c>
    </row>
    <row r="1958" spans="1:10" x14ac:dyDescent="0.2">
      <c r="A1958" s="3">
        <v>9533</v>
      </c>
      <c r="B1958" s="3" t="s">
        <v>2122</v>
      </c>
      <c r="C1958" s="3" t="s">
        <v>2120</v>
      </c>
      <c r="D1958" s="3" t="s">
        <v>1966</v>
      </c>
      <c r="E1958" s="3" t="str">
        <v>Troistorrents</v>
      </c>
      <c r="I1958" s="19">
        <v>6417</v>
      </c>
      <c r="J1958" s="19" t="s">
        <v>4562</v>
      </c>
    </row>
    <row r="1959" spans="1:10" x14ac:dyDescent="0.2">
      <c r="A1959" s="3">
        <v>9534</v>
      </c>
      <c r="B1959" s="3" t="s">
        <v>2123</v>
      </c>
      <c r="C1959" s="3" t="s">
        <v>2120</v>
      </c>
      <c r="D1959" s="3" t="s">
        <v>1966</v>
      </c>
      <c r="E1959" s="3" t="str">
        <v>Val-d'Illiez</v>
      </c>
      <c r="I1959" s="19">
        <v>6418</v>
      </c>
      <c r="J1959" s="19" t="s">
        <v>4562</v>
      </c>
    </row>
    <row r="1960" spans="1:10" x14ac:dyDescent="0.2">
      <c r="A1960" s="3">
        <v>9602</v>
      </c>
      <c r="B1960" s="3" t="s">
        <v>2124</v>
      </c>
      <c r="C1960" s="3" t="s">
        <v>2120</v>
      </c>
      <c r="D1960" s="3" t="s">
        <v>1966</v>
      </c>
      <c r="E1960" s="3" t="str">
        <v>Vionnaz</v>
      </c>
      <c r="I1960" s="19">
        <v>6422</v>
      </c>
      <c r="J1960" s="19" t="s">
        <v>4562</v>
      </c>
    </row>
    <row r="1961" spans="1:10" x14ac:dyDescent="0.2">
      <c r="A1961" s="3">
        <v>9602</v>
      </c>
      <c r="B1961" s="3" t="s">
        <v>2125</v>
      </c>
      <c r="C1961" s="3" t="s">
        <v>2120</v>
      </c>
      <c r="D1961" s="3" t="s">
        <v>1966</v>
      </c>
      <c r="E1961" s="3" t="str">
        <v>Vouvry</v>
      </c>
      <c r="I1961" s="19">
        <v>6423</v>
      </c>
      <c r="J1961" s="19" t="s">
        <v>4562</v>
      </c>
    </row>
    <row r="1962" spans="1:10" x14ac:dyDescent="0.2">
      <c r="A1962" s="3">
        <v>9601</v>
      </c>
      <c r="B1962" s="3" t="s">
        <v>2126</v>
      </c>
      <c r="C1962" s="3" t="s">
        <v>2127</v>
      </c>
      <c r="D1962" s="3" t="s">
        <v>1966</v>
      </c>
      <c r="E1962" s="3" t="str">
        <v>Bister</v>
      </c>
      <c r="I1962" s="19">
        <v>6424</v>
      </c>
      <c r="J1962" s="19" t="s">
        <v>4562</v>
      </c>
    </row>
    <row r="1963" spans="1:10" x14ac:dyDescent="0.2">
      <c r="A1963" s="3">
        <v>9604</v>
      </c>
      <c r="B1963" s="3" t="s">
        <v>2127</v>
      </c>
      <c r="C1963" s="3" t="s">
        <v>2127</v>
      </c>
      <c r="D1963" s="3" t="s">
        <v>1966</v>
      </c>
      <c r="E1963" s="3" t="str">
        <v>Bitsch</v>
      </c>
      <c r="I1963" s="19">
        <v>6430</v>
      </c>
      <c r="J1963" s="19" t="s">
        <v>4562</v>
      </c>
    </row>
    <row r="1964" spans="1:10" x14ac:dyDescent="0.2">
      <c r="A1964" s="3">
        <v>9604</v>
      </c>
      <c r="B1964" s="3" t="s">
        <v>2128</v>
      </c>
      <c r="C1964" s="3" t="s">
        <v>2127</v>
      </c>
      <c r="D1964" s="3" t="s">
        <v>1966</v>
      </c>
      <c r="E1964" s="3" t="str">
        <v>Grengiols</v>
      </c>
      <c r="I1964" s="19">
        <v>6432</v>
      </c>
      <c r="J1964" s="19" t="s">
        <v>4562</v>
      </c>
    </row>
    <row r="1965" spans="1:10" x14ac:dyDescent="0.2">
      <c r="A1965" s="3">
        <v>9607</v>
      </c>
      <c r="B1965" s="3" t="s">
        <v>2129</v>
      </c>
      <c r="C1965" s="3" t="s">
        <v>2129</v>
      </c>
      <c r="D1965" s="3" t="s">
        <v>1966</v>
      </c>
      <c r="E1965" s="3" t="str">
        <v>Riederalp</v>
      </c>
      <c r="I1965" s="19">
        <v>6433</v>
      </c>
      <c r="J1965" s="19" t="s">
        <v>4561</v>
      </c>
    </row>
    <row r="1966" spans="1:10" x14ac:dyDescent="0.2">
      <c r="A1966" s="3">
        <v>9612</v>
      </c>
      <c r="B1966" s="3" t="s">
        <v>2130</v>
      </c>
      <c r="C1966" s="3" t="s">
        <v>2129</v>
      </c>
      <c r="D1966" s="3" t="s">
        <v>1966</v>
      </c>
      <c r="E1966" s="3" t="str">
        <v>Ausserberg</v>
      </c>
      <c r="I1966" s="19">
        <v>6434</v>
      </c>
      <c r="J1966" s="19" t="s">
        <v>4562</v>
      </c>
    </row>
    <row r="1967" spans="1:10" x14ac:dyDescent="0.2">
      <c r="A1967" s="3">
        <v>9613</v>
      </c>
      <c r="B1967" s="3" t="s">
        <v>2131</v>
      </c>
      <c r="C1967" s="3" t="s">
        <v>2129</v>
      </c>
      <c r="D1967" s="3" t="s">
        <v>1966</v>
      </c>
      <c r="E1967" s="3" t="str">
        <v>Blatten</v>
      </c>
      <c r="I1967" s="19">
        <v>6436</v>
      </c>
      <c r="J1967" s="19" t="s">
        <v>4562</v>
      </c>
    </row>
    <row r="1968" spans="1:10" x14ac:dyDescent="0.2">
      <c r="A1968" s="3">
        <v>9614</v>
      </c>
      <c r="B1968" s="3" t="s">
        <v>2132</v>
      </c>
      <c r="C1968" s="3" t="s">
        <v>2129</v>
      </c>
      <c r="D1968" s="3" t="s">
        <v>1966</v>
      </c>
      <c r="E1968" s="3" t="str">
        <v>Bürchen</v>
      </c>
      <c r="I1968" s="19">
        <v>6438</v>
      </c>
      <c r="J1968" s="19" t="s">
        <v>4562</v>
      </c>
    </row>
    <row r="1969" spans="1:10" x14ac:dyDescent="0.2">
      <c r="A1969" s="3">
        <v>9606</v>
      </c>
      <c r="B1969" s="3" t="s">
        <v>2133</v>
      </c>
      <c r="C1969" s="3" t="s">
        <v>2134</v>
      </c>
      <c r="D1969" s="3" t="s">
        <v>1966</v>
      </c>
      <c r="E1969" s="3" t="str">
        <v>Eischoll</v>
      </c>
      <c r="I1969" s="19">
        <v>6440</v>
      </c>
      <c r="J1969" s="19" t="s">
        <v>4562</v>
      </c>
    </row>
    <row r="1970" spans="1:10" x14ac:dyDescent="0.2">
      <c r="A1970" s="3">
        <v>9608</v>
      </c>
      <c r="B1970" s="3" t="s">
        <v>2135</v>
      </c>
      <c r="C1970" s="3" t="s">
        <v>2134</v>
      </c>
      <c r="D1970" s="3" t="s">
        <v>1966</v>
      </c>
      <c r="E1970" s="3" t="str">
        <v>Ferden</v>
      </c>
      <c r="I1970" s="19">
        <v>6441</v>
      </c>
      <c r="J1970" s="19" t="s">
        <v>4562</v>
      </c>
    </row>
    <row r="1971" spans="1:10" x14ac:dyDescent="0.2">
      <c r="A1971" s="3">
        <v>9615</v>
      </c>
      <c r="B1971" s="3" t="s">
        <v>2136</v>
      </c>
      <c r="C1971" s="3" t="s">
        <v>2134</v>
      </c>
      <c r="D1971" s="3" t="s">
        <v>1966</v>
      </c>
      <c r="E1971" s="3" t="str">
        <v>Kippel</v>
      </c>
      <c r="I1971" s="19">
        <v>6442</v>
      </c>
      <c r="J1971" s="19" t="s">
        <v>4562</v>
      </c>
    </row>
    <row r="1972" spans="1:10" x14ac:dyDescent="0.2">
      <c r="A1972" s="3">
        <v>9113</v>
      </c>
      <c r="B1972" s="3" t="s">
        <v>2137</v>
      </c>
      <c r="C1972" s="3" t="s">
        <v>2137</v>
      </c>
      <c r="D1972" s="3" t="s">
        <v>1966</v>
      </c>
      <c r="E1972" s="3" t="str">
        <v>Niedergesteln</v>
      </c>
      <c r="I1972" s="19">
        <v>6443</v>
      </c>
      <c r="J1972" s="19" t="s">
        <v>4562</v>
      </c>
    </row>
    <row r="1973" spans="1:10" x14ac:dyDescent="0.2">
      <c r="A1973" s="3">
        <v>9116</v>
      </c>
      <c r="B1973" s="3" t="s">
        <v>2138</v>
      </c>
      <c r="C1973" s="3" t="s">
        <v>2137</v>
      </c>
      <c r="D1973" s="3" t="s">
        <v>1966</v>
      </c>
      <c r="E1973" s="3" t="str">
        <v>Raron</v>
      </c>
      <c r="I1973" s="19">
        <v>6452</v>
      </c>
      <c r="J1973" s="19" t="s">
        <v>4562</v>
      </c>
    </row>
    <row r="1974" spans="1:10" x14ac:dyDescent="0.2">
      <c r="A1974" s="3">
        <v>9230</v>
      </c>
      <c r="B1974" s="3" t="s">
        <v>2139</v>
      </c>
      <c r="C1974" s="3" t="s">
        <v>2139</v>
      </c>
      <c r="D1974" s="3" t="s">
        <v>1966</v>
      </c>
      <c r="E1974" s="3" t="str">
        <v>Unterbäch</v>
      </c>
      <c r="I1974" s="19">
        <v>6454</v>
      </c>
      <c r="J1974" s="19" t="s">
        <v>4562</v>
      </c>
    </row>
    <row r="1975" spans="1:10" x14ac:dyDescent="0.2">
      <c r="A1975" s="3">
        <v>9231</v>
      </c>
      <c r="B1975" s="3" t="s">
        <v>2140</v>
      </c>
      <c r="C1975" s="3" t="s">
        <v>2139</v>
      </c>
      <c r="D1975" s="3" t="s">
        <v>1966</v>
      </c>
      <c r="E1975" s="3" t="str">
        <v>Wiler (Lötschen)</v>
      </c>
      <c r="I1975" s="19">
        <v>6460</v>
      </c>
      <c r="J1975" s="19" t="s">
        <v>4562</v>
      </c>
    </row>
    <row r="1976" spans="1:10" x14ac:dyDescent="0.2">
      <c r="A1976" s="3">
        <v>9243</v>
      </c>
      <c r="B1976" s="3" t="s">
        <v>2141</v>
      </c>
      <c r="C1976" s="3" t="s">
        <v>2141</v>
      </c>
      <c r="D1976" s="3" t="s">
        <v>1966</v>
      </c>
      <c r="E1976" s="3" t="str">
        <v>Mörel-Filet</v>
      </c>
      <c r="I1976" s="19">
        <v>6461</v>
      </c>
      <c r="J1976" s="19" t="s">
        <v>4562</v>
      </c>
    </row>
    <row r="1977" spans="1:10" x14ac:dyDescent="0.2">
      <c r="A1977" s="3">
        <v>9532</v>
      </c>
      <c r="B1977" s="3" t="s">
        <v>2142</v>
      </c>
      <c r="C1977" s="3" t="s">
        <v>2141</v>
      </c>
      <c r="D1977" s="3" t="s">
        <v>1966</v>
      </c>
      <c r="E1977" s="3" t="str">
        <v>Steg-Hohtenn</v>
      </c>
      <c r="I1977" s="19">
        <v>6462</v>
      </c>
      <c r="J1977" s="19" t="s">
        <v>4562</v>
      </c>
    </row>
    <row r="1978" spans="1:10" x14ac:dyDescent="0.2">
      <c r="A1978" s="3">
        <v>9536</v>
      </c>
      <c r="B1978" s="3" t="s">
        <v>2143</v>
      </c>
      <c r="C1978" s="3" t="s">
        <v>2141</v>
      </c>
      <c r="D1978" s="3" t="s">
        <v>1966</v>
      </c>
      <c r="E1978" s="3" t="str">
        <v>Bettmeralp</v>
      </c>
      <c r="I1978" s="19">
        <v>6463</v>
      </c>
      <c r="J1978" s="19" t="s">
        <v>4562</v>
      </c>
    </row>
    <row r="1979" spans="1:10" x14ac:dyDescent="0.2">
      <c r="A1979" s="3">
        <v>9604</v>
      </c>
      <c r="B1979" s="3" t="s">
        <v>2144</v>
      </c>
      <c r="C1979" s="3" t="s">
        <v>2141</v>
      </c>
      <c r="D1979" s="3" t="s">
        <v>1966</v>
      </c>
      <c r="E1979" s="3" t="str">
        <v>Collonges</v>
      </c>
      <c r="I1979" s="19">
        <v>6464</v>
      </c>
      <c r="J1979" s="19" t="s">
        <v>4562</v>
      </c>
    </row>
    <row r="1980" spans="1:10" x14ac:dyDescent="0.2">
      <c r="A1980" s="3">
        <v>9240</v>
      </c>
      <c r="B1980" s="3" t="s">
        <v>2145</v>
      </c>
      <c r="C1980" s="3" t="s">
        <v>2146</v>
      </c>
      <c r="D1980" s="3" t="s">
        <v>1966</v>
      </c>
      <c r="E1980" s="3" t="str">
        <v>Dorénaz</v>
      </c>
      <c r="I1980" s="19">
        <v>6465</v>
      </c>
      <c r="J1980" s="19" t="s">
        <v>4562</v>
      </c>
    </row>
    <row r="1981" spans="1:10" x14ac:dyDescent="0.2">
      <c r="A1981" s="3">
        <v>9242</v>
      </c>
      <c r="B1981" s="3" t="s">
        <v>2146</v>
      </c>
      <c r="C1981" s="3" t="s">
        <v>2146</v>
      </c>
      <c r="D1981" s="3" t="s">
        <v>1966</v>
      </c>
      <c r="E1981" s="3" t="str">
        <v>Evionnaz</v>
      </c>
      <c r="I1981" s="19">
        <v>6466</v>
      </c>
      <c r="J1981" s="19" t="s">
        <v>4562</v>
      </c>
    </row>
    <row r="1982" spans="1:10" x14ac:dyDescent="0.2">
      <c r="A1982" s="3">
        <v>9248</v>
      </c>
      <c r="B1982" s="3" t="s">
        <v>2147</v>
      </c>
      <c r="C1982" s="3" t="s">
        <v>2146</v>
      </c>
      <c r="D1982" s="3" t="s">
        <v>1966</v>
      </c>
      <c r="E1982" s="3" t="str">
        <v>Finhaut</v>
      </c>
      <c r="I1982" s="19">
        <v>6467</v>
      </c>
      <c r="J1982" s="19" t="s">
        <v>4562</v>
      </c>
    </row>
    <row r="1983" spans="1:10" x14ac:dyDescent="0.2">
      <c r="A1983" s="3">
        <v>9240</v>
      </c>
      <c r="B1983" s="3" t="s">
        <v>2148</v>
      </c>
      <c r="C1983" s="3" t="s">
        <v>2148</v>
      </c>
      <c r="D1983" s="3" t="s">
        <v>1966</v>
      </c>
      <c r="E1983" s="3" t="str">
        <v>Massongex</v>
      </c>
      <c r="I1983" s="19">
        <v>6468</v>
      </c>
      <c r="J1983" s="19" t="s">
        <v>4562</v>
      </c>
    </row>
    <row r="1984" spans="1:10" x14ac:dyDescent="0.2">
      <c r="A1984" s="3">
        <v>9244</v>
      </c>
      <c r="B1984" s="3" t="s">
        <v>2149</v>
      </c>
      <c r="C1984" s="3" t="s">
        <v>2148</v>
      </c>
      <c r="D1984" s="3" t="s">
        <v>1966</v>
      </c>
      <c r="E1984" s="3" t="str">
        <v>Saint-Maurice</v>
      </c>
      <c r="I1984" s="19">
        <v>6469</v>
      </c>
      <c r="J1984" s="19" t="s">
        <v>4562</v>
      </c>
    </row>
    <row r="1985" spans="1:10" x14ac:dyDescent="0.2">
      <c r="A1985" s="3">
        <v>9247</v>
      </c>
      <c r="B1985" s="3" t="s">
        <v>2150</v>
      </c>
      <c r="C1985" s="3" t="s">
        <v>2148</v>
      </c>
      <c r="D1985" s="3" t="s">
        <v>1966</v>
      </c>
      <c r="E1985" s="3" t="str">
        <v>Salvan</v>
      </c>
      <c r="I1985" s="19">
        <v>6472</v>
      </c>
      <c r="J1985" s="19" t="s">
        <v>4562</v>
      </c>
    </row>
    <row r="1986" spans="1:10" x14ac:dyDescent="0.2">
      <c r="A1986" s="3">
        <v>9249</v>
      </c>
      <c r="B1986" s="3" t="s">
        <v>2151</v>
      </c>
      <c r="C1986" s="3" t="s">
        <v>2148</v>
      </c>
      <c r="D1986" s="3" t="s">
        <v>1966</v>
      </c>
      <c r="E1986" s="3" t="str">
        <v>Vernayaz</v>
      </c>
      <c r="I1986" s="19">
        <v>6473</v>
      </c>
      <c r="J1986" s="19" t="s">
        <v>4562</v>
      </c>
    </row>
    <row r="1987" spans="1:10" x14ac:dyDescent="0.2">
      <c r="A1987" s="3">
        <v>9249</v>
      </c>
      <c r="B1987" s="3" t="s">
        <v>2152</v>
      </c>
      <c r="C1987" s="3" t="s">
        <v>2148</v>
      </c>
      <c r="D1987" s="3" t="s">
        <v>1966</v>
      </c>
      <c r="E1987" s="3" t="str">
        <v>Vérossaz</v>
      </c>
      <c r="I1987" s="19">
        <v>6474</v>
      </c>
      <c r="J1987" s="19" t="s">
        <v>4562</v>
      </c>
    </row>
    <row r="1988" spans="1:10" x14ac:dyDescent="0.2">
      <c r="A1988" s="3">
        <v>9249</v>
      </c>
      <c r="B1988" s="3" t="s">
        <v>2153</v>
      </c>
      <c r="C1988" s="3" t="s">
        <v>2148</v>
      </c>
      <c r="D1988" s="3" t="s">
        <v>1966</v>
      </c>
      <c r="E1988" s="3" t="str">
        <v>Chalais</v>
      </c>
      <c r="I1988" s="19">
        <v>6475</v>
      </c>
      <c r="J1988" s="19" t="s">
        <v>4562</v>
      </c>
    </row>
    <row r="1989" spans="1:10" x14ac:dyDescent="0.2">
      <c r="A1989" s="3">
        <v>9246</v>
      </c>
      <c r="B1989" s="3" t="s">
        <v>2154</v>
      </c>
      <c r="C1989" s="3" t="s">
        <v>2154</v>
      </c>
      <c r="D1989" s="3" t="s">
        <v>1966</v>
      </c>
      <c r="E1989" s="3" t="str">
        <v>Chippis</v>
      </c>
      <c r="I1989" s="19">
        <v>6476</v>
      </c>
      <c r="J1989" s="19" t="s">
        <v>4562</v>
      </c>
    </row>
    <row r="1990" spans="1:10" x14ac:dyDescent="0.2">
      <c r="A1990" s="3">
        <v>9525</v>
      </c>
      <c r="B1990" s="3" t="s">
        <v>2155</v>
      </c>
      <c r="C1990" s="3" t="s">
        <v>2156</v>
      </c>
      <c r="D1990" s="3" t="s">
        <v>1966</v>
      </c>
      <c r="E1990" s="3" t="str">
        <v>Grône</v>
      </c>
      <c r="I1990" s="19">
        <v>6482</v>
      </c>
      <c r="J1990" s="19" t="s">
        <v>4562</v>
      </c>
    </row>
    <row r="1991" spans="1:10" x14ac:dyDescent="0.2">
      <c r="A1991" s="3">
        <v>9526</v>
      </c>
      <c r="B1991" s="3" t="s">
        <v>2157</v>
      </c>
      <c r="C1991" s="3" t="s">
        <v>2156</v>
      </c>
      <c r="D1991" s="3" t="s">
        <v>1966</v>
      </c>
      <c r="E1991" s="3" t="str">
        <v>Icogne</v>
      </c>
      <c r="I1991" s="19">
        <v>6484</v>
      </c>
      <c r="J1991" s="19" t="s">
        <v>4561</v>
      </c>
    </row>
    <row r="1992" spans="1:10" x14ac:dyDescent="0.2">
      <c r="A1992" s="3">
        <v>9527</v>
      </c>
      <c r="B1992" s="3" t="s">
        <v>2156</v>
      </c>
      <c r="C1992" s="3" t="s">
        <v>2156</v>
      </c>
      <c r="D1992" s="3" t="s">
        <v>1966</v>
      </c>
      <c r="E1992" s="3" t="str">
        <v>Lens</v>
      </c>
      <c r="I1992" s="19">
        <v>6485</v>
      </c>
      <c r="J1992" s="19" t="s">
        <v>4561</v>
      </c>
    </row>
    <row r="1993" spans="1:10" x14ac:dyDescent="0.2">
      <c r="A1993" s="3">
        <v>9203</v>
      </c>
      <c r="B1993" s="3" t="s">
        <v>2158</v>
      </c>
      <c r="C1993" s="3" t="s">
        <v>2159</v>
      </c>
      <c r="D1993" s="3" t="s">
        <v>1966</v>
      </c>
      <c r="E1993" s="3" t="str">
        <v>Saint-Léonard</v>
      </c>
      <c r="I1993" s="19">
        <v>6487</v>
      </c>
      <c r="J1993" s="19" t="s">
        <v>4561</v>
      </c>
    </row>
    <row r="1994" spans="1:10" x14ac:dyDescent="0.2">
      <c r="A1994" s="3">
        <v>9245</v>
      </c>
      <c r="B1994" s="3" t="s">
        <v>2159</v>
      </c>
      <c r="C1994" s="3" t="s">
        <v>2159</v>
      </c>
      <c r="D1994" s="3" t="s">
        <v>1966</v>
      </c>
      <c r="E1994" s="3" t="str">
        <v>Sierre</v>
      </c>
      <c r="I1994" s="19">
        <v>6490</v>
      </c>
      <c r="J1994" s="19" t="s">
        <v>4561</v>
      </c>
    </row>
    <row r="1995" spans="1:10" x14ac:dyDescent="0.2">
      <c r="A1995" s="3">
        <v>9245</v>
      </c>
      <c r="B1995" s="3" t="s">
        <v>2160</v>
      </c>
      <c r="C1995" s="3" t="s">
        <v>2159</v>
      </c>
      <c r="D1995" s="3" t="s">
        <v>1966</v>
      </c>
      <c r="E1995" s="3" t="str">
        <v>Anniviers</v>
      </c>
      <c r="I1995" s="19">
        <v>6491</v>
      </c>
      <c r="J1995" s="19" t="s">
        <v>4561</v>
      </c>
    </row>
    <row r="1996" spans="1:10" x14ac:dyDescent="0.2">
      <c r="A1996" s="3">
        <v>9523</v>
      </c>
      <c r="B1996" s="3" t="s">
        <v>2161</v>
      </c>
      <c r="C1996" s="3" t="s">
        <v>2162</v>
      </c>
      <c r="D1996" s="3" t="s">
        <v>1966</v>
      </c>
      <c r="E1996" s="3" t="str">
        <v>Crans-Montana</v>
      </c>
      <c r="I1996" s="19">
        <v>6493</v>
      </c>
      <c r="J1996" s="19" t="s">
        <v>4561</v>
      </c>
    </row>
    <row r="1997" spans="1:10" x14ac:dyDescent="0.2">
      <c r="A1997" s="3">
        <v>9524</v>
      </c>
      <c r="B1997" s="3" t="s">
        <v>2163</v>
      </c>
      <c r="C1997" s="3" t="s">
        <v>2162</v>
      </c>
      <c r="D1997" s="3" t="s">
        <v>1966</v>
      </c>
      <c r="E1997" s="3" t="str">
        <v>Noble-Contrée</v>
      </c>
      <c r="I1997" s="19">
        <v>6500</v>
      </c>
      <c r="J1997" s="19" t="s">
        <v>4563</v>
      </c>
    </row>
    <row r="1998" spans="1:10" x14ac:dyDescent="0.2">
      <c r="A1998" s="3">
        <v>9500</v>
      </c>
      <c r="B1998" s="3" t="s">
        <v>2119</v>
      </c>
      <c r="C1998" s="3" t="s">
        <v>2164</v>
      </c>
      <c r="D1998" s="3" t="s">
        <v>1966</v>
      </c>
      <c r="E1998" s="3" t="str">
        <v>Arbaz</v>
      </c>
      <c r="I1998" s="19">
        <v>6503</v>
      </c>
      <c r="J1998" s="19" t="s">
        <v>4563</v>
      </c>
    </row>
    <row r="1999" spans="1:10" x14ac:dyDescent="0.2">
      <c r="A1999" s="3">
        <v>9512</v>
      </c>
      <c r="B1999" s="3" t="s">
        <v>2165</v>
      </c>
      <c r="C1999" s="3" t="s">
        <v>2164</v>
      </c>
      <c r="D1999" s="3" t="s">
        <v>1966</v>
      </c>
      <c r="E1999" s="3" t="str">
        <v>Grimisuat</v>
      </c>
      <c r="I1999" s="19">
        <v>6512</v>
      </c>
      <c r="J1999" s="19" t="s">
        <v>4563</v>
      </c>
    </row>
    <row r="2000" spans="1:10" x14ac:dyDescent="0.2">
      <c r="A2000" s="3">
        <v>9552</v>
      </c>
      <c r="B2000" s="3" t="s">
        <v>2166</v>
      </c>
      <c r="C2000" s="3" t="s">
        <v>2164</v>
      </c>
      <c r="D2000" s="3" t="s">
        <v>1966</v>
      </c>
      <c r="E2000" s="3" t="str">
        <v>Savièse</v>
      </c>
      <c r="I2000" s="19">
        <v>6513</v>
      </c>
      <c r="J2000" s="19" t="s">
        <v>4563</v>
      </c>
    </row>
    <row r="2001" spans="1:10" x14ac:dyDescent="0.2">
      <c r="A2001" s="3">
        <v>9204</v>
      </c>
      <c r="B2001" s="3" t="s">
        <v>2167</v>
      </c>
      <c r="C2001" s="3" t="s">
        <v>2168</v>
      </c>
      <c r="D2001" s="3" t="s">
        <v>1966</v>
      </c>
      <c r="E2001" s="3" t="str">
        <v>Sion</v>
      </c>
      <c r="I2001" s="19">
        <v>6514</v>
      </c>
      <c r="J2001" s="19" t="s">
        <v>4563</v>
      </c>
    </row>
    <row r="2002" spans="1:10" x14ac:dyDescent="0.2">
      <c r="A2002" s="3">
        <v>9030</v>
      </c>
      <c r="B2002" s="3" t="s">
        <v>2169</v>
      </c>
      <c r="C2002" s="3" t="s">
        <v>2170</v>
      </c>
      <c r="D2002" s="3" t="s">
        <v>1966</v>
      </c>
      <c r="E2002" s="3" t="str">
        <v>Veysonnaz</v>
      </c>
      <c r="I2002" s="19">
        <v>6515</v>
      </c>
      <c r="J2002" s="19" t="s">
        <v>4563</v>
      </c>
    </row>
    <row r="2003" spans="1:10" x14ac:dyDescent="0.2">
      <c r="A2003" s="3">
        <v>9030</v>
      </c>
      <c r="B2003" s="3" t="s">
        <v>2171</v>
      </c>
      <c r="C2003" s="3" t="s">
        <v>2170</v>
      </c>
      <c r="D2003" s="3" t="s">
        <v>1966</v>
      </c>
      <c r="E2003" s="3" t="str">
        <v>Baltschieder</v>
      </c>
      <c r="I2003" s="19">
        <v>6516</v>
      </c>
      <c r="J2003" s="19" t="s">
        <v>4563</v>
      </c>
    </row>
    <row r="2004" spans="1:10" x14ac:dyDescent="0.2">
      <c r="A2004" s="3">
        <v>9032</v>
      </c>
      <c r="B2004" s="3" t="s">
        <v>2172</v>
      </c>
      <c r="C2004" s="3" t="s">
        <v>2170</v>
      </c>
      <c r="D2004" s="3" t="s">
        <v>1966</v>
      </c>
      <c r="E2004" s="3" t="str">
        <v>Eisten</v>
      </c>
      <c r="I2004" s="19">
        <v>6517</v>
      </c>
      <c r="J2004" s="19" t="s">
        <v>4563</v>
      </c>
    </row>
    <row r="2005" spans="1:10" x14ac:dyDescent="0.2">
      <c r="A2005" s="3">
        <v>9200</v>
      </c>
      <c r="B2005" s="3" t="s">
        <v>2173</v>
      </c>
      <c r="C2005" s="3" t="s">
        <v>2174</v>
      </c>
      <c r="D2005" s="3" t="s">
        <v>1966</v>
      </c>
      <c r="E2005" s="3" t="str">
        <v>Embd</v>
      </c>
      <c r="I2005" s="19">
        <v>6518</v>
      </c>
      <c r="J2005" s="19" t="s">
        <v>4563</v>
      </c>
    </row>
    <row r="2006" spans="1:10" x14ac:dyDescent="0.2">
      <c r="A2006" s="3">
        <v>9212</v>
      </c>
      <c r="B2006" s="3" t="s">
        <v>2175</v>
      </c>
      <c r="C2006" s="3" t="s">
        <v>2174</v>
      </c>
      <c r="D2006" s="3" t="s">
        <v>1966</v>
      </c>
      <c r="E2006" s="3" t="str">
        <v>Grächen</v>
      </c>
      <c r="I2006" s="19">
        <v>6523</v>
      </c>
      <c r="J2006" s="19" t="s">
        <v>4563</v>
      </c>
    </row>
    <row r="2007" spans="1:10" x14ac:dyDescent="0.2">
      <c r="A2007" s="3">
        <v>9205</v>
      </c>
      <c r="B2007" s="3" t="s">
        <v>2176</v>
      </c>
      <c r="C2007" s="3" t="s">
        <v>2176</v>
      </c>
      <c r="D2007" s="3" t="s">
        <v>1966</v>
      </c>
      <c r="E2007" s="3" t="str">
        <v>Lalden</v>
      </c>
      <c r="I2007" s="19">
        <v>6524</v>
      </c>
      <c r="J2007" s="19" t="s">
        <v>4563</v>
      </c>
    </row>
    <row r="2008" spans="1:10" x14ac:dyDescent="0.2">
      <c r="A2008" s="3">
        <v>9304</v>
      </c>
      <c r="B2008" s="3" t="s">
        <v>2177</v>
      </c>
      <c r="C2008" s="3" t="s">
        <v>2176</v>
      </c>
      <c r="D2008" s="3" t="s">
        <v>1966</v>
      </c>
      <c r="E2008" s="3" t="str">
        <v>Randa</v>
      </c>
      <c r="I2008" s="19">
        <v>6525</v>
      </c>
      <c r="J2008" s="19" t="s">
        <v>4563</v>
      </c>
    </row>
    <row r="2009" spans="1:10" x14ac:dyDescent="0.2">
      <c r="A2009" s="3">
        <v>7077</v>
      </c>
      <c r="B2009" s="3" t="s">
        <v>2178</v>
      </c>
      <c r="C2009" s="3" t="s">
        <v>2179</v>
      </c>
      <c r="D2009" s="3" t="s">
        <v>2180</v>
      </c>
      <c r="E2009" s="3" t="str">
        <v>Saas-Almagell</v>
      </c>
      <c r="I2009" s="19">
        <v>6526</v>
      </c>
      <c r="J2009" s="19" t="s">
        <v>4563</v>
      </c>
    </row>
    <row r="2010" spans="1:10" x14ac:dyDescent="0.2">
      <c r="A2010" s="3">
        <v>7078</v>
      </c>
      <c r="B2010" s="3" t="s">
        <v>2181</v>
      </c>
      <c r="C2010" s="3" t="s">
        <v>2179</v>
      </c>
      <c r="D2010" s="3" t="s">
        <v>2180</v>
      </c>
      <c r="E2010" s="3" t="str">
        <v>Saas-Balen</v>
      </c>
      <c r="I2010" s="19">
        <v>6527</v>
      </c>
      <c r="J2010" s="19" t="s">
        <v>4563</v>
      </c>
    </row>
    <row r="2011" spans="1:10" x14ac:dyDescent="0.2">
      <c r="A2011" s="3">
        <v>7082</v>
      </c>
      <c r="B2011" s="3" t="s">
        <v>2179</v>
      </c>
      <c r="C2011" s="3" t="s">
        <v>2179</v>
      </c>
      <c r="D2011" s="3" t="s">
        <v>2180</v>
      </c>
      <c r="E2011" s="3" t="str">
        <v>Saas-Fee</v>
      </c>
      <c r="I2011" s="19">
        <v>6528</v>
      </c>
      <c r="J2011" s="19" t="s">
        <v>4563</v>
      </c>
    </row>
    <row r="2012" spans="1:10" x14ac:dyDescent="0.2">
      <c r="A2012" s="3">
        <v>7450</v>
      </c>
      <c r="B2012" s="3" t="s">
        <v>2182</v>
      </c>
      <c r="C2012" s="3" t="s">
        <v>2179</v>
      </c>
      <c r="D2012" s="3" t="s">
        <v>2180</v>
      </c>
      <c r="E2012" s="3" t="str">
        <v>Saas-Grund</v>
      </c>
      <c r="I2012" s="19">
        <v>6532</v>
      </c>
      <c r="J2012" s="19" t="s">
        <v>4563</v>
      </c>
    </row>
    <row r="2013" spans="1:10" x14ac:dyDescent="0.2">
      <c r="A2013" s="3">
        <v>7083</v>
      </c>
      <c r="B2013" s="3" t="s">
        <v>2183</v>
      </c>
      <c r="C2013" s="3" t="s">
        <v>2183</v>
      </c>
      <c r="D2013" s="3" t="s">
        <v>2180</v>
      </c>
      <c r="E2013" s="3" t="str">
        <v>St. Niklaus</v>
      </c>
      <c r="I2013" s="19">
        <v>6533</v>
      </c>
      <c r="J2013" s="19" t="s">
        <v>4563</v>
      </c>
    </row>
    <row r="2014" spans="1:10" x14ac:dyDescent="0.2">
      <c r="A2014" s="3">
        <v>7493</v>
      </c>
      <c r="B2014" s="3" t="s">
        <v>2184</v>
      </c>
      <c r="C2014" s="3" t="s">
        <v>2185</v>
      </c>
      <c r="D2014" s="3" t="s">
        <v>2180</v>
      </c>
      <c r="E2014" s="3" t="str">
        <v>Stalden (VS)</v>
      </c>
      <c r="I2014" s="19">
        <v>6534</v>
      </c>
      <c r="J2014" s="19" t="s">
        <v>4563</v>
      </c>
    </row>
    <row r="2015" spans="1:10" x14ac:dyDescent="0.2">
      <c r="A2015" s="3">
        <v>7084</v>
      </c>
      <c r="B2015" s="3" t="s">
        <v>2186</v>
      </c>
      <c r="C2015" s="3" t="s">
        <v>2187</v>
      </c>
      <c r="D2015" s="3" t="s">
        <v>2180</v>
      </c>
      <c r="E2015" s="3" t="str">
        <v>Staldenried</v>
      </c>
      <c r="I2015" s="19">
        <v>6535</v>
      </c>
      <c r="J2015" s="19" t="s">
        <v>4563</v>
      </c>
    </row>
    <row r="2016" spans="1:10" x14ac:dyDescent="0.2">
      <c r="A2016" s="3">
        <v>7450</v>
      </c>
      <c r="B2016" s="3" t="s">
        <v>2182</v>
      </c>
      <c r="C2016" s="3" t="s">
        <v>2187</v>
      </c>
      <c r="D2016" s="3" t="s">
        <v>2180</v>
      </c>
      <c r="E2016" s="3" t="str">
        <v>Täsch</v>
      </c>
      <c r="I2016" s="19">
        <v>6537</v>
      </c>
      <c r="J2016" s="19" t="s">
        <v>4563</v>
      </c>
    </row>
    <row r="2017" spans="1:10" x14ac:dyDescent="0.2">
      <c r="A2017" s="3">
        <v>7451</v>
      </c>
      <c r="B2017" s="3" t="s">
        <v>2188</v>
      </c>
      <c r="C2017" s="3" t="s">
        <v>2187</v>
      </c>
      <c r="D2017" s="3" t="s">
        <v>2180</v>
      </c>
      <c r="E2017" s="3" t="str">
        <v>Törbel</v>
      </c>
      <c r="I2017" s="19">
        <v>6538</v>
      </c>
      <c r="J2017" s="19" t="s">
        <v>4563</v>
      </c>
    </row>
    <row r="2018" spans="1:10" x14ac:dyDescent="0.2">
      <c r="A2018" s="3">
        <v>7458</v>
      </c>
      <c r="B2018" s="3" t="s">
        <v>2189</v>
      </c>
      <c r="C2018" s="3" t="s">
        <v>2187</v>
      </c>
      <c r="D2018" s="3" t="s">
        <v>2180</v>
      </c>
      <c r="E2018" s="3" t="str">
        <v>Visp</v>
      </c>
      <c r="I2018" s="19">
        <v>6540</v>
      </c>
      <c r="J2018" s="19" t="s">
        <v>4563</v>
      </c>
    </row>
    <row r="2019" spans="1:10" x14ac:dyDescent="0.2">
      <c r="A2019" s="3">
        <v>7459</v>
      </c>
      <c r="B2019" s="3" t="s">
        <v>2190</v>
      </c>
      <c r="C2019" s="3" t="s">
        <v>2187</v>
      </c>
      <c r="D2019" s="3" t="s">
        <v>2180</v>
      </c>
      <c r="E2019" s="3" t="str">
        <v>Visperterminen</v>
      </c>
      <c r="I2019" s="19">
        <v>6541</v>
      </c>
      <c r="J2019" s="19" t="s">
        <v>4563</v>
      </c>
    </row>
    <row r="2020" spans="1:10" x14ac:dyDescent="0.2">
      <c r="A2020" s="3">
        <v>7472</v>
      </c>
      <c r="B2020" s="3" t="s">
        <v>2191</v>
      </c>
      <c r="C2020" s="3" t="s">
        <v>2187</v>
      </c>
      <c r="D2020" s="3" t="s">
        <v>2180</v>
      </c>
      <c r="E2020" s="3" t="str">
        <v>Zeneggen</v>
      </c>
      <c r="I2020" s="19">
        <v>6542</v>
      </c>
      <c r="J2020" s="19" t="s">
        <v>4563</v>
      </c>
    </row>
    <row r="2021" spans="1:10" x14ac:dyDescent="0.2">
      <c r="A2021" s="3">
        <v>7473</v>
      </c>
      <c r="B2021" s="3" t="s">
        <v>2192</v>
      </c>
      <c r="C2021" s="3" t="s">
        <v>2187</v>
      </c>
      <c r="D2021" s="3" t="s">
        <v>2180</v>
      </c>
      <c r="E2021" s="3" t="str">
        <v>Zermatt</v>
      </c>
      <c r="I2021" s="19">
        <v>6543</v>
      </c>
      <c r="J2021" s="19" t="s">
        <v>4563</v>
      </c>
    </row>
    <row r="2022" spans="1:10" x14ac:dyDescent="0.2">
      <c r="A2022" s="3">
        <v>7492</v>
      </c>
      <c r="B2022" s="3" t="s">
        <v>2193</v>
      </c>
      <c r="C2022" s="3" t="s">
        <v>2187</v>
      </c>
      <c r="D2022" s="3" t="s">
        <v>2180</v>
      </c>
      <c r="E2022" s="3" t="str">
        <v>Boudry</v>
      </c>
      <c r="I2022" s="19">
        <v>6544</v>
      </c>
      <c r="J2022" s="19" t="s">
        <v>4564</v>
      </c>
    </row>
    <row r="2023" spans="1:10" x14ac:dyDescent="0.2">
      <c r="A2023" s="3">
        <v>7452</v>
      </c>
      <c r="B2023" s="3" t="s">
        <v>2194</v>
      </c>
      <c r="C2023" s="3" t="s">
        <v>2195</v>
      </c>
      <c r="D2023" s="3" t="s">
        <v>2180</v>
      </c>
      <c r="E2023" s="3" t="str">
        <v>Cortaillod</v>
      </c>
      <c r="I2023" s="19">
        <v>6545</v>
      </c>
      <c r="J2023" s="19" t="s">
        <v>4563</v>
      </c>
    </row>
    <row r="2024" spans="1:10" x14ac:dyDescent="0.2">
      <c r="A2024" s="3">
        <v>7453</v>
      </c>
      <c r="B2024" s="3" t="s">
        <v>2196</v>
      </c>
      <c r="C2024" s="3" t="s">
        <v>2195</v>
      </c>
      <c r="D2024" s="3" t="s">
        <v>2180</v>
      </c>
      <c r="E2024" s="3" t="str">
        <v>Rochefort</v>
      </c>
      <c r="I2024" s="19">
        <v>6546</v>
      </c>
      <c r="J2024" s="19" t="s">
        <v>4563</v>
      </c>
    </row>
    <row r="2025" spans="1:10" x14ac:dyDescent="0.2">
      <c r="A2025" s="3">
        <v>7454</v>
      </c>
      <c r="B2025" s="3" t="s">
        <v>2197</v>
      </c>
      <c r="C2025" s="3" t="s">
        <v>2195</v>
      </c>
      <c r="D2025" s="3" t="s">
        <v>2180</v>
      </c>
      <c r="E2025" s="3" t="str">
        <v>Milvignes</v>
      </c>
      <c r="I2025" s="19">
        <v>6548</v>
      </c>
      <c r="J2025" s="19" t="s">
        <v>4556</v>
      </c>
    </row>
    <row r="2026" spans="1:10" x14ac:dyDescent="0.2">
      <c r="A2026" s="3">
        <v>7455</v>
      </c>
      <c r="B2026" s="3" t="s">
        <v>2198</v>
      </c>
      <c r="C2026" s="3" t="s">
        <v>2195</v>
      </c>
      <c r="D2026" s="3" t="s">
        <v>2180</v>
      </c>
      <c r="E2026" s="3" t="str">
        <v>La Grande Béroche</v>
      </c>
      <c r="I2026" s="19">
        <v>6549</v>
      </c>
      <c r="J2026" s="19" t="s">
        <v>4563</v>
      </c>
    </row>
    <row r="2027" spans="1:10" x14ac:dyDescent="0.2">
      <c r="A2027" s="3">
        <v>7456</v>
      </c>
      <c r="B2027" s="3" t="s">
        <v>2199</v>
      </c>
      <c r="C2027" s="3" t="s">
        <v>2195</v>
      </c>
      <c r="D2027" s="3" t="s">
        <v>2180</v>
      </c>
      <c r="E2027" s="3" t="str">
        <v>La Chaux-de-Fonds</v>
      </c>
      <c r="I2027" s="19">
        <v>6556</v>
      </c>
      <c r="J2027" s="19" t="s">
        <v>4563</v>
      </c>
    </row>
    <row r="2028" spans="1:10" x14ac:dyDescent="0.2">
      <c r="A2028" s="3">
        <v>7456</v>
      </c>
      <c r="B2028" s="3" t="s">
        <v>2200</v>
      </c>
      <c r="C2028" s="3" t="s">
        <v>2195</v>
      </c>
      <c r="D2028" s="3" t="s">
        <v>2180</v>
      </c>
      <c r="E2028" s="3" t="str">
        <v>Les Planchettes</v>
      </c>
      <c r="I2028" s="19">
        <v>6557</v>
      </c>
      <c r="J2028" s="19" t="s">
        <v>4563</v>
      </c>
    </row>
    <row r="2029" spans="1:10" x14ac:dyDescent="0.2">
      <c r="A2029" s="3">
        <v>7457</v>
      </c>
      <c r="B2029" s="3" t="s">
        <v>2201</v>
      </c>
      <c r="C2029" s="3" t="s">
        <v>2195</v>
      </c>
      <c r="D2029" s="3" t="s">
        <v>2180</v>
      </c>
      <c r="E2029" s="3" t="str">
        <v>La Sagne</v>
      </c>
      <c r="I2029" s="19">
        <v>6558</v>
      </c>
      <c r="J2029" s="19" t="s">
        <v>4563</v>
      </c>
    </row>
    <row r="2030" spans="1:10" x14ac:dyDescent="0.2">
      <c r="A2030" s="3">
        <v>7460</v>
      </c>
      <c r="B2030" s="3" t="s">
        <v>2202</v>
      </c>
      <c r="C2030" s="3" t="s">
        <v>2195</v>
      </c>
      <c r="D2030" s="3" t="s">
        <v>2180</v>
      </c>
      <c r="E2030" s="3" t="str">
        <v>La Brévine</v>
      </c>
      <c r="I2030" s="19">
        <v>6562</v>
      </c>
      <c r="J2030" s="19" t="s">
        <v>4563</v>
      </c>
    </row>
    <row r="2031" spans="1:10" x14ac:dyDescent="0.2">
      <c r="A2031" s="3">
        <v>7462</v>
      </c>
      <c r="B2031" s="3" t="s">
        <v>2203</v>
      </c>
      <c r="C2031" s="3" t="s">
        <v>2195</v>
      </c>
      <c r="D2031" s="3" t="s">
        <v>2180</v>
      </c>
      <c r="E2031" s="3" t="str">
        <v>Brot-Plamboz</v>
      </c>
      <c r="I2031" s="19">
        <v>6563</v>
      </c>
      <c r="J2031" s="19" t="s">
        <v>4564</v>
      </c>
    </row>
    <row r="2032" spans="1:10" x14ac:dyDescent="0.2">
      <c r="A2032" s="3">
        <v>7463</v>
      </c>
      <c r="B2032" s="3" t="s">
        <v>2204</v>
      </c>
      <c r="C2032" s="3" t="s">
        <v>2195</v>
      </c>
      <c r="D2032" s="3" t="s">
        <v>2180</v>
      </c>
      <c r="E2032" s="3" t="str">
        <v>Le Cerneux-Péquignot</v>
      </c>
      <c r="I2032" s="19">
        <v>6565</v>
      </c>
      <c r="J2032" s="19" t="s">
        <v>4564</v>
      </c>
    </row>
    <row r="2033" spans="1:10" x14ac:dyDescent="0.2">
      <c r="A2033" s="3">
        <v>7463</v>
      </c>
      <c r="B2033" s="3" t="s">
        <v>2204</v>
      </c>
      <c r="C2033" s="3" t="s">
        <v>2195</v>
      </c>
      <c r="D2033" s="3" t="s">
        <v>2180</v>
      </c>
      <c r="E2033" s="3" t="str">
        <v>La Chaux-du-Milieu</v>
      </c>
      <c r="I2033" s="19">
        <v>6571</v>
      </c>
      <c r="J2033" s="19" t="s">
        <v>4563</v>
      </c>
    </row>
    <row r="2034" spans="1:10" x14ac:dyDescent="0.2">
      <c r="A2034" s="3">
        <v>7464</v>
      </c>
      <c r="B2034" s="3" t="s">
        <v>2205</v>
      </c>
      <c r="C2034" s="3" t="s">
        <v>2195</v>
      </c>
      <c r="D2034" s="3" t="s">
        <v>2180</v>
      </c>
      <c r="E2034" s="3" t="str">
        <v>Le Locle</v>
      </c>
      <c r="I2034" s="19">
        <v>6572</v>
      </c>
      <c r="J2034" s="19" t="s">
        <v>4563</v>
      </c>
    </row>
    <row r="2035" spans="1:10" x14ac:dyDescent="0.2">
      <c r="A2035" s="3">
        <v>7477</v>
      </c>
      <c r="B2035" s="3" t="s">
        <v>2206</v>
      </c>
      <c r="C2035" s="3" t="s">
        <v>2207</v>
      </c>
      <c r="D2035" s="3" t="s">
        <v>2180</v>
      </c>
      <c r="E2035" s="3" t="str">
        <v>Les Ponts-de-Martel</v>
      </c>
      <c r="I2035" s="19">
        <v>6573</v>
      </c>
      <c r="J2035" s="19" t="s">
        <v>4565</v>
      </c>
    </row>
    <row r="2036" spans="1:10" x14ac:dyDescent="0.2">
      <c r="A2036" s="3">
        <v>7482</v>
      </c>
      <c r="B2036" s="3" t="s">
        <v>2208</v>
      </c>
      <c r="C2036" s="3" t="s">
        <v>2207</v>
      </c>
      <c r="D2036" s="3" t="s">
        <v>2180</v>
      </c>
      <c r="E2036" s="3" t="str">
        <v>Cornaux</v>
      </c>
      <c r="I2036" s="19">
        <v>6574</v>
      </c>
      <c r="J2036" s="19" t="s">
        <v>4565</v>
      </c>
    </row>
    <row r="2037" spans="1:10" x14ac:dyDescent="0.2">
      <c r="A2037" s="3">
        <v>7482</v>
      </c>
      <c r="B2037" s="3" t="s">
        <v>2209</v>
      </c>
      <c r="C2037" s="3" t="s">
        <v>2207</v>
      </c>
      <c r="D2037" s="3" t="s">
        <v>2180</v>
      </c>
      <c r="E2037" s="3" t="str">
        <v>Cressier (NE)</v>
      </c>
      <c r="I2037" s="19">
        <v>6575</v>
      </c>
      <c r="J2037" s="19" t="s">
        <v>4565</v>
      </c>
    </row>
    <row r="2038" spans="1:10" x14ac:dyDescent="0.2">
      <c r="A2038" s="3">
        <v>7482</v>
      </c>
      <c r="B2038" s="3" t="s">
        <v>2210</v>
      </c>
      <c r="C2038" s="3" t="s">
        <v>2207</v>
      </c>
      <c r="D2038" s="3" t="s">
        <v>2180</v>
      </c>
      <c r="E2038" s="3" t="str">
        <v>Enges</v>
      </c>
      <c r="I2038" s="19">
        <v>6576</v>
      </c>
      <c r="J2038" s="19" t="s">
        <v>4565</v>
      </c>
    </row>
    <row r="2039" spans="1:10" x14ac:dyDescent="0.2">
      <c r="A2039" s="3">
        <v>7484</v>
      </c>
      <c r="B2039" s="3" t="s">
        <v>2211</v>
      </c>
      <c r="C2039" s="3" t="s">
        <v>2207</v>
      </c>
      <c r="D2039" s="3" t="s">
        <v>2180</v>
      </c>
      <c r="E2039" s="3" t="str">
        <v>Hauterive (NE)</v>
      </c>
      <c r="I2039" s="19">
        <v>6577</v>
      </c>
      <c r="J2039" s="19" t="s">
        <v>4565</v>
      </c>
    </row>
    <row r="2040" spans="1:10" x14ac:dyDescent="0.2">
      <c r="A2040" s="3">
        <v>7743</v>
      </c>
      <c r="B2040" s="3" t="s">
        <v>2212</v>
      </c>
      <c r="C2040" s="3" t="s">
        <v>2212</v>
      </c>
      <c r="D2040" s="3" t="s">
        <v>2180</v>
      </c>
      <c r="E2040" s="3" t="str">
        <v>Le Landeron</v>
      </c>
      <c r="I2040" s="19">
        <v>6578</v>
      </c>
      <c r="J2040" s="19" t="s">
        <v>4565</v>
      </c>
    </row>
    <row r="2041" spans="1:10" x14ac:dyDescent="0.2">
      <c r="A2041" s="3">
        <v>7744</v>
      </c>
      <c r="B2041" s="3" t="s">
        <v>2213</v>
      </c>
      <c r="C2041" s="3" t="s">
        <v>2212</v>
      </c>
      <c r="D2041" s="3" t="s">
        <v>2180</v>
      </c>
      <c r="E2041" s="3" t="str">
        <v>Lignières</v>
      </c>
      <c r="I2041" s="19">
        <v>6579</v>
      </c>
      <c r="J2041" s="19" t="s">
        <v>4565</v>
      </c>
    </row>
    <row r="2042" spans="1:10" x14ac:dyDescent="0.2">
      <c r="A2042" s="3">
        <v>7747</v>
      </c>
      <c r="B2042" s="3" t="s">
        <v>2214</v>
      </c>
      <c r="C2042" s="3" t="s">
        <v>2212</v>
      </c>
      <c r="D2042" s="3" t="s">
        <v>2180</v>
      </c>
      <c r="E2042" s="3" t="str">
        <v>Neuchâtel</v>
      </c>
      <c r="I2042" s="19">
        <v>6582</v>
      </c>
      <c r="J2042" s="19" t="s">
        <v>4563</v>
      </c>
    </row>
    <row r="2043" spans="1:10" x14ac:dyDescent="0.2">
      <c r="A2043" s="3">
        <v>7748</v>
      </c>
      <c r="B2043" s="3" t="s">
        <v>2215</v>
      </c>
      <c r="C2043" s="3" t="s">
        <v>2212</v>
      </c>
      <c r="D2043" s="3" t="s">
        <v>2180</v>
      </c>
      <c r="E2043" s="3" t="str">
        <v>Saint-Blaise</v>
      </c>
      <c r="I2043" s="19">
        <v>6583</v>
      </c>
      <c r="J2043" s="19" t="s">
        <v>4563</v>
      </c>
    </row>
    <row r="2044" spans="1:10" x14ac:dyDescent="0.2">
      <c r="A2044" s="3">
        <v>7710</v>
      </c>
      <c r="B2044" s="3" t="s">
        <v>2216</v>
      </c>
      <c r="C2044" s="3" t="s">
        <v>2217</v>
      </c>
      <c r="D2044" s="3" t="s">
        <v>2180</v>
      </c>
      <c r="E2044" s="3" t="str">
        <v>La Tène</v>
      </c>
      <c r="I2044" s="19">
        <v>6584</v>
      </c>
      <c r="J2044" s="19" t="s">
        <v>4563</v>
      </c>
    </row>
    <row r="2045" spans="1:10" x14ac:dyDescent="0.2">
      <c r="A2045" s="3">
        <v>7710</v>
      </c>
      <c r="B2045" s="3" t="s">
        <v>2218</v>
      </c>
      <c r="C2045" s="3" t="s">
        <v>2217</v>
      </c>
      <c r="D2045" s="3" t="s">
        <v>2180</v>
      </c>
      <c r="E2045" s="3" t="str">
        <v>Val-de-Ruz</v>
      </c>
      <c r="I2045" s="19">
        <v>6592</v>
      </c>
      <c r="J2045" s="19" t="s">
        <v>4563</v>
      </c>
    </row>
    <row r="2046" spans="1:10" x14ac:dyDescent="0.2">
      <c r="A2046" s="3">
        <v>7741</v>
      </c>
      <c r="B2046" s="3" t="s">
        <v>2219</v>
      </c>
      <c r="C2046" s="3" t="s">
        <v>2217</v>
      </c>
      <c r="D2046" s="3" t="s">
        <v>2180</v>
      </c>
      <c r="E2046" s="3" t="str">
        <v>La Côte-aux-Fées</v>
      </c>
      <c r="I2046" s="19">
        <v>6593</v>
      </c>
      <c r="J2046" s="19" t="s">
        <v>4563</v>
      </c>
    </row>
    <row r="2047" spans="1:10" x14ac:dyDescent="0.2">
      <c r="A2047" s="3">
        <v>7742</v>
      </c>
      <c r="B2047" s="3" t="s">
        <v>2217</v>
      </c>
      <c r="C2047" s="3" t="s">
        <v>2217</v>
      </c>
      <c r="D2047" s="3" t="s">
        <v>2180</v>
      </c>
      <c r="E2047" s="3" t="str">
        <v>Les Verrières</v>
      </c>
      <c r="I2047" s="19">
        <v>6594</v>
      </c>
      <c r="J2047" s="19" t="s">
        <v>4563</v>
      </c>
    </row>
    <row r="2048" spans="1:10" x14ac:dyDescent="0.2">
      <c r="A2048" s="3">
        <v>7742</v>
      </c>
      <c r="B2048" s="3" t="s">
        <v>2220</v>
      </c>
      <c r="C2048" s="3" t="s">
        <v>2217</v>
      </c>
      <c r="D2048" s="3" t="s">
        <v>2180</v>
      </c>
      <c r="E2048" s="3" t="str">
        <v>Val-de-Travers</v>
      </c>
      <c r="I2048" s="19">
        <v>6595</v>
      </c>
      <c r="J2048" s="19" t="s">
        <v>4563</v>
      </c>
    </row>
    <row r="2049" spans="1:10" x14ac:dyDescent="0.2">
      <c r="A2049" s="3">
        <v>7742</v>
      </c>
      <c r="B2049" s="3" t="s">
        <v>2221</v>
      </c>
      <c r="C2049" s="3" t="s">
        <v>2217</v>
      </c>
      <c r="D2049" s="3" t="s">
        <v>2180</v>
      </c>
      <c r="E2049" s="3" t="str">
        <v>Aire-la-Ville</v>
      </c>
      <c r="I2049" s="19">
        <v>6596</v>
      </c>
      <c r="J2049" s="19" t="s">
        <v>4565</v>
      </c>
    </row>
    <row r="2050" spans="1:10" x14ac:dyDescent="0.2">
      <c r="A2050" s="3">
        <v>7743</v>
      </c>
      <c r="B2050" s="3" t="s">
        <v>2222</v>
      </c>
      <c r="C2050" s="3" t="s">
        <v>2217</v>
      </c>
      <c r="D2050" s="3" t="s">
        <v>2180</v>
      </c>
      <c r="E2050" s="3" t="str">
        <v>Anières</v>
      </c>
      <c r="I2050" s="19">
        <v>6597</v>
      </c>
      <c r="J2050" s="19" t="s">
        <v>4563</v>
      </c>
    </row>
    <row r="2051" spans="1:10" x14ac:dyDescent="0.2">
      <c r="A2051" s="3">
        <v>7745</v>
      </c>
      <c r="B2051" s="3" t="s">
        <v>2223</v>
      </c>
      <c r="C2051" s="3" t="s">
        <v>2217</v>
      </c>
      <c r="D2051" s="3" t="s">
        <v>2180</v>
      </c>
      <c r="E2051" s="3" t="str">
        <v>Avully</v>
      </c>
      <c r="I2051" s="19">
        <v>6598</v>
      </c>
      <c r="J2051" s="19" t="s">
        <v>4565</v>
      </c>
    </row>
    <row r="2052" spans="1:10" x14ac:dyDescent="0.2">
      <c r="A2052" s="3">
        <v>7746</v>
      </c>
      <c r="B2052" s="3" t="s">
        <v>2224</v>
      </c>
      <c r="C2052" s="3" t="s">
        <v>2217</v>
      </c>
      <c r="D2052" s="3" t="s">
        <v>2180</v>
      </c>
      <c r="E2052" s="3" t="str">
        <v>Avusy</v>
      </c>
      <c r="I2052" s="19">
        <v>6599</v>
      </c>
      <c r="J2052" s="19" t="s">
        <v>4563</v>
      </c>
    </row>
    <row r="2053" spans="1:10" x14ac:dyDescent="0.2">
      <c r="A2053" s="3">
        <v>7153</v>
      </c>
      <c r="B2053" s="3" t="s">
        <v>2225</v>
      </c>
      <c r="C2053" s="3" t="s">
        <v>2225</v>
      </c>
      <c r="D2053" s="3" t="s">
        <v>2180</v>
      </c>
      <c r="E2053" s="3" t="str">
        <v>Bardonnex</v>
      </c>
      <c r="I2053" s="19">
        <v>6600</v>
      </c>
      <c r="J2053" s="19" t="s">
        <v>4565</v>
      </c>
    </row>
    <row r="2054" spans="1:10" x14ac:dyDescent="0.2">
      <c r="A2054" s="3">
        <v>7031</v>
      </c>
      <c r="B2054" s="3" t="s">
        <v>2226</v>
      </c>
      <c r="C2054" s="3" t="s">
        <v>2227</v>
      </c>
      <c r="D2054" s="3" t="s">
        <v>2180</v>
      </c>
      <c r="E2054" s="3" t="str">
        <v>Bellevue</v>
      </c>
      <c r="I2054" s="19">
        <v>6605</v>
      </c>
      <c r="J2054" s="19" t="s">
        <v>4565</v>
      </c>
    </row>
    <row r="2055" spans="1:10" x14ac:dyDescent="0.2">
      <c r="A2055" s="3">
        <v>7032</v>
      </c>
      <c r="B2055" s="3" t="s">
        <v>2228</v>
      </c>
      <c r="C2055" s="3" t="s">
        <v>2227</v>
      </c>
      <c r="D2055" s="3" t="s">
        <v>2180</v>
      </c>
      <c r="E2055" s="3" t="str">
        <v>Bernex</v>
      </c>
      <c r="I2055" s="19">
        <v>6611</v>
      </c>
      <c r="J2055" s="19" t="s">
        <v>4565</v>
      </c>
    </row>
    <row r="2056" spans="1:10" x14ac:dyDescent="0.2">
      <c r="A2056" s="3">
        <v>7152</v>
      </c>
      <c r="B2056" s="3" t="s">
        <v>2229</v>
      </c>
      <c r="C2056" s="3" t="s">
        <v>2229</v>
      </c>
      <c r="D2056" s="3" t="s">
        <v>2180</v>
      </c>
      <c r="E2056" s="3" t="str">
        <v>Carouge (GE)</v>
      </c>
      <c r="I2056" s="19">
        <v>6612</v>
      </c>
      <c r="J2056" s="19" t="s">
        <v>4565</v>
      </c>
    </row>
    <row r="2057" spans="1:10" x14ac:dyDescent="0.2">
      <c r="A2057" s="3">
        <v>7151</v>
      </c>
      <c r="B2057" s="3" t="s">
        <v>2230</v>
      </c>
      <c r="C2057" s="3" t="s">
        <v>2230</v>
      </c>
      <c r="D2057" s="3" t="s">
        <v>2180</v>
      </c>
      <c r="E2057" s="3" t="str">
        <v>Cartigny</v>
      </c>
      <c r="I2057" s="19">
        <v>6613</v>
      </c>
      <c r="J2057" s="19" t="s">
        <v>4565</v>
      </c>
    </row>
    <row r="2058" spans="1:10" x14ac:dyDescent="0.2">
      <c r="A2058" s="3">
        <v>7116</v>
      </c>
      <c r="B2058" s="3" t="s">
        <v>2231</v>
      </c>
      <c r="C2058" s="3" t="s">
        <v>2232</v>
      </c>
      <c r="D2058" s="3" t="s">
        <v>2180</v>
      </c>
      <c r="E2058" s="3" t="str">
        <v>Céligny</v>
      </c>
      <c r="I2058" s="19">
        <v>6614</v>
      </c>
      <c r="J2058" s="19" t="s">
        <v>4565</v>
      </c>
    </row>
    <row r="2059" spans="1:10" x14ac:dyDescent="0.2">
      <c r="A2059" s="3">
        <v>7132</v>
      </c>
      <c r="B2059" s="3" t="s">
        <v>2232</v>
      </c>
      <c r="C2059" s="3" t="s">
        <v>2232</v>
      </c>
      <c r="D2059" s="3" t="s">
        <v>2180</v>
      </c>
      <c r="E2059" s="3" t="str">
        <v>Chancy</v>
      </c>
      <c r="I2059" s="19">
        <v>6616</v>
      </c>
      <c r="J2059" s="19" t="s">
        <v>4565</v>
      </c>
    </row>
    <row r="2060" spans="1:10" x14ac:dyDescent="0.2">
      <c r="A2060" s="3">
        <v>7110</v>
      </c>
      <c r="B2060" s="3" t="s">
        <v>2233</v>
      </c>
      <c r="C2060" s="3" t="s">
        <v>2234</v>
      </c>
      <c r="D2060" s="3" t="s">
        <v>2180</v>
      </c>
      <c r="E2060" s="3" t="str">
        <v>Chêne-Bougeries</v>
      </c>
      <c r="I2060" s="19">
        <v>6618</v>
      </c>
      <c r="J2060" s="19" t="s">
        <v>4565</v>
      </c>
    </row>
    <row r="2061" spans="1:10" x14ac:dyDescent="0.2">
      <c r="A2061" s="3">
        <v>7113</v>
      </c>
      <c r="B2061" s="3" t="s">
        <v>2235</v>
      </c>
      <c r="C2061" s="3" t="s">
        <v>2234</v>
      </c>
      <c r="D2061" s="3" t="s">
        <v>2180</v>
      </c>
      <c r="E2061" s="3" t="str">
        <v>Chêne-Bourg</v>
      </c>
      <c r="I2061" s="19">
        <v>6622</v>
      </c>
      <c r="J2061" s="19" t="s">
        <v>4565</v>
      </c>
    </row>
    <row r="2062" spans="1:10" x14ac:dyDescent="0.2">
      <c r="A2062" s="3">
        <v>7114</v>
      </c>
      <c r="B2062" s="3" t="s">
        <v>2236</v>
      </c>
      <c r="C2062" s="3" t="s">
        <v>2234</v>
      </c>
      <c r="D2062" s="3" t="s">
        <v>2180</v>
      </c>
      <c r="E2062" s="3" t="str">
        <v>Choulex</v>
      </c>
      <c r="I2062" s="19">
        <v>6631</v>
      </c>
      <c r="J2062" s="19" t="s">
        <v>4563</v>
      </c>
    </row>
    <row r="2063" spans="1:10" x14ac:dyDescent="0.2">
      <c r="A2063" s="3">
        <v>7115</v>
      </c>
      <c r="B2063" s="3" t="s">
        <v>2237</v>
      </c>
      <c r="C2063" s="3" t="s">
        <v>2234</v>
      </c>
      <c r="D2063" s="3" t="s">
        <v>2180</v>
      </c>
      <c r="E2063" s="3" t="str">
        <v>Collex-Bossy</v>
      </c>
      <c r="I2063" s="19">
        <v>6632</v>
      </c>
      <c r="J2063" s="19" t="s">
        <v>4563</v>
      </c>
    </row>
    <row r="2064" spans="1:10" x14ac:dyDescent="0.2">
      <c r="A2064" s="3">
        <v>7116</v>
      </c>
      <c r="B2064" s="3" t="s">
        <v>2238</v>
      </c>
      <c r="C2064" s="3" t="s">
        <v>2234</v>
      </c>
      <c r="D2064" s="3" t="s">
        <v>2180</v>
      </c>
      <c r="E2064" s="3" t="str">
        <v>Collonge-Bellerive</v>
      </c>
      <c r="I2064" s="19">
        <v>6633</v>
      </c>
      <c r="J2064" s="19" t="s">
        <v>4563</v>
      </c>
    </row>
    <row r="2065" spans="1:10" x14ac:dyDescent="0.2">
      <c r="A2065" s="3">
        <v>7142</v>
      </c>
      <c r="B2065" s="3" t="s">
        <v>2239</v>
      </c>
      <c r="C2065" s="3" t="s">
        <v>2234</v>
      </c>
      <c r="D2065" s="3" t="s">
        <v>2180</v>
      </c>
      <c r="E2065" s="3" t="str">
        <v>Cologny</v>
      </c>
      <c r="I2065" s="19">
        <v>6634</v>
      </c>
      <c r="J2065" s="19" t="s">
        <v>4563</v>
      </c>
    </row>
    <row r="2066" spans="1:10" x14ac:dyDescent="0.2">
      <c r="A2066" s="3">
        <v>7143</v>
      </c>
      <c r="B2066" s="3" t="s">
        <v>2240</v>
      </c>
      <c r="C2066" s="3" t="s">
        <v>2234</v>
      </c>
      <c r="D2066" s="3" t="s">
        <v>2180</v>
      </c>
      <c r="E2066" s="3" t="str">
        <v>Confignon</v>
      </c>
      <c r="I2066" s="19">
        <v>6635</v>
      </c>
      <c r="J2066" s="19" t="s">
        <v>4563</v>
      </c>
    </row>
    <row r="2067" spans="1:10" x14ac:dyDescent="0.2">
      <c r="A2067" s="3">
        <v>7144</v>
      </c>
      <c r="B2067" s="3" t="s">
        <v>2241</v>
      </c>
      <c r="C2067" s="3" t="s">
        <v>2234</v>
      </c>
      <c r="D2067" s="3" t="s">
        <v>2180</v>
      </c>
      <c r="E2067" s="3" t="str">
        <v>Corsier (GE)</v>
      </c>
      <c r="I2067" s="19">
        <v>6636</v>
      </c>
      <c r="J2067" s="19" t="s">
        <v>4563</v>
      </c>
    </row>
    <row r="2068" spans="1:10" x14ac:dyDescent="0.2">
      <c r="A2068" s="3">
        <v>7145</v>
      </c>
      <c r="B2068" s="3" t="s">
        <v>2242</v>
      </c>
      <c r="C2068" s="3" t="s">
        <v>2234</v>
      </c>
      <c r="D2068" s="3" t="s">
        <v>2180</v>
      </c>
      <c r="E2068" s="3" t="str">
        <v>Dardagny</v>
      </c>
      <c r="I2068" s="19">
        <v>6637</v>
      </c>
      <c r="J2068" s="19" t="s">
        <v>4556</v>
      </c>
    </row>
    <row r="2069" spans="1:10" x14ac:dyDescent="0.2">
      <c r="A2069" s="3">
        <v>7146</v>
      </c>
      <c r="B2069" s="3" t="s">
        <v>2243</v>
      </c>
      <c r="C2069" s="3" t="s">
        <v>2234</v>
      </c>
      <c r="D2069" s="3" t="s">
        <v>2180</v>
      </c>
      <c r="E2069" s="3" t="str">
        <v>Genève</v>
      </c>
      <c r="I2069" s="19">
        <v>6644</v>
      </c>
      <c r="J2069" s="19" t="s">
        <v>4565</v>
      </c>
    </row>
    <row r="2070" spans="1:10" x14ac:dyDescent="0.2">
      <c r="A2070" s="3">
        <v>7147</v>
      </c>
      <c r="B2070" s="3" t="s">
        <v>2244</v>
      </c>
      <c r="C2070" s="3" t="s">
        <v>2234</v>
      </c>
      <c r="D2070" s="3" t="s">
        <v>2180</v>
      </c>
      <c r="E2070" s="3" t="str">
        <v>Genthod</v>
      </c>
      <c r="I2070" s="19">
        <v>6645</v>
      </c>
      <c r="J2070" s="19" t="s">
        <v>4565</v>
      </c>
    </row>
    <row r="2071" spans="1:10" x14ac:dyDescent="0.2">
      <c r="A2071" s="3">
        <v>7148</v>
      </c>
      <c r="B2071" s="3" t="s">
        <v>2245</v>
      </c>
      <c r="C2071" s="3" t="s">
        <v>2234</v>
      </c>
      <c r="D2071" s="3" t="s">
        <v>2180</v>
      </c>
      <c r="E2071" s="3" t="str">
        <v>Le Grand-Saconnex</v>
      </c>
      <c r="I2071" s="19">
        <v>6646</v>
      </c>
      <c r="J2071" s="19" t="s">
        <v>4565</v>
      </c>
    </row>
    <row r="2072" spans="1:10" x14ac:dyDescent="0.2">
      <c r="A2072" s="3">
        <v>7149</v>
      </c>
      <c r="B2072" s="3" t="s">
        <v>2246</v>
      </c>
      <c r="C2072" s="3" t="s">
        <v>2234</v>
      </c>
      <c r="D2072" s="3" t="s">
        <v>2180</v>
      </c>
      <c r="E2072" s="3" t="str">
        <v>Gy</v>
      </c>
      <c r="I2072" s="19">
        <v>6647</v>
      </c>
      <c r="J2072" s="19" t="s">
        <v>4563</v>
      </c>
    </row>
    <row r="2073" spans="1:10" x14ac:dyDescent="0.2">
      <c r="A2073" s="3">
        <v>7111</v>
      </c>
      <c r="B2073" s="3" t="s">
        <v>2247</v>
      </c>
      <c r="C2073" s="3" t="s">
        <v>2248</v>
      </c>
      <c r="D2073" s="3" t="s">
        <v>2180</v>
      </c>
      <c r="E2073" s="3" t="str">
        <v>Hermance</v>
      </c>
      <c r="I2073" s="19">
        <v>6648</v>
      </c>
      <c r="J2073" s="19" t="s">
        <v>4565</v>
      </c>
    </row>
    <row r="2074" spans="1:10" x14ac:dyDescent="0.2">
      <c r="A2074" s="3">
        <v>7112</v>
      </c>
      <c r="B2074" s="3" t="s">
        <v>2249</v>
      </c>
      <c r="C2074" s="3" t="s">
        <v>2248</v>
      </c>
      <c r="D2074" s="3" t="s">
        <v>2180</v>
      </c>
      <c r="E2074" s="3" t="str">
        <v>Jussy</v>
      </c>
      <c r="I2074" s="19">
        <v>6652</v>
      </c>
      <c r="J2074" s="19" t="s">
        <v>4565</v>
      </c>
    </row>
    <row r="2075" spans="1:10" x14ac:dyDescent="0.2">
      <c r="A2075" s="3">
        <v>7126</v>
      </c>
      <c r="B2075" s="3" t="s">
        <v>2250</v>
      </c>
      <c r="C2075" s="3" t="s">
        <v>2248</v>
      </c>
      <c r="D2075" s="3" t="s">
        <v>2180</v>
      </c>
      <c r="E2075" s="3" t="str">
        <v>Laconnex</v>
      </c>
      <c r="I2075" s="19">
        <v>6653</v>
      </c>
      <c r="J2075" s="19" t="s">
        <v>4565</v>
      </c>
    </row>
    <row r="2076" spans="1:10" x14ac:dyDescent="0.2">
      <c r="A2076" s="3">
        <v>7127</v>
      </c>
      <c r="B2076" s="3" t="s">
        <v>2251</v>
      </c>
      <c r="C2076" s="3" t="s">
        <v>2248</v>
      </c>
      <c r="D2076" s="3" t="s">
        <v>2180</v>
      </c>
      <c r="E2076" s="3" t="str">
        <v>Lancy</v>
      </c>
      <c r="I2076" s="19">
        <v>6654</v>
      </c>
      <c r="J2076" s="19" t="s">
        <v>4565</v>
      </c>
    </row>
    <row r="2077" spans="1:10" x14ac:dyDescent="0.2">
      <c r="A2077" s="3">
        <v>7128</v>
      </c>
      <c r="B2077" s="3" t="s">
        <v>2252</v>
      </c>
      <c r="C2077" s="3" t="s">
        <v>2248</v>
      </c>
      <c r="D2077" s="3" t="s">
        <v>2180</v>
      </c>
      <c r="E2077" s="3" t="str">
        <v>Meinier</v>
      </c>
      <c r="I2077" s="19">
        <v>6655</v>
      </c>
      <c r="J2077" s="19" t="s">
        <v>4565</v>
      </c>
    </row>
    <row r="2078" spans="1:10" x14ac:dyDescent="0.2">
      <c r="A2078" s="3">
        <v>7130</v>
      </c>
      <c r="B2078" s="3" t="s">
        <v>2253</v>
      </c>
      <c r="C2078" s="3" t="s">
        <v>2248</v>
      </c>
      <c r="D2078" s="3" t="s">
        <v>2180</v>
      </c>
      <c r="E2078" s="3" t="str">
        <v>Meyrin</v>
      </c>
      <c r="I2078" s="19">
        <v>6656</v>
      </c>
      <c r="J2078" s="19" t="s">
        <v>4565</v>
      </c>
    </row>
    <row r="2079" spans="1:10" x14ac:dyDescent="0.2">
      <c r="A2079" s="3">
        <v>7130</v>
      </c>
      <c r="B2079" s="3" t="s">
        <v>2254</v>
      </c>
      <c r="C2079" s="3" t="s">
        <v>2248</v>
      </c>
      <c r="D2079" s="3" t="s">
        <v>2180</v>
      </c>
      <c r="E2079" s="3" t="str">
        <v>Onex</v>
      </c>
      <c r="I2079" s="19">
        <v>6657</v>
      </c>
      <c r="J2079" s="19" t="s">
        <v>4565</v>
      </c>
    </row>
    <row r="2080" spans="1:10" x14ac:dyDescent="0.2">
      <c r="A2080" s="3">
        <v>7130</v>
      </c>
      <c r="B2080" s="3" t="s">
        <v>2254</v>
      </c>
      <c r="C2080" s="3" t="s">
        <v>2248</v>
      </c>
      <c r="D2080" s="3" t="s">
        <v>2180</v>
      </c>
      <c r="E2080" s="3" t="str">
        <v>Perly-Certoux</v>
      </c>
      <c r="I2080" s="19">
        <v>6658</v>
      </c>
      <c r="J2080" s="19" t="s">
        <v>4565</v>
      </c>
    </row>
    <row r="2081" spans="1:10" x14ac:dyDescent="0.2">
      <c r="A2081" s="3">
        <v>7141</v>
      </c>
      <c r="B2081" s="3" t="s">
        <v>2255</v>
      </c>
      <c r="C2081" s="3" t="s">
        <v>2248</v>
      </c>
      <c r="D2081" s="3" t="s">
        <v>2180</v>
      </c>
      <c r="E2081" s="3" t="str">
        <v>Plan-les-Ouates</v>
      </c>
      <c r="I2081" s="19">
        <v>6659</v>
      </c>
      <c r="J2081" s="19" t="s">
        <v>4565</v>
      </c>
    </row>
    <row r="2082" spans="1:10" x14ac:dyDescent="0.2">
      <c r="A2082" s="3">
        <v>7154</v>
      </c>
      <c r="B2082" s="3" t="s">
        <v>2256</v>
      </c>
      <c r="C2082" s="3" t="s">
        <v>2248</v>
      </c>
      <c r="D2082" s="3" t="s">
        <v>2180</v>
      </c>
      <c r="E2082" s="3" t="str">
        <v>Pregny-Chambésy</v>
      </c>
      <c r="I2082" s="19">
        <v>6661</v>
      </c>
      <c r="J2082" s="19" t="s">
        <v>4565</v>
      </c>
    </row>
    <row r="2083" spans="1:10" x14ac:dyDescent="0.2">
      <c r="A2083" s="3">
        <v>7155</v>
      </c>
      <c r="B2083" s="3" t="s">
        <v>2257</v>
      </c>
      <c r="C2083" s="3" t="s">
        <v>2248</v>
      </c>
      <c r="D2083" s="3" t="s">
        <v>2180</v>
      </c>
      <c r="E2083" s="3" t="str">
        <v>Presinge</v>
      </c>
      <c r="I2083" s="19">
        <v>6662</v>
      </c>
      <c r="J2083" s="19" t="s">
        <v>4565</v>
      </c>
    </row>
    <row r="2084" spans="1:10" x14ac:dyDescent="0.2">
      <c r="A2084" s="3">
        <v>7155</v>
      </c>
      <c r="B2084" s="3" t="s">
        <v>2257</v>
      </c>
      <c r="C2084" s="3" t="s">
        <v>2248</v>
      </c>
      <c r="D2084" s="3" t="s">
        <v>2180</v>
      </c>
      <c r="E2084" s="3" t="str">
        <v>Puplinge</v>
      </c>
      <c r="I2084" s="19">
        <v>6663</v>
      </c>
      <c r="J2084" s="19" t="s">
        <v>4565</v>
      </c>
    </row>
    <row r="2085" spans="1:10" x14ac:dyDescent="0.2">
      <c r="A2085" s="3">
        <v>7156</v>
      </c>
      <c r="B2085" s="3" t="s">
        <v>2258</v>
      </c>
      <c r="C2085" s="3" t="s">
        <v>2248</v>
      </c>
      <c r="D2085" s="3" t="s">
        <v>2180</v>
      </c>
      <c r="E2085" s="3" t="str">
        <v>Russin</v>
      </c>
      <c r="I2085" s="19">
        <v>6664</v>
      </c>
      <c r="J2085" s="19" t="s">
        <v>4565</v>
      </c>
    </row>
    <row r="2086" spans="1:10" x14ac:dyDescent="0.2">
      <c r="A2086" s="3">
        <v>7156</v>
      </c>
      <c r="B2086" s="3" t="s">
        <v>2259</v>
      </c>
      <c r="C2086" s="3" t="s">
        <v>2248</v>
      </c>
      <c r="D2086" s="3" t="s">
        <v>2180</v>
      </c>
      <c r="E2086" s="3" t="str">
        <v>Satigny</v>
      </c>
      <c r="I2086" s="19">
        <v>6670</v>
      </c>
      <c r="J2086" s="19" t="s">
        <v>4565</v>
      </c>
    </row>
    <row r="2087" spans="1:10" x14ac:dyDescent="0.2">
      <c r="A2087" s="3">
        <v>7157</v>
      </c>
      <c r="B2087" s="3" t="s">
        <v>2260</v>
      </c>
      <c r="C2087" s="3" t="s">
        <v>2248</v>
      </c>
      <c r="D2087" s="3" t="s">
        <v>2180</v>
      </c>
      <c r="E2087" s="3" t="str">
        <v>Soral</v>
      </c>
      <c r="I2087" s="19">
        <v>6672</v>
      </c>
      <c r="J2087" s="19" t="s">
        <v>4565</v>
      </c>
    </row>
    <row r="2088" spans="1:10" x14ac:dyDescent="0.2">
      <c r="A2088" s="3">
        <v>7413</v>
      </c>
      <c r="B2088" s="3" t="s">
        <v>2261</v>
      </c>
      <c r="C2088" s="3" t="s">
        <v>2262</v>
      </c>
      <c r="D2088" s="3" t="s">
        <v>2180</v>
      </c>
      <c r="E2088" s="3" t="str">
        <v>Thônex</v>
      </c>
      <c r="I2088" s="19">
        <v>6673</v>
      </c>
      <c r="J2088" s="19" t="s">
        <v>4565</v>
      </c>
    </row>
    <row r="2089" spans="1:10" x14ac:dyDescent="0.2">
      <c r="A2089" s="3">
        <v>7414</v>
      </c>
      <c r="B2089" s="3" t="s">
        <v>2262</v>
      </c>
      <c r="C2089" s="3" t="s">
        <v>2262</v>
      </c>
      <c r="D2089" s="3" t="s">
        <v>2180</v>
      </c>
      <c r="E2089" s="3" t="str">
        <v>Troinex</v>
      </c>
      <c r="I2089" s="19">
        <v>6674</v>
      </c>
      <c r="J2089" s="19" t="s">
        <v>4565</v>
      </c>
    </row>
    <row r="2090" spans="1:10" x14ac:dyDescent="0.2">
      <c r="A2090" s="3">
        <v>7405</v>
      </c>
      <c r="B2090" s="3" t="s">
        <v>2263</v>
      </c>
      <c r="C2090" s="3" t="s">
        <v>2263</v>
      </c>
      <c r="D2090" s="3" t="s">
        <v>2180</v>
      </c>
      <c r="E2090" s="3" t="str">
        <v>Vandoeuvres</v>
      </c>
      <c r="I2090" s="19">
        <v>6675</v>
      </c>
      <c r="J2090" s="19" t="s">
        <v>4565</v>
      </c>
    </row>
    <row r="2091" spans="1:10" x14ac:dyDescent="0.2">
      <c r="A2091" s="3">
        <v>7412</v>
      </c>
      <c r="B2091" s="3" t="s">
        <v>2264</v>
      </c>
      <c r="C2091" s="3" t="s">
        <v>2264</v>
      </c>
      <c r="D2091" s="3" t="s">
        <v>2180</v>
      </c>
      <c r="E2091" s="3" t="str">
        <v>Vernier</v>
      </c>
      <c r="I2091" s="19">
        <v>6676</v>
      </c>
      <c r="J2091" s="19" t="s">
        <v>4565</v>
      </c>
    </row>
    <row r="2092" spans="1:10" x14ac:dyDescent="0.2">
      <c r="A2092" s="3">
        <v>7411</v>
      </c>
      <c r="B2092" s="3" t="s">
        <v>2265</v>
      </c>
      <c r="C2092" s="3" t="s">
        <v>2265</v>
      </c>
      <c r="D2092" s="3" t="s">
        <v>2180</v>
      </c>
      <c r="E2092" s="3" t="str">
        <v>Versoix</v>
      </c>
      <c r="I2092" s="19">
        <v>6677</v>
      </c>
      <c r="J2092" s="19" t="s">
        <v>4565</v>
      </c>
    </row>
    <row r="2093" spans="1:10" x14ac:dyDescent="0.2">
      <c r="A2093" s="3">
        <v>7408</v>
      </c>
      <c r="B2093" s="3" t="s">
        <v>2266</v>
      </c>
      <c r="C2093" s="3" t="s">
        <v>2266</v>
      </c>
      <c r="D2093" s="3" t="s">
        <v>2180</v>
      </c>
      <c r="E2093" s="3" t="str">
        <v>Veyrier</v>
      </c>
      <c r="I2093" s="19">
        <v>6678</v>
      </c>
      <c r="J2093" s="19" t="s">
        <v>4565</v>
      </c>
    </row>
    <row r="2094" spans="1:10" x14ac:dyDescent="0.2">
      <c r="A2094" s="3">
        <v>7421</v>
      </c>
      <c r="B2094" s="3" t="s">
        <v>2267</v>
      </c>
      <c r="C2094" s="3" t="s">
        <v>2266</v>
      </c>
      <c r="D2094" s="3" t="s">
        <v>2180</v>
      </c>
      <c r="E2094" s="3" t="str">
        <v>Boécourt</v>
      </c>
      <c r="I2094" s="19">
        <v>6682</v>
      </c>
      <c r="J2094" s="19" t="s">
        <v>4565</v>
      </c>
    </row>
    <row r="2095" spans="1:10" x14ac:dyDescent="0.2">
      <c r="A2095" s="3">
        <v>7422</v>
      </c>
      <c r="B2095" s="3" t="s">
        <v>2268</v>
      </c>
      <c r="C2095" s="3" t="s">
        <v>2266</v>
      </c>
      <c r="D2095" s="3" t="s">
        <v>2180</v>
      </c>
      <c r="E2095" s="3" t="str">
        <v>Bourrignon</v>
      </c>
      <c r="I2095" s="19">
        <v>6683</v>
      </c>
      <c r="J2095" s="19" t="s">
        <v>4556</v>
      </c>
    </row>
    <row r="2096" spans="1:10" x14ac:dyDescent="0.2">
      <c r="A2096" s="3">
        <v>7423</v>
      </c>
      <c r="B2096" s="3" t="s">
        <v>2269</v>
      </c>
      <c r="C2096" s="3" t="s">
        <v>2266</v>
      </c>
      <c r="D2096" s="3" t="s">
        <v>2180</v>
      </c>
      <c r="E2096" s="3" t="str">
        <v>Châtillon (JU)</v>
      </c>
      <c r="I2096" s="19">
        <v>6684</v>
      </c>
      <c r="J2096" s="19" t="s">
        <v>4556</v>
      </c>
    </row>
    <row r="2097" spans="1:10" x14ac:dyDescent="0.2">
      <c r="A2097" s="3">
        <v>7423</v>
      </c>
      <c r="B2097" s="3" t="s">
        <v>2270</v>
      </c>
      <c r="C2097" s="3" t="s">
        <v>2266</v>
      </c>
      <c r="D2097" s="3" t="s">
        <v>2180</v>
      </c>
      <c r="E2097" s="3" t="str">
        <v>Courchapoix</v>
      </c>
      <c r="I2097" s="19">
        <v>6685</v>
      </c>
      <c r="J2097" s="19" t="s">
        <v>4556</v>
      </c>
    </row>
    <row r="2098" spans="1:10" x14ac:dyDescent="0.2">
      <c r="A2098" s="3">
        <v>7424</v>
      </c>
      <c r="B2098" s="3" t="s">
        <v>2271</v>
      </c>
      <c r="C2098" s="3" t="s">
        <v>2266</v>
      </c>
      <c r="D2098" s="3" t="s">
        <v>2180</v>
      </c>
      <c r="E2098" s="3" t="str">
        <v>Courrendlin</v>
      </c>
      <c r="I2098" s="19">
        <v>6690</v>
      </c>
      <c r="J2098" s="19" t="s">
        <v>4565</v>
      </c>
    </row>
    <row r="2099" spans="1:10" x14ac:dyDescent="0.2">
      <c r="A2099" s="3">
        <v>7424</v>
      </c>
      <c r="B2099" s="3" t="s">
        <v>2272</v>
      </c>
      <c r="C2099" s="3" t="s">
        <v>2266</v>
      </c>
      <c r="D2099" s="3" t="s">
        <v>2180</v>
      </c>
      <c r="E2099" s="3" t="str">
        <v>Courroux</v>
      </c>
      <c r="I2099" s="19">
        <v>6692</v>
      </c>
      <c r="J2099" s="19" t="s">
        <v>4565</v>
      </c>
    </row>
    <row r="2100" spans="1:10" x14ac:dyDescent="0.2">
      <c r="A2100" s="3">
        <v>7426</v>
      </c>
      <c r="B2100" s="3" t="s">
        <v>2273</v>
      </c>
      <c r="C2100" s="3" t="s">
        <v>2273</v>
      </c>
      <c r="D2100" s="3" t="s">
        <v>2180</v>
      </c>
      <c r="E2100" s="3" t="str">
        <v>Courtételle</v>
      </c>
      <c r="I2100" s="19">
        <v>6693</v>
      </c>
      <c r="J2100" s="19" t="s">
        <v>4565</v>
      </c>
    </row>
    <row r="2101" spans="1:10" x14ac:dyDescent="0.2">
      <c r="A2101" s="3">
        <v>7426</v>
      </c>
      <c r="B2101" s="3" t="s">
        <v>2273</v>
      </c>
      <c r="C2101" s="3" t="s">
        <v>2273</v>
      </c>
      <c r="D2101" s="3" t="s">
        <v>2180</v>
      </c>
      <c r="E2101" s="3" t="str">
        <v>Delémont</v>
      </c>
      <c r="I2101" s="19">
        <v>6694</v>
      </c>
      <c r="J2101" s="19" t="s">
        <v>4556</v>
      </c>
    </row>
    <row r="2102" spans="1:10" x14ac:dyDescent="0.2">
      <c r="A2102" s="3">
        <v>7425</v>
      </c>
      <c r="B2102" s="3" t="s">
        <v>2274</v>
      </c>
      <c r="C2102" s="3" t="s">
        <v>2274</v>
      </c>
      <c r="D2102" s="3" t="s">
        <v>2180</v>
      </c>
      <c r="E2102" s="3" t="str">
        <v>Develier</v>
      </c>
      <c r="I2102" s="19">
        <v>6695</v>
      </c>
      <c r="J2102" s="19" t="s">
        <v>4556</v>
      </c>
    </row>
    <row r="2103" spans="1:10" x14ac:dyDescent="0.2">
      <c r="A2103" s="3">
        <v>7430</v>
      </c>
      <c r="B2103" s="3" t="s">
        <v>2275</v>
      </c>
      <c r="C2103" s="3" t="s">
        <v>2275</v>
      </c>
      <c r="D2103" s="3" t="s">
        <v>2180</v>
      </c>
      <c r="E2103" s="3" t="str">
        <v>Ederswiler</v>
      </c>
      <c r="I2103" s="19">
        <v>6696</v>
      </c>
      <c r="J2103" s="19" t="s">
        <v>4556</v>
      </c>
    </row>
    <row r="2104" spans="1:10" x14ac:dyDescent="0.2">
      <c r="A2104" s="3">
        <v>7431</v>
      </c>
      <c r="B2104" s="3" t="s">
        <v>2276</v>
      </c>
      <c r="C2104" s="3" t="s">
        <v>2275</v>
      </c>
      <c r="D2104" s="3" t="s">
        <v>2180</v>
      </c>
      <c r="E2104" s="3" t="str">
        <v>Mervelier</v>
      </c>
      <c r="I2104" s="19">
        <v>6702</v>
      </c>
      <c r="J2104" s="19" t="s">
        <v>4563</v>
      </c>
    </row>
    <row r="2105" spans="1:10" x14ac:dyDescent="0.2">
      <c r="A2105" s="3">
        <v>7431</v>
      </c>
      <c r="B2105" s="3" t="s">
        <v>2277</v>
      </c>
      <c r="C2105" s="3" t="s">
        <v>2275</v>
      </c>
      <c r="D2105" s="3" t="s">
        <v>2180</v>
      </c>
      <c r="E2105" s="3" t="str">
        <v>Mettembert</v>
      </c>
      <c r="I2105" s="19">
        <v>6703</v>
      </c>
      <c r="J2105" s="19" t="s">
        <v>4563</v>
      </c>
    </row>
    <row r="2106" spans="1:10" x14ac:dyDescent="0.2">
      <c r="A2106" s="3">
        <v>7428</v>
      </c>
      <c r="B2106" s="3" t="s">
        <v>2278</v>
      </c>
      <c r="C2106" s="3" t="s">
        <v>2278</v>
      </c>
      <c r="D2106" s="3" t="s">
        <v>2180</v>
      </c>
      <c r="E2106" s="3" t="str">
        <v>Movelier</v>
      </c>
      <c r="I2106" s="19">
        <v>6705</v>
      </c>
      <c r="J2106" s="19" t="s">
        <v>4563</v>
      </c>
    </row>
    <row r="2107" spans="1:10" x14ac:dyDescent="0.2">
      <c r="A2107" s="3">
        <v>7427</v>
      </c>
      <c r="B2107" s="3" t="s">
        <v>2279</v>
      </c>
      <c r="C2107" s="3" t="s">
        <v>2279</v>
      </c>
      <c r="D2107" s="3" t="s">
        <v>2180</v>
      </c>
      <c r="E2107" s="3" t="str">
        <v>Pleigne</v>
      </c>
      <c r="I2107" s="19">
        <v>6707</v>
      </c>
      <c r="J2107" s="19" t="s">
        <v>4565</v>
      </c>
    </row>
    <row r="2108" spans="1:10" x14ac:dyDescent="0.2">
      <c r="A2108" s="3">
        <v>7104</v>
      </c>
      <c r="B2108" s="3" t="s">
        <v>2280</v>
      </c>
      <c r="C2108" s="3" t="s">
        <v>2281</v>
      </c>
      <c r="D2108" s="3" t="s">
        <v>2180</v>
      </c>
      <c r="E2108" s="3" t="str">
        <v>Rossemaison</v>
      </c>
      <c r="I2108" s="19">
        <v>6710</v>
      </c>
      <c r="J2108" s="19" t="s">
        <v>4565</v>
      </c>
    </row>
    <row r="2109" spans="1:10" x14ac:dyDescent="0.2">
      <c r="A2109" s="3">
        <v>7106</v>
      </c>
      <c r="B2109" s="3" t="s">
        <v>2282</v>
      </c>
      <c r="C2109" s="3" t="s">
        <v>2281</v>
      </c>
      <c r="D2109" s="3" t="s">
        <v>2180</v>
      </c>
      <c r="E2109" s="3" t="str">
        <v>Saulcy</v>
      </c>
      <c r="I2109" s="19">
        <v>6713</v>
      </c>
      <c r="J2109" s="19" t="s">
        <v>4565</v>
      </c>
    </row>
    <row r="2110" spans="1:10" x14ac:dyDescent="0.2">
      <c r="A2110" s="3">
        <v>7107</v>
      </c>
      <c r="B2110" s="3" t="s">
        <v>2283</v>
      </c>
      <c r="C2110" s="3" t="s">
        <v>2281</v>
      </c>
      <c r="D2110" s="3" t="s">
        <v>2180</v>
      </c>
      <c r="E2110" s="3" t="str">
        <v>Soyhières</v>
      </c>
      <c r="I2110" s="19">
        <v>6714</v>
      </c>
      <c r="J2110" s="19" t="s">
        <v>4565</v>
      </c>
    </row>
    <row r="2111" spans="1:10" x14ac:dyDescent="0.2">
      <c r="A2111" s="3">
        <v>7109</v>
      </c>
      <c r="B2111" s="3" t="s">
        <v>2284</v>
      </c>
      <c r="C2111" s="3" t="s">
        <v>2281</v>
      </c>
      <c r="D2111" s="3" t="s">
        <v>2180</v>
      </c>
      <c r="E2111" s="3" t="str">
        <v>Haute-Sorne</v>
      </c>
      <c r="I2111" s="19">
        <v>6715</v>
      </c>
      <c r="J2111" s="19" t="s">
        <v>4563</v>
      </c>
    </row>
    <row r="2112" spans="1:10" x14ac:dyDescent="0.2">
      <c r="A2112" s="3">
        <v>7122</v>
      </c>
      <c r="B2112" s="3" t="s">
        <v>2285</v>
      </c>
      <c r="C2112" s="3" t="s">
        <v>2281</v>
      </c>
      <c r="D2112" s="3" t="s">
        <v>2180</v>
      </c>
      <c r="E2112" s="3" t="str">
        <v>Val Terbi</v>
      </c>
      <c r="I2112" s="19">
        <v>6716</v>
      </c>
      <c r="J2112" s="19" t="s">
        <v>4563</v>
      </c>
    </row>
    <row r="2113" spans="1:10" x14ac:dyDescent="0.2">
      <c r="A2113" s="3">
        <v>7404</v>
      </c>
      <c r="B2113" s="3" t="s">
        <v>2286</v>
      </c>
      <c r="C2113" s="3" t="s">
        <v>2287</v>
      </c>
      <c r="D2113" s="3" t="s">
        <v>2180</v>
      </c>
      <c r="E2113" s="3" t="str">
        <v>Le Bémont (JU)</v>
      </c>
      <c r="I2113" s="19">
        <v>6717</v>
      </c>
      <c r="J2113" s="19" t="s">
        <v>4556</v>
      </c>
    </row>
    <row r="2114" spans="1:10" x14ac:dyDescent="0.2">
      <c r="A2114" s="3">
        <v>7407</v>
      </c>
      <c r="B2114" s="3" t="s">
        <v>2288</v>
      </c>
      <c r="C2114" s="3" t="s">
        <v>2287</v>
      </c>
      <c r="D2114" s="3" t="s">
        <v>2180</v>
      </c>
      <c r="E2114" s="3" t="str">
        <v>Les Bois</v>
      </c>
      <c r="I2114" s="19">
        <v>6718</v>
      </c>
      <c r="J2114" s="19" t="s">
        <v>4556</v>
      </c>
    </row>
    <row r="2115" spans="1:10" x14ac:dyDescent="0.2">
      <c r="A2115" s="3">
        <v>7415</v>
      </c>
      <c r="B2115" s="3" t="s">
        <v>2289</v>
      </c>
      <c r="C2115" s="3" t="s">
        <v>2287</v>
      </c>
      <c r="D2115" s="3" t="s">
        <v>2180</v>
      </c>
      <c r="E2115" s="3" t="str">
        <v>Les Breuleux</v>
      </c>
      <c r="I2115" s="19">
        <v>6719</v>
      </c>
      <c r="J2115" s="19" t="s">
        <v>4556</v>
      </c>
    </row>
    <row r="2116" spans="1:10" x14ac:dyDescent="0.2">
      <c r="A2116" s="3">
        <v>7415</v>
      </c>
      <c r="B2116" s="3" t="s">
        <v>2290</v>
      </c>
      <c r="C2116" s="3" t="s">
        <v>2287</v>
      </c>
      <c r="D2116" s="3" t="s">
        <v>2180</v>
      </c>
      <c r="E2116" s="3" t="str">
        <v>La Chaux-des-Breuleux</v>
      </c>
      <c r="I2116" s="19">
        <v>6720</v>
      </c>
      <c r="J2116" s="19" t="s">
        <v>4566</v>
      </c>
    </row>
    <row r="2117" spans="1:10" x14ac:dyDescent="0.2">
      <c r="A2117" s="3">
        <v>7416</v>
      </c>
      <c r="B2117" s="3" t="s">
        <v>2291</v>
      </c>
      <c r="C2117" s="3" t="s">
        <v>2287</v>
      </c>
      <c r="D2117" s="3" t="s">
        <v>2180</v>
      </c>
      <c r="E2117" s="3" t="str">
        <v>Les Enfers</v>
      </c>
      <c r="I2117" s="19">
        <v>6721</v>
      </c>
      <c r="J2117" s="19" t="s">
        <v>4563</v>
      </c>
    </row>
    <row r="2118" spans="1:10" x14ac:dyDescent="0.2">
      <c r="A2118" s="3">
        <v>7417</v>
      </c>
      <c r="B2118" s="3" t="s">
        <v>2292</v>
      </c>
      <c r="C2118" s="3" t="s">
        <v>2287</v>
      </c>
      <c r="D2118" s="3" t="s">
        <v>2180</v>
      </c>
      <c r="E2118" s="3" t="str">
        <v>Les Genevez (JU)</v>
      </c>
      <c r="I2118" s="19">
        <v>6722</v>
      </c>
      <c r="J2118" s="19" t="s">
        <v>4563</v>
      </c>
    </row>
    <row r="2119" spans="1:10" x14ac:dyDescent="0.2">
      <c r="A2119" s="3">
        <v>7418</v>
      </c>
      <c r="B2119" s="3" t="s">
        <v>2293</v>
      </c>
      <c r="C2119" s="3" t="s">
        <v>2287</v>
      </c>
      <c r="D2119" s="3" t="s">
        <v>2180</v>
      </c>
      <c r="E2119" s="3" t="str">
        <v>Lajoux (JU)</v>
      </c>
      <c r="I2119" s="19">
        <v>6723</v>
      </c>
      <c r="J2119" s="19" t="s">
        <v>4563</v>
      </c>
    </row>
    <row r="2120" spans="1:10" x14ac:dyDescent="0.2">
      <c r="A2120" s="3">
        <v>7419</v>
      </c>
      <c r="B2120" s="3" t="s">
        <v>2294</v>
      </c>
      <c r="C2120" s="3" t="s">
        <v>2287</v>
      </c>
      <c r="D2120" s="3" t="s">
        <v>2180</v>
      </c>
      <c r="E2120" s="3" t="str">
        <v>Montfaucon</v>
      </c>
      <c r="I2120" s="19">
        <v>6724</v>
      </c>
      <c r="J2120" s="19" t="s">
        <v>4556</v>
      </c>
    </row>
    <row r="2121" spans="1:10" x14ac:dyDescent="0.2">
      <c r="A2121" s="3">
        <v>7447</v>
      </c>
      <c r="B2121" s="3" t="s">
        <v>2295</v>
      </c>
      <c r="C2121" s="3" t="s">
        <v>2295</v>
      </c>
      <c r="D2121" s="3" t="s">
        <v>2180</v>
      </c>
      <c r="E2121" s="3" t="str">
        <v>Muriaux</v>
      </c>
      <c r="I2121" s="19">
        <v>6742</v>
      </c>
      <c r="J2121" s="19" t="s">
        <v>4565</v>
      </c>
    </row>
    <row r="2122" spans="1:10" x14ac:dyDescent="0.2">
      <c r="A2122" s="3">
        <v>7448</v>
      </c>
      <c r="B2122" s="3" t="s">
        <v>2296</v>
      </c>
      <c r="C2122" s="3" t="s">
        <v>2295</v>
      </c>
      <c r="D2122" s="3" t="s">
        <v>2180</v>
      </c>
      <c r="E2122" s="3" t="str">
        <v>Le Noirmont</v>
      </c>
      <c r="I2122" s="19">
        <v>6743</v>
      </c>
      <c r="J2122" s="19" t="s">
        <v>4565</v>
      </c>
    </row>
    <row r="2123" spans="1:10" x14ac:dyDescent="0.2">
      <c r="A2123" s="3">
        <v>7434</v>
      </c>
      <c r="B2123" s="3" t="s">
        <v>2297</v>
      </c>
      <c r="C2123" s="3" t="s">
        <v>2297</v>
      </c>
      <c r="D2123" s="3" t="s">
        <v>2180</v>
      </c>
      <c r="E2123" s="3" t="str">
        <v>Saignelégier</v>
      </c>
      <c r="I2123" s="19">
        <v>6744</v>
      </c>
      <c r="J2123" s="19" t="s">
        <v>4565</v>
      </c>
    </row>
    <row r="2124" spans="1:10" x14ac:dyDescent="0.2">
      <c r="A2124" s="3">
        <v>7440</v>
      </c>
      <c r="B2124" s="3" t="s">
        <v>2298</v>
      </c>
      <c r="C2124" s="3" t="s">
        <v>2298</v>
      </c>
      <c r="D2124" s="3" t="s">
        <v>2180</v>
      </c>
      <c r="E2124" s="3" t="str">
        <v>Saint-Brais</v>
      </c>
      <c r="I2124" s="19">
        <v>6745</v>
      </c>
      <c r="J2124" s="19" t="s">
        <v>4565</v>
      </c>
    </row>
    <row r="2125" spans="1:10" x14ac:dyDescent="0.2">
      <c r="A2125" s="3">
        <v>7442</v>
      </c>
      <c r="B2125" s="3" t="s">
        <v>2299</v>
      </c>
      <c r="C2125" s="3" t="s">
        <v>2298</v>
      </c>
      <c r="D2125" s="3" t="s">
        <v>2180</v>
      </c>
      <c r="E2125" s="3" t="str">
        <v>Soubey</v>
      </c>
      <c r="I2125" s="19">
        <v>6746</v>
      </c>
      <c r="J2125" s="19" t="s">
        <v>4556</v>
      </c>
    </row>
    <row r="2126" spans="1:10" x14ac:dyDescent="0.2">
      <c r="A2126" s="3">
        <v>7443</v>
      </c>
      <c r="B2126" s="3" t="s">
        <v>2300</v>
      </c>
      <c r="C2126" s="3" t="s">
        <v>2298</v>
      </c>
      <c r="D2126" s="3" t="s">
        <v>2180</v>
      </c>
      <c r="E2126" s="3" t="str">
        <v>Alle</v>
      </c>
      <c r="I2126" s="19">
        <v>6747</v>
      </c>
      <c r="J2126" s="19" t="s">
        <v>4556</v>
      </c>
    </row>
    <row r="2127" spans="1:10" x14ac:dyDescent="0.2">
      <c r="A2127" s="3">
        <v>7430</v>
      </c>
      <c r="B2127" s="3" t="s">
        <v>2301</v>
      </c>
      <c r="C2127" s="3" t="s">
        <v>2301</v>
      </c>
      <c r="D2127" s="3" t="s">
        <v>2180</v>
      </c>
      <c r="E2127" s="3" t="str">
        <v>Beurnevésin</v>
      </c>
      <c r="I2127" s="19">
        <v>6748</v>
      </c>
      <c r="J2127" s="19" t="s">
        <v>4556</v>
      </c>
    </row>
    <row r="2128" spans="1:10" x14ac:dyDescent="0.2">
      <c r="A2128" s="3">
        <v>7432</v>
      </c>
      <c r="B2128" s="3" t="s">
        <v>2302</v>
      </c>
      <c r="C2128" s="3" t="s">
        <v>2303</v>
      </c>
      <c r="D2128" s="3" t="s">
        <v>2180</v>
      </c>
      <c r="E2128" s="3" t="str">
        <v>Boncourt</v>
      </c>
      <c r="I2128" s="19">
        <v>6749</v>
      </c>
      <c r="J2128" s="19" t="s">
        <v>4556</v>
      </c>
    </row>
    <row r="2129" spans="1:10" x14ac:dyDescent="0.2">
      <c r="A2129" s="3">
        <v>7444</v>
      </c>
      <c r="B2129" s="3" t="s">
        <v>2304</v>
      </c>
      <c r="C2129" s="3" t="s">
        <v>2305</v>
      </c>
      <c r="D2129" s="3" t="s">
        <v>2180</v>
      </c>
      <c r="E2129" s="3" t="str">
        <v>Bonfol</v>
      </c>
      <c r="I2129" s="19">
        <v>6760</v>
      </c>
      <c r="J2129" s="19" t="s">
        <v>4556</v>
      </c>
    </row>
    <row r="2130" spans="1:10" x14ac:dyDescent="0.2">
      <c r="A2130" s="3">
        <v>7445</v>
      </c>
      <c r="B2130" s="3" t="s">
        <v>2306</v>
      </c>
      <c r="C2130" s="3" t="s">
        <v>2305</v>
      </c>
      <c r="D2130" s="3" t="s">
        <v>2180</v>
      </c>
      <c r="E2130" s="3" t="str">
        <v>Bure</v>
      </c>
      <c r="I2130" s="19">
        <v>6763</v>
      </c>
      <c r="J2130" s="19" t="s">
        <v>4556</v>
      </c>
    </row>
    <row r="2131" spans="1:10" x14ac:dyDescent="0.2">
      <c r="A2131" s="3">
        <v>7445</v>
      </c>
      <c r="B2131" s="3" t="s">
        <v>2306</v>
      </c>
      <c r="C2131" s="3" t="s">
        <v>2305</v>
      </c>
      <c r="D2131" s="3" t="s">
        <v>2180</v>
      </c>
      <c r="E2131" s="3" t="str">
        <v>Coeuve</v>
      </c>
      <c r="I2131" s="19">
        <v>6764</v>
      </c>
      <c r="J2131" s="19" t="s">
        <v>4556</v>
      </c>
    </row>
    <row r="2132" spans="1:10" x14ac:dyDescent="0.2">
      <c r="A2132" s="3">
        <v>7435</v>
      </c>
      <c r="B2132" s="3" t="s">
        <v>2307</v>
      </c>
      <c r="C2132" s="3" t="s">
        <v>2308</v>
      </c>
      <c r="D2132" s="3" t="s">
        <v>2180</v>
      </c>
      <c r="E2132" s="3" t="str">
        <v>Cornol</v>
      </c>
      <c r="I2132" s="19">
        <v>6772</v>
      </c>
      <c r="J2132" s="19" t="s">
        <v>4556</v>
      </c>
    </row>
    <row r="2133" spans="1:10" x14ac:dyDescent="0.2">
      <c r="A2133" s="3">
        <v>7436</v>
      </c>
      <c r="B2133" s="3" t="s">
        <v>2309</v>
      </c>
      <c r="C2133" s="3" t="s">
        <v>2308</v>
      </c>
      <c r="D2133" s="3" t="s">
        <v>2180</v>
      </c>
      <c r="E2133" s="3" t="str">
        <v>Courchavon</v>
      </c>
      <c r="I2133" s="19">
        <v>6773</v>
      </c>
      <c r="J2133" s="19" t="s">
        <v>4556</v>
      </c>
    </row>
    <row r="2134" spans="1:10" x14ac:dyDescent="0.2">
      <c r="A2134" s="3">
        <v>7437</v>
      </c>
      <c r="B2134" s="3" t="s">
        <v>2310</v>
      </c>
      <c r="C2134" s="3" t="s">
        <v>2308</v>
      </c>
      <c r="D2134" s="3" t="s">
        <v>2180</v>
      </c>
      <c r="E2134" s="3" t="str">
        <v>Courgenay</v>
      </c>
      <c r="I2134" s="19">
        <v>6774</v>
      </c>
      <c r="J2134" s="19" t="s">
        <v>4556</v>
      </c>
    </row>
    <row r="2135" spans="1:10" x14ac:dyDescent="0.2">
      <c r="A2135" s="3">
        <v>7438</v>
      </c>
      <c r="B2135" s="3" t="s">
        <v>2311</v>
      </c>
      <c r="C2135" s="3" t="s">
        <v>2308</v>
      </c>
      <c r="D2135" s="3" t="s">
        <v>2180</v>
      </c>
      <c r="E2135" s="3" t="str">
        <v>Courtedoux</v>
      </c>
      <c r="I2135" s="19">
        <v>6775</v>
      </c>
      <c r="J2135" s="19" t="s">
        <v>4556</v>
      </c>
    </row>
    <row r="2136" spans="1:10" x14ac:dyDescent="0.2">
      <c r="A2136" s="3">
        <v>7433</v>
      </c>
      <c r="B2136" s="3" t="s">
        <v>2312</v>
      </c>
      <c r="C2136" s="3" t="s">
        <v>2313</v>
      </c>
      <c r="D2136" s="3" t="s">
        <v>2180</v>
      </c>
      <c r="E2136" s="3" t="str">
        <v>Damphreux</v>
      </c>
      <c r="I2136" s="19">
        <v>6776</v>
      </c>
      <c r="J2136" s="19" t="s">
        <v>4556</v>
      </c>
    </row>
    <row r="2137" spans="1:10" x14ac:dyDescent="0.2">
      <c r="A2137" s="3">
        <v>7433</v>
      </c>
      <c r="B2137" s="3" t="s">
        <v>2314</v>
      </c>
      <c r="C2137" s="3" t="s">
        <v>2313</v>
      </c>
      <c r="D2137" s="3" t="s">
        <v>2180</v>
      </c>
      <c r="E2137" s="3" t="str">
        <v>Fahy</v>
      </c>
      <c r="I2137" s="19">
        <v>6777</v>
      </c>
      <c r="J2137" s="19" t="s">
        <v>4556</v>
      </c>
    </row>
    <row r="2138" spans="1:10" x14ac:dyDescent="0.2">
      <c r="A2138" s="3">
        <v>7433</v>
      </c>
      <c r="B2138" s="3" t="s">
        <v>2315</v>
      </c>
      <c r="C2138" s="3" t="s">
        <v>2313</v>
      </c>
      <c r="D2138" s="3" t="s">
        <v>2180</v>
      </c>
      <c r="E2138" s="3" t="str">
        <v>Fontenais</v>
      </c>
      <c r="I2138" s="19">
        <v>6780</v>
      </c>
      <c r="J2138" s="19" t="s">
        <v>4556</v>
      </c>
    </row>
    <row r="2139" spans="1:10" x14ac:dyDescent="0.2">
      <c r="A2139" s="3">
        <v>7433</v>
      </c>
      <c r="B2139" s="3" t="s">
        <v>2316</v>
      </c>
      <c r="C2139" s="3" t="s">
        <v>2313</v>
      </c>
      <c r="D2139" s="3" t="s">
        <v>2180</v>
      </c>
      <c r="E2139" s="3" t="str">
        <v>Grandfontaine</v>
      </c>
      <c r="I2139" s="19">
        <v>6781</v>
      </c>
      <c r="J2139" s="19" t="s">
        <v>4556</v>
      </c>
    </row>
    <row r="2140" spans="1:10" x14ac:dyDescent="0.2">
      <c r="A2140" s="3">
        <v>7402</v>
      </c>
      <c r="B2140" s="3" t="s">
        <v>2317</v>
      </c>
      <c r="C2140" s="3" t="s">
        <v>2317</v>
      </c>
      <c r="D2140" s="3" t="s">
        <v>2180</v>
      </c>
      <c r="E2140" s="3" t="str">
        <v>Lugnez</v>
      </c>
      <c r="I2140" s="19">
        <v>6802</v>
      </c>
      <c r="J2140" s="19" t="s">
        <v>4563</v>
      </c>
    </row>
    <row r="2141" spans="1:10" x14ac:dyDescent="0.2">
      <c r="A2141" s="3">
        <v>7013</v>
      </c>
      <c r="B2141" s="3" t="s">
        <v>2318</v>
      </c>
      <c r="C2141" s="3" t="s">
        <v>2318</v>
      </c>
      <c r="D2141" s="3" t="s">
        <v>2180</v>
      </c>
      <c r="E2141" s="3" t="str">
        <v>Porrentruy</v>
      </c>
      <c r="I2141" s="19">
        <v>6803</v>
      </c>
      <c r="J2141" s="19" t="s">
        <v>4563</v>
      </c>
    </row>
    <row r="2142" spans="1:10" x14ac:dyDescent="0.2">
      <c r="A2142" s="3">
        <v>7403</v>
      </c>
      <c r="B2142" s="3" t="s">
        <v>2319</v>
      </c>
      <c r="C2142" s="3" t="s">
        <v>2319</v>
      </c>
      <c r="D2142" s="3" t="s">
        <v>2180</v>
      </c>
      <c r="E2142" s="3" t="str">
        <v>Vendlincourt</v>
      </c>
      <c r="I2142" s="19">
        <v>6804</v>
      </c>
      <c r="J2142" s="19" t="s">
        <v>4563</v>
      </c>
    </row>
    <row r="2143" spans="1:10" x14ac:dyDescent="0.2">
      <c r="A2143" s="3">
        <v>7012</v>
      </c>
      <c r="B2143" s="3" t="s">
        <v>2320</v>
      </c>
      <c r="C2143" s="3" t="s">
        <v>2320</v>
      </c>
      <c r="D2143" s="3" t="s">
        <v>2180</v>
      </c>
      <c r="E2143" s="3" t="str">
        <v>Basse-Allaine</v>
      </c>
      <c r="I2143" s="19">
        <v>6805</v>
      </c>
      <c r="J2143" s="19" t="s">
        <v>4567</v>
      </c>
    </row>
    <row r="2144" spans="1:10" x14ac:dyDescent="0.2">
      <c r="A2144" s="3">
        <v>7017</v>
      </c>
      <c r="B2144" s="3" t="s">
        <v>2321</v>
      </c>
      <c r="C2144" s="3" t="s">
        <v>2322</v>
      </c>
      <c r="D2144" s="3" t="s">
        <v>2180</v>
      </c>
      <c r="E2144" s="3" t="str">
        <v>Clos du Doubs</v>
      </c>
      <c r="I2144" s="19">
        <v>6806</v>
      </c>
      <c r="J2144" s="19" t="s">
        <v>4567</v>
      </c>
    </row>
    <row r="2145" spans="1:10" x14ac:dyDescent="0.2">
      <c r="A2145" s="3">
        <v>7018</v>
      </c>
      <c r="B2145" s="3" t="s">
        <v>2323</v>
      </c>
      <c r="C2145" s="3" t="s">
        <v>2322</v>
      </c>
      <c r="D2145" s="3" t="s">
        <v>2180</v>
      </c>
      <c r="E2145" s="3" t="str">
        <v>Haute-Ajoie</v>
      </c>
      <c r="I2145" s="19">
        <v>6807</v>
      </c>
      <c r="J2145" s="19" t="s">
        <v>4567</v>
      </c>
    </row>
    <row r="2146" spans="1:10" x14ac:dyDescent="0.2">
      <c r="A2146" s="3">
        <v>7019</v>
      </c>
      <c r="B2146" s="3" t="s">
        <v>2324</v>
      </c>
      <c r="C2146" s="3" t="s">
        <v>2322</v>
      </c>
      <c r="D2146" s="3" t="s">
        <v>2180</v>
      </c>
      <c r="E2146" s="3" t="str">
        <v>La Baroche</v>
      </c>
      <c r="I2146" s="19">
        <v>6808</v>
      </c>
      <c r="J2146" s="19" t="s">
        <v>4567</v>
      </c>
    </row>
    <row r="2147" spans="1:10" x14ac:dyDescent="0.2">
      <c r="A2147" s="3">
        <v>7015</v>
      </c>
      <c r="B2147" s="3" t="s">
        <v>2325</v>
      </c>
      <c r="C2147" s="3" t="s">
        <v>2325</v>
      </c>
      <c r="D2147" s="3" t="s">
        <v>2180</v>
      </c>
      <c r="E2147" s="3" t="str">
        <v>Vaduz</v>
      </c>
      <c r="I2147" s="19">
        <v>6809</v>
      </c>
      <c r="J2147" s="19" t="s">
        <v>4563</v>
      </c>
    </row>
    <row r="2148" spans="1:10" x14ac:dyDescent="0.2">
      <c r="A2148" s="3">
        <v>7014</v>
      </c>
      <c r="B2148" s="3" t="s">
        <v>2326</v>
      </c>
      <c r="C2148" s="3" t="s">
        <v>2326</v>
      </c>
      <c r="D2148" s="3" t="s">
        <v>2180</v>
      </c>
      <c r="I2148" s="19">
        <v>6810</v>
      </c>
      <c r="J2148" s="19" t="s">
        <v>4563</v>
      </c>
    </row>
    <row r="2149" spans="1:10" x14ac:dyDescent="0.2">
      <c r="A2149" s="3">
        <v>7016</v>
      </c>
      <c r="B2149" s="3" t="s">
        <v>2327</v>
      </c>
      <c r="C2149" s="3" t="s">
        <v>2326</v>
      </c>
      <c r="D2149" s="3" t="s">
        <v>2180</v>
      </c>
      <c r="I2149" s="19">
        <v>6814</v>
      </c>
      <c r="J2149" s="19" t="s">
        <v>4567</v>
      </c>
    </row>
    <row r="2150" spans="1:10" x14ac:dyDescent="0.2">
      <c r="A2150" s="3">
        <v>7527</v>
      </c>
      <c r="B2150" s="3" t="s">
        <v>2328</v>
      </c>
      <c r="C2150" s="3" t="s">
        <v>2329</v>
      </c>
      <c r="D2150" s="3" t="s">
        <v>2180</v>
      </c>
      <c r="I2150" s="19">
        <v>6815</v>
      </c>
      <c r="J2150" s="19" t="s">
        <v>4567</v>
      </c>
    </row>
    <row r="2151" spans="1:10" x14ac:dyDescent="0.2">
      <c r="A2151" s="3">
        <v>7530</v>
      </c>
      <c r="B2151" s="3" t="s">
        <v>2329</v>
      </c>
      <c r="C2151" s="3" t="s">
        <v>2329</v>
      </c>
      <c r="D2151" s="3" t="s">
        <v>2180</v>
      </c>
      <c r="I2151" s="19">
        <v>6816</v>
      </c>
      <c r="J2151" s="19" t="s">
        <v>4567</v>
      </c>
    </row>
    <row r="2152" spans="1:10" x14ac:dyDescent="0.2">
      <c r="A2152" s="3">
        <v>7542</v>
      </c>
      <c r="B2152" s="3" t="s">
        <v>2330</v>
      </c>
      <c r="C2152" s="3" t="s">
        <v>2329</v>
      </c>
      <c r="D2152" s="3" t="s">
        <v>2180</v>
      </c>
      <c r="I2152" s="19">
        <v>6817</v>
      </c>
      <c r="J2152" s="19" t="s">
        <v>4567</v>
      </c>
    </row>
    <row r="2153" spans="1:10" x14ac:dyDescent="0.2">
      <c r="A2153" s="3">
        <v>7543</v>
      </c>
      <c r="B2153" s="3" t="s">
        <v>2331</v>
      </c>
      <c r="C2153" s="3" t="s">
        <v>2329</v>
      </c>
      <c r="D2153" s="3" t="s">
        <v>2180</v>
      </c>
      <c r="I2153" s="19">
        <v>6818</v>
      </c>
      <c r="J2153" s="19" t="s">
        <v>4567</v>
      </c>
    </row>
    <row r="2154" spans="1:10" x14ac:dyDescent="0.2">
      <c r="A2154" s="3">
        <v>7562</v>
      </c>
      <c r="B2154" s="3" t="s">
        <v>2332</v>
      </c>
      <c r="C2154" s="3" t="s">
        <v>2333</v>
      </c>
      <c r="D2154" s="3" t="s">
        <v>2180</v>
      </c>
      <c r="I2154" s="19">
        <v>6821</v>
      </c>
      <c r="J2154" s="19" t="s">
        <v>4567</v>
      </c>
    </row>
    <row r="2155" spans="1:10" x14ac:dyDescent="0.2">
      <c r="A2155" s="3">
        <v>7563</v>
      </c>
      <c r="B2155" s="3" t="s">
        <v>2334</v>
      </c>
      <c r="C2155" s="3" t="s">
        <v>2333</v>
      </c>
      <c r="D2155" s="3" t="s">
        <v>2180</v>
      </c>
      <c r="I2155" s="19">
        <v>6822</v>
      </c>
      <c r="J2155" s="19" t="s">
        <v>4567</v>
      </c>
    </row>
    <row r="2156" spans="1:10" x14ac:dyDescent="0.2">
      <c r="A2156" s="3">
        <v>7545</v>
      </c>
      <c r="B2156" s="3" t="s">
        <v>2335</v>
      </c>
      <c r="C2156" s="3" t="s">
        <v>2336</v>
      </c>
      <c r="D2156" s="3" t="s">
        <v>2180</v>
      </c>
      <c r="I2156" s="19">
        <v>6823</v>
      </c>
      <c r="J2156" s="19" t="s">
        <v>4567</v>
      </c>
    </row>
    <row r="2157" spans="1:10" x14ac:dyDescent="0.2">
      <c r="A2157" s="3">
        <v>7546</v>
      </c>
      <c r="B2157" s="3" t="s">
        <v>2337</v>
      </c>
      <c r="C2157" s="3" t="s">
        <v>2336</v>
      </c>
      <c r="D2157" s="3" t="s">
        <v>2180</v>
      </c>
      <c r="I2157" s="19">
        <v>6825</v>
      </c>
      <c r="J2157" s="19" t="s">
        <v>4567</v>
      </c>
    </row>
    <row r="2158" spans="1:10" x14ac:dyDescent="0.2">
      <c r="A2158" s="3">
        <v>7550</v>
      </c>
      <c r="B2158" s="3" t="s">
        <v>2336</v>
      </c>
      <c r="C2158" s="3" t="s">
        <v>2336</v>
      </c>
      <c r="D2158" s="3" t="s">
        <v>2180</v>
      </c>
      <c r="I2158" s="19">
        <v>6826</v>
      </c>
      <c r="J2158" s="19" t="s">
        <v>4567</v>
      </c>
    </row>
    <row r="2159" spans="1:10" x14ac:dyDescent="0.2">
      <c r="A2159" s="3">
        <v>7551</v>
      </c>
      <c r="B2159" s="3" t="s">
        <v>2338</v>
      </c>
      <c r="C2159" s="3" t="s">
        <v>2336</v>
      </c>
      <c r="D2159" s="3" t="s">
        <v>2180</v>
      </c>
      <c r="I2159" s="19">
        <v>6827</v>
      </c>
      <c r="J2159" s="19" t="s">
        <v>4567</v>
      </c>
    </row>
    <row r="2160" spans="1:10" x14ac:dyDescent="0.2">
      <c r="A2160" s="3">
        <v>7552</v>
      </c>
      <c r="B2160" s="3" t="s">
        <v>2339</v>
      </c>
      <c r="C2160" s="3" t="s">
        <v>2336</v>
      </c>
      <c r="D2160" s="3" t="s">
        <v>2180</v>
      </c>
      <c r="I2160" s="19">
        <v>6828</v>
      </c>
      <c r="J2160" s="19" t="s">
        <v>4567</v>
      </c>
    </row>
    <row r="2161" spans="1:10" x14ac:dyDescent="0.2">
      <c r="A2161" s="3">
        <v>7553</v>
      </c>
      <c r="B2161" s="3" t="s">
        <v>2340</v>
      </c>
      <c r="C2161" s="3" t="s">
        <v>2336</v>
      </c>
      <c r="D2161" s="3" t="s">
        <v>2180</v>
      </c>
      <c r="I2161" s="19">
        <v>6830</v>
      </c>
      <c r="J2161" s="19" t="s">
        <v>4567</v>
      </c>
    </row>
    <row r="2162" spans="1:10" x14ac:dyDescent="0.2">
      <c r="A2162" s="3">
        <v>7554</v>
      </c>
      <c r="B2162" s="3" t="s">
        <v>2341</v>
      </c>
      <c r="C2162" s="3" t="s">
        <v>2336</v>
      </c>
      <c r="D2162" s="3" t="s">
        <v>2180</v>
      </c>
      <c r="I2162" s="19">
        <v>6832</v>
      </c>
      <c r="J2162" s="19" t="s">
        <v>4567</v>
      </c>
    </row>
    <row r="2163" spans="1:10" x14ac:dyDescent="0.2">
      <c r="A2163" s="3">
        <v>7556</v>
      </c>
      <c r="B2163" s="3" t="s">
        <v>2342</v>
      </c>
      <c r="C2163" s="3" t="s">
        <v>2343</v>
      </c>
      <c r="D2163" s="3" t="s">
        <v>2180</v>
      </c>
      <c r="I2163" s="19">
        <v>6833</v>
      </c>
      <c r="J2163" s="19" t="s">
        <v>4567</v>
      </c>
    </row>
    <row r="2164" spans="1:10" x14ac:dyDescent="0.2">
      <c r="A2164" s="3">
        <v>7556</v>
      </c>
      <c r="B2164" s="3" t="s">
        <v>2342</v>
      </c>
      <c r="C2164" s="3" t="s">
        <v>2343</v>
      </c>
      <c r="D2164" s="3" t="s">
        <v>2180</v>
      </c>
      <c r="I2164" s="19">
        <v>6834</v>
      </c>
      <c r="J2164" s="19" t="s">
        <v>4567</v>
      </c>
    </row>
    <row r="2165" spans="1:10" x14ac:dyDescent="0.2">
      <c r="A2165" s="3">
        <v>7557</v>
      </c>
      <c r="B2165" s="3" t="s">
        <v>2344</v>
      </c>
      <c r="C2165" s="3" t="s">
        <v>2343</v>
      </c>
      <c r="D2165" s="3" t="s">
        <v>2180</v>
      </c>
      <c r="I2165" s="19">
        <v>6835</v>
      </c>
      <c r="J2165" s="19" t="s">
        <v>4567</v>
      </c>
    </row>
    <row r="2166" spans="1:10" x14ac:dyDescent="0.2">
      <c r="A2166" s="3">
        <v>7558</v>
      </c>
      <c r="B2166" s="3" t="s">
        <v>2345</v>
      </c>
      <c r="C2166" s="3" t="s">
        <v>2343</v>
      </c>
      <c r="D2166" s="3" t="s">
        <v>2180</v>
      </c>
      <c r="I2166" s="19">
        <v>6837</v>
      </c>
      <c r="J2166" s="19" t="s">
        <v>4567</v>
      </c>
    </row>
    <row r="2167" spans="1:10" x14ac:dyDescent="0.2">
      <c r="A2167" s="3">
        <v>7559</v>
      </c>
      <c r="B2167" s="3" t="s">
        <v>2346</v>
      </c>
      <c r="C2167" s="3" t="s">
        <v>2343</v>
      </c>
      <c r="D2167" s="3" t="s">
        <v>2180</v>
      </c>
      <c r="I2167" s="19">
        <v>6838</v>
      </c>
      <c r="J2167" s="19" t="s">
        <v>4567</v>
      </c>
    </row>
    <row r="2168" spans="1:10" x14ac:dyDescent="0.2">
      <c r="A2168" s="3">
        <v>7560</v>
      </c>
      <c r="B2168" s="3" t="s">
        <v>2347</v>
      </c>
      <c r="C2168" s="3" t="s">
        <v>2343</v>
      </c>
      <c r="D2168" s="3" t="s">
        <v>2180</v>
      </c>
      <c r="I2168" s="19">
        <v>6839</v>
      </c>
      <c r="J2168" s="19" t="s">
        <v>4567</v>
      </c>
    </row>
    <row r="2169" spans="1:10" x14ac:dyDescent="0.2">
      <c r="A2169" s="3">
        <v>7502</v>
      </c>
      <c r="B2169" s="3" t="s">
        <v>2348</v>
      </c>
      <c r="C2169" s="3" t="s">
        <v>2348</v>
      </c>
      <c r="D2169" s="3" t="s">
        <v>2180</v>
      </c>
      <c r="I2169" s="19">
        <v>6850</v>
      </c>
      <c r="J2169" s="19" t="s">
        <v>4567</v>
      </c>
    </row>
    <row r="2170" spans="1:10" x14ac:dyDescent="0.2">
      <c r="A2170" s="3">
        <v>7502</v>
      </c>
      <c r="B2170" s="3" t="s">
        <v>2348</v>
      </c>
      <c r="C2170" s="3" t="s">
        <v>2348</v>
      </c>
      <c r="D2170" s="3" t="s">
        <v>2180</v>
      </c>
      <c r="I2170" s="19">
        <v>6852</v>
      </c>
      <c r="J2170" s="19" t="s">
        <v>4567</v>
      </c>
    </row>
    <row r="2171" spans="1:10" x14ac:dyDescent="0.2">
      <c r="A2171" s="3">
        <v>7505</v>
      </c>
      <c r="B2171" s="3" t="s">
        <v>2349</v>
      </c>
      <c r="C2171" s="3" t="s">
        <v>2349</v>
      </c>
      <c r="D2171" s="3" t="s">
        <v>2180</v>
      </c>
      <c r="I2171" s="19">
        <v>6853</v>
      </c>
      <c r="J2171" s="19" t="s">
        <v>4567</v>
      </c>
    </row>
    <row r="2172" spans="1:10" x14ac:dyDescent="0.2">
      <c r="A2172" s="3">
        <v>7523</v>
      </c>
      <c r="B2172" s="3" t="s">
        <v>2350</v>
      </c>
      <c r="C2172" s="3" t="s">
        <v>2350</v>
      </c>
      <c r="D2172" s="3" t="s">
        <v>2180</v>
      </c>
      <c r="I2172" s="19">
        <v>6854</v>
      </c>
      <c r="J2172" s="19" t="s">
        <v>4567</v>
      </c>
    </row>
    <row r="2173" spans="1:10" x14ac:dyDescent="0.2">
      <c r="A2173" s="3">
        <v>7523</v>
      </c>
      <c r="B2173" s="3" t="s">
        <v>2350</v>
      </c>
      <c r="C2173" s="3" t="s">
        <v>2350</v>
      </c>
      <c r="D2173" s="3" t="s">
        <v>2180</v>
      </c>
      <c r="I2173" s="19">
        <v>6855</v>
      </c>
      <c r="J2173" s="19" t="s">
        <v>4567</v>
      </c>
    </row>
    <row r="2174" spans="1:10" x14ac:dyDescent="0.2">
      <c r="A2174" s="3">
        <v>7504</v>
      </c>
      <c r="B2174" s="3" t="s">
        <v>2351</v>
      </c>
      <c r="C2174" s="3" t="s">
        <v>2351</v>
      </c>
      <c r="D2174" s="3" t="s">
        <v>2180</v>
      </c>
      <c r="I2174" s="19">
        <v>6862</v>
      </c>
      <c r="J2174" s="19" t="s">
        <v>4567</v>
      </c>
    </row>
    <row r="2175" spans="1:10" x14ac:dyDescent="0.2">
      <c r="A2175" s="3">
        <v>7522</v>
      </c>
      <c r="B2175" s="3" t="s">
        <v>2352</v>
      </c>
      <c r="C2175" s="3" t="s">
        <v>2352</v>
      </c>
      <c r="D2175" s="3" t="s">
        <v>2180</v>
      </c>
      <c r="I2175" s="19">
        <v>6863</v>
      </c>
      <c r="J2175" s="19" t="s">
        <v>4567</v>
      </c>
    </row>
    <row r="2176" spans="1:10" x14ac:dyDescent="0.2">
      <c r="A2176" s="3">
        <v>7503</v>
      </c>
      <c r="B2176" s="3" t="s">
        <v>2353</v>
      </c>
      <c r="C2176" s="3" t="s">
        <v>2353</v>
      </c>
      <c r="D2176" s="3" t="s">
        <v>2180</v>
      </c>
      <c r="I2176" s="19">
        <v>6864</v>
      </c>
      <c r="J2176" s="19" t="s">
        <v>4567</v>
      </c>
    </row>
    <row r="2177" spans="1:10" x14ac:dyDescent="0.2">
      <c r="A2177" s="3">
        <v>7500</v>
      </c>
      <c r="B2177" s="3" t="s">
        <v>2354</v>
      </c>
      <c r="C2177" s="3" t="s">
        <v>2354</v>
      </c>
      <c r="D2177" s="3" t="s">
        <v>2180</v>
      </c>
      <c r="I2177" s="19">
        <v>6865</v>
      </c>
      <c r="J2177" s="19" t="s">
        <v>4567</v>
      </c>
    </row>
    <row r="2178" spans="1:10" x14ac:dyDescent="0.2">
      <c r="A2178" s="3">
        <v>7525</v>
      </c>
      <c r="B2178" s="3" t="s">
        <v>2355</v>
      </c>
      <c r="C2178" s="3" t="s">
        <v>2355</v>
      </c>
      <c r="D2178" s="3" t="s">
        <v>2180</v>
      </c>
      <c r="I2178" s="19">
        <v>6866</v>
      </c>
      <c r="J2178" s="19" t="s">
        <v>4567</v>
      </c>
    </row>
    <row r="2179" spans="1:10" x14ac:dyDescent="0.2">
      <c r="A2179" s="3">
        <v>7526</v>
      </c>
      <c r="B2179" s="3" t="s">
        <v>2356</v>
      </c>
      <c r="C2179" s="3" t="s">
        <v>2355</v>
      </c>
      <c r="D2179" s="3" t="s">
        <v>2180</v>
      </c>
      <c r="I2179" s="19">
        <v>6867</v>
      </c>
      <c r="J2179" s="19" t="s">
        <v>4567</v>
      </c>
    </row>
    <row r="2180" spans="1:10" x14ac:dyDescent="0.2">
      <c r="A2180" s="3">
        <v>7526</v>
      </c>
      <c r="B2180" s="3" t="s">
        <v>2357</v>
      </c>
      <c r="C2180" s="3" t="s">
        <v>2355</v>
      </c>
      <c r="D2180" s="3" t="s">
        <v>2180</v>
      </c>
      <c r="I2180" s="19">
        <v>6872</v>
      </c>
      <c r="J2180" s="19" t="s">
        <v>4567</v>
      </c>
    </row>
    <row r="2181" spans="1:10" x14ac:dyDescent="0.2">
      <c r="A2181" s="3">
        <v>7514</v>
      </c>
      <c r="B2181" s="3" t="s">
        <v>2358</v>
      </c>
      <c r="C2181" s="3" t="s">
        <v>2359</v>
      </c>
      <c r="D2181" s="3" t="s">
        <v>2180</v>
      </c>
      <c r="I2181" s="19">
        <v>6873</v>
      </c>
      <c r="J2181" s="19" t="s">
        <v>4567</v>
      </c>
    </row>
    <row r="2182" spans="1:10" x14ac:dyDescent="0.2">
      <c r="A2182" s="3">
        <v>7514</v>
      </c>
      <c r="B2182" s="3" t="s">
        <v>2360</v>
      </c>
      <c r="C2182" s="3" t="s">
        <v>2359</v>
      </c>
      <c r="D2182" s="3" t="s">
        <v>2180</v>
      </c>
      <c r="I2182" s="19">
        <v>6874</v>
      </c>
      <c r="J2182" s="19" t="s">
        <v>4567</v>
      </c>
    </row>
    <row r="2183" spans="1:10" x14ac:dyDescent="0.2">
      <c r="A2183" s="3">
        <v>7515</v>
      </c>
      <c r="B2183" s="3" t="s">
        <v>2361</v>
      </c>
      <c r="C2183" s="3" t="s">
        <v>2359</v>
      </c>
      <c r="D2183" s="3" t="s">
        <v>2180</v>
      </c>
      <c r="I2183" s="19">
        <v>6875</v>
      </c>
      <c r="J2183" s="19" t="s">
        <v>4567</v>
      </c>
    </row>
    <row r="2184" spans="1:10" x14ac:dyDescent="0.2">
      <c r="A2184" s="3">
        <v>7517</v>
      </c>
      <c r="B2184" s="3" t="s">
        <v>2362</v>
      </c>
      <c r="C2184" s="3" t="s">
        <v>2359</v>
      </c>
      <c r="D2184" s="3" t="s">
        <v>2180</v>
      </c>
      <c r="I2184" s="19">
        <v>6877</v>
      </c>
      <c r="J2184" s="19" t="s">
        <v>4567</v>
      </c>
    </row>
    <row r="2185" spans="1:10" x14ac:dyDescent="0.2">
      <c r="A2185" s="3">
        <v>7512</v>
      </c>
      <c r="B2185" s="3" t="s">
        <v>2363</v>
      </c>
      <c r="C2185" s="3" t="s">
        <v>2364</v>
      </c>
      <c r="D2185" s="3" t="s">
        <v>2180</v>
      </c>
      <c r="I2185" s="19">
        <v>6883</v>
      </c>
      <c r="J2185" s="19" t="s">
        <v>4567</v>
      </c>
    </row>
    <row r="2186" spans="1:10" x14ac:dyDescent="0.2">
      <c r="A2186" s="3">
        <v>7513</v>
      </c>
      <c r="B2186" s="3" t="s">
        <v>2364</v>
      </c>
      <c r="C2186" s="3" t="s">
        <v>2364</v>
      </c>
      <c r="D2186" s="3" t="s">
        <v>2180</v>
      </c>
      <c r="I2186" s="19">
        <v>6900</v>
      </c>
      <c r="J2186" s="19" t="s">
        <v>4567</v>
      </c>
    </row>
    <row r="2187" spans="1:10" x14ac:dyDescent="0.2">
      <c r="A2187" s="3">
        <v>7513</v>
      </c>
      <c r="B2187" s="3" t="s">
        <v>2365</v>
      </c>
      <c r="C2187" s="3" t="s">
        <v>2364</v>
      </c>
      <c r="D2187" s="3" t="s">
        <v>2180</v>
      </c>
      <c r="I2187" s="19">
        <v>6912</v>
      </c>
      <c r="J2187" s="19" t="s">
        <v>4567</v>
      </c>
    </row>
    <row r="2188" spans="1:10" x14ac:dyDescent="0.2">
      <c r="A2188" s="3">
        <v>7524</v>
      </c>
      <c r="B2188" s="3" t="s">
        <v>2366</v>
      </c>
      <c r="C2188" s="3" t="s">
        <v>2366</v>
      </c>
      <c r="D2188" s="3" t="s">
        <v>2180</v>
      </c>
      <c r="I2188" s="19">
        <v>6913</v>
      </c>
      <c r="J2188" s="19" t="s">
        <v>4567</v>
      </c>
    </row>
    <row r="2189" spans="1:10" x14ac:dyDescent="0.2">
      <c r="A2189" s="3">
        <v>7524</v>
      </c>
      <c r="B2189" s="3" t="s">
        <v>2366</v>
      </c>
      <c r="C2189" s="3" t="s">
        <v>2366</v>
      </c>
      <c r="D2189" s="3" t="s">
        <v>2180</v>
      </c>
      <c r="I2189" s="19">
        <v>6914</v>
      </c>
      <c r="J2189" s="19" t="s">
        <v>4567</v>
      </c>
    </row>
    <row r="2190" spans="1:10" x14ac:dyDescent="0.2">
      <c r="A2190" s="3">
        <v>7516</v>
      </c>
      <c r="B2190" s="3" t="s">
        <v>2367</v>
      </c>
      <c r="C2190" s="3" t="s">
        <v>2368</v>
      </c>
      <c r="D2190" s="3" t="s">
        <v>2180</v>
      </c>
      <c r="I2190" s="19">
        <v>6915</v>
      </c>
      <c r="J2190" s="19" t="s">
        <v>4567</v>
      </c>
    </row>
    <row r="2191" spans="1:10" x14ac:dyDescent="0.2">
      <c r="A2191" s="3">
        <v>7602</v>
      </c>
      <c r="B2191" s="3" t="s">
        <v>2369</v>
      </c>
      <c r="C2191" s="3" t="s">
        <v>2368</v>
      </c>
      <c r="D2191" s="3" t="s">
        <v>2180</v>
      </c>
      <c r="I2191" s="19">
        <v>6916</v>
      </c>
      <c r="J2191" s="19" t="s">
        <v>4567</v>
      </c>
    </row>
    <row r="2192" spans="1:10" x14ac:dyDescent="0.2">
      <c r="A2192" s="3">
        <v>7603</v>
      </c>
      <c r="B2192" s="3" t="s">
        <v>2370</v>
      </c>
      <c r="C2192" s="3" t="s">
        <v>2368</v>
      </c>
      <c r="D2192" s="3" t="s">
        <v>2180</v>
      </c>
      <c r="I2192" s="19">
        <v>6917</v>
      </c>
      <c r="J2192" s="19" t="s">
        <v>4567</v>
      </c>
    </row>
    <row r="2193" spans="1:10" x14ac:dyDescent="0.2">
      <c r="A2193" s="3">
        <v>7604</v>
      </c>
      <c r="B2193" s="3" t="s">
        <v>2371</v>
      </c>
      <c r="C2193" s="3" t="s">
        <v>2368</v>
      </c>
      <c r="D2193" s="3" t="s">
        <v>2180</v>
      </c>
      <c r="I2193" s="19">
        <v>6918</v>
      </c>
      <c r="J2193" s="19" t="s">
        <v>4567</v>
      </c>
    </row>
    <row r="2194" spans="1:10" x14ac:dyDescent="0.2">
      <c r="A2194" s="3">
        <v>7605</v>
      </c>
      <c r="B2194" s="3" t="s">
        <v>2372</v>
      </c>
      <c r="C2194" s="3" t="s">
        <v>2368</v>
      </c>
      <c r="D2194" s="3" t="s">
        <v>2180</v>
      </c>
      <c r="I2194" s="19">
        <v>6919</v>
      </c>
      <c r="J2194" s="19" t="s">
        <v>4567</v>
      </c>
    </row>
    <row r="2195" spans="1:10" x14ac:dyDescent="0.2">
      <c r="A2195" s="3">
        <v>7606</v>
      </c>
      <c r="B2195" s="3" t="s">
        <v>2373</v>
      </c>
      <c r="C2195" s="3" t="s">
        <v>2368</v>
      </c>
      <c r="D2195" s="3" t="s">
        <v>2180</v>
      </c>
      <c r="I2195" s="19">
        <v>6921</v>
      </c>
      <c r="J2195" s="19" t="s">
        <v>4567</v>
      </c>
    </row>
    <row r="2196" spans="1:10" x14ac:dyDescent="0.2">
      <c r="A2196" s="3">
        <v>7606</v>
      </c>
      <c r="B2196" s="3" t="s">
        <v>2374</v>
      </c>
      <c r="C2196" s="3" t="s">
        <v>2368</v>
      </c>
      <c r="D2196" s="3" t="s">
        <v>2180</v>
      </c>
      <c r="I2196" s="19">
        <v>6922</v>
      </c>
      <c r="J2196" s="19" t="s">
        <v>4567</v>
      </c>
    </row>
    <row r="2197" spans="1:10" x14ac:dyDescent="0.2">
      <c r="A2197" s="3">
        <v>7608</v>
      </c>
      <c r="B2197" s="3" t="s">
        <v>2375</v>
      </c>
      <c r="C2197" s="3" t="s">
        <v>2368</v>
      </c>
      <c r="D2197" s="3" t="s">
        <v>2180</v>
      </c>
      <c r="I2197" s="19">
        <v>6924</v>
      </c>
      <c r="J2197" s="19" t="s">
        <v>4567</v>
      </c>
    </row>
    <row r="2198" spans="1:10" x14ac:dyDescent="0.2">
      <c r="A2198" s="3">
        <v>7610</v>
      </c>
      <c r="B2198" s="3" t="s">
        <v>2376</v>
      </c>
      <c r="C2198" s="3" t="s">
        <v>2368</v>
      </c>
      <c r="D2198" s="3" t="s">
        <v>2180</v>
      </c>
      <c r="I2198" s="19">
        <v>6925</v>
      </c>
      <c r="J2198" s="19" t="s">
        <v>4567</v>
      </c>
    </row>
    <row r="2199" spans="1:10" x14ac:dyDescent="0.2">
      <c r="A2199" s="3">
        <v>6542</v>
      </c>
      <c r="B2199" s="3" t="s">
        <v>2377</v>
      </c>
      <c r="C2199" s="3" t="s">
        <v>2377</v>
      </c>
      <c r="D2199" s="3" t="s">
        <v>2180</v>
      </c>
      <c r="I2199" s="19">
        <v>6926</v>
      </c>
      <c r="J2199" s="19" t="s">
        <v>4567</v>
      </c>
    </row>
    <row r="2200" spans="1:10" x14ac:dyDescent="0.2">
      <c r="A2200" s="3">
        <v>6540</v>
      </c>
      <c r="B2200" s="3" t="s">
        <v>2378</v>
      </c>
      <c r="C2200" s="3" t="s">
        <v>2378</v>
      </c>
      <c r="D2200" s="3" t="s">
        <v>2180</v>
      </c>
      <c r="I2200" s="19">
        <v>6927</v>
      </c>
      <c r="J2200" s="19" t="s">
        <v>4567</v>
      </c>
    </row>
    <row r="2201" spans="1:10" x14ac:dyDescent="0.2">
      <c r="A2201" s="3">
        <v>6548</v>
      </c>
      <c r="B2201" s="3" t="s">
        <v>2379</v>
      </c>
      <c r="C2201" s="3" t="s">
        <v>2379</v>
      </c>
      <c r="D2201" s="3" t="s">
        <v>2180</v>
      </c>
      <c r="I2201" s="19">
        <v>6928</v>
      </c>
      <c r="J2201" s="19" t="s">
        <v>4567</v>
      </c>
    </row>
    <row r="2202" spans="1:10" x14ac:dyDescent="0.2">
      <c r="A2202" s="3">
        <v>6548</v>
      </c>
      <c r="B2202" s="3" t="s">
        <v>2380</v>
      </c>
      <c r="C2202" s="3" t="s">
        <v>2379</v>
      </c>
      <c r="D2202" s="3" t="s">
        <v>2180</v>
      </c>
      <c r="I2202" s="19">
        <v>6929</v>
      </c>
      <c r="J2202" s="19" t="s">
        <v>4567</v>
      </c>
    </row>
    <row r="2203" spans="1:10" x14ac:dyDescent="0.2">
      <c r="A2203" s="3">
        <v>6548</v>
      </c>
      <c r="B2203" s="3" t="s">
        <v>2381</v>
      </c>
      <c r="C2203" s="3" t="s">
        <v>2379</v>
      </c>
      <c r="D2203" s="3" t="s">
        <v>2180</v>
      </c>
      <c r="I2203" s="19">
        <v>6930</v>
      </c>
      <c r="J2203" s="19" t="s">
        <v>4567</v>
      </c>
    </row>
    <row r="2204" spans="1:10" x14ac:dyDescent="0.2">
      <c r="A2204" s="3">
        <v>6541</v>
      </c>
      <c r="B2204" s="3" t="s">
        <v>2382</v>
      </c>
      <c r="C2204" s="3" t="s">
        <v>2383</v>
      </c>
      <c r="D2204" s="3" t="s">
        <v>2180</v>
      </c>
      <c r="I2204" s="19">
        <v>6932</v>
      </c>
      <c r="J2204" s="19" t="s">
        <v>4567</v>
      </c>
    </row>
    <row r="2205" spans="1:10" x14ac:dyDescent="0.2">
      <c r="A2205" s="3">
        <v>6558</v>
      </c>
      <c r="B2205" s="3" t="s">
        <v>2384</v>
      </c>
      <c r="C2205" s="3" t="s">
        <v>2384</v>
      </c>
      <c r="D2205" s="3" t="s">
        <v>2180</v>
      </c>
      <c r="I2205" s="19">
        <v>6933</v>
      </c>
      <c r="J2205" s="19" t="s">
        <v>4567</v>
      </c>
    </row>
    <row r="2206" spans="1:10" x14ac:dyDescent="0.2">
      <c r="A2206" s="3">
        <v>6563</v>
      </c>
      <c r="B2206" s="3" t="s">
        <v>2385</v>
      </c>
      <c r="C2206" s="3" t="s">
        <v>2385</v>
      </c>
      <c r="D2206" s="3" t="s">
        <v>2180</v>
      </c>
      <c r="I2206" s="19">
        <v>6934</v>
      </c>
      <c r="J2206" s="19" t="s">
        <v>4567</v>
      </c>
    </row>
    <row r="2207" spans="1:10" x14ac:dyDescent="0.2">
      <c r="A2207" s="3">
        <v>6565</v>
      </c>
      <c r="B2207" s="3" t="s">
        <v>2386</v>
      </c>
      <c r="C2207" s="3" t="s">
        <v>2385</v>
      </c>
      <c r="D2207" s="3" t="s">
        <v>2180</v>
      </c>
      <c r="I2207" s="19">
        <v>6935</v>
      </c>
      <c r="J2207" s="19" t="s">
        <v>4567</v>
      </c>
    </row>
    <row r="2208" spans="1:10" x14ac:dyDescent="0.2">
      <c r="A2208" s="3">
        <v>6562</v>
      </c>
      <c r="B2208" s="3" t="s">
        <v>2387</v>
      </c>
      <c r="C2208" s="3" t="s">
        <v>2387</v>
      </c>
      <c r="D2208" s="3" t="s">
        <v>2180</v>
      </c>
      <c r="I2208" s="19">
        <v>6936</v>
      </c>
      <c r="J2208" s="19" t="s">
        <v>4567</v>
      </c>
    </row>
    <row r="2209" spans="1:10" x14ac:dyDescent="0.2">
      <c r="A2209" s="3">
        <v>6557</v>
      </c>
      <c r="B2209" s="3" t="s">
        <v>2388</v>
      </c>
      <c r="C2209" s="3" t="s">
        <v>2388</v>
      </c>
      <c r="D2209" s="3" t="s">
        <v>2180</v>
      </c>
      <c r="I2209" s="19">
        <v>6937</v>
      </c>
      <c r="J2209" s="19" t="s">
        <v>4567</v>
      </c>
    </row>
    <row r="2210" spans="1:10" x14ac:dyDescent="0.2">
      <c r="A2210" s="3">
        <v>6537</v>
      </c>
      <c r="B2210" s="3" t="s">
        <v>2389</v>
      </c>
      <c r="C2210" s="3" t="s">
        <v>2389</v>
      </c>
      <c r="D2210" s="3" t="s">
        <v>2180</v>
      </c>
      <c r="I2210" s="19">
        <v>6938</v>
      </c>
      <c r="J2210" s="19" t="s">
        <v>4567</v>
      </c>
    </row>
    <row r="2211" spans="1:10" x14ac:dyDescent="0.2">
      <c r="A2211" s="3">
        <v>6538</v>
      </c>
      <c r="B2211" s="3" t="s">
        <v>2390</v>
      </c>
      <c r="C2211" s="3" t="s">
        <v>2389</v>
      </c>
      <c r="D2211" s="3" t="s">
        <v>2180</v>
      </c>
      <c r="I2211" s="19">
        <v>6939</v>
      </c>
      <c r="J2211" s="19" t="s">
        <v>4563</v>
      </c>
    </row>
    <row r="2212" spans="1:10" x14ac:dyDescent="0.2">
      <c r="A2212" s="3">
        <v>6538</v>
      </c>
      <c r="B2212" s="3" t="s">
        <v>2390</v>
      </c>
      <c r="C2212" s="3" t="s">
        <v>2389</v>
      </c>
      <c r="D2212" s="3" t="s">
        <v>2180</v>
      </c>
      <c r="I2212" s="19">
        <v>6942</v>
      </c>
      <c r="J2212" s="19" t="s">
        <v>4567</v>
      </c>
    </row>
    <row r="2213" spans="1:10" x14ac:dyDescent="0.2">
      <c r="A2213" s="3">
        <v>6556</v>
      </c>
      <c r="B2213" s="3" t="s">
        <v>2391</v>
      </c>
      <c r="C2213" s="3" t="s">
        <v>2389</v>
      </c>
      <c r="D2213" s="3" t="s">
        <v>2180</v>
      </c>
      <c r="I2213" s="19">
        <v>6943</v>
      </c>
      <c r="J2213" s="19" t="s">
        <v>4567</v>
      </c>
    </row>
    <row r="2214" spans="1:10" x14ac:dyDescent="0.2">
      <c r="A2214" s="3">
        <v>6535</v>
      </c>
      <c r="B2214" s="3" t="s">
        <v>2392</v>
      </c>
      <c r="C2214" s="3" t="s">
        <v>2393</v>
      </c>
      <c r="D2214" s="3" t="s">
        <v>2180</v>
      </c>
      <c r="I2214" s="19">
        <v>6944</v>
      </c>
      <c r="J2214" s="19" t="s">
        <v>4567</v>
      </c>
    </row>
    <row r="2215" spans="1:10" x14ac:dyDescent="0.2">
      <c r="A2215" s="3">
        <v>6549</v>
      </c>
      <c r="B2215" s="3" t="s">
        <v>2394</v>
      </c>
      <c r="C2215" s="3" t="s">
        <v>2393</v>
      </c>
      <c r="D2215" s="3" t="s">
        <v>2180</v>
      </c>
      <c r="I2215" s="19">
        <v>6945</v>
      </c>
      <c r="J2215" s="19" t="s">
        <v>4567</v>
      </c>
    </row>
    <row r="2216" spans="1:10" x14ac:dyDescent="0.2">
      <c r="A2216" s="3">
        <v>6534</v>
      </c>
      <c r="B2216" s="3" t="s">
        <v>2395</v>
      </c>
      <c r="C2216" s="3" t="s">
        <v>2396</v>
      </c>
      <c r="D2216" s="3" t="s">
        <v>2180</v>
      </c>
      <c r="I2216" s="19">
        <v>6946</v>
      </c>
      <c r="J2216" s="19" t="s">
        <v>4567</v>
      </c>
    </row>
    <row r="2217" spans="1:10" x14ac:dyDescent="0.2">
      <c r="A2217" s="3">
        <v>6534</v>
      </c>
      <c r="B2217" s="3" t="s">
        <v>2395</v>
      </c>
      <c r="C2217" s="3" t="s">
        <v>2396</v>
      </c>
      <c r="D2217" s="3" t="s">
        <v>2180</v>
      </c>
      <c r="I2217" s="19">
        <v>6947</v>
      </c>
      <c r="J2217" s="19" t="s">
        <v>4567</v>
      </c>
    </row>
    <row r="2218" spans="1:10" x14ac:dyDescent="0.2">
      <c r="A2218" s="3">
        <v>6543</v>
      </c>
      <c r="B2218" s="3" t="s">
        <v>2397</v>
      </c>
      <c r="C2218" s="3" t="s">
        <v>2398</v>
      </c>
      <c r="D2218" s="3" t="s">
        <v>2180</v>
      </c>
      <c r="I2218" s="19">
        <v>6948</v>
      </c>
      <c r="J2218" s="19" t="s">
        <v>4567</v>
      </c>
    </row>
    <row r="2219" spans="1:10" x14ac:dyDescent="0.2">
      <c r="A2219" s="3">
        <v>6544</v>
      </c>
      <c r="B2219" s="3" t="s">
        <v>2399</v>
      </c>
      <c r="C2219" s="3" t="s">
        <v>2398</v>
      </c>
      <c r="D2219" s="3" t="s">
        <v>2180</v>
      </c>
      <c r="I2219" s="19">
        <v>6949</v>
      </c>
      <c r="J2219" s="19" t="s">
        <v>4567</v>
      </c>
    </row>
    <row r="2220" spans="1:10" x14ac:dyDescent="0.2">
      <c r="A2220" s="3">
        <v>6545</v>
      </c>
      <c r="B2220" s="3" t="s">
        <v>2400</v>
      </c>
      <c r="C2220" s="3" t="s">
        <v>2398</v>
      </c>
      <c r="D2220" s="3" t="s">
        <v>2180</v>
      </c>
      <c r="I2220" s="19">
        <v>6950</v>
      </c>
      <c r="J2220" s="19" t="s">
        <v>4567</v>
      </c>
    </row>
    <row r="2221" spans="1:10" x14ac:dyDescent="0.2">
      <c r="A2221" s="3">
        <v>6546</v>
      </c>
      <c r="B2221" s="3" t="s">
        <v>2401</v>
      </c>
      <c r="C2221" s="3" t="s">
        <v>2398</v>
      </c>
      <c r="D2221" s="3" t="s">
        <v>2180</v>
      </c>
      <c r="I2221" s="19">
        <v>6951</v>
      </c>
      <c r="J2221" s="19" t="s">
        <v>4563</v>
      </c>
    </row>
    <row r="2222" spans="1:10" x14ac:dyDescent="0.2">
      <c r="A2222" s="3">
        <v>7532</v>
      </c>
      <c r="B2222" s="3" t="s">
        <v>2402</v>
      </c>
      <c r="C2222" s="3" t="s">
        <v>2403</v>
      </c>
      <c r="D2222" s="3" t="s">
        <v>2180</v>
      </c>
      <c r="I2222" s="19">
        <v>6952</v>
      </c>
      <c r="J2222" s="19" t="s">
        <v>4567</v>
      </c>
    </row>
    <row r="2223" spans="1:10" x14ac:dyDescent="0.2">
      <c r="A2223" s="3">
        <v>7533</v>
      </c>
      <c r="B2223" s="3" t="s">
        <v>2404</v>
      </c>
      <c r="C2223" s="3" t="s">
        <v>2403</v>
      </c>
      <c r="D2223" s="3" t="s">
        <v>2180</v>
      </c>
      <c r="I2223" s="19">
        <v>6953</v>
      </c>
      <c r="J2223" s="19" t="s">
        <v>4567</v>
      </c>
    </row>
    <row r="2224" spans="1:10" x14ac:dyDescent="0.2">
      <c r="A2224" s="3">
        <v>7534</v>
      </c>
      <c r="B2224" s="3" t="s">
        <v>2405</v>
      </c>
      <c r="C2224" s="3" t="s">
        <v>2403</v>
      </c>
      <c r="D2224" s="3" t="s">
        <v>2180</v>
      </c>
      <c r="I2224" s="19">
        <v>6954</v>
      </c>
      <c r="J2224" s="19" t="s">
        <v>4567</v>
      </c>
    </row>
    <row r="2225" spans="1:10" x14ac:dyDescent="0.2">
      <c r="A2225" s="3">
        <v>7535</v>
      </c>
      <c r="B2225" s="3" t="s">
        <v>2406</v>
      </c>
      <c r="C2225" s="3" t="s">
        <v>2403</v>
      </c>
      <c r="D2225" s="3" t="s">
        <v>2180</v>
      </c>
      <c r="I2225" s="19">
        <v>6955</v>
      </c>
      <c r="J2225" s="19" t="s">
        <v>4567</v>
      </c>
    </row>
    <row r="2226" spans="1:10" x14ac:dyDescent="0.2">
      <c r="A2226" s="3">
        <v>7536</v>
      </c>
      <c r="B2226" s="3" t="s">
        <v>2407</v>
      </c>
      <c r="C2226" s="3" t="s">
        <v>2403</v>
      </c>
      <c r="D2226" s="3" t="s">
        <v>2180</v>
      </c>
      <c r="I2226" s="19">
        <v>6956</v>
      </c>
      <c r="J2226" s="19" t="s">
        <v>4563</v>
      </c>
    </row>
    <row r="2227" spans="1:10" x14ac:dyDescent="0.2">
      <c r="A2227" s="3">
        <v>7537</v>
      </c>
      <c r="B2227" s="3" t="s">
        <v>2408</v>
      </c>
      <c r="C2227" s="3" t="s">
        <v>2403</v>
      </c>
      <c r="D2227" s="3" t="s">
        <v>2180</v>
      </c>
      <c r="I2227" s="19">
        <v>6957</v>
      </c>
      <c r="J2227" s="19" t="s">
        <v>4563</v>
      </c>
    </row>
    <row r="2228" spans="1:10" x14ac:dyDescent="0.2">
      <c r="A2228" s="3">
        <v>7260</v>
      </c>
      <c r="B2228" s="3" t="s">
        <v>2409</v>
      </c>
      <c r="C2228" s="3" t="s">
        <v>2410</v>
      </c>
      <c r="D2228" s="3" t="s">
        <v>2180</v>
      </c>
      <c r="I2228" s="19">
        <v>6958</v>
      </c>
      <c r="J2228" s="19" t="s">
        <v>4563</v>
      </c>
    </row>
    <row r="2229" spans="1:10" x14ac:dyDescent="0.2">
      <c r="A2229" s="3">
        <v>7265</v>
      </c>
      <c r="B2229" s="3" t="s">
        <v>2411</v>
      </c>
      <c r="C2229" s="3" t="s">
        <v>2410</v>
      </c>
      <c r="D2229" s="3" t="s">
        <v>2180</v>
      </c>
      <c r="I2229" s="19">
        <v>6959</v>
      </c>
      <c r="J2229" s="19" t="s">
        <v>4563</v>
      </c>
    </row>
    <row r="2230" spans="1:10" x14ac:dyDescent="0.2">
      <c r="A2230" s="3">
        <v>7270</v>
      </c>
      <c r="B2230" s="3" t="s">
        <v>2412</v>
      </c>
      <c r="C2230" s="3" t="s">
        <v>2410</v>
      </c>
      <c r="D2230" s="3" t="s">
        <v>2180</v>
      </c>
      <c r="I2230" s="19">
        <v>6960</v>
      </c>
      <c r="J2230" s="19" t="s">
        <v>4563</v>
      </c>
    </row>
    <row r="2231" spans="1:10" x14ac:dyDescent="0.2">
      <c r="A2231" s="3">
        <v>7272</v>
      </c>
      <c r="B2231" s="3" t="s">
        <v>2413</v>
      </c>
      <c r="C2231" s="3" t="s">
        <v>2410</v>
      </c>
      <c r="D2231" s="3" t="s">
        <v>2180</v>
      </c>
      <c r="I2231" s="19">
        <v>6962</v>
      </c>
      <c r="J2231" s="19" t="s">
        <v>4567</v>
      </c>
    </row>
    <row r="2232" spans="1:10" x14ac:dyDescent="0.2">
      <c r="A2232" s="3">
        <v>7276</v>
      </c>
      <c r="B2232" s="3" t="s">
        <v>2414</v>
      </c>
      <c r="C2232" s="3" t="s">
        <v>2410</v>
      </c>
      <c r="D2232" s="3" t="s">
        <v>2180</v>
      </c>
      <c r="I2232" s="19">
        <v>6963</v>
      </c>
      <c r="J2232" s="19" t="s">
        <v>4567</v>
      </c>
    </row>
    <row r="2233" spans="1:10" x14ac:dyDescent="0.2">
      <c r="A2233" s="3">
        <v>7277</v>
      </c>
      <c r="B2233" s="3" t="s">
        <v>2415</v>
      </c>
      <c r="C2233" s="3" t="s">
        <v>2410</v>
      </c>
      <c r="D2233" s="3" t="s">
        <v>2180</v>
      </c>
      <c r="I2233" s="19">
        <v>6964</v>
      </c>
      <c r="J2233" s="19" t="s">
        <v>4567</v>
      </c>
    </row>
    <row r="2234" spans="1:10" x14ac:dyDescent="0.2">
      <c r="A2234" s="3">
        <v>7278</v>
      </c>
      <c r="B2234" s="3" t="s">
        <v>2416</v>
      </c>
      <c r="C2234" s="3" t="s">
        <v>2410</v>
      </c>
      <c r="D2234" s="3" t="s">
        <v>2180</v>
      </c>
      <c r="I2234" s="19">
        <v>6965</v>
      </c>
      <c r="J2234" s="19" t="s">
        <v>4567</v>
      </c>
    </row>
    <row r="2235" spans="1:10" x14ac:dyDescent="0.2">
      <c r="A2235" s="3">
        <v>7494</v>
      </c>
      <c r="B2235" s="3" t="s">
        <v>2417</v>
      </c>
      <c r="C2235" s="3" t="s">
        <v>2410</v>
      </c>
      <c r="D2235" s="3" t="s">
        <v>2180</v>
      </c>
      <c r="I2235" s="19">
        <v>6966</v>
      </c>
      <c r="J2235" s="19" t="s">
        <v>4567</v>
      </c>
    </row>
    <row r="2236" spans="1:10" x14ac:dyDescent="0.2">
      <c r="A2236" s="3">
        <v>7235</v>
      </c>
      <c r="B2236" s="3" t="s">
        <v>2418</v>
      </c>
      <c r="C2236" s="3" t="s">
        <v>2418</v>
      </c>
      <c r="D2236" s="3" t="s">
        <v>2180</v>
      </c>
      <c r="I2236" s="19">
        <v>6967</v>
      </c>
      <c r="J2236" s="19" t="s">
        <v>4567</v>
      </c>
    </row>
    <row r="2237" spans="1:10" x14ac:dyDescent="0.2">
      <c r="A2237" s="3">
        <v>7232</v>
      </c>
      <c r="B2237" s="3" t="s">
        <v>2419</v>
      </c>
      <c r="C2237" s="3" t="s">
        <v>2419</v>
      </c>
      <c r="D2237" s="3" t="s">
        <v>2180</v>
      </c>
      <c r="I2237" s="19">
        <v>6968</v>
      </c>
      <c r="J2237" s="19" t="s">
        <v>4563</v>
      </c>
    </row>
    <row r="2238" spans="1:10" x14ac:dyDescent="0.2">
      <c r="A2238" s="3">
        <v>7231</v>
      </c>
      <c r="B2238" s="3" t="s">
        <v>2420</v>
      </c>
      <c r="C2238" s="3" t="s">
        <v>2421</v>
      </c>
      <c r="D2238" s="3" t="s">
        <v>2180</v>
      </c>
      <c r="I2238" s="19">
        <v>6974</v>
      </c>
      <c r="J2238" s="19" t="s">
        <v>4567</v>
      </c>
    </row>
    <row r="2239" spans="1:10" x14ac:dyDescent="0.2">
      <c r="A2239" s="3">
        <v>7233</v>
      </c>
      <c r="B2239" s="3" t="s">
        <v>2421</v>
      </c>
      <c r="C2239" s="3" t="s">
        <v>2421</v>
      </c>
      <c r="D2239" s="3" t="s">
        <v>2180</v>
      </c>
      <c r="I2239" s="19">
        <v>6976</v>
      </c>
      <c r="J2239" s="19" t="s">
        <v>4567</v>
      </c>
    </row>
    <row r="2240" spans="1:10" x14ac:dyDescent="0.2">
      <c r="A2240" s="3">
        <v>7247</v>
      </c>
      <c r="B2240" s="3" t="s">
        <v>2422</v>
      </c>
      <c r="C2240" s="3" t="s">
        <v>2423</v>
      </c>
      <c r="D2240" s="3" t="s">
        <v>2180</v>
      </c>
      <c r="I2240" s="19">
        <v>6977</v>
      </c>
      <c r="J2240" s="19" t="s">
        <v>4567</v>
      </c>
    </row>
    <row r="2241" spans="1:10" x14ac:dyDescent="0.2">
      <c r="A2241" s="3">
        <v>7249</v>
      </c>
      <c r="B2241" s="3" t="s">
        <v>2424</v>
      </c>
      <c r="C2241" s="3" t="s">
        <v>2423</v>
      </c>
      <c r="D2241" s="3" t="s">
        <v>2180</v>
      </c>
      <c r="I2241" s="19">
        <v>6978</v>
      </c>
      <c r="J2241" s="19" t="s">
        <v>4567</v>
      </c>
    </row>
    <row r="2242" spans="1:10" x14ac:dyDescent="0.2">
      <c r="A2242" s="3">
        <v>7250</v>
      </c>
      <c r="B2242" s="3" t="s">
        <v>2423</v>
      </c>
      <c r="C2242" s="3" t="s">
        <v>2423</v>
      </c>
      <c r="D2242" s="3" t="s">
        <v>2180</v>
      </c>
      <c r="I2242" s="19">
        <v>6979</v>
      </c>
      <c r="J2242" s="19" t="s">
        <v>4567</v>
      </c>
    </row>
    <row r="2243" spans="1:10" x14ac:dyDescent="0.2">
      <c r="A2243" s="3">
        <v>7252</v>
      </c>
      <c r="B2243" s="3" t="s">
        <v>2425</v>
      </c>
      <c r="C2243" s="3" t="s">
        <v>2423</v>
      </c>
      <c r="D2243" s="3" t="s">
        <v>2180</v>
      </c>
      <c r="I2243" s="19">
        <v>6980</v>
      </c>
      <c r="J2243" s="19" t="s">
        <v>4567</v>
      </c>
    </row>
    <row r="2244" spans="1:10" x14ac:dyDescent="0.2">
      <c r="A2244" s="3">
        <v>7241</v>
      </c>
      <c r="B2244" s="3" t="s">
        <v>2426</v>
      </c>
      <c r="C2244" s="3" t="s">
        <v>2426</v>
      </c>
      <c r="D2244" s="3" t="s">
        <v>2180</v>
      </c>
      <c r="I2244" s="19">
        <v>6981</v>
      </c>
      <c r="J2244" s="19" t="s">
        <v>4567</v>
      </c>
    </row>
    <row r="2245" spans="1:10" x14ac:dyDescent="0.2">
      <c r="A2245" s="3">
        <v>7240</v>
      </c>
      <c r="B2245" s="3" t="s">
        <v>2427</v>
      </c>
      <c r="C2245" s="3" t="s">
        <v>2427</v>
      </c>
      <c r="D2245" s="3" t="s">
        <v>2180</v>
      </c>
      <c r="I2245" s="19">
        <v>6982</v>
      </c>
      <c r="J2245" s="19" t="s">
        <v>4567</v>
      </c>
    </row>
    <row r="2246" spans="1:10" x14ac:dyDescent="0.2">
      <c r="A2246" s="3">
        <v>7223</v>
      </c>
      <c r="B2246" s="3" t="s">
        <v>2428</v>
      </c>
      <c r="C2246" s="3" t="s">
        <v>2429</v>
      </c>
      <c r="D2246" s="3" t="s">
        <v>2180</v>
      </c>
      <c r="I2246" s="19">
        <v>6983</v>
      </c>
      <c r="J2246" s="19" t="s">
        <v>4567</v>
      </c>
    </row>
    <row r="2247" spans="1:10" x14ac:dyDescent="0.2">
      <c r="A2247" s="3">
        <v>7224</v>
      </c>
      <c r="B2247" s="3" t="s">
        <v>2430</v>
      </c>
      <c r="C2247" s="3" t="s">
        <v>2429</v>
      </c>
      <c r="D2247" s="3" t="s">
        <v>2180</v>
      </c>
      <c r="I2247" s="19">
        <v>6984</v>
      </c>
      <c r="J2247" s="19" t="s">
        <v>4567</v>
      </c>
    </row>
    <row r="2248" spans="1:10" x14ac:dyDescent="0.2">
      <c r="A2248" s="3">
        <v>7242</v>
      </c>
      <c r="B2248" s="3" t="s">
        <v>2429</v>
      </c>
      <c r="C2248" s="3" t="s">
        <v>2429</v>
      </c>
      <c r="D2248" s="3" t="s">
        <v>2180</v>
      </c>
      <c r="I2248" s="19">
        <v>6986</v>
      </c>
      <c r="J2248" s="19" t="s">
        <v>4567</v>
      </c>
    </row>
    <row r="2249" spans="1:10" x14ac:dyDescent="0.2">
      <c r="A2249" s="3">
        <v>7243</v>
      </c>
      <c r="B2249" s="3" t="s">
        <v>2431</v>
      </c>
      <c r="C2249" s="3" t="s">
        <v>2429</v>
      </c>
      <c r="D2249" s="3" t="s">
        <v>2180</v>
      </c>
      <c r="I2249" s="19">
        <v>6987</v>
      </c>
      <c r="J2249" s="19" t="s">
        <v>4567</v>
      </c>
    </row>
    <row r="2250" spans="1:10" x14ac:dyDescent="0.2">
      <c r="A2250" s="3">
        <v>7244</v>
      </c>
      <c r="B2250" s="3" t="s">
        <v>2432</v>
      </c>
      <c r="C2250" s="3" t="s">
        <v>2429</v>
      </c>
      <c r="D2250" s="3" t="s">
        <v>2180</v>
      </c>
      <c r="I2250" s="19">
        <v>6988</v>
      </c>
      <c r="J2250" s="19" t="s">
        <v>4567</v>
      </c>
    </row>
    <row r="2251" spans="1:10" x14ac:dyDescent="0.2">
      <c r="A2251" s="3">
        <v>7245</v>
      </c>
      <c r="B2251" s="3" t="s">
        <v>2433</v>
      </c>
      <c r="C2251" s="3" t="s">
        <v>2429</v>
      </c>
      <c r="D2251" s="3" t="s">
        <v>2180</v>
      </c>
      <c r="I2251" s="19">
        <v>6989</v>
      </c>
      <c r="J2251" s="19" t="s">
        <v>4567</v>
      </c>
    </row>
    <row r="2252" spans="1:10" x14ac:dyDescent="0.2">
      <c r="A2252" s="3">
        <v>7246</v>
      </c>
      <c r="B2252" s="3" t="s">
        <v>2434</v>
      </c>
      <c r="C2252" s="3" t="s">
        <v>2429</v>
      </c>
      <c r="D2252" s="3" t="s">
        <v>2180</v>
      </c>
      <c r="I2252" s="19">
        <v>6990</v>
      </c>
      <c r="J2252" s="19" t="s">
        <v>4567</v>
      </c>
    </row>
    <row r="2253" spans="1:10" x14ac:dyDescent="0.2">
      <c r="A2253" s="3">
        <v>7000</v>
      </c>
      <c r="B2253" s="3" t="s">
        <v>2435</v>
      </c>
      <c r="C2253" s="3" t="s">
        <v>2435</v>
      </c>
      <c r="D2253" s="3" t="s">
        <v>2180</v>
      </c>
      <c r="I2253" s="19">
        <v>6991</v>
      </c>
      <c r="J2253" s="19" t="s">
        <v>4567</v>
      </c>
    </row>
    <row r="2254" spans="1:10" x14ac:dyDescent="0.2">
      <c r="A2254" s="3">
        <v>7023</v>
      </c>
      <c r="B2254" s="3" t="s">
        <v>2436</v>
      </c>
      <c r="C2254" s="3" t="s">
        <v>2435</v>
      </c>
      <c r="D2254" s="3" t="s">
        <v>2180</v>
      </c>
      <c r="I2254" s="19">
        <v>6992</v>
      </c>
      <c r="J2254" s="19" t="s">
        <v>4567</v>
      </c>
    </row>
    <row r="2255" spans="1:10" x14ac:dyDescent="0.2">
      <c r="A2255" s="3">
        <v>7026</v>
      </c>
      <c r="B2255" s="3" t="s">
        <v>2437</v>
      </c>
      <c r="C2255" s="3" t="s">
        <v>2435</v>
      </c>
      <c r="D2255" s="3" t="s">
        <v>2180</v>
      </c>
      <c r="I2255" s="19">
        <v>6993</v>
      </c>
      <c r="J2255" s="19" t="s">
        <v>4567</v>
      </c>
    </row>
    <row r="2256" spans="1:10" x14ac:dyDescent="0.2">
      <c r="A2256" s="3">
        <v>7062</v>
      </c>
      <c r="B2256" s="3" t="s">
        <v>2438</v>
      </c>
      <c r="C2256" s="3" t="s">
        <v>2439</v>
      </c>
      <c r="D2256" s="3" t="s">
        <v>2180</v>
      </c>
      <c r="I2256" s="19">
        <v>6994</v>
      </c>
      <c r="J2256" s="19" t="s">
        <v>4567</v>
      </c>
    </row>
    <row r="2257" spans="1:10" x14ac:dyDescent="0.2">
      <c r="A2257" s="3">
        <v>7074</v>
      </c>
      <c r="B2257" s="3" t="s">
        <v>2440</v>
      </c>
      <c r="C2257" s="3" t="s">
        <v>2439</v>
      </c>
      <c r="D2257" s="3" t="s">
        <v>2180</v>
      </c>
      <c r="I2257" s="19">
        <v>6995</v>
      </c>
      <c r="J2257" s="19" t="s">
        <v>4567</v>
      </c>
    </row>
    <row r="2258" spans="1:10" x14ac:dyDescent="0.2">
      <c r="A2258" s="3">
        <v>7075</v>
      </c>
      <c r="B2258" s="3" t="s">
        <v>2439</v>
      </c>
      <c r="C2258" s="3" t="s">
        <v>2439</v>
      </c>
      <c r="D2258" s="3" t="s">
        <v>2180</v>
      </c>
      <c r="I2258" s="19">
        <v>6997</v>
      </c>
      <c r="J2258" s="19" t="s">
        <v>4567</v>
      </c>
    </row>
    <row r="2259" spans="1:10" x14ac:dyDescent="0.2">
      <c r="A2259" s="3">
        <v>7076</v>
      </c>
      <c r="B2259" s="3" t="s">
        <v>2441</v>
      </c>
      <c r="C2259" s="3" t="s">
        <v>2439</v>
      </c>
      <c r="D2259" s="3" t="s">
        <v>2180</v>
      </c>
      <c r="I2259" s="19">
        <v>6998</v>
      </c>
      <c r="J2259" s="19" t="s">
        <v>4567</v>
      </c>
    </row>
    <row r="2260" spans="1:10" x14ac:dyDescent="0.2">
      <c r="A2260" s="3">
        <v>7027</v>
      </c>
      <c r="B2260" s="3" t="s">
        <v>2442</v>
      </c>
      <c r="C2260" s="3" t="s">
        <v>2443</v>
      </c>
      <c r="D2260" s="3" t="s">
        <v>2180</v>
      </c>
      <c r="I2260" s="19">
        <v>6999</v>
      </c>
      <c r="J2260" s="19" t="s">
        <v>4567</v>
      </c>
    </row>
    <row r="2261" spans="1:10" x14ac:dyDescent="0.2">
      <c r="A2261" s="3">
        <v>7027</v>
      </c>
      <c r="B2261" s="3" t="s">
        <v>2444</v>
      </c>
      <c r="C2261" s="3" t="s">
        <v>2443</v>
      </c>
      <c r="D2261" s="3" t="s">
        <v>2180</v>
      </c>
      <c r="I2261" s="19">
        <v>7000</v>
      </c>
      <c r="J2261" s="19" t="s">
        <v>4568</v>
      </c>
    </row>
    <row r="2262" spans="1:10" x14ac:dyDescent="0.2">
      <c r="A2262" s="3">
        <v>7027</v>
      </c>
      <c r="B2262" s="3" t="s">
        <v>2445</v>
      </c>
      <c r="C2262" s="3" t="s">
        <v>2443</v>
      </c>
      <c r="D2262" s="3" t="s">
        <v>2180</v>
      </c>
      <c r="I2262" s="19">
        <v>7012</v>
      </c>
      <c r="J2262" s="19" t="s">
        <v>4568</v>
      </c>
    </row>
    <row r="2263" spans="1:10" x14ac:dyDescent="0.2">
      <c r="A2263" s="3">
        <v>7028</v>
      </c>
      <c r="B2263" s="3" t="s">
        <v>2446</v>
      </c>
      <c r="C2263" s="3" t="s">
        <v>2443</v>
      </c>
      <c r="D2263" s="3" t="s">
        <v>2180</v>
      </c>
      <c r="I2263" s="19">
        <v>7013</v>
      </c>
      <c r="J2263" s="19" t="s">
        <v>4568</v>
      </c>
    </row>
    <row r="2264" spans="1:10" x14ac:dyDescent="0.2">
      <c r="A2264" s="3">
        <v>7028</v>
      </c>
      <c r="B2264" s="3" t="s">
        <v>2447</v>
      </c>
      <c r="C2264" s="3" t="s">
        <v>2443</v>
      </c>
      <c r="D2264" s="3" t="s">
        <v>2180</v>
      </c>
      <c r="I2264" s="19">
        <v>7014</v>
      </c>
      <c r="J2264" s="19" t="s">
        <v>4568</v>
      </c>
    </row>
    <row r="2265" spans="1:10" x14ac:dyDescent="0.2">
      <c r="A2265" s="3">
        <v>7029</v>
      </c>
      <c r="B2265" s="3" t="s">
        <v>2448</v>
      </c>
      <c r="C2265" s="3" t="s">
        <v>2443</v>
      </c>
      <c r="D2265" s="3" t="s">
        <v>2180</v>
      </c>
      <c r="I2265" s="19">
        <v>7015</v>
      </c>
      <c r="J2265" s="19" t="s">
        <v>4568</v>
      </c>
    </row>
    <row r="2266" spans="1:10" x14ac:dyDescent="0.2">
      <c r="A2266" s="3">
        <v>7050</v>
      </c>
      <c r="B2266" s="3" t="s">
        <v>2443</v>
      </c>
      <c r="C2266" s="3" t="s">
        <v>2443</v>
      </c>
      <c r="D2266" s="3" t="s">
        <v>2180</v>
      </c>
      <c r="I2266" s="19">
        <v>7016</v>
      </c>
      <c r="J2266" s="19" t="s">
        <v>4568</v>
      </c>
    </row>
    <row r="2267" spans="1:10" x14ac:dyDescent="0.2">
      <c r="A2267" s="3">
        <v>7056</v>
      </c>
      <c r="B2267" s="3" t="s">
        <v>2449</v>
      </c>
      <c r="C2267" s="3" t="s">
        <v>2443</v>
      </c>
      <c r="D2267" s="3" t="s">
        <v>2180</v>
      </c>
      <c r="I2267" s="19">
        <v>7017</v>
      </c>
      <c r="J2267" s="19" t="s">
        <v>4568</v>
      </c>
    </row>
    <row r="2268" spans="1:10" x14ac:dyDescent="0.2">
      <c r="A2268" s="3">
        <v>7057</v>
      </c>
      <c r="B2268" s="3" t="s">
        <v>2450</v>
      </c>
      <c r="C2268" s="3" t="s">
        <v>2443</v>
      </c>
      <c r="D2268" s="3" t="s">
        <v>2180</v>
      </c>
      <c r="I2268" s="19">
        <v>7018</v>
      </c>
      <c r="J2268" s="19" t="s">
        <v>4568</v>
      </c>
    </row>
    <row r="2269" spans="1:10" x14ac:dyDescent="0.2">
      <c r="A2269" s="3">
        <v>7058</v>
      </c>
      <c r="B2269" s="3" t="s">
        <v>2451</v>
      </c>
      <c r="C2269" s="3" t="s">
        <v>2443</v>
      </c>
      <c r="D2269" s="3" t="s">
        <v>2180</v>
      </c>
      <c r="I2269" s="19">
        <v>7019</v>
      </c>
      <c r="J2269" s="19" t="s">
        <v>4568</v>
      </c>
    </row>
    <row r="2270" spans="1:10" x14ac:dyDescent="0.2">
      <c r="A2270" s="3">
        <v>7063</v>
      </c>
      <c r="B2270" s="3" t="s">
        <v>2452</v>
      </c>
      <c r="C2270" s="3" t="s">
        <v>2453</v>
      </c>
      <c r="D2270" s="3" t="s">
        <v>2180</v>
      </c>
      <c r="I2270" s="19">
        <v>7023</v>
      </c>
      <c r="J2270" s="19" t="s">
        <v>4568</v>
      </c>
    </row>
    <row r="2271" spans="1:10" x14ac:dyDescent="0.2">
      <c r="A2271" s="3">
        <v>7064</v>
      </c>
      <c r="B2271" s="3" t="s">
        <v>2454</v>
      </c>
      <c r="C2271" s="3" t="s">
        <v>2453</v>
      </c>
      <c r="D2271" s="3" t="s">
        <v>2180</v>
      </c>
      <c r="I2271" s="19">
        <v>7026</v>
      </c>
      <c r="J2271" s="19" t="s">
        <v>4568</v>
      </c>
    </row>
    <row r="2272" spans="1:10" x14ac:dyDescent="0.2">
      <c r="A2272" s="3">
        <v>7202</v>
      </c>
      <c r="B2272" s="3" t="s">
        <v>2455</v>
      </c>
      <c r="C2272" s="3" t="s">
        <v>2456</v>
      </c>
      <c r="D2272" s="3" t="s">
        <v>2180</v>
      </c>
      <c r="I2272" s="19">
        <v>7027</v>
      </c>
      <c r="J2272" s="19" t="s">
        <v>4568</v>
      </c>
    </row>
    <row r="2273" spans="1:10" x14ac:dyDescent="0.2">
      <c r="A2273" s="3">
        <v>7203</v>
      </c>
      <c r="B2273" s="3" t="s">
        <v>2456</v>
      </c>
      <c r="C2273" s="3" t="s">
        <v>2456</v>
      </c>
      <c r="D2273" s="3" t="s">
        <v>2180</v>
      </c>
      <c r="I2273" s="19">
        <v>7028</v>
      </c>
      <c r="J2273" s="19" t="s">
        <v>4568</v>
      </c>
    </row>
    <row r="2274" spans="1:10" x14ac:dyDescent="0.2">
      <c r="A2274" s="3">
        <v>7204</v>
      </c>
      <c r="B2274" s="3" t="s">
        <v>2457</v>
      </c>
      <c r="C2274" s="3" t="s">
        <v>2457</v>
      </c>
      <c r="D2274" s="3" t="s">
        <v>2180</v>
      </c>
      <c r="I2274" s="19">
        <v>7029</v>
      </c>
      <c r="J2274" s="19" t="s">
        <v>4568</v>
      </c>
    </row>
    <row r="2275" spans="1:10" x14ac:dyDescent="0.2">
      <c r="A2275" s="3">
        <v>7205</v>
      </c>
      <c r="B2275" s="3" t="s">
        <v>2458</v>
      </c>
      <c r="C2275" s="3" t="s">
        <v>2458</v>
      </c>
      <c r="D2275" s="3" t="s">
        <v>2180</v>
      </c>
      <c r="I2275" s="19">
        <v>7031</v>
      </c>
      <c r="J2275" s="19" t="s">
        <v>4568</v>
      </c>
    </row>
    <row r="2276" spans="1:10" x14ac:dyDescent="0.2">
      <c r="A2276" s="3">
        <v>7306</v>
      </c>
      <c r="B2276" s="3" t="s">
        <v>2459</v>
      </c>
      <c r="C2276" s="3" t="s">
        <v>2459</v>
      </c>
      <c r="D2276" s="3" t="s">
        <v>2180</v>
      </c>
      <c r="I2276" s="19">
        <v>7032</v>
      </c>
      <c r="J2276" s="19" t="s">
        <v>4568</v>
      </c>
    </row>
    <row r="2277" spans="1:10" x14ac:dyDescent="0.2">
      <c r="A2277" s="3">
        <v>7307</v>
      </c>
      <c r="B2277" s="3" t="s">
        <v>2460</v>
      </c>
      <c r="C2277" s="3" t="s">
        <v>2460</v>
      </c>
      <c r="D2277" s="3" t="s">
        <v>2180</v>
      </c>
      <c r="I2277" s="19">
        <v>7050</v>
      </c>
      <c r="J2277" s="19" t="s">
        <v>4569</v>
      </c>
    </row>
    <row r="2278" spans="1:10" x14ac:dyDescent="0.2">
      <c r="A2278" s="3">
        <v>7304</v>
      </c>
      <c r="B2278" s="3" t="s">
        <v>2461</v>
      </c>
      <c r="C2278" s="3" t="s">
        <v>2461</v>
      </c>
      <c r="D2278" s="3" t="s">
        <v>2180</v>
      </c>
      <c r="I2278" s="19">
        <v>7056</v>
      </c>
      <c r="J2278" s="19" t="s">
        <v>4568</v>
      </c>
    </row>
    <row r="2279" spans="1:10" x14ac:dyDescent="0.2">
      <c r="A2279" s="3">
        <v>7208</v>
      </c>
      <c r="B2279" s="3" t="s">
        <v>2462</v>
      </c>
      <c r="C2279" s="3" t="s">
        <v>2463</v>
      </c>
      <c r="D2279" s="3" t="s">
        <v>2180</v>
      </c>
      <c r="I2279" s="19">
        <v>7057</v>
      </c>
      <c r="J2279" s="19" t="s">
        <v>4568</v>
      </c>
    </row>
    <row r="2280" spans="1:10" x14ac:dyDescent="0.2">
      <c r="A2280" s="3">
        <v>7206</v>
      </c>
      <c r="B2280" s="3" t="s">
        <v>2464</v>
      </c>
      <c r="C2280" s="3" t="s">
        <v>2465</v>
      </c>
      <c r="D2280" s="3" t="s">
        <v>2180</v>
      </c>
      <c r="I2280" s="19">
        <v>7058</v>
      </c>
      <c r="J2280" s="19" t="s">
        <v>4569</v>
      </c>
    </row>
    <row r="2281" spans="1:10" x14ac:dyDescent="0.2">
      <c r="A2281" s="3">
        <v>7302</v>
      </c>
      <c r="B2281" s="3" t="s">
        <v>2465</v>
      </c>
      <c r="C2281" s="3" t="s">
        <v>2465</v>
      </c>
      <c r="D2281" s="3" t="s">
        <v>2180</v>
      </c>
      <c r="I2281" s="19">
        <v>7062</v>
      </c>
      <c r="J2281" s="19" t="s">
        <v>4568</v>
      </c>
    </row>
    <row r="2282" spans="1:10" x14ac:dyDescent="0.2">
      <c r="A2282" s="3">
        <v>7303</v>
      </c>
      <c r="B2282" s="3" t="s">
        <v>2466</v>
      </c>
      <c r="C2282" s="3" t="s">
        <v>2465</v>
      </c>
      <c r="D2282" s="3" t="s">
        <v>2180</v>
      </c>
      <c r="I2282" s="19">
        <v>7063</v>
      </c>
      <c r="J2282" s="19" t="s">
        <v>4568</v>
      </c>
    </row>
    <row r="2283" spans="1:10" x14ac:dyDescent="0.2">
      <c r="A2283" s="3">
        <v>7213</v>
      </c>
      <c r="B2283" s="3" t="s">
        <v>2467</v>
      </c>
      <c r="C2283" s="3" t="s">
        <v>2468</v>
      </c>
      <c r="D2283" s="3" t="s">
        <v>2180</v>
      </c>
      <c r="I2283" s="19">
        <v>7064</v>
      </c>
      <c r="J2283" s="19" t="s">
        <v>4568</v>
      </c>
    </row>
    <row r="2284" spans="1:10" x14ac:dyDescent="0.2">
      <c r="A2284" s="3">
        <v>7214</v>
      </c>
      <c r="B2284" s="3" t="s">
        <v>2468</v>
      </c>
      <c r="C2284" s="3" t="s">
        <v>2468</v>
      </c>
      <c r="D2284" s="3" t="s">
        <v>2180</v>
      </c>
      <c r="I2284" s="19">
        <v>7074</v>
      </c>
      <c r="J2284" s="19" t="s">
        <v>4568</v>
      </c>
    </row>
    <row r="2285" spans="1:10" x14ac:dyDescent="0.2">
      <c r="A2285" s="3">
        <v>7215</v>
      </c>
      <c r="B2285" s="3" t="s">
        <v>2469</v>
      </c>
      <c r="C2285" s="3" t="s">
        <v>2468</v>
      </c>
      <c r="D2285" s="3" t="s">
        <v>2180</v>
      </c>
      <c r="I2285" s="19">
        <v>7075</v>
      </c>
      <c r="J2285" s="19" t="s">
        <v>4568</v>
      </c>
    </row>
    <row r="2286" spans="1:10" x14ac:dyDescent="0.2">
      <c r="A2286" s="3">
        <v>7220</v>
      </c>
      <c r="B2286" s="3" t="s">
        <v>2470</v>
      </c>
      <c r="C2286" s="3" t="s">
        <v>2470</v>
      </c>
      <c r="D2286" s="3" t="s">
        <v>2180</v>
      </c>
      <c r="I2286" s="19">
        <v>7076</v>
      </c>
      <c r="J2286" s="19" t="s">
        <v>4568</v>
      </c>
    </row>
    <row r="2287" spans="1:10" x14ac:dyDescent="0.2">
      <c r="A2287" s="3">
        <v>7220</v>
      </c>
      <c r="B2287" s="3" t="s">
        <v>2470</v>
      </c>
      <c r="C2287" s="3" t="s">
        <v>2470</v>
      </c>
      <c r="D2287" s="3" t="s">
        <v>2180</v>
      </c>
      <c r="I2287" s="19">
        <v>7077</v>
      </c>
      <c r="J2287" s="19" t="s">
        <v>4568</v>
      </c>
    </row>
    <row r="2288" spans="1:10" x14ac:dyDescent="0.2">
      <c r="A2288" s="3">
        <v>7222</v>
      </c>
      <c r="B2288" s="3" t="s">
        <v>2471</v>
      </c>
      <c r="C2288" s="3" t="s">
        <v>2470</v>
      </c>
      <c r="D2288" s="3" t="s">
        <v>2180</v>
      </c>
      <c r="I2288" s="19">
        <v>7078</v>
      </c>
      <c r="J2288" s="19" t="s">
        <v>4568</v>
      </c>
    </row>
    <row r="2289" spans="1:10" x14ac:dyDescent="0.2">
      <c r="A2289" s="3">
        <v>7226</v>
      </c>
      <c r="B2289" s="3" t="s">
        <v>2472</v>
      </c>
      <c r="C2289" s="3" t="s">
        <v>2470</v>
      </c>
      <c r="D2289" s="3" t="s">
        <v>2180</v>
      </c>
      <c r="I2289" s="19">
        <v>7082</v>
      </c>
      <c r="J2289" s="19" t="s">
        <v>4568</v>
      </c>
    </row>
    <row r="2290" spans="1:10" x14ac:dyDescent="0.2">
      <c r="A2290" s="3">
        <v>7226</v>
      </c>
      <c r="B2290" s="3" t="s">
        <v>2472</v>
      </c>
      <c r="C2290" s="3" t="s">
        <v>2470</v>
      </c>
      <c r="D2290" s="3" t="s">
        <v>2180</v>
      </c>
      <c r="I2290" s="19">
        <v>7083</v>
      </c>
      <c r="J2290" s="19" t="s">
        <v>4568</v>
      </c>
    </row>
    <row r="2291" spans="1:10" x14ac:dyDescent="0.2">
      <c r="A2291" s="3">
        <v>7226</v>
      </c>
      <c r="B2291" s="3" t="s">
        <v>2473</v>
      </c>
      <c r="C2291" s="3" t="s">
        <v>2470</v>
      </c>
      <c r="D2291" s="3" t="s">
        <v>2180</v>
      </c>
      <c r="I2291" s="19">
        <v>7084</v>
      </c>
      <c r="J2291" s="19" t="s">
        <v>4568</v>
      </c>
    </row>
    <row r="2292" spans="1:10" x14ac:dyDescent="0.2">
      <c r="A2292" s="3">
        <v>7228</v>
      </c>
      <c r="B2292" s="3" t="s">
        <v>2474</v>
      </c>
      <c r="C2292" s="3" t="s">
        <v>2470</v>
      </c>
      <c r="D2292" s="3" t="s">
        <v>2180</v>
      </c>
      <c r="I2292" s="19">
        <v>7104</v>
      </c>
      <c r="J2292" s="19" t="s">
        <v>4568</v>
      </c>
    </row>
    <row r="2293" spans="1:10" x14ac:dyDescent="0.2">
      <c r="A2293" s="3">
        <v>7228</v>
      </c>
      <c r="B2293" s="3" t="s">
        <v>2475</v>
      </c>
      <c r="C2293" s="3" t="s">
        <v>2470</v>
      </c>
      <c r="D2293" s="3" t="s">
        <v>2180</v>
      </c>
      <c r="I2293" s="19">
        <v>7106</v>
      </c>
      <c r="J2293" s="19" t="s">
        <v>4564</v>
      </c>
    </row>
    <row r="2294" spans="1:10" x14ac:dyDescent="0.2">
      <c r="A2294" s="3">
        <v>7212</v>
      </c>
      <c r="B2294" s="3" t="s">
        <v>2476</v>
      </c>
      <c r="C2294" s="3" t="s">
        <v>2477</v>
      </c>
      <c r="D2294" s="3" t="s">
        <v>2180</v>
      </c>
      <c r="I2294" s="19">
        <v>7107</v>
      </c>
      <c r="J2294" s="19" t="s">
        <v>4564</v>
      </c>
    </row>
    <row r="2295" spans="1:10" x14ac:dyDescent="0.2">
      <c r="A2295" s="3">
        <v>7212</v>
      </c>
      <c r="B2295" s="3" t="s">
        <v>2478</v>
      </c>
      <c r="C2295" s="3" t="s">
        <v>2477</v>
      </c>
      <c r="D2295" s="3" t="s">
        <v>2180</v>
      </c>
      <c r="I2295" s="19">
        <v>7109</v>
      </c>
      <c r="J2295" s="19" t="s">
        <v>4564</v>
      </c>
    </row>
    <row r="2296" spans="1:10" x14ac:dyDescent="0.2">
      <c r="A2296" s="3">
        <v>7212</v>
      </c>
      <c r="B2296" s="3" t="s">
        <v>2479</v>
      </c>
      <c r="C2296" s="3" t="s">
        <v>2477</v>
      </c>
      <c r="D2296" s="3" t="s">
        <v>2180</v>
      </c>
      <c r="I2296" s="19">
        <v>7110</v>
      </c>
      <c r="J2296" s="19" t="s">
        <v>4568</v>
      </c>
    </row>
    <row r="2297" spans="1:10" x14ac:dyDescent="0.2">
      <c r="A2297" s="3">
        <v>7158</v>
      </c>
      <c r="B2297" s="3" t="s">
        <v>2480</v>
      </c>
      <c r="C2297" s="3" t="s">
        <v>2481</v>
      </c>
      <c r="D2297" s="3" t="s">
        <v>2180</v>
      </c>
      <c r="I2297" s="19">
        <v>7111</v>
      </c>
      <c r="J2297" s="19" t="s">
        <v>4568</v>
      </c>
    </row>
    <row r="2298" spans="1:10" x14ac:dyDescent="0.2">
      <c r="A2298" s="3">
        <v>7159</v>
      </c>
      <c r="B2298" s="3" t="s">
        <v>2482</v>
      </c>
      <c r="C2298" s="3" t="s">
        <v>2481</v>
      </c>
      <c r="D2298" s="3" t="s">
        <v>2180</v>
      </c>
      <c r="I2298" s="19">
        <v>7112</v>
      </c>
      <c r="J2298" s="19" t="s">
        <v>4566</v>
      </c>
    </row>
    <row r="2299" spans="1:10" x14ac:dyDescent="0.2">
      <c r="A2299" s="3">
        <v>7162</v>
      </c>
      <c r="B2299" s="3" t="s">
        <v>2483</v>
      </c>
      <c r="C2299" s="3" t="s">
        <v>2481</v>
      </c>
      <c r="D2299" s="3" t="s">
        <v>2180</v>
      </c>
      <c r="I2299" s="19">
        <v>7113</v>
      </c>
      <c r="J2299" s="19" t="s">
        <v>4566</v>
      </c>
    </row>
    <row r="2300" spans="1:10" x14ac:dyDescent="0.2">
      <c r="A2300" s="3">
        <v>7163</v>
      </c>
      <c r="B2300" s="3" t="s">
        <v>2484</v>
      </c>
      <c r="C2300" s="3" t="s">
        <v>2481</v>
      </c>
      <c r="D2300" s="3" t="s">
        <v>2180</v>
      </c>
      <c r="I2300" s="19">
        <v>7114</v>
      </c>
      <c r="J2300" s="19" t="s">
        <v>4568</v>
      </c>
    </row>
    <row r="2301" spans="1:10" x14ac:dyDescent="0.2">
      <c r="A2301" s="3">
        <v>7164</v>
      </c>
      <c r="B2301" s="3" t="s">
        <v>2485</v>
      </c>
      <c r="C2301" s="3" t="s">
        <v>2481</v>
      </c>
      <c r="D2301" s="3" t="s">
        <v>2180</v>
      </c>
      <c r="I2301" s="19">
        <v>7115</v>
      </c>
      <c r="J2301" s="19" t="s">
        <v>4568</v>
      </c>
    </row>
    <row r="2302" spans="1:10" x14ac:dyDescent="0.2">
      <c r="A2302" s="3">
        <v>7165</v>
      </c>
      <c r="B2302" s="3" t="s">
        <v>2481</v>
      </c>
      <c r="C2302" s="3" t="s">
        <v>2481</v>
      </c>
      <c r="D2302" s="3" t="s">
        <v>2180</v>
      </c>
      <c r="I2302" s="19">
        <v>7116</v>
      </c>
      <c r="J2302" s="19" t="s">
        <v>4566</v>
      </c>
    </row>
    <row r="2303" spans="1:10" x14ac:dyDescent="0.2">
      <c r="A2303" s="3">
        <v>7180</v>
      </c>
      <c r="B2303" s="3" t="s">
        <v>2486</v>
      </c>
      <c r="C2303" s="3" t="s">
        <v>2486</v>
      </c>
      <c r="D2303" s="3" t="s">
        <v>2180</v>
      </c>
      <c r="I2303" s="19">
        <v>7122</v>
      </c>
      <c r="J2303" s="19" t="s">
        <v>4568</v>
      </c>
    </row>
    <row r="2304" spans="1:10" x14ac:dyDescent="0.2">
      <c r="A2304" s="3">
        <v>7182</v>
      </c>
      <c r="B2304" s="3" t="s">
        <v>2487</v>
      </c>
      <c r="C2304" s="3" t="s">
        <v>2486</v>
      </c>
      <c r="D2304" s="3" t="s">
        <v>2180</v>
      </c>
      <c r="I2304" s="19">
        <v>7126</v>
      </c>
      <c r="J2304" s="19" t="s">
        <v>4568</v>
      </c>
    </row>
    <row r="2305" spans="1:10" x14ac:dyDescent="0.2">
      <c r="A2305" s="3">
        <v>7183</v>
      </c>
      <c r="B2305" s="3" t="s">
        <v>2488</v>
      </c>
      <c r="C2305" s="3" t="s">
        <v>2486</v>
      </c>
      <c r="D2305" s="3" t="s">
        <v>2180</v>
      </c>
      <c r="I2305" s="19">
        <v>7127</v>
      </c>
      <c r="J2305" s="19" t="s">
        <v>4568</v>
      </c>
    </row>
    <row r="2306" spans="1:10" x14ac:dyDescent="0.2">
      <c r="A2306" s="3">
        <v>7186</v>
      </c>
      <c r="B2306" s="3" t="s">
        <v>2489</v>
      </c>
      <c r="C2306" s="3" t="s">
        <v>2486</v>
      </c>
      <c r="D2306" s="3" t="s">
        <v>2180</v>
      </c>
      <c r="I2306" s="19">
        <v>7128</v>
      </c>
      <c r="J2306" s="19" t="s">
        <v>4566</v>
      </c>
    </row>
    <row r="2307" spans="1:10" x14ac:dyDescent="0.2">
      <c r="A2307" s="3">
        <v>7184</v>
      </c>
      <c r="B2307" s="3" t="s">
        <v>2490</v>
      </c>
      <c r="C2307" s="3" t="s">
        <v>2491</v>
      </c>
      <c r="D2307" s="3" t="s">
        <v>2180</v>
      </c>
      <c r="I2307" s="19">
        <v>7130</v>
      </c>
      <c r="J2307" s="19" t="s">
        <v>4568</v>
      </c>
    </row>
    <row r="2308" spans="1:10" x14ac:dyDescent="0.2">
      <c r="A2308" s="3">
        <v>7185</v>
      </c>
      <c r="B2308" s="3" t="s">
        <v>2492</v>
      </c>
      <c r="C2308" s="3" t="s">
        <v>2491</v>
      </c>
      <c r="D2308" s="3" t="s">
        <v>2180</v>
      </c>
      <c r="I2308" s="19">
        <v>7132</v>
      </c>
      <c r="J2308" s="19" t="s">
        <v>4566</v>
      </c>
    </row>
    <row r="2309" spans="1:10" x14ac:dyDescent="0.2">
      <c r="A2309" s="3">
        <v>7172</v>
      </c>
      <c r="B2309" s="3" t="s">
        <v>2493</v>
      </c>
      <c r="C2309" s="3" t="s">
        <v>2494</v>
      </c>
      <c r="D2309" s="3" t="s">
        <v>2180</v>
      </c>
      <c r="I2309" s="19">
        <v>7134</v>
      </c>
      <c r="J2309" s="19" t="s">
        <v>4566</v>
      </c>
    </row>
    <row r="2310" spans="1:10" x14ac:dyDescent="0.2">
      <c r="A2310" s="3">
        <v>7173</v>
      </c>
      <c r="B2310" s="3" t="s">
        <v>2495</v>
      </c>
      <c r="C2310" s="3" t="s">
        <v>2494</v>
      </c>
      <c r="D2310" s="3" t="s">
        <v>2180</v>
      </c>
      <c r="I2310" s="19">
        <v>7137</v>
      </c>
      <c r="J2310" s="19" t="s">
        <v>4566</v>
      </c>
    </row>
    <row r="2311" spans="1:10" x14ac:dyDescent="0.2">
      <c r="A2311" s="3">
        <v>7174</v>
      </c>
      <c r="B2311" s="3" t="s">
        <v>2496</v>
      </c>
      <c r="C2311" s="3" t="s">
        <v>2494</v>
      </c>
      <c r="D2311" s="3" t="s">
        <v>2180</v>
      </c>
      <c r="I2311" s="19">
        <v>7138</v>
      </c>
      <c r="J2311" s="19" t="s">
        <v>4566</v>
      </c>
    </row>
    <row r="2312" spans="1:10" x14ac:dyDescent="0.2">
      <c r="A2312" s="3">
        <v>7175</v>
      </c>
      <c r="B2312" s="3" t="s">
        <v>2494</v>
      </c>
      <c r="C2312" s="3" t="s">
        <v>2494</v>
      </c>
      <c r="D2312" s="3" t="s">
        <v>2180</v>
      </c>
      <c r="I2312" s="19">
        <v>7141</v>
      </c>
      <c r="J2312" s="19" t="s">
        <v>4568</v>
      </c>
    </row>
    <row r="2313" spans="1:10" x14ac:dyDescent="0.2">
      <c r="A2313" s="3">
        <v>7176</v>
      </c>
      <c r="B2313" s="3" t="s">
        <v>2497</v>
      </c>
      <c r="C2313" s="3" t="s">
        <v>2494</v>
      </c>
      <c r="D2313" s="3" t="s">
        <v>2180</v>
      </c>
      <c r="I2313" s="19">
        <v>7142</v>
      </c>
      <c r="J2313" s="19" t="s">
        <v>4566</v>
      </c>
    </row>
    <row r="2314" spans="1:10" x14ac:dyDescent="0.2">
      <c r="A2314" s="3">
        <v>7187</v>
      </c>
      <c r="B2314" s="3" t="s">
        <v>2498</v>
      </c>
      <c r="C2314" s="3" t="s">
        <v>2499</v>
      </c>
      <c r="D2314" s="3" t="s">
        <v>2180</v>
      </c>
      <c r="I2314" s="19">
        <v>7143</v>
      </c>
      <c r="J2314" s="19" t="s">
        <v>4566</v>
      </c>
    </row>
    <row r="2315" spans="1:10" x14ac:dyDescent="0.2">
      <c r="A2315" s="3">
        <v>7188</v>
      </c>
      <c r="B2315" s="3" t="s">
        <v>2500</v>
      </c>
      <c r="C2315" s="3" t="s">
        <v>2499</v>
      </c>
      <c r="D2315" s="3" t="s">
        <v>2180</v>
      </c>
      <c r="I2315" s="19">
        <v>7144</v>
      </c>
      <c r="J2315" s="19" t="s">
        <v>4566</v>
      </c>
    </row>
    <row r="2316" spans="1:10" x14ac:dyDescent="0.2">
      <c r="A2316" s="3">
        <v>7189</v>
      </c>
      <c r="B2316" s="3" t="s">
        <v>2501</v>
      </c>
      <c r="C2316" s="3" t="s">
        <v>2499</v>
      </c>
      <c r="D2316" s="3" t="s">
        <v>2180</v>
      </c>
      <c r="I2316" s="19">
        <v>7145</v>
      </c>
      <c r="J2316" s="19" t="s">
        <v>4566</v>
      </c>
    </row>
    <row r="2317" spans="1:10" x14ac:dyDescent="0.2">
      <c r="A2317" s="3">
        <v>7166</v>
      </c>
      <c r="B2317" s="3" t="s">
        <v>2502</v>
      </c>
      <c r="C2317" s="3" t="s">
        <v>2502</v>
      </c>
      <c r="D2317" s="3" t="s">
        <v>2180</v>
      </c>
      <c r="I2317" s="19">
        <v>7146</v>
      </c>
      <c r="J2317" s="19" t="s">
        <v>4566</v>
      </c>
    </row>
    <row r="2318" spans="1:10" x14ac:dyDescent="0.2">
      <c r="A2318" s="3">
        <v>7167</v>
      </c>
      <c r="B2318" s="3" t="s">
        <v>2503</v>
      </c>
      <c r="C2318" s="3" t="s">
        <v>2502</v>
      </c>
      <c r="D2318" s="3" t="s">
        <v>2180</v>
      </c>
      <c r="I2318" s="19">
        <v>7147</v>
      </c>
      <c r="J2318" s="19" t="s">
        <v>4566</v>
      </c>
    </row>
    <row r="2319" spans="1:10" x14ac:dyDescent="0.2">
      <c r="A2319" s="3">
        <v>7168</v>
      </c>
      <c r="B2319" s="3" t="s">
        <v>2504</v>
      </c>
      <c r="C2319" s="3" t="s">
        <v>2502</v>
      </c>
      <c r="D2319" s="3" t="s">
        <v>2180</v>
      </c>
      <c r="I2319" s="19">
        <v>7148</v>
      </c>
      <c r="J2319" s="19" t="s">
        <v>4566</v>
      </c>
    </row>
    <row r="2320" spans="1:10" x14ac:dyDescent="0.2">
      <c r="A2320" s="3">
        <v>7134</v>
      </c>
      <c r="B2320" s="3" t="s">
        <v>2505</v>
      </c>
      <c r="C2320" s="3" t="s">
        <v>2506</v>
      </c>
      <c r="D2320" s="3" t="s">
        <v>2180</v>
      </c>
      <c r="I2320" s="19">
        <v>7149</v>
      </c>
      <c r="J2320" s="19" t="s">
        <v>4566</v>
      </c>
    </row>
    <row r="2321" spans="1:10" x14ac:dyDescent="0.2">
      <c r="A2321" s="3">
        <v>7137</v>
      </c>
      <c r="B2321" s="3" t="s">
        <v>2507</v>
      </c>
      <c r="C2321" s="3" t="s">
        <v>2506</v>
      </c>
      <c r="D2321" s="3" t="s">
        <v>2180</v>
      </c>
      <c r="I2321" s="19">
        <v>7151</v>
      </c>
      <c r="J2321" s="19" t="s">
        <v>4568</v>
      </c>
    </row>
    <row r="2322" spans="1:10" x14ac:dyDescent="0.2">
      <c r="A2322" s="3">
        <v>7138</v>
      </c>
      <c r="B2322" s="3" t="s">
        <v>2508</v>
      </c>
      <c r="C2322" s="3" t="s">
        <v>2506</v>
      </c>
      <c r="D2322" s="3" t="s">
        <v>2180</v>
      </c>
      <c r="I2322" s="19">
        <v>7152</v>
      </c>
      <c r="J2322" s="19" t="s">
        <v>4568</v>
      </c>
    </row>
    <row r="2323" spans="1:10" x14ac:dyDescent="0.2">
      <c r="A2323" s="3">
        <v>5000</v>
      </c>
      <c r="B2323" s="3" t="s">
        <v>2509</v>
      </c>
      <c r="C2323" s="3" t="s">
        <v>2509</v>
      </c>
      <c r="D2323" s="3" t="s">
        <v>2510</v>
      </c>
      <c r="I2323" s="19">
        <v>7153</v>
      </c>
      <c r="J2323" s="19" t="s">
        <v>4566</v>
      </c>
    </row>
    <row r="2324" spans="1:10" x14ac:dyDescent="0.2">
      <c r="A2324" s="3">
        <v>5004</v>
      </c>
      <c r="B2324" s="3" t="s">
        <v>2509</v>
      </c>
      <c r="C2324" s="3" t="s">
        <v>2509</v>
      </c>
      <c r="D2324" s="3" t="s">
        <v>2510</v>
      </c>
      <c r="I2324" s="19">
        <v>7154</v>
      </c>
      <c r="J2324" s="19" t="s">
        <v>4566</v>
      </c>
    </row>
    <row r="2325" spans="1:10" x14ac:dyDescent="0.2">
      <c r="A2325" s="3">
        <v>5032</v>
      </c>
      <c r="B2325" s="3" t="s">
        <v>2511</v>
      </c>
      <c r="C2325" s="3" t="s">
        <v>2509</v>
      </c>
      <c r="D2325" s="3" t="s">
        <v>2510</v>
      </c>
      <c r="I2325" s="19">
        <v>7155</v>
      </c>
      <c r="J2325" s="19" t="s">
        <v>4566</v>
      </c>
    </row>
    <row r="2326" spans="1:10" x14ac:dyDescent="0.2">
      <c r="A2326" s="3">
        <v>5023</v>
      </c>
      <c r="B2326" s="3" t="s">
        <v>2512</v>
      </c>
      <c r="C2326" s="3" t="s">
        <v>2512</v>
      </c>
      <c r="D2326" s="3" t="s">
        <v>2510</v>
      </c>
      <c r="I2326" s="19">
        <v>7156</v>
      </c>
      <c r="J2326" s="19" t="s">
        <v>4568</v>
      </c>
    </row>
    <row r="2327" spans="1:10" x14ac:dyDescent="0.2">
      <c r="A2327" s="3">
        <v>5033</v>
      </c>
      <c r="B2327" s="3" t="s">
        <v>2513</v>
      </c>
      <c r="C2327" s="3" t="s">
        <v>2514</v>
      </c>
      <c r="D2327" s="3" t="s">
        <v>2510</v>
      </c>
      <c r="I2327" s="19">
        <v>7157</v>
      </c>
      <c r="J2327" s="19" t="s">
        <v>4566</v>
      </c>
    </row>
    <row r="2328" spans="1:10" x14ac:dyDescent="0.2">
      <c r="A2328" s="3">
        <v>5025</v>
      </c>
      <c r="B2328" s="3" t="s">
        <v>2515</v>
      </c>
      <c r="C2328" s="3" t="s">
        <v>2516</v>
      </c>
      <c r="D2328" s="3" t="s">
        <v>2510</v>
      </c>
      <c r="I2328" s="19">
        <v>7158</v>
      </c>
      <c r="J2328" s="19" t="s">
        <v>4566</v>
      </c>
    </row>
    <row r="2329" spans="1:10" x14ac:dyDescent="0.2">
      <c r="A2329" s="3">
        <v>5026</v>
      </c>
      <c r="B2329" s="3" t="s">
        <v>2516</v>
      </c>
      <c r="C2329" s="3" t="s">
        <v>2516</v>
      </c>
      <c r="D2329" s="3" t="s">
        <v>2510</v>
      </c>
      <c r="I2329" s="19">
        <v>7159</v>
      </c>
      <c r="J2329" s="19" t="s">
        <v>4566</v>
      </c>
    </row>
    <row r="2330" spans="1:10" x14ac:dyDescent="0.2">
      <c r="A2330" s="3">
        <v>5017</v>
      </c>
      <c r="B2330" s="3" t="s">
        <v>2517</v>
      </c>
      <c r="C2330" s="3" t="s">
        <v>2518</v>
      </c>
      <c r="D2330" s="3" t="s">
        <v>2510</v>
      </c>
      <c r="I2330" s="19">
        <v>7162</v>
      </c>
      <c r="J2330" s="19" t="s">
        <v>4566</v>
      </c>
    </row>
    <row r="2331" spans="1:10" x14ac:dyDescent="0.2">
      <c r="A2331" s="3">
        <v>5018</v>
      </c>
      <c r="B2331" s="3" t="s">
        <v>2519</v>
      </c>
      <c r="C2331" s="3" t="s">
        <v>2518</v>
      </c>
      <c r="D2331" s="3" t="s">
        <v>2510</v>
      </c>
      <c r="I2331" s="19">
        <v>7163</v>
      </c>
      <c r="J2331" s="19" t="s">
        <v>4566</v>
      </c>
    </row>
    <row r="2332" spans="1:10" x14ac:dyDescent="0.2">
      <c r="A2332" s="3">
        <v>5722</v>
      </c>
      <c r="B2332" s="3" t="s">
        <v>2520</v>
      </c>
      <c r="C2332" s="3" t="s">
        <v>2520</v>
      </c>
      <c r="D2332" s="3" t="s">
        <v>2510</v>
      </c>
      <c r="I2332" s="19">
        <v>7164</v>
      </c>
      <c r="J2332" s="19" t="s">
        <v>4566</v>
      </c>
    </row>
    <row r="2333" spans="1:10" x14ac:dyDescent="0.2">
      <c r="A2333" s="3">
        <v>5042</v>
      </c>
      <c r="B2333" s="3" t="s">
        <v>2521</v>
      </c>
      <c r="C2333" s="3" t="s">
        <v>2521</v>
      </c>
      <c r="D2333" s="3" t="s">
        <v>2510</v>
      </c>
      <c r="I2333" s="19">
        <v>7165</v>
      </c>
      <c r="J2333" s="19" t="s">
        <v>4566</v>
      </c>
    </row>
    <row r="2334" spans="1:10" x14ac:dyDescent="0.2">
      <c r="A2334" s="3">
        <v>5022</v>
      </c>
      <c r="B2334" s="3" t="s">
        <v>2522</v>
      </c>
      <c r="C2334" s="3" t="s">
        <v>2523</v>
      </c>
      <c r="D2334" s="3" t="s">
        <v>2510</v>
      </c>
      <c r="I2334" s="19">
        <v>7166</v>
      </c>
      <c r="J2334" s="19" t="s">
        <v>4566</v>
      </c>
    </row>
    <row r="2335" spans="1:10" x14ac:dyDescent="0.2">
      <c r="A2335" s="3">
        <v>5024</v>
      </c>
      <c r="B2335" s="3" t="s">
        <v>2523</v>
      </c>
      <c r="C2335" s="3" t="s">
        <v>2523</v>
      </c>
      <c r="D2335" s="3" t="s">
        <v>2510</v>
      </c>
      <c r="I2335" s="19">
        <v>7167</v>
      </c>
      <c r="J2335" s="19" t="s">
        <v>4566</v>
      </c>
    </row>
    <row r="2336" spans="1:10" x14ac:dyDescent="0.2">
      <c r="A2336" s="3">
        <v>5037</v>
      </c>
      <c r="B2336" s="3" t="s">
        <v>2524</v>
      </c>
      <c r="C2336" s="3" t="s">
        <v>2524</v>
      </c>
      <c r="D2336" s="3" t="s">
        <v>2510</v>
      </c>
      <c r="I2336" s="19">
        <v>7168</v>
      </c>
      <c r="J2336" s="19" t="s">
        <v>4566</v>
      </c>
    </row>
    <row r="2337" spans="1:10" x14ac:dyDescent="0.2">
      <c r="A2337" s="3">
        <v>5036</v>
      </c>
      <c r="B2337" s="3" t="s">
        <v>2525</v>
      </c>
      <c r="C2337" s="3" t="s">
        <v>2525</v>
      </c>
      <c r="D2337" s="3" t="s">
        <v>2510</v>
      </c>
      <c r="I2337" s="19">
        <v>7172</v>
      </c>
      <c r="J2337" s="19" t="s">
        <v>4566</v>
      </c>
    </row>
    <row r="2338" spans="1:10" x14ac:dyDescent="0.2">
      <c r="A2338" s="3">
        <v>5034</v>
      </c>
      <c r="B2338" s="3" t="s">
        <v>2526</v>
      </c>
      <c r="C2338" s="3" t="s">
        <v>2526</v>
      </c>
      <c r="D2338" s="3" t="s">
        <v>2510</v>
      </c>
      <c r="I2338" s="19">
        <v>7173</v>
      </c>
      <c r="J2338" s="19" t="s">
        <v>4566</v>
      </c>
    </row>
    <row r="2339" spans="1:10" x14ac:dyDescent="0.2">
      <c r="A2339" s="3">
        <v>5035</v>
      </c>
      <c r="B2339" s="3" t="s">
        <v>2527</v>
      </c>
      <c r="C2339" s="3" t="s">
        <v>2527</v>
      </c>
      <c r="D2339" s="3" t="s">
        <v>2510</v>
      </c>
      <c r="I2339" s="19">
        <v>7174</v>
      </c>
      <c r="J2339" s="19" t="s">
        <v>4566</v>
      </c>
    </row>
    <row r="2340" spans="1:10" x14ac:dyDescent="0.2">
      <c r="A2340" s="3">
        <v>5400</v>
      </c>
      <c r="B2340" s="3" t="s">
        <v>2528</v>
      </c>
      <c r="C2340" s="3" t="s">
        <v>2528</v>
      </c>
      <c r="D2340" s="3" t="s">
        <v>2510</v>
      </c>
      <c r="I2340" s="19">
        <v>7175</v>
      </c>
      <c r="J2340" s="19" t="s">
        <v>4566</v>
      </c>
    </row>
    <row r="2341" spans="1:10" x14ac:dyDescent="0.2">
      <c r="A2341" s="3">
        <v>5404</v>
      </c>
      <c r="B2341" s="3" t="s">
        <v>2528</v>
      </c>
      <c r="C2341" s="3" t="s">
        <v>2528</v>
      </c>
      <c r="D2341" s="3" t="s">
        <v>2510</v>
      </c>
      <c r="I2341" s="19">
        <v>7176</v>
      </c>
      <c r="J2341" s="19" t="s">
        <v>4566</v>
      </c>
    </row>
    <row r="2342" spans="1:10" x14ac:dyDescent="0.2">
      <c r="A2342" s="3">
        <v>5405</v>
      </c>
      <c r="B2342" s="3" t="s">
        <v>2529</v>
      </c>
      <c r="C2342" s="3" t="s">
        <v>2528</v>
      </c>
      <c r="D2342" s="3" t="s">
        <v>2510</v>
      </c>
      <c r="I2342" s="19">
        <v>7180</v>
      </c>
      <c r="J2342" s="19" t="s">
        <v>4566</v>
      </c>
    </row>
    <row r="2343" spans="1:10" x14ac:dyDescent="0.2">
      <c r="A2343" s="3">
        <v>5406</v>
      </c>
      <c r="B2343" s="3" t="s">
        <v>2530</v>
      </c>
      <c r="C2343" s="3" t="s">
        <v>2528</v>
      </c>
      <c r="D2343" s="3" t="s">
        <v>2510</v>
      </c>
      <c r="I2343" s="19">
        <v>7182</v>
      </c>
      <c r="J2343" s="19" t="s">
        <v>4566</v>
      </c>
    </row>
    <row r="2344" spans="1:10" x14ac:dyDescent="0.2">
      <c r="A2344" s="3">
        <v>5454</v>
      </c>
      <c r="B2344" s="3" t="s">
        <v>2531</v>
      </c>
      <c r="C2344" s="3" t="s">
        <v>2531</v>
      </c>
      <c r="D2344" s="3" t="s">
        <v>2510</v>
      </c>
      <c r="I2344" s="19">
        <v>7183</v>
      </c>
      <c r="J2344" s="19" t="s">
        <v>4566</v>
      </c>
    </row>
    <row r="2345" spans="1:10" x14ac:dyDescent="0.2">
      <c r="A2345" s="3">
        <v>8962</v>
      </c>
      <c r="B2345" s="3" t="s">
        <v>2532</v>
      </c>
      <c r="C2345" s="3" t="s">
        <v>2532</v>
      </c>
      <c r="D2345" s="3" t="s">
        <v>2510</v>
      </c>
      <c r="I2345" s="19">
        <v>7184</v>
      </c>
      <c r="J2345" s="19" t="s">
        <v>4566</v>
      </c>
    </row>
    <row r="2346" spans="1:10" x14ac:dyDescent="0.2">
      <c r="A2346" s="3">
        <v>5413</v>
      </c>
      <c r="B2346" s="3" t="s">
        <v>2533</v>
      </c>
      <c r="C2346" s="3" t="s">
        <v>2534</v>
      </c>
      <c r="D2346" s="3" t="s">
        <v>2510</v>
      </c>
      <c r="I2346" s="19">
        <v>7185</v>
      </c>
      <c r="J2346" s="19" t="s">
        <v>4566</v>
      </c>
    </row>
    <row r="2347" spans="1:10" x14ac:dyDescent="0.2">
      <c r="A2347" s="3">
        <v>5408</v>
      </c>
      <c r="B2347" s="3" t="s">
        <v>2535</v>
      </c>
      <c r="C2347" s="3" t="s">
        <v>2535</v>
      </c>
      <c r="D2347" s="3" t="s">
        <v>2510</v>
      </c>
      <c r="I2347" s="19">
        <v>7186</v>
      </c>
      <c r="J2347" s="19" t="s">
        <v>4566</v>
      </c>
    </row>
    <row r="2348" spans="1:10" x14ac:dyDescent="0.2">
      <c r="A2348" s="3">
        <v>5442</v>
      </c>
      <c r="B2348" s="3" t="s">
        <v>2536</v>
      </c>
      <c r="C2348" s="3" t="s">
        <v>2536</v>
      </c>
      <c r="D2348" s="3" t="s">
        <v>2510</v>
      </c>
      <c r="I2348" s="19">
        <v>7187</v>
      </c>
      <c r="J2348" s="19" t="s">
        <v>4566</v>
      </c>
    </row>
    <row r="2349" spans="1:10" x14ac:dyDescent="0.2">
      <c r="A2349" s="3">
        <v>5423</v>
      </c>
      <c r="B2349" s="3" t="s">
        <v>2537</v>
      </c>
      <c r="C2349" s="3" t="s">
        <v>2537</v>
      </c>
      <c r="D2349" s="3" t="s">
        <v>2510</v>
      </c>
      <c r="I2349" s="19">
        <v>7188</v>
      </c>
      <c r="J2349" s="19" t="s">
        <v>4566</v>
      </c>
    </row>
    <row r="2350" spans="1:10" x14ac:dyDescent="0.2">
      <c r="A2350" s="3">
        <v>5412</v>
      </c>
      <c r="B2350" s="3" t="s">
        <v>2538</v>
      </c>
      <c r="C2350" s="3" t="s">
        <v>2538</v>
      </c>
      <c r="D2350" s="3" t="s">
        <v>2510</v>
      </c>
      <c r="I2350" s="19">
        <v>7189</v>
      </c>
      <c r="J2350" s="19" t="s">
        <v>4566</v>
      </c>
    </row>
    <row r="2351" spans="1:10" x14ac:dyDescent="0.2">
      <c r="A2351" s="3">
        <v>5412</v>
      </c>
      <c r="B2351" s="3" t="s">
        <v>2539</v>
      </c>
      <c r="C2351" s="3" t="s">
        <v>2538</v>
      </c>
      <c r="D2351" s="3" t="s">
        <v>2510</v>
      </c>
      <c r="I2351" s="19">
        <v>7202</v>
      </c>
      <c r="J2351" s="19" t="s">
        <v>4568</v>
      </c>
    </row>
    <row r="2352" spans="1:10" x14ac:dyDescent="0.2">
      <c r="A2352" s="3">
        <v>8956</v>
      </c>
      <c r="B2352" s="3" t="s">
        <v>2540</v>
      </c>
      <c r="C2352" s="3" t="s">
        <v>2540</v>
      </c>
      <c r="D2352" s="3" t="s">
        <v>2510</v>
      </c>
      <c r="I2352" s="19">
        <v>7203</v>
      </c>
      <c r="J2352" s="19" t="s">
        <v>4568</v>
      </c>
    </row>
    <row r="2353" spans="1:10" x14ac:dyDescent="0.2">
      <c r="A2353" s="3">
        <v>5444</v>
      </c>
      <c r="B2353" s="3" t="s">
        <v>2541</v>
      </c>
      <c r="C2353" s="3" t="s">
        <v>2541</v>
      </c>
      <c r="D2353" s="3" t="s">
        <v>2510</v>
      </c>
      <c r="I2353" s="19">
        <v>7204</v>
      </c>
      <c r="J2353" s="19" t="s">
        <v>4568</v>
      </c>
    </row>
    <row r="2354" spans="1:10" x14ac:dyDescent="0.2">
      <c r="A2354" s="3">
        <v>5506</v>
      </c>
      <c r="B2354" s="3" t="s">
        <v>2542</v>
      </c>
      <c r="C2354" s="3" t="s">
        <v>2542</v>
      </c>
      <c r="D2354" s="3" t="s">
        <v>2510</v>
      </c>
      <c r="I2354" s="19">
        <v>7205</v>
      </c>
      <c r="J2354" s="19" t="s">
        <v>4568</v>
      </c>
    </row>
    <row r="2355" spans="1:10" x14ac:dyDescent="0.2">
      <c r="A2355" s="3">
        <v>5507</v>
      </c>
      <c r="B2355" s="3" t="s">
        <v>2543</v>
      </c>
      <c r="C2355" s="3" t="s">
        <v>2543</v>
      </c>
      <c r="D2355" s="3" t="s">
        <v>2510</v>
      </c>
      <c r="I2355" s="19">
        <v>7206</v>
      </c>
      <c r="J2355" s="19" t="s">
        <v>4568</v>
      </c>
    </row>
    <row r="2356" spans="1:10" x14ac:dyDescent="0.2">
      <c r="A2356" s="3">
        <v>5432</v>
      </c>
      <c r="B2356" s="3" t="s">
        <v>2544</v>
      </c>
      <c r="C2356" s="3" t="s">
        <v>2544</v>
      </c>
      <c r="D2356" s="3" t="s">
        <v>2510</v>
      </c>
      <c r="I2356" s="19">
        <v>7208</v>
      </c>
      <c r="J2356" s="19" t="s">
        <v>4568</v>
      </c>
    </row>
    <row r="2357" spans="1:10" x14ac:dyDescent="0.2">
      <c r="A2357" s="3">
        <v>5443</v>
      </c>
      <c r="B2357" s="3" t="s">
        <v>2545</v>
      </c>
      <c r="C2357" s="3" t="s">
        <v>2545</v>
      </c>
      <c r="D2357" s="3" t="s">
        <v>2510</v>
      </c>
      <c r="I2357" s="19">
        <v>7212</v>
      </c>
      <c r="J2357" s="19" t="s">
        <v>4568</v>
      </c>
    </row>
    <row r="2358" spans="1:10" x14ac:dyDescent="0.2">
      <c r="A2358" s="3">
        <v>5452</v>
      </c>
      <c r="B2358" s="3" t="s">
        <v>2546</v>
      </c>
      <c r="C2358" s="3" t="s">
        <v>2546</v>
      </c>
      <c r="D2358" s="3" t="s">
        <v>2510</v>
      </c>
      <c r="I2358" s="19">
        <v>7213</v>
      </c>
      <c r="J2358" s="19" t="s">
        <v>4568</v>
      </c>
    </row>
    <row r="2359" spans="1:10" x14ac:dyDescent="0.2">
      <c r="A2359" s="3">
        <v>5415</v>
      </c>
      <c r="B2359" s="3" t="s">
        <v>2547</v>
      </c>
      <c r="C2359" s="3" t="s">
        <v>2548</v>
      </c>
      <c r="D2359" s="3" t="s">
        <v>2510</v>
      </c>
      <c r="I2359" s="19">
        <v>7214</v>
      </c>
      <c r="J2359" s="19" t="s">
        <v>4568</v>
      </c>
    </row>
    <row r="2360" spans="1:10" x14ac:dyDescent="0.2">
      <c r="A2360" s="3">
        <v>5415</v>
      </c>
      <c r="B2360" s="3" t="s">
        <v>2549</v>
      </c>
      <c r="C2360" s="3" t="s">
        <v>2548</v>
      </c>
      <c r="D2360" s="3" t="s">
        <v>2510</v>
      </c>
      <c r="I2360" s="19">
        <v>7215</v>
      </c>
      <c r="J2360" s="19" t="s">
        <v>4568</v>
      </c>
    </row>
    <row r="2361" spans="1:10" x14ac:dyDescent="0.2">
      <c r="A2361" s="3">
        <v>5415</v>
      </c>
      <c r="B2361" s="3" t="s">
        <v>2550</v>
      </c>
      <c r="C2361" s="3" t="s">
        <v>2548</v>
      </c>
      <c r="D2361" s="3" t="s">
        <v>2510</v>
      </c>
      <c r="I2361" s="19">
        <v>7220</v>
      </c>
      <c r="J2361" s="19" t="s">
        <v>4568</v>
      </c>
    </row>
    <row r="2362" spans="1:10" x14ac:dyDescent="0.2">
      <c r="A2362" s="3">
        <v>5416</v>
      </c>
      <c r="B2362" s="3" t="s">
        <v>2551</v>
      </c>
      <c r="C2362" s="3" t="s">
        <v>2548</v>
      </c>
      <c r="D2362" s="3" t="s">
        <v>2510</v>
      </c>
      <c r="I2362" s="19">
        <v>7222</v>
      </c>
      <c r="J2362" s="19" t="s">
        <v>4568</v>
      </c>
    </row>
    <row r="2363" spans="1:10" x14ac:dyDescent="0.2">
      <c r="A2363" s="3">
        <v>5453</v>
      </c>
      <c r="B2363" s="3" t="s">
        <v>2552</v>
      </c>
      <c r="C2363" s="3" t="s">
        <v>2552</v>
      </c>
      <c r="D2363" s="3" t="s">
        <v>2510</v>
      </c>
      <c r="I2363" s="19">
        <v>7223</v>
      </c>
      <c r="J2363" s="19" t="s">
        <v>4568</v>
      </c>
    </row>
    <row r="2364" spans="1:10" x14ac:dyDescent="0.2">
      <c r="A2364" s="3">
        <v>8957</v>
      </c>
      <c r="B2364" s="3" t="s">
        <v>2553</v>
      </c>
      <c r="C2364" s="3" t="s">
        <v>2553</v>
      </c>
      <c r="D2364" s="3" t="s">
        <v>2510</v>
      </c>
      <c r="I2364" s="19">
        <v>7224</v>
      </c>
      <c r="J2364" s="19" t="s">
        <v>4568</v>
      </c>
    </row>
    <row r="2365" spans="1:10" x14ac:dyDescent="0.2">
      <c r="A2365" s="3">
        <v>5608</v>
      </c>
      <c r="B2365" s="3" t="s">
        <v>2554</v>
      </c>
      <c r="C2365" s="3" t="s">
        <v>2555</v>
      </c>
      <c r="D2365" s="3" t="s">
        <v>2510</v>
      </c>
      <c r="I2365" s="19">
        <v>7226</v>
      </c>
      <c r="J2365" s="19" t="s">
        <v>4569</v>
      </c>
    </row>
    <row r="2366" spans="1:10" x14ac:dyDescent="0.2">
      <c r="A2366" s="3">
        <v>5300</v>
      </c>
      <c r="B2366" s="3" t="s">
        <v>2556</v>
      </c>
      <c r="C2366" s="3" t="s">
        <v>2556</v>
      </c>
      <c r="D2366" s="3" t="s">
        <v>2510</v>
      </c>
      <c r="I2366" s="19">
        <v>7228</v>
      </c>
      <c r="J2366" s="19" t="s">
        <v>4568</v>
      </c>
    </row>
    <row r="2367" spans="1:10" x14ac:dyDescent="0.2">
      <c r="A2367" s="3">
        <v>5301</v>
      </c>
      <c r="B2367" s="3" t="s">
        <v>2557</v>
      </c>
      <c r="C2367" s="3" t="s">
        <v>2558</v>
      </c>
      <c r="D2367" s="3" t="s">
        <v>2510</v>
      </c>
      <c r="I2367" s="19">
        <v>7231</v>
      </c>
      <c r="J2367" s="19" t="s">
        <v>4568</v>
      </c>
    </row>
    <row r="2368" spans="1:10" x14ac:dyDescent="0.2">
      <c r="A2368" s="3">
        <v>5417</v>
      </c>
      <c r="B2368" s="3" t="s">
        <v>2558</v>
      </c>
      <c r="C2368" s="3" t="s">
        <v>2558</v>
      </c>
      <c r="D2368" s="3" t="s">
        <v>2510</v>
      </c>
      <c r="I2368" s="19">
        <v>7232</v>
      </c>
      <c r="J2368" s="19" t="s">
        <v>4568</v>
      </c>
    </row>
    <row r="2369" spans="1:10" x14ac:dyDescent="0.2">
      <c r="A2369" s="3">
        <v>5430</v>
      </c>
      <c r="B2369" s="3" t="s">
        <v>2559</v>
      </c>
      <c r="C2369" s="3" t="s">
        <v>2559</v>
      </c>
      <c r="D2369" s="3" t="s">
        <v>2510</v>
      </c>
      <c r="I2369" s="19">
        <v>7233</v>
      </c>
      <c r="J2369" s="19" t="s">
        <v>4568</v>
      </c>
    </row>
    <row r="2370" spans="1:10" x14ac:dyDescent="0.2">
      <c r="A2370" s="3">
        <v>5512</v>
      </c>
      <c r="B2370" s="3" t="s">
        <v>2560</v>
      </c>
      <c r="C2370" s="3" t="s">
        <v>2560</v>
      </c>
      <c r="D2370" s="3" t="s">
        <v>2510</v>
      </c>
      <c r="I2370" s="19">
        <v>7235</v>
      </c>
      <c r="J2370" s="19" t="s">
        <v>4568</v>
      </c>
    </row>
    <row r="2371" spans="1:10" x14ac:dyDescent="0.2">
      <c r="A2371" s="3">
        <v>5303</v>
      </c>
      <c r="B2371" s="3" t="s">
        <v>2561</v>
      </c>
      <c r="C2371" s="3" t="s">
        <v>2561</v>
      </c>
      <c r="D2371" s="3" t="s">
        <v>2510</v>
      </c>
      <c r="I2371" s="19">
        <v>7240</v>
      </c>
      <c r="J2371" s="19" t="s">
        <v>4568</v>
      </c>
    </row>
    <row r="2372" spans="1:10" x14ac:dyDescent="0.2">
      <c r="A2372" s="3">
        <v>5436</v>
      </c>
      <c r="B2372" s="3" t="s">
        <v>2562</v>
      </c>
      <c r="C2372" s="3" t="s">
        <v>2562</v>
      </c>
      <c r="D2372" s="3" t="s">
        <v>2510</v>
      </c>
      <c r="I2372" s="19">
        <v>7241</v>
      </c>
      <c r="J2372" s="19" t="s">
        <v>4568</v>
      </c>
    </row>
    <row r="2373" spans="1:10" x14ac:dyDescent="0.2">
      <c r="A2373" s="3">
        <v>8109</v>
      </c>
      <c r="B2373" s="3" t="s">
        <v>2563</v>
      </c>
      <c r="C2373" s="3" t="s">
        <v>2562</v>
      </c>
      <c r="D2373" s="3" t="s">
        <v>2510</v>
      </c>
      <c r="I2373" s="19">
        <v>7242</v>
      </c>
      <c r="J2373" s="19" t="s">
        <v>4568</v>
      </c>
    </row>
    <row r="2374" spans="1:10" x14ac:dyDescent="0.2">
      <c r="A2374" s="3">
        <v>5420</v>
      </c>
      <c r="B2374" s="3" t="s">
        <v>2564</v>
      </c>
      <c r="C2374" s="3" t="s">
        <v>2564</v>
      </c>
      <c r="D2374" s="3" t="s">
        <v>2510</v>
      </c>
      <c r="I2374" s="19">
        <v>7243</v>
      </c>
      <c r="J2374" s="19" t="s">
        <v>4569</v>
      </c>
    </row>
    <row r="2375" spans="1:10" x14ac:dyDescent="0.2">
      <c r="A2375" s="3">
        <v>8905</v>
      </c>
      <c r="B2375" s="3" t="s">
        <v>2565</v>
      </c>
      <c r="C2375" s="3" t="s">
        <v>2566</v>
      </c>
      <c r="D2375" s="3" t="s">
        <v>2510</v>
      </c>
      <c r="I2375" s="19">
        <v>7244</v>
      </c>
      <c r="J2375" s="19" t="s">
        <v>4569</v>
      </c>
    </row>
    <row r="2376" spans="1:10" x14ac:dyDescent="0.2">
      <c r="A2376" s="3">
        <v>8965</v>
      </c>
      <c r="B2376" s="3" t="s">
        <v>2567</v>
      </c>
      <c r="C2376" s="3" t="s">
        <v>2567</v>
      </c>
      <c r="D2376" s="3" t="s">
        <v>2510</v>
      </c>
      <c r="I2376" s="19">
        <v>7245</v>
      </c>
      <c r="J2376" s="19" t="s">
        <v>4569</v>
      </c>
    </row>
    <row r="2377" spans="1:10" x14ac:dyDescent="0.2">
      <c r="A2377" s="3">
        <v>5620</v>
      </c>
      <c r="B2377" s="3" t="s">
        <v>2568</v>
      </c>
      <c r="C2377" s="3" t="s">
        <v>2569</v>
      </c>
      <c r="D2377" s="3" t="s">
        <v>2510</v>
      </c>
      <c r="I2377" s="19">
        <v>7246</v>
      </c>
      <c r="J2377" s="19" t="s">
        <v>4569</v>
      </c>
    </row>
    <row r="2378" spans="1:10" x14ac:dyDescent="0.2">
      <c r="A2378" s="3">
        <v>5626</v>
      </c>
      <c r="B2378" s="3" t="s">
        <v>2570</v>
      </c>
      <c r="C2378" s="3" t="s">
        <v>2569</v>
      </c>
      <c r="D2378" s="3" t="s">
        <v>2510</v>
      </c>
      <c r="I2378" s="19">
        <v>7247</v>
      </c>
      <c r="J2378" s="19" t="s">
        <v>4568</v>
      </c>
    </row>
    <row r="2379" spans="1:10" x14ac:dyDescent="0.2">
      <c r="A2379" s="3">
        <v>5619</v>
      </c>
      <c r="B2379" s="3" t="s">
        <v>2571</v>
      </c>
      <c r="C2379" s="3" t="s">
        <v>2572</v>
      </c>
      <c r="D2379" s="3" t="s">
        <v>2510</v>
      </c>
      <c r="I2379" s="19">
        <v>7249</v>
      </c>
      <c r="J2379" s="19" t="s">
        <v>4568</v>
      </c>
    </row>
    <row r="2380" spans="1:10" x14ac:dyDescent="0.2">
      <c r="A2380" s="3">
        <v>5605</v>
      </c>
      <c r="B2380" s="3" t="s">
        <v>2573</v>
      </c>
      <c r="C2380" s="3" t="s">
        <v>2573</v>
      </c>
      <c r="D2380" s="3" t="s">
        <v>2510</v>
      </c>
      <c r="I2380" s="19">
        <v>7250</v>
      </c>
      <c r="J2380" s="19" t="s">
        <v>4569</v>
      </c>
    </row>
    <row r="2381" spans="1:10" x14ac:dyDescent="0.2">
      <c r="A2381" s="3">
        <v>5445</v>
      </c>
      <c r="B2381" s="3" t="s">
        <v>2574</v>
      </c>
      <c r="C2381" s="3" t="s">
        <v>2574</v>
      </c>
      <c r="D2381" s="3" t="s">
        <v>2510</v>
      </c>
      <c r="I2381" s="19">
        <v>7252</v>
      </c>
      <c r="J2381" s="19" t="s">
        <v>4569</v>
      </c>
    </row>
    <row r="2382" spans="1:10" x14ac:dyDescent="0.2">
      <c r="A2382" s="3">
        <v>5525</v>
      </c>
      <c r="B2382" s="3" t="s">
        <v>2575</v>
      </c>
      <c r="C2382" s="3" t="s">
        <v>2575</v>
      </c>
      <c r="D2382" s="3" t="s">
        <v>2510</v>
      </c>
      <c r="I2382" s="19">
        <v>7260</v>
      </c>
      <c r="J2382" s="19" t="s">
        <v>4569</v>
      </c>
    </row>
    <row r="2383" spans="1:10" x14ac:dyDescent="0.2">
      <c r="A2383" s="3">
        <v>5607</v>
      </c>
      <c r="B2383" s="3" t="s">
        <v>2576</v>
      </c>
      <c r="C2383" s="3" t="s">
        <v>2576</v>
      </c>
      <c r="D2383" s="3" t="s">
        <v>2510</v>
      </c>
      <c r="I2383" s="19">
        <v>7265</v>
      </c>
      <c r="J2383" s="19" t="s">
        <v>4569</v>
      </c>
    </row>
    <row r="2384" spans="1:10" x14ac:dyDescent="0.2">
      <c r="A2384" s="3">
        <v>8916</v>
      </c>
      <c r="B2384" s="3" t="s">
        <v>2577</v>
      </c>
      <c r="C2384" s="3" t="s">
        <v>2577</v>
      </c>
      <c r="D2384" s="3" t="s">
        <v>2510</v>
      </c>
      <c r="I2384" s="19">
        <v>7270</v>
      </c>
      <c r="J2384" s="19" t="s">
        <v>4569</v>
      </c>
    </row>
    <row r="2385" spans="1:10" x14ac:dyDescent="0.2">
      <c r="A2385" s="3">
        <v>5524</v>
      </c>
      <c r="B2385" s="3" t="s">
        <v>2578</v>
      </c>
      <c r="C2385" s="3" t="s">
        <v>2579</v>
      </c>
      <c r="D2385" s="3" t="s">
        <v>2510</v>
      </c>
      <c r="I2385" s="19">
        <v>7272</v>
      </c>
      <c r="J2385" s="19" t="s">
        <v>4569</v>
      </c>
    </row>
    <row r="2386" spans="1:10" x14ac:dyDescent="0.2">
      <c r="A2386" s="3">
        <v>5524</v>
      </c>
      <c r="B2386" s="3" t="s">
        <v>2580</v>
      </c>
      <c r="C2386" s="3" t="s">
        <v>2579</v>
      </c>
      <c r="D2386" s="3" t="s">
        <v>2510</v>
      </c>
      <c r="I2386" s="19">
        <v>7276</v>
      </c>
      <c r="J2386" s="19" t="s">
        <v>4569</v>
      </c>
    </row>
    <row r="2387" spans="1:10" x14ac:dyDescent="0.2">
      <c r="A2387" s="3">
        <v>8917</v>
      </c>
      <c r="B2387" s="3" t="s">
        <v>2581</v>
      </c>
      <c r="C2387" s="3" t="s">
        <v>2581</v>
      </c>
      <c r="D2387" s="3" t="s">
        <v>2510</v>
      </c>
      <c r="I2387" s="19">
        <v>7277</v>
      </c>
      <c r="J2387" s="19" t="s">
        <v>4569</v>
      </c>
    </row>
    <row r="2388" spans="1:10" x14ac:dyDescent="0.2">
      <c r="A2388" s="3">
        <v>8966</v>
      </c>
      <c r="B2388" s="3" t="s">
        <v>2582</v>
      </c>
      <c r="C2388" s="3" t="s">
        <v>2582</v>
      </c>
      <c r="D2388" s="3" t="s">
        <v>2510</v>
      </c>
      <c r="I2388" s="19">
        <v>7278</v>
      </c>
      <c r="J2388" s="19" t="s">
        <v>4569</v>
      </c>
    </row>
    <row r="2389" spans="1:10" x14ac:dyDescent="0.2">
      <c r="A2389" s="3">
        <v>8964</v>
      </c>
      <c r="B2389" s="3" t="s">
        <v>2583</v>
      </c>
      <c r="C2389" s="3" t="s">
        <v>2584</v>
      </c>
      <c r="D2389" s="3" t="s">
        <v>2510</v>
      </c>
      <c r="I2389" s="19">
        <v>7302</v>
      </c>
      <c r="J2389" s="19" t="s">
        <v>4568</v>
      </c>
    </row>
    <row r="2390" spans="1:10" x14ac:dyDescent="0.2">
      <c r="A2390" s="3">
        <v>5614</v>
      </c>
      <c r="B2390" s="3" t="s">
        <v>2585</v>
      </c>
      <c r="C2390" s="3" t="s">
        <v>2585</v>
      </c>
      <c r="D2390" s="3" t="s">
        <v>2510</v>
      </c>
      <c r="I2390" s="19">
        <v>7303</v>
      </c>
      <c r="J2390" s="19" t="s">
        <v>4568</v>
      </c>
    </row>
    <row r="2391" spans="1:10" x14ac:dyDescent="0.2">
      <c r="A2391" s="3">
        <v>5522</v>
      </c>
      <c r="B2391" s="3" t="s">
        <v>2586</v>
      </c>
      <c r="C2391" s="3" t="s">
        <v>2586</v>
      </c>
      <c r="D2391" s="3" t="s">
        <v>2510</v>
      </c>
      <c r="I2391" s="19">
        <v>7304</v>
      </c>
      <c r="J2391" s="19" t="s">
        <v>4568</v>
      </c>
    </row>
    <row r="2392" spans="1:10" x14ac:dyDescent="0.2">
      <c r="A2392" s="3">
        <v>5619</v>
      </c>
      <c r="B2392" s="3" t="s">
        <v>2587</v>
      </c>
      <c r="C2392" s="3" t="s">
        <v>2587</v>
      </c>
      <c r="D2392" s="3" t="s">
        <v>2510</v>
      </c>
      <c r="I2392" s="19">
        <v>7306</v>
      </c>
      <c r="J2392" s="19" t="s">
        <v>4568</v>
      </c>
    </row>
    <row r="2393" spans="1:10" x14ac:dyDescent="0.2">
      <c r="A2393" s="3">
        <v>8918</v>
      </c>
      <c r="B2393" s="3" t="s">
        <v>2588</v>
      </c>
      <c r="C2393" s="3" t="s">
        <v>2588</v>
      </c>
      <c r="D2393" s="3" t="s">
        <v>2510</v>
      </c>
      <c r="I2393" s="19">
        <v>7307</v>
      </c>
      <c r="J2393" s="19" t="s">
        <v>4568</v>
      </c>
    </row>
    <row r="2394" spans="1:10" x14ac:dyDescent="0.2">
      <c r="A2394" s="3">
        <v>5612</v>
      </c>
      <c r="B2394" s="3" t="s">
        <v>2589</v>
      </c>
      <c r="C2394" s="3" t="s">
        <v>2589</v>
      </c>
      <c r="D2394" s="3" t="s">
        <v>2510</v>
      </c>
      <c r="I2394" s="19">
        <v>7310</v>
      </c>
      <c r="J2394" s="19" t="s">
        <v>4568</v>
      </c>
    </row>
    <row r="2395" spans="1:10" x14ac:dyDescent="0.2">
      <c r="A2395" s="3">
        <v>5613</v>
      </c>
      <c r="B2395" s="3" t="s">
        <v>2590</v>
      </c>
      <c r="C2395" s="3" t="s">
        <v>2589</v>
      </c>
      <c r="D2395" s="3" t="s">
        <v>2510</v>
      </c>
      <c r="I2395" s="19">
        <v>7312</v>
      </c>
      <c r="J2395" s="19" t="s">
        <v>4568</v>
      </c>
    </row>
    <row r="2396" spans="1:10" x14ac:dyDescent="0.2">
      <c r="A2396" s="3">
        <v>8967</v>
      </c>
      <c r="B2396" s="3" t="s">
        <v>2591</v>
      </c>
      <c r="C2396" s="3" t="s">
        <v>2591</v>
      </c>
      <c r="D2396" s="3" t="s">
        <v>2510</v>
      </c>
      <c r="I2396" s="19">
        <v>7313</v>
      </c>
      <c r="J2396" s="19" t="s">
        <v>4568</v>
      </c>
    </row>
    <row r="2397" spans="1:10" x14ac:dyDescent="0.2">
      <c r="A2397" s="3">
        <v>5610</v>
      </c>
      <c r="B2397" s="3" t="s">
        <v>2592</v>
      </c>
      <c r="C2397" s="3" t="s">
        <v>2593</v>
      </c>
      <c r="D2397" s="3" t="s">
        <v>2510</v>
      </c>
      <c r="I2397" s="19">
        <v>7314</v>
      </c>
      <c r="J2397" s="19" t="s">
        <v>4568</v>
      </c>
    </row>
    <row r="2398" spans="1:10" x14ac:dyDescent="0.2">
      <c r="A2398" s="3">
        <v>5611</v>
      </c>
      <c r="B2398" s="3" t="s">
        <v>2594</v>
      </c>
      <c r="C2398" s="3" t="s">
        <v>2593</v>
      </c>
      <c r="D2398" s="3" t="s">
        <v>2510</v>
      </c>
      <c r="I2398" s="19">
        <v>7315</v>
      </c>
      <c r="J2398" s="19" t="s">
        <v>4568</v>
      </c>
    </row>
    <row r="2399" spans="1:10" x14ac:dyDescent="0.2">
      <c r="A2399" s="3">
        <v>5621</v>
      </c>
      <c r="B2399" s="3" t="s">
        <v>2595</v>
      </c>
      <c r="C2399" s="3" t="s">
        <v>2595</v>
      </c>
      <c r="D2399" s="3" t="s">
        <v>2510</v>
      </c>
      <c r="I2399" s="19">
        <v>7317</v>
      </c>
      <c r="J2399" s="19" t="s">
        <v>4568</v>
      </c>
    </row>
    <row r="2400" spans="1:10" x14ac:dyDescent="0.2">
      <c r="A2400" s="3">
        <v>8905</v>
      </c>
      <c r="B2400" s="3" t="s">
        <v>2596</v>
      </c>
      <c r="C2400" s="3" t="s">
        <v>2596</v>
      </c>
      <c r="D2400" s="3" t="s">
        <v>2510</v>
      </c>
      <c r="I2400" s="19">
        <v>7320</v>
      </c>
      <c r="J2400" s="19" t="s">
        <v>4568</v>
      </c>
    </row>
    <row r="2401" spans="1:10" x14ac:dyDescent="0.2">
      <c r="A2401" s="3">
        <v>5105</v>
      </c>
      <c r="B2401" s="3" t="s">
        <v>2597</v>
      </c>
      <c r="C2401" s="3" t="s">
        <v>2597</v>
      </c>
      <c r="D2401" s="3" t="s">
        <v>2510</v>
      </c>
      <c r="I2401" s="19">
        <v>7323</v>
      </c>
      <c r="J2401" s="19" t="s">
        <v>4568</v>
      </c>
    </row>
    <row r="2402" spans="1:10" x14ac:dyDescent="0.2">
      <c r="A2402" s="3">
        <v>5242</v>
      </c>
      <c r="B2402" s="3" t="s">
        <v>2598</v>
      </c>
      <c r="C2402" s="3" t="s">
        <v>2598</v>
      </c>
      <c r="D2402" s="3" t="s">
        <v>2510</v>
      </c>
      <c r="I2402" s="19">
        <v>7324</v>
      </c>
      <c r="J2402" s="19" t="s">
        <v>4568</v>
      </c>
    </row>
    <row r="2403" spans="1:10" x14ac:dyDescent="0.2">
      <c r="A2403" s="3">
        <v>5244</v>
      </c>
      <c r="B2403" s="3" t="s">
        <v>2599</v>
      </c>
      <c r="C2403" s="3" t="s">
        <v>2599</v>
      </c>
      <c r="D2403" s="3" t="s">
        <v>2510</v>
      </c>
      <c r="I2403" s="19">
        <v>7325</v>
      </c>
      <c r="J2403" s="19" t="s">
        <v>4570</v>
      </c>
    </row>
    <row r="2404" spans="1:10" x14ac:dyDescent="0.2">
      <c r="A2404" s="3">
        <v>5116</v>
      </c>
      <c r="B2404" s="3" t="s">
        <v>2600</v>
      </c>
      <c r="C2404" s="3" t="s">
        <v>2601</v>
      </c>
      <c r="D2404" s="3" t="s">
        <v>2510</v>
      </c>
      <c r="I2404" s="19">
        <v>7326</v>
      </c>
      <c r="J2404" s="19" t="s">
        <v>4571</v>
      </c>
    </row>
    <row r="2405" spans="1:10" x14ac:dyDescent="0.2">
      <c r="A2405" s="3">
        <v>5200</v>
      </c>
      <c r="B2405" s="3" t="s">
        <v>2602</v>
      </c>
      <c r="C2405" s="3" t="s">
        <v>2601</v>
      </c>
      <c r="D2405" s="3" t="s">
        <v>2510</v>
      </c>
      <c r="I2405" s="19">
        <v>7402</v>
      </c>
      <c r="J2405" s="19" t="s">
        <v>4568</v>
      </c>
    </row>
    <row r="2406" spans="1:10" x14ac:dyDescent="0.2">
      <c r="A2406" s="3">
        <v>5222</v>
      </c>
      <c r="B2406" s="3" t="s">
        <v>2603</v>
      </c>
      <c r="C2406" s="3" t="s">
        <v>2601</v>
      </c>
      <c r="D2406" s="3" t="s">
        <v>2510</v>
      </c>
      <c r="I2406" s="19">
        <v>7403</v>
      </c>
      <c r="J2406" s="19" t="s">
        <v>4568</v>
      </c>
    </row>
    <row r="2407" spans="1:10" x14ac:dyDescent="0.2">
      <c r="A2407" s="3">
        <v>5245</v>
      </c>
      <c r="B2407" s="3" t="s">
        <v>2604</v>
      </c>
      <c r="C2407" s="3" t="s">
        <v>2604</v>
      </c>
      <c r="D2407" s="3" t="s">
        <v>2510</v>
      </c>
      <c r="I2407" s="19">
        <v>7404</v>
      </c>
      <c r="J2407" s="19" t="s">
        <v>4568</v>
      </c>
    </row>
    <row r="2408" spans="1:10" x14ac:dyDescent="0.2">
      <c r="A2408" s="3">
        <v>5212</v>
      </c>
      <c r="B2408" s="3" t="s">
        <v>2605</v>
      </c>
      <c r="C2408" s="3" t="s">
        <v>2606</v>
      </c>
      <c r="D2408" s="3" t="s">
        <v>2510</v>
      </c>
      <c r="I2408" s="19">
        <v>7405</v>
      </c>
      <c r="J2408" s="19" t="s">
        <v>4568</v>
      </c>
    </row>
    <row r="2409" spans="1:10" x14ac:dyDescent="0.2">
      <c r="A2409" s="3">
        <v>5242</v>
      </c>
      <c r="B2409" s="3" t="s">
        <v>2607</v>
      </c>
      <c r="C2409" s="3" t="s">
        <v>2607</v>
      </c>
      <c r="D2409" s="3" t="s">
        <v>2510</v>
      </c>
      <c r="I2409" s="19">
        <v>7407</v>
      </c>
      <c r="J2409" s="19" t="s">
        <v>4568</v>
      </c>
    </row>
    <row r="2410" spans="1:10" x14ac:dyDescent="0.2">
      <c r="A2410" s="3">
        <v>5246</v>
      </c>
      <c r="B2410" s="3" t="s">
        <v>2608</v>
      </c>
      <c r="C2410" s="3" t="s">
        <v>2607</v>
      </c>
      <c r="D2410" s="3" t="s">
        <v>2510</v>
      </c>
      <c r="I2410" s="19">
        <v>7408</v>
      </c>
      <c r="J2410" s="19" t="s">
        <v>4568</v>
      </c>
    </row>
    <row r="2411" spans="1:10" x14ac:dyDescent="0.2">
      <c r="A2411" s="3">
        <v>5318</v>
      </c>
      <c r="B2411" s="3" t="s">
        <v>2609</v>
      </c>
      <c r="C2411" s="3" t="s">
        <v>2609</v>
      </c>
      <c r="D2411" s="3" t="s">
        <v>2510</v>
      </c>
      <c r="I2411" s="19">
        <v>7411</v>
      </c>
      <c r="J2411" s="19" t="s">
        <v>4568</v>
      </c>
    </row>
    <row r="2412" spans="1:10" x14ac:dyDescent="0.2">
      <c r="A2412" s="3">
        <v>5237</v>
      </c>
      <c r="B2412" s="3" t="s">
        <v>2610</v>
      </c>
      <c r="C2412" s="3" t="s">
        <v>2610</v>
      </c>
      <c r="D2412" s="3" t="s">
        <v>2510</v>
      </c>
      <c r="I2412" s="19">
        <v>7412</v>
      </c>
      <c r="J2412" s="19" t="s">
        <v>4568</v>
      </c>
    </row>
    <row r="2413" spans="1:10" x14ac:dyDescent="0.2">
      <c r="A2413" s="3">
        <v>5243</v>
      </c>
      <c r="B2413" s="3" t="s">
        <v>2611</v>
      </c>
      <c r="C2413" s="3" t="s">
        <v>2611</v>
      </c>
      <c r="D2413" s="3" t="s">
        <v>2510</v>
      </c>
      <c r="I2413" s="19">
        <v>7413</v>
      </c>
      <c r="J2413" s="19" t="s">
        <v>4568</v>
      </c>
    </row>
    <row r="2414" spans="1:10" x14ac:dyDescent="0.2">
      <c r="A2414" s="3">
        <v>5236</v>
      </c>
      <c r="B2414" s="3" t="s">
        <v>2612</v>
      </c>
      <c r="C2414" s="3" t="s">
        <v>2612</v>
      </c>
      <c r="D2414" s="3" t="s">
        <v>2510</v>
      </c>
      <c r="I2414" s="19">
        <v>7414</v>
      </c>
      <c r="J2414" s="19" t="s">
        <v>4568</v>
      </c>
    </row>
    <row r="2415" spans="1:10" x14ac:dyDescent="0.2">
      <c r="A2415" s="3">
        <v>5223</v>
      </c>
      <c r="B2415" s="3" t="s">
        <v>2613</v>
      </c>
      <c r="C2415" s="3" t="s">
        <v>2613</v>
      </c>
      <c r="D2415" s="3" t="s">
        <v>2510</v>
      </c>
      <c r="I2415" s="19">
        <v>7415</v>
      </c>
      <c r="J2415" s="19" t="s">
        <v>4568</v>
      </c>
    </row>
    <row r="2416" spans="1:10" x14ac:dyDescent="0.2">
      <c r="A2416" s="3">
        <v>5235</v>
      </c>
      <c r="B2416" s="3" t="s">
        <v>2614</v>
      </c>
      <c r="C2416" s="3" t="s">
        <v>2615</v>
      </c>
      <c r="D2416" s="3" t="s">
        <v>2510</v>
      </c>
      <c r="I2416" s="19">
        <v>7416</v>
      </c>
      <c r="J2416" s="19" t="s">
        <v>4568</v>
      </c>
    </row>
    <row r="2417" spans="1:10" x14ac:dyDescent="0.2">
      <c r="A2417" s="3">
        <v>5112</v>
      </c>
      <c r="B2417" s="3" t="s">
        <v>2616</v>
      </c>
      <c r="C2417" s="3" t="s">
        <v>2617</v>
      </c>
      <c r="D2417" s="3" t="s">
        <v>2510</v>
      </c>
      <c r="I2417" s="19">
        <v>7417</v>
      </c>
      <c r="J2417" s="19" t="s">
        <v>4568</v>
      </c>
    </row>
    <row r="2418" spans="1:10" x14ac:dyDescent="0.2">
      <c r="A2418" s="3">
        <v>5106</v>
      </c>
      <c r="B2418" s="3" t="s">
        <v>2618</v>
      </c>
      <c r="C2418" s="3" t="s">
        <v>2619</v>
      </c>
      <c r="D2418" s="3" t="s">
        <v>2510</v>
      </c>
      <c r="I2418" s="19">
        <v>7418</v>
      </c>
      <c r="J2418" s="19" t="s">
        <v>4568</v>
      </c>
    </row>
    <row r="2419" spans="1:10" x14ac:dyDescent="0.2">
      <c r="A2419" s="3">
        <v>5233</v>
      </c>
      <c r="B2419" s="3" t="s">
        <v>2620</v>
      </c>
      <c r="C2419" s="3" t="s">
        <v>2621</v>
      </c>
      <c r="D2419" s="3" t="s">
        <v>2510</v>
      </c>
      <c r="I2419" s="19">
        <v>7419</v>
      </c>
      <c r="J2419" s="19" t="s">
        <v>4568</v>
      </c>
    </row>
    <row r="2420" spans="1:10" x14ac:dyDescent="0.2">
      <c r="A2420" s="3">
        <v>5234</v>
      </c>
      <c r="B2420" s="3" t="s">
        <v>2621</v>
      </c>
      <c r="C2420" s="3" t="s">
        <v>2621</v>
      </c>
      <c r="D2420" s="3" t="s">
        <v>2510</v>
      </c>
      <c r="I2420" s="19">
        <v>7421</v>
      </c>
      <c r="J2420" s="19" t="s">
        <v>4568</v>
      </c>
    </row>
    <row r="2421" spans="1:10" x14ac:dyDescent="0.2">
      <c r="A2421" s="3">
        <v>5213</v>
      </c>
      <c r="B2421" s="3" t="s">
        <v>2622</v>
      </c>
      <c r="C2421" s="3" t="s">
        <v>2622</v>
      </c>
      <c r="D2421" s="3" t="s">
        <v>2510</v>
      </c>
      <c r="I2421" s="19">
        <v>7422</v>
      </c>
      <c r="J2421" s="19" t="s">
        <v>4568</v>
      </c>
    </row>
    <row r="2422" spans="1:10" x14ac:dyDescent="0.2">
      <c r="A2422" s="3">
        <v>5210</v>
      </c>
      <c r="B2422" s="3" t="s">
        <v>2623</v>
      </c>
      <c r="C2422" s="3" t="s">
        <v>2623</v>
      </c>
      <c r="D2422" s="3" t="s">
        <v>2510</v>
      </c>
      <c r="I2422" s="19">
        <v>7423</v>
      </c>
      <c r="J2422" s="19" t="s">
        <v>4568</v>
      </c>
    </row>
    <row r="2423" spans="1:10" x14ac:dyDescent="0.2">
      <c r="A2423" s="3">
        <v>5225</v>
      </c>
      <c r="B2423" s="3" t="s">
        <v>2624</v>
      </c>
      <c r="C2423" s="3" t="s">
        <v>2624</v>
      </c>
      <c r="D2423" s="3" t="s">
        <v>2510</v>
      </c>
      <c r="I2423" s="19">
        <v>7424</v>
      </c>
      <c r="J2423" s="19" t="s">
        <v>4568</v>
      </c>
    </row>
    <row r="2424" spans="1:10" x14ac:dyDescent="0.2">
      <c r="A2424" s="3">
        <v>5107</v>
      </c>
      <c r="B2424" s="3" t="s">
        <v>2625</v>
      </c>
      <c r="C2424" s="3" t="s">
        <v>2626</v>
      </c>
      <c r="D2424" s="3" t="s">
        <v>2510</v>
      </c>
      <c r="I2424" s="19">
        <v>7425</v>
      </c>
      <c r="J2424" s="19" t="s">
        <v>4568</v>
      </c>
    </row>
    <row r="2425" spans="1:10" x14ac:dyDescent="0.2">
      <c r="A2425" s="3">
        <v>5108</v>
      </c>
      <c r="B2425" s="3" t="s">
        <v>2627</v>
      </c>
      <c r="C2425" s="3" t="s">
        <v>2626</v>
      </c>
      <c r="D2425" s="3" t="s">
        <v>2510</v>
      </c>
      <c r="I2425" s="19">
        <v>7426</v>
      </c>
      <c r="J2425" s="19" t="s">
        <v>4568</v>
      </c>
    </row>
    <row r="2426" spans="1:10" x14ac:dyDescent="0.2">
      <c r="A2426" s="3">
        <v>5712</v>
      </c>
      <c r="B2426" s="3" t="s">
        <v>2628</v>
      </c>
      <c r="C2426" s="3" t="s">
        <v>2628</v>
      </c>
      <c r="D2426" s="3" t="s">
        <v>2510</v>
      </c>
      <c r="I2426" s="19">
        <v>7427</v>
      </c>
      <c r="J2426" s="19" t="s">
        <v>4568</v>
      </c>
    </row>
    <row r="2427" spans="1:10" x14ac:dyDescent="0.2">
      <c r="A2427" s="3">
        <v>5708</v>
      </c>
      <c r="B2427" s="3" t="s">
        <v>2629</v>
      </c>
      <c r="C2427" s="3" t="s">
        <v>2629</v>
      </c>
      <c r="D2427" s="3" t="s">
        <v>2510</v>
      </c>
      <c r="I2427" s="19">
        <v>7428</v>
      </c>
      <c r="J2427" s="19" t="s">
        <v>4564</v>
      </c>
    </row>
    <row r="2428" spans="1:10" x14ac:dyDescent="0.2">
      <c r="A2428" s="3">
        <v>5736</v>
      </c>
      <c r="B2428" s="3" t="s">
        <v>2630</v>
      </c>
      <c r="C2428" s="3" t="s">
        <v>2631</v>
      </c>
      <c r="D2428" s="3" t="s">
        <v>2510</v>
      </c>
      <c r="I2428" s="19">
        <v>7430</v>
      </c>
      <c r="J2428" s="19" t="s">
        <v>4568</v>
      </c>
    </row>
    <row r="2429" spans="1:10" x14ac:dyDescent="0.2">
      <c r="A2429" s="3">
        <v>5724</v>
      </c>
      <c r="B2429" s="3" t="s">
        <v>2632</v>
      </c>
      <c r="C2429" s="3" t="s">
        <v>2632</v>
      </c>
      <c r="D2429" s="3" t="s">
        <v>2510</v>
      </c>
      <c r="I2429" s="19">
        <v>7431</v>
      </c>
      <c r="J2429" s="19" t="s">
        <v>4568</v>
      </c>
    </row>
    <row r="2430" spans="1:10" x14ac:dyDescent="0.2">
      <c r="A2430" s="3">
        <v>5728</v>
      </c>
      <c r="B2430" s="3" t="s">
        <v>2633</v>
      </c>
      <c r="C2430" s="3" t="s">
        <v>2633</v>
      </c>
      <c r="D2430" s="3" t="s">
        <v>2510</v>
      </c>
      <c r="I2430" s="19">
        <v>7432</v>
      </c>
      <c r="J2430" s="19" t="s">
        <v>4568</v>
      </c>
    </row>
    <row r="2431" spans="1:10" x14ac:dyDescent="0.2">
      <c r="A2431" s="3">
        <v>5043</v>
      </c>
      <c r="B2431" s="3" t="s">
        <v>2634</v>
      </c>
      <c r="C2431" s="3" t="s">
        <v>2634</v>
      </c>
      <c r="D2431" s="3" t="s">
        <v>2510</v>
      </c>
      <c r="I2431" s="19">
        <v>7433</v>
      </c>
      <c r="J2431" s="19" t="s">
        <v>4568</v>
      </c>
    </row>
    <row r="2432" spans="1:10" x14ac:dyDescent="0.2">
      <c r="A2432" s="3">
        <v>5733</v>
      </c>
      <c r="B2432" s="3" t="s">
        <v>2635</v>
      </c>
      <c r="C2432" s="3" t="s">
        <v>2636</v>
      </c>
      <c r="D2432" s="3" t="s">
        <v>2510</v>
      </c>
      <c r="I2432" s="19">
        <v>7434</v>
      </c>
      <c r="J2432" s="19" t="s">
        <v>4564</v>
      </c>
    </row>
    <row r="2433" spans="1:10" x14ac:dyDescent="0.2">
      <c r="A2433" s="3">
        <v>5725</v>
      </c>
      <c r="B2433" s="3" t="s">
        <v>2637</v>
      </c>
      <c r="C2433" s="3" t="s">
        <v>2637</v>
      </c>
      <c r="D2433" s="3" t="s">
        <v>2510</v>
      </c>
      <c r="I2433" s="19">
        <v>7435</v>
      </c>
      <c r="J2433" s="19" t="s">
        <v>4564</v>
      </c>
    </row>
    <row r="2434" spans="1:10" x14ac:dyDescent="0.2">
      <c r="A2434" s="3">
        <v>5737</v>
      </c>
      <c r="B2434" s="3" t="s">
        <v>2638</v>
      </c>
      <c r="C2434" s="3" t="s">
        <v>2638</v>
      </c>
      <c r="D2434" s="3" t="s">
        <v>2510</v>
      </c>
      <c r="I2434" s="19">
        <v>7436</v>
      </c>
      <c r="J2434" s="19" t="s">
        <v>4564</v>
      </c>
    </row>
    <row r="2435" spans="1:10" x14ac:dyDescent="0.2">
      <c r="A2435" s="3">
        <v>5727</v>
      </c>
      <c r="B2435" s="3" t="s">
        <v>2639</v>
      </c>
      <c r="C2435" s="3" t="s">
        <v>2639</v>
      </c>
      <c r="D2435" s="3" t="s">
        <v>2510</v>
      </c>
      <c r="I2435" s="19">
        <v>7437</v>
      </c>
      <c r="J2435" s="19" t="s">
        <v>4564</v>
      </c>
    </row>
    <row r="2436" spans="1:10" x14ac:dyDescent="0.2">
      <c r="A2436" s="3">
        <v>5734</v>
      </c>
      <c r="B2436" s="3" t="s">
        <v>2640</v>
      </c>
      <c r="C2436" s="3" t="s">
        <v>2641</v>
      </c>
      <c r="D2436" s="3" t="s">
        <v>2510</v>
      </c>
      <c r="I2436" s="19">
        <v>7438</v>
      </c>
      <c r="J2436" s="19" t="s">
        <v>4564</v>
      </c>
    </row>
    <row r="2437" spans="1:10" x14ac:dyDescent="0.2">
      <c r="A2437" s="3">
        <v>5044</v>
      </c>
      <c r="B2437" s="3" t="s">
        <v>2642</v>
      </c>
      <c r="C2437" s="3" t="s">
        <v>2642</v>
      </c>
      <c r="D2437" s="3" t="s">
        <v>2510</v>
      </c>
      <c r="I2437" s="19">
        <v>7440</v>
      </c>
      <c r="J2437" s="19" t="s">
        <v>4568</v>
      </c>
    </row>
    <row r="2438" spans="1:10" x14ac:dyDescent="0.2">
      <c r="A2438" s="3">
        <v>5046</v>
      </c>
      <c r="B2438" s="3" t="s">
        <v>2643</v>
      </c>
      <c r="C2438" s="3" t="s">
        <v>2643</v>
      </c>
      <c r="D2438" s="3" t="s">
        <v>2510</v>
      </c>
      <c r="I2438" s="19">
        <v>7442</v>
      </c>
      <c r="J2438" s="19" t="s">
        <v>4568</v>
      </c>
    </row>
    <row r="2439" spans="1:10" x14ac:dyDescent="0.2">
      <c r="A2439" s="3">
        <v>5046</v>
      </c>
      <c r="B2439" s="3" t="s">
        <v>2644</v>
      </c>
      <c r="C2439" s="3" t="s">
        <v>2643</v>
      </c>
      <c r="D2439" s="3" t="s">
        <v>2510</v>
      </c>
      <c r="I2439" s="19">
        <v>7443</v>
      </c>
      <c r="J2439" s="19" t="s">
        <v>4568</v>
      </c>
    </row>
    <row r="2440" spans="1:10" x14ac:dyDescent="0.2">
      <c r="A2440" s="3">
        <v>5040</v>
      </c>
      <c r="B2440" s="3" t="s">
        <v>2645</v>
      </c>
      <c r="C2440" s="3" t="s">
        <v>2645</v>
      </c>
      <c r="D2440" s="3" t="s">
        <v>2510</v>
      </c>
      <c r="I2440" s="19">
        <v>7444</v>
      </c>
      <c r="J2440" s="19" t="s">
        <v>4564</v>
      </c>
    </row>
    <row r="2441" spans="1:10" x14ac:dyDescent="0.2">
      <c r="A2441" s="3">
        <v>5723</v>
      </c>
      <c r="B2441" s="3" t="s">
        <v>2646</v>
      </c>
      <c r="C2441" s="3" t="s">
        <v>2647</v>
      </c>
      <c r="D2441" s="3" t="s">
        <v>2510</v>
      </c>
      <c r="I2441" s="19">
        <v>7445</v>
      </c>
      <c r="J2441" s="19" t="s">
        <v>4564</v>
      </c>
    </row>
    <row r="2442" spans="1:10" x14ac:dyDescent="0.2">
      <c r="A2442" s="3">
        <v>5726</v>
      </c>
      <c r="B2442" s="3" t="s">
        <v>2648</v>
      </c>
      <c r="C2442" s="3" t="s">
        <v>2648</v>
      </c>
      <c r="D2442" s="3" t="s">
        <v>2510</v>
      </c>
      <c r="I2442" s="19">
        <v>7447</v>
      </c>
      <c r="J2442" s="19" t="s">
        <v>4564</v>
      </c>
    </row>
    <row r="2443" spans="1:10" x14ac:dyDescent="0.2">
      <c r="A2443" s="3">
        <v>5732</v>
      </c>
      <c r="B2443" s="3" t="s">
        <v>2649</v>
      </c>
      <c r="C2443" s="3" t="s">
        <v>2649</v>
      </c>
      <c r="D2443" s="3" t="s">
        <v>2510</v>
      </c>
      <c r="I2443" s="19">
        <v>7448</v>
      </c>
      <c r="J2443" s="19" t="s">
        <v>4564</v>
      </c>
    </row>
    <row r="2444" spans="1:10" x14ac:dyDescent="0.2">
      <c r="A2444" s="3">
        <v>5074</v>
      </c>
      <c r="B2444" s="3" t="s">
        <v>2650</v>
      </c>
      <c r="C2444" s="3" t="s">
        <v>2650</v>
      </c>
      <c r="D2444" s="3" t="s">
        <v>2510</v>
      </c>
      <c r="I2444" s="19">
        <v>7450</v>
      </c>
      <c r="J2444" s="19" t="s">
        <v>4568</v>
      </c>
    </row>
    <row r="2445" spans="1:10" x14ac:dyDescent="0.2">
      <c r="A2445" s="3">
        <v>5070</v>
      </c>
      <c r="B2445" s="3" t="s">
        <v>2651</v>
      </c>
      <c r="C2445" s="3" t="s">
        <v>2651</v>
      </c>
      <c r="D2445" s="3" t="s">
        <v>2510</v>
      </c>
      <c r="I2445" s="19">
        <v>7451</v>
      </c>
      <c r="J2445" s="19" t="s">
        <v>4568</v>
      </c>
    </row>
    <row r="2446" spans="1:10" x14ac:dyDescent="0.2">
      <c r="A2446" s="3">
        <v>5272</v>
      </c>
      <c r="B2446" s="3" t="s">
        <v>2652</v>
      </c>
      <c r="C2446" s="3" t="s">
        <v>2652</v>
      </c>
      <c r="D2446" s="3" t="s">
        <v>2510</v>
      </c>
      <c r="I2446" s="19">
        <v>7452</v>
      </c>
      <c r="J2446" s="19" t="s">
        <v>4568</v>
      </c>
    </row>
    <row r="2447" spans="1:10" x14ac:dyDescent="0.2">
      <c r="A2447" s="3">
        <v>5073</v>
      </c>
      <c r="B2447" s="3" t="s">
        <v>2653</v>
      </c>
      <c r="C2447" s="3" t="s">
        <v>2653</v>
      </c>
      <c r="D2447" s="3" t="s">
        <v>2510</v>
      </c>
      <c r="I2447" s="19">
        <v>7453</v>
      </c>
      <c r="J2447" s="19" t="s">
        <v>4568</v>
      </c>
    </row>
    <row r="2448" spans="1:10" x14ac:dyDescent="0.2">
      <c r="A2448" s="3">
        <v>5027</v>
      </c>
      <c r="B2448" s="3" t="s">
        <v>2654</v>
      </c>
      <c r="C2448" s="3" t="s">
        <v>2654</v>
      </c>
      <c r="D2448" s="3" t="s">
        <v>2510</v>
      </c>
      <c r="I2448" s="19">
        <v>7454</v>
      </c>
      <c r="J2448" s="19" t="s">
        <v>4569</v>
      </c>
    </row>
    <row r="2449" spans="1:10" x14ac:dyDescent="0.2">
      <c r="A2449" s="3">
        <v>5082</v>
      </c>
      <c r="B2449" s="3" t="s">
        <v>2655</v>
      </c>
      <c r="C2449" s="3" t="s">
        <v>2655</v>
      </c>
      <c r="D2449" s="3" t="s">
        <v>2510</v>
      </c>
      <c r="I2449" s="19">
        <v>7455</v>
      </c>
      <c r="J2449" s="19" t="s">
        <v>4564</v>
      </c>
    </row>
    <row r="2450" spans="1:10" x14ac:dyDescent="0.2">
      <c r="A2450" s="3">
        <v>5083</v>
      </c>
      <c r="B2450" s="3" t="s">
        <v>2656</v>
      </c>
      <c r="C2450" s="3" t="s">
        <v>2655</v>
      </c>
      <c r="D2450" s="3" t="s">
        <v>2510</v>
      </c>
      <c r="I2450" s="19">
        <v>7456</v>
      </c>
      <c r="J2450" s="19" t="s">
        <v>4564</v>
      </c>
    </row>
    <row r="2451" spans="1:10" x14ac:dyDescent="0.2">
      <c r="A2451" s="3">
        <v>5080</v>
      </c>
      <c r="B2451" s="3" t="s">
        <v>2657</v>
      </c>
      <c r="C2451" s="3" t="s">
        <v>2657</v>
      </c>
      <c r="D2451" s="3" t="s">
        <v>2510</v>
      </c>
      <c r="I2451" s="19">
        <v>7457</v>
      </c>
      <c r="J2451" s="19" t="s">
        <v>4564</v>
      </c>
    </row>
    <row r="2452" spans="1:10" x14ac:dyDescent="0.2">
      <c r="A2452" s="3">
        <v>5084</v>
      </c>
      <c r="B2452" s="3" t="s">
        <v>2658</v>
      </c>
      <c r="C2452" s="3" t="s">
        <v>2657</v>
      </c>
      <c r="D2452" s="3" t="s">
        <v>2510</v>
      </c>
      <c r="I2452" s="19">
        <v>7458</v>
      </c>
      <c r="J2452" s="19" t="s">
        <v>4568</v>
      </c>
    </row>
    <row r="2453" spans="1:10" x14ac:dyDescent="0.2">
      <c r="A2453" s="3">
        <v>5085</v>
      </c>
      <c r="B2453" s="3" t="s">
        <v>2659</v>
      </c>
      <c r="C2453" s="3" t="s">
        <v>2657</v>
      </c>
      <c r="D2453" s="3" t="s">
        <v>2510</v>
      </c>
      <c r="I2453" s="19">
        <v>7459</v>
      </c>
      <c r="J2453" s="19" t="s">
        <v>4568</v>
      </c>
    </row>
    <row r="2454" spans="1:10" x14ac:dyDescent="0.2">
      <c r="A2454" s="3">
        <v>4333</v>
      </c>
      <c r="B2454" s="3" t="s">
        <v>2660</v>
      </c>
      <c r="C2454" s="3" t="s">
        <v>2661</v>
      </c>
      <c r="D2454" s="3" t="s">
        <v>2510</v>
      </c>
      <c r="I2454" s="19">
        <v>7460</v>
      </c>
      <c r="J2454" s="19" t="s">
        <v>4568</v>
      </c>
    </row>
    <row r="2455" spans="1:10" x14ac:dyDescent="0.2">
      <c r="A2455" s="3">
        <v>5062</v>
      </c>
      <c r="B2455" s="3" t="s">
        <v>2662</v>
      </c>
      <c r="C2455" s="3" t="s">
        <v>2662</v>
      </c>
      <c r="D2455" s="3" t="s">
        <v>2510</v>
      </c>
      <c r="I2455" s="19">
        <v>7462</v>
      </c>
      <c r="J2455" s="19" t="s">
        <v>4568</v>
      </c>
    </row>
    <row r="2456" spans="1:10" x14ac:dyDescent="0.2">
      <c r="A2456" s="3">
        <v>5072</v>
      </c>
      <c r="B2456" s="3" t="s">
        <v>2663</v>
      </c>
      <c r="C2456" s="3" t="s">
        <v>2663</v>
      </c>
      <c r="D2456" s="3" t="s">
        <v>2510</v>
      </c>
      <c r="I2456" s="19">
        <v>7463</v>
      </c>
      <c r="J2456" s="19" t="s">
        <v>4568</v>
      </c>
    </row>
    <row r="2457" spans="1:10" x14ac:dyDescent="0.2">
      <c r="A2457" s="3">
        <v>5326</v>
      </c>
      <c r="B2457" s="3" t="s">
        <v>2664</v>
      </c>
      <c r="C2457" s="3" t="s">
        <v>2664</v>
      </c>
      <c r="D2457" s="3" t="s">
        <v>2510</v>
      </c>
      <c r="I2457" s="19">
        <v>7464</v>
      </c>
      <c r="J2457" s="19" t="s">
        <v>4568</v>
      </c>
    </row>
    <row r="2458" spans="1:10" x14ac:dyDescent="0.2">
      <c r="A2458" s="3">
        <v>4334</v>
      </c>
      <c r="B2458" s="3" t="s">
        <v>2665</v>
      </c>
      <c r="C2458" s="3" t="s">
        <v>2666</v>
      </c>
      <c r="D2458" s="3" t="s">
        <v>2510</v>
      </c>
      <c r="I2458" s="19">
        <v>7472</v>
      </c>
      <c r="J2458" s="19" t="s">
        <v>4568</v>
      </c>
    </row>
    <row r="2459" spans="1:10" x14ac:dyDescent="0.2">
      <c r="A2459" s="3">
        <v>5028</v>
      </c>
      <c r="B2459" s="3" t="s">
        <v>2667</v>
      </c>
      <c r="C2459" s="3" t="s">
        <v>2667</v>
      </c>
      <c r="D2459" s="3" t="s">
        <v>2510</v>
      </c>
      <c r="I2459" s="19">
        <v>7473</v>
      </c>
      <c r="J2459" s="19" t="s">
        <v>4568</v>
      </c>
    </row>
    <row r="2460" spans="1:10" x14ac:dyDescent="0.2">
      <c r="A2460" s="3">
        <v>5064</v>
      </c>
      <c r="B2460" s="3" t="s">
        <v>2668</v>
      </c>
      <c r="C2460" s="3" t="s">
        <v>2668</v>
      </c>
      <c r="D2460" s="3" t="s">
        <v>2510</v>
      </c>
      <c r="I2460" s="19">
        <v>7477</v>
      </c>
      <c r="J2460" s="19" t="s">
        <v>4568</v>
      </c>
    </row>
    <row r="2461" spans="1:10" x14ac:dyDescent="0.2">
      <c r="A2461" s="3">
        <v>5063</v>
      </c>
      <c r="B2461" s="3" t="s">
        <v>2669</v>
      </c>
      <c r="C2461" s="3" t="s">
        <v>2669</v>
      </c>
      <c r="D2461" s="3" t="s">
        <v>2510</v>
      </c>
      <c r="I2461" s="19">
        <v>7482</v>
      </c>
      <c r="J2461" s="19" t="s">
        <v>4569</v>
      </c>
    </row>
    <row r="2462" spans="1:10" x14ac:dyDescent="0.2">
      <c r="A2462" s="3">
        <v>5079</v>
      </c>
      <c r="B2462" s="3" t="s">
        <v>2670</v>
      </c>
      <c r="C2462" s="3" t="s">
        <v>2670</v>
      </c>
      <c r="D2462" s="3" t="s">
        <v>2510</v>
      </c>
      <c r="I2462" s="19">
        <v>7484</v>
      </c>
      <c r="J2462" s="19" t="s">
        <v>4569</v>
      </c>
    </row>
    <row r="2463" spans="1:10" x14ac:dyDescent="0.2">
      <c r="A2463" s="3">
        <v>5273</v>
      </c>
      <c r="B2463" s="3" t="s">
        <v>2671</v>
      </c>
      <c r="C2463" s="3" t="s">
        <v>2672</v>
      </c>
      <c r="D2463" s="3" t="s">
        <v>2510</v>
      </c>
      <c r="I2463" s="19">
        <v>7492</v>
      </c>
      <c r="J2463" s="19" t="s">
        <v>4568</v>
      </c>
    </row>
    <row r="2464" spans="1:10" x14ac:dyDescent="0.2">
      <c r="A2464" s="3">
        <v>5274</v>
      </c>
      <c r="B2464" s="3" t="s">
        <v>2673</v>
      </c>
      <c r="C2464" s="3" t="s">
        <v>2672</v>
      </c>
      <c r="D2464" s="3" t="s">
        <v>2510</v>
      </c>
      <c r="I2464" s="19">
        <v>7493</v>
      </c>
      <c r="J2464" s="19" t="s">
        <v>4568</v>
      </c>
    </row>
    <row r="2465" spans="1:10" x14ac:dyDescent="0.2">
      <c r="A2465" s="3">
        <v>5275</v>
      </c>
      <c r="B2465" s="3" t="s">
        <v>2674</v>
      </c>
      <c r="C2465" s="3" t="s">
        <v>2672</v>
      </c>
      <c r="D2465" s="3" t="s">
        <v>2510</v>
      </c>
      <c r="I2465" s="19">
        <v>7494</v>
      </c>
      <c r="J2465" s="19" t="s">
        <v>4569</v>
      </c>
    </row>
    <row r="2466" spans="1:10" x14ac:dyDescent="0.2">
      <c r="A2466" s="3">
        <v>5276</v>
      </c>
      <c r="B2466" s="3" t="s">
        <v>2675</v>
      </c>
      <c r="C2466" s="3" t="s">
        <v>2672</v>
      </c>
      <c r="D2466" s="3" t="s">
        <v>2510</v>
      </c>
      <c r="I2466" s="19">
        <v>7500</v>
      </c>
      <c r="J2466" s="19" t="s">
        <v>4572</v>
      </c>
    </row>
    <row r="2467" spans="1:10" x14ac:dyDescent="0.2">
      <c r="A2467" s="3">
        <v>5277</v>
      </c>
      <c r="B2467" s="3" t="s">
        <v>2676</v>
      </c>
      <c r="C2467" s="3" t="s">
        <v>2672</v>
      </c>
      <c r="D2467" s="3" t="s">
        <v>2510</v>
      </c>
      <c r="I2467" s="19">
        <v>7502</v>
      </c>
      <c r="J2467" s="19" t="s">
        <v>4572</v>
      </c>
    </row>
    <row r="2468" spans="1:10" x14ac:dyDescent="0.2">
      <c r="A2468" s="3">
        <v>5075</v>
      </c>
      <c r="B2468" s="3" t="s">
        <v>2677</v>
      </c>
      <c r="C2468" s="3" t="s">
        <v>2678</v>
      </c>
      <c r="D2468" s="3" t="s">
        <v>2510</v>
      </c>
      <c r="I2468" s="19">
        <v>7503</v>
      </c>
      <c r="J2468" s="19" t="s">
        <v>4572</v>
      </c>
    </row>
    <row r="2469" spans="1:10" x14ac:dyDescent="0.2">
      <c r="A2469" s="3">
        <v>5076</v>
      </c>
      <c r="B2469" s="3" t="s">
        <v>2679</v>
      </c>
      <c r="C2469" s="3" t="s">
        <v>2678</v>
      </c>
      <c r="D2469" s="3" t="s">
        <v>2510</v>
      </c>
      <c r="I2469" s="19">
        <v>7504</v>
      </c>
      <c r="J2469" s="19" t="s">
        <v>4572</v>
      </c>
    </row>
    <row r="2470" spans="1:10" x14ac:dyDescent="0.2">
      <c r="A2470" s="3">
        <v>5077</v>
      </c>
      <c r="B2470" s="3" t="s">
        <v>2680</v>
      </c>
      <c r="C2470" s="3" t="s">
        <v>2678</v>
      </c>
      <c r="D2470" s="3" t="s">
        <v>2510</v>
      </c>
      <c r="I2470" s="19">
        <v>7505</v>
      </c>
      <c r="J2470" s="19" t="s">
        <v>4572</v>
      </c>
    </row>
    <row r="2471" spans="1:10" x14ac:dyDescent="0.2">
      <c r="A2471" s="3">
        <v>5078</v>
      </c>
      <c r="B2471" s="3" t="s">
        <v>2681</v>
      </c>
      <c r="C2471" s="3" t="s">
        <v>2678</v>
      </c>
      <c r="D2471" s="3" t="s">
        <v>2510</v>
      </c>
      <c r="I2471" s="19">
        <v>7512</v>
      </c>
      <c r="J2471" s="19" t="s">
        <v>4572</v>
      </c>
    </row>
    <row r="2472" spans="1:10" x14ac:dyDescent="0.2">
      <c r="A2472" s="3">
        <v>5600</v>
      </c>
      <c r="B2472" s="3" t="s">
        <v>2682</v>
      </c>
      <c r="C2472" s="3" t="s">
        <v>2683</v>
      </c>
      <c r="D2472" s="3" t="s">
        <v>2510</v>
      </c>
      <c r="I2472" s="19">
        <v>7513</v>
      </c>
      <c r="J2472" s="19" t="s">
        <v>4572</v>
      </c>
    </row>
    <row r="2473" spans="1:10" x14ac:dyDescent="0.2">
      <c r="A2473" s="3">
        <v>5706</v>
      </c>
      <c r="B2473" s="3" t="s">
        <v>2684</v>
      </c>
      <c r="C2473" s="3" t="s">
        <v>2684</v>
      </c>
      <c r="D2473" s="3" t="s">
        <v>2510</v>
      </c>
      <c r="I2473" s="19">
        <v>7514</v>
      </c>
      <c r="J2473" s="19" t="s">
        <v>4572</v>
      </c>
    </row>
    <row r="2474" spans="1:10" x14ac:dyDescent="0.2">
      <c r="A2474" s="3">
        <v>5505</v>
      </c>
      <c r="B2474" s="3" t="s">
        <v>2685</v>
      </c>
      <c r="C2474" s="3" t="s">
        <v>2685</v>
      </c>
      <c r="D2474" s="3" t="s">
        <v>2510</v>
      </c>
      <c r="I2474" s="19">
        <v>7515</v>
      </c>
      <c r="J2474" s="19" t="s">
        <v>4572</v>
      </c>
    </row>
    <row r="2475" spans="1:10" x14ac:dyDescent="0.2">
      <c r="A2475" s="3">
        <v>5606</v>
      </c>
      <c r="B2475" s="3" t="s">
        <v>2686</v>
      </c>
      <c r="C2475" s="3" t="s">
        <v>2686</v>
      </c>
      <c r="D2475" s="3" t="s">
        <v>2510</v>
      </c>
      <c r="I2475" s="19">
        <v>7516</v>
      </c>
      <c r="J2475" s="19" t="s">
        <v>4572</v>
      </c>
    </row>
    <row r="2476" spans="1:10" x14ac:dyDescent="0.2">
      <c r="A2476" s="3">
        <v>5704</v>
      </c>
      <c r="B2476" s="3" t="s">
        <v>2687</v>
      </c>
      <c r="C2476" s="3" t="s">
        <v>2687</v>
      </c>
      <c r="D2476" s="3" t="s">
        <v>2510</v>
      </c>
      <c r="I2476" s="19">
        <v>7517</v>
      </c>
      <c r="J2476" s="19" t="s">
        <v>4572</v>
      </c>
    </row>
    <row r="2477" spans="1:10" x14ac:dyDescent="0.2">
      <c r="A2477" s="3">
        <v>5615</v>
      </c>
      <c r="B2477" s="3" t="s">
        <v>2688</v>
      </c>
      <c r="C2477" s="3" t="s">
        <v>2688</v>
      </c>
      <c r="D2477" s="3" t="s">
        <v>2510</v>
      </c>
      <c r="I2477" s="19">
        <v>7522</v>
      </c>
      <c r="J2477" s="19" t="s">
        <v>4572</v>
      </c>
    </row>
    <row r="2478" spans="1:10" x14ac:dyDescent="0.2">
      <c r="A2478" s="3">
        <v>5705</v>
      </c>
      <c r="B2478" s="3" t="s">
        <v>2689</v>
      </c>
      <c r="C2478" s="3" t="s">
        <v>2689</v>
      </c>
      <c r="D2478" s="3" t="s">
        <v>2510</v>
      </c>
      <c r="I2478" s="19">
        <v>7523</v>
      </c>
      <c r="J2478" s="19" t="s">
        <v>4572</v>
      </c>
    </row>
    <row r="2479" spans="1:10" x14ac:dyDescent="0.2">
      <c r="A2479" s="3">
        <v>5604</v>
      </c>
      <c r="B2479" s="3" t="s">
        <v>2690</v>
      </c>
      <c r="C2479" s="3" t="s">
        <v>2690</v>
      </c>
      <c r="D2479" s="3" t="s">
        <v>2510</v>
      </c>
      <c r="I2479" s="19">
        <v>7524</v>
      </c>
      <c r="J2479" s="19" t="s">
        <v>4572</v>
      </c>
    </row>
    <row r="2480" spans="1:10" x14ac:dyDescent="0.2">
      <c r="A2480" s="3">
        <v>5113</v>
      </c>
      <c r="B2480" s="3" t="s">
        <v>2691</v>
      </c>
      <c r="C2480" s="3" t="s">
        <v>2692</v>
      </c>
      <c r="D2480" s="3" t="s">
        <v>2510</v>
      </c>
      <c r="I2480" s="19">
        <v>7525</v>
      </c>
      <c r="J2480" s="19" t="s">
        <v>4572</v>
      </c>
    </row>
    <row r="2481" spans="1:10" x14ac:dyDescent="0.2">
      <c r="A2481" s="3">
        <v>5502</v>
      </c>
      <c r="B2481" s="3" t="s">
        <v>2693</v>
      </c>
      <c r="C2481" s="3" t="s">
        <v>2693</v>
      </c>
      <c r="D2481" s="3" t="s">
        <v>2510</v>
      </c>
      <c r="I2481" s="19">
        <v>7526</v>
      </c>
      <c r="J2481" s="19" t="s">
        <v>4572</v>
      </c>
    </row>
    <row r="2482" spans="1:10" x14ac:dyDescent="0.2">
      <c r="A2482" s="3">
        <v>5600</v>
      </c>
      <c r="B2482" s="3" t="s">
        <v>2694</v>
      </c>
      <c r="C2482" s="3" t="s">
        <v>2694</v>
      </c>
      <c r="D2482" s="3" t="s">
        <v>2510</v>
      </c>
      <c r="I2482" s="19">
        <v>7527</v>
      </c>
      <c r="J2482" s="19" t="s">
        <v>4572</v>
      </c>
    </row>
    <row r="2483" spans="1:10" x14ac:dyDescent="0.2">
      <c r="A2483" s="3">
        <v>5616</v>
      </c>
      <c r="B2483" s="3" t="s">
        <v>2695</v>
      </c>
      <c r="C2483" s="3" t="s">
        <v>2695</v>
      </c>
      <c r="D2483" s="3" t="s">
        <v>2510</v>
      </c>
      <c r="I2483" s="19">
        <v>7530</v>
      </c>
      <c r="J2483" s="19" t="s">
        <v>4573</v>
      </c>
    </row>
    <row r="2484" spans="1:10" x14ac:dyDescent="0.2">
      <c r="A2484" s="3">
        <v>5617</v>
      </c>
      <c r="B2484" s="3" t="s">
        <v>2696</v>
      </c>
      <c r="C2484" s="3" t="s">
        <v>2695</v>
      </c>
      <c r="D2484" s="3" t="s">
        <v>2510</v>
      </c>
      <c r="I2484" s="19">
        <v>7532</v>
      </c>
      <c r="J2484" s="19" t="s">
        <v>4573</v>
      </c>
    </row>
    <row r="2485" spans="1:10" x14ac:dyDescent="0.2">
      <c r="A2485" s="3">
        <v>5103</v>
      </c>
      <c r="B2485" s="3" t="s">
        <v>2697</v>
      </c>
      <c r="C2485" s="3" t="s">
        <v>2698</v>
      </c>
      <c r="D2485" s="3" t="s">
        <v>2510</v>
      </c>
      <c r="I2485" s="19">
        <v>7533</v>
      </c>
      <c r="J2485" s="19" t="s">
        <v>4573</v>
      </c>
    </row>
    <row r="2486" spans="1:10" x14ac:dyDescent="0.2">
      <c r="A2486" s="3">
        <v>5103</v>
      </c>
      <c r="B2486" s="3" t="s">
        <v>2699</v>
      </c>
      <c r="C2486" s="3" t="s">
        <v>2698</v>
      </c>
      <c r="D2486" s="3" t="s">
        <v>2510</v>
      </c>
      <c r="I2486" s="19">
        <v>7534</v>
      </c>
      <c r="J2486" s="19" t="s">
        <v>4573</v>
      </c>
    </row>
    <row r="2487" spans="1:10" x14ac:dyDescent="0.2">
      <c r="A2487" s="3">
        <v>5702</v>
      </c>
      <c r="B2487" s="3" t="s">
        <v>2700</v>
      </c>
      <c r="C2487" s="3" t="s">
        <v>2700</v>
      </c>
      <c r="D2487" s="3" t="s">
        <v>2510</v>
      </c>
      <c r="I2487" s="19">
        <v>7535</v>
      </c>
      <c r="J2487" s="19" t="s">
        <v>4573</v>
      </c>
    </row>
    <row r="2488" spans="1:10" x14ac:dyDescent="0.2">
      <c r="A2488" s="3">
        <v>5504</v>
      </c>
      <c r="B2488" s="3" t="s">
        <v>2701</v>
      </c>
      <c r="C2488" s="3" t="s">
        <v>2701</v>
      </c>
      <c r="D2488" s="3" t="s">
        <v>2510</v>
      </c>
      <c r="I2488" s="19">
        <v>7536</v>
      </c>
      <c r="J2488" s="19" t="s">
        <v>4573</v>
      </c>
    </row>
    <row r="2489" spans="1:10" x14ac:dyDescent="0.2">
      <c r="A2489" s="3">
        <v>5102</v>
      </c>
      <c r="B2489" s="3" t="s">
        <v>2702</v>
      </c>
      <c r="C2489" s="3" t="s">
        <v>2702</v>
      </c>
      <c r="D2489" s="3" t="s">
        <v>2510</v>
      </c>
      <c r="I2489" s="19">
        <v>7537</v>
      </c>
      <c r="J2489" s="19" t="s">
        <v>4573</v>
      </c>
    </row>
    <row r="2490" spans="1:10" x14ac:dyDescent="0.2">
      <c r="A2490" s="3">
        <v>5503</v>
      </c>
      <c r="B2490" s="3" t="s">
        <v>2703</v>
      </c>
      <c r="C2490" s="3" t="s">
        <v>2703</v>
      </c>
      <c r="D2490" s="3" t="s">
        <v>2510</v>
      </c>
      <c r="I2490" s="19">
        <v>7542</v>
      </c>
      <c r="J2490" s="19" t="s">
        <v>4573</v>
      </c>
    </row>
    <row r="2491" spans="1:10" x14ac:dyDescent="0.2">
      <c r="A2491" s="3">
        <v>5707</v>
      </c>
      <c r="B2491" s="3" t="s">
        <v>2704</v>
      </c>
      <c r="C2491" s="3" t="s">
        <v>2704</v>
      </c>
      <c r="D2491" s="3" t="s">
        <v>2510</v>
      </c>
      <c r="I2491" s="19">
        <v>7543</v>
      </c>
      <c r="J2491" s="19" t="s">
        <v>4573</v>
      </c>
    </row>
    <row r="2492" spans="1:10" x14ac:dyDescent="0.2">
      <c r="A2492" s="3">
        <v>5703</v>
      </c>
      <c r="B2492" s="3" t="s">
        <v>2705</v>
      </c>
      <c r="C2492" s="3" t="s">
        <v>2705</v>
      </c>
      <c r="D2492" s="3" t="s">
        <v>2510</v>
      </c>
      <c r="I2492" s="19">
        <v>7545</v>
      </c>
      <c r="J2492" s="19" t="s">
        <v>4573</v>
      </c>
    </row>
    <row r="2493" spans="1:10" x14ac:dyDescent="0.2">
      <c r="A2493" s="3">
        <v>5603</v>
      </c>
      <c r="B2493" s="3" t="s">
        <v>2706</v>
      </c>
      <c r="C2493" s="3" t="s">
        <v>2706</v>
      </c>
      <c r="D2493" s="3" t="s">
        <v>2510</v>
      </c>
      <c r="I2493" s="19">
        <v>7546</v>
      </c>
      <c r="J2493" s="19" t="s">
        <v>4573</v>
      </c>
    </row>
    <row r="2494" spans="1:10" x14ac:dyDescent="0.2">
      <c r="A2494" s="3">
        <v>5646</v>
      </c>
      <c r="B2494" s="3" t="s">
        <v>2707</v>
      </c>
      <c r="C2494" s="3" t="s">
        <v>2708</v>
      </c>
      <c r="D2494" s="3" t="s">
        <v>2510</v>
      </c>
      <c r="I2494" s="19">
        <v>7550</v>
      </c>
      <c r="J2494" s="19" t="s">
        <v>4573</v>
      </c>
    </row>
    <row r="2495" spans="1:10" x14ac:dyDescent="0.2">
      <c r="A2495" s="3">
        <v>5628</v>
      </c>
      <c r="B2495" s="3" t="s">
        <v>2709</v>
      </c>
      <c r="C2495" s="3" t="s">
        <v>2709</v>
      </c>
      <c r="D2495" s="3" t="s">
        <v>2510</v>
      </c>
      <c r="I2495" s="19">
        <v>7551</v>
      </c>
      <c r="J2495" s="19" t="s">
        <v>4573</v>
      </c>
    </row>
    <row r="2496" spans="1:10" x14ac:dyDescent="0.2">
      <c r="A2496" s="3">
        <v>5644</v>
      </c>
      <c r="B2496" s="3" t="s">
        <v>2710</v>
      </c>
      <c r="C2496" s="3" t="s">
        <v>2710</v>
      </c>
      <c r="D2496" s="3" t="s">
        <v>2510</v>
      </c>
      <c r="I2496" s="19">
        <v>7552</v>
      </c>
      <c r="J2496" s="19" t="s">
        <v>4573</v>
      </c>
    </row>
    <row r="2497" spans="1:10" x14ac:dyDescent="0.2">
      <c r="A2497" s="3">
        <v>5637</v>
      </c>
      <c r="B2497" s="3" t="s">
        <v>2711</v>
      </c>
      <c r="C2497" s="3" t="s">
        <v>2711</v>
      </c>
      <c r="D2497" s="3" t="s">
        <v>2510</v>
      </c>
      <c r="I2497" s="19">
        <v>7553</v>
      </c>
      <c r="J2497" s="19" t="s">
        <v>4573</v>
      </c>
    </row>
    <row r="2498" spans="1:10" x14ac:dyDescent="0.2">
      <c r="A2498" s="3">
        <v>5627</v>
      </c>
      <c r="B2498" s="3" t="s">
        <v>2712</v>
      </c>
      <c r="C2498" s="3" t="s">
        <v>2712</v>
      </c>
      <c r="D2498" s="3" t="s">
        <v>2510</v>
      </c>
      <c r="I2498" s="19">
        <v>7554</v>
      </c>
      <c r="J2498" s="19" t="s">
        <v>4573</v>
      </c>
    </row>
    <row r="2499" spans="1:10" x14ac:dyDescent="0.2">
      <c r="A2499" s="3">
        <v>5618</v>
      </c>
      <c r="B2499" s="3" t="s">
        <v>2713</v>
      </c>
      <c r="C2499" s="3" t="s">
        <v>2713</v>
      </c>
      <c r="D2499" s="3" t="s">
        <v>2510</v>
      </c>
      <c r="I2499" s="19">
        <v>7556</v>
      </c>
      <c r="J2499" s="19" t="s">
        <v>4573</v>
      </c>
    </row>
    <row r="2500" spans="1:10" x14ac:dyDescent="0.2">
      <c r="A2500" s="3">
        <v>5623</v>
      </c>
      <c r="B2500" s="3" t="s">
        <v>2714</v>
      </c>
      <c r="C2500" s="3" t="s">
        <v>2714</v>
      </c>
      <c r="D2500" s="3" t="s">
        <v>2510</v>
      </c>
      <c r="I2500" s="19">
        <v>7557</v>
      </c>
      <c r="J2500" s="19" t="s">
        <v>4573</v>
      </c>
    </row>
    <row r="2501" spans="1:10" x14ac:dyDescent="0.2">
      <c r="A2501" s="3">
        <v>5624</v>
      </c>
      <c r="B2501" s="3" t="s">
        <v>2715</v>
      </c>
      <c r="C2501" s="3" t="s">
        <v>2715</v>
      </c>
      <c r="D2501" s="3" t="s">
        <v>2510</v>
      </c>
      <c r="I2501" s="19">
        <v>7558</v>
      </c>
      <c r="J2501" s="19" t="s">
        <v>4573</v>
      </c>
    </row>
    <row r="2502" spans="1:10" x14ac:dyDescent="0.2">
      <c r="A2502" s="3">
        <v>5624</v>
      </c>
      <c r="B2502" s="3" t="s">
        <v>2716</v>
      </c>
      <c r="C2502" s="3" t="s">
        <v>2715</v>
      </c>
      <c r="D2502" s="3" t="s">
        <v>2510</v>
      </c>
      <c r="I2502" s="19">
        <v>7559</v>
      </c>
      <c r="J2502" s="19" t="s">
        <v>4573</v>
      </c>
    </row>
    <row r="2503" spans="1:10" x14ac:dyDescent="0.2">
      <c r="A2503" s="3">
        <v>5632</v>
      </c>
      <c r="B2503" s="3" t="s">
        <v>2717</v>
      </c>
      <c r="C2503" s="3" t="s">
        <v>2717</v>
      </c>
      <c r="D2503" s="3" t="s">
        <v>2510</v>
      </c>
      <c r="I2503" s="19">
        <v>7560</v>
      </c>
      <c r="J2503" s="19" t="s">
        <v>4573</v>
      </c>
    </row>
    <row r="2504" spans="1:10" x14ac:dyDescent="0.2">
      <c r="A2504" s="3">
        <v>6042</v>
      </c>
      <c r="B2504" s="3" t="s">
        <v>2718</v>
      </c>
      <c r="C2504" s="3" t="s">
        <v>2718</v>
      </c>
      <c r="D2504" s="3" t="s">
        <v>2510</v>
      </c>
      <c r="I2504" s="19">
        <v>7562</v>
      </c>
      <c r="J2504" s="19" t="s">
        <v>4573</v>
      </c>
    </row>
    <row r="2505" spans="1:10" x14ac:dyDescent="0.2">
      <c r="A2505" s="3">
        <v>5637</v>
      </c>
      <c r="B2505" s="3" t="s">
        <v>2719</v>
      </c>
      <c r="C2505" s="3" t="s">
        <v>2719</v>
      </c>
      <c r="D2505" s="3" t="s">
        <v>2510</v>
      </c>
      <c r="I2505" s="19">
        <v>7563</v>
      </c>
      <c r="J2505" s="19" t="s">
        <v>4573</v>
      </c>
    </row>
    <row r="2506" spans="1:10" x14ac:dyDescent="0.2">
      <c r="A2506" s="3">
        <v>5625</v>
      </c>
      <c r="B2506" s="3" t="s">
        <v>2720</v>
      </c>
      <c r="C2506" s="3" t="s">
        <v>2720</v>
      </c>
      <c r="D2506" s="3" t="s">
        <v>2510</v>
      </c>
      <c r="I2506" s="19">
        <v>7602</v>
      </c>
      <c r="J2506" s="19" t="s">
        <v>4574</v>
      </c>
    </row>
    <row r="2507" spans="1:10" x14ac:dyDescent="0.2">
      <c r="A2507" s="3">
        <v>5634</v>
      </c>
      <c r="B2507" s="3" t="s">
        <v>2721</v>
      </c>
      <c r="C2507" s="3" t="s">
        <v>2721</v>
      </c>
      <c r="D2507" s="3" t="s">
        <v>2510</v>
      </c>
      <c r="I2507" s="19">
        <v>7603</v>
      </c>
      <c r="J2507" s="19" t="s">
        <v>4574</v>
      </c>
    </row>
    <row r="2508" spans="1:10" x14ac:dyDescent="0.2">
      <c r="A2508" s="3">
        <v>5636</v>
      </c>
      <c r="B2508" s="3" t="s">
        <v>2722</v>
      </c>
      <c r="C2508" s="3" t="s">
        <v>2721</v>
      </c>
      <c r="D2508" s="3" t="s">
        <v>2510</v>
      </c>
      <c r="I2508" s="19">
        <v>7604</v>
      </c>
      <c r="J2508" s="19" t="s">
        <v>4574</v>
      </c>
    </row>
    <row r="2509" spans="1:10" x14ac:dyDescent="0.2">
      <c r="A2509" s="3">
        <v>5642</v>
      </c>
      <c r="B2509" s="3" t="s">
        <v>2723</v>
      </c>
      <c r="C2509" s="3" t="s">
        <v>2723</v>
      </c>
      <c r="D2509" s="3" t="s">
        <v>2510</v>
      </c>
      <c r="I2509" s="19">
        <v>7605</v>
      </c>
      <c r="J2509" s="19" t="s">
        <v>4574</v>
      </c>
    </row>
    <row r="2510" spans="1:10" x14ac:dyDescent="0.2">
      <c r="A2510" s="3">
        <v>5630</v>
      </c>
      <c r="B2510" s="3" t="s">
        <v>2724</v>
      </c>
      <c r="C2510" s="3" t="s">
        <v>2725</v>
      </c>
      <c r="D2510" s="3" t="s">
        <v>2510</v>
      </c>
      <c r="I2510" s="19">
        <v>7606</v>
      </c>
      <c r="J2510" s="19" t="s">
        <v>4574</v>
      </c>
    </row>
    <row r="2511" spans="1:10" x14ac:dyDescent="0.2">
      <c r="A2511" s="3">
        <v>5647</v>
      </c>
      <c r="B2511" s="3" t="s">
        <v>2726</v>
      </c>
      <c r="C2511" s="3" t="s">
        <v>2726</v>
      </c>
      <c r="D2511" s="3" t="s">
        <v>2510</v>
      </c>
      <c r="I2511" s="19">
        <v>7608</v>
      </c>
      <c r="J2511" s="19" t="s">
        <v>4574</v>
      </c>
    </row>
    <row r="2512" spans="1:10" x14ac:dyDescent="0.2">
      <c r="A2512" s="3">
        <v>8919</v>
      </c>
      <c r="B2512" s="3" t="s">
        <v>2727</v>
      </c>
      <c r="C2512" s="3" t="s">
        <v>2727</v>
      </c>
      <c r="D2512" s="3" t="s">
        <v>2510</v>
      </c>
      <c r="I2512" s="19">
        <v>7610</v>
      </c>
      <c r="J2512" s="19" t="s">
        <v>4574</v>
      </c>
    </row>
    <row r="2513" spans="1:10" x14ac:dyDescent="0.2">
      <c r="A2513" s="3">
        <v>5643</v>
      </c>
      <c r="B2513" s="3" t="s">
        <v>2728</v>
      </c>
      <c r="C2513" s="3" t="s">
        <v>2728</v>
      </c>
      <c r="D2513" s="3" t="s">
        <v>2510</v>
      </c>
      <c r="I2513" s="19">
        <v>7710</v>
      </c>
      <c r="J2513" s="19" t="s">
        <v>4574</v>
      </c>
    </row>
    <row r="2514" spans="1:10" x14ac:dyDescent="0.2">
      <c r="A2514" s="3">
        <v>5643</v>
      </c>
      <c r="B2514" s="3" t="s">
        <v>2728</v>
      </c>
      <c r="C2514" s="3" t="s">
        <v>2728</v>
      </c>
      <c r="D2514" s="3" t="s">
        <v>2510</v>
      </c>
      <c r="I2514" s="19">
        <v>7741</v>
      </c>
      <c r="J2514" s="19" t="s">
        <v>4574</v>
      </c>
    </row>
    <row r="2515" spans="1:10" x14ac:dyDescent="0.2">
      <c r="A2515" s="3">
        <v>5643</v>
      </c>
      <c r="B2515" s="3" t="s">
        <v>2729</v>
      </c>
      <c r="C2515" s="3" t="s">
        <v>2728</v>
      </c>
      <c r="D2515" s="3" t="s">
        <v>2510</v>
      </c>
      <c r="I2515" s="19">
        <v>7742</v>
      </c>
      <c r="J2515" s="19" t="s">
        <v>4574</v>
      </c>
    </row>
    <row r="2516" spans="1:10" x14ac:dyDescent="0.2">
      <c r="A2516" s="3">
        <v>5643</v>
      </c>
      <c r="B2516" s="3" t="s">
        <v>2730</v>
      </c>
      <c r="C2516" s="3" t="s">
        <v>2728</v>
      </c>
      <c r="D2516" s="3" t="s">
        <v>2510</v>
      </c>
      <c r="I2516" s="19">
        <v>7743</v>
      </c>
      <c r="J2516" s="19" t="s">
        <v>4574</v>
      </c>
    </row>
    <row r="2517" spans="1:10" x14ac:dyDescent="0.2">
      <c r="A2517" s="3">
        <v>5645</v>
      </c>
      <c r="B2517" s="3" t="s">
        <v>2731</v>
      </c>
      <c r="C2517" s="3" t="s">
        <v>2728</v>
      </c>
      <c r="D2517" s="3" t="s">
        <v>2510</v>
      </c>
      <c r="I2517" s="19">
        <v>7744</v>
      </c>
      <c r="J2517" s="19" t="s">
        <v>4574</v>
      </c>
    </row>
    <row r="2518" spans="1:10" x14ac:dyDescent="0.2">
      <c r="A2518" s="3">
        <v>5645</v>
      </c>
      <c r="B2518" s="3" t="s">
        <v>2732</v>
      </c>
      <c r="C2518" s="3" t="s">
        <v>2728</v>
      </c>
      <c r="D2518" s="3" t="s">
        <v>2510</v>
      </c>
      <c r="I2518" s="19">
        <v>7745</v>
      </c>
      <c r="J2518" s="19" t="s">
        <v>4574</v>
      </c>
    </row>
    <row r="2519" spans="1:10" x14ac:dyDescent="0.2">
      <c r="A2519" s="3">
        <v>5622</v>
      </c>
      <c r="B2519" s="3" t="s">
        <v>2733</v>
      </c>
      <c r="C2519" s="3" t="s">
        <v>2733</v>
      </c>
      <c r="D2519" s="3" t="s">
        <v>2510</v>
      </c>
      <c r="I2519" s="19">
        <v>7746</v>
      </c>
      <c r="J2519" s="19" t="s">
        <v>4574</v>
      </c>
    </row>
    <row r="2520" spans="1:10" x14ac:dyDescent="0.2">
      <c r="A2520" s="3">
        <v>4316</v>
      </c>
      <c r="B2520" s="3" t="s">
        <v>2734</v>
      </c>
      <c r="C2520" s="3" t="s">
        <v>2734</v>
      </c>
      <c r="D2520" s="3" t="s">
        <v>2510</v>
      </c>
      <c r="I2520" s="19">
        <v>7747</v>
      </c>
      <c r="J2520" s="19" t="s">
        <v>4574</v>
      </c>
    </row>
    <row r="2521" spans="1:10" x14ac:dyDescent="0.2">
      <c r="A2521" s="3">
        <v>4303</v>
      </c>
      <c r="B2521" s="3" t="s">
        <v>2735</v>
      </c>
      <c r="C2521" s="3" t="s">
        <v>2735</v>
      </c>
      <c r="D2521" s="3" t="s">
        <v>2510</v>
      </c>
      <c r="I2521" s="19">
        <v>7748</v>
      </c>
      <c r="J2521" s="19" t="s">
        <v>4574</v>
      </c>
    </row>
    <row r="2522" spans="1:10" x14ac:dyDescent="0.2">
      <c r="A2522" s="3">
        <v>4312</v>
      </c>
      <c r="B2522" s="3" t="s">
        <v>2736</v>
      </c>
      <c r="C2522" s="3" t="s">
        <v>2736</v>
      </c>
      <c r="D2522" s="3" t="s">
        <v>2510</v>
      </c>
      <c r="I2522" s="19">
        <v>8001</v>
      </c>
      <c r="J2522" s="19" t="s">
        <v>4560</v>
      </c>
    </row>
    <row r="2523" spans="1:10" x14ac:dyDescent="0.2">
      <c r="A2523" s="3">
        <v>4313</v>
      </c>
      <c r="B2523" s="3" t="s">
        <v>2737</v>
      </c>
      <c r="C2523" s="3" t="s">
        <v>2737</v>
      </c>
      <c r="D2523" s="3" t="s">
        <v>2510</v>
      </c>
      <c r="I2523" s="19">
        <v>8002</v>
      </c>
      <c r="J2523" s="19" t="s">
        <v>4560</v>
      </c>
    </row>
    <row r="2524" spans="1:10" x14ac:dyDescent="0.2">
      <c r="A2524" s="3">
        <v>4322</v>
      </c>
      <c r="B2524" s="3" t="s">
        <v>2738</v>
      </c>
      <c r="C2524" s="3" t="s">
        <v>2738</v>
      </c>
      <c r="D2524" s="3" t="s">
        <v>2510</v>
      </c>
      <c r="I2524" s="19">
        <v>8003</v>
      </c>
      <c r="J2524" s="19" t="s">
        <v>4560</v>
      </c>
    </row>
    <row r="2525" spans="1:10" x14ac:dyDescent="0.2">
      <c r="A2525" s="3">
        <v>4324</v>
      </c>
      <c r="B2525" s="3" t="s">
        <v>2739</v>
      </c>
      <c r="C2525" s="3" t="s">
        <v>2739</v>
      </c>
      <c r="D2525" s="3" t="s">
        <v>2510</v>
      </c>
      <c r="I2525" s="19">
        <v>8004</v>
      </c>
      <c r="J2525" s="19" t="s">
        <v>4560</v>
      </c>
    </row>
    <row r="2526" spans="1:10" x14ac:dyDescent="0.2">
      <c r="A2526" s="3">
        <v>4305</v>
      </c>
      <c r="B2526" s="3" t="s">
        <v>2740</v>
      </c>
      <c r="C2526" s="3" t="s">
        <v>2740</v>
      </c>
      <c r="D2526" s="3" t="s">
        <v>2510</v>
      </c>
      <c r="I2526" s="19">
        <v>8005</v>
      </c>
      <c r="J2526" s="19" t="s">
        <v>4560</v>
      </c>
    </row>
    <row r="2527" spans="1:10" x14ac:dyDescent="0.2">
      <c r="A2527" s="3">
        <v>4310</v>
      </c>
      <c r="B2527" s="3" t="s">
        <v>2741</v>
      </c>
      <c r="C2527" s="3" t="s">
        <v>2741</v>
      </c>
      <c r="D2527" s="3" t="s">
        <v>2510</v>
      </c>
      <c r="I2527" s="19">
        <v>8006</v>
      </c>
      <c r="J2527" s="19" t="s">
        <v>4560</v>
      </c>
    </row>
    <row r="2528" spans="1:10" x14ac:dyDescent="0.2">
      <c r="A2528" s="3">
        <v>4325</v>
      </c>
      <c r="B2528" s="3" t="s">
        <v>2742</v>
      </c>
      <c r="C2528" s="3" t="s">
        <v>2742</v>
      </c>
      <c r="D2528" s="3" t="s">
        <v>2510</v>
      </c>
      <c r="I2528" s="19">
        <v>8008</v>
      </c>
      <c r="J2528" s="19" t="s">
        <v>4560</v>
      </c>
    </row>
    <row r="2529" spans="1:10" x14ac:dyDescent="0.2">
      <c r="A2529" s="3">
        <v>4332</v>
      </c>
      <c r="B2529" s="3" t="s">
        <v>2743</v>
      </c>
      <c r="C2529" s="3" t="s">
        <v>2744</v>
      </c>
      <c r="D2529" s="3" t="s">
        <v>2510</v>
      </c>
      <c r="I2529" s="19">
        <v>8032</v>
      </c>
      <c r="J2529" s="19" t="s">
        <v>4560</v>
      </c>
    </row>
    <row r="2530" spans="1:10" x14ac:dyDescent="0.2">
      <c r="A2530" s="3">
        <v>4323</v>
      </c>
      <c r="B2530" s="3" t="s">
        <v>2745</v>
      </c>
      <c r="C2530" s="3" t="s">
        <v>2745</v>
      </c>
      <c r="D2530" s="3" t="s">
        <v>2510</v>
      </c>
      <c r="I2530" s="19">
        <v>8037</v>
      </c>
      <c r="J2530" s="19" t="s">
        <v>4560</v>
      </c>
    </row>
    <row r="2531" spans="1:10" x14ac:dyDescent="0.2">
      <c r="A2531" s="3">
        <v>4317</v>
      </c>
      <c r="B2531" s="3" t="s">
        <v>2746</v>
      </c>
      <c r="C2531" s="3" t="s">
        <v>2746</v>
      </c>
      <c r="D2531" s="3" t="s">
        <v>2510</v>
      </c>
      <c r="I2531" s="19">
        <v>8038</v>
      </c>
      <c r="J2531" s="19" t="s">
        <v>4560</v>
      </c>
    </row>
    <row r="2532" spans="1:10" x14ac:dyDescent="0.2">
      <c r="A2532" s="3">
        <v>4314</v>
      </c>
      <c r="B2532" s="3" t="s">
        <v>2747</v>
      </c>
      <c r="C2532" s="3" t="s">
        <v>2747</v>
      </c>
      <c r="D2532" s="3" t="s">
        <v>2510</v>
      </c>
      <c r="I2532" s="19">
        <v>8041</v>
      </c>
      <c r="J2532" s="19" t="s">
        <v>4560</v>
      </c>
    </row>
    <row r="2533" spans="1:10" x14ac:dyDescent="0.2">
      <c r="A2533" s="3">
        <v>4315</v>
      </c>
      <c r="B2533" s="3" t="s">
        <v>2748</v>
      </c>
      <c r="C2533" s="3" t="s">
        <v>2748</v>
      </c>
      <c r="D2533" s="3" t="s">
        <v>2510</v>
      </c>
      <c r="I2533" s="19">
        <v>8044</v>
      </c>
      <c r="J2533" s="19" t="s">
        <v>4560</v>
      </c>
    </row>
    <row r="2534" spans="1:10" x14ac:dyDescent="0.2">
      <c r="A2534" s="3">
        <v>4663</v>
      </c>
      <c r="B2534" s="3" t="s">
        <v>2749</v>
      </c>
      <c r="C2534" s="3" t="s">
        <v>2749</v>
      </c>
      <c r="D2534" s="3" t="s">
        <v>2510</v>
      </c>
      <c r="I2534" s="19">
        <v>8045</v>
      </c>
      <c r="J2534" s="19" t="s">
        <v>4560</v>
      </c>
    </row>
    <row r="2535" spans="1:10" x14ac:dyDescent="0.2">
      <c r="A2535" s="3">
        <v>4814</v>
      </c>
      <c r="B2535" s="3" t="s">
        <v>2750</v>
      </c>
      <c r="C2535" s="3" t="s">
        <v>2750</v>
      </c>
      <c r="D2535" s="3" t="s">
        <v>2510</v>
      </c>
      <c r="I2535" s="19">
        <v>8046</v>
      </c>
      <c r="J2535" s="19" t="s">
        <v>4560</v>
      </c>
    </row>
    <row r="2536" spans="1:10" x14ac:dyDescent="0.2">
      <c r="A2536" s="3">
        <v>4805</v>
      </c>
      <c r="B2536" s="3" t="s">
        <v>2751</v>
      </c>
      <c r="C2536" s="3" t="s">
        <v>2751</v>
      </c>
      <c r="D2536" s="3" t="s">
        <v>2510</v>
      </c>
      <c r="I2536" s="19">
        <v>8047</v>
      </c>
      <c r="J2536" s="19" t="s">
        <v>4560</v>
      </c>
    </row>
    <row r="2537" spans="1:10" x14ac:dyDescent="0.2">
      <c r="A2537" s="3">
        <v>5054</v>
      </c>
      <c r="B2537" s="3" t="s">
        <v>2752</v>
      </c>
      <c r="C2537" s="3" t="s">
        <v>2752</v>
      </c>
      <c r="D2537" s="3" t="s">
        <v>2510</v>
      </c>
      <c r="I2537" s="19">
        <v>8048</v>
      </c>
      <c r="J2537" s="19" t="s">
        <v>4560</v>
      </c>
    </row>
    <row r="2538" spans="1:10" x14ac:dyDescent="0.2">
      <c r="A2538" s="3">
        <v>5742</v>
      </c>
      <c r="B2538" s="3" t="s">
        <v>2753</v>
      </c>
      <c r="C2538" s="3" t="s">
        <v>2753</v>
      </c>
      <c r="D2538" s="3" t="s">
        <v>2510</v>
      </c>
      <c r="I2538" s="19">
        <v>8049</v>
      </c>
      <c r="J2538" s="19" t="s">
        <v>4560</v>
      </c>
    </row>
    <row r="2539" spans="1:10" x14ac:dyDescent="0.2">
      <c r="A2539" s="3">
        <v>5054</v>
      </c>
      <c r="B2539" s="3" t="s">
        <v>2754</v>
      </c>
      <c r="C2539" s="3" t="s">
        <v>2754</v>
      </c>
      <c r="D2539" s="3" t="s">
        <v>2510</v>
      </c>
      <c r="I2539" s="19">
        <v>8050</v>
      </c>
      <c r="J2539" s="19" t="s">
        <v>4560</v>
      </c>
    </row>
    <row r="2540" spans="1:10" x14ac:dyDescent="0.2">
      <c r="A2540" s="3">
        <v>4853</v>
      </c>
      <c r="B2540" s="3" t="s">
        <v>2755</v>
      </c>
      <c r="C2540" s="3" t="s">
        <v>2755</v>
      </c>
      <c r="D2540" s="3" t="s">
        <v>2510</v>
      </c>
      <c r="I2540" s="19">
        <v>8051</v>
      </c>
      <c r="J2540" s="19" t="s">
        <v>4560</v>
      </c>
    </row>
    <row r="2541" spans="1:10" x14ac:dyDescent="0.2">
      <c r="A2541" s="3">
        <v>4853</v>
      </c>
      <c r="B2541" s="3" t="s">
        <v>2756</v>
      </c>
      <c r="C2541" s="3" t="s">
        <v>2755</v>
      </c>
      <c r="D2541" s="3" t="s">
        <v>2510</v>
      </c>
      <c r="I2541" s="19">
        <v>8052</v>
      </c>
      <c r="J2541" s="19" t="s">
        <v>4560</v>
      </c>
    </row>
    <row r="2542" spans="1:10" x14ac:dyDescent="0.2">
      <c r="A2542" s="3">
        <v>4856</v>
      </c>
      <c r="B2542" s="3" t="s">
        <v>2757</v>
      </c>
      <c r="C2542" s="3" t="s">
        <v>2755</v>
      </c>
      <c r="D2542" s="3" t="s">
        <v>2510</v>
      </c>
      <c r="I2542" s="19">
        <v>8053</v>
      </c>
      <c r="J2542" s="19" t="s">
        <v>4560</v>
      </c>
    </row>
    <row r="2543" spans="1:10" x14ac:dyDescent="0.2">
      <c r="A2543" s="3">
        <v>4665</v>
      </c>
      <c r="B2543" s="3" t="s">
        <v>2758</v>
      </c>
      <c r="C2543" s="3" t="s">
        <v>2758</v>
      </c>
      <c r="D2543" s="3" t="s">
        <v>2510</v>
      </c>
      <c r="I2543" s="19">
        <v>8055</v>
      </c>
      <c r="J2543" s="19" t="s">
        <v>4560</v>
      </c>
    </row>
    <row r="2544" spans="1:10" x14ac:dyDescent="0.2">
      <c r="A2544" s="3">
        <v>5056</v>
      </c>
      <c r="B2544" s="3" t="s">
        <v>2759</v>
      </c>
      <c r="C2544" s="3" t="s">
        <v>2760</v>
      </c>
      <c r="D2544" s="3" t="s">
        <v>2510</v>
      </c>
      <c r="I2544" s="19">
        <v>8057</v>
      </c>
      <c r="J2544" s="19" t="s">
        <v>4560</v>
      </c>
    </row>
    <row r="2545" spans="1:10" x14ac:dyDescent="0.2">
      <c r="A2545" s="3">
        <v>5057</v>
      </c>
      <c r="B2545" s="3" t="s">
        <v>2760</v>
      </c>
      <c r="C2545" s="3" t="s">
        <v>2760</v>
      </c>
      <c r="D2545" s="3" t="s">
        <v>2510</v>
      </c>
      <c r="I2545" s="19">
        <v>8064</v>
      </c>
      <c r="J2545" s="19" t="s">
        <v>4560</v>
      </c>
    </row>
    <row r="2546" spans="1:10" x14ac:dyDescent="0.2">
      <c r="A2546" s="3">
        <v>4852</v>
      </c>
      <c r="B2546" s="3" t="s">
        <v>2761</v>
      </c>
      <c r="C2546" s="3" t="s">
        <v>2761</v>
      </c>
      <c r="D2546" s="3" t="s">
        <v>2510</v>
      </c>
      <c r="I2546" s="19">
        <v>8102</v>
      </c>
      <c r="J2546" s="19" t="s">
        <v>4560</v>
      </c>
    </row>
    <row r="2547" spans="1:10" x14ac:dyDescent="0.2">
      <c r="A2547" s="3">
        <v>5745</v>
      </c>
      <c r="B2547" s="3" t="s">
        <v>2762</v>
      </c>
      <c r="C2547" s="3" t="s">
        <v>2762</v>
      </c>
      <c r="D2547" s="3" t="s">
        <v>2510</v>
      </c>
      <c r="I2547" s="19">
        <v>8103</v>
      </c>
      <c r="J2547" s="19" t="s">
        <v>4560</v>
      </c>
    </row>
    <row r="2548" spans="1:10" x14ac:dyDescent="0.2">
      <c r="A2548" s="3">
        <v>5053</v>
      </c>
      <c r="B2548" s="3" t="s">
        <v>2763</v>
      </c>
      <c r="C2548" s="3" t="s">
        <v>2763</v>
      </c>
      <c r="D2548" s="3" t="s">
        <v>2510</v>
      </c>
      <c r="I2548" s="19">
        <v>8104</v>
      </c>
      <c r="J2548" s="19" t="s">
        <v>4559</v>
      </c>
    </row>
    <row r="2549" spans="1:10" x14ac:dyDescent="0.2">
      <c r="A2549" s="3">
        <v>5053</v>
      </c>
      <c r="B2549" s="3" t="s">
        <v>2764</v>
      </c>
      <c r="C2549" s="3" t="s">
        <v>2763</v>
      </c>
      <c r="D2549" s="3" t="s">
        <v>2510</v>
      </c>
      <c r="I2549" s="19">
        <v>8105</v>
      </c>
      <c r="J2549" s="19" t="s">
        <v>4559</v>
      </c>
    </row>
    <row r="2550" spans="1:10" x14ac:dyDescent="0.2">
      <c r="A2550" s="3">
        <v>4802</v>
      </c>
      <c r="B2550" s="3" t="s">
        <v>2765</v>
      </c>
      <c r="C2550" s="3" t="s">
        <v>2765</v>
      </c>
      <c r="D2550" s="3" t="s">
        <v>2510</v>
      </c>
      <c r="I2550" s="19">
        <v>8106</v>
      </c>
      <c r="J2550" s="19" t="s">
        <v>4559</v>
      </c>
    </row>
    <row r="2551" spans="1:10" x14ac:dyDescent="0.2">
      <c r="A2551" s="3">
        <v>4813</v>
      </c>
      <c r="B2551" s="3" t="s">
        <v>2766</v>
      </c>
      <c r="C2551" s="3" t="s">
        <v>2766</v>
      </c>
      <c r="D2551" s="3" t="s">
        <v>2510</v>
      </c>
      <c r="I2551" s="19">
        <v>8107</v>
      </c>
      <c r="J2551" s="19" t="s">
        <v>4559</v>
      </c>
    </row>
    <row r="2552" spans="1:10" x14ac:dyDescent="0.2">
      <c r="A2552" s="3">
        <v>4803</v>
      </c>
      <c r="B2552" s="3" t="s">
        <v>2767</v>
      </c>
      <c r="C2552" s="3" t="s">
        <v>2767</v>
      </c>
      <c r="D2552" s="3" t="s">
        <v>2510</v>
      </c>
      <c r="I2552" s="19">
        <v>8108</v>
      </c>
      <c r="J2552" s="19" t="s">
        <v>4559</v>
      </c>
    </row>
    <row r="2553" spans="1:10" x14ac:dyDescent="0.2">
      <c r="A2553" s="3">
        <v>5058</v>
      </c>
      <c r="B2553" s="3" t="s">
        <v>2768</v>
      </c>
      <c r="C2553" s="3" t="s">
        <v>2768</v>
      </c>
      <c r="D2553" s="3" t="s">
        <v>2510</v>
      </c>
      <c r="I2553" s="19">
        <v>8109</v>
      </c>
      <c r="J2553" s="19" t="s">
        <v>4560</v>
      </c>
    </row>
    <row r="2554" spans="1:10" x14ac:dyDescent="0.2">
      <c r="A2554" s="3">
        <v>4800</v>
      </c>
      <c r="B2554" s="3" t="s">
        <v>2769</v>
      </c>
      <c r="C2554" s="3" t="s">
        <v>2769</v>
      </c>
      <c r="D2554" s="3" t="s">
        <v>2510</v>
      </c>
      <c r="I2554" s="19">
        <v>8112</v>
      </c>
      <c r="J2554" s="19" t="s">
        <v>4559</v>
      </c>
    </row>
    <row r="2555" spans="1:10" x14ac:dyDescent="0.2">
      <c r="A2555" s="3">
        <v>4812</v>
      </c>
      <c r="B2555" s="3" t="s">
        <v>2770</v>
      </c>
      <c r="C2555" s="3" t="s">
        <v>2769</v>
      </c>
      <c r="D2555" s="3" t="s">
        <v>2510</v>
      </c>
      <c r="I2555" s="19">
        <v>8113</v>
      </c>
      <c r="J2555" s="19" t="s">
        <v>4559</v>
      </c>
    </row>
    <row r="2556" spans="1:10" x14ac:dyDescent="0.2">
      <c r="A2556" s="3">
        <v>5314</v>
      </c>
      <c r="B2556" s="3" t="s">
        <v>2771</v>
      </c>
      <c r="C2556" s="3" t="s">
        <v>2772</v>
      </c>
      <c r="D2556" s="3" t="s">
        <v>2510</v>
      </c>
      <c r="I2556" s="19">
        <v>8114</v>
      </c>
      <c r="J2556" s="19" t="s">
        <v>4559</v>
      </c>
    </row>
    <row r="2557" spans="1:10" x14ac:dyDescent="0.2">
      <c r="A2557" s="3">
        <v>5315</v>
      </c>
      <c r="B2557" s="3" t="s">
        <v>2772</v>
      </c>
      <c r="C2557" s="3" t="s">
        <v>2772</v>
      </c>
      <c r="D2557" s="3" t="s">
        <v>2510</v>
      </c>
      <c r="I2557" s="19">
        <v>8115</v>
      </c>
      <c r="J2557" s="19" t="s">
        <v>4559</v>
      </c>
    </row>
    <row r="2558" spans="1:10" x14ac:dyDescent="0.2">
      <c r="A2558" s="3">
        <v>5312</v>
      </c>
      <c r="B2558" s="3" t="s">
        <v>2773</v>
      </c>
      <c r="C2558" s="3" t="s">
        <v>2773</v>
      </c>
      <c r="D2558" s="3" t="s">
        <v>2510</v>
      </c>
      <c r="I2558" s="19">
        <v>8117</v>
      </c>
      <c r="J2558" s="19" t="s">
        <v>4560</v>
      </c>
    </row>
    <row r="2559" spans="1:10" x14ac:dyDescent="0.2">
      <c r="A2559" s="3">
        <v>5304</v>
      </c>
      <c r="B2559" s="3" t="s">
        <v>2774</v>
      </c>
      <c r="C2559" s="3" t="s">
        <v>2774</v>
      </c>
      <c r="D2559" s="3" t="s">
        <v>2510</v>
      </c>
      <c r="I2559" s="19">
        <v>8118</v>
      </c>
      <c r="J2559" s="19" t="s">
        <v>4560</v>
      </c>
    </row>
    <row r="2560" spans="1:10" x14ac:dyDescent="0.2">
      <c r="A2560" s="3">
        <v>5305</v>
      </c>
      <c r="B2560" s="3" t="s">
        <v>2775</v>
      </c>
      <c r="C2560" s="3" t="s">
        <v>2774</v>
      </c>
      <c r="D2560" s="3" t="s">
        <v>2510</v>
      </c>
      <c r="I2560" s="19">
        <v>8121</v>
      </c>
      <c r="J2560" s="19" t="s">
        <v>4560</v>
      </c>
    </row>
    <row r="2561" spans="1:10" x14ac:dyDescent="0.2">
      <c r="A2561" s="3">
        <v>5467</v>
      </c>
      <c r="B2561" s="3" t="s">
        <v>2776</v>
      </c>
      <c r="C2561" s="3" t="s">
        <v>2776</v>
      </c>
      <c r="D2561" s="3" t="s">
        <v>2510</v>
      </c>
      <c r="I2561" s="19">
        <v>8122</v>
      </c>
      <c r="J2561" s="19" t="s">
        <v>4560</v>
      </c>
    </row>
    <row r="2562" spans="1:10" x14ac:dyDescent="0.2">
      <c r="A2562" s="3">
        <v>5324</v>
      </c>
      <c r="B2562" s="3" t="s">
        <v>2777</v>
      </c>
      <c r="C2562" s="3" t="s">
        <v>2777</v>
      </c>
      <c r="D2562" s="3" t="s">
        <v>2510</v>
      </c>
      <c r="I2562" s="19">
        <v>8123</v>
      </c>
      <c r="J2562" s="19" t="s">
        <v>4560</v>
      </c>
    </row>
    <row r="2563" spans="1:10" x14ac:dyDescent="0.2">
      <c r="A2563" s="3">
        <v>5313</v>
      </c>
      <c r="B2563" s="3" t="s">
        <v>2778</v>
      </c>
      <c r="C2563" s="3" t="s">
        <v>2778</v>
      </c>
      <c r="D2563" s="3" t="s">
        <v>2510</v>
      </c>
      <c r="I2563" s="19">
        <v>8124</v>
      </c>
      <c r="J2563" s="19" t="s">
        <v>4560</v>
      </c>
    </row>
    <row r="2564" spans="1:10" x14ac:dyDescent="0.2">
      <c r="A2564" s="3">
        <v>5322</v>
      </c>
      <c r="B2564" s="3" t="s">
        <v>2779</v>
      </c>
      <c r="C2564" s="3" t="s">
        <v>2779</v>
      </c>
      <c r="D2564" s="3" t="s">
        <v>2510</v>
      </c>
      <c r="I2564" s="19">
        <v>8125</v>
      </c>
      <c r="J2564" s="19" t="s">
        <v>4560</v>
      </c>
    </row>
    <row r="2565" spans="1:10" x14ac:dyDescent="0.2">
      <c r="A2565" s="3">
        <v>5325</v>
      </c>
      <c r="B2565" s="3" t="s">
        <v>2780</v>
      </c>
      <c r="C2565" s="3" t="s">
        <v>2780</v>
      </c>
      <c r="D2565" s="3" t="s">
        <v>2510</v>
      </c>
      <c r="I2565" s="19">
        <v>8126</v>
      </c>
      <c r="J2565" s="19" t="s">
        <v>4560</v>
      </c>
    </row>
    <row r="2566" spans="1:10" x14ac:dyDescent="0.2">
      <c r="A2566" s="3">
        <v>5426</v>
      </c>
      <c r="B2566" s="3" t="s">
        <v>2781</v>
      </c>
      <c r="C2566" s="3" t="s">
        <v>2782</v>
      </c>
      <c r="D2566" s="3" t="s">
        <v>2510</v>
      </c>
      <c r="I2566" s="19">
        <v>8127</v>
      </c>
      <c r="J2566" s="19" t="s">
        <v>4560</v>
      </c>
    </row>
    <row r="2567" spans="1:10" x14ac:dyDescent="0.2">
      <c r="A2567" s="3">
        <v>5316</v>
      </c>
      <c r="B2567" s="3" t="s">
        <v>2783</v>
      </c>
      <c r="C2567" s="3" t="s">
        <v>2783</v>
      </c>
      <c r="D2567" s="3" t="s">
        <v>2510</v>
      </c>
      <c r="I2567" s="19">
        <v>8132</v>
      </c>
      <c r="J2567" s="19" t="s">
        <v>4560</v>
      </c>
    </row>
    <row r="2568" spans="1:10" x14ac:dyDescent="0.2">
      <c r="A2568" s="3">
        <v>5317</v>
      </c>
      <c r="B2568" s="3" t="s">
        <v>2784</v>
      </c>
      <c r="C2568" s="3" t="s">
        <v>2783</v>
      </c>
      <c r="D2568" s="3" t="s">
        <v>2510</v>
      </c>
      <c r="I2568" s="19">
        <v>8133</v>
      </c>
      <c r="J2568" s="19" t="s">
        <v>4560</v>
      </c>
    </row>
    <row r="2569" spans="1:10" x14ac:dyDescent="0.2">
      <c r="A2569" s="3">
        <v>5465</v>
      </c>
      <c r="B2569" s="3" t="s">
        <v>2785</v>
      </c>
      <c r="C2569" s="3" t="s">
        <v>2785</v>
      </c>
      <c r="D2569" s="3" t="s">
        <v>2510</v>
      </c>
      <c r="I2569" s="19">
        <v>8134</v>
      </c>
      <c r="J2569" s="19" t="s">
        <v>4560</v>
      </c>
    </row>
    <row r="2570" spans="1:10" x14ac:dyDescent="0.2">
      <c r="A2570" s="3">
        <v>5425</v>
      </c>
      <c r="B2570" s="3" t="s">
        <v>2786</v>
      </c>
      <c r="C2570" s="3" t="s">
        <v>2786</v>
      </c>
      <c r="D2570" s="3" t="s">
        <v>2510</v>
      </c>
      <c r="I2570" s="19">
        <v>8135</v>
      </c>
      <c r="J2570" s="19" t="s">
        <v>4560</v>
      </c>
    </row>
    <row r="2571" spans="1:10" x14ac:dyDescent="0.2">
      <c r="A2571" s="3">
        <v>5462</v>
      </c>
      <c r="B2571" s="3" t="s">
        <v>2787</v>
      </c>
      <c r="C2571" s="3" t="s">
        <v>2787</v>
      </c>
      <c r="D2571" s="3" t="s">
        <v>2510</v>
      </c>
      <c r="I2571" s="19">
        <v>8136</v>
      </c>
      <c r="J2571" s="19" t="s">
        <v>4560</v>
      </c>
    </row>
    <row r="2572" spans="1:10" x14ac:dyDescent="0.2">
      <c r="A2572" s="3">
        <v>5306</v>
      </c>
      <c r="B2572" s="3" t="s">
        <v>2788</v>
      </c>
      <c r="C2572" s="3" t="s">
        <v>2788</v>
      </c>
      <c r="D2572" s="3" t="s">
        <v>2510</v>
      </c>
      <c r="I2572" s="19">
        <v>8142</v>
      </c>
      <c r="J2572" s="19" t="s">
        <v>4560</v>
      </c>
    </row>
    <row r="2573" spans="1:10" x14ac:dyDescent="0.2">
      <c r="A2573" s="3">
        <v>5323</v>
      </c>
      <c r="B2573" s="3" t="s">
        <v>2789</v>
      </c>
      <c r="C2573" s="3" t="s">
        <v>2790</v>
      </c>
      <c r="D2573" s="3" t="s">
        <v>2510</v>
      </c>
      <c r="I2573" s="19">
        <v>8143</v>
      </c>
      <c r="J2573" s="19" t="s">
        <v>4560</v>
      </c>
    </row>
    <row r="2574" spans="1:10" x14ac:dyDescent="0.2">
      <c r="A2574" s="3">
        <v>5330</v>
      </c>
      <c r="B2574" s="3" t="s">
        <v>2791</v>
      </c>
      <c r="C2574" s="3" t="s">
        <v>2790</v>
      </c>
      <c r="D2574" s="3" t="s">
        <v>2510</v>
      </c>
      <c r="I2574" s="19">
        <v>8152</v>
      </c>
      <c r="J2574" s="19" t="s">
        <v>4560</v>
      </c>
    </row>
    <row r="2575" spans="1:10" x14ac:dyDescent="0.2">
      <c r="A2575" s="3">
        <v>5332</v>
      </c>
      <c r="B2575" s="3" t="s">
        <v>2792</v>
      </c>
      <c r="C2575" s="3" t="s">
        <v>2790</v>
      </c>
      <c r="D2575" s="3" t="s">
        <v>2510</v>
      </c>
      <c r="I2575" s="19">
        <v>8153</v>
      </c>
      <c r="J2575" s="19" t="s">
        <v>4559</v>
      </c>
    </row>
    <row r="2576" spans="1:10" x14ac:dyDescent="0.2">
      <c r="A2576" s="3">
        <v>5333</v>
      </c>
      <c r="B2576" s="3" t="s">
        <v>2793</v>
      </c>
      <c r="C2576" s="3" t="s">
        <v>2790</v>
      </c>
      <c r="D2576" s="3" t="s">
        <v>2510</v>
      </c>
      <c r="I2576" s="19">
        <v>8154</v>
      </c>
      <c r="J2576" s="19" t="s">
        <v>4559</v>
      </c>
    </row>
    <row r="2577" spans="1:10" x14ac:dyDescent="0.2">
      <c r="A2577" s="3">
        <v>5334</v>
      </c>
      <c r="B2577" s="3" t="s">
        <v>2794</v>
      </c>
      <c r="C2577" s="3" t="s">
        <v>2790</v>
      </c>
      <c r="D2577" s="3" t="s">
        <v>2510</v>
      </c>
      <c r="I2577" s="19">
        <v>8155</v>
      </c>
      <c r="J2577" s="19" t="s">
        <v>4559</v>
      </c>
    </row>
    <row r="2578" spans="1:10" x14ac:dyDescent="0.2">
      <c r="A2578" s="3">
        <v>5463</v>
      </c>
      <c r="B2578" s="3" t="s">
        <v>2795</v>
      </c>
      <c r="C2578" s="3" t="s">
        <v>2790</v>
      </c>
      <c r="D2578" s="3" t="s">
        <v>2510</v>
      </c>
      <c r="I2578" s="19">
        <v>8156</v>
      </c>
      <c r="J2578" s="19" t="s">
        <v>4559</v>
      </c>
    </row>
    <row r="2579" spans="1:10" x14ac:dyDescent="0.2">
      <c r="A2579" s="3">
        <v>5464</v>
      </c>
      <c r="B2579" s="3" t="s">
        <v>2796</v>
      </c>
      <c r="C2579" s="3" t="s">
        <v>2790</v>
      </c>
      <c r="D2579" s="3" t="s">
        <v>2510</v>
      </c>
      <c r="I2579" s="19">
        <v>8157</v>
      </c>
      <c r="J2579" s="19" t="s">
        <v>4559</v>
      </c>
    </row>
    <row r="2580" spans="1:10" x14ac:dyDescent="0.2">
      <c r="A2580" s="3">
        <v>5466</v>
      </c>
      <c r="B2580" s="3" t="s">
        <v>2797</v>
      </c>
      <c r="C2580" s="3" t="s">
        <v>2790</v>
      </c>
      <c r="D2580" s="3" t="s">
        <v>2510</v>
      </c>
      <c r="I2580" s="19">
        <v>8158</v>
      </c>
      <c r="J2580" s="19" t="s">
        <v>4559</v>
      </c>
    </row>
    <row r="2581" spans="1:10" x14ac:dyDescent="0.2">
      <c r="A2581" s="3">
        <v>9320</v>
      </c>
      <c r="B2581" s="3" t="s">
        <v>2798</v>
      </c>
      <c r="C2581" s="3" t="s">
        <v>2798</v>
      </c>
      <c r="D2581" s="3" t="s">
        <v>2799</v>
      </c>
      <c r="I2581" s="19">
        <v>8162</v>
      </c>
      <c r="J2581" s="19" t="s">
        <v>4559</v>
      </c>
    </row>
    <row r="2582" spans="1:10" x14ac:dyDescent="0.2">
      <c r="A2582" s="3">
        <v>9320</v>
      </c>
      <c r="B2582" s="3" t="s">
        <v>2800</v>
      </c>
      <c r="C2582" s="3" t="s">
        <v>2798</v>
      </c>
      <c r="D2582" s="3" t="s">
        <v>2799</v>
      </c>
      <c r="I2582" s="19">
        <v>8164</v>
      </c>
      <c r="J2582" s="19" t="s">
        <v>4559</v>
      </c>
    </row>
    <row r="2583" spans="1:10" x14ac:dyDescent="0.2">
      <c r="A2583" s="3">
        <v>9320</v>
      </c>
      <c r="B2583" s="3" t="s">
        <v>2801</v>
      </c>
      <c r="C2583" s="3" t="s">
        <v>2798</v>
      </c>
      <c r="D2583" s="3" t="s">
        <v>2799</v>
      </c>
      <c r="I2583" s="19">
        <v>8165</v>
      </c>
      <c r="J2583" s="19" t="s">
        <v>4559</v>
      </c>
    </row>
    <row r="2584" spans="1:10" x14ac:dyDescent="0.2">
      <c r="A2584" s="3">
        <v>8582</v>
      </c>
      <c r="B2584" s="3" t="s">
        <v>2802</v>
      </c>
      <c r="C2584" s="3" t="s">
        <v>2802</v>
      </c>
      <c r="D2584" s="3" t="s">
        <v>2799</v>
      </c>
      <c r="I2584" s="19">
        <v>8166</v>
      </c>
      <c r="J2584" s="19" t="s">
        <v>4559</v>
      </c>
    </row>
    <row r="2585" spans="1:10" x14ac:dyDescent="0.2">
      <c r="A2585" s="3">
        <v>9314</v>
      </c>
      <c r="B2585" s="3" t="s">
        <v>2803</v>
      </c>
      <c r="C2585" s="3" t="s">
        <v>2804</v>
      </c>
      <c r="D2585" s="3" t="s">
        <v>2799</v>
      </c>
      <c r="I2585" s="19">
        <v>8172</v>
      </c>
      <c r="J2585" s="19" t="s">
        <v>4559</v>
      </c>
    </row>
    <row r="2586" spans="1:10" x14ac:dyDescent="0.2">
      <c r="A2586" s="3">
        <v>9315</v>
      </c>
      <c r="B2586" s="3" t="s">
        <v>2805</v>
      </c>
      <c r="C2586" s="3" t="s">
        <v>2804</v>
      </c>
      <c r="D2586" s="3" t="s">
        <v>2799</v>
      </c>
      <c r="I2586" s="19">
        <v>8173</v>
      </c>
      <c r="J2586" s="19" t="s">
        <v>4559</v>
      </c>
    </row>
    <row r="2587" spans="1:10" x14ac:dyDescent="0.2">
      <c r="A2587" s="3">
        <v>9315</v>
      </c>
      <c r="B2587" s="3" t="s">
        <v>2806</v>
      </c>
      <c r="C2587" s="3" t="s">
        <v>2804</v>
      </c>
      <c r="D2587" s="3" t="s">
        <v>2799</v>
      </c>
      <c r="I2587" s="19">
        <v>8174</v>
      </c>
      <c r="J2587" s="19" t="s">
        <v>4559</v>
      </c>
    </row>
    <row r="2588" spans="1:10" x14ac:dyDescent="0.2">
      <c r="A2588" s="3">
        <v>9322</v>
      </c>
      <c r="B2588" s="3" t="s">
        <v>2804</v>
      </c>
      <c r="C2588" s="3" t="s">
        <v>2804</v>
      </c>
      <c r="D2588" s="3" t="s">
        <v>2799</v>
      </c>
      <c r="I2588" s="19">
        <v>8175</v>
      </c>
      <c r="J2588" s="19" t="s">
        <v>4559</v>
      </c>
    </row>
    <row r="2589" spans="1:10" x14ac:dyDescent="0.2">
      <c r="A2589" s="3">
        <v>8580</v>
      </c>
      <c r="B2589" s="3" t="s">
        <v>2807</v>
      </c>
      <c r="C2589" s="3" t="s">
        <v>2807</v>
      </c>
      <c r="D2589" s="3" t="s">
        <v>2799</v>
      </c>
      <c r="I2589" s="19">
        <v>8180</v>
      </c>
      <c r="J2589" s="19" t="s">
        <v>4559</v>
      </c>
    </row>
    <row r="2590" spans="1:10" x14ac:dyDescent="0.2">
      <c r="A2590" s="3">
        <v>9326</v>
      </c>
      <c r="B2590" s="3" t="s">
        <v>2808</v>
      </c>
      <c r="C2590" s="3" t="s">
        <v>2808</v>
      </c>
      <c r="D2590" s="3" t="s">
        <v>2799</v>
      </c>
      <c r="I2590" s="19">
        <v>8181</v>
      </c>
      <c r="J2590" s="19" t="s">
        <v>4559</v>
      </c>
    </row>
    <row r="2591" spans="1:10" x14ac:dyDescent="0.2">
      <c r="A2591" s="3">
        <v>8593</v>
      </c>
      <c r="B2591" s="3" t="s">
        <v>2809</v>
      </c>
      <c r="C2591" s="3" t="s">
        <v>2809</v>
      </c>
      <c r="D2591" s="3" t="s">
        <v>2799</v>
      </c>
      <c r="I2591" s="19">
        <v>8182</v>
      </c>
      <c r="J2591" s="19" t="s">
        <v>4559</v>
      </c>
    </row>
    <row r="2592" spans="1:10" x14ac:dyDescent="0.2">
      <c r="A2592" s="3">
        <v>9306</v>
      </c>
      <c r="B2592" s="3" t="s">
        <v>2810</v>
      </c>
      <c r="C2592" s="3" t="s">
        <v>2811</v>
      </c>
      <c r="D2592" s="3" t="s">
        <v>2799</v>
      </c>
      <c r="I2592" s="19">
        <v>8184</v>
      </c>
      <c r="J2592" s="19" t="s">
        <v>4559</v>
      </c>
    </row>
    <row r="2593" spans="1:10" x14ac:dyDescent="0.2">
      <c r="A2593" s="3">
        <v>9325</v>
      </c>
      <c r="B2593" s="3" t="s">
        <v>2812</v>
      </c>
      <c r="C2593" s="3" t="s">
        <v>2811</v>
      </c>
      <c r="D2593" s="3" t="s">
        <v>2799</v>
      </c>
      <c r="I2593" s="19">
        <v>8185</v>
      </c>
      <c r="J2593" s="19" t="s">
        <v>4559</v>
      </c>
    </row>
    <row r="2594" spans="1:10" x14ac:dyDescent="0.2">
      <c r="A2594" s="3">
        <v>8590</v>
      </c>
      <c r="B2594" s="3" t="s">
        <v>2813</v>
      </c>
      <c r="C2594" s="3" t="s">
        <v>2813</v>
      </c>
      <c r="D2594" s="3" t="s">
        <v>2799</v>
      </c>
      <c r="I2594" s="19">
        <v>8187</v>
      </c>
      <c r="J2594" s="19" t="s">
        <v>4559</v>
      </c>
    </row>
    <row r="2595" spans="1:10" x14ac:dyDescent="0.2">
      <c r="A2595" s="3">
        <v>8599</v>
      </c>
      <c r="B2595" s="3" t="s">
        <v>2814</v>
      </c>
      <c r="C2595" s="3" t="s">
        <v>2814</v>
      </c>
      <c r="D2595" s="3" t="s">
        <v>2799</v>
      </c>
      <c r="I2595" s="19">
        <v>8192</v>
      </c>
      <c r="J2595" s="19" t="s">
        <v>4559</v>
      </c>
    </row>
    <row r="2596" spans="1:10" x14ac:dyDescent="0.2">
      <c r="A2596" s="3">
        <v>8580</v>
      </c>
      <c r="B2596" s="3" t="s">
        <v>2815</v>
      </c>
      <c r="C2596" s="3" t="s">
        <v>2815</v>
      </c>
      <c r="D2596" s="3" t="s">
        <v>2799</v>
      </c>
      <c r="I2596" s="19">
        <v>8193</v>
      </c>
      <c r="J2596" s="19" t="s">
        <v>4559</v>
      </c>
    </row>
    <row r="2597" spans="1:10" x14ac:dyDescent="0.2">
      <c r="A2597" s="3">
        <v>8592</v>
      </c>
      <c r="B2597" s="3" t="s">
        <v>2816</v>
      </c>
      <c r="C2597" s="3" t="s">
        <v>2816</v>
      </c>
      <c r="D2597" s="3" t="s">
        <v>2799</v>
      </c>
      <c r="I2597" s="19">
        <v>8194</v>
      </c>
      <c r="J2597" s="19" t="s">
        <v>4559</v>
      </c>
    </row>
    <row r="2598" spans="1:10" x14ac:dyDescent="0.2">
      <c r="A2598" s="3">
        <v>8580</v>
      </c>
      <c r="B2598" s="3" t="s">
        <v>2817</v>
      </c>
      <c r="C2598" s="3" t="s">
        <v>2817</v>
      </c>
      <c r="D2598" s="3" t="s">
        <v>2799</v>
      </c>
      <c r="I2598" s="19">
        <v>8195</v>
      </c>
      <c r="J2598" s="19" t="s">
        <v>4559</v>
      </c>
    </row>
    <row r="2599" spans="1:10" x14ac:dyDescent="0.2">
      <c r="A2599" s="3">
        <v>8580</v>
      </c>
      <c r="B2599" s="3" t="s">
        <v>2818</v>
      </c>
      <c r="C2599" s="3" t="s">
        <v>2817</v>
      </c>
      <c r="D2599" s="3" t="s">
        <v>2799</v>
      </c>
      <c r="I2599" s="19">
        <v>8196</v>
      </c>
      <c r="J2599" s="19" t="s">
        <v>4575</v>
      </c>
    </row>
    <row r="2600" spans="1:10" x14ac:dyDescent="0.2">
      <c r="A2600" s="3">
        <v>8580</v>
      </c>
      <c r="B2600" s="3" t="s">
        <v>2819</v>
      </c>
      <c r="C2600" s="3" t="s">
        <v>2817</v>
      </c>
      <c r="D2600" s="3" t="s">
        <v>2799</v>
      </c>
      <c r="I2600" s="19">
        <v>8197</v>
      </c>
      <c r="J2600" s="19" t="s">
        <v>4575</v>
      </c>
    </row>
    <row r="2601" spans="1:10" x14ac:dyDescent="0.2">
      <c r="A2601" s="3">
        <v>8581</v>
      </c>
      <c r="B2601" s="3" t="s">
        <v>2820</v>
      </c>
      <c r="C2601" s="3" t="s">
        <v>2817</v>
      </c>
      <c r="D2601" s="3" t="s">
        <v>2799</v>
      </c>
      <c r="I2601" s="19">
        <v>8200</v>
      </c>
      <c r="J2601" s="19" t="s">
        <v>4575</v>
      </c>
    </row>
    <row r="2602" spans="1:10" x14ac:dyDescent="0.2">
      <c r="A2602" s="3">
        <v>8587</v>
      </c>
      <c r="B2602" s="3" t="s">
        <v>2821</v>
      </c>
      <c r="C2602" s="3" t="s">
        <v>2817</v>
      </c>
      <c r="D2602" s="3" t="s">
        <v>2799</v>
      </c>
      <c r="I2602" s="19">
        <v>8203</v>
      </c>
      <c r="J2602" s="19" t="s">
        <v>4575</v>
      </c>
    </row>
    <row r="2603" spans="1:10" x14ac:dyDescent="0.2">
      <c r="A2603" s="3">
        <v>9220</v>
      </c>
      <c r="B2603" s="3" t="s">
        <v>2822</v>
      </c>
      <c r="C2603" s="3" t="s">
        <v>2822</v>
      </c>
      <c r="D2603" s="3" t="s">
        <v>2799</v>
      </c>
      <c r="I2603" s="19">
        <v>8207</v>
      </c>
      <c r="J2603" s="19" t="s">
        <v>4575</v>
      </c>
    </row>
    <row r="2604" spans="1:10" x14ac:dyDescent="0.2">
      <c r="A2604" s="3">
        <v>9223</v>
      </c>
      <c r="B2604" s="3" t="s">
        <v>2823</v>
      </c>
      <c r="C2604" s="3" t="s">
        <v>2822</v>
      </c>
      <c r="D2604" s="3" t="s">
        <v>2799</v>
      </c>
      <c r="I2604" s="19">
        <v>8208</v>
      </c>
      <c r="J2604" s="19" t="s">
        <v>4575</v>
      </c>
    </row>
    <row r="2605" spans="1:10" x14ac:dyDescent="0.2">
      <c r="A2605" s="3">
        <v>9223</v>
      </c>
      <c r="B2605" s="3" t="s">
        <v>2824</v>
      </c>
      <c r="C2605" s="3" t="s">
        <v>2822</v>
      </c>
      <c r="D2605" s="3" t="s">
        <v>2799</v>
      </c>
      <c r="I2605" s="19">
        <v>8212</v>
      </c>
      <c r="J2605" s="19" t="s">
        <v>4575</v>
      </c>
    </row>
    <row r="2606" spans="1:10" x14ac:dyDescent="0.2">
      <c r="A2606" s="3">
        <v>8586</v>
      </c>
      <c r="B2606" s="3" t="s">
        <v>2825</v>
      </c>
      <c r="C2606" s="3" t="s">
        <v>2825</v>
      </c>
      <c r="D2606" s="3" t="s">
        <v>2799</v>
      </c>
      <c r="I2606" s="19">
        <v>8213</v>
      </c>
      <c r="J2606" s="19" t="s">
        <v>4575</v>
      </c>
    </row>
    <row r="2607" spans="1:10" x14ac:dyDescent="0.2">
      <c r="A2607" s="3">
        <v>8586</v>
      </c>
      <c r="B2607" s="3" t="s">
        <v>2826</v>
      </c>
      <c r="C2607" s="3" t="s">
        <v>2825</v>
      </c>
      <c r="D2607" s="3" t="s">
        <v>2799</v>
      </c>
      <c r="I2607" s="19">
        <v>8214</v>
      </c>
      <c r="J2607" s="19" t="s">
        <v>4575</v>
      </c>
    </row>
    <row r="2608" spans="1:10" x14ac:dyDescent="0.2">
      <c r="A2608" s="3">
        <v>8586</v>
      </c>
      <c r="B2608" s="3" t="s">
        <v>2827</v>
      </c>
      <c r="C2608" s="3" t="s">
        <v>2825</v>
      </c>
      <c r="D2608" s="3" t="s">
        <v>2799</v>
      </c>
      <c r="I2608" s="19">
        <v>8215</v>
      </c>
      <c r="J2608" s="19" t="s">
        <v>4575</v>
      </c>
    </row>
    <row r="2609" spans="1:10" x14ac:dyDescent="0.2">
      <c r="A2609" s="3">
        <v>8586</v>
      </c>
      <c r="B2609" s="3" t="s">
        <v>2828</v>
      </c>
      <c r="C2609" s="3" t="s">
        <v>2825</v>
      </c>
      <c r="D2609" s="3" t="s">
        <v>2799</v>
      </c>
      <c r="I2609" s="19">
        <v>8216</v>
      </c>
      <c r="J2609" s="19" t="s">
        <v>4575</v>
      </c>
    </row>
    <row r="2610" spans="1:10" x14ac:dyDescent="0.2">
      <c r="A2610" s="3">
        <v>8586</v>
      </c>
      <c r="B2610" s="3" t="s">
        <v>2829</v>
      </c>
      <c r="C2610" s="3" t="s">
        <v>2825</v>
      </c>
      <c r="D2610" s="3" t="s">
        <v>2799</v>
      </c>
      <c r="I2610" s="19">
        <v>8217</v>
      </c>
      <c r="J2610" s="19" t="s">
        <v>4575</v>
      </c>
    </row>
    <row r="2611" spans="1:10" x14ac:dyDescent="0.2">
      <c r="A2611" s="3">
        <v>8586</v>
      </c>
      <c r="B2611" s="3" t="s">
        <v>2830</v>
      </c>
      <c r="C2611" s="3" t="s">
        <v>2825</v>
      </c>
      <c r="D2611" s="3" t="s">
        <v>2799</v>
      </c>
      <c r="I2611" s="19">
        <v>8218</v>
      </c>
      <c r="J2611" s="19" t="s">
        <v>4575</v>
      </c>
    </row>
    <row r="2612" spans="1:10" x14ac:dyDescent="0.2">
      <c r="A2612" s="3">
        <v>9213</v>
      </c>
      <c r="B2612" s="3" t="s">
        <v>2831</v>
      </c>
      <c r="C2612" s="3" t="s">
        <v>2832</v>
      </c>
      <c r="D2612" s="3" t="s">
        <v>2799</v>
      </c>
      <c r="I2612" s="19">
        <v>8219</v>
      </c>
      <c r="J2612" s="19" t="s">
        <v>4575</v>
      </c>
    </row>
    <row r="2613" spans="1:10" x14ac:dyDescent="0.2">
      <c r="A2613" s="3">
        <v>9225</v>
      </c>
      <c r="B2613" s="3" t="s">
        <v>2833</v>
      </c>
      <c r="C2613" s="3" t="s">
        <v>2832</v>
      </c>
      <c r="D2613" s="3" t="s">
        <v>2799</v>
      </c>
      <c r="I2613" s="19">
        <v>8222</v>
      </c>
      <c r="J2613" s="19" t="s">
        <v>4575</v>
      </c>
    </row>
    <row r="2614" spans="1:10" x14ac:dyDescent="0.2">
      <c r="A2614" s="3">
        <v>9225</v>
      </c>
      <c r="B2614" s="3" t="s">
        <v>2834</v>
      </c>
      <c r="C2614" s="3" t="s">
        <v>2832</v>
      </c>
      <c r="D2614" s="3" t="s">
        <v>2799</v>
      </c>
      <c r="I2614" s="19">
        <v>8223</v>
      </c>
      <c r="J2614" s="19" t="s">
        <v>4575</v>
      </c>
    </row>
    <row r="2615" spans="1:10" x14ac:dyDescent="0.2">
      <c r="A2615" s="3">
        <v>9216</v>
      </c>
      <c r="B2615" s="3" t="s">
        <v>2835</v>
      </c>
      <c r="C2615" s="3" t="s">
        <v>2836</v>
      </c>
      <c r="D2615" s="3" t="s">
        <v>2799</v>
      </c>
      <c r="I2615" s="19">
        <v>8224</v>
      </c>
      <c r="J2615" s="19" t="s">
        <v>4575</v>
      </c>
    </row>
    <row r="2616" spans="1:10" x14ac:dyDescent="0.2">
      <c r="A2616" s="3">
        <v>9216</v>
      </c>
      <c r="B2616" s="3" t="s">
        <v>2836</v>
      </c>
      <c r="C2616" s="3" t="s">
        <v>2836</v>
      </c>
      <c r="D2616" s="3" t="s">
        <v>2799</v>
      </c>
      <c r="I2616" s="19">
        <v>8225</v>
      </c>
      <c r="J2616" s="19" t="s">
        <v>4575</v>
      </c>
    </row>
    <row r="2617" spans="1:10" x14ac:dyDescent="0.2">
      <c r="A2617" s="3">
        <v>9214</v>
      </c>
      <c r="B2617" s="3" t="s">
        <v>2837</v>
      </c>
      <c r="C2617" s="3" t="s">
        <v>2838</v>
      </c>
      <c r="D2617" s="3" t="s">
        <v>2799</v>
      </c>
      <c r="I2617" s="19">
        <v>8226</v>
      </c>
      <c r="J2617" s="19" t="s">
        <v>4575</v>
      </c>
    </row>
    <row r="2618" spans="1:10" x14ac:dyDescent="0.2">
      <c r="A2618" s="3">
        <v>9215</v>
      </c>
      <c r="B2618" s="3" t="s">
        <v>2839</v>
      </c>
      <c r="C2618" s="3" t="s">
        <v>2838</v>
      </c>
      <c r="D2618" s="3" t="s">
        <v>2799</v>
      </c>
      <c r="I2618" s="19">
        <v>8228</v>
      </c>
      <c r="J2618" s="19" t="s">
        <v>4575</v>
      </c>
    </row>
    <row r="2619" spans="1:10" x14ac:dyDescent="0.2">
      <c r="A2619" s="3">
        <v>9215</v>
      </c>
      <c r="B2619" s="3" t="s">
        <v>2840</v>
      </c>
      <c r="C2619" s="3" t="s">
        <v>2838</v>
      </c>
      <c r="D2619" s="3" t="s">
        <v>2799</v>
      </c>
      <c r="I2619" s="19">
        <v>8231</v>
      </c>
      <c r="J2619" s="19" t="s">
        <v>4575</v>
      </c>
    </row>
    <row r="2620" spans="1:10" x14ac:dyDescent="0.2">
      <c r="A2620" s="3">
        <v>9217</v>
      </c>
      <c r="B2620" s="3" t="s">
        <v>2841</v>
      </c>
      <c r="C2620" s="3" t="s">
        <v>2838</v>
      </c>
      <c r="D2620" s="3" t="s">
        <v>2799</v>
      </c>
      <c r="I2620" s="19">
        <v>8232</v>
      </c>
      <c r="J2620" s="19" t="s">
        <v>4575</v>
      </c>
    </row>
    <row r="2621" spans="1:10" x14ac:dyDescent="0.2">
      <c r="A2621" s="3">
        <v>8583</v>
      </c>
      <c r="B2621" s="3" t="s">
        <v>2842</v>
      </c>
      <c r="C2621" s="3" t="s">
        <v>2842</v>
      </c>
      <c r="D2621" s="3" t="s">
        <v>2799</v>
      </c>
      <c r="I2621" s="19">
        <v>8233</v>
      </c>
      <c r="J2621" s="19" t="s">
        <v>4575</v>
      </c>
    </row>
    <row r="2622" spans="1:10" x14ac:dyDescent="0.2">
      <c r="A2622" s="3">
        <v>8583</v>
      </c>
      <c r="B2622" s="3" t="s">
        <v>2843</v>
      </c>
      <c r="C2622" s="3" t="s">
        <v>2842</v>
      </c>
      <c r="D2622" s="3" t="s">
        <v>2799</v>
      </c>
      <c r="I2622" s="19">
        <v>8234</v>
      </c>
      <c r="J2622" s="19" t="s">
        <v>4575</v>
      </c>
    </row>
    <row r="2623" spans="1:10" x14ac:dyDescent="0.2">
      <c r="A2623" s="3">
        <v>8583</v>
      </c>
      <c r="B2623" s="3" t="s">
        <v>2844</v>
      </c>
      <c r="C2623" s="3" t="s">
        <v>2842</v>
      </c>
      <c r="D2623" s="3" t="s">
        <v>2799</v>
      </c>
      <c r="I2623" s="19">
        <v>8235</v>
      </c>
      <c r="J2623" s="19" t="s">
        <v>4575</v>
      </c>
    </row>
    <row r="2624" spans="1:10" x14ac:dyDescent="0.2">
      <c r="A2624" s="3">
        <v>8588</v>
      </c>
      <c r="B2624" s="3" t="s">
        <v>2845</v>
      </c>
      <c r="C2624" s="3" t="s">
        <v>2846</v>
      </c>
      <c r="D2624" s="3" t="s">
        <v>2799</v>
      </c>
      <c r="I2624" s="19">
        <v>8236</v>
      </c>
      <c r="J2624" s="19" t="s">
        <v>4575</v>
      </c>
    </row>
    <row r="2625" spans="1:10" x14ac:dyDescent="0.2">
      <c r="A2625" s="3">
        <v>8589</v>
      </c>
      <c r="B2625" s="3" t="s">
        <v>2847</v>
      </c>
      <c r="C2625" s="3" t="s">
        <v>2846</v>
      </c>
      <c r="D2625" s="3" t="s">
        <v>2799</v>
      </c>
      <c r="I2625" s="19">
        <v>8239</v>
      </c>
      <c r="J2625" s="19" t="s">
        <v>4575</v>
      </c>
    </row>
    <row r="2626" spans="1:10" x14ac:dyDescent="0.2">
      <c r="A2626" s="3">
        <v>8254</v>
      </c>
      <c r="B2626" s="3" t="s">
        <v>2848</v>
      </c>
      <c r="C2626" s="3" t="s">
        <v>2849</v>
      </c>
      <c r="D2626" s="3" t="s">
        <v>2799</v>
      </c>
      <c r="I2626" s="19">
        <v>8240</v>
      </c>
      <c r="J2626" s="19" t="s">
        <v>4575</v>
      </c>
    </row>
    <row r="2627" spans="1:10" x14ac:dyDescent="0.2">
      <c r="A2627" s="3">
        <v>8255</v>
      </c>
      <c r="B2627" s="3" t="s">
        <v>2850</v>
      </c>
      <c r="C2627" s="3" t="s">
        <v>2849</v>
      </c>
      <c r="D2627" s="3" t="s">
        <v>2799</v>
      </c>
      <c r="I2627" s="19">
        <v>8241</v>
      </c>
      <c r="J2627" s="19" t="s">
        <v>4575</v>
      </c>
    </row>
    <row r="2628" spans="1:10" x14ac:dyDescent="0.2">
      <c r="A2628" s="3">
        <v>8253</v>
      </c>
      <c r="B2628" s="3" t="s">
        <v>2851</v>
      </c>
      <c r="C2628" s="3" t="s">
        <v>2851</v>
      </c>
      <c r="D2628" s="3" t="s">
        <v>2799</v>
      </c>
      <c r="I2628" s="19">
        <v>8242</v>
      </c>
      <c r="J2628" s="19" t="s">
        <v>4575</v>
      </c>
    </row>
    <row r="2629" spans="1:10" x14ac:dyDescent="0.2">
      <c r="A2629" s="3">
        <v>8253</v>
      </c>
      <c r="B2629" s="3" t="s">
        <v>2852</v>
      </c>
      <c r="C2629" s="3" t="s">
        <v>2851</v>
      </c>
      <c r="D2629" s="3" t="s">
        <v>2799</v>
      </c>
      <c r="I2629" s="19">
        <v>8243</v>
      </c>
      <c r="J2629" s="19" t="s">
        <v>4575</v>
      </c>
    </row>
    <row r="2630" spans="1:10" x14ac:dyDescent="0.2">
      <c r="A2630" s="3">
        <v>8252</v>
      </c>
      <c r="B2630" s="3" t="s">
        <v>2853</v>
      </c>
      <c r="C2630" s="3" t="s">
        <v>2854</v>
      </c>
      <c r="D2630" s="3" t="s">
        <v>2799</v>
      </c>
      <c r="I2630" s="19">
        <v>8245</v>
      </c>
      <c r="J2630" s="19" t="s">
        <v>4575</v>
      </c>
    </row>
    <row r="2631" spans="1:10" x14ac:dyDescent="0.2">
      <c r="A2631" s="3">
        <v>8355</v>
      </c>
      <c r="B2631" s="3" t="s">
        <v>2855</v>
      </c>
      <c r="C2631" s="3" t="s">
        <v>2855</v>
      </c>
      <c r="D2631" s="3" t="s">
        <v>2799</v>
      </c>
      <c r="I2631" s="19">
        <v>8246</v>
      </c>
      <c r="J2631" s="19" t="s">
        <v>4575</v>
      </c>
    </row>
    <row r="2632" spans="1:10" x14ac:dyDescent="0.2">
      <c r="A2632" s="3">
        <v>8356</v>
      </c>
      <c r="B2632" s="3" t="s">
        <v>2856</v>
      </c>
      <c r="C2632" s="3" t="s">
        <v>2855</v>
      </c>
      <c r="D2632" s="3" t="s">
        <v>2799</v>
      </c>
      <c r="I2632" s="19">
        <v>8247</v>
      </c>
      <c r="J2632" s="19" t="s">
        <v>4575</v>
      </c>
    </row>
    <row r="2633" spans="1:10" x14ac:dyDescent="0.2">
      <c r="A2633" s="3">
        <v>8357</v>
      </c>
      <c r="B2633" s="3" t="s">
        <v>2857</v>
      </c>
      <c r="C2633" s="3" t="s">
        <v>2855</v>
      </c>
      <c r="D2633" s="3" t="s">
        <v>2799</v>
      </c>
      <c r="I2633" s="19">
        <v>8248</v>
      </c>
      <c r="J2633" s="19" t="s">
        <v>4575</v>
      </c>
    </row>
    <row r="2634" spans="1:10" x14ac:dyDescent="0.2">
      <c r="A2634" s="3">
        <v>8522</v>
      </c>
      <c r="B2634" s="3" t="s">
        <v>2858</v>
      </c>
      <c r="C2634" s="3" t="s">
        <v>2855</v>
      </c>
      <c r="D2634" s="3" t="s">
        <v>2799</v>
      </c>
      <c r="I2634" s="19">
        <v>8252</v>
      </c>
      <c r="J2634" s="19" t="s">
        <v>4575</v>
      </c>
    </row>
    <row r="2635" spans="1:10" x14ac:dyDescent="0.2">
      <c r="A2635" s="3">
        <v>8522</v>
      </c>
      <c r="B2635" s="3" t="s">
        <v>2859</v>
      </c>
      <c r="C2635" s="3" t="s">
        <v>2855</v>
      </c>
      <c r="D2635" s="3" t="s">
        <v>2799</v>
      </c>
      <c r="I2635" s="19">
        <v>8253</v>
      </c>
      <c r="J2635" s="19" t="s">
        <v>4575</v>
      </c>
    </row>
    <row r="2636" spans="1:10" x14ac:dyDescent="0.2">
      <c r="A2636" s="3">
        <v>9547</v>
      </c>
      <c r="B2636" s="3" t="s">
        <v>2860</v>
      </c>
      <c r="C2636" s="3" t="s">
        <v>2855</v>
      </c>
      <c r="D2636" s="3" t="s">
        <v>2799</v>
      </c>
      <c r="I2636" s="19">
        <v>8254</v>
      </c>
      <c r="J2636" s="19" t="s">
        <v>4575</v>
      </c>
    </row>
    <row r="2637" spans="1:10" x14ac:dyDescent="0.2">
      <c r="A2637" s="3">
        <v>8552</v>
      </c>
      <c r="B2637" s="3" t="s">
        <v>2861</v>
      </c>
      <c r="C2637" s="3" t="s">
        <v>2861</v>
      </c>
      <c r="D2637" s="3" t="s">
        <v>2799</v>
      </c>
      <c r="I2637" s="19">
        <v>8255</v>
      </c>
      <c r="J2637" s="19" t="s">
        <v>4575</v>
      </c>
    </row>
    <row r="2638" spans="1:10" x14ac:dyDescent="0.2">
      <c r="A2638" s="3">
        <v>8500</v>
      </c>
      <c r="B2638" s="3" t="s">
        <v>2862</v>
      </c>
      <c r="C2638" s="3" t="s">
        <v>2862</v>
      </c>
      <c r="D2638" s="3" t="s">
        <v>2799</v>
      </c>
      <c r="I2638" s="19">
        <v>8259</v>
      </c>
      <c r="J2638" s="19" t="s">
        <v>4575</v>
      </c>
    </row>
    <row r="2639" spans="1:10" x14ac:dyDescent="0.2">
      <c r="A2639" s="3">
        <v>8500</v>
      </c>
      <c r="B2639" s="3" t="s">
        <v>2863</v>
      </c>
      <c r="C2639" s="3" t="s">
        <v>2862</v>
      </c>
      <c r="D2639" s="3" t="s">
        <v>2799</v>
      </c>
      <c r="I2639" s="19">
        <v>8260</v>
      </c>
      <c r="J2639" s="19" t="s">
        <v>4575</v>
      </c>
    </row>
    <row r="2640" spans="1:10" x14ac:dyDescent="0.2">
      <c r="A2640" s="3">
        <v>8546</v>
      </c>
      <c r="B2640" s="3" t="s">
        <v>2864</v>
      </c>
      <c r="C2640" s="3" t="s">
        <v>2865</v>
      </c>
      <c r="D2640" s="3" t="s">
        <v>2799</v>
      </c>
      <c r="I2640" s="19">
        <v>8261</v>
      </c>
      <c r="J2640" s="19" t="s">
        <v>4575</v>
      </c>
    </row>
    <row r="2641" spans="1:10" x14ac:dyDescent="0.2">
      <c r="A2641" s="3">
        <v>8546</v>
      </c>
      <c r="B2641" s="3" t="s">
        <v>2866</v>
      </c>
      <c r="C2641" s="3" t="s">
        <v>2865</v>
      </c>
      <c r="D2641" s="3" t="s">
        <v>2799</v>
      </c>
      <c r="I2641" s="19">
        <v>8262</v>
      </c>
      <c r="J2641" s="19" t="s">
        <v>4575</v>
      </c>
    </row>
    <row r="2642" spans="1:10" x14ac:dyDescent="0.2">
      <c r="A2642" s="3">
        <v>8547</v>
      </c>
      <c r="B2642" s="3" t="s">
        <v>2865</v>
      </c>
      <c r="C2642" s="3" t="s">
        <v>2865</v>
      </c>
      <c r="D2642" s="3" t="s">
        <v>2799</v>
      </c>
      <c r="I2642" s="19">
        <v>8263</v>
      </c>
      <c r="J2642" s="19" t="s">
        <v>4575</v>
      </c>
    </row>
    <row r="2643" spans="1:10" x14ac:dyDescent="0.2">
      <c r="A2643" s="3">
        <v>8553</v>
      </c>
      <c r="B2643" s="3" t="s">
        <v>2867</v>
      </c>
      <c r="C2643" s="3" t="s">
        <v>2868</v>
      </c>
      <c r="D2643" s="3" t="s">
        <v>2799</v>
      </c>
      <c r="I2643" s="19">
        <v>8264</v>
      </c>
      <c r="J2643" s="19" t="s">
        <v>4575</v>
      </c>
    </row>
    <row r="2644" spans="1:10" x14ac:dyDescent="0.2">
      <c r="A2644" s="3">
        <v>8553</v>
      </c>
      <c r="B2644" s="3" t="s">
        <v>2869</v>
      </c>
      <c r="C2644" s="3" t="s">
        <v>2868</v>
      </c>
      <c r="D2644" s="3" t="s">
        <v>2799</v>
      </c>
      <c r="I2644" s="19">
        <v>8265</v>
      </c>
      <c r="J2644" s="19" t="s">
        <v>4575</v>
      </c>
    </row>
    <row r="2645" spans="1:10" x14ac:dyDescent="0.2">
      <c r="A2645" s="3">
        <v>8553</v>
      </c>
      <c r="B2645" s="3" t="s">
        <v>2868</v>
      </c>
      <c r="C2645" s="3" t="s">
        <v>2868</v>
      </c>
      <c r="D2645" s="3" t="s">
        <v>2799</v>
      </c>
      <c r="I2645" s="19">
        <v>8266</v>
      </c>
      <c r="J2645" s="19" t="s">
        <v>4576</v>
      </c>
    </row>
    <row r="2646" spans="1:10" x14ac:dyDescent="0.2">
      <c r="A2646" s="3">
        <v>8553</v>
      </c>
      <c r="B2646" s="3" t="s">
        <v>2870</v>
      </c>
      <c r="C2646" s="3" t="s">
        <v>2868</v>
      </c>
      <c r="D2646" s="3" t="s">
        <v>2799</v>
      </c>
      <c r="I2646" s="19">
        <v>8267</v>
      </c>
      <c r="J2646" s="19" t="s">
        <v>4576</v>
      </c>
    </row>
    <row r="2647" spans="1:10" x14ac:dyDescent="0.2">
      <c r="A2647" s="3">
        <v>9548</v>
      </c>
      <c r="B2647" s="3" t="s">
        <v>2871</v>
      </c>
      <c r="C2647" s="3" t="s">
        <v>2871</v>
      </c>
      <c r="D2647" s="3" t="s">
        <v>2799</v>
      </c>
      <c r="I2647" s="19">
        <v>8268</v>
      </c>
      <c r="J2647" s="19" t="s">
        <v>4576</v>
      </c>
    </row>
    <row r="2648" spans="1:10" x14ac:dyDescent="0.2">
      <c r="A2648" s="3">
        <v>8525</v>
      </c>
      <c r="B2648" s="3" t="s">
        <v>2872</v>
      </c>
      <c r="C2648" s="3" t="s">
        <v>2873</v>
      </c>
      <c r="D2648" s="3" t="s">
        <v>2799</v>
      </c>
      <c r="I2648" s="19">
        <v>8269</v>
      </c>
      <c r="J2648" s="19" t="s">
        <v>4576</v>
      </c>
    </row>
    <row r="2649" spans="1:10" x14ac:dyDescent="0.2">
      <c r="A2649" s="3">
        <v>8526</v>
      </c>
      <c r="B2649" s="3" t="s">
        <v>2874</v>
      </c>
      <c r="C2649" s="3" t="s">
        <v>2873</v>
      </c>
      <c r="D2649" s="3" t="s">
        <v>2799</v>
      </c>
      <c r="I2649" s="19">
        <v>8272</v>
      </c>
      <c r="J2649" s="19" t="s">
        <v>4576</v>
      </c>
    </row>
    <row r="2650" spans="1:10" x14ac:dyDescent="0.2">
      <c r="A2650" s="3">
        <v>9507</v>
      </c>
      <c r="B2650" s="3" t="s">
        <v>2875</v>
      </c>
      <c r="C2650" s="3" t="s">
        <v>2875</v>
      </c>
      <c r="D2650" s="3" t="s">
        <v>2799</v>
      </c>
      <c r="I2650" s="19">
        <v>8273</v>
      </c>
      <c r="J2650" s="19" t="s">
        <v>4576</v>
      </c>
    </row>
    <row r="2651" spans="1:10" x14ac:dyDescent="0.2">
      <c r="A2651" s="3">
        <v>8512</v>
      </c>
      <c r="B2651" s="3" t="s">
        <v>2876</v>
      </c>
      <c r="C2651" s="3" t="s">
        <v>2876</v>
      </c>
      <c r="D2651" s="3" t="s">
        <v>2799</v>
      </c>
      <c r="I2651" s="19">
        <v>8274</v>
      </c>
      <c r="J2651" s="19" t="s">
        <v>4576</v>
      </c>
    </row>
    <row r="2652" spans="1:10" x14ac:dyDescent="0.2">
      <c r="A2652" s="3">
        <v>8512</v>
      </c>
      <c r="B2652" s="3" t="s">
        <v>2877</v>
      </c>
      <c r="C2652" s="3" t="s">
        <v>2876</v>
      </c>
      <c r="D2652" s="3" t="s">
        <v>2799</v>
      </c>
      <c r="I2652" s="19">
        <v>8280</v>
      </c>
      <c r="J2652" s="19" t="s">
        <v>4576</v>
      </c>
    </row>
    <row r="2653" spans="1:10" x14ac:dyDescent="0.2">
      <c r="A2653" s="3">
        <v>8512</v>
      </c>
      <c r="B2653" s="3" t="s">
        <v>2878</v>
      </c>
      <c r="C2653" s="3" t="s">
        <v>2876</v>
      </c>
      <c r="D2653" s="3" t="s">
        <v>2799</v>
      </c>
      <c r="I2653" s="19">
        <v>8302</v>
      </c>
      <c r="J2653" s="19" t="s">
        <v>4559</v>
      </c>
    </row>
    <row r="2654" spans="1:10" x14ac:dyDescent="0.2">
      <c r="A2654" s="3">
        <v>8524</v>
      </c>
      <c r="B2654" s="3" t="s">
        <v>2879</v>
      </c>
      <c r="C2654" s="3" t="s">
        <v>2880</v>
      </c>
      <c r="D2654" s="3" t="s">
        <v>2799</v>
      </c>
      <c r="I2654" s="19">
        <v>8303</v>
      </c>
      <c r="J2654" s="19" t="s">
        <v>4559</v>
      </c>
    </row>
    <row r="2655" spans="1:10" x14ac:dyDescent="0.2">
      <c r="A2655" s="3">
        <v>8524</v>
      </c>
      <c r="B2655" s="3" t="s">
        <v>2881</v>
      </c>
      <c r="C2655" s="3" t="s">
        <v>2880</v>
      </c>
      <c r="D2655" s="3" t="s">
        <v>2799</v>
      </c>
      <c r="I2655" s="19">
        <v>8304</v>
      </c>
      <c r="J2655" s="19" t="s">
        <v>4560</v>
      </c>
    </row>
    <row r="2656" spans="1:10" x14ac:dyDescent="0.2">
      <c r="A2656" s="3">
        <v>8532</v>
      </c>
      <c r="B2656" s="3" t="s">
        <v>2882</v>
      </c>
      <c r="C2656" s="3" t="s">
        <v>2883</v>
      </c>
      <c r="D2656" s="3" t="s">
        <v>2799</v>
      </c>
      <c r="I2656" s="19">
        <v>8305</v>
      </c>
      <c r="J2656" s="19" t="s">
        <v>4560</v>
      </c>
    </row>
    <row r="2657" spans="1:10" x14ac:dyDescent="0.2">
      <c r="A2657" s="3">
        <v>8532</v>
      </c>
      <c r="B2657" s="3" t="s">
        <v>2884</v>
      </c>
      <c r="C2657" s="3" t="s">
        <v>2883</v>
      </c>
      <c r="D2657" s="3" t="s">
        <v>2799</v>
      </c>
      <c r="I2657" s="19">
        <v>8306</v>
      </c>
      <c r="J2657" s="19" t="s">
        <v>4560</v>
      </c>
    </row>
    <row r="2658" spans="1:10" x14ac:dyDescent="0.2">
      <c r="A2658" s="3">
        <v>8595</v>
      </c>
      <c r="B2658" s="3" t="s">
        <v>2885</v>
      </c>
      <c r="C2658" s="3" t="s">
        <v>2885</v>
      </c>
      <c r="D2658" s="3" t="s">
        <v>2799</v>
      </c>
      <c r="I2658" s="19">
        <v>8307</v>
      </c>
      <c r="J2658" s="19" t="s">
        <v>4560</v>
      </c>
    </row>
    <row r="2659" spans="1:10" x14ac:dyDescent="0.2">
      <c r="A2659" s="3">
        <v>8598</v>
      </c>
      <c r="B2659" s="3" t="s">
        <v>2886</v>
      </c>
      <c r="C2659" s="3" t="s">
        <v>2886</v>
      </c>
      <c r="D2659" s="3" t="s">
        <v>2799</v>
      </c>
      <c r="I2659" s="19">
        <v>8308</v>
      </c>
      <c r="J2659" s="19" t="s">
        <v>4560</v>
      </c>
    </row>
    <row r="2660" spans="1:10" x14ac:dyDescent="0.2">
      <c r="A2660" s="3">
        <v>8272</v>
      </c>
      <c r="B2660" s="3" t="s">
        <v>2887</v>
      </c>
      <c r="C2660" s="3" t="s">
        <v>2887</v>
      </c>
      <c r="D2660" s="3" t="s">
        <v>2799</v>
      </c>
      <c r="I2660" s="19">
        <v>8309</v>
      </c>
      <c r="J2660" s="19" t="s">
        <v>4559</v>
      </c>
    </row>
    <row r="2661" spans="1:10" x14ac:dyDescent="0.2">
      <c r="A2661" s="3">
        <v>8273</v>
      </c>
      <c r="B2661" s="3" t="s">
        <v>2888</v>
      </c>
      <c r="C2661" s="3" t="s">
        <v>2887</v>
      </c>
      <c r="D2661" s="3" t="s">
        <v>2799</v>
      </c>
      <c r="I2661" s="19">
        <v>8310</v>
      </c>
      <c r="J2661" s="19" t="s">
        <v>4560</v>
      </c>
    </row>
    <row r="2662" spans="1:10" x14ac:dyDescent="0.2">
      <c r="A2662" s="3">
        <v>8274</v>
      </c>
      <c r="B2662" s="3" t="s">
        <v>2889</v>
      </c>
      <c r="C2662" s="3" t="s">
        <v>2889</v>
      </c>
      <c r="D2662" s="3" t="s">
        <v>2799</v>
      </c>
      <c r="I2662" s="19">
        <v>8311</v>
      </c>
      <c r="J2662" s="19" t="s">
        <v>4559</v>
      </c>
    </row>
    <row r="2663" spans="1:10" x14ac:dyDescent="0.2">
      <c r="A2663" s="3">
        <v>8594</v>
      </c>
      <c r="B2663" s="3" t="s">
        <v>2890</v>
      </c>
      <c r="C2663" s="3" t="s">
        <v>2890</v>
      </c>
      <c r="D2663" s="3" t="s">
        <v>2799</v>
      </c>
      <c r="I2663" s="19">
        <v>8312</v>
      </c>
      <c r="J2663" s="19" t="s">
        <v>4559</v>
      </c>
    </row>
    <row r="2664" spans="1:10" x14ac:dyDescent="0.2">
      <c r="A2664" s="3">
        <v>8565</v>
      </c>
      <c r="B2664" s="3" t="s">
        <v>2891</v>
      </c>
      <c r="C2664" s="3" t="s">
        <v>2892</v>
      </c>
      <c r="D2664" s="3" t="s">
        <v>2799</v>
      </c>
      <c r="I2664" s="19">
        <v>8314</v>
      </c>
      <c r="J2664" s="19" t="s">
        <v>4560</v>
      </c>
    </row>
    <row r="2665" spans="1:10" x14ac:dyDescent="0.2">
      <c r="A2665" s="3">
        <v>8566</v>
      </c>
      <c r="B2665" s="3" t="s">
        <v>2893</v>
      </c>
      <c r="C2665" s="3" t="s">
        <v>2892</v>
      </c>
      <c r="D2665" s="3" t="s">
        <v>2799</v>
      </c>
      <c r="I2665" s="19">
        <v>8315</v>
      </c>
      <c r="J2665" s="19" t="s">
        <v>4560</v>
      </c>
    </row>
    <row r="2666" spans="1:10" x14ac:dyDescent="0.2">
      <c r="A2666" s="3">
        <v>8566</v>
      </c>
      <c r="B2666" s="3" t="s">
        <v>2894</v>
      </c>
      <c r="C2666" s="3" t="s">
        <v>2892</v>
      </c>
      <c r="D2666" s="3" t="s">
        <v>2799</v>
      </c>
      <c r="I2666" s="19">
        <v>8317</v>
      </c>
      <c r="J2666" s="19" t="s">
        <v>4560</v>
      </c>
    </row>
    <row r="2667" spans="1:10" x14ac:dyDescent="0.2">
      <c r="A2667" s="3">
        <v>8566</v>
      </c>
      <c r="B2667" s="3" t="s">
        <v>2895</v>
      </c>
      <c r="C2667" s="3" t="s">
        <v>2892</v>
      </c>
      <c r="D2667" s="3" t="s">
        <v>2799</v>
      </c>
      <c r="I2667" s="19">
        <v>8320</v>
      </c>
      <c r="J2667" s="19" t="s">
        <v>4560</v>
      </c>
    </row>
    <row r="2668" spans="1:10" x14ac:dyDescent="0.2">
      <c r="A2668" s="3">
        <v>8566</v>
      </c>
      <c r="B2668" s="3" t="s">
        <v>2896</v>
      </c>
      <c r="C2668" s="3" t="s">
        <v>2892</v>
      </c>
      <c r="D2668" s="3" t="s">
        <v>2799</v>
      </c>
      <c r="I2668" s="19">
        <v>8322</v>
      </c>
      <c r="J2668" s="19" t="s">
        <v>4560</v>
      </c>
    </row>
    <row r="2669" spans="1:10" x14ac:dyDescent="0.2">
      <c r="A2669" s="3">
        <v>8573</v>
      </c>
      <c r="B2669" s="3" t="s">
        <v>2897</v>
      </c>
      <c r="C2669" s="3" t="s">
        <v>2892</v>
      </c>
      <c r="D2669" s="3" t="s">
        <v>2799</v>
      </c>
      <c r="I2669" s="19">
        <v>8330</v>
      </c>
      <c r="J2669" s="19" t="s">
        <v>4560</v>
      </c>
    </row>
    <row r="2670" spans="1:10" x14ac:dyDescent="0.2">
      <c r="A2670" s="3">
        <v>8573</v>
      </c>
      <c r="B2670" s="3" t="s">
        <v>2898</v>
      </c>
      <c r="C2670" s="3" t="s">
        <v>2892</v>
      </c>
      <c r="D2670" s="3" t="s">
        <v>2799</v>
      </c>
      <c r="I2670" s="19">
        <v>8331</v>
      </c>
      <c r="J2670" s="19" t="s">
        <v>4560</v>
      </c>
    </row>
    <row r="2671" spans="1:10" x14ac:dyDescent="0.2">
      <c r="A2671" s="3">
        <v>8573</v>
      </c>
      <c r="B2671" s="3" t="s">
        <v>2899</v>
      </c>
      <c r="C2671" s="3" t="s">
        <v>2892</v>
      </c>
      <c r="D2671" s="3" t="s">
        <v>2799</v>
      </c>
      <c r="I2671" s="19">
        <v>8332</v>
      </c>
      <c r="J2671" s="19" t="s">
        <v>4560</v>
      </c>
    </row>
    <row r="2672" spans="1:10" x14ac:dyDescent="0.2">
      <c r="A2672" s="3">
        <v>8280</v>
      </c>
      <c r="B2672" s="3" t="s">
        <v>2900</v>
      </c>
      <c r="C2672" s="3" t="s">
        <v>2900</v>
      </c>
      <c r="D2672" s="3" t="s">
        <v>2799</v>
      </c>
      <c r="I2672" s="19">
        <v>8335</v>
      </c>
      <c r="J2672" s="19" t="s">
        <v>4560</v>
      </c>
    </row>
    <row r="2673" spans="1:10" x14ac:dyDescent="0.2">
      <c r="A2673" s="3">
        <v>8585</v>
      </c>
      <c r="B2673" s="3" t="s">
        <v>2901</v>
      </c>
      <c r="C2673" s="3" t="s">
        <v>2901</v>
      </c>
      <c r="D2673" s="3" t="s">
        <v>2799</v>
      </c>
      <c r="I2673" s="19">
        <v>8340</v>
      </c>
      <c r="J2673" s="19" t="s">
        <v>4560</v>
      </c>
    </row>
    <row r="2674" spans="1:10" x14ac:dyDescent="0.2">
      <c r="A2674" s="3">
        <v>8585</v>
      </c>
      <c r="B2674" s="3" t="s">
        <v>2902</v>
      </c>
      <c r="C2674" s="3" t="s">
        <v>2901</v>
      </c>
      <c r="D2674" s="3" t="s">
        <v>2799</v>
      </c>
      <c r="I2674" s="19">
        <v>8342</v>
      </c>
      <c r="J2674" s="19" t="s">
        <v>4560</v>
      </c>
    </row>
    <row r="2675" spans="1:10" x14ac:dyDescent="0.2">
      <c r="A2675" s="3">
        <v>8585</v>
      </c>
      <c r="B2675" s="3" t="s">
        <v>2903</v>
      </c>
      <c r="C2675" s="3" t="s">
        <v>2901</v>
      </c>
      <c r="D2675" s="3" t="s">
        <v>2799</v>
      </c>
      <c r="I2675" s="19">
        <v>8344</v>
      </c>
      <c r="J2675" s="19" t="s">
        <v>4560</v>
      </c>
    </row>
    <row r="2676" spans="1:10" x14ac:dyDescent="0.2">
      <c r="A2676" s="3">
        <v>8585</v>
      </c>
      <c r="B2676" s="3" t="s">
        <v>2904</v>
      </c>
      <c r="C2676" s="3" t="s">
        <v>2901</v>
      </c>
      <c r="D2676" s="3" t="s">
        <v>2799</v>
      </c>
      <c r="I2676" s="19">
        <v>8345</v>
      </c>
      <c r="J2676" s="19" t="s">
        <v>4560</v>
      </c>
    </row>
    <row r="2677" spans="1:10" x14ac:dyDescent="0.2">
      <c r="A2677" s="3">
        <v>8574</v>
      </c>
      <c r="B2677" s="3" t="s">
        <v>2905</v>
      </c>
      <c r="C2677" s="3" t="s">
        <v>2906</v>
      </c>
      <c r="D2677" s="3" t="s">
        <v>2799</v>
      </c>
      <c r="I2677" s="19">
        <v>8352</v>
      </c>
      <c r="J2677" s="19" t="s">
        <v>4559</v>
      </c>
    </row>
    <row r="2678" spans="1:10" x14ac:dyDescent="0.2">
      <c r="A2678" s="3">
        <v>8574</v>
      </c>
      <c r="B2678" s="3" t="s">
        <v>2907</v>
      </c>
      <c r="C2678" s="3" t="s">
        <v>2906</v>
      </c>
      <c r="D2678" s="3" t="s">
        <v>2799</v>
      </c>
      <c r="I2678" s="19">
        <v>8353</v>
      </c>
      <c r="J2678" s="19" t="s">
        <v>4559</v>
      </c>
    </row>
    <row r="2679" spans="1:10" x14ac:dyDescent="0.2">
      <c r="A2679" s="3">
        <v>8574</v>
      </c>
      <c r="B2679" s="3" t="s">
        <v>2906</v>
      </c>
      <c r="C2679" s="3" t="s">
        <v>2906</v>
      </c>
      <c r="D2679" s="3" t="s">
        <v>2799</v>
      </c>
      <c r="I2679" s="19">
        <v>8354</v>
      </c>
      <c r="J2679" s="19" t="s">
        <v>4559</v>
      </c>
    </row>
    <row r="2680" spans="1:10" x14ac:dyDescent="0.2">
      <c r="A2680" s="3">
        <v>8574</v>
      </c>
      <c r="B2680" s="3" t="s">
        <v>2906</v>
      </c>
      <c r="C2680" s="3" t="s">
        <v>2906</v>
      </c>
      <c r="D2680" s="3" t="s">
        <v>2799</v>
      </c>
      <c r="I2680" s="19">
        <v>8355</v>
      </c>
      <c r="J2680" s="19" t="s">
        <v>4559</v>
      </c>
    </row>
    <row r="2681" spans="1:10" x14ac:dyDescent="0.2">
      <c r="A2681" s="3">
        <v>8574</v>
      </c>
      <c r="B2681" s="3" t="s">
        <v>2908</v>
      </c>
      <c r="C2681" s="3" t="s">
        <v>2906</v>
      </c>
      <c r="D2681" s="3" t="s">
        <v>2799</v>
      </c>
      <c r="I2681" s="19">
        <v>8356</v>
      </c>
      <c r="J2681" s="19" t="s">
        <v>4560</v>
      </c>
    </row>
    <row r="2682" spans="1:10" x14ac:dyDescent="0.2">
      <c r="A2682" s="3">
        <v>8596</v>
      </c>
      <c r="B2682" s="3" t="s">
        <v>2909</v>
      </c>
      <c r="C2682" s="3" t="s">
        <v>2910</v>
      </c>
      <c r="D2682" s="3" t="s">
        <v>2799</v>
      </c>
      <c r="I2682" s="19">
        <v>8357</v>
      </c>
      <c r="J2682" s="19" t="s">
        <v>4560</v>
      </c>
    </row>
    <row r="2683" spans="1:10" x14ac:dyDescent="0.2">
      <c r="A2683" s="3">
        <v>8596</v>
      </c>
      <c r="B2683" s="3" t="s">
        <v>2910</v>
      </c>
      <c r="C2683" s="3" t="s">
        <v>2910</v>
      </c>
      <c r="D2683" s="3" t="s">
        <v>2799</v>
      </c>
      <c r="I2683" s="19">
        <v>8360</v>
      </c>
      <c r="J2683" s="19" t="s">
        <v>4576</v>
      </c>
    </row>
    <row r="2684" spans="1:10" x14ac:dyDescent="0.2">
      <c r="A2684" s="3">
        <v>8597</v>
      </c>
      <c r="B2684" s="3" t="s">
        <v>2911</v>
      </c>
      <c r="C2684" s="3" t="s">
        <v>2910</v>
      </c>
      <c r="D2684" s="3" t="s">
        <v>2799</v>
      </c>
      <c r="I2684" s="19">
        <v>8362</v>
      </c>
      <c r="J2684" s="19" t="s">
        <v>4560</v>
      </c>
    </row>
    <row r="2685" spans="1:10" x14ac:dyDescent="0.2">
      <c r="A2685" s="3">
        <v>8274</v>
      </c>
      <c r="B2685" s="3" t="s">
        <v>2912</v>
      </c>
      <c r="C2685" s="3" t="s">
        <v>2912</v>
      </c>
      <c r="D2685" s="3" t="s">
        <v>2799</v>
      </c>
      <c r="I2685" s="19">
        <v>8363</v>
      </c>
      <c r="J2685" s="19" t="s">
        <v>4560</v>
      </c>
    </row>
    <row r="2686" spans="1:10" x14ac:dyDescent="0.2">
      <c r="A2686" s="3">
        <v>8564</v>
      </c>
      <c r="B2686" s="3" t="s">
        <v>2913</v>
      </c>
      <c r="C2686" s="3" t="s">
        <v>2914</v>
      </c>
      <c r="D2686" s="3" t="s">
        <v>2799</v>
      </c>
      <c r="I2686" s="19">
        <v>8370</v>
      </c>
      <c r="J2686" s="19" t="s">
        <v>4576</v>
      </c>
    </row>
    <row r="2687" spans="1:10" x14ac:dyDescent="0.2">
      <c r="A2687" s="3">
        <v>8564</v>
      </c>
      <c r="B2687" s="3" t="s">
        <v>2915</v>
      </c>
      <c r="C2687" s="3" t="s">
        <v>2914</v>
      </c>
      <c r="D2687" s="3" t="s">
        <v>2799</v>
      </c>
      <c r="I2687" s="19">
        <v>8371</v>
      </c>
      <c r="J2687" s="19" t="s">
        <v>4576</v>
      </c>
    </row>
    <row r="2688" spans="1:10" x14ac:dyDescent="0.2">
      <c r="A2688" s="3">
        <v>8564</v>
      </c>
      <c r="B2688" s="3" t="s">
        <v>2916</v>
      </c>
      <c r="C2688" s="3" t="s">
        <v>2914</v>
      </c>
      <c r="D2688" s="3" t="s">
        <v>2799</v>
      </c>
      <c r="I2688" s="19">
        <v>8372</v>
      </c>
      <c r="J2688" s="19" t="s">
        <v>4576</v>
      </c>
    </row>
    <row r="2689" spans="1:10" x14ac:dyDescent="0.2">
      <c r="A2689" s="3">
        <v>8564</v>
      </c>
      <c r="B2689" s="3" t="s">
        <v>2914</v>
      </c>
      <c r="C2689" s="3" t="s">
        <v>2914</v>
      </c>
      <c r="D2689" s="3" t="s">
        <v>2799</v>
      </c>
      <c r="I2689" s="19">
        <v>8374</v>
      </c>
      <c r="J2689" s="19" t="s">
        <v>4560</v>
      </c>
    </row>
    <row r="2690" spans="1:10" x14ac:dyDescent="0.2">
      <c r="A2690" s="3">
        <v>8564</v>
      </c>
      <c r="B2690" s="3" t="s">
        <v>2917</v>
      </c>
      <c r="C2690" s="3" t="s">
        <v>2914</v>
      </c>
      <c r="D2690" s="3" t="s">
        <v>2799</v>
      </c>
      <c r="I2690" s="19">
        <v>8376</v>
      </c>
      <c r="J2690" s="19" t="s">
        <v>4560</v>
      </c>
    </row>
    <row r="2691" spans="1:10" x14ac:dyDescent="0.2">
      <c r="A2691" s="3">
        <v>8564</v>
      </c>
      <c r="B2691" s="3" t="s">
        <v>2918</v>
      </c>
      <c r="C2691" s="3" t="s">
        <v>2914</v>
      </c>
      <c r="D2691" s="3" t="s">
        <v>2799</v>
      </c>
      <c r="I2691" s="19">
        <v>8400</v>
      </c>
      <c r="J2691" s="19" t="s">
        <v>4559</v>
      </c>
    </row>
    <row r="2692" spans="1:10" x14ac:dyDescent="0.2">
      <c r="A2692" s="3">
        <v>8564</v>
      </c>
      <c r="B2692" s="3" t="s">
        <v>2919</v>
      </c>
      <c r="C2692" s="3" t="s">
        <v>2914</v>
      </c>
      <c r="D2692" s="3" t="s">
        <v>2799</v>
      </c>
      <c r="I2692" s="19">
        <v>8404</v>
      </c>
      <c r="J2692" s="19" t="s">
        <v>4559</v>
      </c>
    </row>
    <row r="2693" spans="1:10" x14ac:dyDescent="0.2">
      <c r="A2693" s="3">
        <v>9556</v>
      </c>
      <c r="B2693" s="3" t="s">
        <v>2920</v>
      </c>
      <c r="C2693" s="3" t="s">
        <v>2920</v>
      </c>
      <c r="D2693" s="3" t="s">
        <v>2799</v>
      </c>
      <c r="I2693" s="19">
        <v>8405</v>
      </c>
      <c r="J2693" s="19" t="s">
        <v>4559</v>
      </c>
    </row>
    <row r="2694" spans="1:10" x14ac:dyDescent="0.2">
      <c r="A2694" s="3">
        <v>9556</v>
      </c>
      <c r="B2694" s="3" t="s">
        <v>2921</v>
      </c>
      <c r="C2694" s="3" t="s">
        <v>2920</v>
      </c>
      <c r="D2694" s="3" t="s">
        <v>2799</v>
      </c>
      <c r="I2694" s="19">
        <v>8406</v>
      </c>
      <c r="J2694" s="19" t="s">
        <v>4559</v>
      </c>
    </row>
    <row r="2695" spans="1:10" x14ac:dyDescent="0.2">
      <c r="A2695" s="3">
        <v>9562</v>
      </c>
      <c r="B2695" s="3" t="s">
        <v>2922</v>
      </c>
      <c r="C2695" s="3" t="s">
        <v>2920</v>
      </c>
      <c r="D2695" s="3" t="s">
        <v>2799</v>
      </c>
      <c r="I2695" s="19">
        <v>8408</v>
      </c>
      <c r="J2695" s="19" t="s">
        <v>4559</v>
      </c>
    </row>
    <row r="2696" spans="1:10" x14ac:dyDescent="0.2">
      <c r="A2696" s="3">
        <v>9562</v>
      </c>
      <c r="B2696" s="3" t="s">
        <v>2923</v>
      </c>
      <c r="C2696" s="3" t="s">
        <v>2920</v>
      </c>
      <c r="D2696" s="3" t="s">
        <v>2799</v>
      </c>
      <c r="I2696" s="19">
        <v>8409</v>
      </c>
      <c r="J2696" s="19" t="s">
        <v>4559</v>
      </c>
    </row>
    <row r="2697" spans="1:10" x14ac:dyDescent="0.2">
      <c r="A2697" s="3">
        <v>9553</v>
      </c>
      <c r="B2697" s="3" t="s">
        <v>2924</v>
      </c>
      <c r="C2697" s="3" t="s">
        <v>2924</v>
      </c>
      <c r="D2697" s="3" t="s">
        <v>2799</v>
      </c>
      <c r="I2697" s="19">
        <v>8412</v>
      </c>
      <c r="J2697" s="19" t="s">
        <v>4559</v>
      </c>
    </row>
    <row r="2698" spans="1:10" x14ac:dyDescent="0.2">
      <c r="A2698" s="3">
        <v>8362</v>
      </c>
      <c r="B2698" s="3" t="s">
        <v>2925</v>
      </c>
      <c r="C2698" s="3" t="s">
        <v>2926</v>
      </c>
      <c r="D2698" s="3" t="s">
        <v>2799</v>
      </c>
      <c r="I2698" s="19">
        <v>8413</v>
      </c>
      <c r="J2698" s="19" t="s">
        <v>4559</v>
      </c>
    </row>
    <row r="2699" spans="1:10" x14ac:dyDescent="0.2">
      <c r="A2699" s="3">
        <v>8363</v>
      </c>
      <c r="B2699" s="3" t="s">
        <v>2927</v>
      </c>
      <c r="C2699" s="3" t="s">
        <v>2926</v>
      </c>
      <c r="D2699" s="3" t="s">
        <v>2799</v>
      </c>
      <c r="I2699" s="19">
        <v>8414</v>
      </c>
      <c r="J2699" s="19" t="s">
        <v>4559</v>
      </c>
    </row>
    <row r="2700" spans="1:10" x14ac:dyDescent="0.2">
      <c r="A2700" s="3">
        <v>9502</v>
      </c>
      <c r="B2700" s="3" t="s">
        <v>2928</v>
      </c>
      <c r="C2700" s="3" t="s">
        <v>2928</v>
      </c>
      <c r="D2700" s="3" t="s">
        <v>2799</v>
      </c>
      <c r="I2700" s="19">
        <v>8415</v>
      </c>
      <c r="J2700" s="19" t="s">
        <v>4559</v>
      </c>
    </row>
    <row r="2701" spans="1:10" x14ac:dyDescent="0.2">
      <c r="A2701" s="3">
        <v>8360</v>
      </c>
      <c r="B2701" s="3" t="s">
        <v>2929</v>
      </c>
      <c r="C2701" s="3" t="s">
        <v>2930</v>
      </c>
      <c r="D2701" s="3" t="s">
        <v>2799</v>
      </c>
      <c r="I2701" s="19">
        <v>8416</v>
      </c>
      <c r="J2701" s="19" t="s">
        <v>4559</v>
      </c>
    </row>
    <row r="2702" spans="1:10" x14ac:dyDescent="0.2">
      <c r="A2702" s="3">
        <v>8360</v>
      </c>
      <c r="B2702" s="3" t="s">
        <v>2931</v>
      </c>
      <c r="C2702" s="3" t="s">
        <v>2930</v>
      </c>
      <c r="D2702" s="3" t="s">
        <v>2799</v>
      </c>
      <c r="I2702" s="19">
        <v>8418</v>
      </c>
      <c r="J2702" s="19" t="s">
        <v>4559</v>
      </c>
    </row>
    <row r="2703" spans="1:10" x14ac:dyDescent="0.2">
      <c r="A2703" s="3">
        <v>8374</v>
      </c>
      <c r="B2703" s="3" t="s">
        <v>2932</v>
      </c>
      <c r="C2703" s="3" t="s">
        <v>2933</v>
      </c>
      <c r="D2703" s="3" t="s">
        <v>2799</v>
      </c>
      <c r="I2703" s="19">
        <v>8421</v>
      </c>
      <c r="J2703" s="19" t="s">
        <v>4559</v>
      </c>
    </row>
    <row r="2704" spans="1:10" x14ac:dyDescent="0.2">
      <c r="A2704" s="3">
        <v>8374</v>
      </c>
      <c r="B2704" s="3" t="s">
        <v>2934</v>
      </c>
      <c r="C2704" s="3" t="s">
        <v>2933</v>
      </c>
      <c r="D2704" s="3" t="s">
        <v>2799</v>
      </c>
      <c r="I2704" s="19">
        <v>8422</v>
      </c>
      <c r="J2704" s="19" t="s">
        <v>4559</v>
      </c>
    </row>
    <row r="2705" spans="1:10" x14ac:dyDescent="0.2">
      <c r="A2705" s="3">
        <v>8376</v>
      </c>
      <c r="B2705" s="3" t="s">
        <v>2933</v>
      </c>
      <c r="C2705" s="3" t="s">
        <v>2933</v>
      </c>
      <c r="D2705" s="3" t="s">
        <v>2799</v>
      </c>
      <c r="I2705" s="19">
        <v>8424</v>
      </c>
      <c r="J2705" s="19" t="s">
        <v>4559</v>
      </c>
    </row>
    <row r="2706" spans="1:10" x14ac:dyDescent="0.2">
      <c r="A2706" s="3">
        <v>8376</v>
      </c>
      <c r="B2706" s="3" t="s">
        <v>2935</v>
      </c>
      <c r="C2706" s="3" t="s">
        <v>2933</v>
      </c>
      <c r="D2706" s="3" t="s">
        <v>2799</v>
      </c>
      <c r="I2706" s="19">
        <v>8425</v>
      </c>
      <c r="J2706" s="19" t="s">
        <v>4559</v>
      </c>
    </row>
    <row r="2707" spans="1:10" x14ac:dyDescent="0.2">
      <c r="A2707" s="3">
        <v>9506</v>
      </c>
      <c r="B2707" s="3" t="s">
        <v>2936</v>
      </c>
      <c r="C2707" s="3" t="s">
        <v>2936</v>
      </c>
      <c r="D2707" s="3" t="s">
        <v>2799</v>
      </c>
      <c r="I2707" s="19">
        <v>8426</v>
      </c>
      <c r="J2707" s="19" t="s">
        <v>4559</v>
      </c>
    </row>
    <row r="2708" spans="1:10" x14ac:dyDescent="0.2">
      <c r="A2708" s="3">
        <v>9508</v>
      </c>
      <c r="B2708" s="3" t="s">
        <v>2937</v>
      </c>
      <c r="C2708" s="3" t="s">
        <v>2936</v>
      </c>
      <c r="D2708" s="3" t="s">
        <v>2799</v>
      </c>
      <c r="I2708" s="19">
        <v>8427</v>
      </c>
      <c r="J2708" s="19" t="s">
        <v>4559</v>
      </c>
    </row>
    <row r="2709" spans="1:10" x14ac:dyDescent="0.2">
      <c r="A2709" s="3">
        <v>9542</v>
      </c>
      <c r="B2709" s="3" t="s">
        <v>2938</v>
      </c>
      <c r="C2709" s="3" t="s">
        <v>2939</v>
      </c>
      <c r="D2709" s="3" t="s">
        <v>2799</v>
      </c>
      <c r="I2709" s="19">
        <v>8428</v>
      </c>
      <c r="J2709" s="19" t="s">
        <v>4559</v>
      </c>
    </row>
    <row r="2710" spans="1:10" x14ac:dyDescent="0.2">
      <c r="A2710" s="3">
        <v>9543</v>
      </c>
      <c r="B2710" s="3" t="s">
        <v>2940</v>
      </c>
      <c r="C2710" s="3" t="s">
        <v>2939</v>
      </c>
      <c r="D2710" s="3" t="s">
        <v>2799</v>
      </c>
      <c r="I2710" s="19">
        <v>8442</v>
      </c>
      <c r="J2710" s="19" t="s">
        <v>4559</v>
      </c>
    </row>
    <row r="2711" spans="1:10" x14ac:dyDescent="0.2">
      <c r="A2711" s="3">
        <v>9532</v>
      </c>
      <c r="B2711" s="3" t="s">
        <v>2142</v>
      </c>
      <c r="C2711" s="3" t="s">
        <v>2941</v>
      </c>
      <c r="D2711" s="3" t="s">
        <v>2799</v>
      </c>
      <c r="I2711" s="19">
        <v>8444</v>
      </c>
      <c r="J2711" s="19" t="s">
        <v>4559</v>
      </c>
    </row>
    <row r="2712" spans="1:10" x14ac:dyDescent="0.2">
      <c r="A2712" s="3">
        <v>8577</v>
      </c>
      <c r="B2712" s="3" t="s">
        <v>2942</v>
      </c>
      <c r="C2712" s="3" t="s">
        <v>2942</v>
      </c>
      <c r="D2712" s="3" t="s">
        <v>2799</v>
      </c>
      <c r="I2712" s="19">
        <v>8447</v>
      </c>
      <c r="J2712" s="19" t="s">
        <v>4575</v>
      </c>
    </row>
    <row r="2713" spans="1:10" x14ac:dyDescent="0.2">
      <c r="A2713" s="3">
        <v>8370</v>
      </c>
      <c r="B2713" s="3" t="s">
        <v>2943</v>
      </c>
      <c r="C2713" s="3" t="s">
        <v>2943</v>
      </c>
      <c r="D2713" s="3" t="s">
        <v>2799</v>
      </c>
      <c r="I2713" s="19">
        <v>8450</v>
      </c>
      <c r="J2713" s="19" t="s">
        <v>4575</v>
      </c>
    </row>
    <row r="2714" spans="1:10" x14ac:dyDescent="0.2">
      <c r="A2714" s="3">
        <v>8371</v>
      </c>
      <c r="B2714" s="3" t="s">
        <v>2944</v>
      </c>
      <c r="C2714" s="3" t="s">
        <v>2943</v>
      </c>
      <c r="D2714" s="3" t="s">
        <v>2799</v>
      </c>
      <c r="I2714" s="19">
        <v>8451</v>
      </c>
      <c r="J2714" s="19" t="s">
        <v>4575</v>
      </c>
    </row>
    <row r="2715" spans="1:10" x14ac:dyDescent="0.2">
      <c r="A2715" s="3">
        <v>8372</v>
      </c>
      <c r="B2715" s="3" t="s">
        <v>2945</v>
      </c>
      <c r="C2715" s="3" t="s">
        <v>2943</v>
      </c>
      <c r="D2715" s="3" t="s">
        <v>2799</v>
      </c>
      <c r="I2715" s="19">
        <v>8452</v>
      </c>
      <c r="J2715" s="19" t="s">
        <v>4575</v>
      </c>
    </row>
    <row r="2716" spans="1:10" x14ac:dyDescent="0.2">
      <c r="A2716" s="3">
        <v>9573</v>
      </c>
      <c r="B2716" s="3" t="s">
        <v>2946</v>
      </c>
      <c r="C2716" s="3" t="s">
        <v>2943</v>
      </c>
      <c r="D2716" s="3" t="s">
        <v>2799</v>
      </c>
      <c r="I2716" s="19">
        <v>8453</v>
      </c>
      <c r="J2716" s="19" t="s">
        <v>4575</v>
      </c>
    </row>
    <row r="2717" spans="1:10" x14ac:dyDescent="0.2">
      <c r="A2717" s="3">
        <v>9554</v>
      </c>
      <c r="B2717" s="3" t="s">
        <v>2947</v>
      </c>
      <c r="C2717" s="3" t="s">
        <v>2948</v>
      </c>
      <c r="D2717" s="3" t="s">
        <v>2799</v>
      </c>
      <c r="I2717" s="19">
        <v>8454</v>
      </c>
      <c r="J2717" s="19" t="s">
        <v>4559</v>
      </c>
    </row>
    <row r="2718" spans="1:10" x14ac:dyDescent="0.2">
      <c r="A2718" s="3">
        <v>9555</v>
      </c>
      <c r="B2718" s="3" t="s">
        <v>2949</v>
      </c>
      <c r="C2718" s="3" t="s">
        <v>2948</v>
      </c>
      <c r="D2718" s="3" t="s">
        <v>2799</v>
      </c>
      <c r="I2718" s="19">
        <v>8455</v>
      </c>
      <c r="J2718" s="19" t="s">
        <v>4559</v>
      </c>
    </row>
    <row r="2719" spans="1:10" x14ac:dyDescent="0.2">
      <c r="A2719" s="3">
        <v>9545</v>
      </c>
      <c r="B2719" s="3" t="s">
        <v>2950</v>
      </c>
      <c r="C2719" s="3" t="s">
        <v>2950</v>
      </c>
      <c r="D2719" s="3" t="s">
        <v>2799</v>
      </c>
      <c r="I2719" s="19">
        <v>8457</v>
      </c>
      <c r="J2719" s="19" t="s">
        <v>4575</v>
      </c>
    </row>
    <row r="2720" spans="1:10" x14ac:dyDescent="0.2">
      <c r="A2720" s="3">
        <v>9546</v>
      </c>
      <c r="B2720" s="3" t="s">
        <v>2951</v>
      </c>
      <c r="C2720" s="3" t="s">
        <v>2950</v>
      </c>
      <c r="D2720" s="3" t="s">
        <v>2799</v>
      </c>
      <c r="I2720" s="19">
        <v>8458</v>
      </c>
      <c r="J2720" s="19" t="s">
        <v>4559</v>
      </c>
    </row>
    <row r="2721" spans="1:10" x14ac:dyDescent="0.2">
      <c r="A2721" s="3">
        <v>9535</v>
      </c>
      <c r="B2721" s="3" t="s">
        <v>2952</v>
      </c>
      <c r="C2721" s="3" t="s">
        <v>2953</v>
      </c>
      <c r="D2721" s="3" t="s">
        <v>2799</v>
      </c>
      <c r="I2721" s="19">
        <v>8459</v>
      </c>
      <c r="J2721" s="19" t="s">
        <v>4559</v>
      </c>
    </row>
    <row r="2722" spans="1:10" x14ac:dyDescent="0.2">
      <c r="A2722" s="3">
        <v>9514</v>
      </c>
      <c r="B2722" s="3" t="s">
        <v>2954</v>
      </c>
      <c r="C2722" s="3" t="s">
        <v>2954</v>
      </c>
      <c r="D2722" s="3" t="s">
        <v>2799</v>
      </c>
      <c r="I2722" s="19">
        <v>8460</v>
      </c>
      <c r="J2722" s="19" t="s">
        <v>4575</v>
      </c>
    </row>
    <row r="2723" spans="1:10" x14ac:dyDescent="0.2">
      <c r="A2723" s="3">
        <v>9515</v>
      </c>
      <c r="B2723" s="3" t="s">
        <v>2955</v>
      </c>
      <c r="C2723" s="3" t="s">
        <v>2954</v>
      </c>
      <c r="D2723" s="3" t="s">
        <v>2799</v>
      </c>
      <c r="I2723" s="19">
        <v>8461</v>
      </c>
      <c r="J2723" s="19" t="s">
        <v>4575</v>
      </c>
    </row>
    <row r="2724" spans="1:10" x14ac:dyDescent="0.2">
      <c r="A2724" s="3">
        <v>8267</v>
      </c>
      <c r="B2724" s="3" t="s">
        <v>2956</v>
      </c>
      <c r="C2724" s="3" t="s">
        <v>2956</v>
      </c>
      <c r="D2724" s="3" t="s">
        <v>2799</v>
      </c>
      <c r="I2724" s="19">
        <v>8462</v>
      </c>
      <c r="J2724" s="19" t="s">
        <v>4575</v>
      </c>
    </row>
    <row r="2725" spans="1:10" x14ac:dyDescent="0.2">
      <c r="A2725" s="3">
        <v>8264</v>
      </c>
      <c r="B2725" s="3" t="s">
        <v>2957</v>
      </c>
      <c r="C2725" s="3" t="s">
        <v>2957</v>
      </c>
      <c r="D2725" s="3" t="s">
        <v>2799</v>
      </c>
      <c r="I2725" s="19">
        <v>8463</v>
      </c>
      <c r="J2725" s="19" t="s">
        <v>4575</v>
      </c>
    </row>
    <row r="2726" spans="1:10" x14ac:dyDescent="0.2">
      <c r="A2726" s="3">
        <v>8506</v>
      </c>
      <c r="B2726" s="3" t="s">
        <v>2958</v>
      </c>
      <c r="C2726" s="3" t="s">
        <v>2959</v>
      </c>
      <c r="D2726" s="3" t="s">
        <v>2799</v>
      </c>
      <c r="I2726" s="19">
        <v>8464</v>
      </c>
      <c r="J2726" s="19" t="s">
        <v>4575</v>
      </c>
    </row>
    <row r="2727" spans="1:10" x14ac:dyDescent="0.2">
      <c r="A2727" s="3">
        <v>8535</v>
      </c>
      <c r="B2727" s="3" t="s">
        <v>2959</v>
      </c>
      <c r="C2727" s="3" t="s">
        <v>2959</v>
      </c>
      <c r="D2727" s="3" t="s">
        <v>2799</v>
      </c>
      <c r="I2727" s="19">
        <v>8465</v>
      </c>
      <c r="J2727" s="19" t="s">
        <v>4575</v>
      </c>
    </row>
    <row r="2728" spans="1:10" x14ac:dyDescent="0.2">
      <c r="A2728" s="3">
        <v>8507</v>
      </c>
      <c r="B2728" s="3" t="s">
        <v>2960</v>
      </c>
      <c r="C2728" s="3" t="s">
        <v>2961</v>
      </c>
      <c r="D2728" s="3" t="s">
        <v>2799</v>
      </c>
      <c r="I2728" s="19">
        <v>8466</v>
      </c>
      <c r="J2728" s="19" t="s">
        <v>4575</v>
      </c>
    </row>
    <row r="2729" spans="1:10" x14ac:dyDescent="0.2">
      <c r="A2729" s="3">
        <v>8508</v>
      </c>
      <c r="B2729" s="3" t="s">
        <v>2961</v>
      </c>
      <c r="C2729" s="3" t="s">
        <v>2961</v>
      </c>
      <c r="D2729" s="3" t="s">
        <v>2799</v>
      </c>
      <c r="I2729" s="19">
        <v>8467</v>
      </c>
      <c r="J2729" s="19" t="s">
        <v>4575</v>
      </c>
    </row>
    <row r="2730" spans="1:10" x14ac:dyDescent="0.2">
      <c r="A2730" s="3">
        <v>8536</v>
      </c>
      <c r="B2730" s="3" t="s">
        <v>2962</v>
      </c>
      <c r="C2730" s="3" t="s">
        <v>2962</v>
      </c>
      <c r="D2730" s="3" t="s">
        <v>2799</v>
      </c>
      <c r="I2730" s="19">
        <v>8468</v>
      </c>
      <c r="J2730" s="19" t="s">
        <v>4575</v>
      </c>
    </row>
    <row r="2731" spans="1:10" x14ac:dyDescent="0.2">
      <c r="A2731" s="3">
        <v>8537</v>
      </c>
      <c r="B2731" s="3" t="s">
        <v>2963</v>
      </c>
      <c r="C2731" s="3" t="s">
        <v>2962</v>
      </c>
      <c r="D2731" s="3" t="s">
        <v>2799</v>
      </c>
      <c r="I2731" s="19">
        <v>8471</v>
      </c>
      <c r="J2731" s="19" t="s">
        <v>4575</v>
      </c>
    </row>
    <row r="2732" spans="1:10" x14ac:dyDescent="0.2">
      <c r="A2732" s="3">
        <v>8537</v>
      </c>
      <c r="B2732" s="3" t="s">
        <v>2964</v>
      </c>
      <c r="C2732" s="3" t="s">
        <v>2962</v>
      </c>
      <c r="D2732" s="3" t="s">
        <v>2799</v>
      </c>
      <c r="I2732" s="19">
        <v>8472</v>
      </c>
      <c r="J2732" s="19" t="s">
        <v>4559</v>
      </c>
    </row>
    <row r="2733" spans="1:10" x14ac:dyDescent="0.2">
      <c r="A2733" s="3">
        <v>8265</v>
      </c>
      <c r="B2733" s="3" t="s">
        <v>2965</v>
      </c>
      <c r="C2733" s="3" t="s">
        <v>2965</v>
      </c>
      <c r="D2733" s="3" t="s">
        <v>2799</v>
      </c>
      <c r="I2733" s="19">
        <v>8474</v>
      </c>
      <c r="J2733" s="19" t="s">
        <v>4575</v>
      </c>
    </row>
    <row r="2734" spans="1:10" x14ac:dyDescent="0.2">
      <c r="A2734" s="3">
        <v>8555</v>
      </c>
      <c r="B2734" s="3" t="s">
        <v>2966</v>
      </c>
      <c r="C2734" s="3" t="s">
        <v>2967</v>
      </c>
      <c r="D2734" s="3" t="s">
        <v>2799</v>
      </c>
      <c r="I2734" s="19">
        <v>8475</v>
      </c>
      <c r="J2734" s="19" t="s">
        <v>4575</v>
      </c>
    </row>
    <row r="2735" spans="1:10" x14ac:dyDescent="0.2">
      <c r="A2735" s="3">
        <v>8505</v>
      </c>
      <c r="B2735" s="3" t="s">
        <v>2968</v>
      </c>
      <c r="C2735" s="3" t="s">
        <v>2968</v>
      </c>
      <c r="D2735" s="3" t="s">
        <v>2799</v>
      </c>
      <c r="I2735" s="19">
        <v>8476</v>
      </c>
      <c r="J2735" s="19" t="s">
        <v>4575</v>
      </c>
    </row>
    <row r="2736" spans="1:10" x14ac:dyDescent="0.2">
      <c r="A2736" s="3">
        <v>8505</v>
      </c>
      <c r="B2736" s="3" t="s">
        <v>2969</v>
      </c>
      <c r="C2736" s="3" t="s">
        <v>2968</v>
      </c>
      <c r="D2736" s="3" t="s">
        <v>2799</v>
      </c>
      <c r="I2736" s="19">
        <v>8477</v>
      </c>
      <c r="J2736" s="19" t="s">
        <v>4575</v>
      </c>
    </row>
    <row r="2737" spans="1:10" x14ac:dyDescent="0.2">
      <c r="A2737" s="3">
        <v>8558</v>
      </c>
      <c r="B2737" s="3" t="s">
        <v>2970</v>
      </c>
      <c r="C2737" s="3" t="s">
        <v>2970</v>
      </c>
      <c r="D2737" s="3" t="s">
        <v>2799</v>
      </c>
      <c r="I2737" s="19">
        <v>8478</v>
      </c>
      <c r="J2737" s="19" t="s">
        <v>4575</v>
      </c>
    </row>
    <row r="2738" spans="1:10" x14ac:dyDescent="0.2">
      <c r="A2738" s="3">
        <v>8268</v>
      </c>
      <c r="B2738" s="3" t="s">
        <v>2971</v>
      </c>
      <c r="C2738" s="3" t="s">
        <v>2972</v>
      </c>
      <c r="D2738" s="3" t="s">
        <v>2799</v>
      </c>
      <c r="I2738" s="19">
        <v>8479</v>
      </c>
      <c r="J2738" s="19" t="s">
        <v>4575</v>
      </c>
    </row>
    <row r="2739" spans="1:10" x14ac:dyDescent="0.2">
      <c r="A2739" s="3">
        <v>8268</v>
      </c>
      <c r="B2739" s="3" t="s">
        <v>2972</v>
      </c>
      <c r="C2739" s="3" t="s">
        <v>2972</v>
      </c>
      <c r="D2739" s="3" t="s">
        <v>2799</v>
      </c>
      <c r="I2739" s="19">
        <v>8482</v>
      </c>
      <c r="J2739" s="19" t="s">
        <v>4559</v>
      </c>
    </row>
    <row r="2740" spans="1:10" x14ac:dyDescent="0.2">
      <c r="A2740" s="3">
        <v>8269</v>
      </c>
      <c r="B2740" s="3" t="s">
        <v>2973</v>
      </c>
      <c r="C2740" s="3" t="s">
        <v>2972</v>
      </c>
      <c r="D2740" s="3" t="s">
        <v>2799</v>
      </c>
      <c r="I2740" s="19">
        <v>8483</v>
      </c>
      <c r="J2740" s="19" t="s">
        <v>4560</v>
      </c>
    </row>
    <row r="2741" spans="1:10" x14ac:dyDescent="0.2">
      <c r="A2741" s="3">
        <v>8266</v>
      </c>
      <c r="B2741" s="3" t="s">
        <v>2974</v>
      </c>
      <c r="C2741" s="3" t="s">
        <v>2974</v>
      </c>
      <c r="D2741" s="3" t="s">
        <v>2799</v>
      </c>
      <c r="I2741" s="19">
        <v>8484</v>
      </c>
      <c r="J2741" s="19" t="s">
        <v>4560</v>
      </c>
    </row>
    <row r="2742" spans="1:10" x14ac:dyDescent="0.2">
      <c r="A2742" s="3">
        <v>8259</v>
      </c>
      <c r="B2742" s="3" t="s">
        <v>2975</v>
      </c>
      <c r="C2742" s="3" t="s">
        <v>2976</v>
      </c>
      <c r="D2742" s="3" t="s">
        <v>2799</v>
      </c>
      <c r="I2742" s="19">
        <v>8486</v>
      </c>
      <c r="J2742" s="19" t="s">
        <v>4560</v>
      </c>
    </row>
    <row r="2743" spans="1:10" x14ac:dyDescent="0.2">
      <c r="A2743" s="3">
        <v>8259</v>
      </c>
      <c r="B2743" s="3" t="s">
        <v>2977</v>
      </c>
      <c r="C2743" s="3" t="s">
        <v>2976</v>
      </c>
      <c r="D2743" s="3" t="s">
        <v>2799</v>
      </c>
      <c r="I2743" s="19">
        <v>8487</v>
      </c>
      <c r="J2743" s="19" t="s">
        <v>4560</v>
      </c>
    </row>
    <row r="2744" spans="1:10" x14ac:dyDescent="0.2">
      <c r="A2744" s="3">
        <v>8259</v>
      </c>
      <c r="B2744" s="3" t="s">
        <v>2978</v>
      </c>
      <c r="C2744" s="3" t="s">
        <v>2976</v>
      </c>
      <c r="D2744" s="3" t="s">
        <v>2799</v>
      </c>
      <c r="I2744" s="19">
        <v>8488</v>
      </c>
      <c r="J2744" s="19" t="s">
        <v>4560</v>
      </c>
    </row>
    <row r="2745" spans="1:10" x14ac:dyDescent="0.2">
      <c r="A2745" s="3">
        <v>8259</v>
      </c>
      <c r="B2745" s="3" t="s">
        <v>2976</v>
      </c>
      <c r="C2745" s="3" t="s">
        <v>2976</v>
      </c>
      <c r="D2745" s="3" t="s">
        <v>2799</v>
      </c>
      <c r="I2745" s="19">
        <v>8489</v>
      </c>
      <c r="J2745" s="19" t="s">
        <v>4560</v>
      </c>
    </row>
    <row r="2746" spans="1:10" x14ac:dyDescent="0.2">
      <c r="A2746" s="3">
        <v>8514</v>
      </c>
      <c r="B2746" s="3" t="s">
        <v>2979</v>
      </c>
      <c r="C2746" s="3" t="s">
        <v>2979</v>
      </c>
      <c r="D2746" s="3" t="s">
        <v>2799</v>
      </c>
      <c r="I2746" s="19">
        <v>8492</v>
      </c>
      <c r="J2746" s="19" t="s">
        <v>4560</v>
      </c>
    </row>
    <row r="2747" spans="1:10" x14ac:dyDescent="0.2">
      <c r="A2747" s="3">
        <v>8572</v>
      </c>
      <c r="B2747" s="3" t="s">
        <v>2980</v>
      </c>
      <c r="C2747" s="3" t="s">
        <v>2981</v>
      </c>
      <c r="D2747" s="3" t="s">
        <v>2799</v>
      </c>
      <c r="I2747" s="19">
        <v>8493</v>
      </c>
      <c r="J2747" s="19" t="s">
        <v>4560</v>
      </c>
    </row>
    <row r="2748" spans="1:10" x14ac:dyDescent="0.2">
      <c r="A2748" s="3">
        <v>8572</v>
      </c>
      <c r="B2748" s="3" t="s">
        <v>2980</v>
      </c>
      <c r="C2748" s="3" t="s">
        <v>2981</v>
      </c>
      <c r="D2748" s="3" t="s">
        <v>2799</v>
      </c>
      <c r="I2748" s="19">
        <v>8494</v>
      </c>
      <c r="J2748" s="19" t="s">
        <v>4560</v>
      </c>
    </row>
    <row r="2749" spans="1:10" x14ac:dyDescent="0.2">
      <c r="A2749" s="3">
        <v>8572</v>
      </c>
      <c r="B2749" s="3" t="s">
        <v>2982</v>
      </c>
      <c r="C2749" s="3" t="s">
        <v>2981</v>
      </c>
      <c r="D2749" s="3" t="s">
        <v>2799</v>
      </c>
      <c r="I2749" s="19">
        <v>8495</v>
      </c>
      <c r="J2749" s="19" t="s">
        <v>4560</v>
      </c>
    </row>
    <row r="2750" spans="1:10" x14ac:dyDescent="0.2">
      <c r="A2750" s="3">
        <v>8572</v>
      </c>
      <c r="B2750" s="3" t="s">
        <v>2983</v>
      </c>
      <c r="C2750" s="3" t="s">
        <v>2981</v>
      </c>
      <c r="D2750" s="3" t="s">
        <v>2799</v>
      </c>
      <c r="I2750" s="19">
        <v>8496</v>
      </c>
      <c r="J2750" s="19" t="s">
        <v>4560</v>
      </c>
    </row>
    <row r="2751" spans="1:10" x14ac:dyDescent="0.2">
      <c r="A2751" s="3">
        <v>8572</v>
      </c>
      <c r="B2751" s="3" t="s">
        <v>2984</v>
      </c>
      <c r="C2751" s="3" t="s">
        <v>2981</v>
      </c>
      <c r="D2751" s="3" t="s">
        <v>2799</v>
      </c>
      <c r="I2751" s="19">
        <v>8497</v>
      </c>
      <c r="J2751" s="19" t="s">
        <v>4560</v>
      </c>
    </row>
    <row r="2752" spans="1:10" x14ac:dyDescent="0.2">
      <c r="A2752" s="3">
        <v>8576</v>
      </c>
      <c r="B2752" s="3" t="s">
        <v>2985</v>
      </c>
      <c r="C2752" s="3" t="s">
        <v>2981</v>
      </c>
      <c r="D2752" s="3" t="s">
        <v>2799</v>
      </c>
      <c r="I2752" s="19">
        <v>8498</v>
      </c>
      <c r="J2752" s="19" t="s">
        <v>4560</v>
      </c>
    </row>
    <row r="2753" spans="1:10" x14ac:dyDescent="0.2">
      <c r="A2753" s="3">
        <v>8585</v>
      </c>
      <c r="B2753" s="3" t="s">
        <v>2986</v>
      </c>
      <c r="C2753" s="3" t="s">
        <v>2987</v>
      </c>
      <c r="D2753" s="3" t="s">
        <v>2799</v>
      </c>
      <c r="I2753" s="19">
        <v>8499</v>
      </c>
      <c r="J2753" s="19" t="s">
        <v>4560</v>
      </c>
    </row>
    <row r="2754" spans="1:10" x14ac:dyDescent="0.2">
      <c r="A2754" s="3">
        <v>8585</v>
      </c>
      <c r="B2754" s="3" t="s">
        <v>2988</v>
      </c>
      <c r="C2754" s="3" t="s">
        <v>2987</v>
      </c>
      <c r="D2754" s="3" t="s">
        <v>2799</v>
      </c>
      <c r="I2754" s="19">
        <v>8500</v>
      </c>
      <c r="J2754" s="19" t="s">
        <v>4575</v>
      </c>
    </row>
    <row r="2755" spans="1:10" x14ac:dyDescent="0.2">
      <c r="A2755" s="3">
        <v>8585</v>
      </c>
      <c r="B2755" s="3" t="s">
        <v>2987</v>
      </c>
      <c r="C2755" s="3" t="s">
        <v>2987</v>
      </c>
      <c r="D2755" s="3" t="s">
        <v>2799</v>
      </c>
      <c r="I2755" s="19">
        <v>8505</v>
      </c>
      <c r="J2755" s="19" t="s">
        <v>4576</v>
      </c>
    </row>
    <row r="2756" spans="1:10" x14ac:dyDescent="0.2">
      <c r="A2756" s="3">
        <v>8585</v>
      </c>
      <c r="B2756" s="3" t="s">
        <v>2989</v>
      </c>
      <c r="C2756" s="3" t="s">
        <v>2987</v>
      </c>
      <c r="D2756" s="3" t="s">
        <v>2799</v>
      </c>
      <c r="I2756" s="19">
        <v>8506</v>
      </c>
      <c r="J2756" s="19" t="s">
        <v>4575</v>
      </c>
    </row>
    <row r="2757" spans="1:10" x14ac:dyDescent="0.2">
      <c r="A2757" s="3">
        <v>8586</v>
      </c>
      <c r="B2757" s="3" t="s">
        <v>2990</v>
      </c>
      <c r="C2757" s="3" t="s">
        <v>2987</v>
      </c>
      <c r="D2757" s="3" t="s">
        <v>2799</v>
      </c>
      <c r="I2757" s="19">
        <v>8507</v>
      </c>
      <c r="J2757" s="19" t="s">
        <v>4576</v>
      </c>
    </row>
    <row r="2758" spans="1:10" x14ac:dyDescent="0.2">
      <c r="A2758" s="3">
        <v>8586</v>
      </c>
      <c r="B2758" s="3" t="s">
        <v>2991</v>
      </c>
      <c r="C2758" s="3" t="s">
        <v>2987</v>
      </c>
      <c r="D2758" s="3" t="s">
        <v>2799</v>
      </c>
      <c r="I2758" s="19">
        <v>8508</v>
      </c>
      <c r="J2758" s="19" t="s">
        <v>4576</v>
      </c>
    </row>
    <row r="2759" spans="1:10" x14ac:dyDescent="0.2">
      <c r="A2759" s="3">
        <v>8575</v>
      </c>
      <c r="B2759" s="3" t="s">
        <v>2992</v>
      </c>
      <c r="C2759" s="3" t="s">
        <v>2993</v>
      </c>
      <c r="D2759" s="3" t="s">
        <v>2799</v>
      </c>
      <c r="I2759" s="19">
        <v>8512</v>
      </c>
      <c r="J2759" s="19" t="s">
        <v>4576</v>
      </c>
    </row>
    <row r="2760" spans="1:10" x14ac:dyDescent="0.2">
      <c r="A2760" s="3">
        <v>8575</v>
      </c>
      <c r="B2760" s="3" t="s">
        <v>2994</v>
      </c>
      <c r="C2760" s="3" t="s">
        <v>2993</v>
      </c>
      <c r="D2760" s="3" t="s">
        <v>2799</v>
      </c>
      <c r="I2760" s="19">
        <v>8514</v>
      </c>
      <c r="J2760" s="19" t="s">
        <v>4576</v>
      </c>
    </row>
    <row r="2761" spans="1:10" x14ac:dyDescent="0.2">
      <c r="A2761" s="3">
        <v>8584</v>
      </c>
      <c r="B2761" s="3" t="s">
        <v>2995</v>
      </c>
      <c r="C2761" s="3" t="s">
        <v>2993</v>
      </c>
      <c r="D2761" s="3" t="s">
        <v>2799</v>
      </c>
      <c r="I2761" s="19">
        <v>8522</v>
      </c>
      <c r="J2761" s="19" t="s">
        <v>4559</v>
      </c>
    </row>
    <row r="2762" spans="1:10" x14ac:dyDescent="0.2">
      <c r="A2762" s="3">
        <v>8584</v>
      </c>
      <c r="B2762" s="3" t="s">
        <v>2996</v>
      </c>
      <c r="C2762" s="3" t="s">
        <v>2993</v>
      </c>
      <c r="D2762" s="3" t="s">
        <v>2799</v>
      </c>
      <c r="I2762" s="19">
        <v>8523</v>
      </c>
      <c r="J2762" s="19" t="s">
        <v>4559</v>
      </c>
    </row>
    <row r="2763" spans="1:10" x14ac:dyDescent="0.2">
      <c r="A2763" s="3">
        <v>9503</v>
      </c>
      <c r="B2763" s="3" t="s">
        <v>2997</v>
      </c>
      <c r="C2763" s="3" t="s">
        <v>2998</v>
      </c>
      <c r="D2763" s="3" t="s">
        <v>2799</v>
      </c>
      <c r="I2763" s="19">
        <v>8524</v>
      </c>
      <c r="J2763" s="19" t="s">
        <v>4575</v>
      </c>
    </row>
    <row r="2764" spans="1:10" x14ac:dyDescent="0.2">
      <c r="A2764" s="3">
        <v>9503</v>
      </c>
      <c r="B2764" s="3" t="s">
        <v>2999</v>
      </c>
      <c r="C2764" s="3" t="s">
        <v>2998</v>
      </c>
      <c r="D2764" s="3" t="s">
        <v>2799</v>
      </c>
      <c r="I2764" s="19">
        <v>8525</v>
      </c>
      <c r="J2764" s="19" t="s">
        <v>4575</v>
      </c>
    </row>
    <row r="2765" spans="1:10" x14ac:dyDescent="0.2">
      <c r="A2765" s="3">
        <v>9504</v>
      </c>
      <c r="B2765" s="3" t="s">
        <v>3000</v>
      </c>
      <c r="C2765" s="3" t="s">
        <v>2998</v>
      </c>
      <c r="D2765" s="3" t="s">
        <v>2799</v>
      </c>
      <c r="I2765" s="19">
        <v>8526</v>
      </c>
      <c r="J2765" s="19" t="s">
        <v>4575</v>
      </c>
    </row>
    <row r="2766" spans="1:10" x14ac:dyDescent="0.2">
      <c r="A2766" s="3">
        <v>9517</v>
      </c>
      <c r="B2766" s="3" t="s">
        <v>3001</v>
      </c>
      <c r="C2766" s="3" t="s">
        <v>2998</v>
      </c>
      <c r="D2766" s="3" t="s">
        <v>2799</v>
      </c>
      <c r="I2766" s="19">
        <v>8532</v>
      </c>
      <c r="J2766" s="19" t="s">
        <v>4575</v>
      </c>
    </row>
    <row r="2767" spans="1:10" x14ac:dyDescent="0.2">
      <c r="A2767" s="3">
        <v>9565</v>
      </c>
      <c r="B2767" s="3" t="s">
        <v>2998</v>
      </c>
      <c r="C2767" s="3" t="s">
        <v>2998</v>
      </c>
      <c r="D2767" s="3" t="s">
        <v>2799</v>
      </c>
      <c r="I2767" s="19">
        <v>8535</v>
      </c>
      <c r="J2767" s="19" t="s">
        <v>4575</v>
      </c>
    </row>
    <row r="2768" spans="1:10" x14ac:dyDescent="0.2">
      <c r="A2768" s="3">
        <v>9565</v>
      </c>
      <c r="B2768" s="3" t="s">
        <v>3002</v>
      </c>
      <c r="C2768" s="3" t="s">
        <v>2998</v>
      </c>
      <c r="D2768" s="3" t="s">
        <v>2799</v>
      </c>
      <c r="I2768" s="19">
        <v>8536</v>
      </c>
      <c r="J2768" s="19" t="s">
        <v>4575</v>
      </c>
    </row>
    <row r="2769" spans="1:10" x14ac:dyDescent="0.2">
      <c r="A2769" s="3">
        <v>9565</v>
      </c>
      <c r="B2769" s="3" t="s">
        <v>3003</v>
      </c>
      <c r="C2769" s="3" t="s">
        <v>2998</v>
      </c>
      <c r="D2769" s="3" t="s">
        <v>2799</v>
      </c>
      <c r="I2769" s="19">
        <v>8537</v>
      </c>
      <c r="J2769" s="19" t="s">
        <v>4575</v>
      </c>
    </row>
    <row r="2770" spans="1:10" x14ac:dyDescent="0.2">
      <c r="A2770" s="3">
        <v>9565</v>
      </c>
      <c r="B2770" s="3" t="s">
        <v>3004</v>
      </c>
      <c r="C2770" s="3" t="s">
        <v>2998</v>
      </c>
      <c r="D2770" s="3" t="s">
        <v>2799</v>
      </c>
      <c r="I2770" s="19">
        <v>8542</v>
      </c>
      <c r="J2770" s="19" t="s">
        <v>4559</v>
      </c>
    </row>
    <row r="2771" spans="1:10" x14ac:dyDescent="0.2">
      <c r="A2771" s="3">
        <v>9565</v>
      </c>
      <c r="B2771" s="3" t="s">
        <v>3005</v>
      </c>
      <c r="C2771" s="3" t="s">
        <v>2998</v>
      </c>
      <c r="D2771" s="3" t="s">
        <v>2799</v>
      </c>
      <c r="I2771" s="19">
        <v>8543</v>
      </c>
      <c r="J2771" s="19" t="s">
        <v>4559</v>
      </c>
    </row>
    <row r="2772" spans="1:10" x14ac:dyDescent="0.2">
      <c r="A2772" s="3">
        <v>8560</v>
      </c>
      <c r="B2772" s="3" t="s">
        <v>3006</v>
      </c>
      <c r="C2772" s="3" t="s">
        <v>3006</v>
      </c>
      <c r="D2772" s="3" t="s">
        <v>2799</v>
      </c>
      <c r="I2772" s="19">
        <v>8544</v>
      </c>
      <c r="J2772" s="19" t="s">
        <v>4559</v>
      </c>
    </row>
    <row r="2773" spans="1:10" x14ac:dyDescent="0.2">
      <c r="A2773" s="3">
        <v>8561</v>
      </c>
      <c r="B2773" s="3" t="s">
        <v>3007</v>
      </c>
      <c r="C2773" s="3" t="s">
        <v>3006</v>
      </c>
      <c r="D2773" s="3" t="s">
        <v>2799</v>
      </c>
      <c r="I2773" s="19">
        <v>8545</v>
      </c>
      <c r="J2773" s="19" t="s">
        <v>4559</v>
      </c>
    </row>
    <row r="2774" spans="1:10" x14ac:dyDescent="0.2">
      <c r="A2774" s="3">
        <v>8570</v>
      </c>
      <c r="B2774" s="3" t="s">
        <v>3008</v>
      </c>
      <c r="C2774" s="3" t="s">
        <v>3008</v>
      </c>
      <c r="D2774" s="3" t="s">
        <v>2799</v>
      </c>
      <c r="I2774" s="19">
        <v>8546</v>
      </c>
      <c r="J2774" s="19" t="s">
        <v>4575</v>
      </c>
    </row>
    <row r="2775" spans="1:10" x14ac:dyDescent="0.2">
      <c r="A2775" s="3">
        <v>8554</v>
      </c>
      <c r="B2775" s="3" t="s">
        <v>3009</v>
      </c>
      <c r="C2775" s="3" t="s">
        <v>3010</v>
      </c>
      <c r="D2775" s="3" t="s">
        <v>2799</v>
      </c>
      <c r="I2775" s="19">
        <v>8547</v>
      </c>
      <c r="J2775" s="19" t="s">
        <v>4575</v>
      </c>
    </row>
    <row r="2776" spans="1:10" x14ac:dyDescent="0.2">
      <c r="A2776" s="3">
        <v>8554</v>
      </c>
      <c r="B2776" s="3" t="s">
        <v>3011</v>
      </c>
      <c r="C2776" s="3" t="s">
        <v>3010</v>
      </c>
      <c r="D2776" s="3" t="s">
        <v>2799</v>
      </c>
      <c r="I2776" s="19">
        <v>8548</v>
      </c>
      <c r="J2776" s="19" t="s">
        <v>4575</v>
      </c>
    </row>
    <row r="2777" spans="1:10" x14ac:dyDescent="0.2">
      <c r="A2777" s="3">
        <v>8556</v>
      </c>
      <c r="B2777" s="3" t="s">
        <v>3010</v>
      </c>
      <c r="C2777" s="3" t="s">
        <v>3010</v>
      </c>
      <c r="D2777" s="3" t="s">
        <v>2799</v>
      </c>
      <c r="I2777" s="19">
        <v>8552</v>
      </c>
      <c r="J2777" s="19" t="s">
        <v>4576</v>
      </c>
    </row>
    <row r="2778" spans="1:10" x14ac:dyDescent="0.2">
      <c r="A2778" s="3">
        <v>8556</v>
      </c>
      <c r="B2778" s="3" t="s">
        <v>3012</v>
      </c>
      <c r="C2778" s="3" t="s">
        <v>3010</v>
      </c>
      <c r="D2778" s="3" t="s">
        <v>2799</v>
      </c>
      <c r="I2778" s="19">
        <v>8553</v>
      </c>
      <c r="J2778" s="19" t="s">
        <v>4576</v>
      </c>
    </row>
    <row r="2779" spans="1:10" x14ac:dyDescent="0.2">
      <c r="A2779" s="3">
        <v>8556</v>
      </c>
      <c r="B2779" s="3" t="s">
        <v>3013</v>
      </c>
      <c r="C2779" s="3" t="s">
        <v>3010</v>
      </c>
      <c r="D2779" s="3" t="s">
        <v>2799</v>
      </c>
      <c r="I2779" s="19">
        <v>8554</v>
      </c>
      <c r="J2779" s="19" t="s">
        <v>4576</v>
      </c>
    </row>
    <row r="2780" spans="1:10" x14ac:dyDescent="0.2">
      <c r="A2780" s="3">
        <v>8556</v>
      </c>
      <c r="B2780" s="3" t="s">
        <v>3014</v>
      </c>
      <c r="C2780" s="3" t="s">
        <v>3010</v>
      </c>
      <c r="D2780" s="3" t="s">
        <v>2799</v>
      </c>
      <c r="I2780" s="19">
        <v>8555</v>
      </c>
      <c r="J2780" s="19" t="s">
        <v>4576</v>
      </c>
    </row>
    <row r="2781" spans="1:10" x14ac:dyDescent="0.2">
      <c r="A2781" s="3">
        <v>8564</v>
      </c>
      <c r="B2781" s="3" t="s">
        <v>3015</v>
      </c>
      <c r="C2781" s="3" t="s">
        <v>3010</v>
      </c>
      <c r="D2781" s="3" t="s">
        <v>2799</v>
      </c>
      <c r="I2781" s="19">
        <v>8556</v>
      </c>
      <c r="J2781" s="19" t="s">
        <v>4576</v>
      </c>
    </row>
    <row r="2782" spans="1:10" x14ac:dyDescent="0.2">
      <c r="A2782" s="3">
        <v>6517</v>
      </c>
      <c r="B2782" s="3" t="s">
        <v>3016</v>
      </c>
      <c r="C2782" s="3" t="s">
        <v>3017</v>
      </c>
      <c r="D2782" s="3" t="s">
        <v>3018</v>
      </c>
      <c r="I2782" s="19">
        <v>8558</v>
      </c>
      <c r="J2782" s="19" t="s">
        <v>4576</v>
      </c>
    </row>
    <row r="2783" spans="1:10" x14ac:dyDescent="0.2">
      <c r="A2783" s="3">
        <v>6532</v>
      </c>
      <c r="B2783" s="3" t="s">
        <v>3019</v>
      </c>
      <c r="C2783" s="3" t="s">
        <v>3017</v>
      </c>
      <c r="D2783" s="3" t="s">
        <v>3018</v>
      </c>
      <c r="I2783" s="19">
        <v>8560</v>
      </c>
      <c r="J2783" s="19" t="s">
        <v>4576</v>
      </c>
    </row>
    <row r="2784" spans="1:10" x14ac:dyDescent="0.2">
      <c r="A2784" s="3">
        <v>6500</v>
      </c>
      <c r="B2784" s="3" t="s">
        <v>3020</v>
      </c>
      <c r="C2784" s="3" t="s">
        <v>3020</v>
      </c>
      <c r="D2784" s="3" t="s">
        <v>3018</v>
      </c>
      <c r="I2784" s="19">
        <v>8561</v>
      </c>
      <c r="J2784" s="19" t="s">
        <v>4576</v>
      </c>
    </row>
    <row r="2785" spans="1:10" x14ac:dyDescent="0.2">
      <c r="A2785" s="3">
        <v>6503</v>
      </c>
      <c r="B2785" s="3" t="s">
        <v>3020</v>
      </c>
      <c r="C2785" s="3" t="s">
        <v>3020</v>
      </c>
      <c r="D2785" s="3" t="s">
        <v>3018</v>
      </c>
      <c r="I2785" s="19">
        <v>8564</v>
      </c>
      <c r="J2785" s="19" t="s">
        <v>4576</v>
      </c>
    </row>
    <row r="2786" spans="1:10" x14ac:dyDescent="0.2">
      <c r="A2786" s="3">
        <v>6512</v>
      </c>
      <c r="B2786" s="3" t="s">
        <v>3021</v>
      </c>
      <c r="C2786" s="3" t="s">
        <v>3020</v>
      </c>
      <c r="D2786" s="3" t="s">
        <v>3018</v>
      </c>
      <c r="I2786" s="19">
        <v>8565</v>
      </c>
      <c r="J2786" s="19" t="s">
        <v>4576</v>
      </c>
    </row>
    <row r="2787" spans="1:10" x14ac:dyDescent="0.2">
      <c r="A2787" s="3">
        <v>6513</v>
      </c>
      <c r="B2787" s="3" t="s">
        <v>3022</v>
      </c>
      <c r="C2787" s="3" t="s">
        <v>3020</v>
      </c>
      <c r="D2787" s="3" t="s">
        <v>3018</v>
      </c>
      <c r="I2787" s="19">
        <v>8566</v>
      </c>
      <c r="J2787" s="19" t="s">
        <v>4576</v>
      </c>
    </row>
    <row r="2788" spans="1:10" x14ac:dyDescent="0.2">
      <c r="A2788" s="3">
        <v>6514</v>
      </c>
      <c r="B2788" s="3" t="s">
        <v>3023</v>
      </c>
      <c r="C2788" s="3" t="s">
        <v>3020</v>
      </c>
      <c r="D2788" s="3" t="s">
        <v>3018</v>
      </c>
      <c r="I2788" s="19">
        <v>8570</v>
      </c>
      <c r="J2788" s="19" t="s">
        <v>4576</v>
      </c>
    </row>
    <row r="2789" spans="1:10" x14ac:dyDescent="0.2">
      <c r="A2789" s="3">
        <v>6515</v>
      </c>
      <c r="B2789" s="3" t="s">
        <v>3024</v>
      </c>
      <c r="C2789" s="3" t="s">
        <v>3020</v>
      </c>
      <c r="D2789" s="3" t="s">
        <v>3018</v>
      </c>
      <c r="I2789" s="19">
        <v>8572</v>
      </c>
      <c r="J2789" s="19" t="s">
        <v>4576</v>
      </c>
    </row>
    <row r="2790" spans="1:10" x14ac:dyDescent="0.2">
      <c r="A2790" s="3">
        <v>6518</v>
      </c>
      <c r="B2790" s="3" t="s">
        <v>3025</v>
      </c>
      <c r="C2790" s="3" t="s">
        <v>3020</v>
      </c>
      <c r="D2790" s="3" t="s">
        <v>3018</v>
      </c>
      <c r="I2790" s="19">
        <v>8573</v>
      </c>
      <c r="J2790" s="19" t="s">
        <v>4576</v>
      </c>
    </row>
    <row r="2791" spans="1:10" x14ac:dyDescent="0.2">
      <c r="A2791" s="3">
        <v>6523</v>
      </c>
      <c r="B2791" s="3" t="s">
        <v>3026</v>
      </c>
      <c r="C2791" s="3" t="s">
        <v>3020</v>
      </c>
      <c r="D2791" s="3" t="s">
        <v>3018</v>
      </c>
      <c r="I2791" s="19">
        <v>8574</v>
      </c>
      <c r="J2791" s="19" t="s">
        <v>4576</v>
      </c>
    </row>
    <row r="2792" spans="1:10" x14ac:dyDescent="0.2">
      <c r="A2792" s="3">
        <v>6524</v>
      </c>
      <c r="B2792" s="3" t="s">
        <v>3027</v>
      </c>
      <c r="C2792" s="3" t="s">
        <v>3020</v>
      </c>
      <c r="D2792" s="3" t="s">
        <v>3018</v>
      </c>
      <c r="I2792" s="19">
        <v>8575</v>
      </c>
      <c r="J2792" s="19" t="s">
        <v>4576</v>
      </c>
    </row>
    <row r="2793" spans="1:10" x14ac:dyDescent="0.2">
      <c r="A2793" s="3">
        <v>6525</v>
      </c>
      <c r="B2793" s="3" t="s">
        <v>3028</v>
      </c>
      <c r="C2793" s="3" t="s">
        <v>3020</v>
      </c>
      <c r="D2793" s="3" t="s">
        <v>3018</v>
      </c>
      <c r="I2793" s="19">
        <v>8576</v>
      </c>
      <c r="J2793" s="19" t="s">
        <v>4576</v>
      </c>
    </row>
    <row r="2794" spans="1:10" x14ac:dyDescent="0.2">
      <c r="A2794" s="3">
        <v>6528</v>
      </c>
      <c r="B2794" s="3" t="s">
        <v>3029</v>
      </c>
      <c r="C2794" s="3" t="s">
        <v>3020</v>
      </c>
      <c r="D2794" s="3" t="s">
        <v>3018</v>
      </c>
      <c r="I2794" s="19">
        <v>8577</v>
      </c>
      <c r="J2794" s="19" t="s">
        <v>4576</v>
      </c>
    </row>
    <row r="2795" spans="1:10" x14ac:dyDescent="0.2">
      <c r="A2795" s="3">
        <v>6582</v>
      </c>
      <c r="B2795" s="3" t="s">
        <v>3030</v>
      </c>
      <c r="C2795" s="3" t="s">
        <v>3020</v>
      </c>
      <c r="D2795" s="3" t="s">
        <v>3018</v>
      </c>
      <c r="I2795" s="19">
        <v>8580</v>
      </c>
      <c r="J2795" s="19" t="s">
        <v>4576</v>
      </c>
    </row>
    <row r="2796" spans="1:10" x14ac:dyDescent="0.2">
      <c r="A2796" s="3">
        <v>6583</v>
      </c>
      <c r="B2796" s="3" t="s">
        <v>3031</v>
      </c>
      <c r="C2796" s="3" t="s">
        <v>3020</v>
      </c>
      <c r="D2796" s="3" t="s">
        <v>3018</v>
      </c>
      <c r="I2796" s="19">
        <v>8581</v>
      </c>
      <c r="J2796" s="19" t="s">
        <v>4576</v>
      </c>
    </row>
    <row r="2797" spans="1:10" x14ac:dyDescent="0.2">
      <c r="A2797" s="3">
        <v>6584</v>
      </c>
      <c r="B2797" s="3" t="s">
        <v>3032</v>
      </c>
      <c r="C2797" s="3" t="s">
        <v>3020</v>
      </c>
      <c r="D2797" s="3" t="s">
        <v>3018</v>
      </c>
      <c r="I2797" s="19">
        <v>8582</v>
      </c>
      <c r="J2797" s="19" t="s">
        <v>4576</v>
      </c>
    </row>
    <row r="2798" spans="1:10" x14ac:dyDescent="0.2">
      <c r="A2798" s="3">
        <v>6702</v>
      </c>
      <c r="B2798" s="3" t="s">
        <v>3033</v>
      </c>
      <c r="C2798" s="3" t="s">
        <v>3020</v>
      </c>
      <c r="D2798" s="3" t="s">
        <v>3018</v>
      </c>
      <c r="I2798" s="19">
        <v>8583</v>
      </c>
      <c r="J2798" s="19" t="s">
        <v>4576</v>
      </c>
    </row>
    <row r="2799" spans="1:10" x14ac:dyDescent="0.2">
      <c r="A2799" s="3">
        <v>6593</v>
      </c>
      <c r="B2799" s="3" t="s">
        <v>3034</v>
      </c>
      <c r="C2799" s="3" t="s">
        <v>3034</v>
      </c>
      <c r="D2799" s="3" t="s">
        <v>3018</v>
      </c>
      <c r="I2799" s="19">
        <v>8584</v>
      </c>
      <c r="J2799" s="19" t="s">
        <v>4576</v>
      </c>
    </row>
    <row r="2800" spans="1:10" x14ac:dyDescent="0.2">
      <c r="A2800" s="3">
        <v>6599</v>
      </c>
      <c r="B2800" s="3" t="s">
        <v>3035</v>
      </c>
      <c r="C2800" s="3" t="s">
        <v>3034</v>
      </c>
      <c r="D2800" s="3" t="s">
        <v>3018</v>
      </c>
      <c r="I2800" s="19">
        <v>8585</v>
      </c>
      <c r="J2800" s="19" t="s">
        <v>4576</v>
      </c>
    </row>
    <row r="2801" spans="1:10" x14ac:dyDescent="0.2">
      <c r="A2801" s="3">
        <v>6810</v>
      </c>
      <c r="B2801" s="3" t="s">
        <v>3036</v>
      </c>
      <c r="C2801" s="3" t="s">
        <v>3036</v>
      </c>
      <c r="D2801" s="3" t="s">
        <v>3018</v>
      </c>
      <c r="I2801" s="19">
        <v>8586</v>
      </c>
      <c r="J2801" s="19" t="s">
        <v>4576</v>
      </c>
    </row>
    <row r="2802" spans="1:10" x14ac:dyDescent="0.2">
      <c r="A2802" s="3">
        <v>6533</v>
      </c>
      <c r="B2802" s="3" t="s">
        <v>3037</v>
      </c>
      <c r="C2802" s="3" t="s">
        <v>3037</v>
      </c>
      <c r="D2802" s="3" t="s">
        <v>3018</v>
      </c>
      <c r="I2802" s="19">
        <v>8587</v>
      </c>
      <c r="J2802" s="19" t="s">
        <v>4576</v>
      </c>
    </row>
    <row r="2803" spans="1:10" x14ac:dyDescent="0.2">
      <c r="A2803" s="3">
        <v>6592</v>
      </c>
      <c r="B2803" s="3" t="s">
        <v>3038</v>
      </c>
      <c r="C2803" s="3" t="s">
        <v>3039</v>
      </c>
      <c r="D2803" s="3" t="s">
        <v>3018</v>
      </c>
      <c r="I2803" s="19">
        <v>8588</v>
      </c>
      <c r="J2803" s="19" t="s">
        <v>4576</v>
      </c>
    </row>
    <row r="2804" spans="1:10" x14ac:dyDescent="0.2">
      <c r="A2804" s="3">
        <v>6715</v>
      </c>
      <c r="B2804" s="3" t="s">
        <v>3040</v>
      </c>
      <c r="C2804" s="3" t="s">
        <v>3041</v>
      </c>
      <c r="D2804" s="3" t="s">
        <v>3018</v>
      </c>
      <c r="I2804" s="19">
        <v>8589</v>
      </c>
      <c r="J2804" s="19" t="s">
        <v>4576</v>
      </c>
    </row>
    <row r="2805" spans="1:10" x14ac:dyDescent="0.2">
      <c r="A2805" s="3">
        <v>6716</v>
      </c>
      <c r="B2805" s="3" t="s">
        <v>3041</v>
      </c>
      <c r="C2805" s="3" t="s">
        <v>3041</v>
      </c>
      <c r="D2805" s="3" t="s">
        <v>3018</v>
      </c>
      <c r="I2805" s="19">
        <v>8590</v>
      </c>
      <c r="J2805" s="19" t="s">
        <v>4576</v>
      </c>
    </row>
    <row r="2806" spans="1:10" x14ac:dyDescent="0.2">
      <c r="A2806" s="3">
        <v>6716</v>
      </c>
      <c r="B2806" s="3" t="s">
        <v>3042</v>
      </c>
      <c r="C2806" s="3" t="s">
        <v>3041</v>
      </c>
      <c r="D2806" s="3" t="s">
        <v>3018</v>
      </c>
      <c r="I2806" s="19">
        <v>8592</v>
      </c>
      <c r="J2806" s="19" t="s">
        <v>4576</v>
      </c>
    </row>
    <row r="2807" spans="1:10" x14ac:dyDescent="0.2">
      <c r="A2807" s="3">
        <v>6716</v>
      </c>
      <c r="B2807" s="3" t="s">
        <v>3043</v>
      </c>
      <c r="C2807" s="3" t="s">
        <v>3041</v>
      </c>
      <c r="D2807" s="3" t="s">
        <v>3018</v>
      </c>
      <c r="I2807" s="19">
        <v>8593</v>
      </c>
      <c r="J2807" s="19" t="s">
        <v>4576</v>
      </c>
    </row>
    <row r="2808" spans="1:10" x14ac:dyDescent="0.2">
      <c r="A2808" s="3">
        <v>6721</v>
      </c>
      <c r="B2808" s="3" t="s">
        <v>3044</v>
      </c>
      <c r="C2808" s="3" t="s">
        <v>3041</v>
      </c>
      <c r="D2808" s="3" t="s">
        <v>3018</v>
      </c>
      <c r="I2808" s="19">
        <v>8594</v>
      </c>
      <c r="J2808" s="19" t="s">
        <v>4576</v>
      </c>
    </row>
    <row r="2809" spans="1:10" x14ac:dyDescent="0.2">
      <c r="A2809" s="3">
        <v>6722</v>
      </c>
      <c r="B2809" s="3" t="s">
        <v>3045</v>
      </c>
      <c r="C2809" s="3" t="s">
        <v>3041</v>
      </c>
      <c r="D2809" s="3" t="s">
        <v>3018</v>
      </c>
      <c r="I2809" s="19">
        <v>8595</v>
      </c>
      <c r="J2809" s="19" t="s">
        <v>4576</v>
      </c>
    </row>
    <row r="2810" spans="1:10" x14ac:dyDescent="0.2">
      <c r="A2810" s="3">
        <v>6723</v>
      </c>
      <c r="B2810" s="3" t="s">
        <v>3046</v>
      </c>
      <c r="C2810" s="3" t="s">
        <v>3041</v>
      </c>
      <c r="D2810" s="3" t="s">
        <v>3018</v>
      </c>
      <c r="I2810" s="19">
        <v>8596</v>
      </c>
      <c r="J2810" s="19" t="s">
        <v>4576</v>
      </c>
    </row>
    <row r="2811" spans="1:10" x14ac:dyDescent="0.2">
      <c r="A2811" s="3">
        <v>6723</v>
      </c>
      <c r="B2811" s="3" t="s">
        <v>3047</v>
      </c>
      <c r="C2811" s="3" t="s">
        <v>3041</v>
      </c>
      <c r="D2811" s="3" t="s">
        <v>3018</v>
      </c>
      <c r="I2811" s="19">
        <v>8597</v>
      </c>
      <c r="J2811" s="19" t="s">
        <v>4576</v>
      </c>
    </row>
    <row r="2812" spans="1:10" x14ac:dyDescent="0.2">
      <c r="A2812" s="3">
        <v>6723</v>
      </c>
      <c r="B2812" s="3" t="s">
        <v>3048</v>
      </c>
      <c r="C2812" s="3" t="s">
        <v>3041</v>
      </c>
      <c r="D2812" s="3" t="s">
        <v>3018</v>
      </c>
      <c r="I2812" s="19">
        <v>8598</v>
      </c>
      <c r="J2812" s="19" t="s">
        <v>4576</v>
      </c>
    </row>
    <row r="2813" spans="1:10" x14ac:dyDescent="0.2">
      <c r="A2813" s="3">
        <v>6724</v>
      </c>
      <c r="B2813" s="3" t="s">
        <v>3049</v>
      </c>
      <c r="C2813" s="3" t="s">
        <v>3041</v>
      </c>
      <c r="D2813" s="3" t="s">
        <v>3018</v>
      </c>
      <c r="I2813" s="19">
        <v>8599</v>
      </c>
      <c r="J2813" s="19" t="s">
        <v>4576</v>
      </c>
    </row>
    <row r="2814" spans="1:10" x14ac:dyDescent="0.2">
      <c r="A2814" s="3">
        <v>6724</v>
      </c>
      <c r="B2814" s="3" t="s">
        <v>3050</v>
      </c>
      <c r="C2814" s="3" t="s">
        <v>3041</v>
      </c>
      <c r="D2814" s="3" t="s">
        <v>3018</v>
      </c>
      <c r="I2814" s="19">
        <v>8600</v>
      </c>
      <c r="J2814" s="19" t="s">
        <v>4560</v>
      </c>
    </row>
    <row r="2815" spans="1:10" x14ac:dyDescent="0.2">
      <c r="A2815" s="3">
        <v>6717</v>
      </c>
      <c r="B2815" s="3" t="s">
        <v>3051</v>
      </c>
      <c r="C2815" s="3" t="s">
        <v>3052</v>
      </c>
      <c r="D2815" s="3" t="s">
        <v>3018</v>
      </c>
      <c r="I2815" s="19">
        <v>8602</v>
      </c>
      <c r="J2815" s="19" t="s">
        <v>4560</v>
      </c>
    </row>
    <row r="2816" spans="1:10" x14ac:dyDescent="0.2">
      <c r="A2816" s="3">
        <v>6717</v>
      </c>
      <c r="B2816" s="3" t="s">
        <v>3053</v>
      </c>
      <c r="C2816" s="3" t="s">
        <v>3052</v>
      </c>
      <c r="D2816" s="3" t="s">
        <v>3018</v>
      </c>
      <c r="I2816" s="19">
        <v>8603</v>
      </c>
      <c r="J2816" s="19" t="s">
        <v>4560</v>
      </c>
    </row>
    <row r="2817" spans="1:10" x14ac:dyDescent="0.2">
      <c r="A2817" s="3">
        <v>6718</v>
      </c>
      <c r="B2817" s="3" t="s">
        <v>3054</v>
      </c>
      <c r="C2817" s="3" t="s">
        <v>3052</v>
      </c>
      <c r="D2817" s="3" t="s">
        <v>3018</v>
      </c>
      <c r="I2817" s="19">
        <v>8604</v>
      </c>
      <c r="J2817" s="19" t="s">
        <v>4560</v>
      </c>
    </row>
    <row r="2818" spans="1:10" x14ac:dyDescent="0.2">
      <c r="A2818" s="3">
        <v>6718</v>
      </c>
      <c r="B2818" s="3" t="s">
        <v>3055</v>
      </c>
      <c r="C2818" s="3" t="s">
        <v>3052</v>
      </c>
      <c r="D2818" s="3" t="s">
        <v>3018</v>
      </c>
      <c r="I2818" s="19">
        <v>8605</v>
      </c>
      <c r="J2818" s="19" t="s">
        <v>4560</v>
      </c>
    </row>
    <row r="2819" spans="1:10" x14ac:dyDescent="0.2">
      <c r="A2819" s="3">
        <v>6719</v>
      </c>
      <c r="B2819" s="3" t="s">
        <v>3056</v>
      </c>
      <c r="C2819" s="3" t="s">
        <v>3052</v>
      </c>
      <c r="D2819" s="3" t="s">
        <v>3018</v>
      </c>
      <c r="I2819" s="19">
        <v>8606</v>
      </c>
      <c r="J2819" s="19" t="s">
        <v>4560</v>
      </c>
    </row>
    <row r="2820" spans="1:10" x14ac:dyDescent="0.2">
      <c r="A2820" s="3">
        <v>6719</v>
      </c>
      <c r="B2820" s="3" t="s">
        <v>3056</v>
      </c>
      <c r="C2820" s="3" t="s">
        <v>3052</v>
      </c>
      <c r="D2820" s="3" t="s">
        <v>3018</v>
      </c>
      <c r="I2820" s="19">
        <v>8607</v>
      </c>
      <c r="J2820" s="19" t="s">
        <v>4560</v>
      </c>
    </row>
    <row r="2821" spans="1:10" x14ac:dyDescent="0.2">
      <c r="A2821" s="3">
        <v>6720</v>
      </c>
      <c r="B2821" s="3" t="s">
        <v>3057</v>
      </c>
      <c r="C2821" s="3" t="s">
        <v>3052</v>
      </c>
      <c r="D2821" s="3" t="s">
        <v>3018</v>
      </c>
      <c r="I2821" s="19">
        <v>8608</v>
      </c>
      <c r="J2821" s="19" t="s">
        <v>4560</v>
      </c>
    </row>
    <row r="2822" spans="1:10" x14ac:dyDescent="0.2">
      <c r="A2822" s="3">
        <v>6720</v>
      </c>
      <c r="B2822" s="3" t="s">
        <v>3058</v>
      </c>
      <c r="C2822" s="3" t="s">
        <v>3052</v>
      </c>
      <c r="D2822" s="3" t="s">
        <v>3018</v>
      </c>
      <c r="I2822" s="19">
        <v>8610</v>
      </c>
      <c r="J2822" s="19" t="s">
        <v>4560</v>
      </c>
    </row>
    <row r="2823" spans="1:10" x14ac:dyDescent="0.2">
      <c r="A2823" s="3">
        <v>6713</v>
      </c>
      <c r="B2823" s="3" t="s">
        <v>3059</v>
      </c>
      <c r="C2823" s="3" t="s">
        <v>3060</v>
      </c>
      <c r="D2823" s="3" t="s">
        <v>3018</v>
      </c>
      <c r="I2823" s="19">
        <v>8614</v>
      </c>
      <c r="J2823" s="19" t="s">
        <v>4560</v>
      </c>
    </row>
    <row r="2824" spans="1:10" x14ac:dyDescent="0.2">
      <c r="A2824" s="3">
        <v>6714</v>
      </c>
      <c r="B2824" s="3" t="s">
        <v>3061</v>
      </c>
      <c r="C2824" s="3" t="s">
        <v>3060</v>
      </c>
      <c r="D2824" s="3" t="s">
        <v>3018</v>
      </c>
      <c r="I2824" s="19">
        <v>8615</v>
      </c>
      <c r="J2824" s="19" t="s">
        <v>4560</v>
      </c>
    </row>
    <row r="2825" spans="1:10" x14ac:dyDescent="0.2">
      <c r="A2825" s="3">
        <v>6721</v>
      </c>
      <c r="B2825" s="3" t="s">
        <v>3062</v>
      </c>
      <c r="C2825" s="3" t="s">
        <v>3060</v>
      </c>
      <c r="D2825" s="3" t="s">
        <v>3018</v>
      </c>
      <c r="I2825" s="19">
        <v>8616</v>
      </c>
      <c r="J2825" s="19" t="s">
        <v>4560</v>
      </c>
    </row>
    <row r="2826" spans="1:10" x14ac:dyDescent="0.2">
      <c r="A2826" s="3">
        <v>6780</v>
      </c>
      <c r="B2826" s="3" t="s">
        <v>3063</v>
      </c>
      <c r="C2826" s="3" t="s">
        <v>3063</v>
      </c>
      <c r="D2826" s="3" t="s">
        <v>3018</v>
      </c>
      <c r="I2826" s="19">
        <v>8617</v>
      </c>
      <c r="J2826" s="19" t="s">
        <v>4560</v>
      </c>
    </row>
    <row r="2827" spans="1:10" x14ac:dyDescent="0.2">
      <c r="A2827" s="3">
        <v>6780</v>
      </c>
      <c r="B2827" s="3" t="s">
        <v>3064</v>
      </c>
      <c r="C2827" s="3" t="s">
        <v>3063</v>
      </c>
      <c r="D2827" s="3" t="s">
        <v>3018</v>
      </c>
      <c r="I2827" s="19">
        <v>8618</v>
      </c>
      <c r="J2827" s="19" t="s">
        <v>4560</v>
      </c>
    </row>
    <row r="2828" spans="1:10" x14ac:dyDescent="0.2">
      <c r="A2828" s="3">
        <v>6781</v>
      </c>
      <c r="B2828" s="3" t="s">
        <v>3065</v>
      </c>
      <c r="C2828" s="3" t="s">
        <v>3066</v>
      </c>
      <c r="D2828" s="3" t="s">
        <v>3018</v>
      </c>
      <c r="I2828" s="19">
        <v>8620</v>
      </c>
      <c r="J2828" s="19" t="s">
        <v>4560</v>
      </c>
    </row>
    <row r="2829" spans="1:10" x14ac:dyDescent="0.2">
      <c r="A2829" s="3">
        <v>6781</v>
      </c>
      <c r="B2829" s="3" t="s">
        <v>3066</v>
      </c>
      <c r="C2829" s="3" t="s">
        <v>3066</v>
      </c>
      <c r="D2829" s="3" t="s">
        <v>3018</v>
      </c>
      <c r="I2829" s="19">
        <v>8623</v>
      </c>
      <c r="J2829" s="19" t="s">
        <v>4560</v>
      </c>
    </row>
    <row r="2830" spans="1:10" x14ac:dyDescent="0.2">
      <c r="A2830" s="3">
        <v>6743</v>
      </c>
      <c r="B2830" s="3" t="s">
        <v>3067</v>
      </c>
      <c r="C2830" s="3" t="s">
        <v>3068</v>
      </c>
      <c r="D2830" s="3" t="s">
        <v>3018</v>
      </c>
      <c r="I2830" s="19">
        <v>8624</v>
      </c>
      <c r="J2830" s="19" t="s">
        <v>4560</v>
      </c>
    </row>
    <row r="2831" spans="1:10" x14ac:dyDescent="0.2">
      <c r="A2831" s="3">
        <v>6774</v>
      </c>
      <c r="B2831" s="3" t="s">
        <v>3069</v>
      </c>
      <c r="C2831" s="3" t="s">
        <v>3069</v>
      </c>
      <c r="D2831" s="3" t="s">
        <v>3018</v>
      </c>
      <c r="I2831" s="19">
        <v>8625</v>
      </c>
      <c r="J2831" s="19" t="s">
        <v>4560</v>
      </c>
    </row>
    <row r="2832" spans="1:10" x14ac:dyDescent="0.2">
      <c r="A2832" s="3">
        <v>6746</v>
      </c>
      <c r="B2832" s="3" t="s">
        <v>3070</v>
      </c>
      <c r="C2832" s="3" t="s">
        <v>3071</v>
      </c>
      <c r="D2832" s="3" t="s">
        <v>3018</v>
      </c>
      <c r="I2832" s="19">
        <v>8626</v>
      </c>
      <c r="J2832" s="19" t="s">
        <v>4560</v>
      </c>
    </row>
    <row r="2833" spans="1:10" x14ac:dyDescent="0.2">
      <c r="A2833" s="3">
        <v>6746</v>
      </c>
      <c r="B2833" s="3" t="s">
        <v>3072</v>
      </c>
      <c r="C2833" s="3" t="s">
        <v>3071</v>
      </c>
      <c r="D2833" s="3" t="s">
        <v>3018</v>
      </c>
      <c r="I2833" s="19">
        <v>8627</v>
      </c>
      <c r="J2833" s="19" t="s">
        <v>4560</v>
      </c>
    </row>
    <row r="2834" spans="1:10" x14ac:dyDescent="0.2">
      <c r="A2834" s="3">
        <v>6746</v>
      </c>
      <c r="B2834" s="3" t="s">
        <v>3073</v>
      </c>
      <c r="C2834" s="3" t="s">
        <v>3071</v>
      </c>
      <c r="D2834" s="3" t="s">
        <v>3018</v>
      </c>
      <c r="I2834" s="19">
        <v>8630</v>
      </c>
      <c r="J2834" s="19" t="s">
        <v>4560</v>
      </c>
    </row>
    <row r="2835" spans="1:10" x14ac:dyDescent="0.2">
      <c r="A2835" s="3">
        <v>6747</v>
      </c>
      <c r="B2835" s="3" t="s">
        <v>3074</v>
      </c>
      <c r="C2835" s="3" t="s">
        <v>3071</v>
      </c>
      <c r="D2835" s="3" t="s">
        <v>3018</v>
      </c>
      <c r="I2835" s="19">
        <v>8632</v>
      </c>
      <c r="J2835" s="19" t="s">
        <v>4560</v>
      </c>
    </row>
    <row r="2836" spans="1:10" x14ac:dyDescent="0.2">
      <c r="A2836" s="3">
        <v>6748</v>
      </c>
      <c r="B2836" s="3" t="s">
        <v>3075</v>
      </c>
      <c r="C2836" s="3" t="s">
        <v>3071</v>
      </c>
      <c r="D2836" s="3" t="s">
        <v>3018</v>
      </c>
      <c r="I2836" s="19">
        <v>8633</v>
      </c>
      <c r="J2836" s="19" t="s">
        <v>4560</v>
      </c>
    </row>
    <row r="2837" spans="1:10" x14ac:dyDescent="0.2">
      <c r="A2837" s="3">
        <v>6749</v>
      </c>
      <c r="B2837" s="3" t="s">
        <v>3076</v>
      </c>
      <c r="C2837" s="3" t="s">
        <v>3071</v>
      </c>
      <c r="D2837" s="3" t="s">
        <v>3018</v>
      </c>
      <c r="I2837" s="19">
        <v>8634</v>
      </c>
      <c r="J2837" s="19" t="s">
        <v>4560</v>
      </c>
    </row>
    <row r="2838" spans="1:10" x14ac:dyDescent="0.2">
      <c r="A2838" s="3">
        <v>6749</v>
      </c>
      <c r="B2838" s="3" t="s">
        <v>3077</v>
      </c>
      <c r="C2838" s="3" t="s">
        <v>3071</v>
      </c>
      <c r="D2838" s="3" t="s">
        <v>3018</v>
      </c>
      <c r="I2838" s="19">
        <v>8635</v>
      </c>
      <c r="J2838" s="19" t="s">
        <v>4560</v>
      </c>
    </row>
    <row r="2839" spans="1:10" x14ac:dyDescent="0.2">
      <c r="A2839" s="3">
        <v>6760</v>
      </c>
      <c r="B2839" s="3" t="s">
        <v>3071</v>
      </c>
      <c r="C2839" s="3" t="s">
        <v>3071</v>
      </c>
      <c r="D2839" s="3" t="s">
        <v>3018</v>
      </c>
      <c r="I2839" s="19">
        <v>8636</v>
      </c>
      <c r="J2839" s="19" t="s">
        <v>4560</v>
      </c>
    </row>
    <row r="2840" spans="1:10" x14ac:dyDescent="0.2">
      <c r="A2840" s="3">
        <v>6760</v>
      </c>
      <c r="B2840" s="3" t="s">
        <v>3078</v>
      </c>
      <c r="C2840" s="3" t="s">
        <v>3071</v>
      </c>
      <c r="D2840" s="3" t="s">
        <v>3018</v>
      </c>
      <c r="I2840" s="19">
        <v>8637</v>
      </c>
      <c r="J2840" s="19" t="s">
        <v>4560</v>
      </c>
    </row>
    <row r="2841" spans="1:10" x14ac:dyDescent="0.2">
      <c r="A2841" s="3">
        <v>6760</v>
      </c>
      <c r="B2841" s="3" t="s">
        <v>3079</v>
      </c>
      <c r="C2841" s="3" t="s">
        <v>3071</v>
      </c>
      <c r="D2841" s="3" t="s">
        <v>3018</v>
      </c>
      <c r="I2841" s="19">
        <v>8638</v>
      </c>
      <c r="J2841" s="19" t="s">
        <v>4560</v>
      </c>
    </row>
    <row r="2842" spans="1:10" x14ac:dyDescent="0.2">
      <c r="A2842" s="3">
        <v>6760</v>
      </c>
      <c r="B2842" s="3" t="s">
        <v>3080</v>
      </c>
      <c r="C2842" s="3" t="s">
        <v>3071</v>
      </c>
      <c r="D2842" s="3" t="s">
        <v>3018</v>
      </c>
      <c r="I2842" s="19">
        <v>8640</v>
      </c>
      <c r="J2842" s="19" t="s">
        <v>4560</v>
      </c>
    </row>
    <row r="2843" spans="1:10" x14ac:dyDescent="0.2">
      <c r="A2843" s="3">
        <v>6760</v>
      </c>
      <c r="B2843" s="3" t="s">
        <v>3081</v>
      </c>
      <c r="C2843" s="3" t="s">
        <v>3071</v>
      </c>
      <c r="D2843" s="3" t="s">
        <v>3018</v>
      </c>
      <c r="I2843" s="19">
        <v>8645</v>
      </c>
      <c r="J2843" s="19" t="s">
        <v>4560</v>
      </c>
    </row>
    <row r="2844" spans="1:10" x14ac:dyDescent="0.2">
      <c r="A2844" s="3">
        <v>6760</v>
      </c>
      <c r="B2844" s="3" t="s">
        <v>3082</v>
      </c>
      <c r="C2844" s="3" t="s">
        <v>3071</v>
      </c>
      <c r="D2844" s="3" t="s">
        <v>3018</v>
      </c>
      <c r="I2844" s="19">
        <v>8646</v>
      </c>
      <c r="J2844" s="19" t="s">
        <v>4560</v>
      </c>
    </row>
    <row r="2845" spans="1:10" x14ac:dyDescent="0.2">
      <c r="A2845" s="3">
        <v>6763</v>
      </c>
      <c r="B2845" s="3" t="s">
        <v>3083</v>
      </c>
      <c r="C2845" s="3" t="s">
        <v>3071</v>
      </c>
      <c r="D2845" s="3" t="s">
        <v>3018</v>
      </c>
      <c r="I2845" s="19">
        <v>8700</v>
      </c>
      <c r="J2845" s="19" t="s">
        <v>4560</v>
      </c>
    </row>
    <row r="2846" spans="1:10" x14ac:dyDescent="0.2">
      <c r="A2846" s="3">
        <v>6763</v>
      </c>
      <c r="B2846" s="3" t="s">
        <v>3084</v>
      </c>
      <c r="C2846" s="3" t="s">
        <v>3071</v>
      </c>
      <c r="D2846" s="3" t="s">
        <v>3018</v>
      </c>
      <c r="I2846" s="19">
        <v>8702</v>
      </c>
      <c r="J2846" s="19" t="s">
        <v>4560</v>
      </c>
    </row>
    <row r="2847" spans="1:10" x14ac:dyDescent="0.2">
      <c r="A2847" s="3">
        <v>6764</v>
      </c>
      <c r="B2847" s="3" t="s">
        <v>3085</v>
      </c>
      <c r="C2847" s="3" t="s">
        <v>3071</v>
      </c>
      <c r="D2847" s="3" t="s">
        <v>3018</v>
      </c>
      <c r="I2847" s="19">
        <v>8703</v>
      </c>
      <c r="J2847" s="19" t="s">
        <v>4560</v>
      </c>
    </row>
    <row r="2848" spans="1:10" x14ac:dyDescent="0.2">
      <c r="A2848" s="3">
        <v>6745</v>
      </c>
      <c r="B2848" s="3" t="s">
        <v>3086</v>
      </c>
      <c r="C2848" s="3" t="s">
        <v>3086</v>
      </c>
      <c r="D2848" s="3" t="s">
        <v>3018</v>
      </c>
      <c r="I2848" s="19">
        <v>8704</v>
      </c>
      <c r="J2848" s="19" t="s">
        <v>4560</v>
      </c>
    </row>
    <row r="2849" spans="1:10" x14ac:dyDescent="0.2">
      <c r="A2849" s="3">
        <v>6744</v>
      </c>
      <c r="B2849" s="3" t="s">
        <v>3087</v>
      </c>
      <c r="C2849" s="3" t="s">
        <v>3087</v>
      </c>
      <c r="D2849" s="3" t="s">
        <v>3018</v>
      </c>
      <c r="I2849" s="19">
        <v>8706</v>
      </c>
      <c r="J2849" s="19" t="s">
        <v>4560</v>
      </c>
    </row>
    <row r="2850" spans="1:10" x14ac:dyDescent="0.2">
      <c r="A2850" s="3">
        <v>6742</v>
      </c>
      <c r="B2850" s="3" t="s">
        <v>3088</v>
      </c>
      <c r="C2850" s="3" t="s">
        <v>3088</v>
      </c>
      <c r="D2850" s="3" t="s">
        <v>3018</v>
      </c>
      <c r="I2850" s="19">
        <v>8707</v>
      </c>
      <c r="J2850" s="19" t="s">
        <v>4560</v>
      </c>
    </row>
    <row r="2851" spans="1:10" x14ac:dyDescent="0.2">
      <c r="A2851" s="3">
        <v>6772</v>
      </c>
      <c r="B2851" s="3" t="s">
        <v>3089</v>
      </c>
      <c r="C2851" s="3" t="s">
        <v>3090</v>
      </c>
      <c r="D2851" s="3" t="s">
        <v>3018</v>
      </c>
      <c r="I2851" s="19">
        <v>8708</v>
      </c>
      <c r="J2851" s="19" t="s">
        <v>4560</v>
      </c>
    </row>
    <row r="2852" spans="1:10" x14ac:dyDescent="0.2">
      <c r="A2852" s="3">
        <v>6773</v>
      </c>
      <c r="B2852" s="3" t="s">
        <v>3090</v>
      </c>
      <c r="C2852" s="3" t="s">
        <v>3090</v>
      </c>
      <c r="D2852" s="3" t="s">
        <v>3018</v>
      </c>
      <c r="I2852" s="19">
        <v>8712</v>
      </c>
      <c r="J2852" s="19" t="s">
        <v>4560</v>
      </c>
    </row>
    <row r="2853" spans="1:10" x14ac:dyDescent="0.2">
      <c r="A2853" s="3">
        <v>6775</v>
      </c>
      <c r="B2853" s="3" t="s">
        <v>3091</v>
      </c>
      <c r="C2853" s="3" t="s">
        <v>3092</v>
      </c>
      <c r="D2853" s="3" t="s">
        <v>3018</v>
      </c>
      <c r="I2853" s="19">
        <v>8713</v>
      </c>
      <c r="J2853" s="19" t="s">
        <v>4560</v>
      </c>
    </row>
    <row r="2854" spans="1:10" x14ac:dyDescent="0.2">
      <c r="A2854" s="3">
        <v>6776</v>
      </c>
      <c r="B2854" s="3" t="s">
        <v>3093</v>
      </c>
      <c r="C2854" s="3" t="s">
        <v>3092</v>
      </c>
      <c r="D2854" s="3" t="s">
        <v>3018</v>
      </c>
      <c r="I2854" s="19">
        <v>8714</v>
      </c>
      <c r="J2854" s="19" t="s">
        <v>4560</v>
      </c>
    </row>
    <row r="2855" spans="1:10" x14ac:dyDescent="0.2">
      <c r="A2855" s="3">
        <v>6777</v>
      </c>
      <c r="B2855" s="3" t="s">
        <v>3092</v>
      </c>
      <c r="C2855" s="3" t="s">
        <v>3092</v>
      </c>
      <c r="D2855" s="3" t="s">
        <v>3018</v>
      </c>
      <c r="I2855" s="19">
        <v>8715</v>
      </c>
      <c r="J2855" s="19" t="s">
        <v>4560</v>
      </c>
    </row>
    <row r="2856" spans="1:10" x14ac:dyDescent="0.2">
      <c r="A2856" s="3">
        <v>6777</v>
      </c>
      <c r="B2856" s="3" t="s">
        <v>3094</v>
      </c>
      <c r="C2856" s="3" t="s">
        <v>3092</v>
      </c>
      <c r="D2856" s="3" t="s">
        <v>3018</v>
      </c>
      <c r="I2856" s="19">
        <v>8716</v>
      </c>
      <c r="J2856" s="19" t="s">
        <v>4560</v>
      </c>
    </row>
    <row r="2857" spans="1:10" x14ac:dyDescent="0.2">
      <c r="A2857" s="3">
        <v>6612</v>
      </c>
      <c r="B2857" s="3" t="s">
        <v>3095</v>
      </c>
      <c r="C2857" s="3" t="s">
        <v>3095</v>
      </c>
      <c r="D2857" s="3" t="s">
        <v>3018</v>
      </c>
      <c r="I2857" s="19">
        <v>8717</v>
      </c>
      <c r="J2857" s="19" t="s">
        <v>4571</v>
      </c>
    </row>
    <row r="2858" spans="1:10" x14ac:dyDescent="0.2">
      <c r="A2858" s="3">
        <v>6645</v>
      </c>
      <c r="B2858" s="3" t="s">
        <v>3096</v>
      </c>
      <c r="C2858" s="3" t="s">
        <v>3096</v>
      </c>
      <c r="D2858" s="3" t="s">
        <v>3018</v>
      </c>
      <c r="I2858" s="19">
        <v>8718</v>
      </c>
      <c r="J2858" s="19" t="s">
        <v>4571</v>
      </c>
    </row>
    <row r="2859" spans="1:10" x14ac:dyDescent="0.2">
      <c r="A2859" s="3">
        <v>6614</v>
      </c>
      <c r="B2859" s="3" t="s">
        <v>3097</v>
      </c>
      <c r="C2859" s="3" t="s">
        <v>3097</v>
      </c>
      <c r="D2859" s="3" t="s">
        <v>3018</v>
      </c>
      <c r="I2859" s="19">
        <v>8722</v>
      </c>
      <c r="J2859" s="19" t="s">
        <v>4571</v>
      </c>
    </row>
    <row r="2860" spans="1:10" x14ac:dyDescent="0.2">
      <c r="A2860" s="3">
        <v>6614</v>
      </c>
      <c r="B2860" s="3" t="s">
        <v>3098</v>
      </c>
      <c r="C2860" s="3" t="s">
        <v>3097</v>
      </c>
      <c r="D2860" s="3" t="s">
        <v>3018</v>
      </c>
      <c r="I2860" s="19">
        <v>8723</v>
      </c>
      <c r="J2860" s="19" t="s">
        <v>4571</v>
      </c>
    </row>
    <row r="2861" spans="1:10" x14ac:dyDescent="0.2">
      <c r="A2861" s="3">
        <v>6596</v>
      </c>
      <c r="B2861" s="3" t="s">
        <v>3099</v>
      </c>
      <c r="C2861" s="3" t="s">
        <v>3099</v>
      </c>
      <c r="D2861" s="3" t="s">
        <v>3018</v>
      </c>
      <c r="I2861" s="19">
        <v>8725</v>
      </c>
      <c r="J2861" s="19" t="s">
        <v>4560</v>
      </c>
    </row>
    <row r="2862" spans="1:10" x14ac:dyDescent="0.2">
      <c r="A2862" s="3">
        <v>6595</v>
      </c>
      <c r="B2862" s="3" t="s">
        <v>3100</v>
      </c>
      <c r="C2862" s="3" t="s">
        <v>3101</v>
      </c>
      <c r="D2862" s="3" t="s">
        <v>3018</v>
      </c>
      <c r="I2862" s="19">
        <v>8726</v>
      </c>
      <c r="J2862" s="19" t="s">
        <v>4577</v>
      </c>
    </row>
    <row r="2863" spans="1:10" x14ac:dyDescent="0.2">
      <c r="A2863" s="3">
        <v>6600</v>
      </c>
      <c r="B2863" s="3" t="s">
        <v>3102</v>
      </c>
      <c r="C2863" s="3" t="s">
        <v>3102</v>
      </c>
      <c r="D2863" s="3" t="s">
        <v>3018</v>
      </c>
      <c r="I2863" s="19">
        <v>8727</v>
      </c>
      <c r="J2863" s="19" t="s">
        <v>4577</v>
      </c>
    </row>
    <row r="2864" spans="1:10" x14ac:dyDescent="0.2">
      <c r="A2864" s="3">
        <v>6600</v>
      </c>
      <c r="B2864" s="3" t="s">
        <v>3102</v>
      </c>
      <c r="C2864" s="3" t="s">
        <v>3102</v>
      </c>
      <c r="D2864" s="3" t="s">
        <v>3018</v>
      </c>
      <c r="I2864" s="19">
        <v>8730</v>
      </c>
      <c r="J2864" s="19" t="s">
        <v>4560</v>
      </c>
    </row>
    <row r="2865" spans="1:10" x14ac:dyDescent="0.2">
      <c r="A2865" s="3">
        <v>6600</v>
      </c>
      <c r="B2865" s="3" t="s">
        <v>3103</v>
      </c>
      <c r="C2865" s="3" t="s">
        <v>3102</v>
      </c>
      <c r="D2865" s="3" t="s">
        <v>3018</v>
      </c>
      <c r="I2865" s="19">
        <v>8732</v>
      </c>
      <c r="J2865" s="19" t="s">
        <v>4560</v>
      </c>
    </row>
    <row r="2866" spans="1:10" x14ac:dyDescent="0.2">
      <c r="A2866" s="3">
        <v>6605</v>
      </c>
      <c r="B2866" s="3" t="s">
        <v>3102</v>
      </c>
      <c r="C2866" s="3" t="s">
        <v>3102</v>
      </c>
      <c r="D2866" s="3" t="s">
        <v>3018</v>
      </c>
      <c r="I2866" s="19">
        <v>8733</v>
      </c>
      <c r="J2866" s="19" t="s">
        <v>4560</v>
      </c>
    </row>
    <row r="2867" spans="1:10" x14ac:dyDescent="0.2">
      <c r="A2867" s="3">
        <v>6616</v>
      </c>
      <c r="B2867" s="3" t="s">
        <v>3104</v>
      </c>
      <c r="C2867" s="3" t="s">
        <v>3104</v>
      </c>
      <c r="D2867" s="3" t="s">
        <v>3018</v>
      </c>
      <c r="I2867" s="19">
        <v>8734</v>
      </c>
      <c r="J2867" s="19" t="s">
        <v>4560</v>
      </c>
    </row>
    <row r="2868" spans="1:10" x14ac:dyDescent="0.2">
      <c r="A2868" s="3">
        <v>6618</v>
      </c>
      <c r="B2868" s="3" t="s">
        <v>3105</v>
      </c>
      <c r="C2868" s="3" t="s">
        <v>3104</v>
      </c>
      <c r="D2868" s="3" t="s">
        <v>3018</v>
      </c>
      <c r="I2868" s="19">
        <v>8735</v>
      </c>
      <c r="J2868" s="19" t="s">
        <v>4560</v>
      </c>
    </row>
    <row r="2869" spans="1:10" x14ac:dyDescent="0.2">
      <c r="A2869" s="3">
        <v>6647</v>
      </c>
      <c r="B2869" s="3" t="s">
        <v>3106</v>
      </c>
      <c r="C2869" s="3" t="s">
        <v>3106</v>
      </c>
      <c r="D2869" s="3" t="s">
        <v>3018</v>
      </c>
      <c r="I2869" s="19">
        <v>8737</v>
      </c>
      <c r="J2869" s="19" t="s">
        <v>4560</v>
      </c>
    </row>
    <row r="2870" spans="1:10" x14ac:dyDescent="0.2">
      <c r="A2870" s="3">
        <v>6648</v>
      </c>
      <c r="B2870" s="3" t="s">
        <v>3107</v>
      </c>
      <c r="C2870" s="3" t="s">
        <v>3107</v>
      </c>
      <c r="D2870" s="3" t="s">
        <v>3018</v>
      </c>
      <c r="I2870" s="19">
        <v>8738</v>
      </c>
      <c r="J2870" s="19" t="s">
        <v>4577</v>
      </c>
    </row>
    <row r="2871" spans="1:10" x14ac:dyDescent="0.2">
      <c r="A2871" s="3">
        <v>6600</v>
      </c>
      <c r="B2871" s="3" t="s">
        <v>3108</v>
      </c>
      <c r="C2871" s="3" t="s">
        <v>3108</v>
      </c>
      <c r="D2871" s="3" t="s">
        <v>3018</v>
      </c>
      <c r="I2871" s="19">
        <v>8739</v>
      </c>
      <c r="J2871" s="19" t="s">
        <v>4571</v>
      </c>
    </row>
    <row r="2872" spans="1:10" x14ac:dyDescent="0.2">
      <c r="A2872" s="3">
        <v>6644</v>
      </c>
      <c r="B2872" s="3" t="s">
        <v>3109</v>
      </c>
      <c r="C2872" s="3" t="s">
        <v>3109</v>
      </c>
      <c r="D2872" s="3" t="s">
        <v>3018</v>
      </c>
      <c r="I2872" s="19">
        <v>8750</v>
      </c>
      <c r="J2872" s="19" t="s">
        <v>4571</v>
      </c>
    </row>
    <row r="2873" spans="1:10" x14ac:dyDescent="0.2">
      <c r="A2873" s="3">
        <v>6613</v>
      </c>
      <c r="B2873" s="3" t="s">
        <v>3110</v>
      </c>
      <c r="C2873" s="3" t="s">
        <v>3111</v>
      </c>
      <c r="D2873" s="3" t="s">
        <v>3018</v>
      </c>
      <c r="I2873" s="19">
        <v>8751</v>
      </c>
      <c r="J2873" s="19" t="s">
        <v>4571</v>
      </c>
    </row>
    <row r="2874" spans="1:10" x14ac:dyDescent="0.2">
      <c r="A2874" s="3">
        <v>6622</v>
      </c>
      <c r="B2874" s="3" t="s">
        <v>3111</v>
      </c>
      <c r="C2874" s="3" t="s">
        <v>3111</v>
      </c>
      <c r="D2874" s="3" t="s">
        <v>3018</v>
      </c>
      <c r="I2874" s="19">
        <v>8752</v>
      </c>
      <c r="J2874" s="19" t="s">
        <v>4571</v>
      </c>
    </row>
    <row r="2875" spans="1:10" x14ac:dyDescent="0.2">
      <c r="A2875" s="3">
        <v>6598</v>
      </c>
      <c r="B2875" s="3" t="s">
        <v>3112</v>
      </c>
      <c r="C2875" s="3" t="s">
        <v>3113</v>
      </c>
      <c r="D2875" s="3" t="s">
        <v>3018</v>
      </c>
      <c r="I2875" s="19">
        <v>8753</v>
      </c>
      <c r="J2875" s="19" t="s">
        <v>4571</v>
      </c>
    </row>
    <row r="2876" spans="1:10" x14ac:dyDescent="0.2">
      <c r="A2876" s="3">
        <v>6646</v>
      </c>
      <c r="B2876" s="3" t="s">
        <v>3114</v>
      </c>
      <c r="C2876" s="3" t="s">
        <v>3113</v>
      </c>
      <c r="D2876" s="3" t="s">
        <v>3018</v>
      </c>
      <c r="I2876" s="19">
        <v>8754</v>
      </c>
      <c r="J2876" s="19" t="s">
        <v>4571</v>
      </c>
    </row>
    <row r="2877" spans="1:10" x14ac:dyDescent="0.2">
      <c r="A2877" s="3">
        <v>6611</v>
      </c>
      <c r="B2877" s="3" t="s">
        <v>3115</v>
      </c>
      <c r="C2877" s="3" t="s">
        <v>3116</v>
      </c>
      <c r="D2877" s="3" t="s">
        <v>3018</v>
      </c>
      <c r="I2877" s="19">
        <v>8755</v>
      </c>
      <c r="J2877" s="19" t="s">
        <v>4571</v>
      </c>
    </row>
    <row r="2878" spans="1:10" x14ac:dyDescent="0.2">
      <c r="A2878" s="3">
        <v>6611</v>
      </c>
      <c r="B2878" s="3" t="s">
        <v>3117</v>
      </c>
      <c r="C2878" s="3" t="s">
        <v>3116</v>
      </c>
      <c r="D2878" s="3" t="s">
        <v>3018</v>
      </c>
      <c r="I2878" s="19">
        <v>8756</v>
      </c>
      <c r="J2878" s="19" t="s">
        <v>4571</v>
      </c>
    </row>
    <row r="2879" spans="1:10" x14ac:dyDescent="0.2">
      <c r="A2879" s="3">
        <v>6611</v>
      </c>
      <c r="B2879" s="3" t="s">
        <v>3118</v>
      </c>
      <c r="C2879" s="3" t="s">
        <v>3116</v>
      </c>
      <c r="D2879" s="3" t="s">
        <v>3018</v>
      </c>
      <c r="I2879" s="19">
        <v>8757</v>
      </c>
      <c r="J2879" s="19" t="s">
        <v>4571</v>
      </c>
    </row>
    <row r="2880" spans="1:10" x14ac:dyDescent="0.2">
      <c r="A2880" s="3">
        <v>6661</v>
      </c>
      <c r="B2880" s="3" t="s">
        <v>3119</v>
      </c>
      <c r="C2880" s="3" t="s">
        <v>3116</v>
      </c>
      <c r="D2880" s="3" t="s">
        <v>3018</v>
      </c>
      <c r="I2880" s="19">
        <v>8758</v>
      </c>
      <c r="J2880" s="19" t="s">
        <v>4571</v>
      </c>
    </row>
    <row r="2881" spans="1:10" x14ac:dyDescent="0.2">
      <c r="A2881" s="3">
        <v>6661</v>
      </c>
      <c r="B2881" s="3" t="s">
        <v>3120</v>
      </c>
      <c r="C2881" s="3" t="s">
        <v>3116</v>
      </c>
      <c r="D2881" s="3" t="s">
        <v>3018</v>
      </c>
      <c r="I2881" s="19">
        <v>8762</v>
      </c>
      <c r="J2881" s="19" t="s">
        <v>4571</v>
      </c>
    </row>
    <row r="2882" spans="1:10" x14ac:dyDescent="0.2">
      <c r="A2882" s="3">
        <v>6661</v>
      </c>
      <c r="B2882" s="3" t="s">
        <v>3121</v>
      </c>
      <c r="C2882" s="3" t="s">
        <v>3116</v>
      </c>
      <c r="D2882" s="3" t="s">
        <v>3018</v>
      </c>
      <c r="I2882" s="19">
        <v>8765</v>
      </c>
      <c r="J2882" s="19" t="s">
        <v>4571</v>
      </c>
    </row>
    <row r="2883" spans="1:10" x14ac:dyDescent="0.2">
      <c r="A2883" s="3">
        <v>6662</v>
      </c>
      <c r="B2883" s="3" t="s">
        <v>3122</v>
      </c>
      <c r="C2883" s="3" t="s">
        <v>3116</v>
      </c>
      <c r="D2883" s="3" t="s">
        <v>3018</v>
      </c>
      <c r="I2883" s="19">
        <v>8766</v>
      </c>
      <c r="J2883" s="19" t="s">
        <v>4571</v>
      </c>
    </row>
    <row r="2884" spans="1:10" x14ac:dyDescent="0.2">
      <c r="A2884" s="3">
        <v>6663</v>
      </c>
      <c r="B2884" s="3" t="s">
        <v>3123</v>
      </c>
      <c r="C2884" s="3" t="s">
        <v>3116</v>
      </c>
      <c r="D2884" s="3" t="s">
        <v>3018</v>
      </c>
      <c r="I2884" s="19">
        <v>8767</v>
      </c>
      <c r="J2884" s="19" t="s">
        <v>4571</v>
      </c>
    </row>
    <row r="2885" spans="1:10" x14ac:dyDescent="0.2">
      <c r="A2885" s="3">
        <v>6663</v>
      </c>
      <c r="B2885" s="3" t="s">
        <v>3124</v>
      </c>
      <c r="C2885" s="3" t="s">
        <v>3116</v>
      </c>
      <c r="D2885" s="3" t="s">
        <v>3018</v>
      </c>
      <c r="I2885" s="19">
        <v>8772</v>
      </c>
      <c r="J2885" s="19" t="s">
        <v>4571</v>
      </c>
    </row>
    <row r="2886" spans="1:10" x14ac:dyDescent="0.2">
      <c r="A2886" s="3">
        <v>6664</v>
      </c>
      <c r="B2886" s="3" t="s">
        <v>3125</v>
      </c>
      <c r="C2886" s="3" t="s">
        <v>3116</v>
      </c>
      <c r="D2886" s="3" t="s">
        <v>3018</v>
      </c>
      <c r="I2886" s="19">
        <v>8773</v>
      </c>
      <c r="J2886" s="19" t="s">
        <v>4571</v>
      </c>
    </row>
    <row r="2887" spans="1:10" x14ac:dyDescent="0.2">
      <c r="A2887" s="3">
        <v>6516</v>
      </c>
      <c r="B2887" s="3" t="s">
        <v>3126</v>
      </c>
      <c r="C2887" s="3" t="s">
        <v>3127</v>
      </c>
      <c r="D2887" s="3" t="s">
        <v>3018</v>
      </c>
      <c r="I2887" s="19">
        <v>8774</v>
      </c>
      <c r="J2887" s="19" t="s">
        <v>4571</v>
      </c>
    </row>
    <row r="2888" spans="1:10" x14ac:dyDescent="0.2">
      <c r="A2888" s="3">
        <v>6597</v>
      </c>
      <c r="B2888" s="3" t="s">
        <v>3128</v>
      </c>
      <c r="C2888" s="3" t="s">
        <v>3127</v>
      </c>
      <c r="D2888" s="3" t="s">
        <v>3018</v>
      </c>
      <c r="I2888" s="19">
        <v>8775</v>
      </c>
      <c r="J2888" s="19" t="s">
        <v>4571</v>
      </c>
    </row>
    <row r="2889" spans="1:10" x14ac:dyDescent="0.2">
      <c r="A2889" s="3">
        <v>6982</v>
      </c>
      <c r="B2889" s="3" t="s">
        <v>3129</v>
      </c>
      <c r="C2889" s="3" t="s">
        <v>3129</v>
      </c>
      <c r="D2889" s="3" t="s">
        <v>3018</v>
      </c>
      <c r="I2889" s="19">
        <v>8777</v>
      </c>
      <c r="J2889" s="19" t="s">
        <v>4571</v>
      </c>
    </row>
    <row r="2890" spans="1:10" x14ac:dyDescent="0.2">
      <c r="A2890" s="3">
        <v>6990</v>
      </c>
      <c r="B2890" s="3" t="s">
        <v>3130</v>
      </c>
      <c r="C2890" s="3" t="s">
        <v>3129</v>
      </c>
      <c r="D2890" s="3" t="s">
        <v>3018</v>
      </c>
      <c r="I2890" s="19">
        <v>8782</v>
      </c>
      <c r="J2890" s="19" t="s">
        <v>4571</v>
      </c>
    </row>
    <row r="2891" spans="1:10" x14ac:dyDescent="0.2">
      <c r="A2891" s="3">
        <v>6994</v>
      </c>
      <c r="B2891" s="3" t="s">
        <v>3131</v>
      </c>
      <c r="C2891" s="3" t="s">
        <v>3131</v>
      </c>
      <c r="D2891" s="3" t="s">
        <v>3018</v>
      </c>
      <c r="I2891" s="19">
        <v>8783</v>
      </c>
      <c r="J2891" s="19" t="s">
        <v>4571</v>
      </c>
    </row>
    <row r="2892" spans="1:10" x14ac:dyDescent="0.2">
      <c r="A2892" s="3">
        <v>6822</v>
      </c>
      <c r="B2892" s="3" t="s">
        <v>3132</v>
      </c>
      <c r="C2892" s="3" t="s">
        <v>3132</v>
      </c>
      <c r="D2892" s="3" t="s">
        <v>3018</v>
      </c>
      <c r="I2892" s="19">
        <v>8784</v>
      </c>
      <c r="J2892" s="19" t="s">
        <v>4571</v>
      </c>
    </row>
    <row r="2893" spans="1:10" x14ac:dyDescent="0.2">
      <c r="A2893" s="3">
        <v>6823</v>
      </c>
      <c r="B2893" s="3" t="s">
        <v>3133</v>
      </c>
      <c r="C2893" s="3" t="s">
        <v>3132</v>
      </c>
      <c r="D2893" s="3" t="s">
        <v>3018</v>
      </c>
      <c r="I2893" s="19">
        <v>8800</v>
      </c>
      <c r="J2893" s="19" t="s">
        <v>4560</v>
      </c>
    </row>
    <row r="2894" spans="1:10" x14ac:dyDescent="0.2">
      <c r="A2894" s="3">
        <v>6999</v>
      </c>
      <c r="B2894" s="3" t="s">
        <v>3134</v>
      </c>
      <c r="C2894" s="3" t="s">
        <v>3134</v>
      </c>
      <c r="D2894" s="3" t="s">
        <v>3018</v>
      </c>
      <c r="I2894" s="19">
        <v>8802</v>
      </c>
      <c r="J2894" s="19" t="s">
        <v>4560</v>
      </c>
    </row>
    <row r="2895" spans="1:10" x14ac:dyDescent="0.2">
      <c r="A2895" s="3">
        <v>6930</v>
      </c>
      <c r="B2895" s="3" t="s">
        <v>3135</v>
      </c>
      <c r="C2895" s="3" t="s">
        <v>3135</v>
      </c>
      <c r="D2895" s="3" t="s">
        <v>3018</v>
      </c>
      <c r="I2895" s="19">
        <v>8803</v>
      </c>
      <c r="J2895" s="19" t="s">
        <v>4560</v>
      </c>
    </row>
    <row r="2896" spans="1:10" x14ac:dyDescent="0.2">
      <c r="A2896" s="3">
        <v>6981</v>
      </c>
      <c r="B2896" s="3" t="s">
        <v>3136</v>
      </c>
      <c r="C2896" s="3" t="s">
        <v>3136</v>
      </c>
      <c r="D2896" s="3" t="s">
        <v>3018</v>
      </c>
      <c r="I2896" s="19">
        <v>8804</v>
      </c>
      <c r="J2896" s="19" t="s">
        <v>4560</v>
      </c>
    </row>
    <row r="2897" spans="1:10" x14ac:dyDescent="0.2">
      <c r="A2897" s="3">
        <v>6981</v>
      </c>
      <c r="B2897" s="3" t="s">
        <v>3136</v>
      </c>
      <c r="C2897" s="3" t="s">
        <v>3136</v>
      </c>
      <c r="D2897" s="3" t="s">
        <v>3018</v>
      </c>
      <c r="I2897" s="19">
        <v>8805</v>
      </c>
      <c r="J2897" s="19" t="s">
        <v>4560</v>
      </c>
    </row>
    <row r="2898" spans="1:10" x14ac:dyDescent="0.2">
      <c r="A2898" s="3">
        <v>6981</v>
      </c>
      <c r="B2898" s="3" t="s">
        <v>3137</v>
      </c>
      <c r="C2898" s="3" t="s">
        <v>3136</v>
      </c>
      <c r="D2898" s="3" t="s">
        <v>3018</v>
      </c>
      <c r="I2898" s="19">
        <v>8806</v>
      </c>
      <c r="J2898" s="19" t="s">
        <v>4560</v>
      </c>
    </row>
    <row r="2899" spans="1:10" x14ac:dyDescent="0.2">
      <c r="A2899" s="3">
        <v>6981</v>
      </c>
      <c r="B2899" s="3" t="s">
        <v>3138</v>
      </c>
      <c r="C2899" s="3" t="s">
        <v>3136</v>
      </c>
      <c r="D2899" s="3" t="s">
        <v>3018</v>
      </c>
      <c r="I2899" s="19">
        <v>8807</v>
      </c>
      <c r="J2899" s="19" t="s">
        <v>4560</v>
      </c>
    </row>
    <row r="2900" spans="1:10" x14ac:dyDescent="0.2">
      <c r="A2900" s="3">
        <v>6934</v>
      </c>
      <c r="B2900" s="3" t="s">
        <v>3139</v>
      </c>
      <c r="C2900" s="3" t="s">
        <v>3139</v>
      </c>
      <c r="D2900" s="3" t="s">
        <v>3018</v>
      </c>
      <c r="I2900" s="19">
        <v>8808</v>
      </c>
      <c r="J2900" s="19" t="s">
        <v>4560</v>
      </c>
    </row>
    <row r="2901" spans="1:10" x14ac:dyDescent="0.2">
      <c r="A2901" s="3">
        <v>6935</v>
      </c>
      <c r="B2901" s="3" t="s">
        <v>3140</v>
      </c>
      <c r="C2901" s="3" t="s">
        <v>3139</v>
      </c>
      <c r="D2901" s="3" t="s">
        <v>3018</v>
      </c>
      <c r="I2901" s="19">
        <v>8810</v>
      </c>
      <c r="J2901" s="19" t="s">
        <v>4560</v>
      </c>
    </row>
    <row r="2902" spans="1:10" x14ac:dyDescent="0.2">
      <c r="A2902" s="3">
        <v>6992</v>
      </c>
      <c r="B2902" s="3" t="s">
        <v>3141</v>
      </c>
      <c r="C2902" s="3" t="s">
        <v>3139</v>
      </c>
      <c r="D2902" s="3" t="s">
        <v>3018</v>
      </c>
      <c r="I2902" s="19">
        <v>8815</v>
      </c>
      <c r="J2902" s="19" t="s">
        <v>4560</v>
      </c>
    </row>
    <row r="2903" spans="1:10" x14ac:dyDescent="0.2">
      <c r="A2903" s="3">
        <v>6993</v>
      </c>
      <c r="B2903" s="3" t="s">
        <v>3142</v>
      </c>
      <c r="C2903" s="3" t="s">
        <v>3139</v>
      </c>
      <c r="D2903" s="3" t="s">
        <v>3018</v>
      </c>
      <c r="I2903" s="19">
        <v>8816</v>
      </c>
      <c r="J2903" s="19" t="s">
        <v>4560</v>
      </c>
    </row>
    <row r="2904" spans="1:10" x14ac:dyDescent="0.2">
      <c r="A2904" s="3">
        <v>6816</v>
      </c>
      <c r="B2904" s="3" t="s">
        <v>3143</v>
      </c>
      <c r="C2904" s="3" t="s">
        <v>3143</v>
      </c>
      <c r="D2904" s="3" t="s">
        <v>3018</v>
      </c>
      <c r="I2904" s="19">
        <v>8820</v>
      </c>
      <c r="J2904" s="19" t="s">
        <v>4560</v>
      </c>
    </row>
    <row r="2905" spans="1:10" x14ac:dyDescent="0.2">
      <c r="A2905" s="3">
        <v>6827</v>
      </c>
      <c r="B2905" s="3" t="s">
        <v>3144</v>
      </c>
      <c r="C2905" s="3" t="s">
        <v>3144</v>
      </c>
      <c r="D2905" s="3" t="s">
        <v>3018</v>
      </c>
      <c r="I2905" s="19">
        <v>8824</v>
      </c>
      <c r="J2905" s="19" t="s">
        <v>4560</v>
      </c>
    </row>
    <row r="2906" spans="1:10" x14ac:dyDescent="0.2">
      <c r="A2906" s="3">
        <v>6867</v>
      </c>
      <c r="B2906" s="3" t="s">
        <v>3145</v>
      </c>
      <c r="C2906" s="3" t="s">
        <v>3144</v>
      </c>
      <c r="D2906" s="3" t="s">
        <v>3018</v>
      </c>
      <c r="I2906" s="19">
        <v>8825</v>
      </c>
      <c r="J2906" s="19" t="s">
        <v>4560</v>
      </c>
    </row>
    <row r="2907" spans="1:10" x14ac:dyDescent="0.2">
      <c r="A2907" s="3">
        <v>6936</v>
      </c>
      <c r="B2907" s="3" t="s">
        <v>3146</v>
      </c>
      <c r="C2907" s="3" t="s">
        <v>3146</v>
      </c>
      <c r="D2907" s="3" t="s">
        <v>3018</v>
      </c>
      <c r="I2907" s="19">
        <v>8832</v>
      </c>
      <c r="J2907" s="19" t="s">
        <v>4560</v>
      </c>
    </row>
    <row r="2908" spans="1:10" x14ac:dyDescent="0.2">
      <c r="A2908" s="3">
        <v>6814</v>
      </c>
      <c r="B2908" s="3" t="s">
        <v>3147</v>
      </c>
      <c r="C2908" s="3" t="s">
        <v>3147</v>
      </c>
      <c r="D2908" s="3" t="s">
        <v>3018</v>
      </c>
      <c r="I2908" s="19">
        <v>8833</v>
      </c>
      <c r="J2908" s="19" t="s">
        <v>4560</v>
      </c>
    </row>
    <row r="2909" spans="1:10" x14ac:dyDescent="0.2">
      <c r="A2909" s="3">
        <v>6952</v>
      </c>
      <c r="B2909" s="3" t="s">
        <v>3148</v>
      </c>
      <c r="C2909" s="3" t="s">
        <v>3148</v>
      </c>
      <c r="D2909" s="3" t="s">
        <v>3018</v>
      </c>
      <c r="I2909" s="19">
        <v>8834</v>
      </c>
      <c r="J2909" s="19" t="s">
        <v>4560</v>
      </c>
    </row>
    <row r="2910" spans="1:10" x14ac:dyDescent="0.2">
      <c r="A2910" s="3">
        <v>6987</v>
      </c>
      <c r="B2910" s="3" t="s">
        <v>3149</v>
      </c>
      <c r="C2910" s="3" t="s">
        <v>3149</v>
      </c>
      <c r="D2910" s="3" t="s">
        <v>3018</v>
      </c>
      <c r="I2910" s="19">
        <v>8835</v>
      </c>
      <c r="J2910" s="19" t="s">
        <v>4560</v>
      </c>
    </row>
    <row r="2911" spans="1:10" x14ac:dyDescent="0.2">
      <c r="A2911" s="3">
        <v>6949</v>
      </c>
      <c r="B2911" s="3" t="s">
        <v>3150</v>
      </c>
      <c r="C2911" s="3" t="s">
        <v>3150</v>
      </c>
      <c r="D2911" s="3" t="s">
        <v>3018</v>
      </c>
      <c r="I2911" s="19">
        <v>8836</v>
      </c>
      <c r="J2911" s="19" t="s">
        <v>4562</v>
      </c>
    </row>
    <row r="2912" spans="1:10" x14ac:dyDescent="0.2">
      <c r="A2912" s="3">
        <v>6944</v>
      </c>
      <c r="B2912" s="3" t="s">
        <v>3151</v>
      </c>
      <c r="C2912" s="3" t="s">
        <v>3151</v>
      </c>
      <c r="D2912" s="3" t="s">
        <v>3018</v>
      </c>
      <c r="I2912" s="19">
        <v>8840</v>
      </c>
      <c r="J2912" s="19" t="s">
        <v>4562</v>
      </c>
    </row>
    <row r="2913" spans="1:10" x14ac:dyDescent="0.2">
      <c r="A2913" s="3">
        <v>6981</v>
      </c>
      <c r="B2913" s="3" t="s">
        <v>3152</v>
      </c>
      <c r="C2913" s="3" t="s">
        <v>3153</v>
      </c>
      <c r="D2913" s="3" t="s">
        <v>3018</v>
      </c>
      <c r="I2913" s="19">
        <v>8841</v>
      </c>
      <c r="J2913" s="19" t="s">
        <v>4562</v>
      </c>
    </row>
    <row r="2914" spans="1:10" x14ac:dyDescent="0.2">
      <c r="A2914" s="3">
        <v>6986</v>
      </c>
      <c r="B2914" s="3" t="s">
        <v>3153</v>
      </c>
      <c r="C2914" s="3" t="s">
        <v>3153</v>
      </c>
      <c r="D2914" s="3" t="s">
        <v>3018</v>
      </c>
      <c r="I2914" s="19">
        <v>8842</v>
      </c>
      <c r="J2914" s="19" t="s">
        <v>4562</v>
      </c>
    </row>
    <row r="2915" spans="1:10" x14ac:dyDescent="0.2">
      <c r="A2915" s="3">
        <v>6916</v>
      </c>
      <c r="B2915" s="3" t="s">
        <v>3154</v>
      </c>
      <c r="C2915" s="3" t="s">
        <v>3154</v>
      </c>
      <c r="D2915" s="3" t="s">
        <v>3018</v>
      </c>
      <c r="I2915" s="19">
        <v>8843</v>
      </c>
      <c r="J2915" s="19" t="s">
        <v>4562</v>
      </c>
    </row>
    <row r="2916" spans="1:10" x14ac:dyDescent="0.2">
      <c r="A2916" s="3">
        <v>6929</v>
      </c>
      <c r="B2916" s="3" t="s">
        <v>3155</v>
      </c>
      <c r="C2916" s="3" t="s">
        <v>3155</v>
      </c>
      <c r="D2916" s="3" t="s">
        <v>3018</v>
      </c>
      <c r="I2916" s="19">
        <v>8844</v>
      </c>
      <c r="J2916" s="19" t="s">
        <v>4562</v>
      </c>
    </row>
    <row r="2917" spans="1:10" x14ac:dyDescent="0.2">
      <c r="A2917" s="3">
        <v>6814</v>
      </c>
      <c r="B2917" s="3" t="s">
        <v>3156</v>
      </c>
      <c r="C2917" s="3" t="s">
        <v>3156</v>
      </c>
      <c r="D2917" s="3" t="s">
        <v>3018</v>
      </c>
      <c r="I2917" s="19">
        <v>8845</v>
      </c>
      <c r="J2917" s="19" t="s">
        <v>4562</v>
      </c>
    </row>
    <row r="2918" spans="1:10" x14ac:dyDescent="0.2">
      <c r="A2918" s="3">
        <v>6900</v>
      </c>
      <c r="B2918" s="3" t="s">
        <v>3157</v>
      </c>
      <c r="C2918" s="3" t="s">
        <v>3157</v>
      </c>
      <c r="D2918" s="3" t="s">
        <v>3018</v>
      </c>
      <c r="I2918" s="19">
        <v>8846</v>
      </c>
      <c r="J2918" s="19" t="s">
        <v>4562</v>
      </c>
    </row>
    <row r="2919" spans="1:10" x14ac:dyDescent="0.2">
      <c r="A2919" s="3">
        <v>6912</v>
      </c>
      <c r="B2919" s="3" t="s">
        <v>3158</v>
      </c>
      <c r="C2919" s="3" t="s">
        <v>3157</v>
      </c>
      <c r="D2919" s="3" t="s">
        <v>3018</v>
      </c>
      <c r="I2919" s="19">
        <v>8847</v>
      </c>
      <c r="J2919" s="19" t="s">
        <v>4562</v>
      </c>
    </row>
    <row r="2920" spans="1:10" x14ac:dyDescent="0.2">
      <c r="A2920" s="3">
        <v>6913</v>
      </c>
      <c r="B2920" s="3" t="s">
        <v>3159</v>
      </c>
      <c r="C2920" s="3" t="s">
        <v>3157</v>
      </c>
      <c r="D2920" s="3" t="s">
        <v>3018</v>
      </c>
      <c r="I2920" s="19">
        <v>8849</v>
      </c>
      <c r="J2920" s="19" t="s">
        <v>4562</v>
      </c>
    </row>
    <row r="2921" spans="1:10" x14ac:dyDescent="0.2">
      <c r="A2921" s="3">
        <v>6914</v>
      </c>
      <c r="B2921" s="3" t="s">
        <v>3160</v>
      </c>
      <c r="C2921" s="3" t="s">
        <v>3157</v>
      </c>
      <c r="D2921" s="3" t="s">
        <v>3018</v>
      </c>
      <c r="I2921" s="19">
        <v>8852</v>
      </c>
      <c r="J2921" s="19" t="s">
        <v>4560</v>
      </c>
    </row>
    <row r="2922" spans="1:10" x14ac:dyDescent="0.2">
      <c r="A2922" s="3">
        <v>6915</v>
      </c>
      <c r="B2922" s="3" t="s">
        <v>3161</v>
      </c>
      <c r="C2922" s="3" t="s">
        <v>3157</v>
      </c>
      <c r="D2922" s="3" t="s">
        <v>3018</v>
      </c>
      <c r="I2922" s="19">
        <v>8853</v>
      </c>
      <c r="J2922" s="19" t="s">
        <v>4560</v>
      </c>
    </row>
    <row r="2923" spans="1:10" x14ac:dyDescent="0.2">
      <c r="A2923" s="3">
        <v>6917</v>
      </c>
      <c r="B2923" s="3" t="s">
        <v>3162</v>
      </c>
      <c r="C2923" s="3" t="s">
        <v>3157</v>
      </c>
      <c r="D2923" s="3" t="s">
        <v>3018</v>
      </c>
      <c r="I2923" s="19">
        <v>8854</v>
      </c>
      <c r="J2923" s="19" t="s">
        <v>4571</v>
      </c>
    </row>
    <row r="2924" spans="1:10" x14ac:dyDescent="0.2">
      <c r="A2924" s="3">
        <v>6918</v>
      </c>
      <c r="B2924" s="3" t="s">
        <v>3163</v>
      </c>
      <c r="C2924" s="3" t="s">
        <v>3157</v>
      </c>
      <c r="D2924" s="3" t="s">
        <v>3018</v>
      </c>
      <c r="I2924" s="19">
        <v>8855</v>
      </c>
      <c r="J2924" s="19" t="s">
        <v>4560</v>
      </c>
    </row>
    <row r="2925" spans="1:10" x14ac:dyDescent="0.2">
      <c r="A2925" s="3">
        <v>6932</v>
      </c>
      <c r="B2925" s="3" t="s">
        <v>3164</v>
      </c>
      <c r="C2925" s="3" t="s">
        <v>3157</v>
      </c>
      <c r="D2925" s="3" t="s">
        <v>3018</v>
      </c>
      <c r="I2925" s="19">
        <v>8856</v>
      </c>
      <c r="J2925" s="19" t="s">
        <v>4560</v>
      </c>
    </row>
    <row r="2926" spans="1:10" x14ac:dyDescent="0.2">
      <c r="A2926" s="3">
        <v>6951</v>
      </c>
      <c r="B2926" s="3" t="s">
        <v>3165</v>
      </c>
      <c r="C2926" s="3" t="s">
        <v>3157</v>
      </c>
      <c r="D2926" s="3" t="s">
        <v>3018</v>
      </c>
      <c r="I2926" s="19">
        <v>8857</v>
      </c>
      <c r="J2926" s="19" t="s">
        <v>4571</v>
      </c>
    </row>
    <row r="2927" spans="1:10" x14ac:dyDescent="0.2">
      <c r="A2927" s="3">
        <v>6951</v>
      </c>
      <c r="B2927" s="3" t="s">
        <v>3166</v>
      </c>
      <c r="C2927" s="3" t="s">
        <v>3157</v>
      </c>
      <c r="D2927" s="3" t="s">
        <v>3018</v>
      </c>
      <c r="I2927" s="19">
        <v>8858</v>
      </c>
      <c r="J2927" s="19" t="s">
        <v>4571</v>
      </c>
    </row>
    <row r="2928" spans="1:10" x14ac:dyDescent="0.2">
      <c r="A2928" s="3">
        <v>6951</v>
      </c>
      <c r="B2928" s="3" t="s">
        <v>3167</v>
      </c>
      <c r="C2928" s="3" t="s">
        <v>3157</v>
      </c>
      <c r="D2928" s="3" t="s">
        <v>3018</v>
      </c>
      <c r="I2928" s="19">
        <v>8862</v>
      </c>
      <c r="J2928" s="19" t="s">
        <v>4571</v>
      </c>
    </row>
    <row r="2929" spans="1:10" x14ac:dyDescent="0.2">
      <c r="A2929" s="3">
        <v>6951</v>
      </c>
      <c r="B2929" s="3" t="s">
        <v>3168</v>
      </c>
      <c r="C2929" s="3" t="s">
        <v>3157</v>
      </c>
      <c r="D2929" s="3" t="s">
        <v>3018</v>
      </c>
      <c r="I2929" s="19">
        <v>8863</v>
      </c>
      <c r="J2929" s="19" t="s">
        <v>4571</v>
      </c>
    </row>
    <row r="2930" spans="1:10" x14ac:dyDescent="0.2">
      <c r="A2930" s="3">
        <v>6951</v>
      </c>
      <c r="B2930" s="3" t="s">
        <v>3169</v>
      </c>
      <c r="C2930" s="3" t="s">
        <v>3157</v>
      </c>
      <c r="D2930" s="3" t="s">
        <v>3018</v>
      </c>
      <c r="I2930" s="19">
        <v>8864</v>
      </c>
      <c r="J2930" s="19" t="s">
        <v>4571</v>
      </c>
    </row>
    <row r="2931" spans="1:10" x14ac:dyDescent="0.2">
      <c r="A2931" s="3">
        <v>6951</v>
      </c>
      <c r="B2931" s="3" t="s">
        <v>3170</v>
      </c>
      <c r="C2931" s="3" t="s">
        <v>3157</v>
      </c>
      <c r="D2931" s="3" t="s">
        <v>3018</v>
      </c>
      <c r="I2931" s="19">
        <v>8865</v>
      </c>
      <c r="J2931" s="19" t="s">
        <v>4571</v>
      </c>
    </row>
    <row r="2932" spans="1:10" x14ac:dyDescent="0.2">
      <c r="A2932" s="3">
        <v>6959</v>
      </c>
      <c r="B2932" s="3" t="s">
        <v>3171</v>
      </c>
      <c r="C2932" s="3" t="s">
        <v>3157</v>
      </c>
      <c r="D2932" s="3" t="s">
        <v>3018</v>
      </c>
      <c r="I2932" s="19">
        <v>8866</v>
      </c>
      <c r="J2932" s="19" t="s">
        <v>4571</v>
      </c>
    </row>
    <row r="2933" spans="1:10" x14ac:dyDescent="0.2">
      <c r="A2933" s="3">
        <v>6959</v>
      </c>
      <c r="B2933" s="3" t="s">
        <v>3172</v>
      </c>
      <c r="C2933" s="3" t="s">
        <v>3157</v>
      </c>
      <c r="D2933" s="3" t="s">
        <v>3018</v>
      </c>
      <c r="I2933" s="19">
        <v>8867</v>
      </c>
      <c r="J2933" s="19" t="s">
        <v>4571</v>
      </c>
    </row>
    <row r="2934" spans="1:10" x14ac:dyDescent="0.2">
      <c r="A2934" s="3">
        <v>6959</v>
      </c>
      <c r="B2934" s="3" t="s">
        <v>3173</v>
      </c>
      <c r="C2934" s="3" t="s">
        <v>3157</v>
      </c>
      <c r="D2934" s="3" t="s">
        <v>3018</v>
      </c>
      <c r="I2934" s="19">
        <v>8868</v>
      </c>
      <c r="J2934" s="19" t="s">
        <v>4571</v>
      </c>
    </row>
    <row r="2935" spans="1:10" x14ac:dyDescent="0.2">
      <c r="A2935" s="3">
        <v>6959</v>
      </c>
      <c r="B2935" s="3" t="s">
        <v>3174</v>
      </c>
      <c r="C2935" s="3" t="s">
        <v>3157</v>
      </c>
      <c r="D2935" s="3" t="s">
        <v>3018</v>
      </c>
      <c r="I2935" s="19">
        <v>8872</v>
      </c>
      <c r="J2935" s="19" t="s">
        <v>4571</v>
      </c>
    </row>
    <row r="2936" spans="1:10" x14ac:dyDescent="0.2">
      <c r="A2936" s="3">
        <v>6959</v>
      </c>
      <c r="B2936" s="3" t="s">
        <v>3175</v>
      </c>
      <c r="C2936" s="3" t="s">
        <v>3157</v>
      </c>
      <c r="D2936" s="3" t="s">
        <v>3018</v>
      </c>
      <c r="I2936" s="19">
        <v>8873</v>
      </c>
      <c r="J2936" s="19" t="s">
        <v>4571</v>
      </c>
    </row>
    <row r="2937" spans="1:10" x14ac:dyDescent="0.2">
      <c r="A2937" s="3">
        <v>6959</v>
      </c>
      <c r="B2937" s="3" t="s">
        <v>3175</v>
      </c>
      <c r="C2937" s="3" t="s">
        <v>3157</v>
      </c>
      <c r="D2937" s="3" t="s">
        <v>3018</v>
      </c>
      <c r="I2937" s="19">
        <v>8874</v>
      </c>
      <c r="J2937" s="19" t="s">
        <v>4571</v>
      </c>
    </row>
    <row r="2938" spans="1:10" x14ac:dyDescent="0.2">
      <c r="A2938" s="3">
        <v>6962</v>
      </c>
      <c r="B2938" s="3" t="s">
        <v>3176</v>
      </c>
      <c r="C2938" s="3" t="s">
        <v>3157</v>
      </c>
      <c r="D2938" s="3" t="s">
        <v>3018</v>
      </c>
      <c r="I2938" s="19">
        <v>8877</v>
      </c>
      <c r="J2938" s="19" t="s">
        <v>4571</v>
      </c>
    </row>
    <row r="2939" spans="1:10" x14ac:dyDescent="0.2">
      <c r="A2939" s="3">
        <v>6963</v>
      </c>
      <c r="B2939" s="3" t="s">
        <v>3177</v>
      </c>
      <c r="C2939" s="3" t="s">
        <v>3157</v>
      </c>
      <c r="D2939" s="3" t="s">
        <v>3018</v>
      </c>
      <c r="I2939" s="19">
        <v>8878</v>
      </c>
      <c r="J2939" s="19" t="s">
        <v>4571</v>
      </c>
    </row>
    <row r="2940" spans="1:10" x14ac:dyDescent="0.2">
      <c r="A2940" s="3">
        <v>6963</v>
      </c>
      <c r="B2940" s="3" t="s">
        <v>3178</v>
      </c>
      <c r="C2940" s="3" t="s">
        <v>3157</v>
      </c>
      <c r="D2940" s="3" t="s">
        <v>3018</v>
      </c>
      <c r="I2940" s="19">
        <v>8880</v>
      </c>
      <c r="J2940" s="19" t="s">
        <v>4570</v>
      </c>
    </row>
    <row r="2941" spans="1:10" x14ac:dyDescent="0.2">
      <c r="A2941" s="3">
        <v>6964</v>
      </c>
      <c r="B2941" s="3" t="s">
        <v>3179</v>
      </c>
      <c r="C2941" s="3" t="s">
        <v>3157</v>
      </c>
      <c r="D2941" s="3" t="s">
        <v>3018</v>
      </c>
      <c r="I2941" s="19">
        <v>8881</v>
      </c>
      <c r="J2941" s="19" t="s">
        <v>4571</v>
      </c>
    </row>
    <row r="2942" spans="1:10" x14ac:dyDescent="0.2">
      <c r="A2942" s="3">
        <v>6965</v>
      </c>
      <c r="B2942" s="3" t="s">
        <v>3180</v>
      </c>
      <c r="C2942" s="3" t="s">
        <v>3157</v>
      </c>
      <c r="D2942" s="3" t="s">
        <v>3018</v>
      </c>
      <c r="I2942" s="19">
        <v>8882</v>
      </c>
      <c r="J2942" s="19" t="s">
        <v>4570</v>
      </c>
    </row>
    <row r="2943" spans="1:10" x14ac:dyDescent="0.2">
      <c r="A2943" s="3">
        <v>6966</v>
      </c>
      <c r="B2943" s="3" t="s">
        <v>3181</v>
      </c>
      <c r="C2943" s="3" t="s">
        <v>3157</v>
      </c>
      <c r="D2943" s="3" t="s">
        <v>3018</v>
      </c>
      <c r="I2943" s="19">
        <v>8883</v>
      </c>
      <c r="J2943" s="19" t="s">
        <v>4570</v>
      </c>
    </row>
    <row r="2944" spans="1:10" x14ac:dyDescent="0.2">
      <c r="A2944" s="3">
        <v>6967</v>
      </c>
      <c r="B2944" s="3" t="s">
        <v>3182</v>
      </c>
      <c r="C2944" s="3" t="s">
        <v>3157</v>
      </c>
      <c r="D2944" s="3" t="s">
        <v>3018</v>
      </c>
      <c r="I2944" s="19">
        <v>8884</v>
      </c>
      <c r="J2944" s="19" t="s">
        <v>4571</v>
      </c>
    </row>
    <row r="2945" spans="1:10" x14ac:dyDescent="0.2">
      <c r="A2945" s="3">
        <v>6968</v>
      </c>
      <c r="B2945" s="3" t="s">
        <v>3183</v>
      </c>
      <c r="C2945" s="3" t="s">
        <v>3157</v>
      </c>
      <c r="D2945" s="3" t="s">
        <v>3018</v>
      </c>
      <c r="I2945" s="19">
        <v>8885</v>
      </c>
      <c r="J2945" s="19" t="s">
        <v>4570</v>
      </c>
    </row>
    <row r="2946" spans="1:10" x14ac:dyDescent="0.2">
      <c r="A2946" s="3">
        <v>6974</v>
      </c>
      <c r="B2946" s="3" t="s">
        <v>3184</v>
      </c>
      <c r="C2946" s="3" t="s">
        <v>3157</v>
      </c>
      <c r="D2946" s="3" t="s">
        <v>3018</v>
      </c>
      <c r="I2946" s="19">
        <v>8886</v>
      </c>
      <c r="J2946" s="19" t="s">
        <v>4570</v>
      </c>
    </row>
    <row r="2947" spans="1:10" x14ac:dyDescent="0.2">
      <c r="A2947" s="3">
        <v>6976</v>
      </c>
      <c r="B2947" s="3" t="s">
        <v>3185</v>
      </c>
      <c r="C2947" s="3" t="s">
        <v>3157</v>
      </c>
      <c r="D2947" s="3" t="s">
        <v>3018</v>
      </c>
      <c r="I2947" s="19">
        <v>8887</v>
      </c>
      <c r="J2947" s="19" t="s">
        <v>4570</v>
      </c>
    </row>
    <row r="2948" spans="1:10" x14ac:dyDescent="0.2">
      <c r="A2948" s="3">
        <v>6977</v>
      </c>
      <c r="B2948" s="3" t="s">
        <v>3186</v>
      </c>
      <c r="C2948" s="3" t="s">
        <v>3157</v>
      </c>
      <c r="D2948" s="3" t="s">
        <v>3018</v>
      </c>
      <c r="I2948" s="19">
        <v>8888</v>
      </c>
      <c r="J2948" s="19" t="s">
        <v>4570</v>
      </c>
    </row>
    <row r="2949" spans="1:10" x14ac:dyDescent="0.2">
      <c r="A2949" s="3">
        <v>6978</v>
      </c>
      <c r="B2949" s="3" t="s">
        <v>3187</v>
      </c>
      <c r="C2949" s="3" t="s">
        <v>3157</v>
      </c>
      <c r="D2949" s="3" t="s">
        <v>3018</v>
      </c>
      <c r="I2949" s="19">
        <v>8889</v>
      </c>
      <c r="J2949" s="19" t="s">
        <v>4570</v>
      </c>
    </row>
    <row r="2950" spans="1:10" x14ac:dyDescent="0.2">
      <c r="A2950" s="3">
        <v>6979</v>
      </c>
      <c r="B2950" s="3" t="s">
        <v>3188</v>
      </c>
      <c r="C2950" s="3" t="s">
        <v>3157</v>
      </c>
      <c r="D2950" s="3" t="s">
        <v>3018</v>
      </c>
      <c r="I2950" s="19">
        <v>8890</v>
      </c>
      <c r="J2950" s="19" t="s">
        <v>4570</v>
      </c>
    </row>
    <row r="2951" spans="1:10" x14ac:dyDescent="0.2">
      <c r="A2951" s="3">
        <v>6983</v>
      </c>
      <c r="B2951" s="3" t="s">
        <v>3189</v>
      </c>
      <c r="C2951" s="3" t="s">
        <v>3189</v>
      </c>
      <c r="D2951" s="3" t="s">
        <v>3018</v>
      </c>
      <c r="I2951" s="19">
        <v>8892</v>
      </c>
      <c r="J2951" s="19" t="s">
        <v>4570</v>
      </c>
    </row>
    <row r="2952" spans="1:10" x14ac:dyDescent="0.2">
      <c r="A2952" s="3">
        <v>6928</v>
      </c>
      <c r="B2952" s="3" t="s">
        <v>3190</v>
      </c>
      <c r="C2952" s="3" t="s">
        <v>3190</v>
      </c>
      <c r="D2952" s="3" t="s">
        <v>3018</v>
      </c>
      <c r="I2952" s="19">
        <v>8893</v>
      </c>
      <c r="J2952" s="19" t="s">
        <v>4570</v>
      </c>
    </row>
    <row r="2953" spans="1:10" x14ac:dyDescent="0.2">
      <c r="A2953" s="3">
        <v>6900</v>
      </c>
      <c r="B2953" s="3" t="s">
        <v>3191</v>
      </c>
      <c r="C2953" s="3" t="s">
        <v>3191</v>
      </c>
      <c r="D2953" s="3" t="s">
        <v>3018</v>
      </c>
      <c r="I2953" s="19">
        <v>8894</v>
      </c>
      <c r="J2953" s="19" t="s">
        <v>4570</v>
      </c>
    </row>
    <row r="2954" spans="1:10" x14ac:dyDescent="0.2">
      <c r="A2954" s="3">
        <v>6815</v>
      </c>
      <c r="B2954" s="3" t="s">
        <v>3192</v>
      </c>
      <c r="C2954" s="3" t="s">
        <v>3192</v>
      </c>
      <c r="D2954" s="3" t="s">
        <v>3018</v>
      </c>
      <c r="I2954" s="19">
        <v>8895</v>
      </c>
      <c r="J2954" s="19" t="s">
        <v>4570</v>
      </c>
    </row>
    <row r="2955" spans="1:10" x14ac:dyDescent="0.2">
      <c r="A2955" s="3">
        <v>6805</v>
      </c>
      <c r="B2955" s="3" t="s">
        <v>3193</v>
      </c>
      <c r="C2955" s="3" t="s">
        <v>3194</v>
      </c>
      <c r="D2955" s="3" t="s">
        <v>3018</v>
      </c>
      <c r="I2955" s="19">
        <v>8896</v>
      </c>
      <c r="J2955" s="19" t="s">
        <v>4571</v>
      </c>
    </row>
    <row r="2956" spans="1:10" x14ac:dyDescent="0.2">
      <c r="A2956" s="3">
        <v>6805</v>
      </c>
      <c r="B2956" s="3" t="s">
        <v>3193</v>
      </c>
      <c r="C2956" s="3" t="s">
        <v>3194</v>
      </c>
      <c r="D2956" s="3" t="s">
        <v>3018</v>
      </c>
      <c r="I2956" s="19">
        <v>8897</v>
      </c>
      <c r="J2956" s="19" t="s">
        <v>4571</v>
      </c>
    </row>
    <row r="2957" spans="1:10" x14ac:dyDescent="0.2">
      <c r="A2957" s="3">
        <v>6986</v>
      </c>
      <c r="B2957" s="3" t="s">
        <v>3195</v>
      </c>
      <c r="C2957" s="3" t="s">
        <v>3195</v>
      </c>
      <c r="D2957" s="3" t="s">
        <v>3018</v>
      </c>
      <c r="I2957" s="19">
        <v>8898</v>
      </c>
      <c r="J2957" s="19" t="s">
        <v>4571</v>
      </c>
    </row>
    <row r="2958" spans="1:10" x14ac:dyDescent="0.2">
      <c r="A2958" s="3">
        <v>6922</v>
      </c>
      <c r="B2958" s="3" t="s">
        <v>3196</v>
      </c>
      <c r="C2958" s="3" t="s">
        <v>3196</v>
      </c>
      <c r="D2958" s="3" t="s">
        <v>3018</v>
      </c>
      <c r="I2958" s="19">
        <v>8902</v>
      </c>
      <c r="J2958" s="19" t="s">
        <v>4560</v>
      </c>
    </row>
    <row r="2959" spans="1:10" x14ac:dyDescent="0.2">
      <c r="A2959" s="3">
        <v>6933</v>
      </c>
      <c r="B2959" s="3" t="s">
        <v>3197</v>
      </c>
      <c r="C2959" s="3" t="s">
        <v>3197</v>
      </c>
      <c r="D2959" s="3" t="s">
        <v>3018</v>
      </c>
      <c r="I2959" s="19">
        <v>8903</v>
      </c>
      <c r="J2959" s="19" t="s">
        <v>4560</v>
      </c>
    </row>
    <row r="2960" spans="1:10" x14ac:dyDescent="0.2">
      <c r="A2960" s="3">
        <v>6991</v>
      </c>
      <c r="B2960" s="3" t="s">
        <v>3198</v>
      </c>
      <c r="C2960" s="3" t="s">
        <v>3198</v>
      </c>
      <c r="D2960" s="3" t="s">
        <v>3018</v>
      </c>
      <c r="I2960" s="19">
        <v>8904</v>
      </c>
      <c r="J2960" s="19" t="s">
        <v>4560</v>
      </c>
    </row>
    <row r="2961" spans="1:10" x14ac:dyDescent="0.2">
      <c r="A2961" s="3">
        <v>6986</v>
      </c>
      <c r="B2961" s="3" t="s">
        <v>3199</v>
      </c>
      <c r="C2961" s="3" t="s">
        <v>3199</v>
      </c>
      <c r="D2961" s="3" t="s">
        <v>3018</v>
      </c>
      <c r="I2961" s="19">
        <v>8905</v>
      </c>
      <c r="J2961" s="19" t="s">
        <v>4560</v>
      </c>
    </row>
    <row r="2962" spans="1:10" x14ac:dyDescent="0.2">
      <c r="A2962" s="3">
        <v>6945</v>
      </c>
      <c r="B2962" s="3" t="s">
        <v>3200</v>
      </c>
      <c r="C2962" s="3" t="s">
        <v>3200</v>
      </c>
      <c r="D2962" s="3" t="s">
        <v>3018</v>
      </c>
      <c r="I2962" s="19">
        <v>8906</v>
      </c>
      <c r="J2962" s="19" t="s">
        <v>4560</v>
      </c>
    </row>
    <row r="2963" spans="1:10" x14ac:dyDescent="0.2">
      <c r="A2963" s="3">
        <v>6900</v>
      </c>
      <c r="B2963" s="3" t="s">
        <v>3201</v>
      </c>
      <c r="C2963" s="3" t="s">
        <v>3201</v>
      </c>
      <c r="D2963" s="3" t="s">
        <v>3018</v>
      </c>
      <c r="I2963" s="19">
        <v>8907</v>
      </c>
      <c r="J2963" s="19" t="s">
        <v>4560</v>
      </c>
    </row>
    <row r="2964" spans="1:10" x14ac:dyDescent="0.2">
      <c r="A2964" s="3">
        <v>6946</v>
      </c>
      <c r="B2964" s="3" t="s">
        <v>3202</v>
      </c>
      <c r="C2964" s="3" t="s">
        <v>3202</v>
      </c>
      <c r="D2964" s="3" t="s">
        <v>3018</v>
      </c>
      <c r="I2964" s="19">
        <v>8908</v>
      </c>
      <c r="J2964" s="19" t="s">
        <v>4560</v>
      </c>
    </row>
    <row r="2965" spans="1:10" x14ac:dyDescent="0.2">
      <c r="A2965" s="3">
        <v>6946</v>
      </c>
      <c r="B2965" s="3" t="s">
        <v>3202</v>
      </c>
      <c r="C2965" s="3" t="s">
        <v>3202</v>
      </c>
      <c r="D2965" s="3" t="s">
        <v>3018</v>
      </c>
      <c r="I2965" s="19">
        <v>8909</v>
      </c>
      <c r="J2965" s="19" t="s">
        <v>4558</v>
      </c>
    </row>
    <row r="2966" spans="1:10" x14ac:dyDescent="0.2">
      <c r="A2966" s="3">
        <v>6948</v>
      </c>
      <c r="B2966" s="3" t="s">
        <v>3203</v>
      </c>
      <c r="C2966" s="3" t="s">
        <v>3203</v>
      </c>
      <c r="D2966" s="3" t="s">
        <v>3018</v>
      </c>
      <c r="I2966" s="19">
        <v>8910</v>
      </c>
      <c r="J2966" s="19" t="s">
        <v>4560</v>
      </c>
    </row>
    <row r="2967" spans="1:10" x14ac:dyDescent="0.2">
      <c r="A2967" s="3">
        <v>6984</v>
      </c>
      <c r="B2967" s="3" t="s">
        <v>3204</v>
      </c>
      <c r="C2967" s="3" t="s">
        <v>3204</v>
      </c>
      <c r="D2967" s="3" t="s">
        <v>3018</v>
      </c>
      <c r="I2967" s="19">
        <v>8911</v>
      </c>
      <c r="J2967" s="19" t="s">
        <v>4560</v>
      </c>
    </row>
    <row r="2968" spans="1:10" x14ac:dyDescent="0.2">
      <c r="A2968" s="3">
        <v>6942</v>
      </c>
      <c r="B2968" s="3" t="s">
        <v>3205</v>
      </c>
      <c r="C2968" s="3" t="s">
        <v>3205</v>
      </c>
      <c r="D2968" s="3" t="s">
        <v>3018</v>
      </c>
      <c r="I2968" s="19">
        <v>8912</v>
      </c>
      <c r="J2968" s="19" t="s">
        <v>4555</v>
      </c>
    </row>
    <row r="2969" spans="1:10" x14ac:dyDescent="0.2">
      <c r="A2969" s="3">
        <v>6924</v>
      </c>
      <c r="B2969" s="3" t="s">
        <v>3206</v>
      </c>
      <c r="C2969" s="3" t="s">
        <v>3206</v>
      </c>
      <c r="D2969" s="3" t="s">
        <v>3018</v>
      </c>
      <c r="I2969" s="19">
        <v>8913</v>
      </c>
      <c r="J2969" s="19" t="s">
        <v>4558</v>
      </c>
    </row>
    <row r="2970" spans="1:10" x14ac:dyDescent="0.2">
      <c r="A2970" s="3">
        <v>6807</v>
      </c>
      <c r="B2970" s="3" t="s">
        <v>3207</v>
      </c>
      <c r="C2970" s="3" t="s">
        <v>3208</v>
      </c>
      <c r="D2970" s="3" t="s">
        <v>3018</v>
      </c>
      <c r="I2970" s="19">
        <v>8914</v>
      </c>
      <c r="J2970" s="19" t="s">
        <v>4560</v>
      </c>
    </row>
    <row r="2971" spans="1:10" x14ac:dyDescent="0.2">
      <c r="A2971" s="3">
        <v>6947</v>
      </c>
      <c r="B2971" s="3" t="s">
        <v>3209</v>
      </c>
      <c r="C2971" s="3" t="s">
        <v>3208</v>
      </c>
      <c r="D2971" s="3" t="s">
        <v>3018</v>
      </c>
      <c r="I2971" s="19">
        <v>8915</v>
      </c>
      <c r="J2971" s="19" t="s">
        <v>4560</v>
      </c>
    </row>
    <row r="2972" spans="1:10" x14ac:dyDescent="0.2">
      <c r="A2972" s="3">
        <v>6950</v>
      </c>
      <c r="B2972" s="3" t="s">
        <v>3210</v>
      </c>
      <c r="C2972" s="3" t="s">
        <v>3208</v>
      </c>
      <c r="D2972" s="3" t="s">
        <v>3018</v>
      </c>
      <c r="I2972" s="19">
        <v>8916</v>
      </c>
      <c r="J2972" s="19" t="s">
        <v>4558</v>
      </c>
    </row>
    <row r="2973" spans="1:10" x14ac:dyDescent="0.2">
      <c r="A2973" s="3">
        <v>6953</v>
      </c>
      <c r="B2973" s="3" t="s">
        <v>3211</v>
      </c>
      <c r="C2973" s="3" t="s">
        <v>3208</v>
      </c>
      <c r="D2973" s="3" t="s">
        <v>3018</v>
      </c>
      <c r="I2973" s="19">
        <v>8917</v>
      </c>
      <c r="J2973" s="19" t="s">
        <v>4558</v>
      </c>
    </row>
    <row r="2974" spans="1:10" x14ac:dyDescent="0.2">
      <c r="A2974" s="3">
        <v>6954</v>
      </c>
      <c r="B2974" s="3" t="s">
        <v>3212</v>
      </c>
      <c r="C2974" s="3" t="s">
        <v>3208</v>
      </c>
      <c r="D2974" s="3" t="s">
        <v>3018</v>
      </c>
      <c r="I2974" s="19">
        <v>8918</v>
      </c>
      <c r="J2974" s="19" t="s">
        <v>4558</v>
      </c>
    </row>
    <row r="2975" spans="1:10" x14ac:dyDescent="0.2">
      <c r="A2975" s="3">
        <v>6954</v>
      </c>
      <c r="B2975" s="3" t="s">
        <v>3213</v>
      </c>
      <c r="C2975" s="3" t="s">
        <v>3208</v>
      </c>
      <c r="D2975" s="3" t="s">
        <v>3018</v>
      </c>
      <c r="I2975" s="19">
        <v>8919</v>
      </c>
      <c r="J2975" s="19" t="s">
        <v>4558</v>
      </c>
    </row>
    <row r="2976" spans="1:10" x14ac:dyDescent="0.2">
      <c r="A2976" s="3">
        <v>6955</v>
      </c>
      <c r="B2976" s="3" t="s">
        <v>3214</v>
      </c>
      <c r="C2976" s="3" t="s">
        <v>3208</v>
      </c>
      <c r="D2976" s="3" t="s">
        <v>3018</v>
      </c>
      <c r="I2976" s="19">
        <v>8925</v>
      </c>
      <c r="J2976" s="19" t="s">
        <v>4560</v>
      </c>
    </row>
    <row r="2977" spans="1:10" x14ac:dyDescent="0.2">
      <c r="A2977" s="3">
        <v>6955</v>
      </c>
      <c r="B2977" s="3" t="s">
        <v>3215</v>
      </c>
      <c r="C2977" s="3" t="s">
        <v>3208</v>
      </c>
      <c r="D2977" s="3" t="s">
        <v>3018</v>
      </c>
      <c r="I2977" s="19">
        <v>8926</v>
      </c>
      <c r="J2977" s="19" t="s">
        <v>4560</v>
      </c>
    </row>
    <row r="2978" spans="1:10" x14ac:dyDescent="0.2">
      <c r="A2978" s="3">
        <v>6956</v>
      </c>
      <c r="B2978" s="3" t="s">
        <v>3216</v>
      </c>
      <c r="C2978" s="3" t="s">
        <v>3208</v>
      </c>
      <c r="D2978" s="3" t="s">
        <v>3018</v>
      </c>
      <c r="I2978" s="19">
        <v>8932</v>
      </c>
      <c r="J2978" s="19" t="s">
        <v>4555</v>
      </c>
    </row>
    <row r="2979" spans="1:10" x14ac:dyDescent="0.2">
      <c r="A2979" s="3">
        <v>6957</v>
      </c>
      <c r="B2979" s="3" t="s">
        <v>3217</v>
      </c>
      <c r="C2979" s="3" t="s">
        <v>3208</v>
      </c>
      <c r="D2979" s="3" t="s">
        <v>3018</v>
      </c>
      <c r="I2979" s="19">
        <v>8933</v>
      </c>
      <c r="J2979" s="19" t="s">
        <v>4555</v>
      </c>
    </row>
    <row r="2980" spans="1:10" x14ac:dyDescent="0.2">
      <c r="A2980" s="3">
        <v>6958</v>
      </c>
      <c r="B2980" s="3" t="s">
        <v>3218</v>
      </c>
      <c r="C2980" s="3" t="s">
        <v>3208</v>
      </c>
      <c r="D2980" s="3" t="s">
        <v>3018</v>
      </c>
      <c r="I2980" s="19">
        <v>8934</v>
      </c>
      <c r="J2980" s="19" t="s">
        <v>4555</v>
      </c>
    </row>
    <row r="2981" spans="1:10" x14ac:dyDescent="0.2">
      <c r="A2981" s="3">
        <v>6958</v>
      </c>
      <c r="B2981" s="3" t="s">
        <v>3219</v>
      </c>
      <c r="C2981" s="3" t="s">
        <v>3208</v>
      </c>
      <c r="D2981" s="3" t="s">
        <v>3018</v>
      </c>
      <c r="I2981" s="19">
        <v>8942</v>
      </c>
      <c r="J2981" s="19" t="s">
        <v>4560</v>
      </c>
    </row>
    <row r="2982" spans="1:10" x14ac:dyDescent="0.2">
      <c r="A2982" s="3">
        <v>6958</v>
      </c>
      <c r="B2982" s="3" t="s">
        <v>3219</v>
      </c>
      <c r="C2982" s="3" t="s">
        <v>3208</v>
      </c>
      <c r="D2982" s="3" t="s">
        <v>3018</v>
      </c>
      <c r="I2982" s="19">
        <v>8951</v>
      </c>
      <c r="J2982" s="19" t="s">
        <v>4560</v>
      </c>
    </row>
    <row r="2983" spans="1:10" x14ac:dyDescent="0.2">
      <c r="A2983" s="3">
        <v>6960</v>
      </c>
      <c r="B2983" s="3" t="s">
        <v>3220</v>
      </c>
      <c r="C2983" s="3" t="s">
        <v>3208</v>
      </c>
      <c r="D2983" s="3" t="s">
        <v>3018</v>
      </c>
      <c r="I2983" s="19">
        <v>8952</v>
      </c>
      <c r="J2983" s="19" t="s">
        <v>4560</v>
      </c>
    </row>
    <row r="2984" spans="1:10" x14ac:dyDescent="0.2">
      <c r="A2984" s="3">
        <v>6807</v>
      </c>
      <c r="B2984" s="3" t="s">
        <v>3207</v>
      </c>
      <c r="C2984" s="3" t="s">
        <v>3221</v>
      </c>
      <c r="D2984" s="3" t="s">
        <v>3018</v>
      </c>
      <c r="I2984" s="19">
        <v>8953</v>
      </c>
      <c r="J2984" s="19" t="s">
        <v>4560</v>
      </c>
    </row>
    <row r="2985" spans="1:10" x14ac:dyDescent="0.2">
      <c r="A2985" s="3">
        <v>6808</v>
      </c>
      <c r="B2985" s="3" t="s">
        <v>3222</v>
      </c>
      <c r="C2985" s="3" t="s">
        <v>3221</v>
      </c>
      <c r="D2985" s="3" t="s">
        <v>3018</v>
      </c>
      <c r="I2985" s="19">
        <v>8954</v>
      </c>
      <c r="J2985" s="19" t="s">
        <v>4559</v>
      </c>
    </row>
    <row r="2986" spans="1:10" x14ac:dyDescent="0.2">
      <c r="A2986" s="3">
        <v>6992</v>
      </c>
      <c r="B2986" s="3" t="s">
        <v>3223</v>
      </c>
      <c r="C2986" s="3" t="s">
        <v>3223</v>
      </c>
      <c r="D2986" s="3" t="s">
        <v>3018</v>
      </c>
      <c r="I2986" s="19">
        <v>8955</v>
      </c>
      <c r="J2986" s="19" t="s">
        <v>4559</v>
      </c>
    </row>
    <row r="2987" spans="1:10" x14ac:dyDescent="0.2">
      <c r="A2987" s="3">
        <v>6943</v>
      </c>
      <c r="B2987" s="3" t="s">
        <v>3224</v>
      </c>
      <c r="C2987" s="3" t="s">
        <v>3224</v>
      </c>
      <c r="D2987" s="3" t="s">
        <v>3018</v>
      </c>
      <c r="I2987" s="19">
        <v>8956</v>
      </c>
      <c r="J2987" s="19" t="s">
        <v>4559</v>
      </c>
    </row>
    <row r="2988" spans="1:10" x14ac:dyDescent="0.2">
      <c r="A2988" s="3">
        <v>6921</v>
      </c>
      <c r="B2988" s="3" t="s">
        <v>3225</v>
      </c>
      <c r="C2988" s="3" t="s">
        <v>3225</v>
      </c>
      <c r="D2988" s="3" t="s">
        <v>3018</v>
      </c>
      <c r="I2988" s="19">
        <v>8957</v>
      </c>
      <c r="J2988" s="19" t="s">
        <v>4559</v>
      </c>
    </row>
    <row r="2989" spans="1:10" x14ac:dyDescent="0.2">
      <c r="A2989" s="3">
        <v>6919</v>
      </c>
      <c r="B2989" s="3" t="s">
        <v>3226</v>
      </c>
      <c r="C2989" s="3" t="s">
        <v>3227</v>
      </c>
      <c r="D2989" s="3" t="s">
        <v>3018</v>
      </c>
      <c r="I2989" s="19">
        <v>8962</v>
      </c>
      <c r="J2989" s="19" t="s">
        <v>4560</v>
      </c>
    </row>
    <row r="2990" spans="1:10" x14ac:dyDescent="0.2">
      <c r="A2990" s="3">
        <v>6925</v>
      </c>
      <c r="B2990" s="3" t="s">
        <v>3228</v>
      </c>
      <c r="C2990" s="3" t="s">
        <v>3227</v>
      </c>
      <c r="D2990" s="3" t="s">
        <v>3018</v>
      </c>
      <c r="I2990" s="19">
        <v>8964</v>
      </c>
      <c r="J2990" s="19" t="s">
        <v>4560</v>
      </c>
    </row>
    <row r="2991" spans="1:10" x14ac:dyDescent="0.2">
      <c r="A2991" s="3">
        <v>6926</v>
      </c>
      <c r="B2991" s="3" t="s">
        <v>3229</v>
      </c>
      <c r="C2991" s="3" t="s">
        <v>3227</v>
      </c>
      <c r="D2991" s="3" t="s">
        <v>3018</v>
      </c>
      <c r="I2991" s="19">
        <v>8965</v>
      </c>
      <c r="J2991" s="19" t="s">
        <v>4558</v>
      </c>
    </row>
    <row r="2992" spans="1:10" x14ac:dyDescent="0.2">
      <c r="A2992" s="3">
        <v>6927</v>
      </c>
      <c r="B2992" s="3" t="s">
        <v>3230</v>
      </c>
      <c r="C2992" s="3" t="s">
        <v>3227</v>
      </c>
      <c r="D2992" s="3" t="s">
        <v>3018</v>
      </c>
      <c r="I2992" s="19">
        <v>8966</v>
      </c>
      <c r="J2992" s="19" t="s">
        <v>4560</v>
      </c>
    </row>
    <row r="2993" spans="1:10" x14ac:dyDescent="0.2">
      <c r="A2993" s="3">
        <v>6937</v>
      </c>
      <c r="B2993" s="3" t="s">
        <v>3231</v>
      </c>
      <c r="C2993" s="3" t="s">
        <v>3232</v>
      </c>
      <c r="D2993" s="3" t="s">
        <v>3018</v>
      </c>
      <c r="I2993" s="19">
        <v>8967</v>
      </c>
      <c r="J2993" s="19" t="s">
        <v>4560</v>
      </c>
    </row>
    <row r="2994" spans="1:10" x14ac:dyDescent="0.2">
      <c r="A2994" s="3">
        <v>6938</v>
      </c>
      <c r="B2994" s="3" t="s">
        <v>3233</v>
      </c>
      <c r="C2994" s="3" t="s">
        <v>3232</v>
      </c>
      <c r="D2994" s="3" t="s">
        <v>3018</v>
      </c>
      <c r="I2994" s="19">
        <v>9000</v>
      </c>
      <c r="J2994" s="19" t="s">
        <v>4577</v>
      </c>
    </row>
    <row r="2995" spans="1:10" x14ac:dyDescent="0.2">
      <c r="A2995" s="3">
        <v>6938</v>
      </c>
      <c r="B2995" s="3" t="s">
        <v>3234</v>
      </c>
      <c r="C2995" s="3" t="s">
        <v>3232</v>
      </c>
      <c r="D2995" s="3" t="s">
        <v>3018</v>
      </c>
      <c r="I2995" s="19">
        <v>9008</v>
      </c>
      <c r="J2995" s="19" t="s">
        <v>4577</v>
      </c>
    </row>
    <row r="2996" spans="1:10" x14ac:dyDescent="0.2">
      <c r="A2996" s="3">
        <v>6939</v>
      </c>
      <c r="B2996" s="3" t="s">
        <v>3235</v>
      </c>
      <c r="C2996" s="3" t="s">
        <v>3232</v>
      </c>
      <c r="D2996" s="3" t="s">
        <v>3018</v>
      </c>
      <c r="I2996" s="19">
        <v>9010</v>
      </c>
      <c r="J2996" s="19" t="s">
        <v>4577</v>
      </c>
    </row>
    <row r="2997" spans="1:10" x14ac:dyDescent="0.2">
      <c r="A2997" s="3">
        <v>6939</v>
      </c>
      <c r="B2997" s="3" t="s">
        <v>3236</v>
      </c>
      <c r="C2997" s="3" t="s">
        <v>3232</v>
      </c>
      <c r="D2997" s="3" t="s">
        <v>3018</v>
      </c>
      <c r="I2997" s="19">
        <v>9011</v>
      </c>
      <c r="J2997" s="19" t="s">
        <v>4577</v>
      </c>
    </row>
    <row r="2998" spans="1:10" x14ac:dyDescent="0.2">
      <c r="A2998" s="3">
        <v>6802</v>
      </c>
      <c r="B2998" s="3" t="s">
        <v>3237</v>
      </c>
      <c r="C2998" s="3" t="s">
        <v>3238</v>
      </c>
      <c r="D2998" s="3" t="s">
        <v>3018</v>
      </c>
      <c r="I2998" s="19">
        <v>9012</v>
      </c>
      <c r="J2998" s="19" t="s">
        <v>4577</v>
      </c>
    </row>
    <row r="2999" spans="1:10" x14ac:dyDescent="0.2">
      <c r="A2999" s="3">
        <v>6803</v>
      </c>
      <c r="B2999" s="3" t="s">
        <v>3239</v>
      </c>
      <c r="C2999" s="3" t="s">
        <v>3238</v>
      </c>
      <c r="D2999" s="3" t="s">
        <v>3018</v>
      </c>
      <c r="I2999" s="19">
        <v>9014</v>
      </c>
      <c r="J2999" s="19" t="s">
        <v>4577</v>
      </c>
    </row>
    <row r="3000" spans="1:10" x14ac:dyDescent="0.2">
      <c r="A3000" s="3">
        <v>6804</v>
      </c>
      <c r="B3000" s="3" t="s">
        <v>3240</v>
      </c>
      <c r="C3000" s="3" t="s">
        <v>3238</v>
      </c>
      <c r="D3000" s="3" t="s">
        <v>3018</v>
      </c>
      <c r="I3000" s="19">
        <v>9015</v>
      </c>
      <c r="J3000" s="19" t="s">
        <v>4577</v>
      </c>
    </row>
    <row r="3001" spans="1:10" x14ac:dyDescent="0.2">
      <c r="A3001" s="3">
        <v>6806</v>
      </c>
      <c r="B3001" s="3" t="s">
        <v>3241</v>
      </c>
      <c r="C3001" s="3" t="s">
        <v>3238</v>
      </c>
      <c r="D3001" s="3" t="s">
        <v>3018</v>
      </c>
      <c r="I3001" s="19">
        <v>9016</v>
      </c>
      <c r="J3001" s="19" t="s">
        <v>4577</v>
      </c>
    </row>
    <row r="3002" spans="1:10" x14ac:dyDescent="0.2">
      <c r="A3002" s="3">
        <v>6809</v>
      </c>
      <c r="B3002" s="3" t="s">
        <v>3242</v>
      </c>
      <c r="C3002" s="3" t="s">
        <v>3238</v>
      </c>
      <c r="D3002" s="3" t="s">
        <v>3018</v>
      </c>
      <c r="I3002" s="19">
        <v>9030</v>
      </c>
      <c r="J3002" s="19" t="s">
        <v>4577</v>
      </c>
    </row>
    <row r="3003" spans="1:10" x14ac:dyDescent="0.2">
      <c r="A3003" s="3">
        <v>6980</v>
      </c>
      <c r="B3003" s="3" t="s">
        <v>3243</v>
      </c>
      <c r="C3003" s="3" t="s">
        <v>3244</v>
      </c>
      <c r="D3003" s="3" t="s">
        <v>3018</v>
      </c>
      <c r="I3003" s="19">
        <v>9032</v>
      </c>
      <c r="J3003" s="19" t="s">
        <v>4577</v>
      </c>
    </row>
    <row r="3004" spans="1:10" x14ac:dyDescent="0.2">
      <c r="A3004" s="3">
        <v>6988</v>
      </c>
      <c r="B3004" s="3" t="s">
        <v>3245</v>
      </c>
      <c r="C3004" s="3" t="s">
        <v>3244</v>
      </c>
      <c r="D3004" s="3" t="s">
        <v>3018</v>
      </c>
      <c r="I3004" s="19">
        <v>9033</v>
      </c>
      <c r="J3004" s="19" t="s">
        <v>4577</v>
      </c>
    </row>
    <row r="3005" spans="1:10" x14ac:dyDescent="0.2">
      <c r="A3005" s="3">
        <v>6989</v>
      </c>
      <c r="B3005" s="3" t="s">
        <v>3246</v>
      </c>
      <c r="C3005" s="3" t="s">
        <v>3244</v>
      </c>
      <c r="D3005" s="3" t="s">
        <v>3018</v>
      </c>
      <c r="I3005" s="19">
        <v>9034</v>
      </c>
      <c r="J3005" s="19" t="s">
        <v>4577</v>
      </c>
    </row>
    <row r="3006" spans="1:10" x14ac:dyDescent="0.2">
      <c r="A3006" s="3">
        <v>6995</v>
      </c>
      <c r="B3006" s="3" t="s">
        <v>3247</v>
      </c>
      <c r="C3006" s="3" t="s">
        <v>3244</v>
      </c>
      <c r="D3006" s="3" t="s">
        <v>3018</v>
      </c>
      <c r="I3006" s="19">
        <v>9035</v>
      </c>
      <c r="J3006" s="19" t="s">
        <v>4577</v>
      </c>
    </row>
    <row r="3007" spans="1:10" x14ac:dyDescent="0.2">
      <c r="A3007" s="3">
        <v>6997</v>
      </c>
      <c r="B3007" s="3" t="s">
        <v>3248</v>
      </c>
      <c r="C3007" s="3" t="s">
        <v>3244</v>
      </c>
      <c r="D3007" s="3" t="s">
        <v>3018</v>
      </c>
      <c r="I3007" s="19">
        <v>9036</v>
      </c>
      <c r="J3007" s="19" t="s">
        <v>4577</v>
      </c>
    </row>
    <row r="3008" spans="1:10" x14ac:dyDescent="0.2">
      <c r="A3008" s="3">
        <v>6998</v>
      </c>
      <c r="B3008" s="3" t="s">
        <v>3249</v>
      </c>
      <c r="C3008" s="3" t="s">
        <v>3244</v>
      </c>
      <c r="D3008" s="3" t="s">
        <v>3018</v>
      </c>
      <c r="I3008" s="19">
        <v>9037</v>
      </c>
      <c r="J3008" s="19" t="s">
        <v>4577</v>
      </c>
    </row>
    <row r="3009" spans="1:10" x14ac:dyDescent="0.2">
      <c r="A3009" s="3">
        <v>6817</v>
      </c>
      <c r="B3009" s="3" t="s">
        <v>3250</v>
      </c>
      <c r="C3009" s="3" t="s">
        <v>3251</v>
      </c>
      <c r="D3009" s="3" t="s">
        <v>3018</v>
      </c>
      <c r="I3009" s="19">
        <v>9038</v>
      </c>
      <c r="J3009" s="19" t="s">
        <v>4577</v>
      </c>
    </row>
    <row r="3010" spans="1:10" x14ac:dyDescent="0.2">
      <c r="A3010" s="3">
        <v>6818</v>
      </c>
      <c r="B3010" s="3" t="s">
        <v>3252</v>
      </c>
      <c r="C3010" s="3" t="s">
        <v>3251</v>
      </c>
      <c r="D3010" s="3" t="s">
        <v>3018</v>
      </c>
      <c r="I3010" s="19">
        <v>9042</v>
      </c>
      <c r="J3010" s="19" t="s">
        <v>4577</v>
      </c>
    </row>
    <row r="3011" spans="1:10" x14ac:dyDescent="0.2">
      <c r="A3011" s="3">
        <v>6821</v>
      </c>
      <c r="B3011" s="3" t="s">
        <v>3253</v>
      </c>
      <c r="C3011" s="3" t="s">
        <v>3251</v>
      </c>
      <c r="D3011" s="3" t="s">
        <v>3018</v>
      </c>
      <c r="I3011" s="19">
        <v>9043</v>
      </c>
      <c r="J3011" s="19" t="s">
        <v>4577</v>
      </c>
    </row>
    <row r="3012" spans="1:10" x14ac:dyDescent="0.2">
      <c r="A3012" s="3">
        <v>6825</v>
      </c>
      <c r="B3012" s="3" t="s">
        <v>3254</v>
      </c>
      <c r="C3012" s="3" t="s">
        <v>3251</v>
      </c>
      <c r="D3012" s="3" t="s">
        <v>3018</v>
      </c>
      <c r="I3012" s="19">
        <v>9044</v>
      </c>
      <c r="J3012" s="19" t="s">
        <v>4577</v>
      </c>
    </row>
    <row r="3013" spans="1:10" x14ac:dyDescent="0.2">
      <c r="A3013" s="3">
        <v>6828</v>
      </c>
      <c r="B3013" s="3" t="s">
        <v>3255</v>
      </c>
      <c r="C3013" s="3" t="s">
        <v>3255</v>
      </c>
      <c r="D3013" s="3" t="s">
        <v>3018</v>
      </c>
      <c r="I3013" s="19">
        <v>9050</v>
      </c>
      <c r="J3013" s="19" t="s">
        <v>4577</v>
      </c>
    </row>
    <row r="3014" spans="1:10" x14ac:dyDescent="0.2">
      <c r="A3014" s="3">
        <v>6873</v>
      </c>
      <c r="B3014" s="3" t="s">
        <v>3256</v>
      </c>
      <c r="C3014" s="3" t="s">
        <v>3257</v>
      </c>
      <c r="D3014" s="3" t="s">
        <v>3018</v>
      </c>
      <c r="I3014" s="19">
        <v>9052</v>
      </c>
      <c r="J3014" s="19" t="s">
        <v>4577</v>
      </c>
    </row>
    <row r="3015" spans="1:10" x14ac:dyDescent="0.2">
      <c r="A3015" s="3">
        <v>6874</v>
      </c>
      <c r="B3015" s="3" t="s">
        <v>3257</v>
      </c>
      <c r="C3015" s="3" t="s">
        <v>3257</v>
      </c>
      <c r="D3015" s="3" t="s">
        <v>3018</v>
      </c>
      <c r="I3015" s="19">
        <v>9053</v>
      </c>
      <c r="J3015" s="19" t="s">
        <v>4577</v>
      </c>
    </row>
    <row r="3016" spans="1:10" x14ac:dyDescent="0.2">
      <c r="A3016" s="3">
        <v>6875</v>
      </c>
      <c r="B3016" s="3" t="s">
        <v>3258</v>
      </c>
      <c r="C3016" s="3" t="s">
        <v>3257</v>
      </c>
      <c r="D3016" s="3" t="s">
        <v>3018</v>
      </c>
      <c r="I3016" s="19">
        <v>9054</v>
      </c>
      <c r="J3016" s="19" t="s">
        <v>4577</v>
      </c>
    </row>
    <row r="3017" spans="1:10" x14ac:dyDescent="0.2">
      <c r="A3017" s="3">
        <v>6875</v>
      </c>
      <c r="B3017" s="3" t="s">
        <v>3259</v>
      </c>
      <c r="C3017" s="3" t="s">
        <v>3257</v>
      </c>
      <c r="D3017" s="3" t="s">
        <v>3018</v>
      </c>
      <c r="I3017" s="19">
        <v>9055</v>
      </c>
      <c r="J3017" s="19" t="s">
        <v>4577</v>
      </c>
    </row>
    <row r="3018" spans="1:10" x14ac:dyDescent="0.2">
      <c r="A3018" s="3">
        <v>6875</v>
      </c>
      <c r="B3018" s="3" t="s">
        <v>3260</v>
      </c>
      <c r="C3018" s="3" t="s">
        <v>3257</v>
      </c>
      <c r="D3018" s="3" t="s">
        <v>3018</v>
      </c>
      <c r="I3018" s="19">
        <v>9056</v>
      </c>
      <c r="J3018" s="19" t="s">
        <v>4577</v>
      </c>
    </row>
    <row r="3019" spans="1:10" x14ac:dyDescent="0.2">
      <c r="A3019" s="3">
        <v>6830</v>
      </c>
      <c r="B3019" s="3" t="s">
        <v>3261</v>
      </c>
      <c r="C3019" s="3" t="s">
        <v>3261</v>
      </c>
      <c r="D3019" s="3" t="s">
        <v>3018</v>
      </c>
      <c r="I3019" s="19">
        <v>9057</v>
      </c>
      <c r="J3019" s="19" t="s">
        <v>4577</v>
      </c>
    </row>
    <row r="3020" spans="1:10" x14ac:dyDescent="0.2">
      <c r="A3020" s="3">
        <v>6832</v>
      </c>
      <c r="B3020" s="3" t="s">
        <v>3262</v>
      </c>
      <c r="C3020" s="3" t="s">
        <v>3261</v>
      </c>
      <c r="D3020" s="3" t="s">
        <v>3018</v>
      </c>
      <c r="I3020" s="19">
        <v>9058</v>
      </c>
      <c r="J3020" s="19" t="s">
        <v>4577</v>
      </c>
    </row>
    <row r="3021" spans="1:10" x14ac:dyDescent="0.2">
      <c r="A3021" s="3">
        <v>6832</v>
      </c>
      <c r="B3021" s="3" t="s">
        <v>3263</v>
      </c>
      <c r="C3021" s="3" t="s">
        <v>3261</v>
      </c>
      <c r="D3021" s="3" t="s">
        <v>3018</v>
      </c>
      <c r="I3021" s="19">
        <v>9062</v>
      </c>
      <c r="J3021" s="19" t="s">
        <v>4577</v>
      </c>
    </row>
    <row r="3022" spans="1:10" x14ac:dyDescent="0.2">
      <c r="A3022" s="3">
        <v>6877</v>
      </c>
      <c r="B3022" s="3" t="s">
        <v>3264</v>
      </c>
      <c r="C3022" s="3" t="s">
        <v>3264</v>
      </c>
      <c r="D3022" s="3" t="s">
        <v>3018</v>
      </c>
      <c r="I3022" s="19">
        <v>9063</v>
      </c>
      <c r="J3022" s="19" t="s">
        <v>4577</v>
      </c>
    </row>
    <row r="3023" spans="1:10" x14ac:dyDescent="0.2">
      <c r="A3023" s="3">
        <v>6825</v>
      </c>
      <c r="B3023" s="3" t="s">
        <v>3254</v>
      </c>
      <c r="C3023" s="3" t="s">
        <v>3265</v>
      </c>
      <c r="D3023" s="3" t="s">
        <v>3018</v>
      </c>
      <c r="I3023" s="19">
        <v>9064</v>
      </c>
      <c r="J3023" s="19" t="s">
        <v>4577</v>
      </c>
    </row>
    <row r="3024" spans="1:10" x14ac:dyDescent="0.2">
      <c r="A3024" s="3">
        <v>6850</v>
      </c>
      <c r="B3024" s="3" t="s">
        <v>3265</v>
      </c>
      <c r="C3024" s="3" t="s">
        <v>3265</v>
      </c>
      <c r="D3024" s="3" t="s">
        <v>3018</v>
      </c>
      <c r="I3024" s="19">
        <v>9100</v>
      </c>
      <c r="J3024" s="19" t="s">
        <v>4577</v>
      </c>
    </row>
    <row r="3025" spans="1:10" x14ac:dyDescent="0.2">
      <c r="A3025" s="3">
        <v>6852</v>
      </c>
      <c r="B3025" s="3" t="s">
        <v>3266</v>
      </c>
      <c r="C3025" s="3" t="s">
        <v>3265</v>
      </c>
      <c r="D3025" s="3" t="s">
        <v>3018</v>
      </c>
      <c r="I3025" s="19">
        <v>9103</v>
      </c>
      <c r="J3025" s="19" t="s">
        <v>4577</v>
      </c>
    </row>
    <row r="3026" spans="1:10" x14ac:dyDescent="0.2">
      <c r="A3026" s="3">
        <v>6853</v>
      </c>
      <c r="B3026" s="3" t="s">
        <v>3267</v>
      </c>
      <c r="C3026" s="3" t="s">
        <v>3265</v>
      </c>
      <c r="D3026" s="3" t="s">
        <v>3018</v>
      </c>
      <c r="I3026" s="19">
        <v>9104</v>
      </c>
      <c r="J3026" s="19" t="s">
        <v>4577</v>
      </c>
    </row>
    <row r="3027" spans="1:10" x14ac:dyDescent="0.2">
      <c r="A3027" s="3">
        <v>6862</v>
      </c>
      <c r="B3027" s="3" t="s">
        <v>3268</v>
      </c>
      <c r="C3027" s="3" t="s">
        <v>3265</v>
      </c>
      <c r="D3027" s="3" t="s">
        <v>3018</v>
      </c>
      <c r="I3027" s="19">
        <v>9105</v>
      </c>
      <c r="J3027" s="19" t="s">
        <v>4577</v>
      </c>
    </row>
    <row r="3028" spans="1:10" x14ac:dyDescent="0.2">
      <c r="A3028" s="3">
        <v>6863</v>
      </c>
      <c r="B3028" s="3" t="s">
        <v>3269</v>
      </c>
      <c r="C3028" s="3" t="s">
        <v>3265</v>
      </c>
      <c r="D3028" s="3" t="s">
        <v>3018</v>
      </c>
      <c r="I3028" s="19">
        <v>9107</v>
      </c>
      <c r="J3028" s="19" t="s">
        <v>4577</v>
      </c>
    </row>
    <row r="3029" spans="1:10" x14ac:dyDescent="0.2">
      <c r="A3029" s="3">
        <v>6864</v>
      </c>
      <c r="B3029" s="3" t="s">
        <v>3270</v>
      </c>
      <c r="C3029" s="3" t="s">
        <v>3265</v>
      </c>
      <c r="D3029" s="3" t="s">
        <v>3018</v>
      </c>
      <c r="I3029" s="19">
        <v>9108</v>
      </c>
      <c r="J3029" s="19" t="s">
        <v>4577</v>
      </c>
    </row>
    <row r="3030" spans="1:10" x14ac:dyDescent="0.2">
      <c r="A3030" s="3">
        <v>6865</v>
      </c>
      <c r="B3030" s="3" t="s">
        <v>3271</v>
      </c>
      <c r="C3030" s="3" t="s">
        <v>3265</v>
      </c>
      <c r="D3030" s="3" t="s">
        <v>3018</v>
      </c>
      <c r="I3030" s="19">
        <v>9112</v>
      </c>
      <c r="J3030" s="19" t="s">
        <v>4577</v>
      </c>
    </row>
    <row r="3031" spans="1:10" x14ac:dyDescent="0.2">
      <c r="A3031" s="3">
        <v>6866</v>
      </c>
      <c r="B3031" s="3" t="s">
        <v>3272</v>
      </c>
      <c r="C3031" s="3" t="s">
        <v>3265</v>
      </c>
      <c r="D3031" s="3" t="s">
        <v>3018</v>
      </c>
      <c r="I3031" s="19">
        <v>9113</v>
      </c>
      <c r="J3031" s="19" t="s">
        <v>4577</v>
      </c>
    </row>
    <row r="3032" spans="1:10" x14ac:dyDescent="0.2">
      <c r="A3032" s="3">
        <v>6872</v>
      </c>
      <c r="B3032" s="3" t="s">
        <v>3273</v>
      </c>
      <c r="C3032" s="3" t="s">
        <v>3265</v>
      </c>
      <c r="D3032" s="3" t="s">
        <v>3018</v>
      </c>
      <c r="I3032" s="19">
        <v>9114</v>
      </c>
      <c r="J3032" s="19" t="s">
        <v>4577</v>
      </c>
    </row>
    <row r="3033" spans="1:10" x14ac:dyDescent="0.2">
      <c r="A3033" s="3">
        <v>6872</v>
      </c>
      <c r="B3033" s="3" t="s">
        <v>3274</v>
      </c>
      <c r="C3033" s="3" t="s">
        <v>3265</v>
      </c>
      <c r="D3033" s="3" t="s">
        <v>3018</v>
      </c>
      <c r="I3033" s="19">
        <v>9115</v>
      </c>
      <c r="J3033" s="19" t="s">
        <v>4577</v>
      </c>
    </row>
    <row r="3034" spans="1:10" x14ac:dyDescent="0.2">
      <c r="A3034" s="3">
        <v>6834</v>
      </c>
      <c r="B3034" s="3" t="s">
        <v>3275</v>
      </c>
      <c r="C3034" s="3" t="s">
        <v>3275</v>
      </c>
      <c r="D3034" s="3" t="s">
        <v>3018</v>
      </c>
      <c r="I3034" s="19">
        <v>9116</v>
      </c>
      <c r="J3034" s="19" t="s">
        <v>4577</v>
      </c>
    </row>
    <row r="3035" spans="1:10" x14ac:dyDescent="0.2">
      <c r="A3035" s="3">
        <v>6883</v>
      </c>
      <c r="B3035" s="3" t="s">
        <v>3276</v>
      </c>
      <c r="C3035" s="3" t="s">
        <v>3276</v>
      </c>
      <c r="D3035" s="3" t="s">
        <v>3018</v>
      </c>
      <c r="I3035" s="19">
        <v>9122</v>
      </c>
      <c r="J3035" s="19" t="s">
        <v>4577</v>
      </c>
    </row>
    <row r="3036" spans="1:10" x14ac:dyDescent="0.2">
      <c r="A3036" s="3">
        <v>6826</v>
      </c>
      <c r="B3036" s="3" t="s">
        <v>3277</v>
      </c>
      <c r="C3036" s="3" t="s">
        <v>3277</v>
      </c>
      <c r="D3036" s="3" t="s">
        <v>3018</v>
      </c>
      <c r="I3036" s="19">
        <v>9123</v>
      </c>
      <c r="J3036" s="19" t="s">
        <v>4577</v>
      </c>
    </row>
    <row r="3037" spans="1:10" x14ac:dyDescent="0.2">
      <c r="A3037" s="3">
        <v>6854</v>
      </c>
      <c r="B3037" s="3" t="s">
        <v>3278</v>
      </c>
      <c r="C3037" s="3" t="s">
        <v>3279</v>
      </c>
      <c r="D3037" s="3" t="s">
        <v>3018</v>
      </c>
      <c r="I3037" s="19">
        <v>9125</v>
      </c>
      <c r="J3037" s="19" t="s">
        <v>4577</v>
      </c>
    </row>
    <row r="3038" spans="1:10" x14ac:dyDescent="0.2">
      <c r="A3038" s="3">
        <v>6855</v>
      </c>
      <c r="B3038" s="3" t="s">
        <v>3279</v>
      </c>
      <c r="C3038" s="3" t="s">
        <v>3279</v>
      </c>
      <c r="D3038" s="3" t="s">
        <v>3018</v>
      </c>
      <c r="I3038" s="19">
        <v>9126</v>
      </c>
      <c r="J3038" s="19" t="s">
        <v>4577</v>
      </c>
    </row>
    <row r="3039" spans="1:10" x14ac:dyDescent="0.2">
      <c r="A3039" s="3">
        <v>6833</v>
      </c>
      <c r="B3039" s="3" t="s">
        <v>3280</v>
      </c>
      <c r="C3039" s="3" t="s">
        <v>3280</v>
      </c>
      <c r="D3039" s="3" t="s">
        <v>3018</v>
      </c>
      <c r="I3039" s="19">
        <v>9127</v>
      </c>
      <c r="J3039" s="19" t="s">
        <v>4577</v>
      </c>
    </row>
    <row r="3040" spans="1:10" x14ac:dyDescent="0.2">
      <c r="A3040" s="3">
        <v>6835</v>
      </c>
      <c r="B3040" s="3" t="s">
        <v>3281</v>
      </c>
      <c r="C3040" s="3" t="s">
        <v>3282</v>
      </c>
      <c r="D3040" s="3" t="s">
        <v>3018</v>
      </c>
      <c r="I3040" s="19">
        <v>9200</v>
      </c>
      <c r="J3040" s="19" t="s">
        <v>4577</v>
      </c>
    </row>
    <row r="3041" spans="1:10" x14ac:dyDescent="0.2">
      <c r="A3041" s="3">
        <v>6837</v>
      </c>
      <c r="B3041" s="3" t="s">
        <v>3283</v>
      </c>
      <c r="C3041" s="3" t="s">
        <v>3282</v>
      </c>
      <c r="D3041" s="3" t="s">
        <v>3018</v>
      </c>
      <c r="I3041" s="19">
        <v>9203</v>
      </c>
      <c r="J3041" s="19" t="s">
        <v>4576</v>
      </c>
    </row>
    <row r="3042" spans="1:10" x14ac:dyDescent="0.2">
      <c r="A3042" s="3">
        <v>6837</v>
      </c>
      <c r="B3042" s="3" t="s">
        <v>3284</v>
      </c>
      <c r="C3042" s="3" t="s">
        <v>3282</v>
      </c>
      <c r="D3042" s="3" t="s">
        <v>3018</v>
      </c>
      <c r="I3042" s="19">
        <v>9204</v>
      </c>
      <c r="J3042" s="19" t="s">
        <v>4577</v>
      </c>
    </row>
    <row r="3043" spans="1:10" x14ac:dyDescent="0.2">
      <c r="A3043" s="3">
        <v>6838</v>
      </c>
      <c r="B3043" s="3" t="s">
        <v>3285</v>
      </c>
      <c r="C3043" s="3" t="s">
        <v>3282</v>
      </c>
      <c r="D3043" s="3" t="s">
        <v>3018</v>
      </c>
      <c r="I3043" s="19">
        <v>9205</v>
      </c>
      <c r="J3043" s="19" t="s">
        <v>4576</v>
      </c>
    </row>
    <row r="3044" spans="1:10" x14ac:dyDescent="0.2">
      <c r="A3044" s="3">
        <v>6838</v>
      </c>
      <c r="B3044" s="3" t="s">
        <v>3286</v>
      </c>
      <c r="C3044" s="3" t="s">
        <v>3282</v>
      </c>
      <c r="D3044" s="3" t="s">
        <v>3018</v>
      </c>
      <c r="I3044" s="19">
        <v>9212</v>
      </c>
      <c r="J3044" s="19" t="s">
        <v>4577</v>
      </c>
    </row>
    <row r="3045" spans="1:10" x14ac:dyDescent="0.2">
      <c r="A3045" s="3">
        <v>6839</v>
      </c>
      <c r="B3045" s="3" t="s">
        <v>3287</v>
      </c>
      <c r="C3045" s="3" t="s">
        <v>3282</v>
      </c>
      <c r="D3045" s="3" t="s">
        <v>3018</v>
      </c>
      <c r="I3045" s="19">
        <v>9213</v>
      </c>
      <c r="J3045" s="19" t="s">
        <v>4576</v>
      </c>
    </row>
    <row r="3046" spans="1:10" x14ac:dyDescent="0.2">
      <c r="A3046" s="3">
        <v>6710</v>
      </c>
      <c r="B3046" s="3" t="s">
        <v>3288</v>
      </c>
      <c r="C3046" s="3" t="s">
        <v>3288</v>
      </c>
      <c r="D3046" s="3" t="s">
        <v>3018</v>
      </c>
      <c r="I3046" s="19">
        <v>9214</v>
      </c>
      <c r="J3046" s="19" t="s">
        <v>4576</v>
      </c>
    </row>
    <row r="3047" spans="1:10" x14ac:dyDescent="0.2">
      <c r="A3047" s="3">
        <v>6526</v>
      </c>
      <c r="B3047" s="3" t="s">
        <v>3289</v>
      </c>
      <c r="C3047" s="3" t="s">
        <v>3290</v>
      </c>
      <c r="D3047" s="3" t="s">
        <v>3018</v>
      </c>
      <c r="I3047" s="19">
        <v>9215</v>
      </c>
      <c r="J3047" s="19" t="s">
        <v>4576</v>
      </c>
    </row>
    <row r="3048" spans="1:10" x14ac:dyDescent="0.2">
      <c r="A3048" s="3">
        <v>6527</v>
      </c>
      <c r="B3048" s="3" t="s">
        <v>3291</v>
      </c>
      <c r="C3048" s="3" t="s">
        <v>3290</v>
      </c>
      <c r="D3048" s="3" t="s">
        <v>3018</v>
      </c>
      <c r="I3048" s="19">
        <v>9216</v>
      </c>
      <c r="J3048" s="19" t="s">
        <v>4576</v>
      </c>
    </row>
    <row r="3049" spans="1:10" x14ac:dyDescent="0.2">
      <c r="A3049" s="3">
        <v>6703</v>
      </c>
      <c r="B3049" s="3" t="s">
        <v>3292</v>
      </c>
      <c r="C3049" s="3" t="s">
        <v>3290</v>
      </c>
      <c r="D3049" s="3" t="s">
        <v>3018</v>
      </c>
      <c r="I3049" s="19">
        <v>9217</v>
      </c>
      <c r="J3049" s="19" t="s">
        <v>4576</v>
      </c>
    </row>
    <row r="3050" spans="1:10" x14ac:dyDescent="0.2">
      <c r="A3050" s="3">
        <v>6705</v>
      </c>
      <c r="B3050" s="3" t="s">
        <v>3293</v>
      </c>
      <c r="C3050" s="3" t="s">
        <v>3290</v>
      </c>
      <c r="D3050" s="3" t="s">
        <v>3018</v>
      </c>
      <c r="I3050" s="19">
        <v>9220</v>
      </c>
      <c r="J3050" s="19" t="s">
        <v>4576</v>
      </c>
    </row>
    <row r="3051" spans="1:10" x14ac:dyDescent="0.2">
      <c r="A3051" s="3">
        <v>6707</v>
      </c>
      <c r="B3051" s="3" t="s">
        <v>3294</v>
      </c>
      <c r="C3051" s="3" t="s">
        <v>3290</v>
      </c>
      <c r="D3051" s="3" t="s">
        <v>3018</v>
      </c>
      <c r="I3051" s="19">
        <v>9223</v>
      </c>
      <c r="J3051" s="19" t="s">
        <v>4576</v>
      </c>
    </row>
    <row r="3052" spans="1:10" x14ac:dyDescent="0.2">
      <c r="A3052" s="3">
        <v>6685</v>
      </c>
      <c r="B3052" s="3" t="s">
        <v>3295</v>
      </c>
      <c r="C3052" s="3" t="s">
        <v>3295</v>
      </c>
      <c r="D3052" s="3" t="s">
        <v>3018</v>
      </c>
      <c r="I3052" s="19">
        <v>9225</v>
      </c>
      <c r="J3052" s="19" t="s">
        <v>4576</v>
      </c>
    </row>
    <row r="3053" spans="1:10" x14ac:dyDescent="0.2">
      <c r="A3053" s="3">
        <v>6683</v>
      </c>
      <c r="B3053" s="3" t="s">
        <v>3296</v>
      </c>
      <c r="C3053" s="3" t="s">
        <v>3297</v>
      </c>
      <c r="D3053" s="3" t="s">
        <v>3018</v>
      </c>
      <c r="I3053" s="19">
        <v>9230</v>
      </c>
      <c r="J3053" s="19" t="s">
        <v>4576</v>
      </c>
    </row>
    <row r="3054" spans="1:10" x14ac:dyDescent="0.2">
      <c r="A3054" s="3">
        <v>6684</v>
      </c>
      <c r="B3054" s="3" t="s">
        <v>3297</v>
      </c>
      <c r="C3054" s="3" t="s">
        <v>3297</v>
      </c>
      <c r="D3054" s="3" t="s">
        <v>3018</v>
      </c>
      <c r="I3054" s="19">
        <v>9231</v>
      </c>
      <c r="J3054" s="19" t="s">
        <v>4577</v>
      </c>
    </row>
    <row r="3055" spans="1:10" x14ac:dyDescent="0.2">
      <c r="A3055" s="3">
        <v>6684</v>
      </c>
      <c r="B3055" s="3" t="s">
        <v>3298</v>
      </c>
      <c r="C3055" s="3" t="s">
        <v>3297</v>
      </c>
      <c r="D3055" s="3" t="s">
        <v>3018</v>
      </c>
      <c r="I3055" s="19">
        <v>9240</v>
      </c>
      <c r="J3055" s="19" t="s">
        <v>4576</v>
      </c>
    </row>
    <row r="3056" spans="1:10" x14ac:dyDescent="0.2">
      <c r="A3056" s="3">
        <v>6683</v>
      </c>
      <c r="B3056" s="3" t="s">
        <v>3299</v>
      </c>
      <c r="C3056" s="3" t="s">
        <v>3299</v>
      </c>
      <c r="D3056" s="3" t="s">
        <v>3018</v>
      </c>
      <c r="I3056" s="19">
        <v>9242</v>
      </c>
      <c r="J3056" s="19" t="s">
        <v>4576</v>
      </c>
    </row>
    <row r="3057" spans="1:10" x14ac:dyDescent="0.2">
      <c r="A3057" s="3">
        <v>6675</v>
      </c>
      <c r="B3057" s="3" t="s">
        <v>3300</v>
      </c>
      <c r="C3057" s="3" t="s">
        <v>3300</v>
      </c>
      <c r="D3057" s="3" t="s">
        <v>3018</v>
      </c>
      <c r="I3057" s="19">
        <v>9243</v>
      </c>
      <c r="J3057" s="19" t="s">
        <v>4576</v>
      </c>
    </row>
    <row r="3058" spans="1:10" x14ac:dyDescent="0.2">
      <c r="A3058" s="3">
        <v>6676</v>
      </c>
      <c r="B3058" s="3" t="s">
        <v>3301</v>
      </c>
      <c r="C3058" s="3" t="s">
        <v>3300</v>
      </c>
      <c r="D3058" s="3" t="s">
        <v>3018</v>
      </c>
      <c r="I3058" s="19">
        <v>9244</v>
      </c>
      <c r="J3058" s="19" t="s">
        <v>4576</v>
      </c>
    </row>
    <row r="3059" spans="1:10" x14ac:dyDescent="0.2">
      <c r="A3059" s="3">
        <v>6690</v>
      </c>
      <c r="B3059" s="3" t="s">
        <v>3302</v>
      </c>
      <c r="C3059" s="3" t="s">
        <v>3300</v>
      </c>
      <c r="D3059" s="3" t="s">
        <v>3018</v>
      </c>
      <c r="I3059" s="19">
        <v>9245</v>
      </c>
      <c r="J3059" s="19" t="s">
        <v>4576</v>
      </c>
    </row>
    <row r="3060" spans="1:10" x14ac:dyDescent="0.2">
      <c r="A3060" s="3">
        <v>6690</v>
      </c>
      <c r="B3060" s="3" t="s">
        <v>3303</v>
      </c>
      <c r="C3060" s="3" t="s">
        <v>3300</v>
      </c>
      <c r="D3060" s="3" t="s">
        <v>3018</v>
      </c>
      <c r="I3060" s="19">
        <v>9246</v>
      </c>
      <c r="J3060" s="19" t="s">
        <v>4576</v>
      </c>
    </row>
    <row r="3061" spans="1:10" x14ac:dyDescent="0.2">
      <c r="A3061" s="3">
        <v>6682</v>
      </c>
      <c r="B3061" s="3" t="s">
        <v>3304</v>
      </c>
      <c r="C3061" s="3" t="s">
        <v>3304</v>
      </c>
      <c r="D3061" s="3" t="s">
        <v>3018</v>
      </c>
      <c r="I3061" s="19">
        <v>9247</v>
      </c>
      <c r="J3061" s="19" t="s">
        <v>4576</v>
      </c>
    </row>
    <row r="3062" spans="1:10" x14ac:dyDescent="0.2">
      <c r="A3062" s="3">
        <v>6673</v>
      </c>
      <c r="B3062" s="3" t="s">
        <v>3305</v>
      </c>
      <c r="C3062" s="3" t="s">
        <v>3305</v>
      </c>
      <c r="D3062" s="3" t="s">
        <v>3018</v>
      </c>
      <c r="I3062" s="19">
        <v>9248</v>
      </c>
      <c r="J3062" s="19" t="s">
        <v>4576</v>
      </c>
    </row>
    <row r="3063" spans="1:10" x14ac:dyDescent="0.2">
      <c r="A3063" s="3">
        <v>6674</v>
      </c>
      <c r="B3063" s="3" t="s">
        <v>3306</v>
      </c>
      <c r="C3063" s="3" t="s">
        <v>3305</v>
      </c>
      <c r="D3063" s="3" t="s">
        <v>3018</v>
      </c>
      <c r="I3063" s="19">
        <v>9249</v>
      </c>
      <c r="J3063" s="19" t="s">
        <v>4576</v>
      </c>
    </row>
    <row r="3064" spans="1:10" x14ac:dyDescent="0.2">
      <c r="A3064" s="3">
        <v>6674</v>
      </c>
      <c r="B3064" s="3" t="s">
        <v>3307</v>
      </c>
      <c r="C3064" s="3" t="s">
        <v>3305</v>
      </c>
      <c r="D3064" s="3" t="s">
        <v>3018</v>
      </c>
      <c r="I3064" s="19">
        <v>9300</v>
      </c>
      <c r="J3064" s="19" t="s">
        <v>4577</v>
      </c>
    </row>
    <row r="3065" spans="1:10" x14ac:dyDescent="0.2">
      <c r="A3065" s="3">
        <v>6677</v>
      </c>
      <c r="B3065" s="3" t="s">
        <v>3308</v>
      </c>
      <c r="C3065" s="3" t="s">
        <v>3305</v>
      </c>
      <c r="D3065" s="3" t="s">
        <v>3018</v>
      </c>
      <c r="I3065" s="19">
        <v>9304</v>
      </c>
      <c r="J3065" s="19" t="s">
        <v>4577</v>
      </c>
    </row>
    <row r="3066" spans="1:10" x14ac:dyDescent="0.2">
      <c r="A3066" s="3">
        <v>6677</v>
      </c>
      <c r="B3066" s="3" t="s">
        <v>3309</v>
      </c>
      <c r="C3066" s="3" t="s">
        <v>3305</v>
      </c>
      <c r="D3066" s="3" t="s">
        <v>3018</v>
      </c>
      <c r="I3066" s="19">
        <v>9305</v>
      </c>
      <c r="J3066" s="19" t="s">
        <v>4577</v>
      </c>
    </row>
    <row r="3067" spans="1:10" x14ac:dyDescent="0.2">
      <c r="A3067" s="3">
        <v>6678</v>
      </c>
      <c r="B3067" s="3" t="s">
        <v>3310</v>
      </c>
      <c r="C3067" s="3" t="s">
        <v>3305</v>
      </c>
      <c r="D3067" s="3" t="s">
        <v>3018</v>
      </c>
      <c r="I3067" s="19">
        <v>9306</v>
      </c>
      <c r="J3067" s="19" t="s">
        <v>4577</v>
      </c>
    </row>
    <row r="3068" spans="1:10" x14ac:dyDescent="0.2">
      <c r="A3068" s="3">
        <v>6678</v>
      </c>
      <c r="B3068" s="3" t="s">
        <v>3311</v>
      </c>
      <c r="C3068" s="3" t="s">
        <v>3305</v>
      </c>
      <c r="D3068" s="3" t="s">
        <v>3018</v>
      </c>
      <c r="I3068" s="19">
        <v>9308</v>
      </c>
      <c r="J3068" s="19" t="s">
        <v>4576</v>
      </c>
    </row>
    <row r="3069" spans="1:10" x14ac:dyDescent="0.2">
      <c r="A3069" s="3">
        <v>6678</v>
      </c>
      <c r="B3069" s="3" t="s">
        <v>3312</v>
      </c>
      <c r="C3069" s="3" t="s">
        <v>3305</v>
      </c>
      <c r="D3069" s="3" t="s">
        <v>3018</v>
      </c>
      <c r="I3069" s="19">
        <v>9312</v>
      </c>
      <c r="J3069" s="19" t="s">
        <v>4576</v>
      </c>
    </row>
    <row r="3070" spans="1:10" x14ac:dyDescent="0.2">
      <c r="A3070" s="3">
        <v>6692</v>
      </c>
      <c r="B3070" s="3" t="s">
        <v>3313</v>
      </c>
      <c r="C3070" s="3" t="s">
        <v>3314</v>
      </c>
      <c r="D3070" s="3" t="s">
        <v>3018</v>
      </c>
      <c r="I3070" s="19">
        <v>9313</v>
      </c>
      <c r="J3070" s="19" t="s">
        <v>4576</v>
      </c>
    </row>
    <row r="3071" spans="1:10" x14ac:dyDescent="0.2">
      <c r="A3071" s="3">
        <v>6692</v>
      </c>
      <c r="B3071" s="3" t="s">
        <v>3315</v>
      </c>
      <c r="C3071" s="3" t="s">
        <v>3314</v>
      </c>
      <c r="D3071" s="3" t="s">
        <v>3018</v>
      </c>
      <c r="I3071" s="19">
        <v>9314</v>
      </c>
      <c r="J3071" s="19" t="s">
        <v>4576</v>
      </c>
    </row>
    <row r="3072" spans="1:10" x14ac:dyDescent="0.2">
      <c r="A3072" s="3">
        <v>6693</v>
      </c>
      <c r="B3072" s="3" t="s">
        <v>3316</v>
      </c>
      <c r="C3072" s="3" t="s">
        <v>3314</v>
      </c>
      <c r="D3072" s="3" t="s">
        <v>3018</v>
      </c>
      <c r="I3072" s="19">
        <v>9315</v>
      </c>
      <c r="J3072" s="19" t="s">
        <v>4576</v>
      </c>
    </row>
    <row r="3073" spans="1:10" x14ac:dyDescent="0.2">
      <c r="A3073" s="3">
        <v>6694</v>
      </c>
      <c r="B3073" s="3" t="s">
        <v>3317</v>
      </c>
      <c r="C3073" s="3" t="s">
        <v>3314</v>
      </c>
      <c r="D3073" s="3" t="s">
        <v>3018</v>
      </c>
      <c r="I3073" s="19">
        <v>9320</v>
      </c>
      <c r="J3073" s="19" t="s">
        <v>4576</v>
      </c>
    </row>
    <row r="3074" spans="1:10" x14ac:dyDescent="0.2">
      <c r="A3074" s="3">
        <v>6695</v>
      </c>
      <c r="B3074" s="3" t="s">
        <v>3318</v>
      </c>
      <c r="C3074" s="3" t="s">
        <v>3314</v>
      </c>
      <c r="D3074" s="3" t="s">
        <v>3018</v>
      </c>
      <c r="I3074" s="19">
        <v>9322</v>
      </c>
      <c r="J3074" s="19" t="s">
        <v>4576</v>
      </c>
    </row>
    <row r="3075" spans="1:10" x14ac:dyDescent="0.2">
      <c r="A3075" s="3">
        <v>6695</v>
      </c>
      <c r="B3075" s="3" t="s">
        <v>3319</v>
      </c>
      <c r="C3075" s="3" t="s">
        <v>3314</v>
      </c>
      <c r="D3075" s="3" t="s">
        <v>3018</v>
      </c>
      <c r="I3075" s="19">
        <v>9323</v>
      </c>
      <c r="J3075" s="19" t="s">
        <v>4577</v>
      </c>
    </row>
    <row r="3076" spans="1:10" x14ac:dyDescent="0.2">
      <c r="A3076" s="3">
        <v>6696</v>
      </c>
      <c r="B3076" s="3" t="s">
        <v>3320</v>
      </c>
      <c r="C3076" s="3" t="s">
        <v>3314</v>
      </c>
      <c r="D3076" s="3" t="s">
        <v>3018</v>
      </c>
      <c r="I3076" s="19">
        <v>9325</v>
      </c>
      <c r="J3076" s="19" t="s">
        <v>4576</v>
      </c>
    </row>
    <row r="3077" spans="1:10" x14ac:dyDescent="0.2">
      <c r="A3077" s="3">
        <v>6670</v>
      </c>
      <c r="B3077" s="3" t="s">
        <v>3321</v>
      </c>
      <c r="C3077" s="3" t="s">
        <v>3322</v>
      </c>
      <c r="D3077" s="3" t="s">
        <v>3018</v>
      </c>
      <c r="I3077" s="19">
        <v>9326</v>
      </c>
      <c r="J3077" s="19" t="s">
        <v>4577</v>
      </c>
    </row>
    <row r="3078" spans="1:10" x14ac:dyDescent="0.2">
      <c r="A3078" s="3">
        <v>6672</v>
      </c>
      <c r="B3078" s="3" t="s">
        <v>3323</v>
      </c>
      <c r="C3078" s="3" t="s">
        <v>3322</v>
      </c>
      <c r="D3078" s="3" t="s">
        <v>3018</v>
      </c>
      <c r="I3078" s="19">
        <v>9327</v>
      </c>
      <c r="J3078" s="19" t="s">
        <v>4577</v>
      </c>
    </row>
    <row r="3079" spans="1:10" x14ac:dyDescent="0.2">
      <c r="A3079" s="3">
        <v>6809</v>
      </c>
      <c r="B3079" s="3" t="s">
        <v>3242</v>
      </c>
      <c r="C3079" s="3" t="s">
        <v>3324</v>
      </c>
      <c r="D3079" s="3" t="s">
        <v>3018</v>
      </c>
      <c r="I3079" s="19">
        <v>9400</v>
      </c>
      <c r="J3079" s="19" t="s">
        <v>4577</v>
      </c>
    </row>
    <row r="3080" spans="1:10" x14ac:dyDescent="0.2">
      <c r="A3080" s="3">
        <v>6652</v>
      </c>
      <c r="B3080" s="3" t="s">
        <v>3325</v>
      </c>
      <c r="C3080" s="3" t="s">
        <v>3326</v>
      </c>
      <c r="D3080" s="3" t="s">
        <v>3018</v>
      </c>
      <c r="I3080" s="19">
        <v>9402</v>
      </c>
      <c r="J3080" s="19" t="s">
        <v>4577</v>
      </c>
    </row>
    <row r="3081" spans="1:10" x14ac:dyDescent="0.2">
      <c r="A3081" s="3">
        <v>6653</v>
      </c>
      <c r="B3081" s="3" t="s">
        <v>3327</v>
      </c>
      <c r="C3081" s="3" t="s">
        <v>3326</v>
      </c>
      <c r="D3081" s="3" t="s">
        <v>3018</v>
      </c>
      <c r="I3081" s="19">
        <v>9403</v>
      </c>
      <c r="J3081" s="19" t="s">
        <v>4577</v>
      </c>
    </row>
    <row r="3082" spans="1:10" x14ac:dyDescent="0.2">
      <c r="A3082" s="3">
        <v>6654</v>
      </c>
      <c r="B3082" s="3" t="s">
        <v>3328</v>
      </c>
      <c r="C3082" s="3" t="s">
        <v>3326</v>
      </c>
      <c r="D3082" s="3" t="s">
        <v>3018</v>
      </c>
      <c r="I3082" s="19">
        <v>9404</v>
      </c>
      <c r="J3082" s="19" t="s">
        <v>4577</v>
      </c>
    </row>
    <row r="3083" spans="1:10" x14ac:dyDescent="0.2">
      <c r="A3083" s="3">
        <v>6655</v>
      </c>
      <c r="B3083" s="3" t="s">
        <v>3329</v>
      </c>
      <c r="C3083" s="3" t="s">
        <v>3330</v>
      </c>
      <c r="D3083" s="3" t="s">
        <v>3018</v>
      </c>
      <c r="I3083" s="19">
        <v>9405</v>
      </c>
      <c r="J3083" s="19" t="s">
        <v>4577</v>
      </c>
    </row>
    <row r="3084" spans="1:10" x14ac:dyDescent="0.2">
      <c r="A3084" s="3">
        <v>6655</v>
      </c>
      <c r="B3084" s="3" t="s">
        <v>3331</v>
      </c>
      <c r="C3084" s="3" t="s">
        <v>3330</v>
      </c>
      <c r="D3084" s="3" t="s">
        <v>3018</v>
      </c>
      <c r="I3084" s="19">
        <v>9410</v>
      </c>
      <c r="J3084" s="19" t="s">
        <v>4577</v>
      </c>
    </row>
    <row r="3085" spans="1:10" x14ac:dyDescent="0.2">
      <c r="A3085" s="3">
        <v>6655</v>
      </c>
      <c r="B3085" s="3" t="s">
        <v>3332</v>
      </c>
      <c r="C3085" s="3" t="s">
        <v>3330</v>
      </c>
      <c r="D3085" s="3" t="s">
        <v>3018</v>
      </c>
      <c r="I3085" s="19">
        <v>9411</v>
      </c>
      <c r="J3085" s="19" t="s">
        <v>4577</v>
      </c>
    </row>
    <row r="3086" spans="1:10" x14ac:dyDescent="0.2">
      <c r="A3086" s="3">
        <v>6656</v>
      </c>
      <c r="B3086" s="3" t="s">
        <v>3333</v>
      </c>
      <c r="C3086" s="3" t="s">
        <v>3330</v>
      </c>
      <c r="D3086" s="3" t="s">
        <v>3018</v>
      </c>
      <c r="I3086" s="19">
        <v>9413</v>
      </c>
      <c r="J3086" s="19" t="s">
        <v>4577</v>
      </c>
    </row>
    <row r="3087" spans="1:10" x14ac:dyDescent="0.2">
      <c r="A3087" s="3">
        <v>6657</v>
      </c>
      <c r="B3087" s="3" t="s">
        <v>3334</v>
      </c>
      <c r="C3087" s="3" t="s">
        <v>3330</v>
      </c>
      <c r="D3087" s="3" t="s">
        <v>3018</v>
      </c>
      <c r="I3087" s="19">
        <v>9422</v>
      </c>
      <c r="J3087" s="19" t="s">
        <v>4577</v>
      </c>
    </row>
    <row r="3088" spans="1:10" x14ac:dyDescent="0.2">
      <c r="A3088" s="3">
        <v>6658</v>
      </c>
      <c r="B3088" s="3" t="s">
        <v>3335</v>
      </c>
      <c r="C3088" s="3" t="s">
        <v>3330</v>
      </c>
      <c r="D3088" s="3" t="s">
        <v>3018</v>
      </c>
      <c r="I3088" s="19">
        <v>9423</v>
      </c>
      <c r="J3088" s="19" t="s">
        <v>4577</v>
      </c>
    </row>
    <row r="3089" spans="1:10" x14ac:dyDescent="0.2">
      <c r="A3089" s="3">
        <v>6659</v>
      </c>
      <c r="B3089" s="3" t="s">
        <v>3336</v>
      </c>
      <c r="C3089" s="3" t="s">
        <v>3330</v>
      </c>
      <c r="D3089" s="3" t="s">
        <v>3018</v>
      </c>
      <c r="I3089" s="19">
        <v>9424</v>
      </c>
      <c r="J3089" s="19" t="s">
        <v>4577</v>
      </c>
    </row>
    <row r="3090" spans="1:10" x14ac:dyDescent="0.2">
      <c r="A3090" s="3">
        <v>6659</v>
      </c>
      <c r="B3090" s="3" t="s">
        <v>3337</v>
      </c>
      <c r="C3090" s="3" t="s">
        <v>3330</v>
      </c>
      <c r="D3090" s="3" t="s">
        <v>3018</v>
      </c>
      <c r="I3090" s="19">
        <v>9425</v>
      </c>
      <c r="J3090" s="19" t="s">
        <v>4577</v>
      </c>
    </row>
    <row r="3091" spans="1:10" x14ac:dyDescent="0.2">
      <c r="A3091" s="3">
        <v>6571</v>
      </c>
      <c r="B3091" s="3" t="s">
        <v>3338</v>
      </c>
      <c r="C3091" s="3" t="s">
        <v>3339</v>
      </c>
      <c r="D3091" s="3" t="s">
        <v>3018</v>
      </c>
      <c r="I3091" s="19">
        <v>9426</v>
      </c>
      <c r="J3091" s="19" t="s">
        <v>4577</v>
      </c>
    </row>
    <row r="3092" spans="1:10" x14ac:dyDescent="0.2">
      <c r="A3092" s="3">
        <v>6572</v>
      </c>
      <c r="B3092" s="3" t="s">
        <v>3340</v>
      </c>
      <c r="C3092" s="3" t="s">
        <v>3339</v>
      </c>
      <c r="D3092" s="3" t="s">
        <v>3018</v>
      </c>
      <c r="I3092" s="19">
        <v>9427</v>
      </c>
      <c r="J3092" s="19" t="s">
        <v>4577</v>
      </c>
    </row>
    <row r="3093" spans="1:10" x14ac:dyDescent="0.2">
      <c r="A3093" s="3">
        <v>6573</v>
      </c>
      <c r="B3093" s="3" t="s">
        <v>3341</v>
      </c>
      <c r="C3093" s="3" t="s">
        <v>3339</v>
      </c>
      <c r="D3093" s="3" t="s">
        <v>3018</v>
      </c>
      <c r="I3093" s="19">
        <v>9428</v>
      </c>
      <c r="J3093" s="19" t="s">
        <v>4577</v>
      </c>
    </row>
    <row r="3094" spans="1:10" x14ac:dyDescent="0.2">
      <c r="A3094" s="3">
        <v>6574</v>
      </c>
      <c r="B3094" s="3" t="s">
        <v>3342</v>
      </c>
      <c r="C3094" s="3" t="s">
        <v>3339</v>
      </c>
      <c r="D3094" s="3" t="s">
        <v>3018</v>
      </c>
      <c r="I3094" s="19">
        <v>9430</v>
      </c>
      <c r="J3094" s="19" t="s">
        <v>4577</v>
      </c>
    </row>
    <row r="3095" spans="1:10" x14ac:dyDescent="0.2">
      <c r="A3095" s="3">
        <v>6575</v>
      </c>
      <c r="B3095" s="3" t="s">
        <v>3343</v>
      </c>
      <c r="C3095" s="3" t="s">
        <v>3339</v>
      </c>
      <c r="D3095" s="3" t="s">
        <v>3018</v>
      </c>
      <c r="I3095" s="19">
        <v>9434</v>
      </c>
      <c r="J3095" s="19" t="s">
        <v>4577</v>
      </c>
    </row>
    <row r="3096" spans="1:10" x14ac:dyDescent="0.2">
      <c r="A3096" s="3">
        <v>6575</v>
      </c>
      <c r="B3096" s="3" t="s">
        <v>3344</v>
      </c>
      <c r="C3096" s="3" t="s">
        <v>3339</v>
      </c>
      <c r="D3096" s="3" t="s">
        <v>3018</v>
      </c>
      <c r="I3096" s="19">
        <v>9435</v>
      </c>
      <c r="J3096" s="19" t="s">
        <v>4577</v>
      </c>
    </row>
    <row r="3097" spans="1:10" x14ac:dyDescent="0.2">
      <c r="A3097" s="3">
        <v>6576</v>
      </c>
      <c r="B3097" s="3" t="s">
        <v>3345</v>
      </c>
      <c r="C3097" s="3" t="s">
        <v>3339</v>
      </c>
      <c r="D3097" s="3" t="s">
        <v>3018</v>
      </c>
      <c r="I3097" s="19">
        <v>9436</v>
      </c>
      <c r="J3097" s="19" t="s">
        <v>4577</v>
      </c>
    </row>
    <row r="3098" spans="1:10" x14ac:dyDescent="0.2">
      <c r="A3098" s="3">
        <v>6577</v>
      </c>
      <c r="B3098" s="3" t="s">
        <v>3346</v>
      </c>
      <c r="C3098" s="3" t="s">
        <v>3339</v>
      </c>
      <c r="D3098" s="3" t="s">
        <v>3018</v>
      </c>
      <c r="I3098" s="19">
        <v>9437</v>
      </c>
      <c r="J3098" s="19" t="s">
        <v>4577</v>
      </c>
    </row>
    <row r="3099" spans="1:10" x14ac:dyDescent="0.2">
      <c r="A3099" s="3">
        <v>6578</v>
      </c>
      <c r="B3099" s="3" t="s">
        <v>3347</v>
      </c>
      <c r="C3099" s="3" t="s">
        <v>3339</v>
      </c>
      <c r="D3099" s="3" t="s">
        <v>3018</v>
      </c>
      <c r="I3099" s="19">
        <v>9442</v>
      </c>
      <c r="J3099" s="19" t="s">
        <v>4577</v>
      </c>
    </row>
    <row r="3100" spans="1:10" x14ac:dyDescent="0.2">
      <c r="A3100" s="3">
        <v>6579</v>
      </c>
      <c r="B3100" s="3" t="s">
        <v>3348</v>
      </c>
      <c r="C3100" s="3" t="s">
        <v>3339</v>
      </c>
      <c r="D3100" s="3" t="s">
        <v>3018</v>
      </c>
      <c r="I3100" s="19">
        <v>9443</v>
      </c>
      <c r="J3100" s="19" t="s">
        <v>4577</v>
      </c>
    </row>
    <row r="3101" spans="1:10" x14ac:dyDescent="0.2">
      <c r="A3101" s="3">
        <v>6594</v>
      </c>
      <c r="B3101" s="3" t="s">
        <v>3349</v>
      </c>
      <c r="C3101" s="3" t="s">
        <v>3339</v>
      </c>
      <c r="D3101" s="3" t="s">
        <v>3018</v>
      </c>
      <c r="I3101" s="19">
        <v>9444</v>
      </c>
      <c r="J3101" s="19" t="s">
        <v>4577</v>
      </c>
    </row>
    <row r="3102" spans="1:10" x14ac:dyDescent="0.2">
      <c r="A3102" s="3">
        <v>6631</v>
      </c>
      <c r="B3102" s="3" t="s">
        <v>3350</v>
      </c>
      <c r="C3102" s="3" t="s">
        <v>3351</v>
      </c>
      <c r="D3102" s="3" t="s">
        <v>3018</v>
      </c>
      <c r="I3102" s="19">
        <v>9445</v>
      </c>
      <c r="J3102" s="19" t="s">
        <v>4577</v>
      </c>
    </row>
    <row r="3103" spans="1:10" x14ac:dyDescent="0.2">
      <c r="A3103" s="3">
        <v>6632</v>
      </c>
      <c r="B3103" s="3" t="s">
        <v>3352</v>
      </c>
      <c r="C3103" s="3" t="s">
        <v>3351</v>
      </c>
      <c r="D3103" s="3" t="s">
        <v>3018</v>
      </c>
      <c r="I3103" s="19">
        <v>9450</v>
      </c>
      <c r="J3103" s="19" t="s">
        <v>4577</v>
      </c>
    </row>
    <row r="3104" spans="1:10" x14ac:dyDescent="0.2">
      <c r="A3104" s="3">
        <v>6633</v>
      </c>
      <c r="B3104" s="3" t="s">
        <v>3101</v>
      </c>
      <c r="C3104" s="3" t="s">
        <v>3351</v>
      </c>
      <c r="D3104" s="3" t="s">
        <v>3018</v>
      </c>
      <c r="I3104" s="19">
        <v>9451</v>
      </c>
      <c r="J3104" s="19" t="s">
        <v>4577</v>
      </c>
    </row>
    <row r="3105" spans="1:10" x14ac:dyDescent="0.2">
      <c r="A3105" s="3">
        <v>6634</v>
      </c>
      <c r="B3105" s="3" t="s">
        <v>3353</v>
      </c>
      <c r="C3105" s="3" t="s">
        <v>3351</v>
      </c>
      <c r="D3105" s="3" t="s">
        <v>3018</v>
      </c>
      <c r="I3105" s="19">
        <v>9452</v>
      </c>
      <c r="J3105" s="19" t="s">
        <v>4577</v>
      </c>
    </row>
    <row r="3106" spans="1:10" x14ac:dyDescent="0.2">
      <c r="A3106" s="3">
        <v>6635</v>
      </c>
      <c r="B3106" s="3" t="s">
        <v>3354</v>
      </c>
      <c r="C3106" s="3" t="s">
        <v>3351</v>
      </c>
      <c r="D3106" s="3" t="s">
        <v>3018</v>
      </c>
      <c r="I3106" s="19">
        <v>9453</v>
      </c>
      <c r="J3106" s="19" t="s">
        <v>4577</v>
      </c>
    </row>
    <row r="3107" spans="1:10" x14ac:dyDescent="0.2">
      <c r="A3107" s="3">
        <v>6636</v>
      </c>
      <c r="B3107" s="3" t="s">
        <v>3355</v>
      </c>
      <c r="C3107" s="3" t="s">
        <v>3351</v>
      </c>
      <c r="D3107" s="3" t="s">
        <v>3018</v>
      </c>
      <c r="I3107" s="19">
        <v>9462</v>
      </c>
      <c r="J3107" s="19" t="s">
        <v>4570</v>
      </c>
    </row>
    <row r="3108" spans="1:10" x14ac:dyDescent="0.2">
      <c r="A3108" s="3">
        <v>6637</v>
      </c>
      <c r="B3108" s="3" t="s">
        <v>3356</v>
      </c>
      <c r="C3108" s="3" t="s">
        <v>3351</v>
      </c>
      <c r="D3108" s="3" t="s">
        <v>3018</v>
      </c>
      <c r="I3108" s="19">
        <v>9463</v>
      </c>
      <c r="J3108" s="19" t="s">
        <v>4570</v>
      </c>
    </row>
    <row r="3109" spans="1:10" x14ac:dyDescent="0.2">
      <c r="A3109" s="3">
        <v>1860</v>
      </c>
      <c r="B3109" s="3" t="s">
        <v>3357</v>
      </c>
      <c r="C3109" s="3" t="s">
        <v>3357</v>
      </c>
      <c r="D3109" s="3" t="s">
        <v>3358</v>
      </c>
      <c r="I3109" s="19">
        <v>9464</v>
      </c>
      <c r="J3109" s="19" t="s">
        <v>4570</v>
      </c>
    </row>
    <row r="3110" spans="1:10" x14ac:dyDescent="0.2">
      <c r="A3110" s="3">
        <v>1880</v>
      </c>
      <c r="B3110" s="3" t="s">
        <v>3359</v>
      </c>
      <c r="C3110" s="3" t="s">
        <v>3359</v>
      </c>
      <c r="D3110" s="3" t="s">
        <v>3358</v>
      </c>
      <c r="I3110" s="19">
        <v>9465</v>
      </c>
      <c r="J3110" s="19" t="s">
        <v>4570</v>
      </c>
    </row>
    <row r="3111" spans="1:10" x14ac:dyDescent="0.2">
      <c r="A3111" s="3">
        <v>1880</v>
      </c>
      <c r="B3111" s="3" t="s">
        <v>3360</v>
      </c>
      <c r="C3111" s="3" t="s">
        <v>3359</v>
      </c>
      <c r="D3111" s="3" t="s">
        <v>3358</v>
      </c>
      <c r="I3111" s="19">
        <v>9466</v>
      </c>
      <c r="J3111" s="19" t="s">
        <v>4570</v>
      </c>
    </row>
    <row r="3112" spans="1:10" x14ac:dyDescent="0.2">
      <c r="A3112" s="3">
        <v>1880</v>
      </c>
      <c r="B3112" s="3" t="s">
        <v>3361</v>
      </c>
      <c r="C3112" s="3" t="s">
        <v>3359</v>
      </c>
      <c r="D3112" s="3" t="s">
        <v>3358</v>
      </c>
      <c r="I3112" s="19">
        <v>9467</v>
      </c>
      <c r="J3112" s="19" t="s">
        <v>4570</v>
      </c>
    </row>
    <row r="3113" spans="1:10" x14ac:dyDescent="0.2">
      <c r="A3113" s="3">
        <v>1880</v>
      </c>
      <c r="B3113" s="3" t="s">
        <v>3362</v>
      </c>
      <c r="C3113" s="3" t="s">
        <v>3359</v>
      </c>
      <c r="D3113" s="3" t="s">
        <v>3358</v>
      </c>
      <c r="I3113" s="19">
        <v>9468</v>
      </c>
      <c r="J3113" s="19" t="s">
        <v>4570</v>
      </c>
    </row>
    <row r="3114" spans="1:10" x14ac:dyDescent="0.2">
      <c r="A3114" s="3">
        <v>1880</v>
      </c>
      <c r="B3114" s="3" t="s">
        <v>3363</v>
      </c>
      <c r="C3114" s="3" t="s">
        <v>3359</v>
      </c>
      <c r="D3114" s="3" t="s">
        <v>3358</v>
      </c>
      <c r="I3114" s="19">
        <v>9469</v>
      </c>
      <c r="J3114" s="19" t="s">
        <v>4570</v>
      </c>
    </row>
    <row r="3115" spans="1:10" x14ac:dyDescent="0.2">
      <c r="A3115" s="3">
        <v>1846</v>
      </c>
      <c r="B3115" s="3" t="s">
        <v>3364</v>
      </c>
      <c r="C3115" s="3" t="s">
        <v>3364</v>
      </c>
      <c r="D3115" s="3" t="s">
        <v>3358</v>
      </c>
      <c r="I3115" s="19">
        <v>9470</v>
      </c>
      <c r="J3115" s="19" t="s">
        <v>4570</v>
      </c>
    </row>
    <row r="3116" spans="1:10" x14ac:dyDescent="0.2">
      <c r="A3116" s="3">
        <v>1856</v>
      </c>
      <c r="B3116" s="3" t="s">
        <v>3365</v>
      </c>
      <c r="C3116" s="3" t="s">
        <v>3365</v>
      </c>
      <c r="D3116" s="3" t="s">
        <v>3358</v>
      </c>
      <c r="I3116" s="19">
        <v>9472</v>
      </c>
      <c r="J3116" s="19" t="s">
        <v>4570</v>
      </c>
    </row>
    <row r="3117" spans="1:10" x14ac:dyDescent="0.2">
      <c r="A3117" s="3">
        <v>1882</v>
      </c>
      <c r="B3117" s="3" t="s">
        <v>3366</v>
      </c>
      <c r="C3117" s="3" t="s">
        <v>3366</v>
      </c>
      <c r="D3117" s="3" t="s">
        <v>3358</v>
      </c>
      <c r="I3117" s="19">
        <v>9473</v>
      </c>
      <c r="J3117" s="19" t="s">
        <v>4570</v>
      </c>
    </row>
    <row r="3118" spans="1:10" x14ac:dyDescent="0.2">
      <c r="A3118" s="3">
        <v>1892</v>
      </c>
      <c r="B3118" s="3" t="s">
        <v>3367</v>
      </c>
      <c r="C3118" s="3" t="s">
        <v>3368</v>
      </c>
      <c r="D3118" s="3" t="s">
        <v>3358</v>
      </c>
      <c r="I3118" s="19">
        <v>9475</v>
      </c>
      <c r="J3118" s="19" t="s">
        <v>4570</v>
      </c>
    </row>
    <row r="3119" spans="1:10" x14ac:dyDescent="0.2">
      <c r="A3119" s="3">
        <v>1892</v>
      </c>
      <c r="B3119" s="3" t="s">
        <v>3369</v>
      </c>
      <c r="C3119" s="3" t="s">
        <v>3368</v>
      </c>
      <c r="D3119" s="3" t="s">
        <v>3358</v>
      </c>
      <c r="I3119" s="19">
        <v>9476</v>
      </c>
      <c r="J3119" s="19" t="s">
        <v>4570</v>
      </c>
    </row>
    <row r="3120" spans="1:10" x14ac:dyDescent="0.2">
      <c r="A3120" s="3">
        <v>1892</v>
      </c>
      <c r="B3120" s="3" t="s">
        <v>3370</v>
      </c>
      <c r="C3120" s="3" t="s">
        <v>3368</v>
      </c>
      <c r="D3120" s="3" t="s">
        <v>3358</v>
      </c>
      <c r="I3120" s="19">
        <v>9477</v>
      </c>
      <c r="J3120" s="19" t="s">
        <v>4570</v>
      </c>
    </row>
    <row r="3121" spans="1:10" x14ac:dyDescent="0.2">
      <c r="A3121" s="3">
        <v>1854</v>
      </c>
      <c r="B3121" s="3" t="s">
        <v>3371</v>
      </c>
      <c r="C3121" s="3" t="s">
        <v>3371</v>
      </c>
      <c r="D3121" s="3" t="s">
        <v>3358</v>
      </c>
      <c r="I3121" s="19">
        <v>9478</v>
      </c>
      <c r="J3121" s="19" t="s">
        <v>4570</v>
      </c>
    </row>
    <row r="3122" spans="1:10" x14ac:dyDescent="0.2">
      <c r="A3122" s="3">
        <v>1845</v>
      </c>
      <c r="B3122" s="3" t="s">
        <v>3372</v>
      </c>
      <c r="C3122" s="3" t="s">
        <v>3372</v>
      </c>
      <c r="D3122" s="3" t="s">
        <v>3358</v>
      </c>
      <c r="I3122" s="19">
        <v>9479</v>
      </c>
      <c r="J3122" s="19" t="s">
        <v>4570</v>
      </c>
    </row>
    <row r="3123" spans="1:10" x14ac:dyDescent="0.2">
      <c r="A3123" s="3">
        <v>1867</v>
      </c>
      <c r="B3123" s="3" t="s">
        <v>3373</v>
      </c>
      <c r="C3123" s="3" t="s">
        <v>3374</v>
      </c>
      <c r="D3123" s="3" t="s">
        <v>3358</v>
      </c>
      <c r="I3123" s="19">
        <v>9500</v>
      </c>
      <c r="J3123" s="19" t="s">
        <v>4576</v>
      </c>
    </row>
    <row r="3124" spans="1:10" x14ac:dyDescent="0.2">
      <c r="A3124" s="3">
        <v>1867</v>
      </c>
      <c r="B3124" s="3" t="s">
        <v>3375</v>
      </c>
      <c r="C3124" s="3" t="s">
        <v>3374</v>
      </c>
      <c r="D3124" s="3" t="s">
        <v>3358</v>
      </c>
      <c r="I3124" s="19">
        <v>9502</v>
      </c>
      <c r="J3124" s="19" t="s">
        <v>4576</v>
      </c>
    </row>
    <row r="3125" spans="1:10" x14ac:dyDescent="0.2">
      <c r="A3125" s="3">
        <v>1867</v>
      </c>
      <c r="B3125" s="3" t="s">
        <v>3376</v>
      </c>
      <c r="C3125" s="3" t="s">
        <v>3374</v>
      </c>
      <c r="D3125" s="3" t="s">
        <v>3358</v>
      </c>
      <c r="I3125" s="19">
        <v>9503</v>
      </c>
      <c r="J3125" s="19" t="s">
        <v>4576</v>
      </c>
    </row>
    <row r="3126" spans="1:10" x14ac:dyDescent="0.2">
      <c r="A3126" s="3">
        <v>1884</v>
      </c>
      <c r="B3126" s="3" t="s">
        <v>3377</v>
      </c>
      <c r="C3126" s="3" t="s">
        <v>3374</v>
      </c>
      <c r="D3126" s="3" t="s">
        <v>3358</v>
      </c>
      <c r="I3126" s="19">
        <v>9504</v>
      </c>
      <c r="J3126" s="19" t="s">
        <v>4576</v>
      </c>
    </row>
    <row r="3127" spans="1:10" x14ac:dyDescent="0.2">
      <c r="A3127" s="3">
        <v>1884</v>
      </c>
      <c r="B3127" s="3" t="s">
        <v>3378</v>
      </c>
      <c r="C3127" s="3" t="s">
        <v>3374</v>
      </c>
      <c r="D3127" s="3" t="s">
        <v>3358</v>
      </c>
      <c r="I3127" s="19">
        <v>9506</v>
      </c>
      <c r="J3127" s="19" t="s">
        <v>4576</v>
      </c>
    </row>
    <row r="3128" spans="1:10" x14ac:dyDescent="0.2">
      <c r="A3128" s="3">
        <v>1884</v>
      </c>
      <c r="B3128" s="3" t="s">
        <v>3379</v>
      </c>
      <c r="C3128" s="3" t="s">
        <v>3374</v>
      </c>
      <c r="D3128" s="3" t="s">
        <v>3358</v>
      </c>
      <c r="I3128" s="19">
        <v>9507</v>
      </c>
      <c r="J3128" s="19" t="s">
        <v>4576</v>
      </c>
    </row>
    <row r="3129" spans="1:10" x14ac:dyDescent="0.2">
      <c r="A3129" s="3">
        <v>1885</v>
      </c>
      <c r="B3129" s="3" t="s">
        <v>3380</v>
      </c>
      <c r="C3129" s="3" t="s">
        <v>3374</v>
      </c>
      <c r="D3129" s="3" t="s">
        <v>3358</v>
      </c>
      <c r="I3129" s="19">
        <v>9508</v>
      </c>
      <c r="J3129" s="19" t="s">
        <v>4576</v>
      </c>
    </row>
    <row r="3130" spans="1:10" x14ac:dyDescent="0.2">
      <c r="A3130" s="3">
        <v>1862</v>
      </c>
      <c r="B3130" s="3" t="s">
        <v>3381</v>
      </c>
      <c r="C3130" s="3" t="s">
        <v>3382</v>
      </c>
      <c r="D3130" s="3" t="s">
        <v>3358</v>
      </c>
      <c r="I3130" s="19">
        <v>9512</v>
      </c>
      <c r="J3130" s="19" t="s">
        <v>4576</v>
      </c>
    </row>
    <row r="3131" spans="1:10" x14ac:dyDescent="0.2">
      <c r="A3131" s="3">
        <v>1862</v>
      </c>
      <c r="B3131" s="3" t="s">
        <v>3383</v>
      </c>
      <c r="C3131" s="3" t="s">
        <v>3382</v>
      </c>
      <c r="D3131" s="3" t="s">
        <v>3358</v>
      </c>
      <c r="I3131" s="19">
        <v>9514</v>
      </c>
      <c r="J3131" s="19" t="s">
        <v>4576</v>
      </c>
    </row>
    <row r="3132" spans="1:10" x14ac:dyDescent="0.2">
      <c r="A3132" s="3">
        <v>1863</v>
      </c>
      <c r="B3132" s="3" t="s">
        <v>3384</v>
      </c>
      <c r="C3132" s="3" t="s">
        <v>3382</v>
      </c>
      <c r="D3132" s="3" t="s">
        <v>3358</v>
      </c>
      <c r="I3132" s="19">
        <v>9515</v>
      </c>
      <c r="J3132" s="19" t="s">
        <v>4576</v>
      </c>
    </row>
    <row r="3133" spans="1:10" x14ac:dyDescent="0.2">
      <c r="A3133" s="3">
        <v>1866</v>
      </c>
      <c r="B3133" s="3" t="s">
        <v>3385</v>
      </c>
      <c r="C3133" s="3" t="s">
        <v>3382</v>
      </c>
      <c r="D3133" s="3" t="s">
        <v>3358</v>
      </c>
      <c r="I3133" s="19">
        <v>9517</v>
      </c>
      <c r="J3133" s="19" t="s">
        <v>4576</v>
      </c>
    </row>
    <row r="3134" spans="1:10" x14ac:dyDescent="0.2">
      <c r="A3134" s="3">
        <v>1864</v>
      </c>
      <c r="B3134" s="3" t="s">
        <v>3386</v>
      </c>
      <c r="C3134" s="3" t="s">
        <v>3387</v>
      </c>
      <c r="D3134" s="3" t="s">
        <v>3358</v>
      </c>
      <c r="I3134" s="19">
        <v>9523</v>
      </c>
      <c r="J3134" s="19" t="s">
        <v>4576</v>
      </c>
    </row>
    <row r="3135" spans="1:10" x14ac:dyDescent="0.2">
      <c r="A3135" s="3">
        <v>1865</v>
      </c>
      <c r="B3135" s="3" t="s">
        <v>3388</v>
      </c>
      <c r="C3135" s="3" t="s">
        <v>3387</v>
      </c>
      <c r="D3135" s="3" t="s">
        <v>3358</v>
      </c>
      <c r="I3135" s="19">
        <v>9524</v>
      </c>
      <c r="J3135" s="19" t="s">
        <v>4576</v>
      </c>
    </row>
    <row r="3136" spans="1:10" x14ac:dyDescent="0.2">
      <c r="A3136" s="3">
        <v>1847</v>
      </c>
      <c r="B3136" s="3" t="s">
        <v>3389</v>
      </c>
      <c r="C3136" s="3" t="s">
        <v>3389</v>
      </c>
      <c r="D3136" s="3" t="s">
        <v>3358</v>
      </c>
      <c r="I3136" s="19">
        <v>9525</v>
      </c>
      <c r="J3136" s="19" t="s">
        <v>4576</v>
      </c>
    </row>
    <row r="3137" spans="1:10" x14ac:dyDescent="0.2">
      <c r="A3137" s="3">
        <v>1852</v>
      </c>
      <c r="B3137" s="3" t="s">
        <v>3390</v>
      </c>
      <c r="C3137" s="3" t="s">
        <v>3391</v>
      </c>
      <c r="D3137" s="3" t="s">
        <v>3358</v>
      </c>
      <c r="I3137" s="19">
        <v>9526</v>
      </c>
      <c r="J3137" s="19" t="s">
        <v>4576</v>
      </c>
    </row>
    <row r="3138" spans="1:10" x14ac:dyDescent="0.2">
      <c r="A3138" s="3">
        <v>1844</v>
      </c>
      <c r="B3138" s="3" t="s">
        <v>3392</v>
      </c>
      <c r="C3138" s="3" t="s">
        <v>3393</v>
      </c>
      <c r="D3138" s="3" t="s">
        <v>3358</v>
      </c>
      <c r="I3138" s="19">
        <v>9527</v>
      </c>
      <c r="J3138" s="19" t="s">
        <v>4576</v>
      </c>
    </row>
    <row r="3139" spans="1:10" x14ac:dyDescent="0.2">
      <c r="A3139" s="3">
        <v>1853</v>
      </c>
      <c r="B3139" s="3" t="s">
        <v>3394</v>
      </c>
      <c r="C3139" s="3" t="s">
        <v>3394</v>
      </c>
      <c r="D3139" s="3" t="s">
        <v>3358</v>
      </c>
      <c r="I3139" s="19">
        <v>9532</v>
      </c>
      <c r="J3139" s="19" t="s">
        <v>4576</v>
      </c>
    </row>
    <row r="3140" spans="1:10" x14ac:dyDescent="0.2">
      <c r="A3140" s="3">
        <v>1170</v>
      </c>
      <c r="B3140" s="3" t="s">
        <v>3395</v>
      </c>
      <c r="C3140" s="3" t="s">
        <v>3395</v>
      </c>
      <c r="D3140" s="3" t="s">
        <v>3358</v>
      </c>
      <c r="I3140" s="19">
        <v>9533</v>
      </c>
      <c r="J3140" s="19" t="s">
        <v>4576</v>
      </c>
    </row>
    <row r="3141" spans="1:10" x14ac:dyDescent="0.2">
      <c r="A3141" s="3">
        <v>1174</v>
      </c>
      <c r="B3141" s="3" t="s">
        <v>3396</v>
      </c>
      <c r="C3141" s="3" t="s">
        <v>3395</v>
      </c>
      <c r="D3141" s="3" t="s">
        <v>3358</v>
      </c>
      <c r="I3141" s="19">
        <v>9534</v>
      </c>
      <c r="J3141" s="19" t="s">
        <v>4576</v>
      </c>
    </row>
    <row r="3142" spans="1:10" x14ac:dyDescent="0.2">
      <c r="A3142" s="3">
        <v>1174</v>
      </c>
      <c r="B3142" s="3" t="s">
        <v>3397</v>
      </c>
      <c r="C3142" s="3" t="s">
        <v>3395</v>
      </c>
      <c r="D3142" s="3" t="s">
        <v>3358</v>
      </c>
      <c r="I3142" s="19">
        <v>9535</v>
      </c>
      <c r="J3142" s="19" t="s">
        <v>4576</v>
      </c>
    </row>
    <row r="3143" spans="1:10" x14ac:dyDescent="0.2">
      <c r="A3143" s="3">
        <v>1144</v>
      </c>
      <c r="B3143" s="3" t="s">
        <v>3398</v>
      </c>
      <c r="C3143" s="3" t="s">
        <v>3398</v>
      </c>
      <c r="D3143" s="3" t="s">
        <v>3358</v>
      </c>
      <c r="I3143" s="19">
        <v>9536</v>
      </c>
      <c r="J3143" s="19" t="s">
        <v>4576</v>
      </c>
    </row>
    <row r="3144" spans="1:10" x14ac:dyDescent="0.2">
      <c r="A3144" s="3">
        <v>1149</v>
      </c>
      <c r="B3144" s="3" t="s">
        <v>3399</v>
      </c>
      <c r="C3144" s="3" t="s">
        <v>3399</v>
      </c>
      <c r="D3144" s="3" t="s">
        <v>3358</v>
      </c>
      <c r="I3144" s="19">
        <v>9542</v>
      </c>
      <c r="J3144" s="19" t="s">
        <v>4576</v>
      </c>
    </row>
    <row r="3145" spans="1:10" x14ac:dyDescent="0.2">
      <c r="A3145" s="3">
        <v>1145</v>
      </c>
      <c r="B3145" s="3" t="s">
        <v>3400</v>
      </c>
      <c r="C3145" s="3" t="s">
        <v>3400</v>
      </c>
      <c r="D3145" s="3" t="s">
        <v>3358</v>
      </c>
      <c r="I3145" s="19">
        <v>9543</v>
      </c>
      <c r="J3145" s="19" t="s">
        <v>4576</v>
      </c>
    </row>
    <row r="3146" spans="1:10" x14ac:dyDescent="0.2">
      <c r="A3146" s="3">
        <v>1172</v>
      </c>
      <c r="B3146" s="3" t="s">
        <v>3401</v>
      </c>
      <c r="C3146" s="3" t="s">
        <v>3401</v>
      </c>
      <c r="D3146" s="3" t="s">
        <v>3358</v>
      </c>
      <c r="I3146" s="19">
        <v>9545</v>
      </c>
      <c r="J3146" s="19" t="s">
        <v>4576</v>
      </c>
    </row>
    <row r="3147" spans="1:10" x14ac:dyDescent="0.2">
      <c r="A3147" s="3">
        <v>1173</v>
      </c>
      <c r="B3147" s="3" t="s">
        <v>3402</v>
      </c>
      <c r="C3147" s="3" t="s">
        <v>3402</v>
      </c>
      <c r="D3147" s="3" t="s">
        <v>3358</v>
      </c>
      <c r="I3147" s="19">
        <v>9546</v>
      </c>
      <c r="J3147" s="19" t="s">
        <v>4576</v>
      </c>
    </row>
    <row r="3148" spans="1:10" x14ac:dyDescent="0.2">
      <c r="A3148" s="3">
        <v>1188</v>
      </c>
      <c r="B3148" s="3" t="s">
        <v>3403</v>
      </c>
      <c r="C3148" s="3" t="s">
        <v>3403</v>
      </c>
      <c r="D3148" s="3" t="s">
        <v>3358</v>
      </c>
      <c r="I3148" s="19">
        <v>9547</v>
      </c>
      <c r="J3148" s="19" t="s">
        <v>4559</v>
      </c>
    </row>
    <row r="3149" spans="1:10" x14ac:dyDescent="0.2">
      <c r="A3149" s="3">
        <v>1261</v>
      </c>
      <c r="B3149" s="3" t="s">
        <v>3404</v>
      </c>
      <c r="C3149" s="3" t="s">
        <v>3404</v>
      </c>
      <c r="D3149" s="3" t="s">
        <v>3358</v>
      </c>
      <c r="I3149" s="19">
        <v>9548</v>
      </c>
      <c r="J3149" s="19" t="s">
        <v>4576</v>
      </c>
    </row>
    <row r="3150" spans="1:10" x14ac:dyDescent="0.2">
      <c r="A3150" s="3">
        <v>1261</v>
      </c>
      <c r="B3150" s="3" t="s">
        <v>3405</v>
      </c>
      <c r="C3150" s="3" t="s">
        <v>3405</v>
      </c>
      <c r="D3150" s="3" t="s">
        <v>3358</v>
      </c>
      <c r="I3150" s="19">
        <v>9552</v>
      </c>
      <c r="J3150" s="19" t="s">
        <v>4576</v>
      </c>
    </row>
    <row r="3151" spans="1:10" x14ac:dyDescent="0.2">
      <c r="A3151" s="3">
        <v>1146</v>
      </c>
      <c r="B3151" s="3" t="s">
        <v>3406</v>
      </c>
      <c r="C3151" s="3" t="s">
        <v>3407</v>
      </c>
      <c r="D3151" s="3" t="s">
        <v>3358</v>
      </c>
      <c r="I3151" s="19">
        <v>9553</v>
      </c>
      <c r="J3151" s="19" t="s">
        <v>4576</v>
      </c>
    </row>
    <row r="3152" spans="1:10" x14ac:dyDescent="0.2">
      <c r="A3152" s="3">
        <v>1188</v>
      </c>
      <c r="B3152" s="3" t="s">
        <v>3408</v>
      </c>
      <c r="C3152" s="3" t="s">
        <v>3409</v>
      </c>
      <c r="D3152" s="3" t="s">
        <v>3358</v>
      </c>
      <c r="I3152" s="19">
        <v>9554</v>
      </c>
      <c r="J3152" s="19" t="s">
        <v>4576</v>
      </c>
    </row>
    <row r="3153" spans="1:10" x14ac:dyDescent="0.2">
      <c r="A3153" s="3">
        <v>1176</v>
      </c>
      <c r="B3153" s="3" t="s">
        <v>3410</v>
      </c>
      <c r="C3153" s="3" t="s">
        <v>3411</v>
      </c>
      <c r="D3153" s="3" t="s">
        <v>3358</v>
      </c>
      <c r="I3153" s="19">
        <v>9555</v>
      </c>
      <c r="J3153" s="19" t="s">
        <v>4576</v>
      </c>
    </row>
    <row r="3154" spans="1:10" x14ac:dyDescent="0.2">
      <c r="A3154" s="3">
        <v>1187</v>
      </c>
      <c r="B3154" s="3" t="s">
        <v>3412</v>
      </c>
      <c r="C3154" s="3" t="s">
        <v>3413</v>
      </c>
      <c r="D3154" s="3" t="s">
        <v>3358</v>
      </c>
      <c r="I3154" s="19">
        <v>9556</v>
      </c>
      <c r="J3154" s="19" t="s">
        <v>4576</v>
      </c>
    </row>
    <row r="3155" spans="1:10" x14ac:dyDescent="0.2">
      <c r="A3155" s="3">
        <v>1189</v>
      </c>
      <c r="B3155" s="3" t="s">
        <v>3414</v>
      </c>
      <c r="C3155" s="3" t="s">
        <v>3414</v>
      </c>
      <c r="D3155" s="3" t="s">
        <v>3358</v>
      </c>
      <c r="I3155" s="19">
        <v>9562</v>
      </c>
      <c r="J3155" s="19" t="s">
        <v>4576</v>
      </c>
    </row>
    <row r="3156" spans="1:10" x14ac:dyDescent="0.2">
      <c r="A3156" s="3">
        <v>1580</v>
      </c>
      <c r="B3156" s="3" t="s">
        <v>3415</v>
      </c>
      <c r="C3156" s="3" t="s">
        <v>3415</v>
      </c>
      <c r="D3156" s="3" t="s">
        <v>3358</v>
      </c>
      <c r="I3156" s="19">
        <v>9565</v>
      </c>
      <c r="J3156" s="19" t="s">
        <v>4576</v>
      </c>
    </row>
    <row r="3157" spans="1:10" x14ac:dyDescent="0.2">
      <c r="A3157" s="3">
        <v>1580</v>
      </c>
      <c r="B3157" s="3" t="s">
        <v>3416</v>
      </c>
      <c r="C3157" s="3" t="s">
        <v>3415</v>
      </c>
      <c r="D3157" s="3" t="s">
        <v>3358</v>
      </c>
      <c r="I3157" s="19">
        <v>9573</v>
      </c>
      <c r="J3157" s="19" t="s">
        <v>4576</v>
      </c>
    </row>
    <row r="3158" spans="1:10" x14ac:dyDescent="0.2">
      <c r="A3158" s="3">
        <v>1580</v>
      </c>
      <c r="B3158" s="3" t="s">
        <v>3417</v>
      </c>
      <c r="C3158" s="3" t="s">
        <v>3415</v>
      </c>
      <c r="D3158" s="3" t="s">
        <v>3358</v>
      </c>
      <c r="I3158" s="19">
        <v>9601</v>
      </c>
      <c r="J3158" s="19" t="s">
        <v>4576</v>
      </c>
    </row>
    <row r="3159" spans="1:10" x14ac:dyDescent="0.2">
      <c r="A3159" s="3">
        <v>1588</v>
      </c>
      <c r="B3159" s="3" t="s">
        <v>3418</v>
      </c>
      <c r="C3159" s="3" t="s">
        <v>3418</v>
      </c>
      <c r="D3159" s="3" t="s">
        <v>3358</v>
      </c>
      <c r="I3159" s="19">
        <v>9602</v>
      </c>
      <c r="J3159" s="19" t="s">
        <v>4576</v>
      </c>
    </row>
    <row r="3160" spans="1:10" x14ac:dyDescent="0.2">
      <c r="A3160" s="3">
        <v>1595</v>
      </c>
      <c r="B3160" s="3" t="s">
        <v>3419</v>
      </c>
      <c r="C3160" s="3" t="s">
        <v>3419</v>
      </c>
      <c r="D3160" s="3" t="s">
        <v>3358</v>
      </c>
      <c r="I3160" s="19">
        <v>9604</v>
      </c>
      <c r="J3160" s="19" t="s">
        <v>4576</v>
      </c>
    </row>
    <row r="3161" spans="1:10" x14ac:dyDescent="0.2">
      <c r="A3161" s="3">
        <v>1584</v>
      </c>
      <c r="B3161" s="3" t="s">
        <v>3420</v>
      </c>
      <c r="C3161" s="3" t="s">
        <v>3421</v>
      </c>
      <c r="D3161" s="3" t="s">
        <v>3358</v>
      </c>
      <c r="I3161" s="19">
        <v>9606</v>
      </c>
      <c r="J3161" s="19" t="s">
        <v>4577</v>
      </c>
    </row>
    <row r="3162" spans="1:10" x14ac:dyDescent="0.2">
      <c r="A3162" s="3">
        <v>1585</v>
      </c>
      <c r="B3162" s="3" t="s">
        <v>3422</v>
      </c>
      <c r="C3162" s="3" t="s">
        <v>3421</v>
      </c>
      <c r="D3162" s="3" t="s">
        <v>3358</v>
      </c>
      <c r="I3162" s="19">
        <v>9607</v>
      </c>
      <c r="J3162" s="19" t="s">
        <v>4577</v>
      </c>
    </row>
    <row r="3163" spans="1:10" x14ac:dyDescent="0.2">
      <c r="A3163" s="3">
        <v>1585</v>
      </c>
      <c r="B3163" s="3" t="s">
        <v>3423</v>
      </c>
      <c r="C3163" s="3" t="s">
        <v>3421</v>
      </c>
      <c r="D3163" s="3" t="s">
        <v>3358</v>
      </c>
      <c r="I3163" s="19">
        <v>9608</v>
      </c>
      <c r="J3163" s="19" t="s">
        <v>4576</v>
      </c>
    </row>
    <row r="3164" spans="1:10" x14ac:dyDescent="0.2">
      <c r="A3164" s="3">
        <v>1585</v>
      </c>
      <c r="B3164" s="3" t="s">
        <v>3424</v>
      </c>
      <c r="C3164" s="3" t="s">
        <v>3421</v>
      </c>
      <c r="D3164" s="3" t="s">
        <v>3358</v>
      </c>
      <c r="I3164" s="19">
        <v>9612</v>
      </c>
      <c r="J3164" s="19" t="s">
        <v>4577</v>
      </c>
    </row>
    <row r="3165" spans="1:10" x14ac:dyDescent="0.2">
      <c r="A3165" s="3">
        <v>1586</v>
      </c>
      <c r="B3165" s="3" t="s">
        <v>3425</v>
      </c>
      <c r="C3165" s="3" t="s">
        <v>3421</v>
      </c>
      <c r="D3165" s="3" t="s">
        <v>3358</v>
      </c>
      <c r="I3165" s="19">
        <v>9613</v>
      </c>
      <c r="J3165" s="19" t="s">
        <v>4560</v>
      </c>
    </row>
    <row r="3166" spans="1:10" x14ac:dyDescent="0.2">
      <c r="A3166" s="3">
        <v>1587</v>
      </c>
      <c r="B3166" s="3" t="s">
        <v>3426</v>
      </c>
      <c r="C3166" s="3" t="s">
        <v>3421</v>
      </c>
      <c r="D3166" s="3" t="s">
        <v>3358</v>
      </c>
      <c r="I3166" s="19">
        <v>9614</v>
      </c>
      <c r="J3166" s="19" t="s">
        <v>4577</v>
      </c>
    </row>
    <row r="3167" spans="1:10" x14ac:dyDescent="0.2">
      <c r="A3167" s="3">
        <v>1587</v>
      </c>
      <c r="B3167" s="3" t="s">
        <v>3427</v>
      </c>
      <c r="C3167" s="3" t="s">
        <v>3421</v>
      </c>
      <c r="D3167" s="3" t="s">
        <v>3358</v>
      </c>
      <c r="I3167" s="19">
        <v>9615</v>
      </c>
      <c r="J3167" s="19" t="s">
        <v>4577</v>
      </c>
    </row>
    <row r="3168" spans="1:10" x14ac:dyDescent="0.2">
      <c r="A3168" s="3">
        <v>1589</v>
      </c>
      <c r="B3168" s="3" t="s">
        <v>3428</v>
      </c>
      <c r="C3168" s="3" t="s">
        <v>3421</v>
      </c>
      <c r="D3168" s="3" t="s">
        <v>3358</v>
      </c>
      <c r="I3168" s="19">
        <v>9620</v>
      </c>
      <c r="J3168" s="19" t="s">
        <v>4577</v>
      </c>
    </row>
    <row r="3169" spans="1:10" x14ac:dyDescent="0.2">
      <c r="A3169" s="3">
        <v>1787</v>
      </c>
      <c r="B3169" s="3" t="s">
        <v>3429</v>
      </c>
      <c r="C3169" s="3" t="s">
        <v>3421</v>
      </c>
      <c r="D3169" s="3" t="s">
        <v>3358</v>
      </c>
      <c r="I3169" s="19">
        <v>9621</v>
      </c>
      <c r="J3169" s="19" t="s">
        <v>4577</v>
      </c>
    </row>
    <row r="3170" spans="1:10" x14ac:dyDescent="0.2">
      <c r="A3170" s="3">
        <v>1042</v>
      </c>
      <c r="B3170" s="3" t="s">
        <v>3430</v>
      </c>
      <c r="C3170" s="3" t="s">
        <v>3430</v>
      </c>
      <c r="D3170" s="3" t="s">
        <v>3358</v>
      </c>
      <c r="I3170" s="19">
        <v>9622</v>
      </c>
      <c r="J3170" s="19" t="s">
        <v>4577</v>
      </c>
    </row>
    <row r="3171" spans="1:10" x14ac:dyDescent="0.2">
      <c r="A3171" s="3">
        <v>1035</v>
      </c>
      <c r="B3171" s="3" t="s">
        <v>3431</v>
      </c>
      <c r="C3171" s="3" t="s">
        <v>3431</v>
      </c>
      <c r="D3171" s="3" t="s">
        <v>3358</v>
      </c>
      <c r="I3171" s="19">
        <v>9630</v>
      </c>
      <c r="J3171" s="19" t="s">
        <v>4577</v>
      </c>
    </row>
    <row r="3172" spans="1:10" x14ac:dyDescent="0.2">
      <c r="A3172" s="3">
        <v>1034</v>
      </c>
      <c r="B3172" s="3" t="s">
        <v>3432</v>
      </c>
      <c r="C3172" s="3" t="s">
        <v>3432</v>
      </c>
      <c r="D3172" s="3" t="s">
        <v>3358</v>
      </c>
      <c r="I3172" s="19">
        <v>9631</v>
      </c>
      <c r="J3172" s="19" t="s">
        <v>4577</v>
      </c>
    </row>
    <row r="3173" spans="1:10" x14ac:dyDescent="0.2">
      <c r="A3173" s="3">
        <v>1308</v>
      </c>
      <c r="B3173" s="3" t="s">
        <v>3433</v>
      </c>
      <c r="C3173" s="3" t="s">
        <v>3433</v>
      </c>
      <c r="D3173" s="3" t="s">
        <v>3358</v>
      </c>
      <c r="I3173" s="19">
        <v>9633</v>
      </c>
      <c r="J3173" s="19" t="s">
        <v>4577</v>
      </c>
    </row>
    <row r="3174" spans="1:10" x14ac:dyDescent="0.2">
      <c r="A3174" s="3">
        <v>1148</v>
      </c>
      <c r="B3174" s="3" t="s">
        <v>3434</v>
      </c>
      <c r="C3174" s="3" t="s">
        <v>3434</v>
      </c>
      <c r="D3174" s="3" t="s">
        <v>3358</v>
      </c>
      <c r="I3174" s="19">
        <v>9642</v>
      </c>
      <c r="J3174" s="19" t="s">
        <v>4577</v>
      </c>
    </row>
    <row r="3175" spans="1:10" x14ac:dyDescent="0.2">
      <c r="A3175" s="3">
        <v>1316</v>
      </c>
      <c r="B3175" s="3" t="s">
        <v>3435</v>
      </c>
      <c r="C3175" s="3" t="s">
        <v>3435</v>
      </c>
      <c r="D3175" s="3" t="s">
        <v>3358</v>
      </c>
      <c r="I3175" s="19">
        <v>9643</v>
      </c>
      <c r="J3175" s="19" t="s">
        <v>4571</v>
      </c>
    </row>
    <row r="3176" spans="1:10" x14ac:dyDescent="0.2">
      <c r="A3176" s="3">
        <v>1304</v>
      </c>
      <c r="B3176" s="3" t="s">
        <v>3436</v>
      </c>
      <c r="C3176" s="3" t="s">
        <v>3437</v>
      </c>
      <c r="D3176" s="3" t="s">
        <v>3358</v>
      </c>
      <c r="I3176" s="19">
        <v>9650</v>
      </c>
      <c r="J3176" s="19" t="s">
        <v>4571</v>
      </c>
    </row>
    <row r="3177" spans="1:10" x14ac:dyDescent="0.2">
      <c r="A3177" s="3">
        <v>1304</v>
      </c>
      <c r="B3177" s="3" t="s">
        <v>3438</v>
      </c>
      <c r="C3177" s="3" t="s">
        <v>3437</v>
      </c>
      <c r="D3177" s="3" t="s">
        <v>3358</v>
      </c>
      <c r="I3177" s="19">
        <v>9651</v>
      </c>
      <c r="J3177" s="19" t="s">
        <v>4577</v>
      </c>
    </row>
    <row r="3178" spans="1:10" x14ac:dyDescent="0.2">
      <c r="A3178" s="3">
        <v>1148</v>
      </c>
      <c r="B3178" s="3" t="s">
        <v>3439</v>
      </c>
      <c r="C3178" s="3" t="s">
        <v>3439</v>
      </c>
      <c r="D3178" s="3" t="s">
        <v>3358</v>
      </c>
      <c r="I3178" s="19">
        <v>9652</v>
      </c>
      <c r="J3178" s="19" t="s">
        <v>4571</v>
      </c>
    </row>
    <row r="3179" spans="1:10" x14ac:dyDescent="0.2">
      <c r="A3179" s="3">
        <v>1306</v>
      </c>
      <c r="B3179" s="3" t="s">
        <v>3440</v>
      </c>
      <c r="C3179" s="3" t="s">
        <v>3440</v>
      </c>
      <c r="D3179" s="3" t="s">
        <v>3358</v>
      </c>
      <c r="I3179" s="19">
        <v>9655</v>
      </c>
      <c r="J3179" s="19" t="s">
        <v>4571</v>
      </c>
    </row>
    <row r="3180" spans="1:10" x14ac:dyDescent="0.2">
      <c r="A3180" s="3">
        <v>1304</v>
      </c>
      <c r="B3180" s="3" t="s">
        <v>3441</v>
      </c>
      <c r="C3180" s="3" t="s">
        <v>3441</v>
      </c>
      <c r="D3180" s="3" t="s">
        <v>3358</v>
      </c>
      <c r="I3180" s="19">
        <v>9656</v>
      </c>
      <c r="J3180" s="19" t="s">
        <v>4571</v>
      </c>
    </row>
    <row r="3181" spans="1:10" x14ac:dyDescent="0.2">
      <c r="A3181" s="3">
        <v>1312</v>
      </c>
      <c r="B3181" s="3" t="s">
        <v>3442</v>
      </c>
      <c r="C3181" s="3" t="s">
        <v>3442</v>
      </c>
      <c r="D3181" s="3" t="s">
        <v>3358</v>
      </c>
      <c r="I3181" s="19">
        <v>9657</v>
      </c>
      <c r="J3181" s="19" t="s">
        <v>4570</v>
      </c>
    </row>
    <row r="3182" spans="1:10" x14ac:dyDescent="0.2">
      <c r="A3182" s="3">
        <v>1313</v>
      </c>
      <c r="B3182" s="3" t="s">
        <v>3443</v>
      </c>
      <c r="C3182" s="3" t="s">
        <v>3443</v>
      </c>
      <c r="D3182" s="3" t="s">
        <v>3358</v>
      </c>
      <c r="I3182" s="19">
        <v>9658</v>
      </c>
      <c r="J3182" s="19" t="s">
        <v>4570</v>
      </c>
    </row>
    <row r="3183" spans="1:10" x14ac:dyDescent="0.2">
      <c r="A3183" s="3">
        <v>1124</v>
      </c>
      <c r="B3183" s="3" t="s">
        <v>3444</v>
      </c>
      <c r="C3183" s="3" t="s">
        <v>3444</v>
      </c>
      <c r="D3183" s="3" t="s">
        <v>3358</v>
      </c>
    </row>
    <row r="3184" spans="1:10" x14ac:dyDescent="0.2">
      <c r="A3184" s="3">
        <v>1117</v>
      </c>
      <c r="B3184" s="3" t="s">
        <v>3445</v>
      </c>
      <c r="C3184" s="3" t="s">
        <v>3445</v>
      </c>
      <c r="D3184" s="3" t="s">
        <v>3358</v>
      </c>
    </row>
    <row r="3185" spans="1:4" x14ac:dyDescent="0.2">
      <c r="A3185" s="3">
        <v>1148</v>
      </c>
      <c r="B3185" s="3" t="s">
        <v>3446</v>
      </c>
      <c r="C3185" s="3" t="s">
        <v>3446</v>
      </c>
      <c r="D3185" s="3" t="s">
        <v>3358</v>
      </c>
    </row>
    <row r="3186" spans="1:4" x14ac:dyDescent="0.2">
      <c r="A3186" s="3">
        <v>1148</v>
      </c>
      <c r="B3186" s="3" t="s">
        <v>3447</v>
      </c>
      <c r="C3186" s="3" t="s">
        <v>3446</v>
      </c>
      <c r="D3186" s="3" t="s">
        <v>3358</v>
      </c>
    </row>
    <row r="3187" spans="1:4" x14ac:dyDescent="0.2">
      <c r="A3187" s="3">
        <v>1148</v>
      </c>
      <c r="B3187" s="3" t="s">
        <v>3448</v>
      </c>
      <c r="C3187" s="3" t="s">
        <v>3446</v>
      </c>
      <c r="D3187" s="3" t="s">
        <v>3358</v>
      </c>
    </row>
    <row r="3188" spans="1:4" x14ac:dyDescent="0.2">
      <c r="A3188" s="3">
        <v>1307</v>
      </c>
      <c r="B3188" s="3" t="s">
        <v>3449</v>
      </c>
      <c r="C3188" s="3" t="s">
        <v>3449</v>
      </c>
      <c r="D3188" s="3" t="s">
        <v>3358</v>
      </c>
    </row>
    <row r="3189" spans="1:4" x14ac:dyDescent="0.2">
      <c r="A3189" s="3">
        <v>1148</v>
      </c>
      <c r="B3189" s="3" t="s">
        <v>3450</v>
      </c>
      <c r="C3189" s="3" t="s">
        <v>3450</v>
      </c>
      <c r="D3189" s="3" t="s">
        <v>3358</v>
      </c>
    </row>
    <row r="3190" spans="1:4" x14ac:dyDescent="0.2">
      <c r="A3190" s="3">
        <v>1031</v>
      </c>
      <c r="B3190" s="3" t="s">
        <v>3451</v>
      </c>
      <c r="C3190" s="3" t="s">
        <v>3452</v>
      </c>
      <c r="D3190" s="3" t="s">
        <v>3358</v>
      </c>
    </row>
    <row r="3191" spans="1:4" x14ac:dyDescent="0.2">
      <c r="A3191" s="3">
        <v>1148</v>
      </c>
      <c r="B3191" s="3" t="s">
        <v>3453</v>
      </c>
      <c r="C3191" s="3" t="s">
        <v>3454</v>
      </c>
      <c r="D3191" s="3" t="s">
        <v>3358</v>
      </c>
    </row>
    <row r="3192" spans="1:4" x14ac:dyDescent="0.2">
      <c r="A3192" s="3">
        <v>1148</v>
      </c>
      <c r="B3192" s="3" t="s">
        <v>3455</v>
      </c>
      <c r="C3192" s="3" t="s">
        <v>3455</v>
      </c>
      <c r="D3192" s="3" t="s">
        <v>3358</v>
      </c>
    </row>
    <row r="3193" spans="1:4" x14ac:dyDescent="0.2">
      <c r="A3193" s="3">
        <v>1147</v>
      </c>
      <c r="B3193" s="3" t="s">
        <v>3456</v>
      </c>
      <c r="C3193" s="3" t="s">
        <v>3456</v>
      </c>
      <c r="D3193" s="3" t="s">
        <v>3358</v>
      </c>
    </row>
    <row r="3194" spans="1:4" x14ac:dyDescent="0.2">
      <c r="A3194" s="3">
        <v>1317</v>
      </c>
      <c r="B3194" s="3" t="s">
        <v>3457</v>
      </c>
      <c r="C3194" s="3" t="s">
        <v>3457</v>
      </c>
      <c r="D3194" s="3" t="s">
        <v>3358</v>
      </c>
    </row>
    <row r="3195" spans="1:4" x14ac:dyDescent="0.2">
      <c r="A3195" s="3">
        <v>1305</v>
      </c>
      <c r="B3195" s="3" t="s">
        <v>3458</v>
      </c>
      <c r="C3195" s="3" t="s">
        <v>3458</v>
      </c>
      <c r="D3195" s="3" t="s">
        <v>3358</v>
      </c>
    </row>
    <row r="3196" spans="1:4" x14ac:dyDescent="0.2">
      <c r="A3196" s="3">
        <v>1303</v>
      </c>
      <c r="B3196" s="3" t="s">
        <v>3459</v>
      </c>
      <c r="C3196" s="3" t="s">
        <v>3459</v>
      </c>
      <c r="D3196" s="3" t="s">
        <v>3358</v>
      </c>
    </row>
    <row r="3197" spans="1:4" x14ac:dyDescent="0.2">
      <c r="A3197" s="3">
        <v>1318</v>
      </c>
      <c r="B3197" s="3" t="s">
        <v>3460</v>
      </c>
      <c r="C3197" s="3" t="s">
        <v>3460</v>
      </c>
      <c r="D3197" s="3" t="s">
        <v>3358</v>
      </c>
    </row>
    <row r="3198" spans="1:4" x14ac:dyDescent="0.2">
      <c r="A3198" s="3">
        <v>1315</v>
      </c>
      <c r="B3198" s="3" t="s">
        <v>3461</v>
      </c>
      <c r="C3198" s="3" t="s">
        <v>3461</v>
      </c>
      <c r="D3198" s="3" t="s">
        <v>3358</v>
      </c>
    </row>
    <row r="3199" spans="1:4" x14ac:dyDescent="0.2">
      <c r="A3199" s="3">
        <v>1304</v>
      </c>
      <c r="B3199" s="3" t="s">
        <v>3462</v>
      </c>
      <c r="C3199" s="3" t="s">
        <v>3462</v>
      </c>
      <c r="D3199" s="3" t="s">
        <v>3358</v>
      </c>
    </row>
    <row r="3200" spans="1:4" x14ac:dyDescent="0.2">
      <c r="A3200" s="3">
        <v>1036</v>
      </c>
      <c r="B3200" s="3" t="s">
        <v>3463</v>
      </c>
      <c r="C3200" s="3" t="s">
        <v>3463</v>
      </c>
      <c r="D3200" s="3" t="s">
        <v>3358</v>
      </c>
    </row>
    <row r="3201" spans="1:4" x14ac:dyDescent="0.2">
      <c r="A3201" s="3">
        <v>1302</v>
      </c>
      <c r="B3201" s="3" t="s">
        <v>3464</v>
      </c>
      <c r="C3201" s="3" t="s">
        <v>3464</v>
      </c>
      <c r="D3201" s="3" t="s">
        <v>3358</v>
      </c>
    </row>
    <row r="3202" spans="1:4" x14ac:dyDescent="0.2">
      <c r="A3202" s="3">
        <v>1042</v>
      </c>
      <c r="B3202" s="3" t="s">
        <v>3465</v>
      </c>
      <c r="C3202" s="3" t="s">
        <v>3465</v>
      </c>
      <c r="D3202" s="3" t="s">
        <v>3358</v>
      </c>
    </row>
    <row r="3203" spans="1:4" x14ac:dyDescent="0.2">
      <c r="A3203" s="3">
        <v>1042</v>
      </c>
      <c r="B3203" s="3" t="s">
        <v>3466</v>
      </c>
      <c r="C3203" s="3" t="s">
        <v>3465</v>
      </c>
      <c r="D3203" s="3" t="s">
        <v>3358</v>
      </c>
    </row>
    <row r="3204" spans="1:4" x14ac:dyDescent="0.2">
      <c r="A3204" s="3">
        <v>1038</v>
      </c>
      <c r="B3204" s="3" t="s">
        <v>3467</v>
      </c>
      <c r="C3204" s="3" t="s">
        <v>3467</v>
      </c>
      <c r="D3204" s="3" t="s">
        <v>3358</v>
      </c>
    </row>
    <row r="3205" spans="1:4" x14ac:dyDescent="0.2">
      <c r="A3205" s="3">
        <v>1041</v>
      </c>
      <c r="B3205" s="3" t="s">
        <v>3468</v>
      </c>
      <c r="C3205" s="3" t="s">
        <v>3468</v>
      </c>
      <c r="D3205" s="3" t="s">
        <v>3358</v>
      </c>
    </row>
    <row r="3206" spans="1:4" x14ac:dyDescent="0.2">
      <c r="A3206" s="3">
        <v>1053</v>
      </c>
      <c r="B3206" s="3" t="s">
        <v>3469</v>
      </c>
      <c r="C3206" s="3" t="s">
        <v>3469</v>
      </c>
      <c r="D3206" s="3" t="s">
        <v>3358</v>
      </c>
    </row>
    <row r="3207" spans="1:4" x14ac:dyDescent="0.2">
      <c r="A3207" s="3">
        <v>1053</v>
      </c>
      <c r="B3207" s="3" t="s">
        <v>3470</v>
      </c>
      <c r="C3207" s="3" t="s">
        <v>3471</v>
      </c>
      <c r="D3207" s="3" t="s">
        <v>3358</v>
      </c>
    </row>
    <row r="3208" spans="1:4" x14ac:dyDescent="0.2">
      <c r="A3208" s="3">
        <v>1040</v>
      </c>
      <c r="B3208" s="3" t="s">
        <v>3472</v>
      </c>
      <c r="C3208" s="3" t="s">
        <v>3472</v>
      </c>
      <c r="D3208" s="3" t="s">
        <v>3358</v>
      </c>
    </row>
    <row r="3209" spans="1:4" x14ac:dyDescent="0.2">
      <c r="A3209" s="3">
        <v>1417</v>
      </c>
      <c r="B3209" s="3" t="s">
        <v>3473</v>
      </c>
      <c r="C3209" s="3" t="s">
        <v>3473</v>
      </c>
      <c r="D3209" s="3" t="s">
        <v>3358</v>
      </c>
    </row>
    <row r="3210" spans="1:4" x14ac:dyDescent="0.2">
      <c r="A3210" s="3">
        <v>1417</v>
      </c>
      <c r="B3210" s="3" t="s">
        <v>3474</v>
      </c>
      <c r="C3210" s="3" t="s">
        <v>3473</v>
      </c>
      <c r="D3210" s="3" t="s">
        <v>3358</v>
      </c>
    </row>
    <row r="3211" spans="1:4" x14ac:dyDescent="0.2">
      <c r="A3211" s="3">
        <v>1037</v>
      </c>
      <c r="B3211" s="3" t="s">
        <v>3475</v>
      </c>
      <c r="C3211" s="3" t="s">
        <v>3475</v>
      </c>
      <c r="D3211" s="3" t="s">
        <v>3358</v>
      </c>
    </row>
    <row r="3212" spans="1:4" x14ac:dyDescent="0.2">
      <c r="A3212" s="3">
        <v>1044</v>
      </c>
      <c r="B3212" s="3" t="s">
        <v>3476</v>
      </c>
      <c r="C3212" s="3" t="s">
        <v>3476</v>
      </c>
      <c r="D3212" s="3" t="s">
        <v>3358</v>
      </c>
    </row>
    <row r="3213" spans="1:4" x14ac:dyDescent="0.2">
      <c r="A3213" s="3">
        <v>1055</v>
      </c>
      <c r="B3213" s="3" t="s">
        <v>3477</v>
      </c>
      <c r="C3213" s="3" t="s">
        <v>3477</v>
      </c>
      <c r="D3213" s="3" t="s">
        <v>3358</v>
      </c>
    </row>
    <row r="3214" spans="1:4" x14ac:dyDescent="0.2">
      <c r="A3214" s="3">
        <v>1054</v>
      </c>
      <c r="B3214" s="3" t="s">
        <v>3478</v>
      </c>
      <c r="C3214" s="3" t="s">
        <v>3479</v>
      </c>
      <c r="D3214" s="3" t="s">
        <v>3358</v>
      </c>
    </row>
    <row r="3215" spans="1:4" x14ac:dyDescent="0.2">
      <c r="A3215" s="3">
        <v>1377</v>
      </c>
      <c r="B3215" s="3" t="s">
        <v>3480</v>
      </c>
      <c r="C3215" s="3" t="s">
        <v>3480</v>
      </c>
      <c r="D3215" s="3" t="s">
        <v>3358</v>
      </c>
    </row>
    <row r="3216" spans="1:4" x14ac:dyDescent="0.2">
      <c r="A3216" s="3">
        <v>1416</v>
      </c>
      <c r="B3216" s="3" t="s">
        <v>3481</v>
      </c>
      <c r="C3216" s="3" t="s">
        <v>3481</v>
      </c>
      <c r="D3216" s="3" t="s">
        <v>3358</v>
      </c>
    </row>
    <row r="3217" spans="1:4" x14ac:dyDescent="0.2">
      <c r="A3217" s="3">
        <v>1375</v>
      </c>
      <c r="B3217" s="3" t="s">
        <v>3482</v>
      </c>
      <c r="C3217" s="3" t="s">
        <v>3482</v>
      </c>
      <c r="D3217" s="3" t="s">
        <v>3358</v>
      </c>
    </row>
    <row r="3218" spans="1:4" x14ac:dyDescent="0.2">
      <c r="A3218" s="3">
        <v>1041</v>
      </c>
      <c r="B3218" s="3" t="s">
        <v>3483</v>
      </c>
      <c r="C3218" s="3" t="s">
        <v>3483</v>
      </c>
      <c r="D3218" s="3" t="s">
        <v>3358</v>
      </c>
    </row>
    <row r="3219" spans="1:4" x14ac:dyDescent="0.2">
      <c r="A3219" s="3">
        <v>1046</v>
      </c>
      <c r="B3219" s="3" t="s">
        <v>3484</v>
      </c>
      <c r="C3219" s="3" t="s">
        <v>3484</v>
      </c>
      <c r="D3219" s="3" t="s">
        <v>3358</v>
      </c>
    </row>
    <row r="3220" spans="1:4" x14ac:dyDescent="0.2">
      <c r="A3220" s="3">
        <v>1040</v>
      </c>
      <c r="B3220" s="3" t="s">
        <v>3485</v>
      </c>
      <c r="C3220" s="3" t="s">
        <v>3486</v>
      </c>
      <c r="D3220" s="3" t="s">
        <v>3358</v>
      </c>
    </row>
    <row r="3221" spans="1:4" x14ac:dyDescent="0.2">
      <c r="A3221" s="3">
        <v>1040</v>
      </c>
      <c r="B3221" s="3" t="s">
        <v>3487</v>
      </c>
      <c r="C3221" s="3" t="s">
        <v>3487</v>
      </c>
      <c r="D3221" s="3" t="s">
        <v>3358</v>
      </c>
    </row>
    <row r="3222" spans="1:4" x14ac:dyDescent="0.2">
      <c r="A3222" s="3">
        <v>1418</v>
      </c>
      <c r="B3222" s="3" t="s">
        <v>3488</v>
      </c>
      <c r="C3222" s="3" t="s">
        <v>3488</v>
      </c>
      <c r="D3222" s="3" t="s">
        <v>3358</v>
      </c>
    </row>
    <row r="3223" spans="1:4" x14ac:dyDescent="0.2">
      <c r="A3223" s="3">
        <v>1041</v>
      </c>
      <c r="B3223" s="3" t="s">
        <v>3489</v>
      </c>
      <c r="C3223" s="3" t="s">
        <v>3490</v>
      </c>
      <c r="D3223" s="3" t="s">
        <v>3358</v>
      </c>
    </row>
    <row r="3224" spans="1:4" x14ac:dyDescent="0.2">
      <c r="A3224" s="3">
        <v>1041</v>
      </c>
      <c r="B3224" s="3" t="s">
        <v>3491</v>
      </c>
      <c r="C3224" s="3" t="s">
        <v>3490</v>
      </c>
      <c r="D3224" s="3" t="s">
        <v>3358</v>
      </c>
    </row>
    <row r="3225" spans="1:4" x14ac:dyDescent="0.2">
      <c r="A3225" s="3">
        <v>1041</v>
      </c>
      <c r="B3225" s="3" t="s">
        <v>3492</v>
      </c>
      <c r="C3225" s="3" t="s">
        <v>3490</v>
      </c>
      <c r="D3225" s="3" t="s">
        <v>3358</v>
      </c>
    </row>
    <row r="3226" spans="1:4" x14ac:dyDescent="0.2">
      <c r="A3226" s="3">
        <v>1043</v>
      </c>
      <c r="B3226" s="3" t="s">
        <v>3493</v>
      </c>
      <c r="C3226" s="3" t="s">
        <v>3490</v>
      </c>
      <c r="D3226" s="3" t="s">
        <v>3358</v>
      </c>
    </row>
    <row r="3227" spans="1:4" x14ac:dyDescent="0.2">
      <c r="A3227" s="3">
        <v>1376</v>
      </c>
      <c r="B3227" s="3" t="s">
        <v>3494</v>
      </c>
      <c r="C3227" s="3" t="s">
        <v>3495</v>
      </c>
      <c r="D3227" s="3" t="s">
        <v>3358</v>
      </c>
    </row>
    <row r="3228" spans="1:4" x14ac:dyDescent="0.2">
      <c r="A3228" s="3">
        <v>1376</v>
      </c>
      <c r="B3228" s="3" t="s">
        <v>3496</v>
      </c>
      <c r="C3228" s="3" t="s">
        <v>3495</v>
      </c>
      <c r="D3228" s="3" t="s">
        <v>3358</v>
      </c>
    </row>
    <row r="3229" spans="1:4" x14ac:dyDescent="0.2">
      <c r="A3229" s="3">
        <v>1376</v>
      </c>
      <c r="B3229" s="3" t="s">
        <v>3497</v>
      </c>
      <c r="C3229" s="3" t="s">
        <v>3495</v>
      </c>
      <c r="D3229" s="3" t="s">
        <v>3358</v>
      </c>
    </row>
    <row r="3230" spans="1:4" x14ac:dyDescent="0.2">
      <c r="A3230" s="3">
        <v>1427</v>
      </c>
      <c r="B3230" s="3" t="s">
        <v>3498</v>
      </c>
      <c r="C3230" s="3" t="s">
        <v>3498</v>
      </c>
      <c r="D3230" s="3" t="s">
        <v>3358</v>
      </c>
    </row>
    <row r="3231" spans="1:4" x14ac:dyDescent="0.2">
      <c r="A3231" s="3">
        <v>1452</v>
      </c>
      <c r="B3231" s="3" t="s">
        <v>3499</v>
      </c>
      <c r="C3231" s="3" t="s">
        <v>3500</v>
      </c>
      <c r="D3231" s="3" t="s">
        <v>3358</v>
      </c>
    </row>
    <row r="3232" spans="1:4" x14ac:dyDescent="0.2">
      <c r="A3232" s="3">
        <v>1453</v>
      </c>
      <c r="B3232" s="3" t="s">
        <v>3500</v>
      </c>
      <c r="C3232" s="3" t="s">
        <v>3500</v>
      </c>
      <c r="D3232" s="3" t="s">
        <v>3358</v>
      </c>
    </row>
    <row r="3233" spans="1:4" x14ac:dyDescent="0.2">
      <c r="A3233" s="3">
        <v>1424</v>
      </c>
      <c r="B3233" s="3" t="s">
        <v>3501</v>
      </c>
      <c r="C3233" s="3" t="s">
        <v>3501</v>
      </c>
      <c r="D3233" s="3" t="s">
        <v>3358</v>
      </c>
    </row>
    <row r="3234" spans="1:4" x14ac:dyDescent="0.2">
      <c r="A3234" s="3">
        <v>1426</v>
      </c>
      <c r="B3234" s="3" t="s">
        <v>3502</v>
      </c>
      <c r="C3234" s="3" t="s">
        <v>3502</v>
      </c>
      <c r="D3234" s="3" t="s">
        <v>3358</v>
      </c>
    </row>
    <row r="3235" spans="1:4" x14ac:dyDescent="0.2">
      <c r="A3235" s="3">
        <v>1426</v>
      </c>
      <c r="B3235" s="3" t="s">
        <v>3503</v>
      </c>
      <c r="C3235" s="3" t="s">
        <v>3503</v>
      </c>
      <c r="D3235" s="3" t="s">
        <v>3358</v>
      </c>
    </row>
    <row r="3236" spans="1:4" x14ac:dyDescent="0.2">
      <c r="A3236" s="3">
        <v>1420</v>
      </c>
      <c r="B3236" s="3" t="s">
        <v>3504</v>
      </c>
      <c r="C3236" s="3" t="s">
        <v>3504</v>
      </c>
      <c r="D3236" s="3" t="s">
        <v>3358</v>
      </c>
    </row>
    <row r="3237" spans="1:4" x14ac:dyDescent="0.2">
      <c r="A3237" s="3">
        <v>1421</v>
      </c>
      <c r="B3237" s="3" t="s">
        <v>3505</v>
      </c>
      <c r="C3237" s="3" t="s">
        <v>3505</v>
      </c>
      <c r="D3237" s="3" t="s">
        <v>3358</v>
      </c>
    </row>
    <row r="3238" spans="1:4" x14ac:dyDescent="0.2">
      <c r="A3238" s="3">
        <v>1429</v>
      </c>
      <c r="B3238" s="3" t="s">
        <v>3506</v>
      </c>
      <c r="C3238" s="3" t="s">
        <v>3506</v>
      </c>
      <c r="D3238" s="3" t="s">
        <v>3358</v>
      </c>
    </row>
    <row r="3239" spans="1:4" x14ac:dyDescent="0.2">
      <c r="A3239" s="3">
        <v>1421</v>
      </c>
      <c r="B3239" s="3" t="s">
        <v>3507</v>
      </c>
      <c r="C3239" s="3" t="s">
        <v>3507</v>
      </c>
      <c r="D3239" s="3" t="s">
        <v>3358</v>
      </c>
    </row>
    <row r="3240" spans="1:4" x14ac:dyDescent="0.2">
      <c r="A3240" s="3">
        <v>1422</v>
      </c>
      <c r="B3240" s="3" t="s">
        <v>3508</v>
      </c>
      <c r="C3240" s="3" t="s">
        <v>3508</v>
      </c>
      <c r="D3240" s="3" t="s">
        <v>3358</v>
      </c>
    </row>
    <row r="3241" spans="1:4" x14ac:dyDescent="0.2">
      <c r="A3241" s="3">
        <v>1453</v>
      </c>
      <c r="B3241" s="3" t="s">
        <v>3509</v>
      </c>
      <c r="C3241" s="3" t="s">
        <v>3509</v>
      </c>
      <c r="D3241" s="3" t="s">
        <v>3358</v>
      </c>
    </row>
    <row r="3242" spans="1:4" x14ac:dyDescent="0.2">
      <c r="A3242" s="3">
        <v>1428</v>
      </c>
      <c r="B3242" s="3" t="s">
        <v>3510</v>
      </c>
      <c r="C3242" s="3" t="s">
        <v>3510</v>
      </c>
      <c r="D3242" s="3" t="s">
        <v>3358</v>
      </c>
    </row>
    <row r="3243" spans="1:4" x14ac:dyDescent="0.2">
      <c r="A3243" s="3">
        <v>1431</v>
      </c>
      <c r="B3243" s="3" t="s">
        <v>3511</v>
      </c>
      <c r="C3243" s="3" t="s">
        <v>3511</v>
      </c>
      <c r="D3243" s="3" t="s">
        <v>3358</v>
      </c>
    </row>
    <row r="3244" spans="1:4" x14ac:dyDescent="0.2">
      <c r="A3244" s="3">
        <v>1425</v>
      </c>
      <c r="B3244" s="3" t="s">
        <v>3512</v>
      </c>
      <c r="C3244" s="3" t="s">
        <v>3513</v>
      </c>
      <c r="D3244" s="3" t="s">
        <v>3358</v>
      </c>
    </row>
    <row r="3245" spans="1:4" x14ac:dyDescent="0.2">
      <c r="A3245" s="3">
        <v>1428</v>
      </c>
      <c r="B3245" s="3" t="s">
        <v>3514</v>
      </c>
      <c r="C3245" s="3" t="s">
        <v>3514</v>
      </c>
      <c r="D3245" s="3" t="s">
        <v>3358</v>
      </c>
    </row>
    <row r="3246" spans="1:4" x14ac:dyDescent="0.2">
      <c r="A3246" s="3">
        <v>1450</v>
      </c>
      <c r="B3246" s="3" t="s">
        <v>3515</v>
      </c>
      <c r="C3246" s="3" t="s">
        <v>3516</v>
      </c>
      <c r="D3246" s="3" t="s">
        <v>3358</v>
      </c>
    </row>
    <row r="3247" spans="1:4" x14ac:dyDescent="0.2">
      <c r="A3247" s="3">
        <v>1450</v>
      </c>
      <c r="B3247" s="3" t="s">
        <v>3517</v>
      </c>
      <c r="C3247" s="3" t="s">
        <v>3516</v>
      </c>
      <c r="D3247" s="3" t="s">
        <v>3358</v>
      </c>
    </row>
    <row r="3248" spans="1:4" x14ac:dyDescent="0.2">
      <c r="A3248" s="3">
        <v>1450</v>
      </c>
      <c r="B3248" s="3" t="s">
        <v>3518</v>
      </c>
      <c r="C3248" s="3" t="s">
        <v>3516</v>
      </c>
      <c r="D3248" s="3" t="s">
        <v>3358</v>
      </c>
    </row>
    <row r="3249" spans="1:4" x14ac:dyDescent="0.2">
      <c r="A3249" s="3">
        <v>1454</v>
      </c>
      <c r="B3249" s="3" t="s">
        <v>3519</v>
      </c>
      <c r="C3249" s="3" t="s">
        <v>3516</v>
      </c>
      <c r="D3249" s="3" t="s">
        <v>3358</v>
      </c>
    </row>
    <row r="3250" spans="1:4" x14ac:dyDescent="0.2">
      <c r="A3250" s="3">
        <v>1454</v>
      </c>
      <c r="B3250" s="3" t="s">
        <v>3520</v>
      </c>
      <c r="C3250" s="3" t="s">
        <v>3516</v>
      </c>
      <c r="D3250" s="3" t="s">
        <v>3358</v>
      </c>
    </row>
    <row r="3251" spans="1:4" x14ac:dyDescent="0.2">
      <c r="A3251" s="3">
        <v>1423</v>
      </c>
      <c r="B3251" s="3" t="s">
        <v>3521</v>
      </c>
      <c r="C3251" s="3" t="s">
        <v>3522</v>
      </c>
      <c r="D3251" s="3" t="s">
        <v>3358</v>
      </c>
    </row>
    <row r="3252" spans="1:4" x14ac:dyDescent="0.2">
      <c r="A3252" s="3">
        <v>1423</v>
      </c>
      <c r="B3252" s="3" t="s">
        <v>3523</v>
      </c>
      <c r="C3252" s="3" t="s">
        <v>3522</v>
      </c>
      <c r="D3252" s="3" t="s">
        <v>3358</v>
      </c>
    </row>
    <row r="3253" spans="1:4" x14ac:dyDescent="0.2">
      <c r="A3253" s="3">
        <v>1423</v>
      </c>
      <c r="B3253" s="3" t="s">
        <v>3524</v>
      </c>
      <c r="C3253" s="3" t="s">
        <v>3522</v>
      </c>
      <c r="D3253" s="3" t="s">
        <v>3358</v>
      </c>
    </row>
    <row r="3254" spans="1:4" x14ac:dyDescent="0.2">
      <c r="A3254" s="3">
        <v>1423</v>
      </c>
      <c r="B3254" s="3" t="s">
        <v>3525</v>
      </c>
      <c r="C3254" s="3" t="s">
        <v>3522</v>
      </c>
      <c r="D3254" s="3" t="s">
        <v>3358</v>
      </c>
    </row>
    <row r="3255" spans="1:4" x14ac:dyDescent="0.2">
      <c r="A3255" s="3">
        <v>1092</v>
      </c>
      <c r="B3255" s="3" t="s">
        <v>3526</v>
      </c>
      <c r="C3255" s="3" t="s">
        <v>3526</v>
      </c>
      <c r="D3255" s="3" t="s">
        <v>3358</v>
      </c>
    </row>
    <row r="3256" spans="1:4" x14ac:dyDescent="0.2">
      <c r="A3256" s="3">
        <v>1033</v>
      </c>
      <c r="B3256" s="3" t="s">
        <v>3527</v>
      </c>
      <c r="C3256" s="3" t="s">
        <v>3527</v>
      </c>
      <c r="D3256" s="3" t="s">
        <v>3358</v>
      </c>
    </row>
    <row r="3257" spans="1:4" x14ac:dyDescent="0.2">
      <c r="A3257" s="3">
        <v>1023</v>
      </c>
      <c r="B3257" s="3" t="s">
        <v>3528</v>
      </c>
      <c r="C3257" s="3" t="s">
        <v>3528</v>
      </c>
      <c r="D3257" s="3" t="s">
        <v>3358</v>
      </c>
    </row>
    <row r="3258" spans="1:4" x14ac:dyDescent="0.2">
      <c r="A3258" s="3">
        <v>1066</v>
      </c>
      <c r="B3258" s="3" t="s">
        <v>3529</v>
      </c>
      <c r="C3258" s="3" t="s">
        <v>3529</v>
      </c>
      <c r="D3258" s="3" t="s">
        <v>3358</v>
      </c>
    </row>
    <row r="3259" spans="1:4" x14ac:dyDescent="0.2">
      <c r="A3259" s="3">
        <v>1008</v>
      </c>
      <c r="B3259" s="3" t="s">
        <v>3530</v>
      </c>
      <c r="C3259" s="3" t="s">
        <v>3530</v>
      </c>
      <c r="D3259" s="3" t="s">
        <v>3358</v>
      </c>
    </row>
    <row r="3260" spans="1:4" x14ac:dyDescent="0.2">
      <c r="A3260" s="3">
        <v>1000</v>
      </c>
      <c r="B3260" s="3" t="s">
        <v>3531</v>
      </c>
      <c r="C3260" s="3" t="s">
        <v>3532</v>
      </c>
      <c r="D3260" s="3" t="s">
        <v>3358</v>
      </c>
    </row>
    <row r="3261" spans="1:4" x14ac:dyDescent="0.2">
      <c r="A3261" s="3">
        <v>1000</v>
      </c>
      <c r="B3261" s="3" t="s">
        <v>3533</v>
      </c>
      <c r="C3261" s="3" t="s">
        <v>3532</v>
      </c>
      <c r="D3261" s="3" t="s">
        <v>3358</v>
      </c>
    </row>
    <row r="3262" spans="1:4" x14ac:dyDescent="0.2">
      <c r="A3262" s="3">
        <v>1000</v>
      </c>
      <c r="B3262" s="3" t="s">
        <v>3534</v>
      </c>
      <c r="C3262" s="3" t="s">
        <v>3532</v>
      </c>
      <c r="D3262" s="3" t="s">
        <v>3358</v>
      </c>
    </row>
    <row r="3263" spans="1:4" x14ac:dyDescent="0.2">
      <c r="A3263" s="3">
        <v>1003</v>
      </c>
      <c r="B3263" s="3" t="s">
        <v>3532</v>
      </c>
      <c r="C3263" s="3" t="s">
        <v>3532</v>
      </c>
      <c r="D3263" s="3" t="s">
        <v>3358</v>
      </c>
    </row>
    <row r="3264" spans="1:4" x14ac:dyDescent="0.2">
      <c r="A3264" s="3">
        <v>1004</v>
      </c>
      <c r="B3264" s="3" t="s">
        <v>3532</v>
      </c>
      <c r="C3264" s="3" t="s">
        <v>3532</v>
      </c>
      <c r="D3264" s="3" t="s">
        <v>3358</v>
      </c>
    </row>
    <row r="3265" spans="1:4" x14ac:dyDescent="0.2">
      <c r="A3265" s="3">
        <v>1005</v>
      </c>
      <c r="B3265" s="3" t="s">
        <v>3532</v>
      </c>
      <c r="C3265" s="3" t="s">
        <v>3532</v>
      </c>
      <c r="D3265" s="3" t="s">
        <v>3358</v>
      </c>
    </row>
    <row r="3266" spans="1:4" x14ac:dyDescent="0.2">
      <c r="A3266" s="3">
        <v>1006</v>
      </c>
      <c r="B3266" s="3" t="s">
        <v>3532</v>
      </c>
      <c r="C3266" s="3" t="s">
        <v>3532</v>
      </c>
      <c r="D3266" s="3" t="s">
        <v>3358</v>
      </c>
    </row>
    <row r="3267" spans="1:4" x14ac:dyDescent="0.2">
      <c r="A3267" s="3">
        <v>1007</v>
      </c>
      <c r="B3267" s="3" t="s">
        <v>3532</v>
      </c>
      <c r="C3267" s="3" t="s">
        <v>3532</v>
      </c>
      <c r="D3267" s="3" t="s">
        <v>3358</v>
      </c>
    </row>
    <row r="3268" spans="1:4" x14ac:dyDescent="0.2">
      <c r="A3268" s="3">
        <v>1010</v>
      </c>
      <c r="B3268" s="3" t="s">
        <v>3532</v>
      </c>
      <c r="C3268" s="3" t="s">
        <v>3532</v>
      </c>
      <c r="D3268" s="3" t="s">
        <v>3358</v>
      </c>
    </row>
    <row r="3269" spans="1:4" x14ac:dyDescent="0.2">
      <c r="A3269" s="3">
        <v>1011</v>
      </c>
      <c r="B3269" s="3" t="s">
        <v>3532</v>
      </c>
      <c r="C3269" s="3" t="s">
        <v>3532</v>
      </c>
      <c r="D3269" s="3" t="s">
        <v>3358</v>
      </c>
    </row>
    <row r="3270" spans="1:4" x14ac:dyDescent="0.2">
      <c r="A3270" s="3">
        <v>1012</v>
      </c>
      <c r="B3270" s="3" t="s">
        <v>3532</v>
      </c>
      <c r="C3270" s="3" t="s">
        <v>3532</v>
      </c>
      <c r="D3270" s="3" t="s">
        <v>3358</v>
      </c>
    </row>
    <row r="3271" spans="1:4" x14ac:dyDescent="0.2">
      <c r="A3271" s="3">
        <v>1015</v>
      </c>
      <c r="B3271" s="3" t="s">
        <v>3532</v>
      </c>
      <c r="C3271" s="3" t="s">
        <v>3532</v>
      </c>
      <c r="D3271" s="3" t="s">
        <v>3358</v>
      </c>
    </row>
    <row r="3272" spans="1:4" x14ac:dyDescent="0.2">
      <c r="A3272" s="3">
        <v>1018</v>
      </c>
      <c r="B3272" s="3" t="s">
        <v>3532</v>
      </c>
      <c r="C3272" s="3" t="s">
        <v>3532</v>
      </c>
      <c r="D3272" s="3" t="s">
        <v>3358</v>
      </c>
    </row>
    <row r="3273" spans="1:4" x14ac:dyDescent="0.2">
      <c r="A3273" s="3">
        <v>1052</v>
      </c>
      <c r="B3273" s="3" t="s">
        <v>3535</v>
      </c>
      <c r="C3273" s="3" t="s">
        <v>3535</v>
      </c>
      <c r="D3273" s="3" t="s">
        <v>3358</v>
      </c>
    </row>
    <row r="3274" spans="1:4" x14ac:dyDescent="0.2">
      <c r="A3274" s="3">
        <v>1094</v>
      </c>
      <c r="B3274" s="3" t="s">
        <v>3536</v>
      </c>
      <c r="C3274" s="3" t="s">
        <v>3536</v>
      </c>
      <c r="D3274" s="3" t="s">
        <v>3358</v>
      </c>
    </row>
    <row r="3275" spans="1:4" x14ac:dyDescent="0.2">
      <c r="A3275" s="3">
        <v>1008</v>
      </c>
      <c r="B3275" s="3" t="s">
        <v>3537</v>
      </c>
      <c r="C3275" s="3" t="s">
        <v>3537</v>
      </c>
      <c r="D3275" s="3" t="s">
        <v>3358</v>
      </c>
    </row>
    <row r="3276" spans="1:4" x14ac:dyDescent="0.2">
      <c r="A3276" s="3">
        <v>1009</v>
      </c>
      <c r="B3276" s="3" t="s">
        <v>3538</v>
      </c>
      <c r="C3276" s="3" t="s">
        <v>3538</v>
      </c>
      <c r="D3276" s="3" t="s">
        <v>3358</v>
      </c>
    </row>
    <row r="3277" spans="1:4" x14ac:dyDescent="0.2">
      <c r="A3277" s="3">
        <v>1068</v>
      </c>
      <c r="B3277" s="3" t="s">
        <v>3539</v>
      </c>
      <c r="C3277" s="3" t="s">
        <v>3538</v>
      </c>
      <c r="D3277" s="3" t="s">
        <v>3358</v>
      </c>
    </row>
    <row r="3278" spans="1:4" x14ac:dyDescent="0.2">
      <c r="A3278" s="3">
        <v>1020</v>
      </c>
      <c r="B3278" s="3" t="s">
        <v>3540</v>
      </c>
      <c r="C3278" s="3" t="s">
        <v>3541</v>
      </c>
      <c r="D3278" s="3" t="s">
        <v>3358</v>
      </c>
    </row>
    <row r="3279" spans="1:4" x14ac:dyDescent="0.2">
      <c r="A3279" s="3">
        <v>1032</v>
      </c>
      <c r="B3279" s="3" t="s">
        <v>3542</v>
      </c>
      <c r="C3279" s="3" t="s">
        <v>3542</v>
      </c>
      <c r="D3279" s="3" t="s">
        <v>3358</v>
      </c>
    </row>
    <row r="3280" spans="1:4" x14ac:dyDescent="0.2">
      <c r="A3280" s="3">
        <v>1071</v>
      </c>
      <c r="B3280" s="3" t="s">
        <v>3543</v>
      </c>
      <c r="C3280" s="3" t="s">
        <v>3543</v>
      </c>
      <c r="D3280" s="3" t="s">
        <v>3358</v>
      </c>
    </row>
    <row r="3281" spans="1:4" x14ac:dyDescent="0.2">
      <c r="A3281" s="3">
        <v>1072</v>
      </c>
      <c r="B3281" s="3" t="s">
        <v>3544</v>
      </c>
      <c r="C3281" s="3" t="s">
        <v>3544</v>
      </c>
      <c r="D3281" s="3" t="s">
        <v>3358</v>
      </c>
    </row>
    <row r="3282" spans="1:4" x14ac:dyDescent="0.2">
      <c r="A3282" s="3">
        <v>1090</v>
      </c>
      <c r="B3282" s="3" t="s">
        <v>3545</v>
      </c>
      <c r="C3282" s="3" t="s">
        <v>3546</v>
      </c>
      <c r="D3282" s="3" t="s">
        <v>3358</v>
      </c>
    </row>
    <row r="3283" spans="1:4" x14ac:dyDescent="0.2">
      <c r="A3283" s="3">
        <v>1093</v>
      </c>
      <c r="B3283" s="3" t="s">
        <v>3547</v>
      </c>
      <c r="C3283" s="3" t="s">
        <v>3546</v>
      </c>
      <c r="D3283" s="3" t="s">
        <v>3358</v>
      </c>
    </row>
    <row r="3284" spans="1:4" x14ac:dyDescent="0.2">
      <c r="A3284" s="3">
        <v>1095</v>
      </c>
      <c r="B3284" s="3" t="s">
        <v>3546</v>
      </c>
      <c r="C3284" s="3" t="s">
        <v>3546</v>
      </c>
      <c r="D3284" s="3" t="s">
        <v>3358</v>
      </c>
    </row>
    <row r="3285" spans="1:4" x14ac:dyDescent="0.2">
      <c r="A3285" s="3">
        <v>1070</v>
      </c>
      <c r="B3285" s="3" t="s">
        <v>3548</v>
      </c>
      <c r="C3285" s="3" t="s">
        <v>3548</v>
      </c>
      <c r="D3285" s="3" t="s">
        <v>3358</v>
      </c>
    </row>
    <row r="3286" spans="1:4" x14ac:dyDescent="0.2">
      <c r="A3286" s="3">
        <v>1071</v>
      </c>
      <c r="B3286" s="3" t="s">
        <v>3549</v>
      </c>
      <c r="C3286" s="3" t="s">
        <v>3549</v>
      </c>
      <c r="D3286" s="3" t="s">
        <v>3358</v>
      </c>
    </row>
    <row r="3287" spans="1:4" x14ac:dyDescent="0.2">
      <c r="A3287" s="3">
        <v>1071</v>
      </c>
      <c r="B3287" s="3" t="s">
        <v>3550</v>
      </c>
      <c r="C3287" s="3" t="s">
        <v>3551</v>
      </c>
      <c r="D3287" s="3" t="s">
        <v>3358</v>
      </c>
    </row>
    <row r="3288" spans="1:4" x14ac:dyDescent="0.2">
      <c r="A3288" s="3">
        <v>1073</v>
      </c>
      <c r="B3288" s="3" t="s">
        <v>3552</v>
      </c>
      <c r="C3288" s="3" t="s">
        <v>3552</v>
      </c>
      <c r="D3288" s="3" t="s">
        <v>3358</v>
      </c>
    </row>
    <row r="3289" spans="1:4" x14ac:dyDescent="0.2">
      <c r="A3289" s="3">
        <v>1073</v>
      </c>
      <c r="B3289" s="3" t="s">
        <v>3553</v>
      </c>
      <c r="C3289" s="3" t="s">
        <v>3552</v>
      </c>
      <c r="D3289" s="3" t="s">
        <v>3358</v>
      </c>
    </row>
    <row r="3290" spans="1:4" x14ac:dyDescent="0.2">
      <c r="A3290" s="3">
        <v>1091</v>
      </c>
      <c r="B3290" s="3" t="s">
        <v>3554</v>
      </c>
      <c r="C3290" s="3" t="s">
        <v>3555</v>
      </c>
      <c r="D3290" s="3" t="s">
        <v>3358</v>
      </c>
    </row>
    <row r="3291" spans="1:4" x14ac:dyDescent="0.2">
      <c r="A3291" s="3">
        <v>1091</v>
      </c>
      <c r="B3291" s="3" t="s">
        <v>3556</v>
      </c>
      <c r="C3291" s="3" t="s">
        <v>3555</v>
      </c>
      <c r="D3291" s="3" t="s">
        <v>3358</v>
      </c>
    </row>
    <row r="3292" spans="1:4" x14ac:dyDescent="0.2">
      <c r="A3292" s="3">
        <v>1091</v>
      </c>
      <c r="B3292" s="3" t="s">
        <v>3557</v>
      </c>
      <c r="C3292" s="3" t="s">
        <v>3555</v>
      </c>
      <c r="D3292" s="3" t="s">
        <v>3358</v>
      </c>
    </row>
    <row r="3293" spans="1:4" x14ac:dyDescent="0.2">
      <c r="A3293" s="3">
        <v>1096</v>
      </c>
      <c r="B3293" s="3" t="s">
        <v>3558</v>
      </c>
      <c r="C3293" s="3" t="s">
        <v>3555</v>
      </c>
      <c r="D3293" s="3" t="s">
        <v>3358</v>
      </c>
    </row>
    <row r="3294" spans="1:4" x14ac:dyDescent="0.2">
      <c r="A3294" s="3">
        <v>1096</v>
      </c>
      <c r="B3294" s="3" t="s">
        <v>3559</v>
      </c>
      <c r="C3294" s="3" t="s">
        <v>3555</v>
      </c>
      <c r="D3294" s="3" t="s">
        <v>3358</v>
      </c>
    </row>
    <row r="3295" spans="1:4" x14ac:dyDescent="0.2">
      <c r="A3295" s="3">
        <v>1097</v>
      </c>
      <c r="B3295" s="3" t="s">
        <v>3560</v>
      </c>
      <c r="C3295" s="3" t="s">
        <v>3555</v>
      </c>
      <c r="D3295" s="3" t="s">
        <v>3358</v>
      </c>
    </row>
    <row r="3296" spans="1:4" x14ac:dyDescent="0.2">
      <c r="A3296" s="3">
        <v>1098</v>
      </c>
      <c r="B3296" s="3" t="s">
        <v>3561</v>
      </c>
      <c r="C3296" s="3" t="s">
        <v>3555</v>
      </c>
      <c r="D3296" s="3" t="s">
        <v>3358</v>
      </c>
    </row>
    <row r="3297" spans="1:4" x14ac:dyDescent="0.2">
      <c r="A3297" s="3">
        <v>1123</v>
      </c>
      <c r="B3297" s="3" t="s">
        <v>3562</v>
      </c>
      <c r="C3297" s="3" t="s">
        <v>3562</v>
      </c>
      <c r="D3297" s="3" t="s">
        <v>3358</v>
      </c>
    </row>
    <row r="3298" spans="1:4" x14ac:dyDescent="0.2">
      <c r="A3298" s="3">
        <v>1121</v>
      </c>
      <c r="B3298" s="3" t="s">
        <v>3563</v>
      </c>
      <c r="C3298" s="3" t="s">
        <v>3563</v>
      </c>
      <c r="D3298" s="3" t="s">
        <v>3358</v>
      </c>
    </row>
    <row r="3299" spans="1:4" x14ac:dyDescent="0.2">
      <c r="A3299" s="3">
        <v>1164</v>
      </c>
      <c r="B3299" s="3" t="s">
        <v>3564</v>
      </c>
      <c r="C3299" s="3" t="s">
        <v>3564</v>
      </c>
      <c r="D3299" s="3" t="s">
        <v>3358</v>
      </c>
    </row>
    <row r="3300" spans="1:4" x14ac:dyDescent="0.2">
      <c r="A3300" s="3">
        <v>1030</v>
      </c>
      <c r="B3300" s="3" t="s">
        <v>3565</v>
      </c>
      <c r="C3300" s="3" t="s">
        <v>3565</v>
      </c>
      <c r="D3300" s="3" t="s">
        <v>3358</v>
      </c>
    </row>
    <row r="3301" spans="1:4" x14ac:dyDescent="0.2">
      <c r="A3301" s="3">
        <v>1022</v>
      </c>
      <c r="B3301" s="3" t="s">
        <v>3566</v>
      </c>
      <c r="C3301" s="3" t="s">
        <v>3566</v>
      </c>
      <c r="D3301" s="3" t="s">
        <v>3358</v>
      </c>
    </row>
    <row r="3302" spans="1:4" x14ac:dyDescent="0.2">
      <c r="A3302" s="3">
        <v>1134</v>
      </c>
      <c r="B3302" s="3" t="s">
        <v>3567</v>
      </c>
      <c r="C3302" s="3" t="s">
        <v>3567</v>
      </c>
      <c r="D3302" s="3" t="s">
        <v>3358</v>
      </c>
    </row>
    <row r="3303" spans="1:4" x14ac:dyDescent="0.2">
      <c r="A3303" s="3">
        <v>1127</v>
      </c>
      <c r="B3303" s="3" t="s">
        <v>3568</v>
      </c>
      <c r="C3303" s="3" t="s">
        <v>3568</v>
      </c>
      <c r="D3303" s="3" t="s">
        <v>3358</v>
      </c>
    </row>
    <row r="3304" spans="1:4" x14ac:dyDescent="0.2">
      <c r="A3304" s="3">
        <v>1135</v>
      </c>
      <c r="B3304" s="3" t="s">
        <v>3569</v>
      </c>
      <c r="C3304" s="3" t="s">
        <v>3569</v>
      </c>
      <c r="D3304" s="3" t="s">
        <v>3358</v>
      </c>
    </row>
    <row r="3305" spans="1:4" x14ac:dyDescent="0.2">
      <c r="A3305" s="3">
        <v>1026</v>
      </c>
      <c r="B3305" s="3" t="s">
        <v>3570</v>
      </c>
      <c r="C3305" s="3" t="s">
        <v>3570</v>
      </c>
      <c r="D3305" s="3" t="s">
        <v>3358</v>
      </c>
    </row>
    <row r="3306" spans="1:4" x14ac:dyDescent="0.2">
      <c r="A3306" s="3">
        <v>1026</v>
      </c>
      <c r="B3306" s="3" t="s">
        <v>3571</v>
      </c>
      <c r="C3306" s="3" t="s">
        <v>3571</v>
      </c>
      <c r="D3306" s="3" t="s">
        <v>3358</v>
      </c>
    </row>
    <row r="3307" spans="1:4" x14ac:dyDescent="0.2">
      <c r="A3307" s="3">
        <v>1112</v>
      </c>
      <c r="B3307" s="3" t="s">
        <v>3572</v>
      </c>
      <c r="C3307" s="3" t="s">
        <v>3572</v>
      </c>
      <c r="D3307" s="3" t="s">
        <v>3358</v>
      </c>
    </row>
    <row r="3308" spans="1:4" x14ac:dyDescent="0.2">
      <c r="A3308" s="3">
        <v>1113</v>
      </c>
      <c r="B3308" s="3" t="s">
        <v>3573</v>
      </c>
      <c r="C3308" s="3" t="s">
        <v>3572</v>
      </c>
      <c r="D3308" s="3" t="s">
        <v>3358</v>
      </c>
    </row>
    <row r="3309" spans="1:4" x14ac:dyDescent="0.2">
      <c r="A3309" s="3">
        <v>1114</v>
      </c>
      <c r="B3309" s="3" t="s">
        <v>3574</v>
      </c>
      <c r="C3309" s="3" t="s">
        <v>3572</v>
      </c>
      <c r="D3309" s="3" t="s">
        <v>3358</v>
      </c>
    </row>
    <row r="3310" spans="1:4" x14ac:dyDescent="0.2">
      <c r="A3310" s="3">
        <v>1125</v>
      </c>
      <c r="B3310" s="3" t="s">
        <v>3575</v>
      </c>
      <c r="C3310" s="3" t="s">
        <v>3572</v>
      </c>
      <c r="D3310" s="3" t="s">
        <v>3358</v>
      </c>
    </row>
    <row r="3311" spans="1:4" x14ac:dyDescent="0.2">
      <c r="A3311" s="3">
        <v>1024</v>
      </c>
      <c r="B3311" s="3" t="s">
        <v>3576</v>
      </c>
      <c r="C3311" s="3" t="s">
        <v>3577</v>
      </c>
      <c r="D3311" s="3" t="s">
        <v>3358</v>
      </c>
    </row>
    <row r="3312" spans="1:4" x14ac:dyDescent="0.2">
      <c r="A3312" s="3">
        <v>1163</v>
      </c>
      <c r="B3312" s="3" t="s">
        <v>3578</v>
      </c>
      <c r="C3312" s="3" t="s">
        <v>3578</v>
      </c>
      <c r="D3312" s="3" t="s">
        <v>3358</v>
      </c>
    </row>
    <row r="3313" spans="1:4" x14ac:dyDescent="0.2">
      <c r="A3313" s="3">
        <v>1175</v>
      </c>
      <c r="B3313" s="3" t="s">
        <v>3579</v>
      </c>
      <c r="C3313" s="3" t="s">
        <v>3579</v>
      </c>
      <c r="D3313" s="3" t="s">
        <v>3358</v>
      </c>
    </row>
    <row r="3314" spans="1:4" x14ac:dyDescent="0.2">
      <c r="A3314" s="3">
        <v>1027</v>
      </c>
      <c r="B3314" s="3" t="s">
        <v>3580</v>
      </c>
      <c r="C3314" s="3" t="s">
        <v>3580</v>
      </c>
      <c r="D3314" s="3" t="s">
        <v>3358</v>
      </c>
    </row>
    <row r="3315" spans="1:4" x14ac:dyDescent="0.2">
      <c r="A3315" s="3">
        <v>1132</v>
      </c>
      <c r="B3315" s="3" t="s">
        <v>3581</v>
      </c>
      <c r="C3315" s="3" t="s">
        <v>3582</v>
      </c>
      <c r="D3315" s="3" t="s">
        <v>3358</v>
      </c>
    </row>
    <row r="3316" spans="1:4" x14ac:dyDescent="0.2">
      <c r="A3316" s="3">
        <v>1167</v>
      </c>
      <c r="B3316" s="3" t="s">
        <v>3583</v>
      </c>
      <c r="C3316" s="3" t="s">
        <v>3583</v>
      </c>
      <c r="D3316" s="3" t="s">
        <v>3358</v>
      </c>
    </row>
    <row r="3317" spans="1:4" x14ac:dyDescent="0.2">
      <c r="A3317" s="3">
        <v>1110</v>
      </c>
      <c r="B3317" s="3" t="s">
        <v>3584</v>
      </c>
      <c r="C3317" s="3" t="s">
        <v>3584</v>
      </c>
      <c r="D3317" s="3" t="s">
        <v>3358</v>
      </c>
    </row>
    <row r="3318" spans="1:4" x14ac:dyDescent="0.2">
      <c r="A3318" s="3">
        <v>1028</v>
      </c>
      <c r="B3318" s="3" t="s">
        <v>3585</v>
      </c>
      <c r="C3318" s="3" t="s">
        <v>3585</v>
      </c>
      <c r="D3318" s="3" t="s">
        <v>3358</v>
      </c>
    </row>
    <row r="3319" spans="1:4" x14ac:dyDescent="0.2">
      <c r="A3319" s="3">
        <v>1122</v>
      </c>
      <c r="B3319" s="3" t="s">
        <v>3586</v>
      </c>
      <c r="C3319" s="3" t="s">
        <v>3586</v>
      </c>
      <c r="D3319" s="3" t="s">
        <v>3358</v>
      </c>
    </row>
    <row r="3320" spans="1:4" x14ac:dyDescent="0.2">
      <c r="A3320" s="3">
        <v>1162</v>
      </c>
      <c r="B3320" s="3" t="s">
        <v>3587</v>
      </c>
      <c r="C3320" s="3" t="s">
        <v>3588</v>
      </c>
      <c r="D3320" s="3" t="s">
        <v>3358</v>
      </c>
    </row>
    <row r="3321" spans="1:4" x14ac:dyDescent="0.2">
      <c r="A3321" s="3">
        <v>1025</v>
      </c>
      <c r="B3321" s="3" t="s">
        <v>3589</v>
      </c>
      <c r="C3321" s="3" t="s">
        <v>3590</v>
      </c>
      <c r="D3321" s="3" t="s">
        <v>3358</v>
      </c>
    </row>
    <row r="3322" spans="1:4" x14ac:dyDescent="0.2">
      <c r="A3322" s="3">
        <v>1131</v>
      </c>
      <c r="B3322" s="3" t="s">
        <v>3591</v>
      </c>
      <c r="C3322" s="3" t="s">
        <v>3591</v>
      </c>
      <c r="D3322" s="3" t="s">
        <v>3358</v>
      </c>
    </row>
    <row r="3323" spans="1:4" x14ac:dyDescent="0.2">
      <c r="A3323" s="3">
        <v>1126</v>
      </c>
      <c r="B3323" s="3" t="s">
        <v>3592</v>
      </c>
      <c r="C3323" s="3" t="s">
        <v>3592</v>
      </c>
      <c r="D3323" s="3" t="s">
        <v>3358</v>
      </c>
    </row>
    <row r="3324" spans="1:4" x14ac:dyDescent="0.2">
      <c r="A3324" s="3">
        <v>1029</v>
      </c>
      <c r="B3324" s="3" t="s">
        <v>3593</v>
      </c>
      <c r="C3324" s="3" t="s">
        <v>3594</v>
      </c>
      <c r="D3324" s="3" t="s">
        <v>3358</v>
      </c>
    </row>
    <row r="3325" spans="1:4" x14ac:dyDescent="0.2">
      <c r="A3325" s="3">
        <v>1168</v>
      </c>
      <c r="B3325" s="3" t="s">
        <v>3595</v>
      </c>
      <c r="C3325" s="3" t="s">
        <v>3595</v>
      </c>
      <c r="D3325" s="3" t="s">
        <v>3358</v>
      </c>
    </row>
    <row r="3326" spans="1:4" x14ac:dyDescent="0.2">
      <c r="A3326" s="3">
        <v>1134</v>
      </c>
      <c r="B3326" s="3" t="s">
        <v>3596</v>
      </c>
      <c r="C3326" s="3" t="s">
        <v>3596</v>
      </c>
      <c r="D3326" s="3" t="s">
        <v>3358</v>
      </c>
    </row>
    <row r="3327" spans="1:4" x14ac:dyDescent="0.2">
      <c r="A3327" s="3">
        <v>1115</v>
      </c>
      <c r="B3327" s="3" t="s">
        <v>3597</v>
      </c>
      <c r="C3327" s="3" t="s">
        <v>3597</v>
      </c>
      <c r="D3327" s="3" t="s">
        <v>3358</v>
      </c>
    </row>
    <row r="3328" spans="1:4" x14ac:dyDescent="0.2">
      <c r="A3328" s="3">
        <v>1169</v>
      </c>
      <c r="B3328" s="3" t="s">
        <v>3598</v>
      </c>
      <c r="C3328" s="3" t="s">
        <v>3598</v>
      </c>
      <c r="D3328" s="3" t="s">
        <v>3358</v>
      </c>
    </row>
    <row r="3329" spans="1:4" x14ac:dyDescent="0.2">
      <c r="A3329" s="3">
        <v>1116</v>
      </c>
      <c r="B3329" s="3" t="s">
        <v>3599</v>
      </c>
      <c r="C3329" s="3" t="s">
        <v>3600</v>
      </c>
      <c r="D3329" s="3" t="s">
        <v>3358</v>
      </c>
    </row>
    <row r="3330" spans="1:4" x14ac:dyDescent="0.2">
      <c r="A3330" s="3">
        <v>1128</v>
      </c>
      <c r="B3330" s="3" t="s">
        <v>3601</v>
      </c>
      <c r="C3330" s="3" t="s">
        <v>3600</v>
      </c>
      <c r="D3330" s="3" t="s">
        <v>3358</v>
      </c>
    </row>
    <row r="3331" spans="1:4" x14ac:dyDescent="0.2">
      <c r="A3331" s="3">
        <v>1136</v>
      </c>
      <c r="B3331" s="3" t="s">
        <v>3602</v>
      </c>
      <c r="C3331" s="3" t="s">
        <v>3600</v>
      </c>
      <c r="D3331" s="3" t="s">
        <v>3358</v>
      </c>
    </row>
    <row r="3332" spans="1:4" x14ac:dyDescent="0.2">
      <c r="A3332" s="3">
        <v>1141</v>
      </c>
      <c r="B3332" s="3" t="s">
        <v>3603</v>
      </c>
      <c r="C3332" s="3" t="s">
        <v>3600</v>
      </c>
      <c r="D3332" s="3" t="s">
        <v>3358</v>
      </c>
    </row>
    <row r="3333" spans="1:4" x14ac:dyDescent="0.2">
      <c r="A3333" s="3">
        <v>1142</v>
      </c>
      <c r="B3333" s="3" t="s">
        <v>3604</v>
      </c>
      <c r="C3333" s="3" t="s">
        <v>3600</v>
      </c>
      <c r="D3333" s="3" t="s">
        <v>3358</v>
      </c>
    </row>
    <row r="3334" spans="1:4" x14ac:dyDescent="0.2">
      <c r="A3334" s="3">
        <v>1143</v>
      </c>
      <c r="B3334" s="3" t="s">
        <v>3605</v>
      </c>
      <c r="C3334" s="3" t="s">
        <v>3600</v>
      </c>
      <c r="D3334" s="3" t="s">
        <v>3358</v>
      </c>
    </row>
    <row r="3335" spans="1:4" x14ac:dyDescent="0.2">
      <c r="A3335" s="3">
        <v>1063</v>
      </c>
      <c r="B3335" s="3" t="s">
        <v>3606</v>
      </c>
      <c r="C3335" s="3" t="s">
        <v>3606</v>
      </c>
      <c r="D3335" s="3" t="s">
        <v>3358</v>
      </c>
    </row>
    <row r="3336" spans="1:4" x14ac:dyDescent="0.2">
      <c r="A3336" s="3">
        <v>1514</v>
      </c>
      <c r="B3336" s="3" t="s">
        <v>3607</v>
      </c>
      <c r="C3336" s="3" t="s">
        <v>3607</v>
      </c>
      <c r="D3336" s="3" t="s">
        <v>3358</v>
      </c>
    </row>
    <row r="3337" spans="1:4" x14ac:dyDescent="0.2">
      <c r="A3337" s="3">
        <v>1512</v>
      </c>
      <c r="B3337" s="3" t="s">
        <v>3608</v>
      </c>
      <c r="C3337" s="3" t="s">
        <v>3608</v>
      </c>
      <c r="D3337" s="3" t="s">
        <v>3358</v>
      </c>
    </row>
    <row r="3338" spans="1:4" x14ac:dyDescent="0.2">
      <c r="A3338" s="3">
        <v>1521</v>
      </c>
      <c r="B3338" s="3" t="s">
        <v>3609</v>
      </c>
      <c r="C3338" s="3" t="s">
        <v>3609</v>
      </c>
      <c r="D3338" s="3" t="s">
        <v>3358</v>
      </c>
    </row>
    <row r="3339" spans="1:4" x14ac:dyDescent="0.2">
      <c r="A3339" s="3">
        <v>1682</v>
      </c>
      <c r="B3339" s="3" t="s">
        <v>3610</v>
      </c>
      <c r="C3339" s="3" t="s">
        <v>3611</v>
      </c>
      <c r="D3339" s="3" t="s">
        <v>3358</v>
      </c>
    </row>
    <row r="3340" spans="1:4" x14ac:dyDescent="0.2">
      <c r="A3340" s="3">
        <v>1513</v>
      </c>
      <c r="B3340" s="3" t="s">
        <v>3612</v>
      </c>
      <c r="C3340" s="3" t="s">
        <v>3612</v>
      </c>
      <c r="D3340" s="3" t="s">
        <v>3358</v>
      </c>
    </row>
    <row r="3341" spans="1:4" x14ac:dyDescent="0.2">
      <c r="A3341" s="3">
        <v>1682</v>
      </c>
      <c r="B3341" s="3" t="s">
        <v>3613</v>
      </c>
      <c r="C3341" s="3" t="s">
        <v>3613</v>
      </c>
      <c r="D3341" s="3" t="s">
        <v>3358</v>
      </c>
    </row>
    <row r="3342" spans="1:4" x14ac:dyDescent="0.2">
      <c r="A3342" s="3">
        <v>1522</v>
      </c>
      <c r="B3342" s="3" t="s">
        <v>3614</v>
      </c>
      <c r="C3342" s="3" t="s">
        <v>3614</v>
      </c>
      <c r="D3342" s="3" t="s">
        <v>3358</v>
      </c>
    </row>
    <row r="3343" spans="1:4" x14ac:dyDescent="0.2">
      <c r="A3343" s="3">
        <v>1522</v>
      </c>
      <c r="B3343" s="3" t="s">
        <v>3615</v>
      </c>
      <c r="C3343" s="3" t="s">
        <v>3614</v>
      </c>
      <c r="D3343" s="3" t="s">
        <v>3358</v>
      </c>
    </row>
    <row r="3344" spans="1:4" x14ac:dyDescent="0.2">
      <c r="A3344" s="3">
        <v>1526</v>
      </c>
      <c r="B3344" s="3" t="s">
        <v>3616</v>
      </c>
      <c r="C3344" s="3" t="s">
        <v>3614</v>
      </c>
      <c r="D3344" s="3" t="s">
        <v>3358</v>
      </c>
    </row>
    <row r="3345" spans="1:4" x14ac:dyDescent="0.2">
      <c r="A3345" s="3">
        <v>1526</v>
      </c>
      <c r="B3345" s="3" t="s">
        <v>3617</v>
      </c>
      <c r="C3345" s="3" t="s">
        <v>3614</v>
      </c>
      <c r="D3345" s="3" t="s">
        <v>3358</v>
      </c>
    </row>
    <row r="3346" spans="1:4" x14ac:dyDescent="0.2">
      <c r="A3346" s="3">
        <v>1683</v>
      </c>
      <c r="B3346" s="3" t="s">
        <v>3618</v>
      </c>
      <c r="C3346" s="3" t="s">
        <v>3614</v>
      </c>
      <c r="D3346" s="3" t="s">
        <v>3358</v>
      </c>
    </row>
    <row r="3347" spans="1:4" x14ac:dyDescent="0.2">
      <c r="A3347" s="3">
        <v>1683</v>
      </c>
      <c r="B3347" s="3" t="s">
        <v>3619</v>
      </c>
      <c r="C3347" s="3" t="s">
        <v>3614</v>
      </c>
      <c r="D3347" s="3" t="s">
        <v>3358</v>
      </c>
    </row>
    <row r="3348" spans="1:4" x14ac:dyDescent="0.2">
      <c r="A3348" s="3">
        <v>1683</v>
      </c>
      <c r="B3348" s="3" t="s">
        <v>3620</v>
      </c>
      <c r="C3348" s="3" t="s">
        <v>3614</v>
      </c>
      <c r="D3348" s="3" t="s">
        <v>3358</v>
      </c>
    </row>
    <row r="3349" spans="1:4" x14ac:dyDescent="0.2">
      <c r="A3349" s="3">
        <v>1510</v>
      </c>
      <c r="B3349" s="3" t="s">
        <v>3621</v>
      </c>
      <c r="C3349" s="3" t="s">
        <v>3621</v>
      </c>
      <c r="D3349" s="3" t="s">
        <v>3358</v>
      </c>
    </row>
    <row r="3350" spans="1:4" x14ac:dyDescent="0.2">
      <c r="A3350" s="3">
        <v>1045</v>
      </c>
      <c r="B3350" s="3" t="s">
        <v>3622</v>
      </c>
      <c r="C3350" s="3" t="s">
        <v>3622</v>
      </c>
      <c r="D3350" s="3" t="s">
        <v>3358</v>
      </c>
    </row>
    <row r="3351" spans="1:4" x14ac:dyDescent="0.2">
      <c r="A3351" s="3">
        <v>1682</v>
      </c>
      <c r="B3351" s="3" t="s">
        <v>3623</v>
      </c>
      <c r="C3351" s="3" t="s">
        <v>3623</v>
      </c>
      <c r="D3351" s="3" t="s">
        <v>3358</v>
      </c>
    </row>
    <row r="3352" spans="1:4" x14ac:dyDescent="0.2">
      <c r="A3352" s="3">
        <v>1513</v>
      </c>
      <c r="B3352" s="3" t="s">
        <v>3624</v>
      </c>
      <c r="C3352" s="3" t="s">
        <v>3624</v>
      </c>
      <c r="D3352" s="3" t="s">
        <v>3358</v>
      </c>
    </row>
    <row r="3353" spans="1:4" x14ac:dyDescent="0.2">
      <c r="A3353" s="3">
        <v>1510</v>
      </c>
      <c r="B3353" s="3" t="s">
        <v>3625</v>
      </c>
      <c r="C3353" s="3" t="s">
        <v>3625</v>
      </c>
      <c r="D3353" s="3" t="s">
        <v>3358</v>
      </c>
    </row>
    <row r="3354" spans="1:4" x14ac:dyDescent="0.2">
      <c r="A3354" s="3">
        <v>1515</v>
      </c>
      <c r="B3354" s="3" t="s">
        <v>3626</v>
      </c>
      <c r="C3354" s="3" t="s">
        <v>3626</v>
      </c>
      <c r="D3354" s="3" t="s">
        <v>3358</v>
      </c>
    </row>
    <row r="3355" spans="1:4" x14ac:dyDescent="0.2">
      <c r="A3355" s="3">
        <v>1509</v>
      </c>
      <c r="B3355" s="3" t="s">
        <v>3627</v>
      </c>
      <c r="C3355" s="3" t="s">
        <v>3627</v>
      </c>
      <c r="D3355" s="3" t="s">
        <v>3358</v>
      </c>
    </row>
    <row r="3356" spans="1:4" x14ac:dyDescent="0.2">
      <c r="A3356" s="3">
        <v>1063</v>
      </c>
      <c r="B3356" s="3" t="s">
        <v>3628</v>
      </c>
      <c r="C3356" s="3" t="s">
        <v>3629</v>
      </c>
      <c r="D3356" s="3" t="s">
        <v>3358</v>
      </c>
    </row>
    <row r="3357" spans="1:4" x14ac:dyDescent="0.2">
      <c r="A3357" s="3">
        <v>1063</v>
      </c>
      <c r="B3357" s="3" t="s">
        <v>3630</v>
      </c>
      <c r="C3357" s="3" t="s">
        <v>3629</v>
      </c>
      <c r="D3357" s="3" t="s">
        <v>3358</v>
      </c>
    </row>
    <row r="3358" spans="1:4" x14ac:dyDescent="0.2">
      <c r="A3358" s="3">
        <v>1063</v>
      </c>
      <c r="B3358" s="3" t="s">
        <v>3631</v>
      </c>
      <c r="C3358" s="3" t="s">
        <v>3629</v>
      </c>
      <c r="D3358" s="3" t="s">
        <v>3358</v>
      </c>
    </row>
    <row r="3359" spans="1:4" x14ac:dyDescent="0.2">
      <c r="A3359" s="3">
        <v>1409</v>
      </c>
      <c r="B3359" s="3" t="s">
        <v>3632</v>
      </c>
      <c r="C3359" s="3" t="s">
        <v>3629</v>
      </c>
      <c r="D3359" s="3" t="s">
        <v>3358</v>
      </c>
    </row>
    <row r="3360" spans="1:4" x14ac:dyDescent="0.2">
      <c r="A3360" s="3">
        <v>1410</v>
      </c>
      <c r="B3360" s="3" t="s">
        <v>3633</v>
      </c>
      <c r="C3360" s="3" t="s">
        <v>3629</v>
      </c>
      <c r="D3360" s="3" t="s">
        <v>3358</v>
      </c>
    </row>
    <row r="3361" spans="1:4" x14ac:dyDescent="0.2">
      <c r="A3361" s="3">
        <v>1410</v>
      </c>
      <c r="B3361" s="3" t="s">
        <v>3634</v>
      </c>
      <c r="C3361" s="3" t="s">
        <v>3629</v>
      </c>
      <c r="D3361" s="3" t="s">
        <v>3358</v>
      </c>
    </row>
    <row r="3362" spans="1:4" x14ac:dyDescent="0.2">
      <c r="A3362" s="3">
        <v>1410</v>
      </c>
      <c r="B3362" s="3" t="s">
        <v>3635</v>
      </c>
      <c r="C3362" s="3" t="s">
        <v>3629</v>
      </c>
      <c r="D3362" s="3" t="s">
        <v>3358</v>
      </c>
    </row>
    <row r="3363" spans="1:4" x14ac:dyDescent="0.2">
      <c r="A3363" s="3">
        <v>1410</v>
      </c>
      <c r="B3363" s="3" t="s">
        <v>3636</v>
      </c>
      <c r="C3363" s="3" t="s">
        <v>3629</v>
      </c>
      <c r="D3363" s="3" t="s">
        <v>3358</v>
      </c>
    </row>
    <row r="3364" spans="1:4" x14ac:dyDescent="0.2">
      <c r="A3364" s="3">
        <v>1515</v>
      </c>
      <c r="B3364" s="3" t="s">
        <v>3637</v>
      </c>
      <c r="C3364" s="3" t="s">
        <v>3629</v>
      </c>
      <c r="D3364" s="3" t="s">
        <v>3358</v>
      </c>
    </row>
    <row r="3365" spans="1:4" x14ac:dyDescent="0.2">
      <c r="A3365" s="3">
        <v>1277</v>
      </c>
      <c r="B3365" s="3" t="s">
        <v>3638</v>
      </c>
      <c r="C3365" s="3" t="s">
        <v>3638</v>
      </c>
      <c r="D3365" s="3" t="s">
        <v>3358</v>
      </c>
    </row>
    <row r="3366" spans="1:4" x14ac:dyDescent="0.2">
      <c r="A3366" s="3">
        <v>1273</v>
      </c>
      <c r="B3366" s="3" t="s">
        <v>3639</v>
      </c>
      <c r="C3366" s="3" t="s">
        <v>3639</v>
      </c>
      <c r="D3366" s="3" t="s">
        <v>3358</v>
      </c>
    </row>
    <row r="3367" spans="1:4" x14ac:dyDescent="0.2">
      <c r="A3367" s="3">
        <v>1269</v>
      </c>
      <c r="B3367" s="3" t="s">
        <v>3640</v>
      </c>
      <c r="C3367" s="3" t="s">
        <v>3640</v>
      </c>
      <c r="D3367" s="3" t="s">
        <v>3358</v>
      </c>
    </row>
    <row r="3368" spans="1:4" x14ac:dyDescent="0.2">
      <c r="A3368" s="3">
        <v>1268</v>
      </c>
      <c r="B3368" s="3" t="s">
        <v>3641</v>
      </c>
      <c r="C3368" s="3" t="s">
        <v>3641</v>
      </c>
      <c r="D3368" s="3" t="s">
        <v>3358</v>
      </c>
    </row>
    <row r="3369" spans="1:4" x14ac:dyDescent="0.2">
      <c r="A3369" s="3">
        <v>1279</v>
      </c>
      <c r="B3369" s="3" t="s">
        <v>3642</v>
      </c>
      <c r="C3369" s="3" t="s">
        <v>3642</v>
      </c>
      <c r="D3369" s="3" t="s">
        <v>3358</v>
      </c>
    </row>
    <row r="3370" spans="1:4" x14ac:dyDescent="0.2">
      <c r="A3370" s="3">
        <v>1277</v>
      </c>
      <c r="B3370" s="3" t="s">
        <v>3643</v>
      </c>
      <c r="C3370" s="3" t="s">
        <v>3643</v>
      </c>
      <c r="D3370" s="3" t="s">
        <v>3358</v>
      </c>
    </row>
    <row r="3371" spans="1:4" x14ac:dyDescent="0.2">
      <c r="A3371" s="3">
        <v>1279</v>
      </c>
      <c r="B3371" s="3" t="s">
        <v>3644</v>
      </c>
      <c r="C3371" s="3" t="s">
        <v>3644</v>
      </c>
      <c r="D3371" s="3" t="s">
        <v>3358</v>
      </c>
    </row>
    <row r="3372" spans="1:4" x14ac:dyDescent="0.2">
      <c r="A3372" s="3">
        <v>1290</v>
      </c>
      <c r="B3372" s="3" t="s">
        <v>3645</v>
      </c>
      <c r="C3372" s="3" t="s">
        <v>3645</v>
      </c>
      <c r="D3372" s="3" t="s">
        <v>3358</v>
      </c>
    </row>
    <row r="3373" spans="1:4" x14ac:dyDescent="0.2">
      <c r="A3373" s="3">
        <v>1275</v>
      </c>
      <c r="B3373" s="3" t="s">
        <v>3646</v>
      </c>
      <c r="C3373" s="3" t="s">
        <v>3646</v>
      </c>
      <c r="D3373" s="3" t="s">
        <v>3358</v>
      </c>
    </row>
    <row r="3374" spans="1:4" x14ac:dyDescent="0.2">
      <c r="A3374" s="3">
        <v>1267</v>
      </c>
      <c r="B3374" s="3" t="s">
        <v>3647</v>
      </c>
      <c r="C3374" s="3" t="s">
        <v>3647</v>
      </c>
      <c r="D3374" s="3" t="s">
        <v>3358</v>
      </c>
    </row>
    <row r="3375" spans="1:4" x14ac:dyDescent="0.2">
      <c r="A3375" s="3">
        <v>1291</v>
      </c>
      <c r="B3375" s="3" t="s">
        <v>3648</v>
      </c>
      <c r="C3375" s="3" t="s">
        <v>3648</v>
      </c>
      <c r="D3375" s="3" t="s">
        <v>3358</v>
      </c>
    </row>
    <row r="3376" spans="1:4" x14ac:dyDescent="0.2">
      <c r="A3376" s="3">
        <v>1296</v>
      </c>
      <c r="B3376" s="3" t="s">
        <v>3649</v>
      </c>
      <c r="C3376" s="3" t="s">
        <v>3649</v>
      </c>
      <c r="D3376" s="3" t="s">
        <v>3358</v>
      </c>
    </row>
    <row r="3377" spans="1:4" x14ac:dyDescent="0.2">
      <c r="A3377" s="3">
        <v>1299</v>
      </c>
      <c r="B3377" s="3" t="s">
        <v>3650</v>
      </c>
      <c r="C3377" s="3" t="s">
        <v>3651</v>
      </c>
      <c r="D3377" s="3" t="s">
        <v>3358</v>
      </c>
    </row>
    <row r="3378" spans="1:4" x14ac:dyDescent="0.2">
      <c r="A3378" s="3">
        <v>1263</v>
      </c>
      <c r="B3378" s="3" t="s">
        <v>3652</v>
      </c>
      <c r="C3378" s="3" t="s">
        <v>3652</v>
      </c>
      <c r="D3378" s="3" t="s">
        <v>3358</v>
      </c>
    </row>
    <row r="3379" spans="1:4" x14ac:dyDescent="0.2">
      <c r="A3379" s="3">
        <v>1266</v>
      </c>
      <c r="B3379" s="3" t="s">
        <v>3653</v>
      </c>
      <c r="C3379" s="3" t="s">
        <v>3653</v>
      </c>
      <c r="D3379" s="3" t="s">
        <v>3358</v>
      </c>
    </row>
    <row r="3380" spans="1:4" x14ac:dyDescent="0.2">
      <c r="A3380" s="3">
        <v>1262</v>
      </c>
      <c r="B3380" s="3" t="s">
        <v>3654</v>
      </c>
      <c r="C3380" s="3" t="s">
        <v>3654</v>
      </c>
      <c r="D3380" s="3" t="s">
        <v>3358</v>
      </c>
    </row>
    <row r="3381" spans="1:4" x14ac:dyDescent="0.2">
      <c r="A3381" s="3">
        <v>1297</v>
      </c>
      <c r="B3381" s="3" t="s">
        <v>3655</v>
      </c>
      <c r="C3381" s="3" t="s">
        <v>3655</v>
      </c>
      <c r="D3381" s="3" t="s">
        <v>3358</v>
      </c>
    </row>
    <row r="3382" spans="1:4" x14ac:dyDescent="0.2">
      <c r="A3382" s="3">
        <v>1272</v>
      </c>
      <c r="B3382" s="3" t="s">
        <v>3656</v>
      </c>
      <c r="C3382" s="3" t="s">
        <v>3656</v>
      </c>
      <c r="D3382" s="3" t="s">
        <v>3358</v>
      </c>
    </row>
    <row r="3383" spans="1:4" x14ac:dyDescent="0.2">
      <c r="A3383" s="3">
        <v>1276</v>
      </c>
      <c r="B3383" s="3" t="s">
        <v>3657</v>
      </c>
      <c r="C3383" s="3" t="s">
        <v>3657</v>
      </c>
      <c r="D3383" s="3" t="s">
        <v>3358</v>
      </c>
    </row>
    <row r="3384" spans="1:4" x14ac:dyDescent="0.2">
      <c r="A3384" s="3">
        <v>1271</v>
      </c>
      <c r="B3384" s="3" t="s">
        <v>3658</v>
      </c>
      <c r="C3384" s="3" t="s">
        <v>3658</v>
      </c>
      <c r="D3384" s="3" t="s">
        <v>3358</v>
      </c>
    </row>
    <row r="3385" spans="1:4" x14ac:dyDescent="0.2">
      <c r="A3385" s="3">
        <v>1196</v>
      </c>
      <c r="B3385" s="3" t="s">
        <v>3659</v>
      </c>
      <c r="C3385" s="3" t="s">
        <v>3659</v>
      </c>
      <c r="D3385" s="3" t="s">
        <v>3358</v>
      </c>
    </row>
    <row r="3386" spans="1:4" x14ac:dyDescent="0.2">
      <c r="A3386" s="3">
        <v>1274</v>
      </c>
      <c r="B3386" s="3" t="s">
        <v>3660</v>
      </c>
      <c r="C3386" s="3" t="s">
        <v>3660</v>
      </c>
      <c r="D3386" s="3" t="s">
        <v>3358</v>
      </c>
    </row>
    <row r="3387" spans="1:4" x14ac:dyDescent="0.2">
      <c r="A3387" s="3">
        <v>1295</v>
      </c>
      <c r="B3387" s="3" t="s">
        <v>3661</v>
      </c>
      <c r="C3387" s="3" t="s">
        <v>3661</v>
      </c>
      <c r="D3387" s="3" t="s">
        <v>3358</v>
      </c>
    </row>
    <row r="3388" spans="1:4" x14ac:dyDescent="0.2">
      <c r="A3388" s="3">
        <v>1260</v>
      </c>
      <c r="B3388" s="3" t="s">
        <v>3662</v>
      </c>
      <c r="C3388" s="3" t="s">
        <v>3662</v>
      </c>
      <c r="D3388" s="3" t="s">
        <v>3358</v>
      </c>
    </row>
    <row r="3389" spans="1:4" x14ac:dyDescent="0.2">
      <c r="A3389" s="3">
        <v>1197</v>
      </c>
      <c r="B3389" s="3" t="s">
        <v>3663</v>
      </c>
      <c r="C3389" s="3" t="s">
        <v>3663</v>
      </c>
      <c r="D3389" s="3" t="s">
        <v>3358</v>
      </c>
    </row>
    <row r="3390" spans="1:4" x14ac:dyDescent="0.2">
      <c r="A3390" s="3">
        <v>1278</v>
      </c>
      <c r="B3390" s="3" t="s">
        <v>3664</v>
      </c>
      <c r="C3390" s="3" t="s">
        <v>3664</v>
      </c>
      <c r="D3390" s="3" t="s">
        <v>3358</v>
      </c>
    </row>
    <row r="3391" spans="1:4" x14ac:dyDescent="0.2">
      <c r="A3391" s="3">
        <v>1264</v>
      </c>
      <c r="B3391" s="3" t="s">
        <v>3665</v>
      </c>
      <c r="C3391" s="3" t="s">
        <v>3666</v>
      </c>
      <c r="D3391" s="3" t="s">
        <v>3358</v>
      </c>
    </row>
    <row r="3392" spans="1:4" x14ac:dyDescent="0.2">
      <c r="A3392" s="3">
        <v>1265</v>
      </c>
      <c r="B3392" s="3" t="s">
        <v>3667</v>
      </c>
      <c r="C3392" s="3" t="s">
        <v>3666</v>
      </c>
      <c r="D3392" s="3" t="s">
        <v>3358</v>
      </c>
    </row>
    <row r="3393" spans="1:4" x14ac:dyDescent="0.2">
      <c r="A3393" s="3">
        <v>1274</v>
      </c>
      <c r="B3393" s="3" t="s">
        <v>3668</v>
      </c>
      <c r="C3393" s="3" t="s">
        <v>3669</v>
      </c>
      <c r="D3393" s="3" t="s">
        <v>3358</v>
      </c>
    </row>
    <row r="3394" spans="1:4" x14ac:dyDescent="0.2">
      <c r="A3394" s="3">
        <v>1295</v>
      </c>
      <c r="B3394" s="3" t="s">
        <v>3670</v>
      </c>
      <c r="C3394" s="3" t="s">
        <v>3670</v>
      </c>
      <c r="D3394" s="3" t="s">
        <v>3358</v>
      </c>
    </row>
    <row r="3395" spans="1:4" x14ac:dyDescent="0.2">
      <c r="A3395" s="3">
        <v>1270</v>
      </c>
      <c r="B3395" s="3" t="s">
        <v>3671</v>
      </c>
      <c r="C3395" s="3" t="s">
        <v>3671</v>
      </c>
      <c r="D3395" s="3" t="s">
        <v>3358</v>
      </c>
    </row>
    <row r="3396" spans="1:4" x14ac:dyDescent="0.2">
      <c r="A3396" s="3">
        <v>1261</v>
      </c>
      <c r="B3396" s="3" t="s">
        <v>3672</v>
      </c>
      <c r="C3396" s="3" t="s">
        <v>3672</v>
      </c>
      <c r="D3396" s="3" t="s">
        <v>3358</v>
      </c>
    </row>
    <row r="3397" spans="1:4" x14ac:dyDescent="0.2">
      <c r="A3397" s="3">
        <v>1267</v>
      </c>
      <c r="B3397" s="3" t="s">
        <v>3673</v>
      </c>
      <c r="C3397" s="3" t="s">
        <v>3673</v>
      </c>
      <c r="D3397" s="3" t="s">
        <v>3358</v>
      </c>
    </row>
    <row r="3398" spans="1:4" x14ac:dyDescent="0.2">
      <c r="A3398" s="3">
        <v>1355</v>
      </c>
      <c r="B3398" s="3" t="s">
        <v>3674</v>
      </c>
      <c r="C3398" s="3" t="s">
        <v>3674</v>
      </c>
      <c r="D3398" s="3" t="s">
        <v>3358</v>
      </c>
    </row>
    <row r="3399" spans="1:4" x14ac:dyDescent="0.2">
      <c r="A3399" s="3">
        <v>1352</v>
      </c>
      <c r="B3399" s="3" t="s">
        <v>3675</v>
      </c>
      <c r="C3399" s="3" t="s">
        <v>3675</v>
      </c>
      <c r="D3399" s="3" t="s">
        <v>3358</v>
      </c>
    </row>
    <row r="3400" spans="1:4" x14ac:dyDescent="0.2">
      <c r="A3400" s="3">
        <v>1321</v>
      </c>
      <c r="B3400" s="3" t="s">
        <v>3676</v>
      </c>
      <c r="C3400" s="3" t="s">
        <v>3676</v>
      </c>
      <c r="D3400" s="3" t="s">
        <v>3358</v>
      </c>
    </row>
    <row r="3401" spans="1:4" x14ac:dyDescent="0.2">
      <c r="A3401" s="3">
        <v>1338</v>
      </c>
      <c r="B3401" s="3" t="s">
        <v>3677</v>
      </c>
      <c r="C3401" s="3" t="s">
        <v>3677</v>
      </c>
      <c r="D3401" s="3" t="s">
        <v>3358</v>
      </c>
    </row>
    <row r="3402" spans="1:4" x14ac:dyDescent="0.2">
      <c r="A3402" s="3">
        <v>1446</v>
      </c>
      <c r="B3402" s="3" t="s">
        <v>3678</v>
      </c>
      <c r="C3402" s="3" t="s">
        <v>3678</v>
      </c>
      <c r="D3402" s="3" t="s">
        <v>3358</v>
      </c>
    </row>
    <row r="3403" spans="1:4" x14ac:dyDescent="0.2">
      <c r="A3403" s="3">
        <v>1372</v>
      </c>
      <c r="B3403" s="3" t="s">
        <v>3679</v>
      </c>
      <c r="C3403" s="3" t="s">
        <v>3679</v>
      </c>
      <c r="D3403" s="3" t="s">
        <v>3358</v>
      </c>
    </row>
    <row r="3404" spans="1:4" x14ac:dyDescent="0.2">
      <c r="A3404" s="3">
        <v>1353</v>
      </c>
      <c r="B3404" s="3" t="s">
        <v>3680</v>
      </c>
      <c r="C3404" s="3" t="s">
        <v>3680</v>
      </c>
      <c r="D3404" s="3" t="s">
        <v>3358</v>
      </c>
    </row>
    <row r="3405" spans="1:4" x14ac:dyDescent="0.2">
      <c r="A3405" s="3">
        <v>1329</v>
      </c>
      <c r="B3405" s="3" t="s">
        <v>3681</v>
      </c>
      <c r="C3405" s="3" t="s">
        <v>3681</v>
      </c>
      <c r="D3405" s="3" t="s">
        <v>3358</v>
      </c>
    </row>
    <row r="3406" spans="1:4" x14ac:dyDescent="0.2">
      <c r="A3406" s="3">
        <v>1373</v>
      </c>
      <c r="B3406" s="3" t="s">
        <v>3682</v>
      </c>
      <c r="C3406" s="3" t="s">
        <v>3682</v>
      </c>
      <c r="D3406" s="3" t="s">
        <v>3358</v>
      </c>
    </row>
    <row r="3407" spans="1:4" x14ac:dyDescent="0.2">
      <c r="A3407" s="3">
        <v>1374</v>
      </c>
      <c r="B3407" s="3" t="s">
        <v>3683</v>
      </c>
      <c r="C3407" s="3" t="s">
        <v>3682</v>
      </c>
      <c r="D3407" s="3" t="s">
        <v>3358</v>
      </c>
    </row>
    <row r="3408" spans="1:4" x14ac:dyDescent="0.2">
      <c r="A3408" s="3">
        <v>1435</v>
      </c>
      <c r="B3408" s="3" t="s">
        <v>3684</v>
      </c>
      <c r="C3408" s="3" t="s">
        <v>3682</v>
      </c>
      <c r="D3408" s="3" t="s">
        <v>3358</v>
      </c>
    </row>
    <row r="3409" spans="1:4" x14ac:dyDescent="0.2">
      <c r="A3409" s="3">
        <v>1356</v>
      </c>
      <c r="B3409" s="3" t="s">
        <v>3685</v>
      </c>
      <c r="C3409" s="3" t="s">
        <v>3685</v>
      </c>
      <c r="D3409" s="3" t="s">
        <v>3358</v>
      </c>
    </row>
    <row r="3410" spans="1:4" x14ac:dyDescent="0.2">
      <c r="A3410" s="3">
        <v>1356</v>
      </c>
      <c r="B3410" s="3" t="s">
        <v>3686</v>
      </c>
      <c r="C3410" s="3" t="s">
        <v>3685</v>
      </c>
      <c r="D3410" s="3" t="s">
        <v>3358</v>
      </c>
    </row>
    <row r="3411" spans="1:4" x14ac:dyDescent="0.2">
      <c r="A3411" s="3">
        <v>1322</v>
      </c>
      <c r="B3411" s="3" t="s">
        <v>3687</v>
      </c>
      <c r="C3411" s="3" t="s">
        <v>3687</v>
      </c>
      <c r="D3411" s="3" t="s">
        <v>3358</v>
      </c>
    </row>
    <row r="3412" spans="1:4" x14ac:dyDescent="0.2">
      <c r="A3412" s="3">
        <v>1326</v>
      </c>
      <c r="B3412" s="3" t="s">
        <v>3688</v>
      </c>
      <c r="C3412" s="3" t="s">
        <v>3688</v>
      </c>
      <c r="D3412" s="3" t="s">
        <v>3358</v>
      </c>
    </row>
    <row r="3413" spans="1:4" x14ac:dyDescent="0.2">
      <c r="A3413" s="3">
        <v>1357</v>
      </c>
      <c r="B3413" s="3" t="s">
        <v>3689</v>
      </c>
      <c r="C3413" s="3" t="s">
        <v>3689</v>
      </c>
      <c r="D3413" s="3" t="s">
        <v>3358</v>
      </c>
    </row>
    <row r="3414" spans="1:4" x14ac:dyDescent="0.2">
      <c r="A3414" s="3">
        <v>1354</v>
      </c>
      <c r="B3414" s="3" t="s">
        <v>3690</v>
      </c>
      <c r="C3414" s="3" t="s">
        <v>3690</v>
      </c>
      <c r="D3414" s="3" t="s">
        <v>3358</v>
      </c>
    </row>
    <row r="3415" spans="1:4" x14ac:dyDescent="0.2">
      <c r="A3415" s="3">
        <v>1350</v>
      </c>
      <c r="B3415" s="3" t="s">
        <v>3691</v>
      </c>
      <c r="C3415" s="3" t="s">
        <v>3691</v>
      </c>
      <c r="D3415" s="3" t="s">
        <v>3358</v>
      </c>
    </row>
    <row r="3416" spans="1:4" x14ac:dyDescent="0.2">
      <c r="A3416" s="3">
        <v>1148</v>
      </c>
      <c r="B3416" s="3" t="s">
        <v>3692</v>
      </c>
      <c r="C3416" s="3" t="s">
        <v>3692</v>
      </c>
      <c r="D3416" s="3" t="s">
        <v>3358</v>
      </c>
    </row>
    <row r="3417" spans="1:4" x14ac:dyDescent="0.2">
      <c r="A3417" s="3">
        <v>1324</v>
      </c>
      <c r="B3417" s="3" t="s">
        <v>3693</v>
      </c>
      <c r="C3417" s="3" t="s">
        <v>3693</v>
      </c>
      <c r="D3417" s="3" t="s">
        <v>3358</v>
      </c>
    </row>
    <row r="3418" spans="1:4" x14ac:dyDescent="0.2">
      <c r="A3418" s="3">
        <v>1439</v>
      </c>
      <c r="B3418" s="3" t="s">
        <v>3694</v>
      </c>
      <c r="C3418" s="3" t="s">
        <v>3694</v>
      </c>
      <c r="D3418" s="3" t="s">
        <v>3358</v>
      </c>
    </row>
    <row r="3419" spans="1:4" x14ac:dyDescent="0.2">
      <c r="A3419" s="3">
        <v>1323</v>
      </c>
      <c r="B3419" s="3" t="s">
        <v>3695</v>
      </c>
      <c r="C3419" s="3" t="s">
        <v>3696</v>
      </c>
      <c r="D3419" s="3" t="s">
        <v>3358</v>
      </c>
    </row>
    <row r="3420" spans="1:4" x14ac:dyDescent="0.2">
      <c r="A3420" s="3">
        <v>1355</v>
      </c>
      <c r="B3420" s="3" t="s">
        <v>3697</v>
      </c>
      <c r="C3420" s="3" t="s">
        <v>3697</v>
      </c>
      <c r="D3420" s="3" t="s">
        <v>3358</v>
      </c>
    </row>
    <row r="3421" spans="1:4" x14ac:dyDescent="0.2">
      <c r="A3421" s="3">
        <v>1358</v>
      </c>
      <c r="B3421" s="3" t="s">
        <v>3698</v>
      </c>
      <c r="C3421" s="3" t="s">
        <v>3698</v>
      </c>
      <c r="D3421" s="3" t="s">
        <v>3358</v>
      </c>
    </row>
    <row r="3422" spans="1:4" x14ac:dyDescent="0.2">
      <c r="A3422" s="3">
        <v>1337</v>
      </c>
      <c r="B3422" s="3" t="s">
        <v>3699</v>
      </c>
      <c r="C3422" s="3" t="s">
        <v>3699</v>
      </c>
      <c r="D3422" s="3" t="s">
        <v>3358</v>
      </c>
    </row>
    <row r="3423" spans="1:4" x14ac:dyDescent="0.2">
      <c r="A3423" s="3">
        <v>1325</v>
      </c>
      <c r="B3423" s="3" t="s">
        <v>3700</v>
      </c>
      <c r="C3423" s="3" t="s">
        <v>3700</v>
      </c>
      <c r="D3423" s="3" t="s">
        <v>3358</v>
      </c>
    </row>
    <row r="3424" spans="1:4" x14ac:dyDescent="0.2">
      <c r="A3424" s="3">
        <v>1445</v>
      </c>
      <c r="B3424" s="3" t="s">
        <v>3701</v>
      </c>
      <c r="C3424" s="3" t="s">
        <v>3701</v>
      </c>
      <c r="D3424" s="3" t="s">
        <v>3358</v>
      </c>
    </row>
    <row r="3425" spans="1:4" x14ac:dyDescent="0.2">
      <c r="A3425" s="3">
        <v>1082</v>
      </c>
      <c r="B3425" s="3" t="s">
        <v>3702</v>
      </c>
      <c r="C3425" s="3" t="s">
        <v>3702</v>
      </c>
      <c r="D3425" s="3" t="s">
        <v>3358</v>
      </c>
    </row>
    <row r="3426" spans="1:4" x14ac:dyDescent="0.2">
      <c r="A3426" s="3">
        <v>1613</v>
      </c>
      <c r="B3426" s="3" t="s">
        <v>3703</v>
      </c>
      <c r="C3426" s="3" t="s">
        <v>3703</v>
      </c>
      <c r="D3426" s="3" t="s">
        <v>3358</v>
      </c>
    </row>
    <row r="3427" spans="1:4" x14ac:dyDescent="0.2">
      <c r="A3427" s="3">
        <v>1081</v>
      </c>
      <c r="B3427" s="3" t="s">
        <v>3704</v>
      </c>
      <c r="C3427" s="3" t="s">
        <v>3704</v>
      </c>
      <c r="D3427" s="3" t="s">
        <v>3358</v>
      </c>
    </row>
    <row r="3428" spans="1:4" x14ac:dyDescent="0.2">
      <c r="A3428" s="3">
        <v>1088</v>
      </c>
      <c r="B3428" s="3" t="s">
        <v>3705</v>
      </c>
      <c r="C3428" s="3" t="s">
        <v>3705</v>
      </c>
      <c r="D3428" s="3" t="s">
        <v>3358</v>
      </c>
    </row>
    <row r="3429" spans="1:4" x14ac:dyDescent="0.2">
      <c r="A3429" s="3">
        <v>1077</v>
      </c>
      <c r="B3429" s="3" t="s">
        <v>3706</v>
      </c>
      <c r="C3429" s="3" t="s">
        <v>3706</v>
      </c>
      <c r="D3429" s="3" t="s">
        <v>3358</v>
      </c>
    </row>
    <row r="3430" spans="1:4" x14ac:dyDescent="0.2">
      <c r="A3430" s="3">
        <v>1080</v>
      </c>
      <c r="B3430" s="3" t="s">
        <v>3707</v>
      </c>
      <c r="C3430" s="3" t="s">
        <v>3706</v>
      </c>
      <c r="D3430" s="3" t="s">
        <v>3358</v>
      </c>
    </row>
    <row r="3431" spans="1:4" x14ac:dyDescent="0.2">
      <c r="A3431" s="3">
        <v>1085</v>
      </c>
      <c r="B3431" s="3" t="s">
        <v>3708</v>
      </c>
      <c r="C3431" s="3" t="s">
        <v>3708</v>
      </c>
      <c r="D3431" s="3" t="s">
        <v>3358</v>
      </c>
    </row>
    <row r="3432" spans="1:4" x14ac:dyDescent="0.2">
      <c r="A3432" s="3">
        <v>1041</v>
      </c>
      <c r="B3432" s="3" t="s">
        <v>3709</v>
      </c>
      <c r="C3432" s="3" t="s">
        <v>3710</v>
      </c>
      <c r="D3432" s="3" t="s">
        <v>3358</v>
      </c>
    </row>
    <row r="3433" spans="1:4" x14ac:dyDescent="0.2">
      <c r="A3433" s="3">
        <v>1058</v>
      </c>
      <c r="B3433" s="3" t="s">
        <v>3711</v>
      </c>
      <c r="C3433" s="3" t="s">
        <v>3710</v>
      </c>
      <c r="D3433" s="3" t="s">
        <v>3358</v>
      </c>
    </row>
    <row r="3434" spans="1:4" x14ac:dyDescent="0.2">
      <c r="A3434" s="3">
        <v>1059</v>
      </c>
      <c r="B3434" s="3" t="s">
        <v>3712</v>
      </c>
      <c r="C3434" s="3" t="s">
        <v>3710</v>
      </c>
      <c r="D3434" s="3" t="s">
        <v>3358</v>
      </c>
    </row>
    <row r="3435" spans="1:4" x14ac:dyDescent="0.2">
      <c r="A3435" s="3">
        <v>1061</v>
      </c>
      <c r="B3435" s="3" t="s">
        <v>3713</v>
      </c>
      <c r="C3435" s="3" t="s">
        <v>3710</v>
      </c>
      <c r="D3435" s="3" t="s">
        <v>3358</v>
      </c>
    </row>
    <row r="3436" spans="1:4" x14ac:dyDescent="0.2">
      <c r="A3436" s="3">
        <v>1062</v>
      </c>
      <c r="B3436" s="3" t="s">
        <v>3714</v>
      </c>
      <c r="C3436" s="3" t="s">
        <v>3710</v>
      </c>
      <c r="D3436" s="3" t="s">
        <v>3358</v>
      </c>
    </row>
    <row r="3437" spans="1:4" x14ac:dyDescent="0.2">
      <c r="A3437" s="3">
        <v>1078</v>
      </c>
      <c r="B3437" s="3" t="s">
        <v>3715</v>
      </c>
      <c r="C3437" s="3" t="s">
        <v>3716</v>
      </c>
      <c r="D3437" s="3" t="s">
        <v>3358</v>
      </c>
    </row>
    <row r="3438" spans="1:4" x14ac:dyDescent="0.2">
      <c r="A3438" s="3">
        <v>1607</v>
      </c>
      <c r="B3438" s="3" t="s">
        <v>3717</v>
      </c>
      <c r="C3438" s="3" t="s">
        <v>3716</v>
      </c>
      <c r="D3438" s="3" t="s">
        <v>3358</v>
      </c>
    </row>
    <row r="3439" spans="1:4" x14ac:dyDescent="0.2">
      <c r="A3439" s="3">
        <v>1607</v>
      </c>
      <c r="B3439" s="3" t="s">
        <v>3718</v>
      </c>
      <c r="C3439" s="3" t="s">
        <v>3716</v>
      </c>
      <c r="D3439" s="3" t="s">
        <v>3358</v>
      </c>
    </row>
    <row r="3440" spans="1:4" x14ac:dyDescent="0.2">
      <c r="A3440" s="3">
        <v>1607</v>
      </c>
      <c r="B3440" s="3" t="s">
        <v>3719</v>
      </c>
      <c r="C3440" s="3" t="s">
        <v>3716</v>
      </c>
      <c r="D3440" s="3" t="s">
        <v>3358</v>
      </c>
    </row>
    <row r="3441" spans="1:4" x14ac:dyDescent="0.2">
      <c r="A3441" s="3">
        <v>1607</v>
      </c>
      <c r="B3441" s="3" t="s">
        <v>3720</v>
      </c>
      <c r="C3441" s="3" t="s">
        <v>3716</v>
      </c>
      <c r="D3441" s="3" t="s">
        <v>3358</v>
      </c>
    </row>
    <row r="3442" spans="1:4" x14ac:dyDescent="0.2">
      <c r="A3442" s="3">
        <v>1608</v>
      </c>
      <c r="B3442" s="3" t="s">
        <v>3721</v>
      </c>
      <c r="C3442" s="3" t="s">
        <v>3716</v>
      </c>
      <c r="D3442" s="3" t="s">
        <v>3358</v>
      </c>
    </row>
    <row r="3443" spans="1:4" x14ac:dyDescent="0.2">
      <c r="A3443" s="3">
        <v>1608</v>
      </c>
      <c r="B3443" s="3" t="s">
        <v>3722</v>
      </c>
      <c r="C3443" s="3" t="s">
        <v>3716</v>
      </c>
      <c r="D3443" s="3" t="s">
        <v>3358</v>
      </c>
    </row>
    <row r="3444" spans="1:4" x14ac:dyDescent="0.2">
      <c r="A3444" s="3">
        <v>1608</v>
      </c>
      <c r="B3444" s="3" t="s">
        <v>3723</v>
      </c>
      <c r="C3444" s="3" t="s">
        <v>3716</v>
      </c>
      <c r="D3444" s="3" t="s">
        <v>3358</v>
      </c>
    </row>
    <row r="3445" spans="1:4" x14ac:dyDescent="0.2">
      <c r="A3445" s="3">
        <v>1610</v>
      </c>
      <c r="B3445" s="3" t="s">
        <v>3724</v>
      </c>
      <c r="C3445" s="3" t="s">
        <v>3716</v>
      </c>
      <c r="D3445" s="3" t="s">
        <v>3358</v>
      </c>
    </row>
    <row r="3446" spans="1:4" x14ac:dyDescent="0.2">
      <c r="A3446" s="3">
        <v>1610</v>
      </c>
      <c r="B3446" s="3" t="s">
        <v>3725</v>
      </c>
      <c r="C3446" s="3" t="s">
        <v>3716</v>
      </c>
      <c r="D3446" s="3" t="s">
        <v>3358</v>
      </c>
    </row>
    <row r="3447" spans="1:4" x14ac:dyDescent="0.2">
      <c r="A3447" s="3">
        <v>1610</v>
      </c>
      <c r="B3447" s="3" t="s">
        <v>3726</v>
      </c>
      <c r="C3447" s="3" t="s">
        <v>3716</v>
      </c>
      <c r="D3447" s="3" t="s">
        <v>3358</v>
      </c>
    </row>
    <row r="3448" spans="1:4" x14ac:dyDescent="0.2">
      <c r="A3448" s="3">
        <v>1612</v>
      </c>
      <c r="B3448" s="3" t="s">
        <v>3727</v>
      </c>
      <c r="C3448" s="3" t="s">
        <v>3716</v>
      </c>
      <c r="D3448" s="3" t="s">
        <v>3358</v>
      </c>
    </row>
    <row r="3449" spans="1:4" x14ac:dyDescent="0.2">
      <c r="A3449" s="3">
        <v>1076</v>
      </c>
      <c r="B3449" s="3" t="s">
        <v>3728</v>
      </c>
      <c r="C3449" s="3" t="s">
        <v>3729</v>
      </c>
      <c r="D3449" s="3" t="s">
        <v>3358</v>
      </c>
    </row>
    <row r="3450" spans="1:4" x14ac:dyDescent="0.2">
      <c r="A3450" s="3">
        <v>1083</v>
      </c>
      <c r="B3450" s="3" t="s">
        <v>3730</v>
      </c>
      <c r="C3450" s="3" t="s">
        <v>3729</v>
      </c>
      <c r="D3450" s="3" t="s">
        <v>3358</v>
      </c>
    </row>
    <row r="3451" spans="1:4" x14ac:dyDescent="0.2">
      <c r="A3451" s="3">
        <v>1084</v>
      </c>
      <c r="B3451" s="3" t="s">
        <v>3731</v>
      </c>
      <c r="C3451" s="3" t="s">
        <v>3729</v>
      </c>
      <c r="D3451" s="3" t="s">
        <v>3358</v>
      </c>
    </row>
    <row r="3452" spans="1:4" x14ac:dyDescent="0.2">
      <c r="A3452" s="3">
        <v>1537</v>
      </c>
      <c r="B3452" s="3" t="s">
        <v>3732</v>
      </c>
      <c r="C3452" s="3" t="s">
        <v>3732</v>
      </c>
      <c r="D3452" s="3" t="s">
        <v>3358</v>
      </c>
    </row>
    <row r="3453" spans="1:4" x14ac:dyDescent="0.2">
      <c r="A3453" s="3">
        <v>1545</v>
      </c>
      <c r="B3453" s="3" t="s">
        <v>3733</v>
      </c>
      <c r="C3453" s="3" t="s">
        <v>3733</v>
      </c>
      <c r="D3453" s="3" t="s">
        <v>3358</v>
      </c>
    </row>
    <row r="3454" spans="1:4" x14ac:dyDescent="0.2">
      <c r="A3454" s="3">
        <v>1562</v>
      </c>
      <c r="B3454" s="3" t="s">
        <v>3734</v>
      </c>
      <c r="C3454" s="3" t="s">
        <v>3734</v>
      </c>
      <c r="D3454" s="3" t="s">
        <v>3358</v>
      </c>
    </row>
    <row r="3455" spans="1:4" x14ac:dyDescent="0.2">
      <c r="A3455" s="3">
        <v>1543</v>
      </c>
      <c r="B3455" s="3" t="s">
        <v>3735</v>
      </c>
      <c r="C3455" s="3" t="s">
        <v>3735</v>
      </c>
      <c r="D3455" s="3" t="s">
        <v>3358</v>
      </c>
    </row>
    <row r="3456" spans="1:4" x14ac:dyDescent="0.2">
      <c r="A3456" s="3">
        <v>1525</v>
      </c>
      <c r="B3456" s="3" t="s">
        <v>3736</v>
      </c>
      <c r="C3456" s="3" t="s">
        <v>3736</v>
      </c>
      <c r="D3456" s="3" t="s">
        <v>3358</v>
      </c>
    </row>
    <row r="3457" spans="1:4" x14ac:dyDescent="0.2">
      <c r="A3457" s="3">
        <v>1565</v>
      </c>
      <c r="B3457" s="3" t="s">
        <v>3737</v>
      </c>
      <c r="C3457" s="3" t="s">
        <v>3737</v>
      </c>
      <c r="D3457" s="3" t="s">
        <v>3358</v>
      </c>
    </row>
    <row r="3458" spans="1:4" x14ac:dyDescent="0.2">
      <c r="A3458" s="3">
        <v>1530</v>
      </c>
      <c r="B3458" s="3" t="s">
        <v>3738</v>
      </c>
      <c r="C3458" s="3" t="s">
        <v>3738</v>
      </c>
      <c r="D3458" s="3" t="s">
        <v>3358</v>
      </c>
    </row>
    <row r="3459" spans="1:4" x14ac:dyDescent="0.2">
      <c r="A3459" s="3">
        <v>1551</v>
      </c>
      <c r="B3459" s="3" t="s">
        <v>3739</v>
      </c>
      <c r="C3459" s="3" t="s">
        <v>3738</v>
      </c>
      <c r="D3459" s="3" t="s">
        <v>3358</v>
      </c>
    </row>
    <row r="3460" spans="1:4" x14ac:dyDescent="0.2">
      <c r="A3460" s="3">
        <v>1552</v>
      </c>
      <c r="B3460" s="3" t="s">
        <v>3740</v>
      </c>
      <c r="C3460" s="3" t="s">
        <v>3740</v>
      </c>
      <c r="D3460" s="3" t="s">
        <v>3358</v>
      </c>
    </row>
    <row r="3461" spans="1:4" x14ac:dyDescent="0.2">
      <c r="A3461" s="3">
        <v>1538</v>
      </c>
      <c r="B3461" s="3" t="s">
        <v>3741</v>
      </c>
      <c r="C3461" s="3" t="s">
        <v>3741</v>
      </c>
      <c r="D3461" s="3" t="s">
        <v>3358</v>
      </c>
    </row>
    <row r="3462" spans="1:4" x14ac:dyDescent="0.2">
      <c r="A3462" s="3">
        <v>1554</v>
      </c>
      <c r="B3462" s="3" t="s">
        <v>3742</v>
      </c>
      <c r="C3462" s="3" t="s">
        <v>3743</v>
      </c>
      <c r="D3462" s="3" t="s">
        <v>3358</v>
      </c>
    </row>
    <row r="3463" spans="1:4" x14ac:dyDescent="0.2">
      <c r="A3463" s="3">
        <v>1554</v>
      </c>
      <c r="B3463" s="3" t="s">
        <v>3744</v>
      </c>
      <c r="C3463" s="3" t="s">
        <v>3743</v>
      </c>
      <c r="D3463" s="3" t="s">
        <v>3358</v>
      </c>
    </row>
    <row r="3464" spans="1:4" x14ac:dyDescent="0.2">
      <c r="A3464" s="3">
        <v>1555</v>
      </c>
      <c r="B3464" s="3" t="s">
        <v>3743</v>
      </c>
      <c r="C3464" s="3" t="s">
        <v>3743</v>
      </c>
      <c r="D3464" s="3" t="s">
        <v>3358</v>
      </c>
    </row>
    <row r="3465" spans="1:4" x14ac:dyDescent="0.2">
      <c r="A3465" s="3">
        <v>1523</v>
      </c>
      <c r="B3465" s="3" t="s">
        <v>3745</v>
      </c>
      <c r="C3465" s="3" t="s">
        <v>3746</v>
      </c>
      <c r="D3465" s="3" t="s">
        <v>3358</v>
      </c>
    </row>
    <row r="3466" spans="1:4" x14ac:dyDescent="0.2">
      <c r="A3466" s="3">
        <v>1524</v>
      </c>
      <c r="B3466" s="3" t="s">
        <v>3747</v>
      </c>
      <c r="C3466" s="3" t="s">
        <v>3746</v>
      </c>
      <c r="D3466" s="3" t="s">
        <v>3358</v>
      </c>
    </row>
    <row r="3467" spans="1:4" x14ac:dyDescent="0.2">
      <c r="A3467" s="3">
        <v>1525</v>
      </c>
      <c r="B3467" s="3" t="s">
        <v>3748</v>
      </c>
      <c r="C3467" s="3" t="s">
        <v>3746</v>
      </c>
      <c r="D3467" s="3" t="s">
        <v>3358</v>
      </c>
    </row>
    <row r="3468" spans="1:4" x14ac:dyDescent="0.2">
      <c r="A3468" s="3">
        <v>1534</v>
      </c>
      <c r="B3468" s="3" t="s">
        <v>3749</v>
      </c>
      <c r="C3468" s="3" t="s">
        <v>3746</v>
      </c>
      <c r="D3468" s="3" t="s">
        <v>3358</v>
      </c>
    </row>
    <row r="3469" spans="1:4" x14ac:dyDescent="0.2">
      <c r="A3469" s="3">
        <v>1535</v>
      </c>
      <c r="B3469" s="3" t="s">
        <v>3750</v>
      </c>
      <c r="C3469" s="3" t="s">
        <v>3746</v>
      </c>
      <c r="D3469" s="3" t="s">
        <v>3358</v>
      </c>
    </row>
    <row r="3470" spans="1:4" x14ac:dyDescent="0.2">
      <c r="A3470" s="3">
        <v>1536</v>
      </c>
      <c r="B3470" s="3" t="s">
        <v>3751</v>
      </c>
      <c r="C3470" s="3" t="s">
        <v>3746</v>
      </c>
      <c r="D3470" s="3" t="s">
        <v>3358</v>
      </c>
    </row>
    <row r="3471" spans="1:4" x14ac:dyDescent="0.2">
      <c r="A3471" s="3">
        <v>1682</v>
      </c>
      <c r="B3471" s="3" t="s">
        <v>3752</v>
      </c>
      <c r="C3471" s="3" t="s">
        <v>3746</v>
      </c>
      <c r="D3471" s="3" t="s">
        <v>3358</v>
      </c>
    </row>
    <row r="3472" spans="1:4" x14ac:dyDescent="0.2">
      <c r="A3472" s="3">
        <v>1682</v>
      </c>
      <c r="B3472" s="3" t="s">
        <v>3753</v>
      </c>
      <c r="C3472" s="3" t="s">
        <v>3746</v>
      </c>
      <c r="D3472" s="3" t="s">
        <v>3358</v>
      </c>
    </row>
    <row r="3473" spans="1:4" x14ac:dyDescent="0.2">
      <c r="A3473" s="3">
        <v>1660</v>
      </c>
      <c r="B3473" s="3" t="s">
        <v>3754</v>
      </c>
      <c r="C3473" s="3" t="s">
        <v>3754</v>
      </c>
      <c r="D3473" s="3" t="s">
        <v>3358</v>
      </c>
    </row>
    <row r="3474" spans="1:4" x14ac:dyDescent="0.2">
      <c r="A3474" s="3">
        <v>1660</v>
      </c>
      <c r="B3474" s="3" t="s">
        <v>3755</v>
      </c>
      <c r="C3474" s="3" t="s">
        <v>3754</v>
      </c>
      <c r="D3474" s="3" t="s">
        <v>3358</v>
      </c>
    </row>
    <row r="3475" spans="1:4" x14ac:dyDescent="0.2">
      <c r="A3475" s="3">
        <v>1660</v>
      </c>
      <c r="B3475" s="3" t="s">
        <v>3756</v>
      </c>
      <c r="C3475" s="3" t="s">
        <v>3754</v>
      </c>
      <c r="D3475" s="3" t="s">
        <v>3358</v>
      </c>
    </row>
    <row r="3476" spans="1:4" x14ac:dyDescent="0.2">
      <c r="A3476" s="3">
        <v>1660</v>
      </c>
      <c r="B3476" s="3" t="s">
        <v>3757</v>
      </c>
      <c r="C3476" s="3" t="s">
        <v>3754</v>
      </c>
      <c r="D3476" s="3" t="s">
        <v>3358</v>
      </c>
    </row>
    <row r="3477" spans="1:4" x14ac:dyDescent="0.2">
      <c r="A3477" s="3">
        <v>1658</v>
      </c>
      <c r="B3477" s="3" t="s">
        <v>3758</v>
      </c>
      <c r="C3477" s="3" t="s">
        <v>3758</v>
      </c>
      <c r="D3477" s="3" t="s">
        <v>3358</v>
      </c>
    </row>
    <row r="3478" spans="1:4" x14ac:dyDescent="0.2">
      <c r="A3478" s="3">
        <v>1658</v>
      </c>
      <c r="B3478" s="3" t="s">
        <v>3759</v>
      </c>
      <c r="C3478" s="3" t="s">
        <v>3758</v>
      </c>
      <c r="D3478" s="3" t="s">
        <v>3358</v>
      </c>
    </row>
    <row r="3479" spans="1:4" x14ac:dyDescent="0.2">
      <c r="A3479" s="3">
        <v>1659</v>
      </c>
      <c r="B3479" s="3" t="s">
        <v>3760</v>
      </c>
      <c r="C3479" s="3" t="s">
        <v>3760</v>
      </c>
      <c r="D3479" s="3" t="s">
        <v>3358</v>
      </c>
    </row>
    <row r="3480" spans="1:4" x14ac:dyDescent="0.2">
      <c r="A3480" s="3">
        <v>1659</v>
      </c>
      <c r="B3480" s="3" t="s">
        <v>3761</v>
      </c>
      <c r="C3480" s="3" t="s">
        <v>3760</v>
      </c>
      <c r="D3480" s="3" t="s">
        <v>3358</v>
      </c>
    </row>
    <row r="3481" spans="1:4" x14ac:dyDescent="0.2">
      <c r="A3481" s="3">
        <v>1165</v>
      </c>
      <c r="B3481" s="3" t="s">
        <v>3762</v>
      </c>
      <c r="C3481" s="3" t="s">
        <v>3762</v>
      </c>
      <c r="D3481" s="3" t="s">
        <v>3358</v>
      </c>
    </row>
    <row r="3482" spans="1:4" x14ac:dyDescent="0.2">
      <c r="A3482" s="3">
        <v>1195</v>
      </c>
      <c r="B3482" s="3" t="s">
        <v>3763</v>
      </c>
      <c r="C3482" s="3" t="s">
        <v>3763</v>
      </c>
      <c r="D3482" s="3" t="s">
        <v>3358</v>
      </c>
    </row>
    <row r="3483" spans="1:4" x14ac:dyDescent="0.2">
      <c r="A3483" s="3">
        <v>1183</v>
      </c>
      <c r="B3483" s="3" t="s">
        <v>3764</v>
      </c>
      <c r="C3483" s="3" t="s">
        <v>3764</v>
      </c>
      <c r="D3483" s="3" t="s">
        <v>3358</v>
      </c>
    </row>
    <row r="3484" spans="1:4" x14ac:dyDescent="0.2">
      <c r="A3484" s="3">
        <v>1268</v>
      </c>
      <c r="B3484" s="3" t="s">
        <v>3765</v>
      </c>
      <c r="C3484" s="3" t="s">
        <v>3765</v>
      </c>
      <c r="D3484" s="3" t="s">
        <v>3358</v>
      </c>
    </row>
    <row r="3485" spans="1:4" x14ac:dyDescent="0.2">
      <c r="A3485" s="3">
        <v>1195</v>
      </c>
      <c r="B3485" s="3" t="s">
        <v>3766</v>
      </c>
      <c r="C3485" s="3" t="s">
        <v>3766</v>
      </c>
      <c r="D3485" s="3" t="s">
        <v>3358</v>
      </c>
    </row>
    <row r="3486" spans="1:4" x14ac:dyDescent="0.2">
      <c r="A3486" s="3">
        <v>1186</v>
      </c>
      <c r="B3486" s="3" t="s">
        <v>3767</v>
      </c>
      <c r="C3486" s="3" t="s">
        <v>3767</v>
      </c>
      <c r="D3486" s="3" t="s">
        <v>3358</v>
      </c>
    </row>
    <row r="3487" spans="1:4" x14ac:dyDescent="0.2">
      <c r="A3487" s="3">
        <v>1182</v>
      </c>
      <c r="B3487" s="3" t="s">
        <v>3768</v>
      </c>
      <c r="C3487" s="3" t="s">
        <v>3768</v>
      </c>
      <c r="D3487" s="3" t="s">
        <v>3358</v>
      </c>
    </row>
    <row r="3488" spans="1:4" x14ac:dyDescent="0.2">
      <c r="A3488" s="3">
        <v>1184</v>
      </c>
      <c r="B3488" s="3" t="s">
        <v>3769</v>
      </c>
      <c r="C3488" s="3" t="s">
        <v>3769</v>
      </c>
      <c r="D3488" s="3" t="s">
        <v>3358</v>
      </c>
    </row>
    <row r="3489" spans="1:4" x14ac:dyDescent="0.2">
      <c r="A3489" s="3">
        <v>1185</v>
      </c>
      <c r="B3489" s="3" t="s">
        <v>3770</v>
      </c>
      <c r="C3489" s="3" t="s">
        <v>3770</v>
      </c>
      <c r="D3489" s="3" t="s">
        <v>3358</v>
      </c>
    </row>
    <row r="3490" spans="1:4" x14ac:dyDescent="0.2">
      <c r="A3490" s="3">
        <v>1166</v>
      </c>
      <c r="B3490" s="3" t="s">
        <v>3771</v>
      </c>
      <c r="C3490" s="3" t="s">
        <v>3771</v>
      </c>
      <c r="D3490" s="3" t="s">
        <v>3358</v>
      </c>
    </row>
    <row r="3491" spans="1:4" x14ac:dyDescent="0.2">
      <c r="A3491" s="3">
        <v>1180</v>
      </c>
      <c r="B3491" s="3" t="s">
        <v>3772</v>
      </c>
      <c r="C3491" s="3" t="s">
        <v>3772</v>
      </c>
      <c r="D3491" s="3" t="s">
        <v>3358</v>
      </c>
    </row>
    <row r="3492" spans="1:4" x14ac:dyDescent="0.2">
      <c r="A3492" s="3">
        <v>1180</v>
      </c>
      <c r="B3492" s="3" t="s">
        <v>3773</v>
      </c>
      <c r="C3492" s="3" t="s">
        <v>3773</v>
      </c>
      <c r="D3492" s="3" t="s">
        <v>3358</v>
      </c>
    </row>
    <row r="3493" spans="1:4" x14ac:dyDescent="0.2">
      <c r="A3493" s="3">
        <v>1184</v>
      </c>
      <c r="B3493" s="3" t="s">
        <v>3774</v>
      </c>
      <c r="C3493" s="3" t="s">
        <v>3774</v>
      </c>
      <c r="D3493" s="3" t="s">
        <v>3358</v>
      </c>
    </row>
    <row r="3494" spans="1:4" x14ac:dyDescent="0.2">
      <c r="A3494" s="3">
        <v>1342</v>
      </c>
      <c r="B3494" s="3" t="s">
        <v>3775</v>
      </c>
      <c r="C3494" s="3" t="s">
        <v>3776</v>
      </c>
      <c r="D3494" s="3" t="s">
        <v>3358</v>
      </c>
    </row>
    <row r="3495" spans="1:4" x14ac:dyDescent="0.2">
      <c r="A3495" s="3">
        <v>1344</v>
      </c>
      <c r="B3495" s="3" t="s">
        <v>3776</v>
      </c>
      <c r="C3495" s="3" t="s">
        <v>3776</v>
      </c>
      <c r="D3495" s="3" t="s">
        <v>3358</v>
      </c>
    </row>
    <row r="3496" spans="1:4" x14ac:dyDescent="0.2">
      <c r="A3496" s="3">
        <v>1346</v>
      </c>
      <c r="B3496" s="3" t="s">
        <v>3777</v>
      </c>
      <c r="C3496" s="3" t="s">
        <v>3776</v>
      </c>
      <c r="D3496" s="3" t="s">
        <v>3358</v>
      </c>
    </row>
    <row r="3497" spans="1:4" x14ac:dyDescent="0.2">
      <c r="A3497" s="3">
        <v>1341</v>
      </c>
      <c r="B3497" s="3" t="s">
        <v>3778</v>
      </c>
      <c r="C3497" s="3" t="s">
        <v>3779</v>
      </c>
      <c r="D3497" s="3" t="s">
        <v>3358</v>
      </c>
    </row>
    <row r="3498" spans="1:4" x14ac:dyDescent="0.2">
      <c r="A3498" s="3">
        <v>1347</v>
      </c>
      <c r="B3498" s="3" t="s">
        <v>3780</v>
      </c>
      <c r="C3498" s="3" t="s">
        <v>3779</v>
      </c>
      <c r="D3498" s="3" t="s">
        <v>3358</v>
      </c>
    </row>
    <row r="3499" spans="1:4" x14ac:dyDescent="0.2">
      <c r="A3499" s="3">
        <v>1347</v>
      </c>
      <c r="B3499" s="3" t="s">
        <v>3781</v>
      </c>
      <c r="C3499" s="3" t="s">
        <v>3779</v>
      </c>
      <c r="D3499" s="3" t="s">
        <v>3358</v>
      </c>
    </row>
    <row r="3500" spans="1:4" x14ac:dyDescent="0.2">
      <c r="A3500" s="3">
        <v>1348</v>
      </c>
      <c r="B3500" s="3" t="s">
        <v>3782</v>
      </c>
      <c r="C3500" s="3" t="s">
        <v>3779</v>
      </c>
      <c r="D3500" s="3" t="s">
        <v>3358</v>
      </c>
    </row>
    <row r="3501" spans="1:4" x14ac:dyDescent="0.2">
      <c r="A3501" s="3">
        <v>1343</v>
      </c>
      <c r="B3501" s="3" t="s">
        <v>3783</v>
      </c>
      <c r="C3501" s="3" t="s">
        <v>3784</v>
      </c>
      <c r="D3501" s="3" t="s">
        <v>3358</v>
      </c>
    </row>
    <row r="3502" spans="1:4" x14ac:dyDescent="0.2">
      <c r="A3502" s="3">
        <v>1345</v>
      </c>
      <c r="B3502" s="3" t="s">
        <v>3784</v>
      </c>
      <c r="C3502" s="3" t="s">
        <v>3784</v>
      </c>
      <c r="D3502" s="3" t="s">
        <v>3358</v>
      </c>
    </row>
    <row r="3503" spans="1:4" x14ac:dyDescent="0.2">
      <c r="A3503" s="3">
        <v>1345</v>
      </c>
      <c r="B3503" s="3" t="s">
        <v>3785</v>
      </c>
      <c r="C3503" s="3" t="s">
        <v>3784</v>
      </c>
      <c r="D3503" s="3" t="s">
        <v>3358</v>
      </c>
    </row>
    <row r="3504" spans="1:4" x14ac:dyDescent="0.2">
      <c r="A3504" s="3">
        <v>1801</v>
      </c>
      <c r="B3504" s="3" t="s">
        <v>3786</v>
      </c>
      <c r="C3504" s="3" t="s">
        <v>3787</v>
      </c>
      <c r="D3504" s="3" t="s">
        <v>3358</v>
      </c>
    </row>
    <row r="3505" spans="1:4" x14ac:dyDescent="0.2">
      <c r="A3505" s="3">
        <v>1803</v>
      </c>
      <c r="B3505" s="3" t="s">
        <v>3787</v>
      </c>
      <c r="C3505" s="3" t="s">
        <v>3787</v>
      </c>
      <c r="D3505" s="3" t="s">
        <v>3358</v>
      </c>
    </row>
    <row r="3506" spans="1:4" x14ac:dyDescent="0.2">
      <c r="A3506" s="3">
        <v>1802</v>
      </c>
      <c r="B3506" s="3" t="s">
        <v>3788</v>
      </c>
      <c r="C3506" s="3" t="s">
        <v>3788</v>
      </c>
      <c r="D3506" s="3" t="s">
        <v>3358</v>
      </c>
    </row>
    <row r="3507" spans="1:4" x14ac:dyDescent="0.2">
      <c r="A3507" s="3">
        <v>1804</v>
      </c>
      <c r="B3507" s="3" t="s">
        <v>3789</v>
      </c>
      <c r="C3507" s="3" t="s">
        <v>3789</v>
      </c>
      <c r="D3507" s="3" t="s">
        <v>3358</v>
      </c>
    </row>
    <row r="3508" spans="1:4" x14ac:dyDescent="0.2">
      <c r="A3508" s="3">
        <v>1808</v>
      </c>
      <c r="B3508" s="3" t="s">
        <v>3790</v>
      </c>
      <c r="C3508" s="3" t="s">
        <v>3789</v>
      </c>
      <c r="D3508" s="3" t="s">
        <v>3358</v>
      </c>
    </row>
    <row r="3509" spans="1:4" x14ac:dyDescent="0.2">
      <c r="A3509" s="3">
        <v>1809</v>
      </c>
      <c r="B3509" s="3" t="s">
        <v>3791</v>
      </c>
      <c r="C3509" s="3" t="s">
        <v>3789</v>
      </c>
      <c r="D3509" s="3" t="s">
        <v>3358</v>
      </c>
    </row>
    <row r="3510" spans="1:4" x14ac:dyDescent="0.2">
      <c r="A3510" s="3">
        <v>1805</v>
      </c>
      <c r="B3510" s="3" t="s">
        <v>3792</v>
      </c>
      <c r="C3510" s="3" t="s">
        <v>3792</v>
      </c>
      <c r="D3510" s="3" t="s">
        <v>3358</v>
      </c>
    </row>
    <row r="3511" spans="1:4" x14ac:dyDescent="0.2">
      <c r="A3511" s="3">
        <v>1815</v>
      </c>
      <c r="B3511" s="3" t="s">
        <v>3793</v>
      </c>
      <c r="C3511" s="3" t="s">
        <v>3794</v>
      </c>
      <c r="D3511" s="3" t="s">
        <v>3358</v>
      </c>
    </row>
    <row r="3512" spans="1:4" x14ac:dyDescent="0.2">
      <c r="A3512" s="3">
        <v>1816</v>
      </c>
      <c r="B3512" s="3" t="s">
        <v>3795</v>
      </c>
      <c r="C3512" s="3" t="s">
        <v>3794</v>
      </c>
      <c r="D3512" s="3" t="s">
        <v>3358</v>
      </c>
    </row>
    <row r="3513" spans="1:4" x14ac:dyDescent="0.2">
      <c r="A3513" s="3">
        <v>1817</v>
      </c>
      <c r="B3513" s="3" t="s">
        <v>3796</v>
      </c>
      <c r="C3513" s="3" t="s">
        <v>3794</v>
      </c>
      <c r="D3513" s="3" t="s">
        <v>3358</v>
      </c>
    </row>
    <row r="3514" spans="1:4" x14ac:dyDescent="0.2">
      <c r="A3514" s="3">
        <v>1820</v>
      </c>
      <c r="B3514" s="3" t="s">
        <v>3794</v>
      </c>
      <c r="C3514" s="3" t="s">
        <v>3794</v>
      </c>
      <c r="D3514" s="3" t="s">
        <v>3358</v>
      </c>
    </row>
    <row r="3515" spans="1:4" x14ac:dyDescent="0.2">
      <c r="A3515" s="3">
        <v>1820</v>
      </c>
      <c r="B3515" s="3" t="s">
        <v>3797</v>
      </c>
      <c r="C3515" s="3" t="s">
        <v>3794</v>
      </c>
      <c r="D3515" s="3" t="s">
        <v>3358</v>
      </c>
    </row>
    <row r="3516" spans="1:4" x14ac:dyDescent="0.2">
      <c r="A3516" s="3">
        <v>1822</v>
      </c>
      <c r="B3516" s="3" t="s">
        <v>3798</v>
      </c>
      <c r="C3516" s="3" t="s">
        <v>3794</v>
      </c>
      <c r="D3516" s="3" t="s">
        <v>3358</v>
      </c>
    </row>
    <row r="3517" spans="1:4" x14ac:dyDescent="0.2">
      <c r="A3517" s="3">
        <v>1823</v>
      </c>
      <c r="B3517" s="3" t="s">
        <v>3799</v>
      </c>
      <c r="C3517" s="3" t="s">
        <v>3794</v>
      </c>
      <c r="D3517" s="3" t="s">
        <v>3358</v>
      </c>
    </row>
    <row r="3518" spans="1:4" x14ac:dyDescent="0.2">
      <c r="A3518" s="3">
        <v>1824</v>
      </c>
      <c r="B3518" s="3" t="s">
        <v>3800</v>
      </c>
      <c r="C3518" s="3" t="s">
        <v>3794</v>
      </c>
      <c r="D3518" s="3" t="s">
        <v>3358</v>
      </c>
    </row>
    <row r="3519" spans="1:4" x14ac:dyDescent="0.2">
      <c r="A3519" s="3">
        <v>1832</v>
      </c>
      <c r="B3519" s="3" t="s">
        <v>3801</v>
      </c>
      <c r="C3519" s="3" t="s">
        <v>3794</v>
      </c>
      <c r="D3519" s="3" t="s">
        <v>3358</v>
      </c>
    </row>
    <row r="3520" spans="1:4" x14ac:dyDescent="0.2">
      <c r="A3520" s="3">
        <v>1832</v>
      </c>
      <c r="B3520" s="3" t="s">
        <v>3802</v>
      </c>
      <c r="C3520" s="3" t="s">
        <v>3794</v>
      </c>
      <c r="D3520" s="3" t="s">
        <v>3358</v>
      </c>
    </row>
    <row r="3521" spans="1:4" x14ac:dyDescent="0.2">
      <c r="A3521" s="3">
        <v>1833</v>
      </c>
      <c r="B3521" s="3" t="s">
        <v>3803</v>
      </c>
      <c r="C3521" s="3" t="s">
        <v>3794</v>
      </c>
      <c r="D3521" s="3" t="s">
        <v>3358</v>
      </c>
    </row>
    <row r="3522" spans="1:4" x14ac:dyDescent="0.2">
      <c r="A3522" s="3">
        <v>1814</v>
      </c>
      <c r="B3522" s="3" t="s">
        <v>3804</v>
      </c>
      <c r="C3522" s="3" t="s">
        <v>3804</v>
      </c>
      <c r="D3522" s="3" t="s">
        <v>3358</v>
      </c>
    </row>
    <row r="3523" spans="1:4" x14ac:dyDescent="0.2">
      <c r="A3523" s="3">
        <v>1800</v>
      </c>
      <c r="B3523" s="3" t="s">
        <v>3805</v>
      </c>
      <c r="C3523" s="3" t="s">
        <v>3805</v>
      </c>
      <c r="D3523" s="3" t="s">
        <v>3358</v>
      </c>
    </row>
    <row r="3524" spans="1:4" x14ac:dyDescent="0.2">
      <c r="A3524" s="3">
        <v>1820</v>
      </c>
      <c r="B3524" s="3" t="s">
        <v>3806</v>
      </c>
      <c r="C3524" s="3" t="s">
        <v>3806</v>
      </c>
      <c r="D3524" s="3" t="s">
        <v>3358</v>
      </c>
    </row>
    <row r="3525" spans="1:4" x14ac:dyDescent="0.2">
      <c r="A3525" s="3">
        <v>1806</v>
      </c>
      <c r="B3525" s="3" t="s">
        <v>3807</v>
      </c>
      <c r="C3525" s="3" t="s">
        <v>3808</v>
      </c>
      <c r="D3525" s="3" t="s">
        <v>3358</v>
      </c>
    </row>
    <row r="3526" spans="1:4" x14ac:dyDescent="0.2">
      <c r="A3526" s="3">
        <v>1807</v>
      </c>
      <c r="B3526" s="3" t="s">
        <v>3809</v>
      </c>
      <c r="C3526" s="3" t="s">
        <v>3808</v>
      </c>
      <c r="D3526" s="3" t="s">
        <v>3358</v>
      </c>
    </row>
    <row r="3527" spans="1:4" x14ac:dyDescent="0.2">
      <c r="A3527" s="3">
        <v>1432</v>
      </c>
      <c r="B3527" s="3" t="s">
        <v>3810</v>
      </c>
      <c r="C3527" s="3" t="s">
        <v>3810</v>
      </c>
      <c r="D3527" s="3" t="s">
        <v>3358</v>
      </c>
    </row>
    <row r="3528" spans="1:4" x14ac:dyDescent="0.2">
      <c r="A3528" s="3">
        <v>1407</v>
      </c>
      <c r="B3528" s="3" t="s">
        <v>3811</v>
      </c>
      <c r="C3528" s="3" t="s">
        <v>3811</v>
      </c>
      <c r="D3528" s="3" t="s">
        <v>3358</v>
      </c>
    </row>
    <row r="3529" spans="1:4" x14ac:dyDescent="0.2">
      <c r="A3529" s="3">
        <v>1436</v>
      </c>
      <c r="B3529" s="3" t="s">
        <v>3812</v>
      </c>
      <c r="C3529" s="3" t="s">
        <v>3812</v>
      </c>
      <c r="D3529" s="3" t="s">
        <v>3358</v>
      </c>
    </row>
    <row r="3530" spans="1:4" x14ac:dyDescent="0.2">
      <c r="A3530" s="3">
        <v>1443</v>
      </c>
      <c r="B3530" s="3" t="s">
        <v>3813</v>
      </c>
      <c r="C3530" s="3" t="s">
        <v>3813</v>
      </c>
      <c r="D3530" s="3" t="s">
        <v>3358</v>
      </c>
    </row>
    <row r="3531" spans="1:4" x14ac:dyDescent="0.2">
      <c r="A3531" s="3">
        <v>1443</v>
      </c>
      <c r="B3531" s="3" t="s">
        <v>3814</v>
      </c>
      <c r="C3531" s="3" t="s">
        <v>3813</v>
      </c>
      <c r="D3531" s="3" t="s">
        <v>3358</v>
      </c>
    </row>
    <row r="3532" spans="1:4" x14ac:dyDescent="0.2">
      <c r="A3532" s="3">
        <v>1443</v>
      </c>
      <c r="B3532" s="3" t="s">
        <v>3815</v>
      </c>
      <c r="C3532" s="3" t="s">
        <v>3813</v>
      </c>
      <c r="D3532" s="3" t="s">
        <v>3358</v>
      </c>
    </row>
    <row r="3533" spans="1:4" x14ac:dyDescent="0.2">
      <c r="A3533" s="3">
        <v>1464</v>
      </c>
      <c r="B3533" s="3" t="s">
        <v>3816</v>
      </c>
      <c r="C3533" s="3" t="s">
        <v>3816</v>
      </c>
      <c r="D3533" s="3" t="s">
        <v>3358</v>
      </c>
    </row>
    <row r="3534" spans="1:4" x14ac:dyDescent="0.2">
      <c r="A3534" s="3">
        <v>1464</v>
      </c>
      <c r="B3534" s="3" t="s">
        <v>3817</v>
      </c>
      <c r="C3534" s="3" t="s">
        <v>3817</v>
      </c>
      <c r="D3534" s="3" t="s">
        <v>3358</v>
      </c>
    </row>
    <row r="3535" spans="1:4" x14ac:dyDescent="0.2">
      <c r="A3535" s="3">
        <v>1400</v>
      </c>
      <c r="B3535" s="3" t="s">
        <v>3818</v>
      </c>
      <c r="C3535" s="3" t="s">
        <v>3818</v>
      </c>
      <c r="D3535" s="3" t="s">
        <v>3358</v>
      </c>
    </row>
    <row r="3536" spans="1:4" x14ac:dyDescent="0.2">
      <c r="A3536" s="3">
        <v>1406</v>
      </c>
      <c r="B3536" s="3" t="s">
        <v>3819</v>
      </c>
      <c r="C3536" s="3" t="s">
        <v>3819</v>
      </c>
      <c r="D3536" s="3" t="s">
        <v>3358</v>
      </c>
    </row>
    <row r="3537" spans="1:4" x14ac:dyDescent="0.2">
      <c r="A3537" s="3">
        <v>1404</v>
      </c>
      <c r="B3537" s="3" t="s">
        <v>3820</v>
      </c>
      <c r="C3537" s="3" t="s">
        <v>3820</v>
      </c>
      <c r="D3537" s="3" t="s">
        <v>3358</v>
      </c>
    </row>
    <row r="3538" spans="1:4" x14ac:dyDescent="0.2">
      <c r="A3538" s="3">
        <v>1415</v>
      </c>
      <c r="B3538" s="3" t="s">
        <v>3821</v>
      </c>
      <c r="C3538" s="3" t="s">
        <v>3821</v>
      </c>
      <c r="D3538" s="3" t="s">
        <v>3358</v>
      </c>
    </row>
    <row r="3539" spans="1:4" x14ac:dyDescent="0.2">
      <c r="A3539" s="3">
        <v>1407</v>
      </c>
      <c r="B3539" s="3" t="s">
        <v>3822</v>
      </c>
      <c r="C3539" s="3" t="s">
        <v>3822</v>
      </c>
      <c r="D3539" s="3" t="s">
        <v>3358</v>
      </c>
    </row>
    <row r="3540" spans="1:4" x14ac:dyDescent="0.2">
      <c r="A3540" s="3">
        <v>1407</v>
      </c>
      <c r="B3540" s="3" t="s">
        <v>3823</v>
      </c>
      <c r="C3540" s="3" t="s">
        <v>3822</v>
      </c>
      <c r="D3540" s="3" t="s">
        <v>3358</v>
      </c>
    </row>
    <row r="3541" spans="1:4" x14ac:dyDescent="0.2">
      <c r="A3541" s="3">
        <v>1407</v>
      </c>
      <c r="B3541" s="3" t="s">
        <v>3824</v>
      </c>
      <c r="C3541" s="3" t="s">
        <v>3822</v>
      </c>
      <c r="D3541" s="3" t="s">
        <v>3358</v>
      </c>
    </row>
    <row r="3542" spans="1:4" x14ac:dyDescent="0.2">
      <c r="A3542" s="3">
        <v>1408</v>
      </c>
      <c r="B3542" s="3" t="s">
        <v>3825</v>
      </c>
      <c r="C3542" s="3" t="s">
        <v>3822</v>
      </c>
      <c r="D3542" s="3" t="s">
        <v>3358</v>
      </c>
    </row>
    <row r="3543" spans="1:4" x14ac:dyDescent="0.2">
      <c r="A3543" s="3">
        <v>1434</v>
      </c>
      <c r="B3543" s="3" t="s">
        <v>3826</v>
      </c>
      <c r="C3543" s="3" t="s">
        <v>3827</v>
      </c>
      <c r="D3543" s="3" t="s">
        <v>3358</v>
      </c>
    </row>
    <row r="3544" spans="1:4" x14ac:dyDescent="0.2">
      <c r="A3544" s="3">
        <v>1438</v>
      </c>
      <c r="B3544" s="3" t="s">
        <v>3828</v>
      </c>
      <c r="C3544" s="3" t="s">
        <v>3828</v>
      </c>
      <c r="D3544" s="3" t="s">
        <v>3358</v>
      </c>
    </row>
    <row r="3545" spans="1:4" x14ac:dyDescent="0.2">
      <c r="A3545" s="3">
        <v>1415</v>
      </c>
      <c r="B3545" s="3" t="s">
        <v>3829</v>
      </c>
      <c r="C3545" s="3" t="s">
        <v>3829</v>
      </c>
      <c r="D3545" s="3" t="s">
        <v>3358</v>
      </c>
    </row>
    <row r="3546" spans="1:4" x14ac:dyDescent="0.2">
      <c r="A3546" s="3">
        <v>1442</v>
      </c>
      <c r="B3546" s="3" t="s">
        <v>3830</v>
      </c>
      <c r="C3546" s="3" t="s">
        <v>3830</v>
      </c>
      <c r="D3546" s="3" t="s">
        <v>3358</v>
      </c>
    </row>
    <row r="3547" spans="1:4" x14ac:dyDescent="0.2">
      <c r="A3547" s="3">
        <v>1047</v>
      </c>
      <c r="B3547" s="3" t="s">
        <v>3831</v>
      </c>
      <c r="C3547" s="3" t="s">
        <v>3831</v>
      </c>
      <c r="D3547" s="3" t="s">
        <v>3358</v>
      </c>
    </row>
    <row r="3548" spans="1:4" x14ac:dyDescent="0.2">
      <c r="A3548" s="3">
        <v>1430</v>
      </c>
      <c r="B3548" s="3" t="s">
        <v>3832</v>
      </c>
      <c r="C3548" s="3" t="s">
        <v>3832</v>
      </c>
      <c r="D3548" s="3" t="s">
        <v>3358</v>
      </c>
    </row>
    <row r="3549" spans="1:4" x14ac:dyDescent="0.2">
      <c r="A3549" s="3">
        <v>1413</v>
      </c>
      <c r="B3549" s="3" t="s">
        <v>3833</v>
      </c>
      <c r="C3549" s="3" t="s">
        <v>3833</v>
      </c>
      <c r="D3549" s="3" t="s">
        <v>3358</v>
      </c>
    </row>
    <row r="3550" spans="1:4" x14ac:dyDescent="0.2">
      <c r="A3550" s="3">
        <v>1405</v>
      </c>
      <c r="B3550" s="3" t="s">
        <v>3834</v>
      </c>
      <c r="C3550" s="3" t="s">
        <v>3834</v>
      </c>
      <c r="D3550" s="3" t="s">
        <v>3358</v>
      </c>
    </row>
    <row r="3551" spans="1:4" x14ac:dyDescent="0.2">
      <c r="A3551" s="3">
        <v>1463</v>
      </c>
      <c r="B3551" s="3" t="s">
        <v>3835</v>
      </c>
      <c r="C3551" s="3" t="s">
        <v>3835</v>
      </c>
      <c r="D3551" s="3" t="s">
        <v>3358</v>
      </c>
    </row>
    <row r="3552" spans="1:4" x14ac:dyDescent="0.2">
      <c r="A3552" s="3">
        <v>1433</v>
      </c>
      <c r="B3552" s="3" t="s">
        <v>3836</v>
      </c>
      <c r="C3552" s="3" t="s">
        <v>3836</v>
      </c>
      <c r="D3552" s="3" t="s">
        <v>3358</v>
      </c>
    </row>
    <row r="3553" spans="1:4" x14ac:dyDescent="0.2">
      <c r="A3553" s="3">
        <v>1437</v>
      </c>
      <c r="B3553" s="3" t="s">
        <v>3837</v>
      </c>
      <c r="C3553" s="3" t="s">
        <v>3837</v>
      </c>
      <c r="D3553" s="3" t="s">
        <v>3358</v>
      </c>
    </row>
    <row r="3554" spans="1:4" x14ac:dyDescent="0.2">
      <c r="A3554" s="3">
        <v>1436</v>
      </c>
      <c r="B3554" s="3" t="s">
        <v>3838</v>
      </c>
      <c r="C3554" s="3" t="s">
        <v>3838</v>
      </c>
      <c r="D3554" s="3" t="s">
        <v>3358</v>
      </c>
    </row>
    <row r="3555" spans="1:4" x14ac:dyDescent="0.2">
      <c r="A3555" s="3">
        <v>1412</v>
      </c>
      <c r="B3555" s="3" t="s">
        <v>3839</v>
      </c>
      <c r="C3555" s="3" t="s">
        <v>3839</v>
      </c>
      <c r="D3555" s="3" t="s">
        <v>3358</v>
      </c>
    </row>
    <row r="3556" spans="1:4" x14ac:dyDescent="0.2">
      <c r="A3556" s="3">
        <v>1441</v>
      </c>
      <c r="B3556" s="3" t="s">
        <v>3840</v>
      </c>
      <c r="C3556" s="3" t="s">
        <v>3840</v>
      </c>
      <c r="D3556" s="3" t="s">
        <v>3358</v>
      </c>
    </row>
    <row r="3557" spans="1:4" x14ac:dyDescent="0.2">
      <c r="A3557" s="3">
        <v>1412</v>
      </c>
      <c r="B3557" s="3" t="s">
        <v>3841</v>
      </c>
      <c r="C3557" s="3" t="s">
        <v>3841</v>
      </c>
      <c r="D3557" s="3" t="s">
        <v>3358</v>
      </c>
    </row>
    <row r="3558" spans="1:4" x14ac:dyDescent="0.2">
      <c r="A3558" s="3">
        <v>1404</v>
      </c>
      <c r="B3558" s="3" t="s">
        <v>3842</v>
      </c>
      <c r="C3558" s="3" t="s">
        <v>3842</v>
      </c>
      <c r="D3558" s="3" t="s">
        <v>3358</v>
      </c>
    </row>
    <row r="3559" spans="1:4" x14ac:dyDescent="0.2">
      <c r="A3559" s="3">
        <v>1431</v>
      </c>
      <c r="B3559" s="3" t="s">
        <v>3843</v>
      </c>
      <c r="C3559" s="3" t="s">
        <v>3843</v>
      </c>
      <c r="D3559" s="3" t="s">
        <v>3358</v>
      </c>
    </row>
    <row r="3560" spans="1:4" x14ac:dyDescent="0.2">
      <c r="A3560" s="3">
        <v>1400</v>
      </c>
      <c r="B3560" s="3" t="s">
        <v>3844</v>
      </c>
      <c r="C3560" s="3" t="s">
        <v>3844</v>
      </c>
      <c r="D3560" s="3" t="s">
        <v>3358</v>
      </c>
    </row>
    <row r="3561" spans="1:4" x14ac:dyDescent="0.2">
      <c r="A3561" s="3">
        <v>1432</v>
      </c>
      <c r="B3561" s="3" t="s">
        <v>3845</v>
      </c>
      <c r="C3561" s="3" t="s">
        <v>3844</v>
      </c>
      <c r="D3561" s="3" t="s">
        <v>3358</v>
      </c>
    </row>
    <row r="3562" spans="1:4" x14ac:dyDescent="0.2">
      <c r="A3562" s="3">
        <v>1462</v>
      </c>
      <c r="B3562" s="3" t="s">
        <v>3846</v>
      </c>
      <c r="C3562" s="3" t="s">
        <v>3846</v>
      </c>
      <c r="D3562" s="3" t="s">
        <v>3358</v>
      </c>
    </row>
    <row r="3563" spans="1:4" x14ac:dyDescent="0.2">
      <c r="A3563" s="3">
        <v>3900</v>
      </c>
      <c r="B3563" s="3" t="s">
        <v>3847</v>
      </c>
      <c r="C3563" s="3" t="s">
        <v>3848</v>
      </c>
      <c r="D3563" s="3" t="s">
        <v>3849</v>
      </c>
    </row>
    <row r="3564" spans="1:4" x14ac:dyDescent="0.2">
      <c r="A3564" s="3">
        <v>3900</v>
      </c>
      <c r="B3564" s="3" t="s">
        <v>3850</v>
      </c>
      <c r="C3564" s="3" t="s">
        <v>3848</v>
      </c>
      <c r="D3564" s="3" t="s">
        <v>3849</v>
      </c>
    </row>
    <row r="3565" spans="1:4" x14ac:dyDescent="0.2">
      <c r="A3565" s="3">
        <v>3900</v>
      </c>
      <c r="B3565" s="3" t="s">
        <v>3851</v>
      </c>
      <c r="C3565" s="3" t="s">
        <v>3848</v>
      </c>
      <c r="D3565" s="3" t="s">
        <v>3849</v>
      </c>
    </row>
    <row r="3566" spans="1:4" x14ac:dyDescent="0.2">
      <c r="A3566" s="3">
        <v>3902</v>
      </c>
      <c r="B3566" s="3" t="s">
        <v>3852</v>
      </c>
      <c r="C3566" s="3" t="s">
        <v>3848</v>
      </c>
      <c r="D3566" s="3" t="s">
        <v>3849</v>
      </c>
    </row>
    <row r="3567" spans="1:4" x14ac:dyDescent="0.2">
      <c r="A3567" s="3">
        <v>3939</v>
      </c>
      <c r="B3567" s="3" t="s">
        <v>3853</v>
      </c>
      <c r="C3567" s="3" t="s">
        <v>3853</v>
      </c>
      <c r="D3567" s="3" t="s">
        <v>3849</v>
      </c>
    </row>
    <row r="3568" spans="1:4" x14ac:dyDescent="0.2">
      <c r="A3568" s="3">
        <v>3903</v>
      </c>
      <c r="B3568" s="3" t="s">
        <v>3854</v>
      </c>
      <c r="C3568" s="3" t="s">
        <v>3855</v>
      </c>
      <c r="D3568" s="3" t="s">
        <v>3849</v>
      </c>
    </row>
    <row r="3569" spans="1:4" x14ac:dyDescent="0.2">
      <c r="A3569" s="3">
        <v>3903</v>
      </c>
      <c r="B3569" s="3" t="s">
        <v>3856</v>
      </c>
      <c r="C3569" s="3" t="s">
        <v>3855</v>
      </c>
      <c r="D3569" s="3" t="s">
        <v>3849</v>
      </c>
    </row>
    <row r="3570" spans="1:4" x14ac:dyDescent="0.2">
      <c r="A3570" s="3">
        <v>3904</v>
      </c>
      <c r="B3570" s="3" t="s">
        <v>3855</v>
      </c>
      <c r="C3570" s="3" t="s">
        <v>3855</v>
      </c>
      <c r="D3570" s="3" t="s">
        <v>3849</v>
      </c>
    </row>
    <row r="3571" spans="1:4" x14ac:dyDescent="0.2">
      <c r="A3571" s="3">
        <v>3914</v>
      </c>
      <c r="B3571" s="3" t="s">
        <v>3857</v>
      </c>
      <c r="C3571" s="3" t="s">
        <v>3855</v>
      </c>
      <c r="D3571" s="3" t="s">
        <v>3849</v>
      </c>
    </row>
    <row r="3572" spans="1:4" x14ac:dyDescent="0.2">
      <c r="A3572" s="3">
        <v>3914</v>
      </c>
      <c r="B3572" s="3" t="s">
        <v>3858</v>
      </c>
      <c r="C3572" s="3" t="s">
        <v>3855</v>
      </c>
      <c r="D3572" s="3" t="s">
        <v>3849</v>
      </c>
    </row>
    <row r="3573" spans="1:4" x14ac:dyDescent="0.2">
      <c r="A3573" s="3">
        <v>3901</v>
      </c>
      <c r="B3573" s="3" t="s">
        <v>3859</v>
      </c>
      <c r="C3573" s="3" t="s">
        <v>3860</v>
      </c>
      <c r="D3573" s="3" t="s">
        <v>3849</v>
      </c>
    </row>
    <row r="3574" spans="1:4" x14ac:dyDescent="0.2">
      <c r="A3574" s="3">
        <v>3911</v>
      </c>
      <c r="B3574" s="3" t="s">
        <v>3860</v>
      </c>
      <c r="C3574" s="3" t="s">
        <v>3860</v>
      </c>
      <c r="D3574" s="3" t="s">
        <v>3849</v>
      </c>
    </row>
    <row r="3575" spans="1:4" x14ac:dyDescent="0.2">
      <c r="A3575" s="3">
        <v>3907</v>
      </c>
      <c r="B3575" s="3" t="s">
        <v>3861</v>
      </c>
      <c r="C3575" s="3" t="s">
        <v>3862</v>
      </c>
      <c r="D3575" s="3" t="s">
        <v>3849</v>
      </c>
    </row>
    <row r="3576" spans="1:4" x14ac:dyDescent="0.2">
      <c r="A3576" s="3">
        <v>3907</v>
      </c>
      <c r="B3576" s="3" t="s">
        <v>3863</v>
      </c>
      <c r="C3576" s="3" t="s">
        <v>3862</v>
      </c>
      <c r="D3576" s="3" t="s">
        <v>3849</v>
      </c>
    </row>
    <row r="3577" spans="1:4" x14ac:dyDescent="0.2">
      <c r="A3577" s="3">
        <v>3907</v>
      </c>
      <c r="B3577" s="3" t="s">
        <v>3864</v>
      </c>
      <c r="C3577" s="3" t="s">
        <v>3862</v>
      </c>
      <c r="D3577" s="3" t="s">
        <v>3849</v>
      </c>
    </row>
    <row r="3578" spans="1:4" x14ac:dyDescent="0.2">
      <c r="A3578" s="3">
        <v>3912</v>
      </c>
      <c r="B3578" s="3" t="s">
        <v>3865</v>
      </c>
      <c r="C3578" s="3" t="s">
        <v>3865</v>
      </c>
      <c r="D3578" s="3" t="s">
        <v>3849</v>
      </c>
    </row>
    <row r="3579" spans="1:4" x14ac:dyDescent="0.2">
      <c r="A3579" s="3">
        <v>3913</v>
      </c>
      <c r="B3579" s="3" t="s">
        <v>3866</v>
      </c>
      <c r="C3579" s="3" t="s">
        <v>3865</v>
      </c>
      <c r="D3579" s="3" t="s">
        <v>3849</v>
      </c>
    </row>
    <row r="3580" spans="1:4" x14ac:dyDescent="0.2">
      <c r="A3580" s="3">
        <v>3907</v>
      </c>
      <c r="B3580" s="3" t="s">
        <v>3867</v>
      </c>
      <c r="C3580" s="3" t="s">
        <v>3868</v>
      </c>
      <c r="D3580" s="3" t="s">
        <v>3849</v>
      </c>
    </row>
    <row r="3581" spans="1:4" x14ac:dyDescent="0.2">
      <c r="A3581" s="3">
        <v>1957</v>
      </c>
      <c r="B3581" s="3" t="s">
        <v>3869</v>
      </c>
      <c r="C3581" s="3" t="s">
        <v>3869</v>
      </c>
      <c r="D3581" s="3" t="s">
        <v>3849</v>
      </c>
    </row>
    <row r="3582" spans="1:4" x14ac:dyDescent="0.2">
      <c r="A3582" s="3">
        <v>1955</v>
      </c>
      <c r="B3582" s="3" t="s">
        <v>3870</v>
      </c>
      <c r="C3582" s="3" t="s">
        <v>3870</v>
      </c>
      <c r="D3582" s="3" t="s">
        <v>3849</v>
      </c>
    </row>
    <row r="3583" spans="1:4" x14ac:dyDescent="0.2">
      <c r="A3583" s="3">
        <v>1955</v>
      </c>
      <c r="B3583" s="3" t="s">
        <v>3871</v>
      </c>
      <c r="C3583" s="3" t="s">
        <v>3870</v>
      </c>
      <c r="D3583" s="3" t="s">
        <v>3849</v>
      </c>
    </row>
    <row r="3584" spans="1:4" x14ac:dyDescent="0.2">
      <c r="A3584" s="3">
        <v>1955</v>
      </c>
      <c r="B3584" s="3" t="s">
        <v>3872</v>
      </c>
      <c r="C3584" s="3" t="s">
        <v>3870</v>
      </c>
      <c r="D3584" s="3" t="s">
        <v>3849</v>
      </c>
    </row>
    <row r="3585" spans="1:4" x14ac:dyDescent="0.2">
      <c r="A3585" s="3">
        <v>1955</v>
      </c>
      <c r="B3585" s="3" t="s">
        <v>3873</v>
      </c>
      <c r="C3585" s="3" t="s">
        <v>3870</v>
      </c>
      <c r="D3585" s="3" t="s">
        <v>3849</v>
      </c>
    </row>
    <row r="3586" spans="1:4" x14ac:dyDescent="0.2">
      <c r="A3586" s="3">
        <v>1955</v>
      </c>
      <c r="B3586" s="3" t="s">
        <v>3874</v>
      </c>
      <c r="C3586" s="3" t="s">
        <v>3870</v>
      </c>
      <c r="D3586" s="3" t="s">
        <v>3849</v>
      </c>
    </row>
    <row r="3587" spans="1:4" x14ac:dyDescent="0.2">
      <c r="A3587" s="3">
        <v>1955</v>
      </c>
      <c r="B3587" s="3" t="s">
        <v>3875</v>
      </c>
      <c r="C3587" s="3" t="s">
        <v>3870</v>
      </c>
      <c r="D3587" s="3" t="s">
        <v>3849</v>
      </c>
    </row>
    <row r="3588" spans="1:4" x14ac:dyDescent="0.2">
      <c r="A3588" s="3">
        <v>1964</v>
      </c>
      <c r="B3588" s="3" t="s">
        <v>3876</v>
      </c>
      <c r="C3588" s="3" t="s">
        <v>3876</v>
      </c>
      <c r="D3588" s="3" t="s">
        <v>3849</v>
      </c>
    </row>
    <row r="3589" spans="1:4" x14ac:dyDescent="0.2">
      <c r="A3589" s="3">
        <v>1975</v>
      </c>
      <c r="B3589" s="3" t="s">
        <v>3877</v>
      </c>
      <c r="C3589" s="3" t="s">
        <v>3876</v>
      </c>
      <c r="D3589" s="3" t="s">
        <v>3849</v>
      </c>
    </row>
    <row r="3590" spans="1:4" x14ac:dyDescent="0.2">
      <c r="A3590" s="3">
        <v>1976</v>
      </c>
      <c r="B3590" s="3" t="s">
        <v>3878</v>
      </c>
      <c r="C3590" s="3" t="s">
        <v>3876</v>
      </c>
      <c r="D3590" s="3" t="s">
        <v>3849</v>
      </c>
    </row>
    <row r="3591" spans="1:4" x14ac:dyDescent="0.2">
      <c r="A3591" s="3">
        <v>1976</v>
      </c>
      <c r="B3591" s="3" t="s">
        <v>3879</v>
      </c>
      <c r="C3591" s="3" t="s">
        <v>3876</v>
      </c>
      <c r="D3591" s="3" t="s">
        <v>3849</v>
      </c>
    </row>
    <row r="3592" spans="1:4" x14ac:dyDescent="0.2">
      <c r="A3592" s="3">
        <v>1976</v>
      </c>
      <c r="B3592" s="3" t="s">
        <v>3880</v>
      </c>
      <c r="C3592" s="3" t="s">
        <v>3876</v>
      </c>
      <c r="D3592" s="3" t="s">
        <v>3849</v>
      </c>
    </row>
    <row r="3593" spans="1:4" x14ac:dyDescent="0.2">
      <c r="A3593" s="3">
        <v>1993</v>
      </c>
      <c r="B3593" s="3" t="s">
        <v>3881</v>
      </c>
      <c r="C3593" s="3" t="s">
        <v>3882</v>
      </c>
      <c r="D3593" s="3" t="s">
        <v>3849</v>
      </c>
    </row>
    <row r="3594" spans="1:4" x14ac:dyDescent="0.2">
      <c r="A3594" s="3">
        <v>1994</v>
      </c>
      <c r="B3594" s="3" t="s">
        <v>3883</v>
      </c>
      <c r="C3594" s="3" t="s">
        <v>3882</v>
      </c>
      <c r="D3594" s="3" t="s">
        <v>3849</v>
      </c>
    </row>
    <row r="3595" spans="1:4" x14ac:dyDescent="0.2">
      <c r="A3595" s="3">
        <v>1996</v>
      </c>
      <c r="B3595" s="3" t="s">
        <v>3884</v>
      </c>
      <c r="C3595" s="3" t="s">
        <v>3882</v>
      </c>
      <c r="D3595" s="3" t="s">
        <v>3849</v>
      </c>
    </row>
    <row r="3596" spans="1:4" x14ac:dyDescent="0.2">
      <c r="A3596" s="3">
        <v>1996</v>
      </c>
      <c r="B3596" s="3" t="s">
        <v>3885</v>
      </c>
      <c r="C3596" s="3" t="s">
        <v>3882</v>
      </c>
      <c r="D3596" s="3" t="s">
        <v>3849</v>
      </c>
    </row>
    <row r="3597" spans="1:4" x14ac:dyDescent="0.2">
      <c r="A3597" s="3">
        <v>1996</v>
      </c>
      <c r="B3597" s="3" t="s">
        <v>3886</v>
      </c>
      <c r="C3597" s="3" t="s">
        <v>3882</v>
      </c>
      <c r="D3597" s="3" t="s">
        <v>3849</v>
      </c>
    </row>
    <row r="3598" spans="1:4" x14ac:dyDescent="0.2">
      <c r="A3598" s="3">
        <v>1996</v>
      </c>
      <c r="B3598" s="3" t="s">
        <v>3887</v>
      </c>
      <c r="C3598" s="3" t="s">
        <v>3882</v>
      </c>
      <c r="D3598" s="3" t="s">
        <v>3849</v>
      </c>
    </row>
    <row r="3599" spans="1:4" x14ac:dyDescent="0.2">
      <c r="A3599" s="3">
        <v>1996</v>
      </c>
      <c r="B3599" s="3" t="s">
        <v>3888</v>
      </c>
      <c r="C3599" s="3" t="s">
        <v>3882</v>
      </c>
      <c r="D3599" s="3" t="s">
        <v>3849</v>
      </c>
    </row>
    <row r="3600" spans="1:4" x14ac:dyDescent="0.2">
      <c r="A3600" s="3">
        <v>1996</v>
      </c>
      <c r="B3600" s="3" t="s">
        <v>3889</v>
      </c>
      <c r="C3600" s="3" t="s">
        <v>3882</v>
      </c>
      <c r="D3600" s="3" t="s">
        <v>3849</v>
      </c>
    </row>
    <row r="3601" spans="1:4" x14ac:dyDescent="0.2">
      <c r="A3601" s="3">
        <v>1996</v>
      </c>
      <c r="B3601" s="3" t="s">
        <v>3890</v>
      </c>
      <c r="C3601" s="3" t="s">
        <v>3882</v>
      </c>
      <c r="D3601" s="3" t="s">
        <v>3849</v>
      </c>
    </row>
    <row r="3602" spans="1:4" x14ac:dyDescent="0.2">
      <c r="A3602" s="3">
        <v>1996</v>
      </c>
      <c r="B3602" s="3" t="s">
        <v>3891</v>
      </c>
      <c r="C3602" s="3" t="s">
        <v>3882</v>
      </c>
      <c r="D3602" s="3" t="s">
        <v>3849</v>
      </c>
    </row>
    <row r="3603" spans="1:4" x14ac:dyDescent="0.2">
      <c r="A3603" s="3">
        <v>1997</v>
      </c>
      <c r="B3603" s="3" t="s">
        <v>3892</v>
      </c>
      <c r="C3603" s="3" t="s">
        <v>3882</v>
      </c>
      <c r="D3603" s="3" t="s">
        <v>3849</v>
      </c>
    </row>
    <row r="3604" spans="1:4" x14ac:dyDescent="0.2">
      <c r="A3604" s="3">
        <v>1997</v>
      </c>
      <c r="B3604" s="3" t="s">
        <v>3893</v>
      </c>
      <c r="C3604" s="3" t="s">
        <v>3882</v>
      </c>
      <c r="D3604" s="3" t="s">
        <v>3849</v>
      </c>
    </row>
    <row r="3605" spans="1:4" x14ac:dyDescent="0.2">
      <c r="A3605" s="3">
        <v>1997</v>
      </c>
      <c r="B3605" s="3" t="s">
        <v>3894</v>
      </c>
      <c r="C3605" s="3" t="s">
        <v>3882</v>
      </c>
      <c r="D3605" s="3" t="s">
        <v>3849</v>
      </c>
    </row>
    <row r="3606" spans="1:4" x14ac:dyDescent="0.2">
      <c r="A3606" s="3">
        <v>1963</v>
      </c>
      <c r="B3606" s="3" t="s">
        <v>3895</v>
      </c>
      <c r="C3606" s="3" t="s">
        <v>3895</v>
      </c>
      <c r="D3606" s="3" t="s">
        <v>3849</v>
      </c>
    </row>
    <row r="3607" spans="1:4" x14ac:dyDescent="0.2">
      <c r="A3607" s="3">
        <v>1946</v>
      </c>
      <c r="B3607" s="3" t="s">
        <v>3896</v>
      </c>
      <c r="C3607" s="3" t="s">
        <v>3897</v>
      </c>
      <c r="D3607" s="3" t="s">
        <v>3849</v>
      </c>
    </row>
    <row r="3608" spans="1:4" x14ac:dyDescent="0.2">
      <c r="A3608" s="3">
        <v>1945</v>
      </c>
      <c r="B3608" s="3" t="s">
        <v>3898</v>
      </c>
      <c r="C3608" s="3" t="s">
        <v>3898</v>
      </c>
      <c r="D3608" s="3" t="s">
        <v>3849</v>
      </c>
    </row>
    <row r="3609" spans="1:4" x14ac:dyDescent="0.2">
      <c r="A3609" s="3">
        <v>1945</v>
      </c>
      <c r="B3609" s="3" t="s">
        <v>3899</v>
      </c>
      <c r="C3609" s="3" t="s">
        <v>3898</v>
      </c>
      <c r="D3609" s="3" t="s">
        <v>3849</v>
      </c>
    </row>
    <row r="3610" spans="1:4" x14ac:dyDescent="0.2">
      <c r="A3610" s="3">
        <v>1945</v>
      </c>
      <c r="B3610" s="3" t="s">
        <v>3900</v>
      </c>
      <c r="C3610" s="3" t="s">
        <v>3898</v>
      </c>
      <c r="D3610" s="3" t="s">
        <v>3849</v>
      </c>
    </row>
    <row r="3611" spans="1:4" x14ac:dyDescent="0.2">
      <c r="A3611" s="3">
        <v>1945</v>
      </c>
      <c r="B3611" s="3" t="s">
        <v>3901</v>
      </c>
      <c r="C3611" s="3" t="s">
        <v>3898</v>
      </c>
      <c r="D3611" s="3" t="s">
        <v>3849</v>
      </c>
    </row>
    <row r="3612" spans="1:4" x14ac:dyDescent="0.2">
      <c r="A3612" s="3">
        <v>1945</v>
      </c>
      <c r="B3612" s="3" t="s">
        <v>3902</v>
      </c>
      <c r="C3612" s="3" t="s">
        <v>3898</v>
      </c>
      <c r="D3612" s="3" t="s">
        <v>3849</v>
      </c>
    </row>
    <row r="3613" spans="1:4" x14ac:dyDescent="0.2">
      <c r="A3613" s="3">
        <v>1945</v>
      </c>
      <c r="B3613" s="3" t="s">
        <v>3903</v>
      </c>
      <c r="C3613" s="3" t="s">
        <v>3898</v>
      </c>
      <c r="D3613" s="3" t="s">
        <v>3849</v>
      </c>
    </row>
    <row r="3614" spans="1:4" x14ac:dyDescent="0.2">
      <c r="A3614" s="3">
        <v>1945</v>
      </c>
      <c r="B3614" s="3" t="s">
        <v>3904</v>
      </c>
      <c r="C3614" s="3" t="s">
        <v>3898</v>
      </c>
      <c r="D3614" s="3" t="s">
        <v>3849</v>
      </c>
    </row>
    <row r="3615" spans="1:4" x14ac:dyDescent="0.2">
      <c r="A3615" s="3">
        <v>1945</v>
      </c>
      <c r="B3615" s="3" t="s">
        <v>3905</v>
      </c>
      <c r="C3615" s="3" t="s">
        <v>3898</v>
      </c>
      <c r="D3615" s="3" t="s">
        <v>3849</v>
      </c>
    </row>
    <row r="3616" spans="1:4" x14ac:dyDescent="0.2">
      <c r="A3616" s="3">
        <v>1945</v>
      </c>
      <c r="B3616" s="3" t="s">
        <v>3906</v>
      </c>
      <c r="C3616" s="3" t="s">
        <v>3898</v>
      </c>
      <c r="D3616" s="3" t="s">
        <v>3849</v>
      </c>
    </row>
    <row r="3617" spans="1:4" x14ac:dyDescent="0.2">
      <c r="A3617" s="3">
        <v>1945</v>
      </c>
      <c r="B3617" s="3" t="s">
        <v>3907</v>
      </c>
      <c r="C3617" s="3" t="s">
        <v>3898</v>
      </c>
      <c r="D3617" s="3" t="s">
        <v>3849</v>
      </c>
    </row>
    <row r="3618" spans="1:4" x14ac:dyDescent="0.2">
      <c r="A3618" s="3">
        <v>1945</v>
      </c>
      <c r="B3618" s="3" t="s">
        <v>3908</v>
      </c>
      <c r="C3618" s="3" t="s">
        <v>3898</v>
      </c>
      <c r="D3618" s="3" t="s">
        <v>3849</v>
      </c>
    </row>
    <row r="3619" spans="1:4" x14ac:dyDescent="0.2">
      <c r="A3619" s="3">
        <v>1945</v>
      </c>
      <c r="B3619" s="3" t="s">
        <v>3909</v>
      </c>
      <c r="C3619" s="3" t="s">
        <v>3898</v>
      </c>
      <c r="D3619" s="3" t="s">
        <v>3849</v>
      </c>
    </row>
    <row r="3620" spans="1:4" x14ac:dyDescent="0.2">
      <c r="A3620" s="3">
        <v>1937</v>
      </c>
      <c r="B3620" s="3" t="s">
        <v>3910</v>
      </c>
      <c r="C3620" s="3" t="s">
        <v>3910</v>
      </c>
      <c r="D3620" s="3" t="s">
        <v>3849</v>
      </c>
    </row>
    <row r="3621" spans="1:4" x14ac:dyDescent="0.2">
      <c r="A3621" s="3">
        <v>1938</v>
      </c>
      <c r="B3621" s="3" t="s">
        <v>3911</v>
      </c>
      <c r="C3621" s="3" t="s">
        <v>3910</v>
      </c>
      <c r="D3621" s="3" t="s">
        <v>3849</v>
      </c>
    </row>
    <row r="3622" spans="1:4" x14ac:dyDescent="0.2">
      <c r="A3622" s="3">
        <v>1943</v>
      </c>
      <c r="B3622" s="3" t="s">
        <v>3912</v>
      </c>
      <c r="C3622" s="3" t="s">
        <v>3910</v>
      </c>
      <c r="D3622" s="3" t="s">
        <v>3849</v>
      </c>
    </row>
    <row r="3623" spans="1:4" x14ac:dyDescent="0.2">
      <c r="A3623" s="3">
        <v>1944</v>
      </c>
      <c r="B3623" s="3" t="s">
        <v>3913</v>
      </c>
      <c r="C3623" s="3" t="s">
        <v>3910</v>
      </c>
      <c r="D3623" s="3" t="s">
        <v>3849</v>
      </c>
    </row>
    <row r="3624" spans="1:4" x14ac:dyDescent="0.2">
      <c r="A3624" s="3">
        <v>1933</v>
      </c>
      <c r="B3624" s="3" t="s">
        <v>3914</v>
      </c>
      <c r="C3624" s="3" t="s">
        <v>3914</v>
      </c>
      <c r="D3624" s="3" t="s">
        <v>3849</v>
      </c>
    </row>
    <row r="3625" spans="1:4" x14ac:dyDescent="0.2">
      <c r="A3625" s="3">
        <v>1933</v>
      </c>
      <c r="B3625" s="3" t="s">
        <v>3915</v>
      </c>
      <c r="C3625" s="3" t="s">
        <v>3914</v>
      </c>
      <c r="D3625" s="3" t="s">
        <v>3849</v>
      </c>
    </row>
    <row r="3626" spans="1:4" x14ac:dyDescent="0.2">
      <c r="A3626" s="3">
        <v>1933</v>
      </c>
      <c r="B3626" s="3" t="s">
        <v>3916</v>
      </c>
      <c r="C3626" s="3" t="s">
        <v>3914</v>
      </c>
      <c r="D3626" s="3" t="s">
        <v>3849</v>
      </c>
    </row>
    <row r="3627" spans="1:4" x14ac:dyDescent="0.2">
      <c r="A3627" s="3">
        <v>1927</v>
      </c>
      <c r="B3627" s="3" t="s">
        <v>3917</v>
      </c>
      <c r="C3627" s="3" t="s">
        <v>3918</v>
      </c>
      <c r="D3627" s="3" t="s">
        <v>3849</v>
      </c>
    </row>
    <row r="3628" spans="1:4" x14ac:dyDescent="0.2">
      <c r="A3628" s="3">
        <v>1933</v>
      </c>
      <c r="B3628" s="3" t="s">
        <v>3919</v>
      </c>
      <c r="C3628" s="3" t="s">
        <v>3918</v>
      </c>
      <c r="D3628" s="3" t="s">
        <v>3849</v>
      </c>
    </row>
    <row r="3629" spans="1:4" x14ac:dyDescent="0.2">
      <c r="A3629" s="3">
        <v>1934</v>
      </c>
      <c r="B3629" s="3" t="s">
        <v>3920</v>
      </c>
      <c r="C3629" s="3" t="s">
        <v>3918</v>
      </c>
      <c r="D3629" s="3" t="s">
        <v>3849</v>
      </c>
    </row>
    <row r="3630" spans="1:4" x14ac:dyDescent="0.2">
      <c r="A3630" s="3">
        <v>1934</v>
      </c>
      <c r="B3630" s="3" t="s">
        <v>3921</v>
      </c>
      <c r="C3630" s="3" t="s">
        <v>3918</v>
      </c>
      <c r="D3630" s="3" t="s">
        <v>3849</v>
      </c>
    </row>
    <row r="3631" spans="1:4" x14ac:dyDescent="0.2">
      <c r="A3631" s="3">
        <v>1936</v>
      </c>
      <c r="B3631" s="3" t="s">
        <v>3922</v>
      </c>
      <c r="C3631" s="3" t="s">
        <v>3918</v>
      </c>
      <c r="D3631" s="3" t="s">
        <v>3849</v>
      </c>
    </row>
    <row r="3632" spans="1:4" x14ac:dyDescent="0.2">
      <c r="A3632" s="3">
        <v>1941</v>
      </c>
      <c r="B3632" s="3" t="s">
        <v>3923</v>
      </c>
      <c r="C3632" s="3" t="s">
        <v>3918</v>
      </c>
      <c r="D3632" s="3" t="s">
        <v>3849</v>
      </c>
    </row>
    <row r="3633" spans="1:4" x14ac:dyDescent="0.2">
      <c r="A3633" s="3">
        <v>1941</v>
      </c>
      <c r="B3633" s="3" t="s">
        <v>3924</v>
      </c>
      <c r="C3633" s="3" t="s">
        <v>3918</v>
      </c>
      <c r="D3633" s="3" t="s">
        <v>3849</v>
      </c>
    </row>
    <row r="3634" spans="1:4" x14ac:dyDescent="0.2">
      <c r="A3634" s="3">
        <v>1942</v>
      </c>
      <c r="B3634" s="3" t="s">
        <v>3925</v>
      </c>
      <c r="C3634" s="3" t="s">
        <v>3918</v>
      </c>
      <c r="D3634" s="3" t="s">
        <v>3849</v>
      </c>
    </row>
    <row r="3635" spans="1:4" x14ac:dyDescent="0.2">
      <c r="A3635" s="3">
        <v>1947</v>
      </c>
      <c r="B3635" s="3" t="s">
        <v>3926</v>
      </c>
      <c r="C3635" s="3" t="s">
        <v>3918</v>
      </c>
      <c r="D3635" s="3" t="s">
        <v>3849</v>
      </c>
    </row>
    <row r="3636" spans="1:4" x14ac:dyDescent="0.2">
      <c r="A3636" s="3">
        <v>1947</v>
      </c>
      <c r="B3636" s="3" t="s">
        <v>3927</v>
      </c>
      <c r="C3636" s="3" t="s">
        <v>3918</v>
      </c>
      <c r="D3636" s="3" t="s">
        <v>3849</v>
      </c>
    </row>
    <row r="3637" spans="1:4" x14ac:dyDescent="0.2">
      <c r="A3637" s="3">
        <v>1948</v>
      </c>
      <c r="B3637" s="3" t="s">
        <v>3928</v>
      </c>
      <c r="C3637" s="3" t="s">
        <v>3918</v>
      </c>
      <c r="D3637" s="3" t="s">
        <v>3849</v>
      </c>
    </row>
    <row r="3638" spans="1:4" x14ac:dyDescent="0.2">
      <c r="A3638" s="3">
        <v>1948</v>
      </c>
      <c r="B3638" s="3" t="s">
        <v>3929</v>
      </c>
      <c r="C3638" s="3" t="s">
        <v>3918</v>
      </c>
      <c r="D3638" s="3" t="s">
        <v>3849</v>
      </c>
    </row>
    <row r="3639" spans="1:4" x14ac:dyDescent="0.2">
      <c r="A3639" s="3">
        <v>1948</v>
      </c>
      <c r="B3639" s="3" t="s">
        <v>3930</v>
      </c>
      <c r="C3639" s="3" t="s">
        <v>3918</v>
      </c>
      <c r="D3639" s="3" t="s">
        <v>3849</v>
      </c>
    </row>
    <row r="3640" spans="1:4" x14ac:dyDescent="0.2">
      <c r="A3640" s="3">
        <v>3997</v>
      </c>
      <c r="B3640" s="3" t="s">
        <v>3931</v>
      </c>
      <c r="C3640" s="3" t="s">
        <v>3931</v>
      </c>
      <c r="D3640" s="3" t="s">
        <v>3849</v>
      </c>
    </row>
    <row r="3641" spans="1:4" x14ac:dyDescent="0.2">
      <c r="A3641" s="3">
        <v>3996</v>
      </c>
      <c r="B3641" s="3" t="s">
        <v>3932</v>
      </c>
      <c r="C3641" s="3" t="s">
        <v>3932</v>
      </c>
      <c r="D3641" s="3" t="s">
        <v>3849</v>
      </c>
    </row>
    <row r="3642" spans="1:4" x14ac:dyDescent="0.2">
      <c r="A3642" s="3">
        <v>3995</v>
      </c>
      <c r="B3642" s="3" t="s">
        <v>3933</v>
      </c>
      <c r="C3642" s="3" t="s">
        <v>3933</v>
      </c>
      <c r="D3642" s="3" t="s">
        <v>3849</v>
      </c>
    </row>
    <row r="3643" spans="1:4" x14ac:dyDescent="0.2">
      <c r="A3643" s="3">
        <v>3995</v>
      </c>
      <c r="B3643" s="3" t="s">
        <v>3934</v>
      </c>
      <c r="C3643" s="3" t="s">
        <v>3933</v>
      </c>
      <c r="D3643" s="3" t="s">
        <v>3849</v>
      </c>
    </row>
    <row r="3644" spans="1:4" x14ac:dyDescent="0.2">
      <c r="A3644" s="3">
        <v>3995</v>
      </c>
      <c r="B3644" s="3" t="s">
        <v>3935</v>
      </c>
      <c r="C3644" s="3" t="s">
        <v>3933</v>
      </c>
      <c r="D3644" s="3" t="s">
        <v>3849</v>
      </c>
    </row>
    <row r="3645" spans="1:4" x14ac:dyDescent="0.2">
      <c r="A3645" s="3">
        <v>3995</v>
      </c>
      <c r="B3645" s="3" t="s">
        <v>3936</v>
      </c>
      <c r="C3645" s="3" t="s">
        <v>3933</v>
      </c>
      <c r="D3645" s="3" t="s">
        <v>3849</v>
      </c>
    </row>
    <row r="3646" spans="1:4" x14ac:dyDescent="0.2">
      <c r="A3646" s="3">
        <v>3984</v>
      </c>
      <c r="B3646" s="3" t="s">
        <v>3937</v>
      </c>
      <c r="C3646" s="3" t="s">
        <v>3937</v>
      </c>
      <c r="D3646" s="3" t="s">
        <v>3849</v>
      </c>
    </row>
    <row r="3647" spans="1:4" x14ac:dyDescent="0.2">
      <c r="A3647" s="3">
        <v>3801</v>
      </c>
      <c r="B3647" s="3" t="s">
        <v>3938</v>
      </c>
      <c r="C3647" s="3" t="s">
        <v>3939</v>
      </c>
      <c r="D3647" s="3" t="s">
        <v>3849</v>
      </c>
    </row>
    <row r="3648" spans="1:4" x14ac:dyDescent="0.2">
      <c r="A3648" s="3">
        <v>3984</v>
      </c>
      <c r="B3648" s="3" t="s">
        <v>3939</v>
      </c>
      <c r="C3648" s="3" t="s">
        <v>3939</v>
      </c>
      <c r="D3648" s="3" t="s">
        <v>3849</v>
      </c>
    </row>
    <row r="3649" spans="1:4" x14ac:dyDescent="0.2">
      <c r="A3649" s="3">
        <v>3994</v>
      </c>
      <c r="B3649" s="3" t="s">
        <v>3940</v>
      </c>
      <c r="C3649" s="3" t="s">
        <v>3940</v>
      </c>
      <c r="D3649" s="3" t="s">
        <v>3849</v>
      </c>
    </row>
    <row r="3650" spans="1:4" x14ac:dyDescent="0.2">
      <c r="A3650" s="3">
        <v>3988</v>
      </c>
      <c r="B3650" s="3" t="s">
        <v>3941</v>
      </c>
      <c r="C3650" s="3" t="s">
        <v>3942</v>
      </c>
      <c r="D3650" s="3" t="s">
        <v>3849</v>
      </c>
    </row>
    <row r="3651" spans="1:4" x14ac:dyDescent="0.2">
      <c r="A3651" s="3">
        <v>3988</v>
      </c>
      <c r="B3651" s="3" t="s">
        <v>3943</v>
      </c>
      <c r="C3651" s="3" t="s">
        <v>3942</v>
      </c>
      <c r="D3651" s="3" t="s">
        <v>3849</v>
      </c>
    </row>
    <row r="3652" spans="1:4" x14ac:dyDescent="0.2">
      <c r="A3652" s="3">
        <v>3999</v>
      </c>
      <c r="B3652" s="3" t="s">
        <v>3944</v>
      </c>
      <c r="C3652" s="3" t="s">
        <v>3942</v>
      </c>
      <c r="D3652" s="3" t="s">
        <v>3849</v>
      </c>
    </row>
    <row r="3653" spans="1:4" x14ac:dyDescent="0.2">
      <c r="A3653" s="3">
        <v>3985</v>
      </c>
      <c r="B3653" s="3" t="s">
        <v>3945</v>
      </c>
      <c r="C3653" s="3" t="s">
        <v>3946</v>
      </c>
      <c r="D3653" s="3" t="s">
        <v>3849</v>
      </c>
    </row>
    <row r="3654" spans="1:4" x14ac:dyDescent="0.2">
      <c r="A3654" s="3">
        <v>3985</v>
      </c>
      <c r="B3654" s="3" t="s">
        <v>3947</v>
      </c>
      <c r="C3654" s="3" t="s">
        <v>3946</v>
      </c>
      <c r="D3654" s="3" t="s">
        <v>3849</v>
      </c>
    </row>
    <row r="3655" spans="1:4" x14ac:dyDescent="0.2">
      <c r="A3655" s="3">
        <v>3989</v>
      </c>
      <c r="B3655" s="3" t="s">
        <v>3948</v>
      </c>
      <c r="C3655" s="3" t="s">
        <v>3946</v>
      </c>
      <c r="D3655" s="3" t="s">
        <v>3849</v>
      </c>
    </row>
    <row r="3656" spans="1:4" x14ac:dyDescent="0.2">
      <c r="A3656" s="3">
        <v>3989</v>
      </c>
      <c r="B3656" s="3" t="s">
        <v>3949</v>
      </c>
      <c r="C3656" s="3" t="s">
        <v>3946</v>
      </c>
      <c r="D3656" s="3" t="s">
        <v>3849</v>
      </c>
    </row>
    <row r="3657" spans="1:4" x14ac:dyDescent="0.2">
      <c r="A3657" s="3">
        <v>3989</v>
      </c>
      <c r="B3657" s="3" t="s">
        <v>3950</v>
      </c>
      <c r="C3657" s="3" t="s">
        <v>3946</v>
      </c>
      <c r="D3657" s="3" t="s">
        <v>3849</v>
      </c>
    </row>
    <row r="3658" spans="1:4" x14ac:dyDescent="0.2">
      <c r="A3658" s="3">
        <v>3989</v>
      </c>
      <c r="B3658" s="3" t="s">
        <v>3951</v>
      </c>
      <c r="C3658" s="3" t="s">
        <v>3946</v>
      </c>
      <c r="D3658" s="3" t="s">
        <v>3849</v>
      </c>
    </row>
    <row r="3659" spans="1:4" x14ac:dyDescent="0.2">
      <c r="A3659" s="3">
        <v>3989</v>
      </c>
      <c r="B3659" s="3" t="s">
        <v>3952</v>
      </c>
      <c r="C3659" s="3" t="s">
        <v>3946</v>
      </c>
      <c r="D3659" s="3" t="s">
        <v>3849</v>
      </c>
    </row>
    <row r="3660" spans="1:4" x14ac:dyDescent="0.2">
      <c r="A3660" s="3">
        <v>3998</v>
      </c>
      <c r="B3660" s="3" t="s">
        <v>3953</v>
      </c>
      <c r="C3660" s="3" t="s">
        <v>3946</v>
      </c>
      <c r="D3660" s="3" t="s">
        <v>3849</v>
      </c>
    </row>
    <row r="3661" spans="1:4" x14ac:dyDescent="0.2">
      <c r="A3661" s="3">
        <v>3998</v>
      </c>
      <c r="B3661" s="3" t="s">
        <v>3954</v>
      </c>
      <c r="C3661" s="3" t="s">
        <v>3946</v>
      </c>
      <c r="D3661" s="3" t="s">
        <v>3849</v>
      </c>
    </row>
    <row r="3662" spans="1:4" x14ac:dyDescent="0.2">
      <c r="A3662" s="3">
        <v>1966</v>
      </c>
      <c r="B3662" s="3" t="s">
        <v>3955</v>
      </c>
      <c r="C3662" s="3" t="s">
        <v>3956</v>
      </c>
      <c r="D3662" s="3" t="s">
        <v>3849</v>
      </c>
    </row>
    <row r="3663" spans="1:4" x14ac:dyDescent="0.2">
      <c r="A3663" s="3">
        <v>1966</v>
      </c>
      <c r="B3663" s="3" t="s">
        <v>3957</v>
      </c>
      <c r="C3663" s="3" t="s">
        <v>3956</v>
      </c>
      <c r="D3663" s="3" t="s">
        <v>3849</v>
      </c>
    </row>
    <row r="3664" spans="1:4" x14ac:dyDescent="0.2">
      <c r="A3664" s="3">
        <v>1966</v>
      </c>
      <c r="B3664" s="3" t="s">
        <v>3958</v>
      </c>
      <c r="C3664" s="3" t="s">
        <v>3956</v>
      </c>
      <c r="D3664" s="3" t="s">
        <v>3849</v>
      </c>
    </row>
    <row r="3665" spans="1:4" x14ac:dyDescent="0.2">
      <c r="A3665" s="3">
        <v>1966</v>
      </c>
      <c r="B3665" s="3" t="s">
        <v>3959</v>
      </c>
      <c r="C3665" s="3" t="s">
        <v>3956</v>
      </c>
      <c r="D3665" s="3" t="s">
        <v>3849</v>
      </c>
    </row>
    <row r="3666" spans="1:4" x14ac:dyDescent="0.2">
      <c r="A3666" s="3">
        <v>1966</v>
      </c>
      <c r="B3666" s="3" t="s">
        <v>3960</v>
      </c>
      <c r="C3666" s="3" t="s">
        <v>3956</v>
      </c>
      <c r="D3666" s="3" t="s">
        <v>3849</v>
      </c>
    </row>
    <row r="3667" spans="1:4" x14ac:dyDescent="0.2">
      <c r="A3667" s="3">
        <v>1966</v>
      </c>
      <c r="B3667" s="3" t="s">
        <v>3961</v>
      </c>
      <c r="C3667" s="3" t="s">
        <v>3956</v>
      </c>
      <c r="D3667" s="3" t="s">
        <v>3849</v>
      </c>
    </row>
    <row r="3668" spans="1:4" x14ac:dyDescent="0.2">
      <c r="A3668" s="3">
        <v>1966</v>
      </c>
      <c r="B3668" s="3" t="s">
        <v>3962</v>
      </c>
      <c r="C3668" s="3" t="s">
        <v>3956</v>
      </c>
      <c r="D3668" s="3" t="s">
        <v>3849</v>
      </c>
    </row>
    <row r="3669" spans="1:4" x14ac:dyDescent="0.2">
      <c r="A3669" s="3">
        <v>1966</v>
      </c>
      <c r="B3669" s="3" t="s">
        <v>3963</v>
      </c>
      <c r="C3669" s="3" t="s">
        <v>3956</v>
      </c>
      <c r="D3669" s="3" t="s">
        <v>3849</v>
      </c>
    </row>
    <row r="3670" spans="1:4" x14ac:dyDescent="0.2">
      <c r="A3670" s="3">
        <v>1966</v>
      </c>
      <c r="B3670" s="3" t="s">
        <v>3964</v>
      </c>
      <c r="C3670" s="3" t="s">
        <v>3956</v>
      </c>
      <c r="D3670" s="3" t="s">
        <v>3849</v>
      </c>
    </row>
    <row r="3671" spans="1:4" x14ac:dyDescent="0.2">
      <c r="A3671" s="3">
        <v>1966</v>
      </c>
      <c r="B3671" s="3" t="s">
        <v>3965</v>
      </c>
      <c r="C3671" s="3" t="s">
        <v>3956</v>
      </c>
      <c r="D3671" s="3" t="s">
        <v>3849</v>
      </c>
    </row>
    <row r="3672" spans="1:4" x14ac:dyDescent="0.2">
      <c r="A3672" s="3">
        <v>1972</v>
      </c>
      <c r="B3672" s="3" t="s">
        <v>3966</v>
      </c>
      <c r="C3672" s="3" t="s">
        <v>3956</v>
      </c>
      <c r="D3672" s="3" t="s">
        <v>3849</v>
      </c>
    </row>
    <row r="3673" spans="1:4" x14ac:dyDescent="0.2">
      <c r="A3673" s="3">
        <v>1983</v>
      </c>
      <c r="B3673" s="3" t="s">
        <v>3967</v>
      </c>
      <c r="C3673" s="3" t="s">
        <v>3967</v>
      </c>
      <c r="D3673" s="3" t="s">
        <v>3849</v>
      </c>
    </row>
    <row r="3674" spans="1:4" x14ac:dyDescent="0.2">
      <c r="A3674" s="3">
        <v>1983</v>
      </c>
      <c r="B3674" s="3" t="s">
        <v>3968</v>
      </c>
      <c r="C3674" s="3" t="s">
        <v>3967</v>
      </c>
      <c r="D3674" s="3" t="s">
        <v>3849</v>
      </c>
    </row>
    <row r="3675" spans="1:4" x14ac:dyDescent="0.2">
      <c r="A3675" s="3">
        <v>1984</v>
      </c>
      <c r="B3675" s="3" t="s">
        <v>3969</v>
      </c>
      <c r="C3675" s="3" t="s">
        <v>3967</v>
      </c>
      <c r="D3675" s="3" t="s">
        <v>3849</v>
      </c>
    </row>
    <row r="3676" spans="1:4" x14ac:dyDescent="0.2">
      <c r="A3676" s="3">
        <v>1984</v>
      </c>
      <c r="B3676" s="3" t="s">
        <v>3970</v>
      </c>
      <c r="C3676" s="3" t="s">
        <v>3967</v>
      </c>
      <c r="D3676" s="3" t="s">
        <v>3849</v>
      </c>
    </row>
    <row r="3677" spans="1:4" x14ac:dyDescent="0.2">
      <c r="A3677" s="3">
        <v>1985</v>
      </c>
      <c r="B3677" s="3" t="s">
        <v>3971</v>
      </c>
      <c r="C3677" s="3" t="s">
        <v>3967</v>
      </c>
      <c r="D3677" s="3" t="s">
        <v>3849</v>
      </c>
    </row>
    <row r="3678" spans="1:4" x14ac:dyDescent="0.2">
      <c r="A3678" s="3">
        <v>1985</v>
      </c>
      <c r="B3678" s="3" t="s">
        <v>3972</v>
      </c>
      <c r="C3678" s="3" t="s">
        <v>3967</v>
      </c>
      <c r="D3678" s="3" t="s">
        <v>3849</v>
      </c>
    </row>
    <row r="3679" spans="1:4" x14ac:dyDescent="0.2">
      <c r="A3679" s="3">
        <v>1985</v>
      </c>
      <c r="B3679" s="3" t="s">
        <v>3973</v>
      </c>
      <c r="C3679" s="3" t="s">
        <v>3967</v>
      </c>
      <c r="D3679" s="3" t="s">
        <v>3849</v>
      </c>
    </row>
    <row r="3680" spans="1:4" x14ac:dyDescent="0.2">
      <c r="A3680" s="3">
        <v>1986</v>
      </c>
      <c r="B3680" s="3" t="s">
        <v>3974</v>
      </c>
      <c r="C3680" s="3" t="s">
        <v>3967</v>
      </c>
      <c r="D3680" s="3" t="s">
        <v>3849</v>
      </c>
    </row>
    <row r="3681" spans="1:4" x14ac:dyDescent="0.2">
      <c r="A3681" s="3">
        <v>1982</v>
      </c>
      <c r="B3681" s="3" t="s">
        <v>3975</v>
      </c>
      <c r="C3681" s="3" t="s">
        <v>3976</v>
      </c>
      <c r="D3681" s="3" t="s">
        <v>3849</v>
      </c>
    </row>
    <row r="3682" spans="1:4" x14ac:dyDescent="0.2">
      <c r="A3682" s="3">
        <v>1987</v>
      </c>
      <c r="B3682" s="3" t="s">
        <v>3976</v>
      </c>
      <c r="C3682" s="3" t="s">
        <v>3976</v>
      </c>
      <c r="D3682" s="3" t="s">
        <v>3849</v>
      </c>
    </row>
    <row r="3683" spans="1:4" x14ac:dyDescent="0.2">
      <c r="A3683" s="3">
        <v>1969</v>
      </c>
      <c r="B3683" s="3" t="s">
        <v>3977</v>
      </c>
      <c r="C3683" s="3" t="s">
        <v>3978</v>
      </c>
      <c r="D3683" s="3" t="s">
        <v>3849</v>
      </c>
    </row>
    <row r="3684" spans="1:4" x14ac:dyDescent="0.2">
      <c r="A3684" s="3">
        <v>1969</v>
      </c>
      <c r="B3684" s="3" t="s">
        <v>3979</v>
      </c>
      <c r="C3684" s="3" t="s">
        <v>3978</v>
      </c>
      <c r="D3684" s="3" t="s">
        <v>3849</v>
      </c>
    </row>
    <row r="3685" spans="1:4" x14ac:dyDescent="0.2">
      <c r="A3685" s="3">
        <v>1969</v>
      </c>
      <c r="B3685" s="3" t="s">
        <v>3980</v>
      </c>
      <c r="C3685" s="3" t="s">
        <v>3978</v>
      </c>
      <c r="D3685" s="3" t="s">
        <v>3849</v>
      </c>
    </row>
    <row r="3686" spans="1:4" x14ac:dyDescent="0.2">
      <c r="A3686" s="3">
        <v>1969</v>
      </c>
      <c r="B3686" s="3" t="s">
        <v>3981</v>
      </c>
      <c r="C3686" s="3" t="s">
        <v>3978</v>
      </c>
      <c r="D3686" s="3" t="s">
        <v>3849</v>
      </c>
    </row>
    <row r="3687" spans="1:4" x14ac:dyDescent="0.2">
      <c r="A3687" s="3">
        <v>1969</v>
      </c>
      <c r="B3687" s="3" t="s">
        <v>3982</v>
      </c>
      <c r="C3687" s="3" t="s">
        <v>3978</v>
      </c>
      <c r="D3687" s="3" t="s">
        <v>3849</v>
      </c>
    </row>
    <row r="3688" spans="1:4" x14ac:dyDescent="0.2">
      <c r="A3688" s="3">
        <v>1981</v>
      </c>
      <c r="B3688" s="3" t="s">
        <v>3983</v>
      </c>
      <c r="C3688" s="3" t="s">
        <v>3983</v>
      </c>
      <c r="D3688" s="3" t="s">
        <v>3849</v>
      </c>
    </row>
    <row r="3689" spans="1:4" x14ac:dyDescent="0.2">
      <c r="A3689" s="3">
        <v>1988</v>
      </c>
      <c r="B3689" s="3" t="s">
        <v>3984</v>
      </c>
      <c r="C3689" s="3" t="s">
        <v>3983</v>
      </c>
      <c r="D3689" s="3" t="s">
        <v>3849</v>
      </c>
    </row>
    <row r="3690" spans="1:4" x14ac:dyDescent="0.2">
      <c r="A3690" s="3">
        <v>1988</v>
      </c>
      <c r="B3690" s="3" t="s">
        <v>3985</v>
      </c>
      <c r="C3690" s="3" t="s">
        <v>3983</v>
      </c>
      <c r="D3690" s="3" t="s">
        <v>3849</v>
      </c>
    </row>
    <row r="3691" spans="1:4" x14ac:dyDescent="0.2">
      <c r="A3691" s="3">
        <v>1992</v>
      </c>
      <c r="B3691" s="3" t="s">
        <v>3986</v>
      </c>
      <c r="C3691" s="3" t="s">
        <v>3983</v>
      </c>
      <c r="D3691" s="3" t="s">
        <v>3849</v>
      </c>
    </row>
    <row r="3692" spans="1:4" x14ac:dyDescent="0.2">
      <c r="A3692" s="3">
        <v>1961</v>
      </c>
      <c r="B3692" s="3" t="s">
        <v>3987</v>
      </c>
      <c r="C3692" s="3" t="s">
        <v>3988</v>
      </c>
      <c r="D3692" s="3" t="s">
        <v>3849</v>
      </c>
    </row>
    <row r="3693" spans="1:4" x14ac:dyDescent="0.2">
      <c r="A3693" s="3">
        <v>1968</v>
      </c>
      <c r="B3693" s="3" t="s">
        <v>3989</v>
      </c>
      <c r="C3693" s="3" t="s">
        <v>3988</v>
      </c>
      <c r="D3693" s="3" t="s">
        <v>3849</v>
      </c>
    </row>
    <row r="3694" spans="1:4" x14ac:dyDescent="0.2">
      <c r="A3694" s="3">
        <v>1973</v>
      </c>
      <c r="B3694" s="3" t="s">
        <v>3990</v>
      </c>
      <c r="C3694" s="3" t="s">
        <v>3988</v>
      </c>
      <c r="D3694" s="3" t="s">
        <v>3849</v>
      </c>
    </row>
    <row r="3695" spans="1:4" x14ac:dyDescent="0.2">
      <c r="A3695" s="3">
        <v>3951</v>
      </c>
      <c r="B3695" s="3" t="s">
        <v>3991</v>
      </c>
      <c r="C3695" s="3" t="s">
        <v>3991</v>
      </c>
      <c r="D3695" s="3" t="s">
        <v>3849</v>
      </c>
    </row>
    <row r="3696" spans="1:4" x14ac:dyDescent="0.2">
      <c r="A3696" s="3">
        <v>3955</v>
      </c>
      <c r="B3696" s="3" t="s">
        <v>3992</v>
      </c>
      <c r="C3696" s="3" t="s">
        <v>3992</v>
      </c>
      <c r="D3696" s="3" t="s">
        <v>3849</v>
      </c>
    </row>
    <row r="3697" spans="1:4" x14ac:dyDescent="0.2">
      <c r="A3697" s="3">
        <v>3947</v>
      </c>
      <c r="B3697" s="3" t="s">
        <v>3993</v>
      </c>
      <c r="C3697" s="3" t="s">
        <v>3993</v>
      </c>
      <c r="D3697" s="3" t="s">
        <v>3849</v>
      </c>
    </row>
    <row r="3698" spans="1:4" x14ac:dyDescent="0.2">
      <c r="A3698" s="3">
        <v>3953</v>
      </c>
      <c r="B3698" s="3" t="s">
        <v>3994</v>
      </c>
      <c r="C3698" s="3" t="s">
        <v>3994</v>
      </c>
      <c r="D3698" s="3" t="s">
        <v>3849</v>
      </c>
    </row>
    <row r="3699" spans="1:4" x14ac:dyDescent="0.2">
      <c r="A3699" s="3">
        <v>3952</v>
      </c>
      <c r="B3699" s="3" t="s">
        <v>3995</v>
      </c>
      <c r="C3699" s="3" t="s">
        <v>3996</v>
      </c>
      <c r="D3699" s="3" t="s">
        <v>3849</v>
      </c>
    </row>
    <row r="3700" spans="1:4" x14ac:dyDescent="0.2">
      <c r="A3700" s="3">
        <v>3953</v>
      </c>
      <c r="B3700" s="3" t="s">
        <v>3997</v>
      </c>
      <c r="C3700" s="3" t="s">
        <v>3996</v>
      </c>
      <c r="D3700" s="3" t="s">
        <v>3849</v>
      </c>
    </row>
    <row r="3701" spans="1:4" x14ac:dyDescent="0.2">
      <c r="A3701" s="3">
        <v>3957</v>
      </c>
      <c r="B3701" s="3" t="s">
        <v>3998</v>
      </c>
      <c r="C3701" s="3" t="s">
        <v>3996</v>
      </c>
      <c r="D3701" s="3" t="s">
        <v>3849</v>
      </c>
    </row>
    <row r="3702" spans="1:4" x14ac:dyDescent="0.2">
      <c r="A3702" s="3">
        <v>3954</v>
      </c>
      <c r="B3702" s="3" t="s">
        <v>3999</v>
      </c>
      <c r="C3702" s="3" t="s">
        <v>3999</v>
      </c>
      <c r="D3702" s="3" t="s">
        <v>3849</v>
      </c>
    </row>
    <row r="3703" spans="1:4" x14ac:dyDescent="0.2">
      <c r="A3703" s="3">
        <v>3948</v>
      </c>
      <c r="B3703" s="3" t="s">
        <v>4000</v>
      </c>
      <c r="C3703" s="3" t="s">
        <v>4000</v>
      </c>
      <c r="D3703" s="3" t="s">
        <v>3849</v>
      </c>
    </row>
    <row r="3704" spans="1:4" x14ac:dyDescent="0.2">
      <c r="A3704" s="3">
        <v>3970</v>
      </c>
      <c r="B3704" s="3" t="s">
        <v>4001</v>
      </c>
      <c r="C3704" s="3" t="s">
        <v>4001</v>
      </c>
      <c r="D3704" s="3" t="s">
        <v>3849</v>
      </c>
    </row>
    <row r="3705" spans="1:4" x14ac:dyDescent="0.2">
      <c r="A3705" s="3">
        <v>3953</v>
      </c>
      <c r="B3705" s="3" t="s">
        <v>4002</v>
      </c>
      <c r="C3705" s="3" t="s">
        <v>4002</v>
      </c>
      <c r="D3705" s="3" t="s">
        <v>3849</v>
      </c>
    </row>
    <row r="3706" spans="1:4" x14ac:dyDescent="0.2">
      <c r="A3706" s="3">
        <v>3956</v>
      </c>
      <c r="B3706" s="3" t="s">
        <v>4003</v>
      </c>
      <c r="C3706" s="3" t="s">
        <v>4003</v>
      </c>
      <c r="D3706" s="3" t="s">
        <v>3849</v>
      </c>
    </row>
    <row r="3707" spans="1:4" x14ac:dyDescent="0.2">
      <c r="A3707" s="3">
        <v>3945</v>
      </c>
      <c r="B3707" s="3" t="s">
        <v>4004</v>
      </c>
      <c r="C3707" s="3" t="s">
        <v>4005</v>
      </c>
      <c r="D3707" s="3" t="s">
        <v>3849</v>
      </c>
    </row>
    <row r="3708" spans="1:4" x14ac:dyDescent="0.2">
      <c r="A3708" s="3">
        <v>3945</v>
      </c>
      <c r="B3708" s="3" t="s">
        <v>4006</v>
      </c>
      <c r="C3708" s="3" t="s">
        <v>4005</v>
      </c>
      <c r="D3708" s="3" t="s">
        <v>3849</v>
      </c>
    </row>
    <row r="3709" spans="1:4" x14ac:dyDescent="0.2">
      <c r="A3709" s="3">
        <v>3957</v>
      </c>
      <c r="B3709" s="3" t="s">
        <v>4007</v>
      </c>
      <c r="C3709" s="3" t="s">
        <v>4005</v>
      </c>
      <c r="D3709" s="3" t="s">
        <v>3849</v>
      </c>
    </row>
    <row r="3710" spans="1:4" x14ac:dyDescent="0.2">
      <c r="A3710" s="3">
        <v>3946</v>
      </c>
      <c r="B3710" s="3" t="s">
        <v>4008</v>
      </c>
      <c r="C3710" s="3" t="s">
        <v>4009</v>
      </c>
      <c r="D3710" s="3" t="s">
        <v>3849</v>
      </c>
    </row>
    <row r="3711" spans="1:4" x14ac:dyDescent="0.2">
      <c r="A3711" s="3">
        <v>3946</v>
      </c>
      <c r="B3711" s="3" t="s">
        <v>4010</v>
      </c>
      <c r="C3711" s="3" t="s">
        <v>4009</v>
      </c>
      <c r="D3711" s="3" t="s">
        <v>3849</v>
      </c>
    </row>
    <row r="3712" spans="1:4" x14ac:dyDescent="0.2">
      <c r="A3712" s="3">
        <v>3948</v>
      </c>
      <c r="B3712" s="3" t="s">
        <v>4011</v>
      </c>
      <c r="C3712" s="3" t="s">
        <v>4009</v>
      </c>
      <c r="D3712" s="3" t="s">
        <v>3849</v>
      </c>
    </row>
    <row r="3713" spans="1:4" x14ac:dyDescent="0.2">
      <c r="A3713" s="3">
        <v>1932</v>
      </c>
      <c r="B3713" s="3" t="s">
        <v>4012</v>
      </c>
      <c r="C3713" s="3" t="s">
        <v>4012</v>
      </c>
      <c r="D3713" s="3" t="s">
        <v>3849</v>
      </c>
    </row>
    <row r="3714" spans="1:4" x14ac:dyDescent="0.2">
      <c r="A3714" s="3">
        <v>1932</v>
      </c>
      <c r="B3714" s="3" t="s">
        <v>4013</v>
      </c>
      <c r="C3714" s="3" t="s">
        <v>4012</v>
      </c>
      <c r="D3714" s="3" t="s">
        <v>3849</v>
      </c>
    </row>
    <row r="3715" spans="1:4" x14ac:dyDescent="0.2">
      <c r="A3715" s="3">
        <v>1926</v>
      </c>
      <c r="B3715" s="3" t="s">
        <v>4014</v>
      </c>
      <c r="C3715" s="3" t="s">
        <v>4014</v>
      </c>
      <c r="D3715" s="3" t="s">
        <v>3849</v>
      </c>
    </row>
    <row r="3716" spans="1:4" x14ac:dyDescent="0.2">
      <c r="A3716" s="3">
        <v>1914</v>
      </c>
      <c r="B3716" s="3" t="s">
        <v>4015</v>
      </c>
      <c r="C3716" s="3" t="s">
        <v>4015</v>
      </c>
      <c r="D3716" s="3" t="s">
        <v>3849</v>
      </c>
    </row>
    <row r="3717" spans="1:4" x14ac:dyDescent="0.2">
      <c r="A3717" s="3">
        <v>1911</v>
      </c>
      <c r="B3717" s="3" t="s">
        <v>4016</v>
      </c>
      <c r="C3717" s="3" t="s">
        <v>4017</v>
      </c>
      <c r="D3717" s="3" t="s">
        <v>3849</v>
      </c>
    </row>
    <row r="3718" spans="1:4" x14ac:dyDescent="0.2">
      <c r="A3718" s="3">
        <v>1912</v>
      </c>
      <c r="B3718" s="3" t="s">
        <v>4017</v>
      </c>
      <c r="C3718" s="3" t="s">
        <v>4017</v>
      </c>
      <c r="D3718" s="3" t="s">
        <v>3849</v>
      </c>
    </row>
    <row r="3719" spans="1:4" x14ac:dyDescent="0.2">
      <c r="A3719" s="3">
        <v>1912</v>
      </c>
      <c r="B3719" s="3" t="s">
        <v>4018</v>
      </c>
      <c r="C3719" s="3" t="s">
        <v>4017</v>
      </c>
      <c r="D3719" s="3" t="s">
        <v>3849</v>
      </c>
    </row>
    <row r="3720" spans="1:4" x14ac:dyDescent="0.2">
      <c r="A3720" s="3">
        <v>1912</v>
      </c>
      <c r="B3720" s="3" t="s">
        <v>4019</v>
      </c>
      <c r="C3720" s="3" t="s">
        <v>4017</v>
      </c>
      <c r="D3720" s="3" t="s">
        <v>3849</v>
      </c>
    </row>
    <row r="3721" spans="1:4" x14ac:dyDescent="0.2">
      <c r="A3721" s="3">
        <v>1912</v>
      </c>
      <c r="B3721" s="3" t="s">
        <v>4020</v>
      </c>
      <c r="C3721" s="3" t="s">
        <v>4017</v>
      </c>
      <c r="D3721" s="3" t="s">
        <v>3849</v>
      </c>
    </row>
    <row r="3722" spans="1:4" x14ac:dyDescent="0.2">
      <c r="A3722" s="3">
        <v>1906</v>
      </c>
      <c r="B3722" s="3" t="s">
        <v>4021</v>
      </c>
      <c r="C3722" s="3" t="s">
        <v>4022</v>
      </c>
      <c r="D3722" s="3" t="s">
        <v>3849</v>
      </c>
    </row>
    <row r="3723" spans="1:4" x14ac:dyDescent="0.2">
      <c r="A3723" s="3">
        <v>1920</v>
      </c>
      <c r="B3723" s="3" t="s">
        <v>4022</v>
      </c>
      <c r="C3723" s="3" t="s">
        <v>4022</v>
      </c>
      <c r="D3723" s="3" t="s">
        <v>3849</v>
      </c>
    </row>
    <row r="3724" spans="1:4" x14ac:dyDescent="0.2">
      <c r="A3724" s="3">
        <v>1921</v>
      </c>
      <c r="B3724" s="3" t="s">
        <v>4023</v>
      </c>
      <c r="C3724" s="3" t="s">
        <v>4024</v>
      </c>
      <c r="D3724" s="3" t="s">
        <v>3849</v>
      </c>
    </row>
    <row r="3725" spans="1:4" x14ac:dyDescent="0.2">
      <c r="A3725" s="3">
        <v>1928</v>
      </c>
      <c r="B3725" s="3" t="s">
        <v>4025</v>
      </c>
      <c r="C3725" s="3" t="s">
        <v>4024</v>
      </c>
      <c r="D3725" s="3" t="s">
        <v>3849</v>
      </c>
    </row>
    <row r="3726" spans="1:4" x14ac:dyDescent="0.2">
      <c r="A3726" s="3">
        <v>1908</v>
      </c>
      <c r="B3726" s="3" t="s">
        <v>4026</v>
      </c>
      <c r="C3726" s="3" t="s">
        <v>4026</v>
      </c>
      <c r="D3726" s="3" t="s">
        <v>3849</v>
      </c>
    </row>
    <row r="3727" spans="1:4" x14ac:dyDescent="0.2">
      <c r="A3727" s="3">
        <v>1914</v>
      </c>
      <c r="B3727" s="3" t="s">
        <v>4027</v>
      </c>
      <c r="C3727" s="3" t="s">
        <v>4026</v>
      </c>
      <c r="D3727" s="3" t="s">
        <v>3849</v>
      </c>
    </row>
    <row r="3728" spans="1:4" x14ac:dyDescent="0.2">
      <c r="A3728" s="3">
        <v>1918</v>
      </c>
      <c r="B3728" s="3" t="s">
        <v>4028</v>
      </c>
      <c r="C3728" s="3" t="s">
        <v>4026</v>
      </c>
      <c r="D3728" s="3" t="s">
        <v>3849</v>
      </c>
    </row>
    <row r="3729" spans="1:4" x14ac:dyDescent="0.2">
      <c r="A3729" s="3">
        <v>1913</v>
      </c>
      <c r="B3729" s="3" t="s">
        <v>4029</v>
      </c>
      <c r="C3729" s="3" t="s">
        <v>4029</v>
      </c>
      <c r="D3729" s="3" t="s">
        <v>3849</v>
      </c>
    </row>
    <row r="3730" spans="1:4" x14ac:dyDescent="0.2">
      <c r="A3730" s="3">
        <v>1907</v>
      </c>
      <c r="B3730" s="3" t="s">
        <v>4030</v>
      </c>
      <c r="C3730" s="3" t="s">
        <v>4030</v>
      </c>
      <c r="D3730" s="3" t="s">
        <v>3849</v>
      </c>
    </row>
    <row r="3731" spans="1:4" x14ac:dyDescent="0.2">
      <c r="A3731" s="3">
        <v>1929</v>
      </c>
      <c r="B3731" s="3" t="s">
        <v>4031</v>
      </c>
      <c r="C3731" s="3" t="s">
        <v>4031</v>
      </c>
      <c r="D3731" s="3" t="s">
        <v>3849</v>
      </c>
    </row>
    <row r="3732" spans="1:4" x14ac:dyDescent="0.2">
      <c r="A3732" s="3">
        <v>1874</v>
      </c>
      <c r="B3732" s="3" t="s">
        <v>4032</v>
      </c>
      <c r="C3732" s="3" t="s">
        <v>4032</v>
      </c>
      <c r="D3732" s="3" t="s">
        <v>3849</v>
      </c>
    </row>
    <row r="3733" spans="1:4" x14ac:dyDescent="0.2">
      <c r="A3733" s="3">
        <v>1868</v>
      </c>
      <c r="B3733" s="3" t="s">
        <v>4033</v>
      </c>
      <c r="C3733" s="3" t="s">
        <v>4034</v>
      </c>
      <c r="D3733" s="3" t="s">
        <v>3849</v>
      </c>
    </row>
    <row r="3734" spans="1:4" x14ac:dyDescent="0.2">
      <c r="A3734" s="3">
        <v>1868</v>
      </c>
      <c r="B3734" s="3" t="s">
        <v>4033</v>
      </c>
      <c r="C3734" s="3" t="s">
        <v>4034</v>
      </c>
      <c r="D3734" s="3" t="s">
        <v>3849</v>
      </c>
    </row>
    <row r="3735" spans="1:4" x14ac:dyDescent="0.2">
      <c r="A3735" s="3">
        <v>1893</v>
      </c>
      <c r="B3735" s="3" t="s">
        <v>4035</v>
      </c>
      <c r="C3735" s="3" t="s">
        <v>4034</v>
      </c>
      <c r="D3735" s="3" t="s">
        <v>3849</v>
      </c>
    </row>
    <row r="3736" spans="1:4" x14ac:dyDescent="0.2">
      <c r="A3736" s="3">
        <v>1870</v>
      </c>
      <c r="B3736" s="3" t="s">
        <v>4036</v>
      </c>
      <c r="C3736" s="3" t="s">
        <v>4036</v>
      </c>
      <c r="D3736" s="3" t="s">
        <v>3849</v>
      </c>
    </row>
    <row r="3737" spans="1:4" x14ac:dyDescent="0.2">
      <c r="A3737" s="3">
        <v>1870</v>
      </c>
      <c r="B3737" s="3" t="s">
        <v>4036</v>
      </c>
      <c r="C3737" s="3" t="s">
        <v>4036</v>
      </c>
      <c r="D3737" s="3" t="s">
        <v>3849</v>
      </c>
    </row>
    <row r="3738" spans="1:4" x14ac:dyDescent="0.2">
      <c r="A3738" s="3">
        <v>1871</v>
      </c>
      <c r="B3738" s="3" t="s">
        <v>4037</v>
      </c>
      <c r="C3738" s="3" t="s">
        <v>4036</v>
      </c>
      <c r="D3738" s="3" t="s">
        <v>3849</v>
      </c>
    </row>
    <row r="3739" spans="1:4" x14ac:dyDescent="0.2">
      <c r="A3739" s="3">
        <v>1871</v>
      </c>
      <c r="B3739" s="3" t="s">
        <v>4038</v>
      </c>
      <c r="C3739" s="3" t="s">
        <v>4036</v>
      </c>
      <c r="D3739" s="3" t="s">
        <v>3849</v>
      </c>
    </row>
    <row r="3740" spans="1:4" x14ac:dyDescent="0.2">
      <c r="A3740" s="3">
        <v>1897</v>
      </c>
      <c r="B3740" s="3" t="s">
        <v>4039</v>
      </c>
      <c r="C3740" s="3" t="s">
        <v>4040</v>
      </c>
      <c r="D3740" s="3" t="s">
        <v>3849</v>
      </c>
    </row>
    <row r="3741" spans="1:4" x14ac:dyDescent="0.2">
      <c r="A3741" s="3">
        <v>1897</v>
      </c>
      <c r="B3741" s="3" t="s">
        <v>4041</v>
      </c>
      <c r="C3741" s="3" t="s">
        <v>4040</v>
      </c>
      <c r="D3741" s="3" t="s">
        <v>3849</v>
      </c>
    </row>
    <row r="3742" spans="1:4" x14ac:dyDescent="0.2">
      <c r="A3742" s="3">
        <v>1898</v>
      </c>
      <c r="B3742" s="3" t="s">
        <v>4042</v>
      </c>
      <c r="C3742" s="3" t="s">
        <v>4043</v>
      </c>
      <c r="D3742" s="3" t="s">
        <v>3849</v>
      </c>
    </row>
    <row r="3743" spans="1:4" x14ac:dyDescent="0.2">
      <c r="A3743" s="3">
        <v>1872</v>
      </c>
      <c r="B3743" s="3" t="s">
        <v>4044</v>
      </c>
      <c r="C3743" s="3" t="s">
        <v>4044</v>
      </c>
      <c r="D3743" s="3" t="s">
        <v>3849</v>
      </c>
    </row>
    <row r="3744" spans="1:4" x14ac:dyDescent="0.2">
      <c r="A3744" s="3">
        <v>1875</v>
      </c>
      <c r="B3744" s="3" t="s">
        <v>4045</v>
      </c>
      <c r="C3744" s="3" t="s">
        <v>4044</v>
      </c>
      <c r="D3744" s="3" t="s">
        <v>3849</v>
      </c>
    </row>
    <row r="3745" spans="1:4" x14ac:dyDescent="0.2">
      <c r="A3745" s="3">
        <v>1873</v>
      </c>
      <c r="B3745" s="3" t="s">
        <v>4046</v>
      </c>
      <c r="C3745" s="3" t="s">
        <v>4046</v>
      </c>
      <c r="D3745" s="3" t="s">
        <v>3849</v>
      </c>
    </row>
    <row r="3746" spans="1:4" x14ac:dyDescent="0.2">
      <c r="A3746" s="3">
        <v>1873</v>
      </c>
      <c r="B3746" s="3" t="s">
        <v>4047</v>
      </c>
      <c r="C3746" s="3" t="s">
        <v>4046</v>
      </c>
      <c r="D3746" s="3" t="s">
        <v>3849</v>
      </c>
    </row>
    <row r="3747" spans="1:4" x14ac:dyDescent="0.2">
      <c r="A3747" s="3">
        <v>1873</v>
      </c>
      <c r="B3747" s="3" t="s">
        <v>4048</v>
      </c>
      <c r="C3747" s="3" t="s">
        <v>4046</v>
      </c>
      <c r="D3747" s="3" t="s">
        <v>3849</v>
      </c>
    </row>
    <row r="3748" spans="1:4" x14ac:dyDescent="0.2">
      <c r="A3748" s="3">
        <v>1895</v>
      </c>
      <c r="B3748" s="3" t="s">
        <v>4049</v>
      </c>
      <c r="C3748" s="3" t="s">
        <v>4049</v>
      </c>
      <c r="D3748" s="3" t="s">
        <v>3849</v>
      </c>
    </row>
    <row r="3749" spans="1:4" x14ac:dyDescent="0.2">
      <c r="A3749" s="3">
        <v>1899</v>
      </c>
      <c r="B3749" s="3" t="s">
        <v>4050</v>
      </c>
      <c r="C3749" s="3" t="s">
        <v>4049</v>
      </c>
      <c r="D3749" s="3" t="s">
        <v>3849</v>
      </c>
    </row>
    <row r="3750" spans="1:4" x14ac:dyDescent="0.2">
      <c r="A3750" s="3">
        <v>1896</v>
      </c>
      <c r="B3750" s="3" t="s">
        <v>4051</v>
      </c>
      <c r="C3750" s="3" t="s">
        <v>4051</v>
      </c>
      <c r="D3750" s="3" t="s">
        <v>3849</v>
      </c>
    </row>
    <row r="3751" spans="1:4" x14ac:dyDescent="0.2">
      <c r="A3751" s="3">
        <v>1896</v>
      </c>
      <c r="B3751" s="3" t="s">
        <v>4052</v>
      </c>
      <c r="C3751" s="3" t="s">
        <v>4051</v>
      </c>
      <c r="D3751" s="3" t="s">
        <v>3849</v>
      </c>
    </row>
    <row r="3752" spans="1:4" x14ac:dyDescent="0.2">
      <c r="A3752" s="3">
        <v>3983</v>
      </c>
      <c r="B3752" s="3" t="s">
        <v>4053</v>
      </c>
      <c r="C3752" s="3" t="s">
        <v>4053</v>
      </c>
      <c r="D3752" s="3" t="s">
        <v>3849</v>
      </c>
    </row>
    <row r="3753" spans="1:4" x14ac:dyDescent="0.2">
      <c r="A3753" s="3">
        <v>3982</v>
      </c>
      <c r="B3753" s="3" t="s">
        <v>4054</v>
      </c>
      <c r="C3753" s="3" t="s">
        <v>4054</v>
      </c>
      <c r="D3753" s="3" t="s">
        <v>3849</v>
      </c>
    </row>
    <row r="3754" spans="1:4" x14ac:dyDescent="0.2">
      <c r="A3754" s="3">
        <v>3993</v>
      </c>
      <c r="B3754" s="3" t="s">
        <v>4055</v>
      </c>
      <c r="C3754" s="3" t="s">
        <v>4055</v>
      </c>
      <c r="D3754" s="3" t="s">
        <v>3849</v>
      </c>
    </row>
    <row r="3755" spans="1:4" x14ac:dyDescent="0.2">
      <c r="A3755" s="3">
        <v>3983</v>
      </c>
      <c r="B3755" s="3" t="s">
        <v>4056</v>
      </c>
      <c r="C3755" s="3" t="s">
        <v>4057</v>
      </c>
      <c r="D3755" s="3" t="s">
        <v>3849</v>
      </c>
    </row>
    <row r="3756" spans="1:4" x14ac:dyDescent="0.2">
      <c r="A3756" s="3">
        <v>3983</v>
      </c>
      <c r="B3756" s="3" t="s">
        <v>4058</v>
      </c>
      <c r="C3756" s="3" t="s">
        <v>4057</v>
      </c>
      <c r="D3756" s="3" t="s">
        <v>3849</v>
      </c>
    </row>
    <row r="3757" spans="1:4" x14ac:dyDescent="0.2">
      <c r="A3757" s="3">
        <v>3986</v>
      </c>
      <c r="B3757" s="3" t="s">
        <v>4059</v>
      </c>
      <c r="C3757" s="3" t="s">
        <v>4057</v>
      </c>
      <c r="D3757" s="3" t="s">
        <v>3849</v>
      </c>
    </row>
    <row r="3758" spans="1:4" x14ac:dyDescent="0.2">
      <c r="A3758" s="3">
        <v>3987</v>
      </c>
      <c r="B3758" s="3" t="s">
        <v>4057</v>
      </c>
      <c r="C3758" s="3" t="s">
        <v>4057</v>
      </c>
      <c r="D3758" s="3" t="s">
        <v>3849</v>
      </c>
    </row>
    <row r="3759" spans="1:4" x14ac:dyDescent="0.2">
      <c r="A3759" s="3">
        <v>3938</v>
      </c>
      <c r="B3759" s="3" t="s">
        <v>4060</v>
      </c>
      <c r="C3759" s="3" t="s">
        <v>4060</v>
      </c>
      <c r="D3759" s="3" t="s">
        <v>3849</v>
      </c>
    </row>
    <row r="3760" spans="1:4" x14ac:dyDescent="0.2">
      <c r="A3760" s="3">
        <v>3919</v>
      </c>
      <c r="B3760" s="3" t="s">
        <v>4061</v>
      </c>
      <c r="C3760" s="3" t="s">
        <v>4062</v>
      </c>
      <c r="D3760" s="3" t="s">
        <v>3849</v>
      </c>
    </row>
    <row r="3761" spans="1:4" x14ac:dyDescent="0.2">
      <c r="A3761" s="3">
        <v>3935</v>
      </c>
      <c r="B3761" s="3" t="s">
        <v>4063</v>
      </c>
      <c r="C3761" s="3" t="s">
        <v>4063</v>
      </c>
      <c r="D3761" s="3" t="s">
        <v>3849</v>
      </c>
    </row>
    <row r="3762" spans="1:4" x14ac:dyDescent="0.2">
      <c r="A3762" s="3">
        <v>3943</v>
      </c>
      <c r="B3762" s="3" t="s">
        <v>4064</v>
      </c>
      <c r="C3762" s="3" t="s">
        <v>4064</v>
      </c>
      <c r="D3762" s="3" t="s">
        <v>3849</v>
      </c>
    </row>
    <row r="3763" spans="1:4" x14ac:dyDescent="0.2">
      <c r="A3763" s="3">
        <v>3916</v>
      </c>
      <c r="B3763" s="3" t="s">
        <v>4065</v>
      </c>
      <c r="C3763" s="3" t="s">
        <v>4065</v>
      </c>
      <c r="D3763" s="3" t="s">
        <v>3849</v>
      </c>
    </row>
    <row r="3764" spans="1:4" x14ac:dyDescent="0.2">
      <c r="A3764" s="3">
        <v>3917</v>
      </c>
      <c r="B3764" s="3" t="s">
        <v>4066</v>
      </c>
      <c r="C3764" s="3" t="s">
        <v>4065</v>
      </c>
      <c r="D3764" s="3" t="s">
        <v>3849</v>
      </c>
    </row>
    <row r="3765" spans="1:4" x14ac:dyDescent="0.2">
      <c r="A3765" s="3">
        <v>3917</v>
      </c>
      <c r="B3765" s="3" t="s">
        <v>4067</v>
      </c>
      <c r="C3765" s="3" t="s">
        <v>4067</v>
      </c>
      <c r="D3765" s="3" t="s">
        <v>3849</v>
      </c>
    </row>
    <row r="3766" spans="1:4" x14ac:dyDescent="0.2">
      <c r="A3766" s="3">
        <v>3942</v>
      </c>
      <c r="B3766" s="3" t="s">
        <v>4068</v>
      </c>
      <c r="C3766" s="3" t="s">
        <v>4068</v>
      </c>
      <c r="D3766" s="3" t="s">
        <v>3849</v>
      </c>
    </row>
    <row r="3767" spans="1:4" x14ac:dyDescent="0.2">
      <c r="A3767" s="3">
        <v>3942</v>
      </c>
      <c r="B3767" s="3" t="s">
        <v>4069</v>
      </c>
      <c r="C3767" s="3" t="s">
        <v>4069</v>
      </c>
      <c r="D3767" s="3" t="s">
        <v>3849</v>
      </c>
    </row>
    <row r="3768" spans="1:4" x14ac:dyDescent="0.2">
      <c r="A3768" s="3">
        <v>3942</v>
      </c>
      <c r="B3768" s="3" t="s">
        <v>4070</v>
      </c>
      <c r="C3768" s="3" t="s">
        <v>4069</v>
      </c>
      <c r="D3768" s="3" t="s">
        <v>3849</v>
      </c>
    </row>
    <row r="3769" spans="1:4" x14ac:dyDescent="0.2">
      <c r="A3769" s="3">
        <v>3944</v>
      </c>
      <c r="B3769" s="3" t="s">
        <v>4071</v>
      </c>
      <c r="C3769" s="3" t="s">
        <v>4072</v>
      </c>
      <c r="D3769" s="3" t="s">
        <v>3849</v>
      </c>
    </row>
    <row r="3770" spans="1:4" x14ac:dyDescent="0.2">
      <c r="A3770" s="3">
        <v>3918</v>
      </c>
      <c r="B3770" s="3" t="s">
        <v>4073</v>
      </c>
      <c r="C3770" s="3" t="s">
        <v>4073</v>
      </c>
      <c r="D3770" s="3" t="s">
        <v>3849</v>
      </c>
    </row>
    <row r="3771" spans="1:4" x14ac:dyDescent="0.2">
      <c r="A3771" s="3">
        <v>3983</v>
      </c>
      <c r="B3771" s="3" t="s">
        <v>4074</v>
      </c>
      <c r="C3771" s="3" t="s">
        <v>4075</v>
      </c>
      <c r="D3771" s="3" t="s">
        <v>3849</v>
      </c>
    </row>
    <row r="3772" spans="1:4" x14ac:dyDescent="0.2">
      <c r="A3772" s="3">
        <v>3983</v>
      </c>
      <c r="B3772" s="3" t="s">
        <v>4076</v>
      </c>
      <c r="C3772" s="3" t="s">
        <v>4075</v>
      </c>
      <c r="D3772" s="3" t="s">
        <v>3849</v>
      </c>
    </row>
    <row r="3773" spans="1:4" x14ac:dyDescent="0.2">
      <c r="A3773" s="3">
        <v>3940</v>
      </c>
      <c r="B3773" s="3" t="s">
        <v>4077</v>
      </c>
      <c r="C3773" s="3" t="s">
        <v>4078</v>
      </c>
      <c r="D3773" s="3" t="s">
        <v>3849</v>
      </c>
    </row>
    <row r="3774" spans="1:4" x14ac:dyDescent="0.2">
      <c r="A3774" s="3">
        <v>3949</v>
      </c>
      <c r="B3774" s="3" t="s">
        <v>4079</v>
      </c>
      <c r="C3774" s="3" t="s">
        <v>4078</v>
      </c>
      <c r="D3774" s="3" t="s">
        <v>3849</v>
      </c>
    </row>
    <row r="3775" spans="1:4" x14ac:dyDescent="0.2">
      <c r="A3775" s="3">
        <v>3991</v>
      </c>
      <c r="B3775" s="3" t="s">
        <v>4080</v>
      </c>
      <c r="C3775" s="3" t="s">
        <v>4081</v>
      </c>
      <c r="D3775" s="3" t="s">
        <v>3849</v>
      </c>
    </row>
    <row r="3776" spans="1:4" x14ac:dyDescent="0.2">
      <c r="A3776" s="3">
        <v>3992</v>
      </c>
      <c r="B3776" s="3" t="s">
        <v>4081</v>
      </c>
      <c r="C3776" s="3" t="s">
        <v>4081</v>
      </c>
      <c r="D3776" s="3" t="s">
        <v>3849</v>
      </c>
    </row>
    <row r="3777" spans="1:4" x14ac:dyDescent="0.2">
      <c r="A3777" s="3">
        <v>3994</v>
      </c>
      <c r="B3777" s="3" t="s">
        <v>4082</v>
      </c>
      <c r="C3777" s="3" t="s">
        <v>4081</v>
      </c>
      <c r="D3777" s="3" t="s">
        <v>3849</v>
      </c>
    </row>
    <row r="3778" spans="1:4" x14ac:dyDescent="0.2">
      <c r="A3778" s="3">
        <v>1903</v>
      </c>
      <c r="B3778" s="3" t="s">
        <v>4083</v>
      </c>
      <c r="C3778" s="3" t="s">
        <v>4083</v>
      </c>
      <c r="D3778" s="3" t="s">
        <v>3849</v>
      </c>
    </row>
    <row r="3779" spans="1:4" x14ac:dyDescent="0.2">
      <c r="A3779" s="3">
        <v>1905</v>
      </c>
      <c r="B3779" s="3" t="s">
        <v>4084</v>
      </c>
      <c r="C3779" s="3" t="s">
        <v>4084</v>
      </c>
      <c r="D3779" s="3" t="s">
        <v>3849</v>
      </c>
    </row>
    <row r="3780" spans="1:4" x14ac:dyDescent="0.2">
      <c r="A3780" s="3">
        <v>1902</v>
      </c>
      <c r="B3780" s="3" t="s">
        <v>4085</v>
      </c>
      <c r="C3780" s="3" t="s">
        <v>4085</v>
      </c>
      <c r="D3780" s="3" t="s">
        <v>3849</v>
      </c>
    </row>
    <row r="3781" spans="1:4" x14ac:dyDescent="0.2">
      <c r="A3781" s="3">
        <v>1925</v>
      </c>
      <c r="B3781" s="3" t="s">
        <v>4086</v>
      </c>
      <c r="C3781" s="3" t="s">
        <v>4086</v>
      </c>
      <c r="D3781" s="3" t="s">
        <v>3849</v>
      </c>
    </row>
    <row r="3782" spans="1:4" x14ac:dyDescent="0.2">
      <c r="A3782" s="3">
        <v>1925</v>
      </c>
      <c r="B3782" s="3" t="s">
        <v>4087</v>
      </c>
      <c r="C3782" s="3" t="s">
        <v>4086</v>
      </c>
      <c r="D3782" s="3" t="s">
        <v>3849</v>
      </c>
    </row>
    <row r="3783" spans="1:4" x14ac:dyDescent="0.2">
      <c r="A3783" s="3">
        <v>1869</v>
      </c>
      <c r="B3783" s="3" t="s">
        <v>4088</v>
      </c>
      <c r="C3783" s="3" t="s">
        <v>4088</v>
      </c>
      <c r="D3783" s="3" t="s">
        <v>3849</v>
      </c>
    </row>
    <row r="3784" spans="1:4" x14ac:dyDescent="0.2">
      <c r="A3784" s="3">
        <v>1890</v>
      </c>
      <c r="B3784" s="3" t="s">
        <v>4089</v>
      </c>
      <c r="C3784" s="3" t="s">
        <v>4090</v>
      </c>
      <c r="D3784" s="3" t="s">
        <v>3849</v>
      </c>
    </row>
    <row r="3785" spans="1:4" x14ac:dyDescent="0.2">
      <c r="A3785" s="3">
        <v>1890</v>
      </c>
      <c r="B3785" s="3" t="s">
        <v>4091</v>
      </c>
      <c r="C3785" s="3" t="s">
        <v>4090</v>
      </c>
      <c r="D3785" s="3" t="s">
        <v>3849</v>
      </c>
    </row>
    <row r="3786" spans="1:4" x14ac:dyDescent="0.2">
      <c r="A3786" s="3">
        <v>1922</v>
      </c>
      <c r="B3786" s="3" t="s">
        <v>4092</v>
      </c>
      <c r="C3786" s="3" t="s">
        <v>4092</v>
      </c>
      <c r="D3786" s="3" t="s">
        <v>3849</v>
      </c>
    </row>
    <row r="3787" spans="1:4" x14ac:dyDescent="0.2">
      <c r="A3787" s="3">
        <v>1922</v>
      </c>
      <c r="B3787" s="3" t="s">
        <v>4093</v>
      </c>
      <c r="C3787" s="3" t="s">
        <v>4092</v>
      </c>
      <c r="D3787" s="3" t="s">
        <v>3849</v>
      </c>
    </row>
    <row r="3788" spans="1:4" x14ac:dyDescent="0.2">
      <c r="A3788" s="3">
        <v>1923</v>
      </c>
      <c r="B3788" s="3" t="s">
        <v>4094</v>
      </c>
      <c r="C3788" s="3" t="s">
        <v>4092</v>
      </c>
      <c r="D3788" s="3" t="s">
        <v>3849</v>
      </c>
    </row>
    <row r="3789" spans="1:4" x14ac:dyDescent="0.2">
      <c r="A3789" s="3">
        <v>1923</v>
      </c>
      <c r="B3789" s="3" t="s">
        <v>4095</v>
      </c>
      <c r="C3789" s="3" t="s">
        <v>4092</v>
      </c>
      <c r="D3789" s="3" t="s">
        <v>3849</v>
      </c>
    </row>
    <row r="3790" spans="1:4" x14ac:dyDescent="0.2">
      <c r="A3790" s="3">
        <v>1904</v>
      </c>
      <c r="B3790" s="3" t="s">
        <v>4096</v>
      </c>
      <c r="C3790" s="3" t="s">
        <v>4096</v>
      </c>
      <c r="D3790" s="3" t="s">
        <v>3849</v>
      </c>
    </row>
    <row r="3791" spans="1:4" x14ac:dyDescent="0.2">
      <c r="A3791" s="3">
        <v>1891</v>
      </c>
      <c r="B3791" s="3" t="s">
        <v>4097</v>
      </c>
      <c r="C3791" s="3" t="s">
        <v>4097</v>
      </c>
      <c r="D3791" s="3" t="s">
        <v>3849</v>
      </c>
    </row>
    <row r="3792" spans="1:4" x14ac:dyDescent="0.2">
      <c r="A3792" s="3">
        <v>3966</v>
      </c>
      <c r="B3792" s="3" t="s">
        <v>4098</v>
      </c>
      <c r="C3792" s="3" t="s">
        <v>4098</v>
      </c>
      <c r="D3792" s="3" t="s">
        <v>3849</v>
      </c>
    </row>
    <row r="3793" spans="1:4" x14ac:dyDescent="0.2">
      <c r="A3793" s="3">
        <v>3966</v>
      </c>
      <c r="B3793" s="3" t="s">
        <v>4099</v>
      </c>
      <c r="C3793" s="3" t="s">
        <v>4098</v>
      </c>
      <c r="D3793" s="3" t="s">
        <v>3849</v>
      </c>
    </row>
    <row r="3794" spans="1:4" x14ac:dyDescent="0.2">
      <c r="A3794" s="3">
        <v>3967</v>
      </c>
      <c r="B3794" s="3" t="s">
        <v>4100</v>
      </c>
      <c r="C3794" s="3" t="s">
        <v>4098</v>
      </c>
      <c r="D3794" s="3" t="s">
        <v>3849</v>
      </c>
    </row>
    <row r="3795" spans="1:4" x14ac:dyDescent="0.2">
      <c r="A3795" s="3">
        <v>3965</v>
      </c>
      <c r="B3795" s="3" t="s">
        <v>4101</v>
      </c>
      <c r="C3795" s="3" t="s">
        <v>4101</v>
      </c>
      <c r="D3795" s="3" t="s">
        <v>3849</v>
      </c>
    </row>
    <row r="3796" spans="1:4" x14ac:dyDescent="0.2">
      <c r="A3796" s="3">
        <v>3979</v>
      </c>
      <c r="B3796" s="3" t="s">
        <v>4102</v>
      </c>
      <c r="C3796" s="3" t="s">
        <v>4102</v>
      </c>
      <c r="D3796" s="3" t="s">
        <v>3849</v>
      </c>
    </row>
    <row r="3797" spans="1:4" x14ac:dyDescent="0.2">
      <c r="A3797" s="3">
        <v>1977</v>
      </c>
      <c r="B3797" s="3" t="s">
        <v>4103</v>
      </c>
      <c r="C3797" s="3" t="s">
        <v>4103</v>
      </c>
      <c r="D3797" s="3" t="s">
        <v>3849</v>
      </c>
    </row>
    <row r="3798" spans="1:4" x14ac:dyDescent="0.2">
      <c r="A3798" s="3">
        <v>1978</v>
      </c>
      <c r="B3798" s="3" t="s">
        <v>4104</v>
      </c>
      <c r="C3798" s="3" t="s">
        <v>4104</v>
      </c>
      <c r="D3798" s="3" t="s">
        <v>3849</v>
      </c>
    </row>
    <row r="3799" spans="1:4" x14ac:dyDescent="0.2">
      <c r="A3799" s="3">
        <v>3978</v>
      </c>
      <c r="B3799" s="3" t="s">
        <v>4105</v>
      </c>
      <c r="C3799" s="3" t="s">
        <v>4104</v>
      </c>
      <c r="D3799" s="3" t="s">
        <v>3849</v>
      </c>
    </row>
    <row r="3800" spans="1:4" x14ac:dyDescent="0.2">
      <c r="A3800" s="3">
        <v>1958</v>
      </c>
      <c r="B3800" s="3" t="s">
        <v>4106</v>
      </c>
      <c r="C3800" s="3" t="s">
        <v>4107</v>
      </c>
      <c r="D3800" s="3" t="s">
        <v>3849</v>
      </c>
    </row>
    <row r="3801" spans="1:4" x14ac:dyDescent="0.2">
      <c r="A3801" s="3">
        <v>3960</v>
      </c>
      <c r="B3801" s="3" t="s">
        <v>4108</v>
      </c>
      <c r="C3801" s="3" t="s">
        <v>4108</v>
      </c>
      <c r="D3801" s="3" t="s">
        <v>3849</v>
      </c>
    </row>
    <row r="3802" spans="1:4" x14ac:dyDescent="0.2">
      <c r="A3802" s="3">
        <v>3960</v>
      </c>
      <c r="B3802" s="3" t="s">
        <v>4109</v>
      </c>
      <c r="C3802" s="3" t="s">
        <v>4108</v>
      </c>
      <c r="D3802" s="3" t="s">
        <v>3849</v>
      </c>
    </row>
    <row r="3803" spans="1:4" x14ac:dyDescent="0.2">
      <c r="A3803" s="3">
        <v>3976</v>
      </c>
      <c r="B3803" s="3" t="s">
        <v>4110</v>
      </c>
      <c r="C3803" s="3" t="s">
        <v>4108</v>
      </c>
      <c r="D3803" s="3" t="s">
        <v>3849</v>
      </c>
    </row>
    <row r="3804" spans="1:4" x14ac:dyDescent="0.2">
      <c r="A3804" s="3">
        <v>3977</v>
      </c>
      <c r="B3804" s="3" t="s">
        <v>4111</v>
      </c>
      <c r="C3804" s="3" t="s">
        <v>4108</v>
      </c>
      <c r="D3804" s="3" t="s">
        <v>3849</v>
      </c>
    </row>
    <row r="3805" spans="1:4" x14ac:dyDescent="0.2">
      <c r="A3805" s="3">
        <v>3960</v>
      </c>
      <c r="B3805" s="3" t="s">
        <v>4112</v>
      </c>
      <c r="C3805" s="3" t="s">
        <v>4113</v>
      </c>
      <c r="D3805" s="3" t="s">
        <v>3849</v>
      </c>
    </row>
    <row r="3806" spans="1:4" x14ac:dyDescent="0.2">
      <c r="A3806" s="3">
        <v>3961</v>
      </c>
      <c r="B3806" s="3" t="s">
        <v>4114</v>
      </c>
      <c r="C3806" s="3" t="s">
        <v>4113</v>
      </c>
      <c r="D3806" s="3" t="s">
        <v>3849</v>
      </c>
    </row>
    <row r="3807" spans="1:4" x14ac:dyDescent="0.2">
      <c r="A3807" s="3">
        <v>3961</v>
      </c>
      <c r="B3807" s="3" t="s">
        <v>4115</v>
      </c>
      <c r="C3807" s="3" t="s">
        <v>4113</v>
      </c>
      <c r="D3807" s="3" t="s">
        <v>3849</v>
      </c>
    </row>
    <row r="3808" spans="1:4" x14ac:dyDescent="0.2">
      <c r="A3808" s="3">
        <v>3961</v>
      </c>
      <c r="B3808" s="3" t="s">
        <v>4116</v>
      </c>
      <c r="C3808" s="3" t="s">
        <v>4113</v>
      </c>
      <c r="D3808" s="3" t="s">
        <v>3849</v>
      </c>
    </row>
    <row r="3809" spans="1:4" x14ac:dyDescent="0.2">
      <c r="A3809" s="3">
        <v>3961</v>
      </c>
      <c r="B3809" s="3" t="s">
        <v>4117</v>
      </c>
      <c r="C3809" s="3" t="s">
        <v>4113</v>
      </c>
      <c r="D3809" s="3" t="s">
        <v>3849</v>
      </c>
    </row>
    <row r="3810" spans="1:4" x14ac:dyDescent="0.2">
      <c r="A3810" s="3">
        <v>3961</v>
      </c>
      <c r="B3810" s="3" t="s">
        <v>4118</v>
      </c>
      <c r="C3810" s="3" t="s">
        <v>4113</v>
      </c>
      <c r="D3810" s="3" t="s">
        <v>3849</v>
      </c>
    </row>
    <row r="3811" spans="1:4" x14ac:dyDescent="0.2">
      <c r="A3811" s="3">
        <v>3961</v>
      </c>
      <c r="B3811" s="3" t="s">
        <v>4119</v>
      </c>
      <c r="C3811" s="3" t="s">
        <v>4113</v>
      </c>
      <c r="D3811" s="3" t="s">
        <v>3849</v>
      </c>
    </row>
    <row r="3812" spans="1:4" x14ac:dyDescent="0.2">
      <c r="A3812" s="3">
        <v>3961</v>
      </c>
      <c r="B3812" s="3" t="s">
        <v>4120</v>
      </c>
      <c r="C3812" s="3" t="s">
        <v>4113</v>
      </c>
      <c r="D3812" s="3" t="s">
        <v>3849</v>
      </c>
    </row>
    <row r="3813" spans="1:4" x14ac:dyDescent="0.2">
      <c r="A3813" s="3">
        <v>3961</v>
      </c>
      <c r="B3813" s="3" t="s">
        <v>4121</v>
      </c>
      <c r="C3813" s="3" t="s">
        <v>4113</v>
      </c>
      <c r="D3813" s="3" t="s">
        <v>3849</v>
      </c>
    </row>
    <row r="3814" spans="1:4" x14ac:dyDescent="0.2">
      <c r="A3814" s="3">
        <v>3960</v>
      </c>
      <c r="B3814" s="3" t="s">
        <v>4122</v>
      </c>
      <c r="C3814" s="3" t="s">
        <v>4123</v>
      </c>
      <c r="D3814" s="3" t="s">
        <v>3849</v>
      </c>
    </row>
    <row r="3815" spans="1:4" x14ac:dyDescent="0.2">
      <c r="A3815" s="3">
        <v>3960</v>
      </c>
      <c r="B3815" s="3" t="s">
        <v>4124</v>
      </c>
      <c r="C3815" s="3" t="s">
        <v>4123</v>
      </c>
      <c r="D3815" s="3" t="s">
        <v>3849</v>
      </c>
    </row>
    <row r="3816" spans="1:4" x14ac:dyDescent="0.2">
      <c r="A3816" s="3">
        <v>3963</v>
      </c>
      <c r="B3816" s="3" t="s">
        <v>4123</v>
      </c>
      <c r="C3816" s="3" t="s">
        <v>4123</v>
      </c>
      <c r="D3816" s="3" t="s">
        <v>3849</v>
      </c>
    </row>
    <row r="3817" spans="1:4" x14ac:dyDescent="0.2">
      <c r="A3817" s="3">
        <v>3963</v>
      </c>
      <c r="B3817" s="3" t="s">
        <v>4125</v>
      </c>
      <c r="C3817" s="3" t="s">
        <v>4123</v>
      </c>
      <c r="D3817" s="3" t="s">
        <v>3849</v>
      </c>
    </row>
    <row r="3818" spans="1:4" x14ac:dyDescent="0.2">
      <c r="A3818" s="3">
        <v>3963</v>
      </c>
      <c r="B3818" s="3" t="s">
        <v>4126</v>
      </c>
      <c r="C3818" s="3" t="s">
        <v>4123</v>
      </c>
      <c r="D3818" s="3" t="s">
        <v>3849</v>
      </c>
    </row>
    <row r="3819" spans="1:4" x14ac:dyDescent="0.2">
      <c r="A3819" s="3">
        <v>3971</v>
      </c>
      <c r="B3819" s="3" t="s">
        <v>4127</v>
      </c>
      <c r="C3819" s="3" t="s">
        <v>4123</v>
      </c>
      <c r="D3819" s="3" t="s">
        <v>3849</v>
      </c>
    </row>
    <row r="3820" spans="1:4" x14ac:dyDescent="0.2">
      <c r="A3820" s="3">
        <v>3971</v>
      </c>
      <c r="B3820" s="3" t="s">
        <v>4128</v>
      </c>
      <c r="C3820" s="3" t="s">
        <v>4123</v>
      </c>
      <c r="D3820" s="3" t="s">
        <v>3849</v>
      </c>
    </row>
    <row r="3821" spans="1:4" x14ac:dyDescent="0.2">
      <c r="A3821" s="3">
        <v>3971</v>
      </c>
      <c r="B3821" s="3" t="s">
        <v>4129</v>
      </c>
      <c r="C3821" s="3" t="s">
        <v>4123</v>
      </c>
      <c r="D3821" s="3" t="s">
        <v>3849</v>
      </c>
    </row>
    <row r="3822" spans="1:4" x14ac:dyDescent="0.2">
      <c r="A3822" s="3">
        <v>3974</v>
      </c>
      <c r="B3822" s="3" t="s">
        <v>4130</v>
      </c>
      <c r="C3822" s="3" t="s">
        <v>4123</v>
      </c>
      <c r="D3822" s="3" t="s">
        <v>3849</v>
      </c>
    </row>
    <row r="3823" spans="1:4" x14ac:dyDescent="0.2">
      <c r="A3823" s="3">
        <v>3975</v>
      </c>
      <c r="B3823" s="3" t="s">
        <v>4131</v>
      </c>
      <c r="C3823" s="3" t="s">
        <v>4123</v>
      </c>
      <c r="D3823" s="3" t="s">
        <v>3849</v>
      </c>
    </row>
    <row r="3824" spans="1:4" x14ac:dyDescent="0.2">
      <c r="A3824" s="3">
        <v>3976</v>
      </c>
      <c r="B3824" s="3" t="s">
        <v>4132</v>
      </c>
      <c r="C3824" s="3" t="s">
        <v>4123</v>
      </c>
      <c r="D3824" s="3" t="s">
        <v>3849</v>
      </c>
    </row>
    <row r="3825" spans="1:4" x14ac:dyDescent="0.2">
      <c r="A3825" s="3">
        <v>3968</v>
      </c>
      <c r="B3825" s="3" t="s">
        <v>4133</v>
      </c>
      <c r="C3825" s="3" t="s">
        <v>4134</v>
      </c>
      <c r="D3825" s="3" t="s">
        <v>3849</v>
      </c>
    </row>
    <row r="3826" spans="1:4" x14ac:dyDescent="0.2">
      <c r="A3826" s="3">
        <v>3972</v>
      </c>
      <c r="B3826" s="3" t="s">
        <v>4135</v>
      </c>
      <c r="C3826" s="3" t="s">
        <v>4134</v>
      </c>
      <c r="D3826" s="3" t="s">
        <v>3849</v>
      </c>
    </row>
    <row r="3827" spans="1:4" x14ac:dyDescent="0.2">
      <c r="A3827" s="3">
        <v>3973</v>
      </c>
      <c r="B3827" s="3" t="s">
        <v>4136</v>
      </c>
      <c r="C3827" s="3" t="s">
        <v>4134</v>
      </c>
      <c r="D3827" s="3" t="s">
        <v>3849</v>
      </c>
    </row>
    <row r="3828" spans="1:4" x14ac:dyDescent="0.2">
      <c r="A3828" s="3">
        <v>1974</v>
      </c>
      <c r="B3828" s="3" t="s">
        <v>4137</v>
      </c>
      <c r="C3828" s="3" t="s">
        <v>4137</v>
      </c>
      <c r="D3828" s="3" t="s">
        <v>3849</v>
      </c>
    </row>
    <row r="3829" spans="1:4" x14ac:dyDescent="0.2">
      <c r="A3829" s="3">
        <v>1971</v>
      </c>
      <c r="B3829" s="3" t="s">
        <v>4138</v>
      </c>
      <c r="C3829" s="3" t="s">
        <v>4138</v>
      </c>
      <c r="D3829" s="3" t="s">
        <v>3849</v>
      </c>
    </row>
    <row r="3830" spans="1:4" x14ac:dyDescent="0.2">
      <c r="A3830" s="3">
        <v>1971</v>
      </c>
      <c r="B3830" s="3" t="s">
        <v>4139</v>
      </c>
      <c r="C3830" s="3" t="s">
        <v>4138</v>
      </c>
      <c r="D3830" s="3" t="s">
        <v>3849</v>
      </c>
    </row>
    <row r="3831" spans="1:4" x14ac:dyDescent="0.2">
      <c r="A3831" s="3">
        <v>1965</v>
      </c>
      <c r="B3831" s="3" t="s">
        <v>4140</v>
      </c>
      <c r="C3831" s="3" t="s">
        <v>4140</v>
      </c>
      <c r="D3831" s="3" t="s">
        <v>3849</v>
      </c>
    </row>
    <row r="3832" spans="1:4" x14ac:dyDescent="0.2">
      <c r="A3832" s="3">
        <v>1950</v>
      </c>
      <c r="B3832" s="3" t="s">
        <v>4141</v>
      </c>
      <c r="C3832" s="3" t="s">
        <v>4141</v>
      </c>
      <c r="D3832" s="3" t="s">
        <v>3849</v>
      </c>
    </row>
    <row r="3833" spans="1:4" x14ac:dyDescent="0.2">
      <c r="A3833" s="3">
        <v>1958</v>
      </c>
      <c r="B3833" s="3" t="s">
        <v>4142</v>
      </c>
      <c r="C3833" s="3" t="s">
        <v>4141</v>
      </c>
      <c r="D3833" s="3" t="s">
        <v>3849</v>
      </c>
    </row>
    <row r="3834" spans="1:4" x14ac:dyDescent="0.2">
      <c r="A3834" s="3">
        <v>1962</v>
      </c>
      <c r="B3834" s="3" t="s">
        <v>4143</v>
      </c>
      <c r="C3834" s="3" t="s">
        <v>4141</v>
      </c>
      <c r="D3834" s="3" t="s">
        <v>3849</v>
      </c>
    </row>
    <row r="3835" spans="1:4" x14ac:dyDescent="0.2">
      <c r="A3835" s="3">
        <v>1967</v>
      </c>
      <c r="B3835" s="3" t="s">
        <v>4144</v>
      </c>
      <c r="C3835" s="3" t="s">
        <v>4141</v>
      </c>
      <c r="D3835" s="3" t="s">
        <v>3849</v>
      </c>
    </row>
    <row r="3836" spans="1:4" x14ac:dyDescent="0.2">
      <c r="A3836" s="3">
        <v>1991</v>
      </c>
      <c r="B3836" s="3" t="s">
        <v>4145</v>
      </c>
      <c r="C3836" s="3" t="s">
        <v>4141</v>
      </c>
      <c r="D3836" s="3" t="s">
        <v>3849</v>
      </c>
    </row>
    <row r="3837" spans="1:4" x14ac:dyDescent="0.2">
      <c r="A3837" s="3">
        <v>1991</v>
      </c>
      <c r="B3837" s="3" t="s">
        <v>4146</v>
      </c>
      <c r="C3837" s="3" t="s">
        <v>4141</v>
      </c>
      <c r="D3837" s="3" t="s">
        <v>3849</v>
      </c>
    </row>
    <row r="3838" spans="1:4" x14ac:dyDescent="0.2">
      <c r="A3838" s="3">
        <v>1991</v>
      </c>
      <c r="B3838" s="3" t="s">
        <v>4147</v>
      </c>
      <c r="C3838" s="3" t="s">
        <v>4141</v>
      </c>
      <c r="D3838" s="3" t="s">
        <v>3849</v>
      </c>
    </row>
    <row r="3839" spans="1:4" x14ac:dyDescent="0.2">
      <c r="A3839" s="3">
        <v>1991</v>
      </c>
      <c r="B3839" s="3" t="s">
        <v>4148</v>
      </c>
      <c r="C3839" s="3" t="s">
        <v>4141</v>
      </c>
      <c r="D3839" s="3" t="s">
        <v>3849</v>
      </c>
    </row>
    <row r="3840" spans="1:4" x14ac:dyDescent="0.2">
      <c r="A3840" s="3">
        <v>1991</v>
      </c>
      <c r="B3840" s="3" t="s">
        <v>4149</v>
      </c>
      <c r="C3840" s="3" t="s">
        <v>4141</v>
      </c>
      <c r="D3840" s="3" t="s">
        <v>3849</v>
      </c>
    </row>
    <row r="3841" spans="1:4" x14ac:dyDescent="0.2">
      <c r="A3841" s="3">
        <v>1992</v>
      </c>
      <c r="B3841" s="3" t="s">
        <v>4150</v>
      </c>
      <c r="C3841" s="3" t="s">
        <v>4141</v>
      </c>
      <c r="D3841" s="3" t="s">
        <v>3849</v>
      </c>
    </row>
    <row r="3842" spans="1:4" x14ac:dyDescent="0.2">
      <c r="A3842" s="3">
        <v>1992</v>
      </c>
      <c r="B3842" s="3" t="s">
        <v>4151</v>
      </c>
      <c r="C3842" s="3" t="s">
        <v>4141</v>
      </c>
      <c r="D3842" s="3" t="s">
        <v>3849</v>
      </c>
    </row>
    <row r="3843" spans="1:4" x14ac:dyDescent="0.2">
      <c r="A3843" s="3">
        <v>1992</v>
      </c>
      <c r="B3843" s="3" t="s">
        <v>4152</v>
      </c>
      <c r="C3843" s="3" t="s">
        <v>4141</v>
      </c>
      <c r="D3843" s="3" t="s">
        <v>3849</v>
      </c>
    </row>
    <row r="3844" spans="1:4" x14ac:dyDescent="0.2">
      <c r="A3844" s="3">
        <v>1993</v>
      </c>
      <c r="B3844" s="3" t="s">
        <v>4153</v>
      </c>
      <c r="C3844" s="3" t="s">
        <v>4153</v>
      </c>
      <c r="D3844" s="3" t="s">
        <v>3849</v>
      </c>
    </row>
    <row r="3845" spans="1:4" x14ac:dyDescent="0.2">
      <c r="A3845" s="3">
        <v>3937</v>
      </c>
      <c r="B3845" s="3" t="s">
        <v>4154</v>
      </c>
      <c r="C3845" s="3" t="s">
        <v>4154</v>
      </c>
      <c r="D3845" s="3" t="s">
        <v>3849</v>
      </c>
    </row>
    <row r="3846" spans="1:4" x14ac:dyDescent="0.2">
      <c r="A3846" s="3">
        <v>3937</v>
      </c>
      <c r="B3846" s="3" t="s">
        <v>4154</v>
      </c>
      <c r="C3846" s="3" t="s">
        <v>4154</v>
      </c>
      <c r="D3846" s="3" t="s">
        <v>3849</v>
      </c>
    </row>
    <row r="3847" spans="1:4" x14ac:dyDescent="0.2">
      <c r="A3847" s="3">
        <v>3922</v>
      </c>
      <c r="B3847" s="3" t="s">
        <v>4155</v>
      </c>
      <c r="C3847" s="3" t="s">
        <v>4155</v>
      </c>
      <c r="D3847" s="3" t="s">
        <v>3849</v>
      </c>
    </row>
    <row r="3848" spans="1:4" x14ac:dyDescent="0.2">
      <c r="A3848" s="3">
        <v>3922</v>
      </c>
      <c r="B3848" s="3" t="s">
        <v>4156</v>
      </c>
      <c r="C3848" s="3" t="s">
        <v>4157</v>
      </c>
      <c r="D3848" s="3" t="s">
        <v>3849</v>
      </c>
    </row>
    <row r="3849" spans="1:4" x14ac:dyDescent="0.2">
      <c r="A3849" s="3">
        <v>3926</v>
      </c>
      <c r="B3849" s="3" t="s">
        <v>4157</v>
      </c>
      <c r="C3849" s="3" t="s">
        <v>4157</v>
      </c>
      <c r="D3849" s="3" t="s">
        <v>3849</v>
      </c>
    </row>
    <row r="3850" spans="1:4" x14ac:dyDescent="0.2">
      <c r="A3850" s="3">
        <v>3925</v>
      </c>
      <c r="B3850" s="3" t="s">
        <v>4158</v>
      </c>
      <c r="C3850" s="3" t="s">
        <v>4158</v>
      </c>
      <c r="D3850" s="3" t="s">
        <v>3849</v>
      </c>
    </row>
    <row r="3851" spans="1:4" x14ac:dyDescent="0.2">
      <c r="A3851" s="3">
        <v>3931</v>
      </c>
      <c r="B3851" s="3" t="s">
        <v>4159</v>
      </c>
      <c r="C3851" s="3" t="s">
        <v>4159</v>
      </c>
      <c r="D3851" s="3" t="s">
        <v>3849</v>
      </c>
    </row>
    <row r="3852" spans="1:4" x14ac:dyDescent="0.2">
      <c r="A3852" s="3">
        <v>3928</v>
      </c>
      <c r="B3852" s="3" t="s">
        <v>4160</v>
      </c>
      <c r="C3852" s="3" t="s">
        <v>4160</v>
      </c>
      <c r="D3852" s="3" t="s">
        <v>3849</v>
      </c>
    </row>
    <row r="3853" spans="1:4" x14ac:dyDescent="0.2">
      <c r="A3853" s="3">
        <v>3905</v>
      </c>
      <c r="B3853" s="3" t="s">
        <v>4161</v>
      </c>
      <c r="C3853" s="3" t="s">
        <v>4161</v>
      </c>
      <c r="D3853" s="3" t="s">
        <v>3849</v>
      </c>
    </row>
    <row r="3854" spans="1:4" x14ac:dyDescent="0.2">
      <c r="A3854" s="3">
        <v>3908</v>
      </c>
      <c r="B3854" s="3" t="s">
        <v>4162</v>
      </c>
      <c r="C3854" s="3" t="s">
        <v>4162</v>
      </c>
      <c r="D3854" s="3" t="s">
        <v>3849</v>
      </c>
    </row>
    <row r="3855" spans="1:4" x14ac:dyDescent="0.2">
      <c r="A3855" s="3">
        <v>3906</v>
      </c>
      <c r="B3855" s="3" t="s">
        <v>4163</v>
      </c>
      <c r="C3855" s="3" t="s">
        <v>4163</v>
      </c>
      <c r="D3855" s="3" t="s">
        <v>3849</v>
      </c>
    </row>
    <row r="3856" spans="1:4" x14ac:dyDescent="0.2">
      <c r="A3856" s="3">
        <v>3910</v>
      </c>
      <c r="B3856" s="3" t="s">
        <v>4164</v>
      </c>
      <c r="C3856" s="3" t="s">
        <v>4164</v>
      </c>
      <c r="D3856" s="3" t="s">
        <v>3849</v>
      </c>
    </row>
    <row r="3857" spans="1:4" x14ac:dyDescent="0.2">
      <c r="A3857" s="3">
        <v>3924</v>
      </c>
      <c r="B3857" s="3" t="s">
        <v>4165</v>
      </c>
      <c r="C3857" s="3" t="s">
        <v>4166</v>
      </c>
      <c r="D3857" s="3" t="s">
        <v>3849</v>
      </c>
    </row>
    <row r="3858" spans="1:4" x14ac:dyDescent="0.2">
      <c r="A3858" s="3">
        <v>3927</v>
      </c>
      <c r="B3858" s="3" t="s">
        <v>4167</v>
      </c>
      <c r="C3858" s="3" t="s">
        <v>4166</v>
      </c>
      <c r="D3858" s="3" t="s">
        <v>3849</v>
      </c>
    </row>
    <row r="3859" spans="1:4" x14ac:dyDescent="0.2">
      <c r="A3859" s="3">
        <v>3922</v>
      </c>
      <c r="B3859" s="3" t="s">
        <v>4168</v>
      </c>
      <c r="C3859" s="3" t="s">
        <v>4169</v>
      </c>
      <c r="D3859" s="3" t="s">
        <v>3849</v>
      </c>
    </row>
    <row r="3860" spans="1:4" x14ac:dyDescent="0.2">
      <c r="A3860" s="3">
        <v>3933</v>
      </c>
      <c r="B3860" s="3" t="s">
        <v>4170</v>
      </c>
      <c r="C3860" s="3" t="s">
        <v>4170</v>
      </c>
      <c r="D3860" s="3" t="s">
        <v>3849</v>
      </c>
    </row>
    <row r="3861" spans="1:4" x14ac:dyDescent="0.2">
      <c r="A3861" s="3">
        <v>3929</v>
      </c>
      <c r="B3861" s="3" t="s">
        <v>4171</v>
      </c>
      <c r="C3861" s="3" t="s">
        <v>4171</v>
      </c>
      <c r="D3861" s="3" t="s">
        <v>3849</v>
      </c>
    </row>
    <row r="3862" spans="1:4" x14ac:dyDescent="0.2">
      <c r="A3862" s="3">
        <v>3923</v>
      </c>
      <c r="B3862" s="3" t="s">
        <v>4172</v>
      </c>
      <c r="C3862" s="3" t="s">
        <v>4172</v>
      </c>
      <c r="D3862" s="3" t="s">
        <v>3849</v>
      </c>
    </row>
    <row r="3863" spans="1:4" x14ac:dyDescent="0.2">
      <c r="A3863" s="3">
        <v>3930</v>
      </c>
      <c r="B3863" s="3" t="s">
        <v>4173</v>
      </c>
      <c r="C3863" s="3" t="s">
        <v>4173</v>
      </c>
      <c r="D3863" s="3" t="s">
        <v>3849</v>
      </c>
    </row>
    <row r="3864" spans="1:4" x14ac:dyDescent="0.2">
      <c r="A3864" s="3">
        <v>3930</v>
      </c>
      <c r="B3864" s="3" t="s">
        <v>4174</v>
      </c>
      <c r="C3864" s="3" t="s">
        <v>4173</v>
      </c>
      <c r="D3864" s="3" t="s">
        <v>3849</v>
      </c>
    </row>
    <row r="3865" spans="1:4" x14ac:dyDescent="0.2">
      <c r="A3865" s="3">
        <v>3932</v>
      </c>
      <c r="B3865" s="3" t="s">
        <v>4175</v>
      </c>
      <c r="C3865" s="3" t="s">
        <v>4175</v>
      </c>
      <c r="D3865" s="3" t="s">
        <v>3849</v>
      </c>
    </row>
    <row r="3866" spans="1:4" x14ac:dyDescent="0.2">
      <c r="A3866" s="3">
        <v>3934</v>
      </c>
      <c r="B3866" s="3" t="s">
        <v>4176</v>
      </c>
      <c r="C3866" s="3" t="s">
        <v>4176</v>
      </c>
      <c r="D3866" s="3" t="s">
        <v>3849</v>
      </c>
    </row>
    <row r="3867" spans="1:4" x14ac:dyDescent="0.2">
      <c r="A3867" s="3">
        <v>3920</v>
      </c>
      <c r="B3867" s="3" t="s">
        <v>4177</v>
      </c>
      <c r="C3867" s="3" t="s">
        <v>4177</v>
      </c>
      <c r="D3867" s="3" t="s">
        <v>3849</v>
      </c>
    </row>
    <row r="3868" spans="1:4" x14ac:dyDescent="0.2">
      <c r="A3868" s="3">
        <v>2015</v>
      </c>
      <c r="B3868" s="3" t="s">
        <v>4178</v>
      </c>
      <c r="C3868" s="3" t="s">
        <v>4179</v>
      </c>
      <c r="D3868" s="3" t="s">
        <v>4180</v>
      </c>
    </row>
    <row r="3869" spans="1:4" x14ac:dyDescent="0.2">
      <c r="A3869" s="3">
        <v>2017</v>
      </c>
      <c r="B3869" s="3" t="s">
        <v>4179</v>
      </c>
      <c r="C3869" s="3" t="s">
        <v>4179</v>
      </c>
      <c r="D3869" s="3" t="s">
        <v>4180</v>
      </c>
    </row>
    <row r="3870" spans="1:4" x14ac:dyDescent="0.2">
      <c r="A3870" s="3">
        <v>2016</v>
      </c>
      <c r="B3870" s="3" t="s">
        <v>4181</v>
      </c>
      <c r="C3870" s="3" t="s">
        <v>4181</v>
      </c>
      <c r="D3870" s="3" t="s">
        <v>4180</v>
      </c>
    </row>
    <row r="3871" spans="1:4" x14ac:dyDescent="0.2">
      <c r="A3871" s="3">
        <v>2019</v>
      </c>
      <c r="B3871" s="3" t="s">
        <v>4182</v>
      </c>
      <c r="C3871" s="3" t="s">
        <v>4182</v>
      </c>
      <c r="D3871" s="3" t="s">
        <v>4180</v>
      </c>
    </row>
    <row r="3872" spans="1:4" x14ac:dyDescent="0.2">
      <c r="A3872" s="3">
        <v>2019</v>
      </c>
      <c r="B3872" s="3" t="s">
        <v>4183</v>
      </c>
      <c r="C3872" s="3" t="s">
        <v>4182</v>
      </c>
      <c r="D3872" s="3" t="s">
        <v>4180</v>
      </c>
    </row>
    <row r="3873" spans="1:4" x14ac:dyDescent="0.2">
      <c r="A3873" s="3">
        <v>2037</v>
      </c>
      <c r="B3873" s="3" t="s">
        <v>4184</v>
      </c>
      <c r="C3873" s="3" t="s">
        <v>4182</v>
      </c>
      <c r="D3873" s="3" t="s">
        <v>4180</v>
      </c>
    </row>
    <row r="3874" spans="1:4" x14ac:dyDescent="0.2">
      <c r="A3874" s="3">
        <v>2149</v>
      </c>
      <c r="B3874" s="3" t="s">
        <v>4185</v>
      </c>
      <c r="C3874" s="3" t="s">
        <v>4182</v>
      </c>
      <c r="D3874" s="3" t="s">
        <v>4180</v>
      </c>
    </row>
    <row r="3875" spans="1:4" x14ac:dyDescent="0.2">
      <c r="A3875" s="3">
        <v>2149</v>
      </c>
      <c r="B3875" s="3" t="s">
        <v>4186</v>
      </c>
      <c r="C3875" s="3" t="s">
        <v>4182</v>
      </c>
      <c r="D3875" s="3" t="s">
        <v>4180</v>
      </c>
    </row>
    <row r="3876" spans="1:4" x14ac:dyDescent="0.2">
      <c r="A3876" s="3">
        <v>2149</v>
      </c>
      <c r="B3876" s="3" t="s">
        <v>4187</v>
      </c>
      <c r="C3876" s="3" t="s">
        <v>4182</v>
      </c>
      <c r="D3876" s="3" t="s">
        <v>4180</v>
      </c>
    </row>
    <row r="3877" spans="1:4" x14ac:dyDescent="0.2">
      <c r="A3877" s="3">
        <v>2012</v>
      </c>
      <c r="B3877" s="3" t="s">
        <v>4188</v>
      </c>
      <c r="C3877" s="3" t="s">
        <v>4189</v>
      </c>
      <c r="D3877" s="3" t="s">
        <v>4180</v>
      </c>
    </row>
    <row r="3878" spans="1:4" x14ac:dyDescent="0.2">
      <c r="A3878" s="3">
        <v>2013</v>
      </c>
      <c r="B3878" s="3" t="s">
        <v>4190</v>
      </c>
      <c r="C3878" s="3" t="s">
        <v>4189</v>
      </c>
      <c r="D3878" s="3" t="s">
        <v>4180</v>
      </c>
    </row>
    <row r="3879" spans="1:4" x14ac:dyDescent="0.2">
      <c r="A3879" s="3">
        <v>2014</v>
      </c>
      <c r="B3879" s="3" t="s">
        <v>4191</v>
      </c>
      <c r="C3879" s="3" t="s">
        <v>4189</v>
      </c>
      <c r="D3879" s="3" t="s">
        <v>4180</v>
      </c>
    </row>
    <row r="3880" spans="1:4" x14ac:dyDescent="0.2">
      <c r="A3880" s="3">
        <v>2022</v>
      </c>
      <c r="B3880" s="3" t="s">
        <v>4192</v>
      </c>
      <c r="C3880" s="3" t="s">
        <v>4193</v>
      </c>
      <c r="D3880" s="3" t="s">
        <v>4180</v>
      </c>
    </row>
    <row r="3881" spans="1:4" x14ac:dyDescent="0.2">
      <c r="A3881" s="3">
        <v>2023</v>
      </c>
      <c r="B3881" s="3" t="s">
        <v>4194</v>
      </c>
      <c r="C3881" s="3" t="s">
        <v>4193</v>
      </c>
      <c r="D3881" s="3" t="s">
        <v>4180</v>
      </c>
    </row>
    <row r="3882" spans="1:4" x14ac:dyDescent="0.2">
      <c r="A3882" s="3">
        <v>2024</v>
      </c>
      <c r="B3882" s="3" t="s">
        <v>4195</v>
      </c>
      <c r="C3882" s="3" t="s">
        <v>4193</v>
      </c>
      <c r="D3882" s="3" t="s">
        <v>4180</v>
      </c>
    </row>
    <row r="3883" spans="1:4" x14ac:dyDescent="0.2">
      <c r="A3883" s="3">
        <v>2025</v>
      </c>
      <c r="B3883" s="3" t="s">
        <v>4196</v>
      </c>
      <c r="C3883" s="3" t="s">
        <v>4193</v>
      </c>
      <c r="D3883" s="3" t="s">
        <v>4180</v>
      </c>
    </row>
    <row r="3884" spans="1:4" x14ac:dyDescent="0.2">
      <c r="A3884" s="3">
        <v>2027</v>
      </c>
      <c r="B3884" s="3" t="s">
        <v>4197</v>
      </c>
      <c r="C3884" s="3" t="s">
        <v>4193</v>
      </c>
      <c r="D3884" s="3" t="s">
        <v>4180</v>
      </c>
    </row>
    <row r="3885" spans="1:4" x14ac:dyDescent="0.2">
      <c r="A3885" s="3">
        <v>2027</v>
      </c>
      <c r="B3885" s="3" t="s">
        <v>4198</v>
      </c>
      <c r="C3885" s="3" t="s">
        <v>4193</v>
      </c>
      <c r="D3885" s="3" t="s">
        <v>4180</v>
      </c>
    </row>
    <row r="3886" spans="1:4" x14ac:dyDescent="0.2">
      <c r="A3886" s="3">
        <v>2028</v>
      </c>
      <c r="B3886" s="3" t="s">
        <v>4199</v>
      </c>
      <c r="C3886" s="3" t="s">
        <v>4193</v>
      </c>
      <c r="D3886" s="3" t="s">
        <v>4180</v>
      </c>
    </row>
    <row r="3887" spans="1:4" x14ac:dyDescent="0.2">
      <c r="A3887" s="3">
        <v>2300</v>
      </c>
      <c r="B3887" s="3" t="s">
        <v>4200</v>
      </c>
      <c r="C3887" s="3" t="s">
        <v>4200</v>
      </c>
      <c r="D3887" s="3" t="s">
        <v>4180</v>
      </c>
    </row>
    <row r="3888" spans="1:4" x14ac:dyDescent="0.2">
      <c r="A3888" s="3">
        <v>2300</v>
      </c>
      <c r="B3888" s="3" t="s">
        <v>4201</v>
      </c>
      <c r="C3888" s="3" t="s">
        <v>4200</v>
      </c>
      <c r="D3888" s="3" t="s">
        <v>4180</v>
      </c>
    </row>
    <row r="3889" spans="1:4" x14ac:dyDescent="0.2">
      <c r="A3889" s="3">
        <v>2322</v>
      </c>
      <c r="B3889" s="3" t="s">
        <v>4202</v>
      </c>
      <c r="C3889" s="3" t="s">
        <v>4200</v>
      </c>
      <c r="D3889" s="3" t="s">
        <v>4180</v>
      </c>
    </row>
    <row r="3890" spans="1:4" x14ac:dyDescent="0.2">
      <c r="A3890" s="3">
        <v>2333</v>
      </c>
      <c r="B3890" s="3" t="s">
        <v>4201</v>
      </c>
      <c r="C3890" s="3" t="s">
        <v>465</v>
      </c>
      <c r="D3890" s="3" t="s">
        <v>309</v>
      </c>
    </row>
    <row r="3891" spans="1:4" x14ac:dyDescent="0.2">
      <c r="A3891" s="3">
        <v>2616</v>
      </c>
      <c r="B3891" s="3" t="s">
        <v>4201</v>
      </c>
      <c r="C3891" s="3" t="s">
        <v>470</v>
      </c>
      <c r="D3891" s="3" t="s">
        <v>309</v>
      </c>
    </row>
    <row r="3892" spans="1:4" x14ac:dyDescent="0.2">
      <c r="A3892" s="3">
        <v>2325</v>
      </c>
      <c r="B3892" s="3" t="s">
        <v>4203</v>
      </c>
      <c r="C3892" s="3" t="s">
        <v>4203</v>
      </c>
      <c r="D3892" s="3" t="s">
        <v>4180</v>
      </c>
    </row>
    <row r="3893" spans="1:4" x14ac:dyDescent="0.2">
      <c r="A3893" s="3">
        <v>2314</v>
      </c>
      <c r="B3893" s="3" t="s">
        <v>4204</v>
      </c>
      <c r="C3893" s="3" t="s">
        <v>4205</v>
      </c>
      <c r="D3893" s="3" t="s">
        <v>4180</v>
      </c>
    </row>
    <row r="3894" spans="1:4" x14ac:dyDescent="0.2">
      <c r="A3894" s="3">
        <v>2406</v>
      </c>
      <c r="B3894" s="3" t="s">
        <v>4206</v>
      </c>
      <c r="C3894" s="3" t="s">
        <v>4206</v>
      </c>
      <c r="D3894" s="3" t="s">
        <v>4180</v>
      </c>
    </row>
    <row r="3895" spans="1:4" x14ac:dyDescent="0.2">
      <c r="A3895" s="3">
        <v>2406</v>
      </c>
      <c r="B3895" s="3" t="s">
        <v>4207</v>
      </c>
      <c r="C3895" s="3" t="s">
        <v>4206</v>
      </c>
      <c r="D3895" s="3" t="s">
        <v>4180</v>
      </c>
    </row>
    <row r="3896" spans="1:4" x14ac:dyDescent="0.2">
      <c r="A3896" s="3">
        <v>2406</v>
      </c>
      <c r="B3896" s="3" t="s">
        <v>4208</v>
      </c>
      <c r="C3896" s="3" t="s">
        <v>4206</v>
      </c>
      <c r="D3896" s="3" t="s">
        <v>4180</v>
      </c>
    </row>
    <row r="3897" spans="1:4" x14ac:dyDescent="0.2">
      <c r="A3897" s="3">
        <v>2406</v>
      </c>
      <c r="B3897" s="3" t="s">
        <v>4209</v>
      </c>
      <c r="C3897" s="3" t="s">
        <v>4206</v>
      </c>
      <c r="D3897" s="3" t="s">
        <v>4180</v>
      </c>
    </row>
    <row r="3898" spans="1:4" x14ac:dyDescent="0.2">
      <c r="A3898" s="3">
        <v>2318</v>
      </c>
      <c r="B3898" s="3" t="s">
        <v>4210</v>
      </c>
      <c r="C3898" s="3" t="s">
        <v>4210</v>
      </c>
      <c r="D3898" s="3" t="s">
        <v>4180</v>
      </c>
    </row>
    <row r="3899" spans="1:4" x14ac:dyDescent="0.2">
      <c r="A3899" s="3">
        <v>2414</v>
      </c>
      <c r="B3899" s="3" t="s">
        <v>4211</v>
      </c>
      <c r="C3899" s="3" t="s">
        <v>4211</v>
      </c>
      <c r="D3899" s="3" t="s">
        <v>4180</v>
      </c>
    </row>
    <row r="3900" spans="1:4" x14ac:dyDescent="0.2">
      <c r="A3900" s="3">
        <v>2405</v>
      </c>
      <c r="B3900" s="3" t="s">
        <v>4212</v>
      </c>
      <c r="C3900" s="3" t="s">
        <v>4212</v>
      </c>
      <c r="D3900" s="3" t="s">
        <v>4180</v>
      </c>
    </row>
    <row r="3901" spans="1:4" x14ac:dyDescent="0.2">
      <c r="A3901" s="3">
        <v>2400</v>
      </c>
      <c r="B3901" s="3" t="s">
        <v>4213</v>
      </c>
      <c r="C3901" s="3" t="s">
        <v>4213</v>
      </c>
      <c r="D3901" s="3" t="s">
        <v>4180</v>
      </c>
    </row>
    <row r="3902" spans="1:4" x14ac:dyDescent="0.2">
      <c r="A3902" s="3">
        <v>2400</v>
      </c>
      <c r="B3902" s="3" t="s">
        <v>4214</v>
      </c>
      <c r="C3902" s="3" t="s">
        <v>4213</v>
      </c>
      <c r="D3902" s="3" t="s">
        <v>4180</v>
      </c>
    </row>
    <row r="3903" spans="1:4" x14ac:dyDescent="0.2">
      <c r="A3903" s="3">
        <v>2416</v>
      </c>
      <c r="B3903" s="3" t="s">
        <v>4215</v>
      </c>
      <c r="C3903" s="3" t="s">
        <v>4213</v>
      </c>
      <c r="D3903" s="3" t="s">
        <v>4180</v>
      </c>
    </row>
    <row r="3904" spans="1:4" x14ac:dyDescent="0.2">
      <c r="A3904" s="3">
        <v>2316</v>
      </c>
      <c r="B3904" s="3" t="s">
        <v>4216</v>
      </c>
      <c r="C3904" s="3" t="s">
        <v>4216</v>
      </c>
      <c r="D3904" s="3" t="s">
        <v>4180</v>
      </c>
    </row>
    <row r="3905" spans="1:4" x14ac:dyDescent="0.2">
      <c r="A3905" s="3">
        <v>2316</v>
      </c>
      <c r="B3905" s="3" t="s">
        <v>4217</v>
      </c>
      <c r="C3905" s="3" t="s">
        <v>4216</v>
      </c>
      <c r="D3905" s="3" t="s">
        <v>4180</v>
      </c>
    </row>
    <row r="3906" spans="1:4" x14ac:dyDescent="0.2">
      <c r="A3906" s="3">
        <v>2087</v>
      </c>
      <c r="B3906" s="3" t="s">
        <v>4218</v>
      </c>
      <c r="C3906" s="3" t="s">
        <v>4219</v>
      </c>
      <c r="D3906" s="3" t="s">
        <v>4180</v>
      </c>
    </row>
    <row r="3907" spans="1:4" x14ac:dyDescent="0.2">
      <c r="A3907" s="3">
        <v>2088</v>
      </c>
      <c r="B3907" s="3" t="s">
        <v>4220</v>
      </c>
      <c r="C3907" s="3" t="s">
        <v>4221</v>
      </c>
      <c r="D3907" s="3" t="s">
        <v>4180</v>
      </c>
    </row>
    <row r="3908" spans="1:4" x14ac:dyDescent="0.2">
      <c r="A3908" s="3">
        <v>2073</v>
      </c>
      <c r="B3908" s="3" t="s">
        <v>4222</v>
      </c>
      <c r="C3908" s="3" t="s">
        <v>4222</v>
      </c>
      <c r="D3908" s="3" t="s">
        <v>4180</v>
      </c>
    </row>
    <row r="3909" spans="1:4" x14ac:dyDescent="0.2">
      <c r="A3909" s="3">
        <v>2068</v>
      </c>
      <c r="B3909" s="3" t="s">
        <v>4223</v>
      </c>
      <c r="C3909" s="3" t="s">
        <v>4224</v>
      </c>
      <c r="D3909" s="3" t="s">
        <v>4180</v>
      </c>
    </row>
    <row r="3910" spans="1:4" x14ac:dyDescent="0.2">
      <c r="A3910" s="3">
        <v>2525</v>
      </c>
      <c r="B3910" s="3" t="s">
        <v>4225</v>
      </c>
      <c r="C3910" s="3" t="s">
        <v>4225</v>
      </c>
      <c r="D3910" s="3" t="s">
        <v>4180</v>
      </c>
    </row>
    <row r="3911" spans="1:4" x14ac:dyDescent="0.2">
      <c r="A3911" s="3">
        <v>2523</v>
      </c>
      <c r="B3911" s="3" t="s">
        <v>4226</v>
      </c>
      <c r="C3911" s="3" t="s">
        <v>4226</v>
      </c>
      <c r="D3911" s="3" t="s">
        <v>4180</v>
      </c>
    </row>
    <row r="3912" spans="1:4" x14ac:dyDescent="0.2">
      <c r="A3912" s="3">
        <v>2000</v>
      </c>
      <c r="B3912" s="3" t="s">
        <v>4227</v>
      </c>
      <c r="C3912" s="3" t="s">
        <v>4227</v>
      </c>
      <c r="D3912" s="3" t="s">
        <v>4180</v>
      </c>
    </row>
    <row r="3913" spans="1:4" x14ac:dyDescent="0.2">
      <c r="A3913" s="3">
        <v>2034</v>
      </c>
      <c r="B3913" s="3" t="s">
        <v>4228</v>
      </c>
      <c r="C3913" s="3" t="s">
        <v>4227</v>
      </c>
      <c r="D3913" s="3" t="s">
        <v>4180</v>
      </c>
    </row>
    <row r="3914" spans="1:4" x14ac:dyDescent="0.2">
      <c r="A3914" s="3">
        <v>2035</v>
      </c>
      <c r="B3914" s="3" t="s">
        <v>4229</v>
      </c>
      <c r="C3914" s="3" t="s">
        <v>4227</v>
      </c>
      <c r="D3914" s="3" t="s">
        <v>4180</v>
      </c>
    </row>
    <row r="3915" spans="1:4" x14ac:dyDescent="0.2">
      <c r="A3915" s="3">
        <v>2036</v>
      </c>
      <c r="B3915" s="3" t="s">
        <v>4230</v>
      </c>
      <c r="C3915" s="3" t="s">
        <v>4227</v>
      </c>
      <c r="D3915" s="3" t="s">
        <v>4180</v>
      </c>
    </row>
    <row r="3916" spans="1:4" x14ac:dyDescent="0.2">
      <c r="A3916" s="3">
        <v>2042</v>
      </c>
      <c r="B3916" s="3" t="s">
        <v>4231</v>
      </c>
      <c r="C3916" s="3" t="s">
        <v>4227</v>
      </c>
      <c r="D3916" s="3" t="s">
        <v>4180</v>
      </c>
    </row>
    <row r="3917" spans="1:4" x14ac:dyDescent="0.2">
      <c r="A3917" s="3">
        <v>2067</v>
      </c>
      <c r="B3917" s="3" t="s">
        <v>4232</v>
      </c>
      <c r="C3917" s="3" t="s">
        <v>4227</v>
      </c>
      <c r="D3917" s="3" t="s">
        <v>4180</v>
      </c>
    </row>
    <row r="3918" spans="1:4" x14ac:dyDescent="0.2">
      <c r="A3918" s="3">
        <v>2072</v>
      </c>
      <c r="B3918" s="3" t="s">
        <v>4233</v>
      </c>
      <c r="C3918" s="3" t="s">
        <v>4234</v>
      </c>
      <c r="D3918" s="3" t="s">
        <v>4180</v>
      </c>
    </row>
    <row r="3919" spans="1:4" x14ac:dyDescent="0.2">
      <c r="A3919" s="3">
        <v>2074</v>
      </c>
      <c r="B3919" s="3" t="s">
        <v>4235</v>
      </c>
      <c r="C3919" s="3" t="s">
        <v>4236</v>
      </c>
      <c r="D3919" s="3" t="s">
        <v>4180</v>
      </c>
    </row>
    <row r="3920" spans="1:4" x14ac:dyDescent="0.2">
      <c r="A3920" s="3">
        <v>2075</v>
      </c>
      <c r="B3920" s="3" t="s">
        <v>4237</v>
      </c>
      <c r="C3920" s="3" t="s">
        <v>4236</v>
      </c>
      <c r="D3920" s="3" t="s">
        <v>4180</v>
      </c>
    </row>
    <row r="3921" spans="1:4" x14ac:dyDescent="0.2">
      <c r="A3921" s="3">
        <v>2075</v>
      </c>
      <c r="B3921" s="3" t="s">
        <v>4238</v>
      </c>
      <c r="C3921" s="3" t="s">
        <v>4236</v>
      </c>
      <c r="D3921" s="3" t="s">
        <v>4180</v>
      </c>
    </row>
    <row r="3922" spans="1:4" x14ac:dyDescent="0.2">
      <c r="A3922" s="3">
        <v>2037</v>
      </c>
      <c r="B3922" s="3" t="s">
        <v>4239</v>
      </c>
      <c r="C3922" s="3" t="s">
        <v>4240</v>
      </c>
      <c r="D3922" s="3" t="s">
        <v>4180</v>
      </c>
    </row>
    <row r="3923" spans="1:4" x14ac:dyDescent="0.2">
      <c r="A3923" s="3">
        <v>2043</v>
      </c>
      <c r="B3923" s="3" t="s">
        <v>4241</v>
      </c>
      <c r="C3923" s="3" t="s">
        <v>4240</v>
      </c>
      <c r="D3923" s="3" t="s">
        <v>4180</v>
      </c>
    </row>
    <row r="3924" spans="1:4" x14ac:dyDescent="0.2">
      <c r="A3924" s="3">
        <v>2046</v>
      </c>
      <c r="B3924" s="3" t="s">
        <v>4242</v>
      </c>
      <c r="C3924" s="3" t="s">
        <v>4240</v>
      </c>
      <c r="D3924" s="3" t="s">
        <v>4180</v>
      </c>
    </row>
    <row r="3925" spans="1:4" x14ac:dyDescent="0.2">
      <c r="A3925" s="3">
        <v>2052</v>
      </c>
      <c r="B3925" s="3" t="s">
        <v>4243</v>
      </c>
      <c r="C3925" s="3" t="s">
        <v>4240</v>
      </c>
      <c r="D3925" s="3" t="s">
        <v>4180</v>
      </c>
    </row>
    <row r="3926" spans="1:4" x14ac:dyDescent="0.2">
      <c r="A3926" s="3">
        <v>2052</v>
      </c>
      <c r="B3926" s="3" t="s">
        <v>4244</v>
      </c>
      <c r="C3926" s="3" t="s">
        <v>4240</v>
      </c>
      <c r="D3926" s="3" t="s">
        <v>4180</v>
      </c>
    </row>
    <row r="3927" spans="1:4" x14ac:dyDescent="0.2">
      <c r="A3927" s="3">
        <v>2053</v>
      </c>
      <c r="B3927" s="3" t="s">
        <v>4245</v>
      </c>
      <c r="C3927" s="3" t="s">
        <v>4240</v>
      </c>
      <c r="D3927" s="3" t="s">
        <v>4180</v>
      </c>
    </row>
    <row r="3928" spans="1:4" x14ac:dyDescent="0.2">
      <c r="A3928" s="3">
        <v>2054</v>
      </c>
      <c r="B3928" s="3" t="s">
        <v>4246</v>
      </c>
      <c r="C3928" s="3" t="s">
        <v>4240</v>
      </c>
      <c r="D3928" s="3" t="s">
        <v>4180</v>
      </c>
    </row>
    <row r="3929" spans="1:4" x14ac:dyDescent="0.2">
      <c r="A3929" s="3">
        <v>2054</v>
      </c>
      <c r="B3929" s="3" t="s">
        <v>4247</v>
      </c>
      <c r="C3929" s="3" t="s">
        <v>4240</v>
      </c>
      <c r="D3929" s="3" t="s">
        <v>4180</v>
      </c>
    </row>
    <row r="3930" spans="1:4" x14ac:dyDescent="0.2">
      <c r="A3930" s="3">
        <v>2056</v>
      </c>
      <c r="B3930" s="3" t="s">
        <v>4248</v>
      </c>
      <c r="C3930" s="3" t="s">
        <v>4240</v>
      </c>
      <c r="D3930" s="3" t="s">
        <v>4180</v>
      </c>
    </row>
    <row r="3931" spans="1:4" x14ac:dyDescent="0.2">
      <c r="A3931" s="3">
        <v>2057</v>
      </c>
      <c r="B3931" s="3" t="s">
        <v>4249</v>
      </c>
      <c r="C3931" s="3" t="s">
        <v>4240</v>
      </c>
      <c r="D3931" s="3" t="s">
        <v>4180</v>
      </c>
    </row>
    <row r="3932" spans="1:4" x14ac:dyDescent="0.2">
      <c r="A3932" s="3">
        <v>2058</v>
      </c>
      <c r="B3932" s="3" t="s">
        <v>4250</v>
      </c>
      <c r="C3932" s="3" t="s">
        <v>4240</v>
      </c>
      <c r="D3932" s="3" t="s">
        <v>4180</v>
      </c>
    </row>
    <row r="3933" spans="1:4" x14ac:dyDescent="0.2">
      <c r="A3933" s="3">
        <v>2063</v>
      </c>
      <c r="B3933" s="3" t="s">
        <v>4251</v>
      </c>
      <c r="C3933" s="3" t="s">
        <v>4240</v>
      </c>
      <c r="D3933" s="3" t="s">
        <v>4180</v>
      </c>
    </row>
    <row r="3934" spans="1:4" x14ac:dyDescent="0.2">
      <c r="A3934" s="3">
        <v>2063</v>
      </c>
      <c r="B3934" s="3" t="s">
        <v>4252</v>
      </c>
      <c r="C3934" s="3" t="s">
        <v>4240</v>
      </c>
      <c r="D3934" s="3" t="s">
        <v>4180</v>
      </c>
    </row>
    <row r="3935" spans="1:4" x14ac:dyDescent="0.2">
      <c r="A3935" s="3">
        <v>2063</v>
      </c>
      <c r="B3935" s="3" t="s">
        <v>4253</v>
      </c>
      <c r="C3935" s="3" t="s">
        <v>4240</v>
      </c>
      <c r="D3935" s="3" t="s">
        <v>4180</v>
      </c>
    </row>
    <row r="3936" spans="1:4" x14ac:dyDescent="0.2">
      <c r="A3936" s="3">
        <v>2063</v>
      </c>
      <c r="B3936" s="3" t="s">
        <v>4254</v>
      </c>
      <c r="C3936" s="3" t="s">
        <v>4240</v>
      </c>
      <c r="D3936" s="3" t="s">
        <v>4180</v>
      </c>
    </row>
    <row r="3937" spans="1:4" x14ac:dyDescent="0.2">
      <c r="A3937" s="3">
        <v>2065</v>
      </c>
      <c r="B3937" s="3" t="s">
        <v>4255</v>
      </c>
      <c r="C3937" s="3" t="s">
        <v>4240</v>
      </c>
      <c r="D3937" s="3" t="s">
        <v>4180</v>
      </c>
    </row>
    <row r="3938" spans="1:4" x14ac:dyDescent="0.2">
      <c r="A3938" s="3">
        <v>2206</v>
      </c>
      <c r="B3938" s="3" t="s">
        <v>4256</v>
      </c>
      <c r="C3938" s="3" t="s">
        <v>4240</v>
      </c>
      <c r="D3938" s="3" t="s">
        <v>4180</v>
      </c>
    </row>
    <row r="3939" spans="1:4" x14ac:dyDescent="0.2">
      <c r="A3939" s="3">
        <v>2207</v>
      </c>
      <c r="B3939" s="3" t="s">
        <v>4257</v>
      </c>
      <c r="C3939" s="3" t="s">
        <v>4240</v>
      </c>
      <c r="D3939" s="3" t="s">
        <v>4180</v>
      </c>
    </row>
    <row r="3940" spans="1:4" x14ac:dyDescent="0.2">
      <c r="A3940" s="3">
        <v>2208</v>
      </c>
      <c r="B3940" s="3" t="s">
        <v>4258</v>
      </c>
      <c r="C3940" s="3" t="s">
        <v>4240</v>
      </c>
      <c r="D3940" s="3" t="s">
        <v>4180</v>
      </c>
    </row>
    <row r="3941" spans="1:4" x14ac:dyDescent="0.2">
      <c r="A3941" s="3">
        <v>2117</v>
      </c>
      <c r="B3941" s="3" t="s">
        <v>4259</v>
      </c>
      <c r="C3941" s="3" t="s">
        <v>4259</v>
      </c>
      <c r="D3941" s="3" t="s">
        <v>4180</v>
      </c>
    </row>
    <row r="3942" spans="1:4" x14ac:dyDescent="0.2">
      <c r="A3942" s="3">
        <v>2126</v>
      </c>
      <c r="B3942" s="3" t="s">
        <v>4260</v>
      </c>
      <c r="C3942" s="3" t="s">
        <v>4260</v>
      </c>
      <c r="D3942" s="3" t="s">
        <v>4180</v>
      </c>
    </row>
    <row r="3943" spans="1:4" x14ac:dyDescent="0.2">
      <c r="A3943" s="3">
        <v>2103</v>
      </c>
      <c r="B3943" s="3" t="s">
        <v>4261</v>
      </c>
      <c r="C3943" s="3" t="s">
        <v>4262</v>
      </c>
      <c r="D3943" s="3" t="s">
        <v>4180</v>
      </c>
    </row>
    <row r="3944" spans="1:4" x14ac:dyDescent="0.2">
      <c r="A3944" s="3">
        <v>2105</v>
      </c>
      <c r="B3944" s="3" t="s">
        <v>4263</v>
      </c>
      <c r="C3944" s="3" t="s">
        <v>4262</v>
      </c>
      <c r="D3944" s="3" t="s">
        <v>4180</v>
      </c>
    </row>
    <row r="3945" spans="1:4" x14ac:dyDescent="0.2">
      <c r="A3945" s="3">
        <v>2108</v>
      </c>
      <c r="B3945" s="3" t="s">
        <v>4264</v>
      </c>
      <c r="C3945" s="3" t="s">
        <v>4262</v>
      </c>
      <c r="D3945" s="3" t="s">
        <v>4180</v>
      </c>
    </row>
    <row r="3946" spans="1:4" x14ac:dyDescent="0.2">
      <c r="A3946" s="3">
        <v>2112</v>
      </c>
      <c r="B3946" s="3" t="s">
        <v>4265</v>
      </c>
      <c r="C3946" s="3" t="s">
        <v>4262</v>
      </c>
      <c r="D3946" s="3" t="s">
        <v>4180</v>
      </c>
    </row>
    <row r="3947" spans="1:4" x14ac:dyDescent="0.2">
      <c r="A3947" s="3">
        <v>2113</v>
      </c>
      <c r="B3947" s="3" t="s">
        <v>4266</v>
      </c>
      <c r="C3947" s="3" t="s">
        <v>4262</v>
      </c>
      <c r="D3947" s="3" t="s">
        <v>4180</v>
      </c>
    </row>
    <row r="3948" spans="1:4" x14ac:dyDescent="0.2">
      <c r="A3948" s="3">
        <v>2114</v>
      </c>
      <c r="B3948" s="3" t="s">
        <v>4267</v>
      </c>
      <c r="C3948" s="3" t="s">
        <v>4262</v>
      </c>
      <c r="D3948" s="3" t="s">
        <v>4180</v>
      </c>
    </row>
    <row r="3949" spans="1:4" x14ac:dyDescent="0.2">
      <c r="A3949" s="3">
        <v>2115</v>
      </c>
      <c r="B3949" s="3" t="s">
        <v>4268</v>
      </c>
      <c r="C3949" s="3" t="s">
        <v>4262</v>
      </c>
      <c r="D3949" s="3" t="s">
        <v>4180</v>
      </c>
    </row>
    <row r="3950" spans="1:4" x14ac:dyDescent="0.2">
      <c r="A3950" s="3">
        <v>2116</v>
      </c>
      <c r="B3950" s="3" t="s">
        <v>4269</v>
      </c>
      <c r="C3950" s="3" t="s">
        <v>4262</v>
      </c>
      <c r="D3950" s="3" t="s">
        <v>4180</v>
      </c>
    </row>
    <row r="3951" spans="1:4" x14ac:dyDescent="0.2">
      <c r="A3951" s="3">
        <v>2123</v>
      </c>
      <c r="B3951" s="3" t="s">
        <v>4270</v>
      </c>
      <c r="C3951" s="3" t="s">
        <v>4262</v>
      </c>
      <c r="D3951" s="3" t="s">
        <v>4180</v>
      </c>
    </row>
    <row r="3952" spans="1:4" x14ac:dyDescent="0.2">
      <c r="A3952" s="3">
        <v>2124</v>
      </c>
      <c r="B3952" s="3" t="s">
        <v>4271</v>
      </c>
      <c r="C3952" s="3" t="s">
        <v>4262</v>
      </c>
      <c r="D3952" s="3" t="s">
        <v>4180</v>
      </c>
    </row>
    <row r="3953" spans="1:4" x14ac:dyDescent="0.2">
      <c r="A3953" s="3">
        <v>2127</v>
      </c>
      <c r="B3953" s="3" t="s">
        <v>4272</v>
      </c>
      <c r="C3953" s="3" t="s">
        <v>4262</v>
      </c>
      <c r="D3953" s="3" t="s">
        <v>4180</v>
      </c>
    </row>
    <row r="3954" spans="1:4" x14ac:dyDescent="0.2">
      <c r="A3954" s="3">
        <v>1288</v>
      </c>
      <c r="B3954" s="3" t="s">
        <v>4273</v>
      </c>
      <c r="C3954" s="3" t="s">
        <v>4273</v>
      </c>
      <c r="D3954" s="3" t="s">
        <v>4274</v>
      </c>
    </row>
    <row r="3955" spans="1:4" x14ac:dyDescent="0.2">
      <c r="A3955" s="3">
        <v>1247</v>
      </c>
      <c r="B3955" s="3" t="s">
        <v>4275</v>
      </c>
      <c r="C3955" s="3" t="s">
        <v>4275</v>
      </c>
      <c r="D3955" s="3" t="s">
        <v>4274</v>
      </c>
    </row>
    <row r="3956" spans="1:4" x14ac:dyDescent="0.2">
      <c r="A3956" s="3">
        <v>1237</v>
      </c>
      <c r="B3956" s="3" t="s">
        <v>4276</v>
      </c>
      <c r="C3956" s="3" t="s">
        <v>4276</v>
      </c>
      <c r="D3956" s="3" t="s">
        <v>4274</v>
      </c>
    </row>
    <row r="3957" spans="1:4" x14ac:dyDescent="0.2">
      <c r="A3957" s="3">
        <v>1285</v>
      </c>
      <c r="B3957" s="3" t="s">
        <v>4277</v>
      </c>
      <c r="C3957" s="3" t="s">
        <v>4278</v>
      </c>
      <c r="D3957" s="3" t="s">
        <v>4274</v>
      </c>
    </row>
    <row r="3958" spans="1:4" x14ac:dyDescent="0.2">
      <c r="A3958" s="3">
        <v>1257</v>
      </c>
      <c r="B3958" s="3" t="s">
        <v>4279</v>
      </c>
      <c r="C3958" s="3" t="s">
        <v>4280</v>
      </c>
      <c r="D3958" s="3" t="s">
        <v>4274</v>
      </c>
    </row>
    <row r="3959" spans="1:4" x14ac:dyDescent="0.2">
      <c r="A3959" s="3">
        <v>1293</v>
      </c>
      <c r="B3959" s="3" t="s">
        <v>4281</v>
      </c>
      <c r="C3959" s="3" t="s">
        <v>4281</v>
      </c>
      <c r="D3959" s="3" t="s">
        <v>4274</v>
      </c>
    </row>
    <row r="3960" spans="1:4" x14ac:dyDescent="0.2">
      <c r="A3960" s="3">
        <v>1233</v>
      </c>
      <c r="B3960" s="3" t="s">
        <v>4282</v>
      </c>
      <c r="C3960" s="3" t="s">
        <v>4282</v>
      </c>
      <c r="D3960" s="3" t="s">
        <v>4274</v>
      </c>
    </row>
    <row r="3961" spans="1:4" x14ac:dyDescent="0.2">
      <c r="A3961" s="3">
        <v>1227</v>
      </c>
      <c r="B3961" s="3" t="s">
        <v>4283</v>
      </c>
      <c r="C3961" s="3" t="s">
        <v>4284</v>
      </c>
      <c r="D3961" s="3" t="s">
        <v>4274</v>
      </c>
    </row>
    <row r="3962" spans="1:4" x14ac:dyDescent="0.2">
      <c r="A3962" s="3">
        <v>1236</v>
      </c>
      <c r="B3962" s="3" t="s">
        <v>4285</v>
      </c>
      <c r="C3962" s="3" t="s">
        <v>4285</v>
      </c>
      <c r="D3962" s="3" t="s">
        <v>4274</v>
      </c>
    </row>
    <row r="3963" spans="1:4" x14ac:dyDescent="0.2">
      <c r="A3963" s="3">
        <v>1298</v>
      </c>
      <c r="B3963" s="3" t="s">
        <v>4286</v>
      </c>
      <c r="C3963" s="3" t="s">
        <v>4286</v>
      </c>
      <c r="D3963" s="3" t="s">
        <v>4274</v>
      </c>
    </row>
    <row r="3964" spans="1:4" x14ac:dyDescent="0.2">
      <c r="A3964" s="3">
        <v>1298</v>
      </c>
      <c r="B3964" s="3" t="s">
        <v>4286</v>
      </c>
      <c r="C3964" s="3" t="s">
        <v>4286</v>
      </c>
      <c r="D3964" s="3" t="s">
        <v>4274</v>
      </c>
    </row>
    <row r="3965" spans="1:4" x14ac:dyDescent="0.2">
      <c r="A3965" s="3">
        <v>1284</v>
      </c>
      <c r="B3965" s="3" t="s">
        <v>4287</v>
      </c>
      <c r="C3965" s="3" t="s">
        <v>4287</v>
      </c>
      <c r="D3965" s="3" t="s">
        <v>4274</v>
      </c>
    </row>
    <row r="3966" spans="1:4" x14ac:dyDescent="0.2">
      <c r="A3966" s="3">
        <v>1224</v>
      </c>
      <c r="B3966" s="3" t="s">
        <v>4288</v>
      </c>
      <c r="C3966" s="3" t="s">
        <v>4288</v>
      </c>
      <c r="D3966" s="3" t="s">
        <v>4274</v>
      </c>
    </row>
    <row r="3967" spans="1:4" x14ac:dyDescent="0.2">
      <c r="A3967" s="3">
        <v>1231</v>
      </c>
      <c r="B3967" s="3" t="s">
        <v>4289</v>
      </c>
      <c r="C3967" s="3" t="s">
        <v>4288</v>
      </c>
      <c r="D3967" s="3" t="s">
        <v>4274</v>
      </c>
    </row>
    <row r="3968" spans="1:4" x14ac:dyDescent="0.2">
      <c r="A3968" s="3">
        <v>1225</v>
      </c>
      <c r="B3968" s="3" t="s">
        <v>4290</v>
      </c>
      <c r="C3968" s="3" t="s">
        <v>4290</v>
      </c>
      <c r="D3968" s="3" t="s">
        <v>4274</v>
      </c>
    </row>
    <row r="3969" spans="1:4" x14ac:dyDescent="0.2">
      <c r="A3969" s="3">
        <v>1244</v>
      </c>
      <c r="B3969" s="3" t="s">
        <v>4291</v>
      </c>
      <c r="C3969" s="3" t="s">
        <v>4291</v>
      </c>
      <c r="D3969" s="3" t="s">
        <v>4274</v>
      </c>
    </row>
    <row r="3970" spans="1:4" x14ac:dyDescent="0.2">
      <c r="A3970" s="3">
        <v>1239</v>
      </c>
      <c r="B3970" s="3" t="s">
        <v>4292</v>
      </c>
      <c r="C3970" s="3" t="s">
        <v>4293</v>
      </c>
      <c r="D3970" s="3" t="s">
        <v>4274</v>
      </c>
    </row>
    <row r="3971" spans="1:4" x14ac:dyDescent="0.2">
      <c r="A3971" s="3">
        <v>1222</v>
      </c>
      <c r="B3971" s="3" t="s">
        <v>4294</v>
      </c>
      <c r="C3971" s="3" t="s">
        <v>4295</v>
      </c>
      <c r="D3971" s="3" t="s">
        <v>4274</v>
      </c>
    </row>
    <row r="3972" spans="1:4" x14ac:dyDescent="0.2">
      <c r="A3972" s="3">
        <v>1245</v>
      </c>
      <c r="B3972" s="3" t="s">
        <v>4295</v>
      </c>
      <c r="C3972" s="3" t="s">
        <v>4295</v>
      </c>
      <c r="D3972" s="3" t="s">
        <v>4274</v>
      </c>
    </row>
    <row r="3973" spans="1:4" x14ac:dyDescent="0.2">
      <c r="A3973" s="3">
        <v>1223</v>
      </c>
      <c r="B3973" s="3" t="s">
        <v>4296</v>
      </c>
      <c r="C3973" s="3" t="s">
        <v>4296</v>
      </c>
      <c r="D3973" s="3" t="s">
        <v>4274</v>
      </c>
    </row>
    <row r="3974" spans="1:4" x14ac:dyDescent="0.2">
      <c r="A3974" s="3">
        <v>1232</v>
      </c>
      <c r="B3974" s="3" t="s">
        <v>4297</v>
      </c>
      <c r="C3974" s="3" t="s">
        <v>4297</v>
      </c>
      <c r="D3974" s="3" t="s">
        <v>4274</v>
      </c>
    </row>
    <row r="3975" spans="1:4" x14ac:dyDescent="0.2">
      <c r="A3975" s="3">
        <v>1246</v>
      </c>
      <c r="B3975" s="3" t="s">
        <v>4298</v>
      </c>
      <c r="C3975" s="3" t="s">
        <v>4299</v>
      </c>
      <c r="D3975" s="3" t="s">
        <v>4274</v>
      </c>
    </row>
    <row r="3976" spans="1:4" x14ac:dyDescent="0.2">
      <c r="A3976" s="3">
        <v>1283</v>
      </c>
      <c r="B3976" s="3" t="s">
        <v>4300</v>
      </c>
      <c r="C3976" s="3" t="s">
        <v>4301</v>
      </c>
      <c r="D3976" s="3" t="s">
        <v>4274</v>
      </c>
    </row>
    <row r="3977" spans="1:4" x14ac:dyDescent="0.2">
      <c r="A3977" s="3">
        <v>1283</v>
      </c>
      <c r="B3977" s="3" t="s">
        <v>4301</v>
      </c>
      <c r="C3977" s="3" t="s">
        <v>4301</v>
      </c>
      <c r="D3977" s="3" t="s">
        <v>4274</v>
      </c>
    </row>
    <row r="3978" spans="1:4" x14ac:dyDescent="0.2">
      <c r="A3978" s="3">
        <v>1201</v>
      </c>
      <c r="B3978" s="3" t="s">
        <v>4302</v>
      </c>
      <c r="C3978" s="3" t="s">
        <v>4302</v>
      </c>
      <c r="D3978" s="3" t="s">
        <v>4274</v>
      </c>
    </row>
    <row r="3979" spans="1:4" x14ac:dyDescent="0.2">
      <c r="A3979" s="3">
        <v>1202</v>
      </c>
      <c r="B3979" s="3" t="s">
        <v>4302</v>
      </c>
      <c r="C3979" s="3" t="s">
        <v>4302</v>
      </c>
      <c r="D3979" s="3" t="s">
        <v>4274</v>
      </c>
    </row>
    <row r="3980" spans="1:4" x14ac:dyDescent="0.2">
      <c r="A3980" s="3">
        <v>1203</v>
      </c>
      <c r="B3980" s="3" t="s">
        <v>4302</v>
      </c>
      <c r="C3980" s="3" t="s">
        <v>4302</v>
      </c>
      <c r="D3980" s="3" t="s">
        <v>4274</v>
      </c>
    </row>
    <row r="3981" spans="1:4" x14ac:dyDescent="0.2">
      <c r="A3981" s="3">
        <v>1204</v>
      </c>
      <c r="B3981" s="3" t="s">
        <v>4302</v>
      </c>
      <c r="C3981" s="3" t="s">
        <v>4302</v>
      </c>
      <c r="D3981" s="3" t="s">
        <v>4274</v>
      </c>
    </row>
    <row r="3982" spans="1:4" x14ac:dyDescent="0.2">
      <c r="A3982" s="3">
        <v>1205</v>
      </c>
      <c r="B3982" s="3" t="s">
        <v>4302</v>
      </c>
      <c r="C3982" s="3" t="s">
        <v>4302</v>
      </c>
      <c r="D3982" s="3" t="s">
        <v>4274</v>
      </c>
    </row>
    <row r="3983" spans="1:4" x14ac:dyDescent="0.2">
      <c r="A3983" s="3">
        <v>1206</v>
      </c>
      <c r="B3983" s="3" t="s">
        <v>4302</v>
      </c>
      <c r="C3983" s="3" t="s">
        <v>4302</v>
      </c>
      <c r="D3983" s="3" t="s">
        <v>4274</v>
      </c>
    </row>
    <row r="3984" spans="1:4" x14ac:dyDescent="0.2">
      <c r="A3984" s="3">
        <v>1207</v>
      </c>
      <c r="B3984" s="3" t="s">
        <v>4302</v>
      </c>
      <c r="C3984" s="3" t="s">
        <v>4302</v>
      </c>
      <c r="D3984" s="3" t="s">
        <v>4274</v>
      </c>
    </row>
    <row r="3985" spans="1:4" x14ac:dyDescent="0.2">
      <c r="A3985" s="3">
        <v>1208</v>
      </c>
      <c r="B3985" s="3" t="s">
        <v>4302</v>
      </c>
      <c r="C3985" s="3" t="s">
        <v>4302</v>
      </c>
      <c r="D3985" s="3" t="s">
        <v>4274</v>
      </c>
    </row>
    <row r="3986" spans="1:4" x14ac:dyDescent="0.2">
      <c r="A3986" s="3">
        <v>1209</v>
      </c>
      <c r="B3986" s="3" t="s">
        <v>4302</v>
      </c>
      <c r="C3986" s="3" t="s">
        <v>4302</v>
      </c>
      <c r="D3986" s="3" t="s">
        <v>4274</v>
      </c>
    </row>
    <row r="3987" spans="1:4" x14ac:dyDescent="0.2">
      <c r="A3987" s="3">
        <v>1227</v>
      </c>
      <c r="B3987" s="3" t="s">
        <v>4303</v>
      </c>
      <c r="C3987" s="3" t="s">
        <v>4302</v>
      </c>
      <c r="D3987" s="3" t="s">
        <v>4274</v>
      </c>
    </row>
    <row r="3988" spans="1:4" x14ac:dyDescent="0.2">
      <c r="A3988" s="3">
        <v>1294</v>
      </c>
      <c r="B3988" s="3" t="s">
        <v>4304</v>
      </c>
      <c r="C3988" s="3" t="s">
        <v>4304</v>
      </c>
      <c r="D3988" s="3" t="s">
        <v>4274</v>
      </c>
    </row>
    <row r="3989" spans="1:4" x14ac:dyDescent="0.2">
      <c r="A3989" s="3">
        <v>1215</v>
      </c>
      <c r="B3989" s="3" t="s">
        <v>4302</v>
      </c>
      <c r="C3989" s="3" t="s">
        <v>4305</v>
      </c>
      <c r="D3989" s="3" t="s">
        <v>4274</v>
      </c>
    </row>
    <row r="3990" spans="1:4" x14ac:dyDescent="0.2">
      <c r="A3990" s="3">
        <v>1218</v>
      </c>
      <c r="B3990" s="3" t="s">
        <v>4305</v>
      </c>
      <c r="C3990" s="3" t="s">
        <v>4305</v>
      </c>
      <c r="D3990" s="3" t="s">
        <v>4274</v>
      </c>
    </row>
    <row r="3991" spans="1:4" x14ac:dyDescent="0.2">
      <c r="A3991" s="3">
        <v>1251</v>
      </c>
      <c r="B3991" s="3" t="s">
        <v>4306</v>
      </c>
      <c r="C3991" s="3" t="s">
        <v>4306</v>
      </c>
      <c r="D3991" s="3" t="s">
        <v>4274</v>
      </c>
    </row>
    <row r="3992" spans="1:4" x14ac:dyDescent="0.2">
      <c r="A3992" s="3">
        <v>1248</v>
      </c>
      <c r="B3992" s="3" t="s">
        <v>4307</v>
      </c>
      <c r="C3992" s="3" t="s">
        <v>4307</v>
      </c>
      <c r="D3992" s="3" t="s">
        <v>4274</v>
      </c>
    </row>
    <row r="3993" spans="1:4" x14ac:dyDescent="0.2">
      <c r="A3993" s="3">
        <v>1254</v>
      </c>
      <c r="B3993" s="3" t="s">
        <v>4308</v>
      </c>
      <c r="C3993" s="3" t="s">
        <v>4308</v>
      </c>
      <c r="D3993" s="3" t="s">
        <v>4274</v>
      </c>
    </row>
    <row r="3994" spans="1:4" x14ac:dyDescent="0.2">
      <c r="A3994" s="3">
        <v>1287</v>
      </c>
      <c r="B3994" s="3" t="s">
        <v>4309</v>
      </c>
      <c r="C3994" s="3" t="s">
        <v>4309</v>
      </c>
      <c r="D3994" s="3" t="s">
        <v>4274</v>
      </c>
    </row>
    <row r="3995" spans="1:4" x14ac:dyDescent="0.2">
      <c r="A3995" s="3">
        <v>1212</v>
      </c>
      <c r="B3995" s="3" t="s">
        <v>4310</v>
      </c>
      <c r="C3995" s="3" t="s">
        <v>4311</v>
      </c>
      <c r="D3995" s="3" t="s">
        <v>4274</v>
      </c>
    </row>
    <row r="3996" spans="1:4" x14ac:dyDescent="0.2">
      <c r="A3996" s="3">
        <v>1213</v>
      </c>
      <c r="B3996" s="3" t="s">
        <v>4312</v>
      </c>
      <c r="C3996" s="3" t="s">
        <v>4311</v>
      </c>
      <c r="D3996" s="3" t="s">
        <v>4274</v>
      </c>
    </row>
    <row r="3997" spans="1:4" x14ac:dyDescent="0.2">
      <c r="A3997" s="3">
        <v>1252</v>
      </c>
      <c r="B3997" s="3" t="s">
        <v>4313</v>
      </c>
      <c r="C3997" s="3" t="s">
        <v>4313</v>
      </c>
      <c r="D3997" s="3" t="s">
        <v>4274</v>
      </c>
    </row>
    <row r="3998" spans="1:4" x14ac:dyDescent="0.2">
      <c r="A3998" s="3">
        <v>1216</v>
      </c>
      <c r="B3998" s="3" t="s">
        <v>4314</v>
      </c>
      <c r="C3998" s="3" t="s">
        <v>4315</v>
      </c>
      <c r="D3998" s="3" t="s">
        <v>4274</v>
      </c>
    </row>
    <row r="3999" spans="1:4" x14ac:dyDescent="0.2">
      <c r="A3999" s="3">
        <v>1217</v>
      </c>
      <c r="B3999" s="3" t="s">
        <v>4315</v>
      </c>
      <c r="C3999" s="3" t="s">
        <v>4315</v>
      </c>
      <c r="D3999" s="3" t="s">
        <v>4274</v>
      </c>
    </row>
    <row r="4000" spans="1:4" x14ac:dyDescent="0.2">
      <c r="A4000" s="3">
        <v>1213</v>
      </c>
      <c r="B4000" s="3" t="s">
        <v>4316</v>
      </c>
      <c r="C4000" s="3" t="s">
        <v>4316</v>
      </c>
      <c r="D4000" s="3" t="s">
        <v>4274</v>
      </c>
    </row>
    <row r="4001" spans="1:4" x14ac:dyDescent="0.2">
      <c r="A4001" s="3">
        <v>1258</v>
      </c>
      <c r="B4001" s="3" t="s">
        <v>4317</v>
      </c>
      <c r="C4001" s="3" t="s">
        <v>4318</v>
      </c>
      <c r="D4001" s="3" t="s">
        <v>4274</v>
      </c>
    </row>
    <row r="4002" spans="1:4" x14ac:dyDescent="0.2">
      <c r="A4002" s="3">
        <v>1228</v>
      </c>
      <c r="B4002" s="3" t="s">
        <v>4319</v>
      </c>
      <c r="C4002" s="3" t="s">
        <v>4319</v>
      </c>
      <c r="D4002" s="3" t="s">
        <v>4274</v>
      </c>
    </row>
    <row r="4003" spans="1:4" x14ac:dyDescent="0.2">
      <c r="A4003" s="3">
        <v>1292</v>
      </c>
      <c r="B4003" s="3" t="s">
        <v>4320</v>
      </c>
      <c r="C4003" s="3" t="s">
        <v>4321</v>
      </c>
      <c r="D4003" s="3" t="s">
        <v>4274</v>
      </c>
    </row>
    <row r="4004" spans="1:4" x14ac:dyDescent="0.2">
      <c r="A4004" s="3">
        <v>1243</v>
      </c>
      <c r="B4004" s="3" t="s">
        <v>4322</v>
      </c>
      <c r="C4004" s="3" t="s">
        <v>4322</v>
      </c>
      <c r="D4004" s="3" t="s">
        <v>4274</v>
      </c>
    </row>
    <row r="4005" spans="1:4" x14ac:dyDescent="0.2">
      <c r="A4005" s="3">
        <v>1241</v>
      </c>
      <c r="B4005" s="3" t="s">
        <v>4323</v>
      </c>
      <c r="C4005" s="3" t="s">
        <v>4323</v>
      </c>
      <c r="D4005" s="3" t="s">
        <v>4274</v>
      </c>
    </row>
    <row r="4006" spans="1:4" x14ac:dyDescent="0.2">
      <c r="A4006" s="3">
        <v>1281</v>
      </c>
      <c r="B4006" s="3" t="s">
        <v>4324</v>
      </c>
      <c r="C4006" s="3" t="s">
        <v>4324</v>
      </c>
      <c r="D4006" s="3" t="s">
        <v>4274</v>
      </c>
    </row>
    <row r="4007" spans="1:4" x14ac:dyDescent="0.2">
      <c r="A4007" s="3">
        <v>1242</v>
      </c>
      <c r="B4007" s="3" t="s">
        <v>4325</v>
      </c>
      <c r="C4007" s="3" t="s">
        <v>4325</v>
      </c>
      <c r="D4007" s="3" t="s">
        <v>4274</v>
      </c>
    </row>
    <row r="4008" spans="1:4" x14ac:dyDescent="0.2">
      <c r="A4008" s="3">
        <v>1286</v>
      </c>
      <c r="B4008" s="3" t="s">
        <v>4326</v>
      </c>
      <c r="C4008" s="3" t="s">
        <v>4326</v>
      </c>
      <c r="D4008" s="3" t="s">
        <v>4274</v>
      </c>
    </row>
    <row r="4009" spans="1:4" x14ac:dyDescent="0.2">
      <c r="A4009" s="3">
        <v>1226</v>
      </c>
      <c r="B4009" s="3" t="s">
        <v>4327</v>
      </c>
      <c r="C4009" s="3" t="s">
        <v>4327</v>
      </c>
      <c r="D4009" s="3" t="s">
        <v>4274</v>
      </c>
    </row>
    <row r="4010" spans="1:4" x14ac:dyDescent="0.2">
      <c r="A4010" s="3">
        <v>1256</v>
      </c>
      <c r="B4010" s="3" t="s">
        <v>4328</v>
      </c>
      <c r="C4010" s="3" t="s">
        <v>4328</v>
      </c>
      <c r="D4010" s="3" t="s">
        <v>4274</v>
      </c>
    </row>
    <row r="4011" spans="1:4" x14ac:dyDescent="0.2">
      <c r="A4011" s="3">
        <v>1253</v>
      </c>
      <c r="B4011" s="3" t="s">
        <v>4329</v>
      </c>
      <c r="C4011" s="3" t="s">
        <v>4329</v>
      </c>
      <c r="D4011" s="3" t="s">
        <v>4274</v>
      </c>
    </row>
    <row r="4012" spans="1:4" x14ac:dyDescent="0.2">
      <c r="A4012" s="3">
        <v>1214</v>
      </c>
      <c r="B4012" s="3" t="s">
        <v>4330</v>
      </c>
      <c r="C4012" s="3" t="s">
        <v>4330</v>
      </c>
      <c r="D4012" s="3" t="s">
        <v>4274</v>
      </c>
    </row>
    <row r="4013" spans="1:4" x14ac:dyDescent="0.2">
      <c r="A4013" s="3">
        <v>1219</v>
      </c>
      <c r="B4013" s="3" t="s">
        <v>4331</v>
      </c>
      <c r="C4013" s="3" t="s">
        <v>4330</v>
      </c>
      <c r="D4013" s="3" t="s">
        <v>4274</v>
      </c>
    </row>
    <row r="4014" spans="1:4" x14ac:dyDescent="0.2">
      <c r="A4014" s="3">
        <v>1219</v>
      </c>
      <c r="B4014" s="3" t="s">
        <v>4332</v>
      </c>
      <c r="C4014" s="3" t="s">
        <v>4330</v>
      </c>
      <c r="D4014" s="3" t="s">
        <v>4274</v>
      </c>
    </row>
    <row r="4015" spans="1:4" x14ac:dyDescent="0.2">
      <c r="A4015" s="3">
        <v>1219</v>
      </c>
      <c r="B4015" s="3" t="s">
        <v>4333</v>
      </c>
      <c r="C4015" s="3" t="s">
        <v>4330</v>
      </c>
      <c r="D4015" s="3" t="s">
        <v>4274</v>
      </c>
    </row>
    <row r="4016" spans="1:4" x14ac:dyDescent="0.2">
      <c r="A4016" s="3">
        <v>1220</v>
      </c>
      <c r="B4016" s="3" t="s">
        <v>4334</v>
      </c>
      <c r="C4016" s="3" t="s">
        <v>4330</v>
      </c>
      <c r="D4016" s="3" t="s">
        <v>4274</v>
      </c>
    </row>
    <row r="4017" spans="1:4" x14ac:dyDescent="0.2">
      <c r="A4017" s="3">
        <v>1290</v>
      </c>
      <c r="B4017" s="3" t="s">
        <v>4335</v>
      </c>
      <c r="C4017" s="3" t="s">
        <v>4335</v>
      </c>
      <c r="D4017" s="3" t="s">
        <v>4274</v>
      </c>
    </row>
    <row r="4018" spans="1:4" x14ac:dyDescent="0.2">
      <c r="A4018" s="3">
        <v>1234</v>
      </c>
      <c r="B4018" s="3" t="s">
        <v>4336</v>
      </c>
      <c r="C4018" s="3" t="s">
        <v>4337</v>
      </c>
      <c r="D4018" s="3" t="s">
        <v>4274</v>
      </c>
    </row>
    <row r="4019" spans="1:4" x14ac:dyDescent="0.2">
      <c r="A4019" s="3">
        <v>1255</v>
      </c>
      <c r="B4019" s="3" t="s">
        <v>4337</v>
      </c>
      <c r="C4019" s="3" t="s">
        <v>4337</v>
      </c>
      <c r="D4019" s="3" t="s">
        <v>4274</v>
      </c>
    </row>
    <row r="4020" spans="1:4" x14ac:dyDescent="0.2">
      <c r="A4020" s="3">
        <v>2856</v>
      </c>
      <c r="B4020" s="3" t="s">
        <v>4338</v>
      </c>
      <c r="C4020" s="3" t="s">
        <v>4338</v>
      </c>
      <c r="D4020" s="3" t="s">
        <v>4339</v>
      </c>
    </row>
    <row r="4021" spans="1:4" x14ac:dyDescent="0.2">
      <c r="A4021" s="3">
        <v>2857</v>
      </c>
      <c r="B4021" s="3" t="s">
        <v>4340</v>
      </c>
      <c r="C4021" s="3" t="s">
        <v>4338</v>
      </c>
      <c r="D4021" s="3" t="s">
        <v>4339</v>
      </c>
    </row>
    <row r="4022" spans="1:4" x14ac:dyDescent="0.2">
      <c r="A4022" s="3">
        <v>2803</v>
      </c>
      <c r="B4022" s="3" t="s">
        <v>4341</v>
      </c>
      <c r="C4022" s="3" t="s">
        <v>4341</v>
      </c>
      <c r="D4022" s="3" t="s">
        <v>4339</v>
      </c>
    </row>
    <row r="4023" spans="1:4" x14ac:dyDescent="0.2">
      <c r="A4023" s="3">
        <v>2843</v>
      </c>
      <c r="B4023" s="3" t="s">
        <v>4342</v>
      </c>
      <c r="C4023" s="3" t="s">
        <v>4343</v>
      </c>
      <c r="D4023" s="3" t="s">
        <v>4339</v>
      </c>
    </row>
    <row r="4024" spans="1:4" x14ac:dyDescent="0.2">
      <c r="A4024" s="3">
        <v>2825</v>
      </c>
      <c r="B4024" s="3" t="s">
        <v>4344</v>
      </c>
      <c r="C4024" s="3" t="s">
        <v>4344</v>
      </c>
      <c r="D4024" s="3" t="s">
        <v>4339</v>
      </c>
    </row>
    <row r="4025" spans="1:4" x14ac:dyDescent="0.2">
      <c r="A4025" s="3">
        <v>2830</v>
      </c>
      <c r="B4025" s="3" t="s">
        <v>4345</v>
      </c>
      <c r="C4025" s="3" t="s">
        <v>4345</v>
      </c>
      <c r="D4025" s="3" t="s">
        <v>4339</v>
      </c>
    </row>
    <row r="4026" spans="1:4" x14ac:dyDescent="0.2">
      <c r="A4026" s="3">
        <v>2830</v>
      </c>
      <c r="B4026" s="3" t="s">
        <v>4346</v>
      </c>
      <c r="C4026" s="3" t="s">
        <v>4345</v>
      </c>
      <c r="D4026" s="3" t="s">
        <v>4339</v>
      </c>
    </row>
    <row r="4027" spans="1:4" x14ac:dyDescent="0.2">
      <c r="A4027" s="3">
        <v>2832</v>
      </c>
      <c r="B4027" s="3" t="s">
        <v>4347</v>
      </c>
      <c r="C4027" s="3" t="s">
        <v>4345</v>
      </c>
      <c r="D4027" s="3" t="s">
        <v>4339</v>
      </c>
    </row>
    <row r="4028" spans="1:4" x14ac:dyDescent="0.2">
      <c r="A4028" s="3">
        <v>2822</v>
      </c>
      <c r="B4028" s="3" t="s">
        <v>4348</v>
      </c>
      <c r="C4028" s="3" t="s">
        <v>4348</v>
      </c>
      <c r="D4028" s="3" t="s">
        <v>4339</v>
      </c>
    </row>
    <row r="4029" spans="1:4" x14ac:dyDescent="0.2">
      <c r="A4029" s="3">
        <v>2823</v>
      </c>
      <c r="B4029" s="3" t="s">
        <v>4349</v>
      </c>
      <c r="C4029" s="3" t="s">
        <v>4348</v>
      </c>
      <c r="D4029" s="3" t="s">
        <v>4339</v>
      </c>
    </row>
    <row r="4030" spans="1:4" x14ac:dyDescent="0.2">
      <c r="A4030" s="3">
        <v>2852</v>
      </c>
      <c r="B4030" s="3" t="s">
        <v>4350</v>
      </c>
      <c r="C4030" s="3" t="s">
        <v>4350</v>
      </c>
      <c r="D4030" s="3" t="s">
        <v>4339</v>
      </c>
    </row>
    <row r="4031" spans="1:4" x14ac:dyDescent="0.2">
      <c r="A4031" s="3">
        <v>2800</v>
      </c>
      <c r="B4031" s="3" t="s">
        <v>4351</v>
      </c>
      <c r="C4031" s="3" t="s">
        <v>4351</v>
      </c>
      <c r="D4031" s="3" t="s">
        <v>4339</v>
      </c>
    </row>
    <row r="4032" spans="1:4" x14ac:dyDescent="0.2">
      <c r="A4032" s="3">
        <v>2802</v>
      </c>
      <c r="B4032" s="3" t="s">
        <v>4352</v>
      </c>
      <c r="C4032" s="3" t="s">
        <v>4352</v>
      </c>
      <c r="D4032" s="3" t="s">
        <v>4339</v>
      </c>
    </row>
    <row r="4033" spans="1:4" x14ac:dyDescent="0.2">
      <c r="A4033" s="3">
        <v>2813</v>
      </c>
      <c r="B4033" s="3" t="s">
        <v>4353</v>
      </c>
      <c r="C4033" s="3" t="s">
        <v>4353</v>
      </c>
      <c r="D4033" s="3" t="s">
        <v>4339</v>
      </c>
    </row>
    <row r="4034" spans="1:4" x14ac:dyDescent="0.2">
      <c r="A4034" s="3">
        <v>2827</v>
      </c>
      <c r="B4034" s="3" t="s">
        <v>4354</v>
      </c>
      <c r="C4034" s="3" t="s">
        <v>4354</v>
      </c>
      <c r="D4034" s="3" t="s">
        <v>4339</v>
      </c>
    </row>
    <row r="4035" spans="1:4" x14ac:dyDescent="0.2">
      <c r="A4035" s="3">
        <v>2806</v>
      </c>
      <c r="B4035" s="3" t="s">
        <v>4355</v>
      </c>
      <c r="C4035" s="3" t="s">
        <v>4355</v>
      </c>
      <c r="D4035" s="3" t="s">
        <v>4339</v>
      </c>
    </row>
    <row r="4036" spans="1:4" x14ac:dyDescent="0.2">
      <c r="A4036" s="3">
        <v>2812</v>
      </c>
      <c r="B4036" s="3" t="s">
        <v>4356</v>
      </c>
      <c r="C4036" s="3" t="s">
        <v>4356</v>
      </c>
      <c r="D4036" s="3" t="s">
        <v>4339</v>
      </c>
    </row>
    <row r="4037" spans="1:4" x14ac:dyDescent="0.2">
      <c r="A4037" s="3">
        <v>2807</v>
      </c>
      <c r="B4037" s="3" t="s">
        <v>4357</v>
      </c>
      <c r="C4037" s="3" t="s">
        <v>4357</v>
      </c>
      <c r="D4037" s="3" t="s">
        <v>4339</v>
      </c>
    </row>
    <row r="4038" spans="1:4" x14ac:dyDescent="0.2">
      <c r="A4038" s="3">
        <v>2807</v>
      </c>
      <c r="B4038" s="3" t="s">
        <v>4358</v>
      </c>
      <c r="C4038" s="3" t="s">
        <v>4357</v>
      </c>
      <c r="D4038" s="3" t="s">
        <v>4339</v>
      </c>
    </row>
    <row r="4039" spans="1:4" x14ac:dyDescent="0.2">
      <c r="A4039" s="3">
        <v>2842</v>
      </c>
      <c r="B4039" s="3" t="s">
        <v>4359</v>
      </c>
      <c r="C4039" s="3" t="s">
        <v>4359</v>
      </c>
      <c r="D4039" s="3" t="s">
        <v>4339</v>
      </c>
    </row>
    <row r="4040" spans="1:4" x14ac:dyDescent="0.2">
      <c r="A4040" s="3">
        <v>2873</v>
      </c>
      <c r="B4040" s="3" t="s">
        <v>4360</v>
      </c>
      <c r="C4040" s="3" t="s">
        <v>4360</v>
      </c>
      <c r="D4040" s="3" t="s">
        <v>4339</v>
      </c>
    </row>
    <row r="4041" spans="1:4" x14ac:dyDescent="0.2">
      <c r="A4041" s="3">
        <v>2805</v>
      </c>
      <c r="B4041" s="3" t="s">
        <v>4361</v>
      </c>
      <c r="C4041" s="3" t="s">
        <v>4361</v>
      </c>
      <c r="D4041" s="3" t="s">
        <v>4339</v>
      </c>
    </row>
    <row r="4042" spans="1:4" x14ac:dyDescent="0.2">
      <c r="A4042" s="3">
        <v>2853</v>
      </c>
      <c r="B4042" s="3" t="s">
        <v>4362</v>
      </c>
      <c r="C4042" s="3" t="s">
        <v>4363</v>
      </c>
      <c r="D4042" s="3" t="s">
        <v>4339</v>
      </c>
    </row>
    <row r="4043" spans="1:4" x14ac:dyDescent="0.2">
      <c r="A4043" s="3">
        <v>2854</v>
      </c>
      <c r="B4043" s="3" t="s">
        <v>4364</v>
      </c>
      <c r="C4043" s="3" t="s">
        <v>4363</v>
      </c>
      <c r="D4043" s="3" t="s">
        <v>4339</v>
      </c>
    </row>
    <row r="4044" spans="1:4" x14ac:dyDescent="0.2">
      <c r="A4044" s="3">
        <v>2855</v>
      </c>
      <c r="B4044" s="3" t="s">
        <v>4365</v>
      </c>
      <c r="C4044" s="3" t="s">
        <v>4363</v>
      </c>
      <c r="D4044" s="3" t="s">
        <v>4339</v>
      </c>
    </row>
    <row r="4045" spans="1:4" x14ac:dyDescent="0.2">
      <c r="A4045" s="3">
        <v>2863</v>
      </c>
      <c r="B4045" s="3" t="s">
        <v>4366</v>
      </c>
      <c r="C4045" s="3" t="s">
        <v>4363</v>
      </c>
      <c r="D4045" s="3" t="s">
        <v>4339</v>
      </c>
    </row>
    <row r="4046" spans="1:4" x14ac:dyDescent="0.2">
      <c r="A4046" s="3">
        <v>2864</v>
      </c>
      <c r="B4046" s="3" t="s">
        <v>4367</v>
      </c>
      <c r="C4046" s="3" t="s">
        <v>4363</v>
      </c>
      <c r="D4046" s="3" t="s">
        <v>4339</v>
      </c>
    </row>
    <row r="4047" spans="1:4" x14ac:dyDescent="0.2">
      <c r="A4047" s="3">
        <v>2824</v>
      </c>
      <c r="B4047" s="3" t="s">
        <v>4368</v>
      </c>
      <c r="C4047" s="3" t="s">
        <v>4369</v>
      </c>
      <c r="D4047" s="3" t="s">
        <v>4339</v>
      </c>
    </row>
    <row r="4048" spans="1:4" x14ac:dyDescent="0.2">
      <c r="A4048" s="3">
        <v>2826</v>
      </c>
      <c r="B4048" s="3" t="s">
        <v>4370</v>
      </c>
      <c r="C4048" s="3" t="s">
        <v>4369</v>
      </c>
      <c r="D4048" s="3" t="s">
        <v>4339</v>
      </c>
    </row>
    <row r="4049" spans="1:4" x14ac:dyDescent="0.2">
      <c r="A4049" s="3">
        <v>2828</v>
      </c>
      <c r="B4049" s="3" t="s">
        <v>4371</v>
      </c>
      <c r="C4049" s="3" t="s">
        <v>4369</v>
      </c>
      <c r="D4049" s="3" t="s">
        <v>4339</v>
      </c>
    </row>
    <row r="4050" spans="1:4" x14ac:dyDescent="0.2">
      <c r="A4050" s="3">
        <v>2829</v>
      </c>
      <c r="B4050" s="3" t="s">
        <v>4372</v>
      </c>
      <c r="C4050" s="3" t="s">
        <v>4369</v>
      </c>
      <c r="D4050" s="3" t="s">
        <v>4339</v>
      </c>
    </row>
    <row r="4051" spans="1:4" x14ac:dyDescent="0.2">
      <c r="A4051" s="3">
        <v>2360</v>
      </c>
      <c r="B4051" s="3" t="s">
        <v>4373</v>
      </c>
      <c r="C4051" s="3" t="s">
        <v>4374</v>
      </c>
      <c r="D4051" s="3" t="s">
        <v>4339</v>
      </c>
    </row>
    <row r="4052" spans="1:4" x14ac:dyDescent="0.2">
      <c r="A4052" s="3">
        <v>2336</v>
      </c>
      <c r="B4052" s="3" t="s">
        <v>4375</v>
      </c>
      <c r="C4052" s="3" t="s">
        <v>4375</v>
      </c>
      <c r="D4052" s="3" t="s">
        <v>4339</v>
      </c>
    </row>
    <row r="4053" spans="1:4" x14ac:dyDescent="0.2">
      <c r="A4053" s="3">
        <v>2345</v>
      </c>
      <c r="B4053" s="3" t="s">
        <v>4376</v>
      </c>
      <c r="C4053" s="3" t="s">
        <v>4376</v>
      </c>
      <c r="D4053" s="3" t="s">
        <v>4339</v>
      </c>
    </row>
    <row r="4054" spans="1:4" x14ac:dyDescent="0.2">
      <c r="A4054" s="3">
        <v>2345</v>
      </c>
      <c r="B4054" s="3" t="s">
        <v>4377</v>
      </c>
      <c r="C4054" s="3" t="s">
        <v>4377</v>
      </c>
      <c r="D4054" s="3" t="s">
        <v>4339</v>
      </c>
    </row>
    <row r="4055" spans="1:4" x14ac:dyDescent="0.2">
      <c r="A4055" s="3">
        <v>2363</v>
      </c>
      <c r="B4055" s="3" t="s">
        <v>4378</v>
      </c>
      <c r="C4055" s="3" t="s">
        <v>4378</v>
      </c>
      <c r="D4055" s="3" t="s">
        <v>4339</v>
      </c>
    </row>
    <row r="4056" spans="1:4" x14ac:dyDescent="0.2">
      <c r="A4056" s="3">
        <v>2714</v>
      </c>
      <c r="B4056" s="3" t="s">
        <v>4379</v>
      </c>
      <c r="C4056" s="3" t="s">
        <v>4380</v>
      </c>
      <c r="D4056" s="3" t="s">
        <v>4339</v>
      </c>
    </row>
    <row r="4057" spans="1:4" x14ac:dyDescent="0.2">
      <c r="A4057" s="3">
        <v>2714</v>
      </c>
      <c r="B4057" s="3" t="s">
        <v>4381</v>
      </c>
      <c r="C4057" s="3" t="s">
        <v>4380</v>
      </c>
      <c r="D4057" s="3" t="s">
        <v>4339</v>
      </c>
    </row>
    <row r="4058" spans="1:4" x14ac:dyDescent="0.2">
      <c r="A4058" s="3">
        <v>2718</v>
      </c>
      <c r="B4058" s="3" t="s">
        <v>4382</v>
      </c>
      <c r="C4058" s="3" t="s">
        <v>4383</v>
      </c>
      <c r="D4058" s="3" t="s">
        <v>4339</v>
      </c>
    </row>
    <row r="4059" spans="1:4" x14ac:dyDescent="0.2">
      <c r="A4059" s="3">
        <v>2718</v>
      </c>
      <c r="B4059" s="3" t="s">
        <v>4384</v>
      </c>
      <c r="C4059" s="3" t="s">
        <v>4383</v>
      </c>
      <c r="D4059" s="3" t="s">
        <v>4339</v>
      </c>
    </row>
    <row r="4060" spans="1:4" x14ac:dyDescent="0.2">
      <c r="A4060" s="3">
        <v>2362</v>
      </c>
      <c r="B4060" s="3" t="s">
        <v>4385</v>
      </c>
      <c r="C4060" s="3" t="s">
        <v>4385</v>
      </c>
      <c r="D4060" s="3" t="s">
        <v>4339</v>
      </c>
    </row>
    <row r="4061" spans="1:4" x14ac:dyDescent="0.2">
      <c r="A4061" s="3">
        <v>2362</v>
      </c>
      <c r="B4061" s="3" t="s">
        <v>4386</v>
      </c>
      <c r="C4061" s="3" t="s">
        <v>4385</v>
      </c>
      <c r="D4061" s="3" t="s">
        <v>4339</v>
      </c>
    </row>
    <row r="4062" spans="1:4" x14ac:dyDescent="0.2">
      <c r="A4062" s="3">
        <v>2338</v>
      </c>
      <c r="B4062" s="3" t="s">
        <v>4387</v>
      </c>
      <c r="C4062" s="3" t="s">
        <v>4388</v>
      </c>
      <c r="D4062" s="3" t="s">
        <v>4339</v>
      </c>
    </row>
    <row r="4063" spans="1:4" x14ac:dyDescent="0.2">
      <c r="A4063" s="3">
        <v>2338</v>
      </c>
      <c r="B4063" s="3" t="s">
        <v>4388</v>
      </c>
      <c r="C4063" s="3" t="s">
        <v>4388</v>
      </c>
      <c r="D4063" s="3" t="s">
        <v>4339</v>
      </c>
    </row>
    <row r="4064" spans="1:4" x14ac:dyDescent="0.2">
      <c r="A4064" s="3">
        <v>2345</v>
      </c>
      <c r="B4064" s="3" t="s">
        <v>4389</v>
      </c>
      <c r="C4064" s="3" t="s">
        <v>4388</v>
      </c>
      <c r="D4064" s="3" t="s">
        <v>4339</v>
      </c>
    </row>
    <row r="4065" spans="1:4" x14ac:dyDescent="0.2">
      <c r="A4065" s="3">
        <v>2340</v>
      </c>
      <c r="B4065" s="3" t="s">
        <v>4390</v>
      </c>
      <c r="C4065" s="3" t="s">
        <v>4390</v>
      </c>
      <c r="D4065" s="3" t="s">
        <v>4339</v>
      </c>
    </row>
    <row r="4066" spans="1:4" x14ac:dyDescent="0.2">
      <c r="A4066" s="3">
        <v>2350</v>
      </c>
      <c r="B4066" s="3" t="s">
        <v>4391</v>
      </c>
      <c r="C4066" s="3" t="s">
        <v>4391</v>
      </c>
      <c r="D4066" s="3" t="s">
        <v>4339</v>
      </c>
    </row>
    <row r="4067" spans="1:4" x14ac:dyDescent="0.2">
      <c r="A4067" s="3">
        <v>2353</v>
      </c>
      <c r="B4067" s="3" t="s">
        <v>4392</v>
      </c>
      <c r="C4067" s="3" t="s">
        <v>4391</v>
      </c>
      <c r="D4067" s="3" t="s">
        <v>4339</v>
      </c>
    </row>
    <row r="4068" spans="1:4" x14ac:dyDescent="0.2">
      <c r="A4068" s="3">
        <v>2354</v>
      </c>
      <c r="B4068" s="3" t="s">
        <v>4393</v>
      </c>
      <c r="C4068" s="3" t="s">
        <v>4391</v>
      </c>
      <c r="D4068" s="3" t="s">
        <v>4339</v>
      </c>
    </row>
    <row r="4069" spans="1:4" x14ac:dyDescent="0.2">
      <c r="A4069" s="3">
        <v>2364</v>
      </c>
      <c r="B4069" s="3" t="s">
        <v>4394</v>
      </c>
      <c r="C4069" s="3" t="s">
        <v>4395</v>
      </c>
      <c r="D4069" s="3" t="s">
        <v>4339</v>
      </c>
    </row>
    <row r="4070" spans="1:4" x14ac:dyDescent="0.2">
      <c r="A4070" s="3">
        <v>2882</v>
      </c>
      <c r="B4070" s="3" t="s">
        <v>4396</v>
      </c>
      <c r="C4070" s="3" t="s">
        <v>4395</v>
      </c>
      <c r="D4070" s="3" t="s">
        <v>4339</v>
      </c>
    </row>
    <row r="4071" spans="1:4" x14ac:dyDescent="0.2">
      <c r="A4071" s="3">
        <v>2887</v>
      </c>
      <c r="B4071" s="3" t="s">
        <v>4397</v>
      </c>
      <c r="C4071" s="3" t="s">
        <v>4397</v>
      </c>
      <c r="D4071" s="3" t="s">
        <v>4339</v>
      </c>
    </row>
    <row r="4072" spans="1:4" x14ac:dyDescent="0.2">
      <c r="A4072" s="3">
        <v>2942</v>
      </c>
      <c r="B4072" s="3" t="s">
        <v>4398</v>
      </c>
      <c r="C4072" s="3" t="s">
        <v>4398</v>
      </c>
      <c r="D4072" s="3" t="s">
        <v>4339</v>
      </c>
    </row>
    <row r="4073" spans="1:4" x14ac:dyDescent="0.2">
      <c r="A4073" s="3">
        <v>2935</v>
      </c>
      <c r="B4073" s="3" t="s">
        <v>4399</v>
      </c>
      <c r="C4073" s="3" t="s">
        <v>4399</v>
      </c>
      <c r="D4073" s="3" t="s">
        <v>4339</v>
      </c>
    </row>
    <row r="4074" spans="1:4" x14ac:dyDescent="0.2">
      <c r="A4074" s="3">
        <v>2926</v>
      </c>
      <c r="B4074" s="3" t="s">
        <v>4400</v>
      </c>
      <c r="C4074" s="3" t="s">
        <v>4400</v>
      </c>
      <c r="D4074" s="3" t="s">
        <v>4339</v>
      </c>
    </row>
    <row r="4075" spans="1:4" x14ac:dyDescent="0.2">
      <c r="A4075" s="3">
        <v>2944</v>
      </c>
      <c r="B4075" s="3" t="s">
        <v>4401</v>
      </c>
      <c r="C4075" s="3" t="s">
        <v>4401</v>
      </c>
      <c r="D4075" s="3" t="s">
        <v>4339</v>
      </c>
    </row>
    <row r="4076" spans="1:4" x14ac:dyDescent="0.2">
      <c r="A4076" s="3">
        <v>2915</v>
      </c>
      <c r="B4076" s="3" t="s">
        <v>4402</v>
      </c>
      <c r="C4076" s="3" t="s">
        <v>4402</v>
      </c>
      <c r="D4076" s="3" t="s">
        <v>4339</v>
      </c>
    </row>
    <row r="4077" spans="1:4" x14ac:dyDescent="0.2">
      <c r="A4077" s="3">
        <v>2932</v>
      </c>
      <c r="B4077" s="3" t="s">
        <v>4403</v>
      </c>
      <c r="C4077" s="3" t="s">
        <v>4403</v>
      </c>
      <c r="D4077" s="3" t="s">
        <v>4339</v>
      </c>
    </row>
    <row r="4078" spans="1:4" x14ac:dyDescent="0.2">
      <c r="A4078" s="3">
        <v>2952</v>
      </c>
      <c r="B4078" s="3" t="s">
        <v>4404</v>
      </c>
      <c r="C4078" s="3" t="s">
        <v>4404</v>
      </c>
      <c r="D4078" s="3" t="s">
        <v>4339</v>
      </c>
    </row>
    <row r="4079" spans="1:4" x14ac:dyDescent="0.2">
      <c r="A4079" s="3">
        <v>2922</v>
      </c>
      <c r="B4079" s="3" t="s">
        <v>4405</v>
      </c>
      <c r="C4079" s="3" t="s">
        <v>4405</v>
      </c>
      <c r="D4079" s="3" t="s">
        <v>4339</v>
      </c>
    </row>
    <row r="4080" spans="1:4" x14ac:dyDescent="0.2">
      <c r="A4080" s="3">
        <v>2950</v>
      </c>
      <c r="B4080" s="3" t="s">
        <v>4406</v>
      </c>
      <c r="C4080" s="3" t="s">
        <v>4406</v>
      </c>
      <c r="D4080" s="3" t="s">
        <v>4339</v>
      </c>
    </row>
    <row r="4081" spans="1:4" x14ac:dyDescent="0.2">
      <c r="A4081" s="3">
        <v>2950</v>
      </c>
      <c r="B4081" s="3" t="s">
        <v>4407</v>
      </c>
      <c r="C4081" s="3" t="s">
        <v>4406</v>
      </c>
      <c r="D4081" s="3" t="s">
        <v>4339</v>
      </c>
    </row>
    <row r="4082" spans="1:4" x14ac:dyDescent="0.2">
      <c r="A4082" s="3">
        <v>2905</v>
      </c>
      <c r="B4082" s="3" t="s">
        <v>4408</v>
      </c>
      <c r="C4082" s="3" t="s">
        <v>4408</v>
      </c>
      <c r="D4082" s="3" t="s">
        <v>4339</v>
      </c>
    </row>
    <row r="4083" spans="1:4" x14ac:dyDescent="0.2">
      <c r="A4083" s="3">
        <v>2933</v>
      </c>
      <c r="B4083" s="3" t="s">
        <v>4409</v>
      </c>
      <c r="C4083" s="3" t="s">
        <v>4409</v>
      </c>
      <c r="D4083" s="3" t="s">
        <v>4339</v>
      </c>
    </row>
    <row r="4084" spans="1:4" x14ac:dyDescent="0.2">
      <c r="A4084" s="3">
        <v>2916</v>
      </c>
      <c r="B4084" s="3" t="s">
        <v>4410</v>
      </c>
      <c r="C4084" s="3" t="s">
        <v>4410</v>
      </c>
      <c r="D4084" s="3" t="s">
        <v>4339</v>
      </c>
    </row>
    <row r="4085" spans="1:4" x14ac:dyDescent="0.2">
      <c r="A4085" s="3">
        <v>2902</v>
      </c>
      <c r="B4085" s="3" t="s">
        <v>4411</v>
      </c>
      <c r="C4085" s="3" t="s">
        <v>4411</v>
      </c>
      <c r="D4085" s="3" t="s">
        <v>4339</v>
      </c>
    </row>
    <row r="4086" spans="1:4" x14ac:dyDescent="0.2">
      <c r="A4086" s="3">
        <v>2903</v>
      </c>
      <c r="B4086" s="3" t="s">
        <v>4412</v>
      </c>
      <c r="C4086" s="3" t="s">
        <v>4411</v>
      </c>
      <c r="D4086" s="3" t="s">
        <v>4339</v>
      </c>
    </row>
    <row r="4087" spans="1:4" x14ac:dyDescent="0.2">
      <c r="A4087" s="3">
        <v>2904</v>
      </c>
      <c r="B4087" s="3" t="s">
        <v>4413</v>
      </c>
      <c r="C4087" s="3" t="s">
        <v>4411</v>
      </c>
      <c r="D4087" s="3" t="s">
        <v>4339</v>
      </c>
    </row>
    <row r="4088" spans="1:4" x14ac:dyDescent="0.2">
      <c r="A4088" s="3">
        <v>2908</v>
      </c>
      <c r="B4088" s="3" t="s">
        <v>4414</v>
      </c>
      <c r="C4088" s="3" t="s">
        <v>4414</v>
      </c>
      <c r="D4088" s="3" t="s">
        <v>4339</v>
      </c>
    </row>
    <row r="4089" spans="1:4" x14ac:dyDescent="0.2">
      <c r="A4089" s="3">
        <v>2933</v>
      </c>
      <c r="B4089" s="3" t="s">
        <v>4415</v>
      </c>
      <c r="C4089" s="3" t="s">
        <v>4415</v>
      </c>
      <c r="D4089" s="3" t="s">
        <v>4339</v>
      </c>
    </row>
    <row r="4090" spans="1:4" x14ac:dyDescent="0.2">
      <c r="A4090" s="3">
        <v>2900</v>
      </c>
      <c r="B4090" s="3" t="s">
        <v>4416</v>
      </c>
      <c r="C4090" s="3" t="s">
        <v>4416</v>
      </c>
      <c r="D4090" s="3" t="s">
        <v>4339</v>
      </c>
    </row>
    <row r="4091" spans="1:4" x14ac:dyDescent="0.2">
      <c r="A4091" s="3">
        <v>2943</v>
      </c>
      <c r="B4091" s="3" t="s">
        <v>4417</v>
      </c>
      <c r="C4091" s="3" t="s">
        <v>4417</v>
      </c>
      <c r="D4091" s="3" t="s">
        <v>4339</v>
      </c>
    </row>
    <row r="4092" spans="1:4" x14ac:dyDescent="0.2">
      <c r="A4092" s="3">
        <v>2923</v>
      </c>
      <c r="B4092" s="3" t="s">
        <v>4418</v>
      </c>
      <c r="C4092" s="3" t="s">
        <v>4419</v>
      </c>
      <c r="D4092" s="3" t="s">
        <v>4339</v>
      </c>
    </row>
    <row r="4093" spans="1:4" x14ac:dyDescent="0.2">
      <c r="A4093" s="3">
        <v>2924</v>
      </c>
      <c r="B4093" s="3" t="s">
        <v>4420</v>
      </c>
      <c r="C4093" s="3" t="s">
        <v>4419</v>
      </c>
      <c r="D4093" s="3" t="s">
        <v>4339</v>
      </c>
    </row>
    <row r="4094" spans="1:4" x14ac:dyDescent="0.2">
      <c r="A4094" s="3">
        <v>2925</v>
      </c>
      <c r="B4094" s="3" t="s">
        <v>4421</v>
      </c>
      <c r="C4094" s="3" t="s">
        <v>4419</v>
      </c>
      <c r="D4094" s="3" t="s">
        <v>4339</v>
      </c>
    </row>
    <row r="4095" spans="1:4" x14ac:dyDescent="0.2">
      <c r="A4095" s="3">
        <v>2882</v>
      </c>
      <c r="B4095" s="3" t="s">
        <v>4396</v>
      </c>
      <c r="C4095" s="3" t="s">
        <v>4422</v>
      </c>
      <c r="D4095" s="3" t="s">
        <v>4339</v>
      </c>
    </row>
    <row r="4096" spans="1:4" x14ac:dyDescent="0.2">
      <c r="A4096" s="3">
        <v>2883</v>
      </c>
      <c r="B4096" s="3" t="s">
        <v>4423</v>
      </c>
      <c r="C4096" s="3" t="s">
        <v>4422</v>
      </c>
      <c r="D4096" s="3" t="s">
        <v>4339</v>
      </c>
    </row>
    <row r="4097" spans="1:4" x14ac:dyDescent="0.2">
      <c r="A4097" s="3">
        <v>2884</v>
      </c>
      <c r="B4097" s="3" t="s">
        <v>4424</v>
      </c>
      <c r="C4097" s="3" t="s">
        <v>4422</v>
      </c>
      <c r="D4097" s="3" t="s">
        <v>4339</v>
      </c>
    </row>
    <row r="4098" spans="1:4" x14ac:dyDescent="0.2">
      <c r="A4098" s="3">
        <v>2885</v>
      </c>
      <c r="B4098" s="3" t="s">
        <v>4425</v>
      </c>
      <c r="C4098" s="3" t="s">
        <v>4422</v>
      </c>
      <c r="D4098" s="3" t="s">
        <v>4339</v>
      </c>
    </row>
    <row r="4099" spans="1:4" x14ac:dyDescent="0.2">
      <c r="A4099" s="3">
        <v>2886</v>
      </c>
      <c r="B4099" s="3" t="s">
        <v>4426</v>
      </c>
      <c r="C4099" s="3" t="s">
        <v>4422</v>
      </c>
      <c r="D4099" s="3" t="s">
        <v>4339</v>
      </c>
    </row>
    <row r="4100" spans="1:4" x14ac:dyDescent="0.2">
      <c r="A4100" s="3">
        <v>2888</v>
      </c>
      <c r="B4100" s="3" t="s">
        <v>4427</v>
      </c>
      <c r="C4100" s="3" t="s">
        <v>4422</v>
      </c>
      <c r="D4100" s="3" t="s">
        <v>4339</v>
      </c>
    </row>
    <row r="4101" spans="1:4" x14ac:dyDescent="0.2">
      <c r="A4101" s="3">
        <v>2889</v>
      </c>
      <c r="B4101" s="3" t="s">
        <v>4428</v>
      </c>
      <c r="C4101" s="3" t="s">
        <v>4422</v>
      </c>
      <c r="D4101" s="3" t="s">
        <v>4339</v>
      </c>
    </row>
    <row r="4102" spans="1:4" x14ac:dyDescent="0.2">
      <c r="A4102" s="3">
        <v>2906</v>
      </c>
      <c r="B4102" s="3" t="s">
        <v>4429</v>
      </c>
      <c r="C4102" s="3" t="s">
        <v>4430</v>
      </c>
      <c r="D4102" s="3" t="s">
        <v>4339</v>
      </c>
    </row>
    <row r="4103" spans="1:4" x14ac:dyDescent="0.2">
      <c r="A4103" s="3">
        <v>2907</v>
      </c>
      <c r="B4103" s="3" t="s">
        <v>4431</v>
      </c>
      <c r="C4103" s="3" t="s">
        <v>4430</v>
      </c>
      <c r="D4103" s="3" t="s">
        <v>4339</v>
      </c>
    </row>
    <row r="4104" spans="1:4" x14ac:dyDescent="0.2">
      <c r="A4104" s="3">
        <v>2912</v>
      </c>
      <c r="B4104" s="3" t="s">
        <v>4432</v>
      </c>
      <c r="C4104" s="3" t="s">
        <v>4430</v>
      </c>
      <c r="D4104" s="3" t="s">
        <v>4339</v>
      </c>
    </row>
    <row r="4105" spans="1:4" x14ac:dyDescent="0.2">
      <c r="A4105" s="3">
        <v>2912</v>
      </c>
      <c r="B4105" s="3" t="s">
        <v>4433</v>
      </c>
      <c r="C4105" s="3" t="s">
        <v>4430</v>
      </c>
      <c r="D4105" s="3" t="s">
        <v>4339</v>
      </c>
    </row>
    <row r="4106" spans="1:4" x14ac:dyDescent="0.2">
      <c r="A4106" s="3">
        <v>2914</v>
      </c>
      <c r="B4106" s="3" t="s">
        <v>4434</v>
      </c>
      <c r="C4106" s="3" t="s">
        <v>4430</v>
      </c>
      <c r="D4106" s="3" t="s">
        <v>4339</v>
      </c>
    </row>
    <row r="4107" spans="1:4" x14ac:dyDescent="0.2">
      <c r="A4107" s="3">
        <v>2946</v>
      </c>
      <c r="B4107" s="3" t="s">
        <v>4435</v>
      </c>
      <c r="C4107" s="3" t="s">
        <v>4436</v>
      </c>
      <c r="D4107" s="3" t="s">
        <v>4339</v>
      </c>
    </row>
    <row r="4108" spans="1:4" x14ac:dyDescent="0.2">
      <c r="A4108" s="3">
        <v>2947</v>
      </c>
      <c r="B4108" s="3" t="s">
        <v>4437</v>
      </c>
      <c r="C4108" s="3" t="s">
        <v>4436</v>
      </c>
      <c r="D4108" s="3" t="s">
        <v>4339</v>
      </c>
    </row>
    <row r="4109" spans="1:4" x14ac:dyDescent="0.2">
      <c r="A4109" s="3">
        <v>2953</v>
      </c>
      <c r="B4109" s="3" t="s">
        <v>4438</v>
      </c>
      <c r="C4109" s="3" t="s">
        <v>4436</v>
      </c>
      <c r="D4109" s="3" t="s">
        <v>4339</v>
      </c>
    </row>
    <row r="4110" spans="1:4" x14ac:dyDescent="0.2">
      <c r="A4110" s="3">
        <v>2953</v>
      </c>
      <c r="B4110" s="3" t="s">
        <v>4439</v>
      </c>
      <c r="C4110" s="3" t="s">
        <v>4436</v>
      </c>
      <c r="D4110" s="3" t="s">
        <v>4339</v>
      </c>
    </row>
    <row r="4111" spans="1:4" x14ac:dyDescent="0.2">
      <c r="A4111" s="3">
        <v>2954</v>
      </c>
      <c r="B4111" s="3" t="s">
        <v>4440</v>
      </c>
      <c r="C4111" s="3" t="s">
        <v>4436</v>
      </c>
      <c r="D4111" s="3" t="s">
        <v>4339</v>
      </c>
    </row>
    <row r="4112" spans="1:4" x14ac:dyDescent="0.2">
      <c r="A4112" s="3">
        <v>9490</v>
      </c>
      <c r="B4112" s="3" t="s">
        <v>4441</v>
      </c>
      <c r="C4112" s="3" t="s">
        <v>4441</v>
      </c>
      <c r="D4112" s="3"/>
    </row>
    <row r="4113" spans="1:4" x14ac:dyDescent="0.2">
      <c r="A4113" s="3">
        <v>9495</v>
      </c>
      <c r="B4113" s="3" t="s">
        <v>4442</v>
      </c>
      <c r="C4113" s="3" t="s">
        <v>4442</v>
      </c>
      <c r="D4113" s="3"/>
    </row>
    <row r="4114" spans="1:4" x14ac:dyDescent="0.2">
      <c r="A4114" s="3">
        <v>9496</v>
      </c>
      <c r="B4114" s="3" t="s">
        <v>4443</v>
      </c>
      <c r="C4114" s="3" t="s">
        <v>4443</v>
      </c>
      <c r="D4114" s="3"/>
    </row>
    <row r="4115" spans="1:4" x14ac:dyDescent="0.2">
      <c r="A4115" s="3">
        <v>9497</v>
      </c>
      <c r="B4115" s="3" t="s">
        <v>4444</v>
      </c>
      <c r="C4115" s="3" t="s">
        <v>4444</v>
      </c>
      <c r="D4115" s="3"/>
    </row>
    <row r="4116" spans="1:4" x14ac:dyDescent="0.2">
      <c r="A4116" s="3">
        <v>9494</v>
      </c>
      <c r="B4116" s="3" t="s">
        <v>4445</v>
      </c>
      <c r="C4116" s="3" t="s">
        <v>4445</v>
      </c>
      <c r="D4116" s="3"/>
    </row>
    <row r="4117" spans="1:4" x14ac:dyDescent="0.2">
      <c r="A4117" s="3">
        <v>9498</v>
      </c>
      <c r="B4117" s="3" t="s">
        <v>4446</v>
      </c>
      <c r="C4117" s="3" t="s">
        <v>4446</v>
      </c>
      <c r="D4117" s="3"/>
    </row>
    <row r="4118" spans="1:4" x14ac:dyDescent="0.2">
      <c r="A4118" s="3">
        <v>9485</v>
      </c>
      <c r="B4118" s="3" t="s">
        <v>4447</v>
      </c>
      <c r="C4118" s="3" t="s">
        <v>4448</v>
      </c>
      <c r="D4118" s="3"/>
    </row>
    <row r="4119" spans="1:4" x14ac:dyDescent="0.2">
      <c r="A4119" s="3">
        <v>9492</v>
      </c>
      <c r="B4119" s="3" t="s">
        <v>4448</v>
      </c>
      <c r="C4119" s="3" t="s">
        <v>4448</v>
      </c>
      <c r="D4119" s="3"/>
    </row>
    <row r="4120" spans="1:4" x14ac:dyDescent="0.2">
      <c r="A4120" s="3">
        <v>9486</v>
      </c>
      <c r="B4120" s="3" t="s">
        <v>4449</v>
      </c>
      <c r="C4120" s="3" t="s">
        <v>4450</v>
      </c>
      <c r="D4120" s="3"/>
    </row>
    <row r="4121" spans="1:4" x14ac:dyDescent="0.2">
      <c r="A4121" s="3">
        <v>9493</v>
      </c>
      <c r="B4121" s="3" t="s">
        <v>4451</v>
      </c>
      <c r="C4121" s="3" t="s">
        <v>4450</v>
      </c>
      <c r="D4121" s="3"/>
    </row>
    <row r="4122" spans="1:4" x14ac:dyDescent="0.2">
      <c r="A4122" s="3">
        <v>9487</v>
      </c>
      <c r="B4122" s="3" t="s">
        <v>4452</v>
      </c>
      <c r="C4122" s="3" t="s">
        <v>4453</v>
      </c>
      <c r="D4122" s="3"/>
    </row>
    <row r="4123" spans="1:4" x14ac:dyDescent="0.2">
      <c r="A4123" s="3">
        <v>9491</v>
      </c>
      <c r="B4123" s="3" t="s">
        <v>4454</v>
      </c>
      <c r="C4123" s="3" t="s">
        <v>4454</v>
      </c>
      <c r="D4123" s="3"/>
    </row>
    <row r="4124" spans="1:4" x14ac:dyDescent="0.2">
      <c r="A4124" s="3">
        <v>9488</v>
      </c>
      <c r="B4124" s="3" t="s">
        <v>4455</v>
      </c>
      <c r="C4124" s="3" t="s">
        <v>4455</v>
      </c>
      <c r="D4124" s="3"/>
    </row>
    <row r="4125" spans="1:4" x14ac:dyDescent="0.2">
      <c r="A4125" s="3">
        <v>9999</v>
      </c>
      <c r="B4125" s="3" t="s">
        <v>4456</v>
      </c>
      <c r="C4125" s="3" t="s">
        <v>4456</v>
      </c>
      <c r="D4125" s="3" t="s">
        <v>309</v>
      </c>
    </row>
    <row r="4126" spans="1:4" x14ac:dyDescent="0.2">
      <c r="A4126" s="3">
        <v>9999</v>
      </c>
      <c r="B4126" s="3" t="s">
        <v>4457</v>
      </c>
      <c r="C4126" s="3" t="s">
        <v>4457</v>
      </c>
      <c r="D4126" s="3" t="s">
        <v>309</v>
      </c>
    </row>
    <row r="4127" spans="1:4" x14ac:dyDescent="0.2">
      <c r="A4127" s="3">
        <v>9999</v>
      </c>
      <c r="B4127" s="3" t="s">
        <v>4458</v>
      </c>
      <c r="C4127" s="3" t="s">
        <v>4459</v>
      </c>
      <c r="D4127" s="3" t="s">
        <v>309</v>
      </c>
    </row>
    <row r="4128" spans="1:4" x14ac:dyDescent="0.2">
      <c r="B4128" s="4">
        <v>44749</v>
      </c>
      <c r="C4128" s="5" t="s">
        <v>4460</v>
      </c>
    </row>
  </sheetData>
  <hyperlinks>
    <hyperlink ref="C4128" r:id="rId1" xr:uid="{0C2F6810-0D25-4656-8ACC-DD2A7CDAFF24}"/>
  </hyperlink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1 6 " ? > < D a t a M a s h u p   x m l n s = " h t t p : / / s c h e m a s . m i c r o s o f t . c o m / D a t a M a s h u p " > A A A A A B U D A A B Q S w M E F A A C A A g A t 4 S 2 W n y i Q 9 y l A A A A 9 g A A A B I A H A B D b 2 5 m a W c v U G F j a 2 F n Z S 5 4 b W w g o h g A K K A U A A A A A A A A A A A A A A A A A A A A A A A A A A A A h Y 8 x D o I w G I W v Q r r T F s T E k J 8 y s D h I Y m J i X J t S o R G K a Y v l b g 4 e y S u I U d T N 8 X 3 v G 9 6 7 X 2 + Q j 1 0 b X K S x q t c Z i j B F g d S i r 5 S u M z S 4 Y 7 h C O Y M t F y d e y 2 C S t U 1 H W 2 W o c e 6 c E u K 9 x 3 6 B e 1 O T m N K I H M r N T j S y 4 + g j q / 9 y q L R 1 X A u J G O x f Y 1 i M o 4 T i h C 4 x B T J D K J X + C v G 0 9 9 n + Q C i G 1 g 1 G s q M J i z W Q O Q J 5 f 2 A P U E s D B B Q A A g A I A L e E t l o 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C 3 h L Z a K I p H u A 4 A A A A R A A A A E w A c A E Z v c m 1 1 b G F z L 1 N l Y 3 R p b 2 4 x L m 0 g o h g A K K A U A A A A A A A A A A A A A A A A A A A A A A A A A A A A K 0 5 N L s n M z 1 M I h t C G 1 g B Q S w E C L Q A U A A I A C A C 3 h L Z a f K J D 3 K U A A A D 2 A A A A E g A A A A A A A A A A A A A A A A A A A A A A Q 2 9 u Z m l n L 1 B h Y 2 t h Z 2 U u e G 1 s U E s B A i 0 A F A A C A A g A t 4 S 2 W g / K 6 a u k A A A A 6 Q A A A B M A A A A A A A A A A A A A A A A A 8 Q A A A F t D b 2 5 0 Z W 5 0 X 1 R 5 c G V z X S 5 4 b W x Q S w E C L Q A U A A I A C A C 3 h L Z a K I p H u A 4 A A A A R A A A A E w A A A A A A A A A A A A A A A A D i A Q A A R m 9 y b X V s Y X M v U 2 V j d G l v b j E u b V B L B Q Y A A A A A A w A D A M I A A A A 9 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X A Q A A A A A A A H U 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D a A A A A A Q A A A N C M n d 8 B F d E R j H o A w E / C l + s B A A A A J U I O M Q M m n k 2 g j 6 0 R + W 9 j X g A A A A A C A A A A A A A D Z g A A w A A A A B A A A A C A A 1 7 m i Z x V q 5 m 9 U q w w z F c a A A A A A A S A A A C g A A A A E A A A A O p X d O q I V g 0 T o C g v 4 o r C F / h Q A A A A j E q l J D l N i 9 k t l 2 J K S M W A s j D S X s 4 P n d D 8 / x L z + / h k S k Q Q B L M A D q O b w 2 n w T T M W r 9 f k F i z K t A a i s w x v f c 8 v j / X x V n C B x i y Z J Z u V z V 6 4 X X C r h Z c U A A A A s n g j n 5 A H S h 3 5 O M t Z W Z D k 0 X X x x e E = < / D a t a M a s h u p > 
</file>

<file path=customXml/item2.xml><?xml version="1.0" encoding="utf-8"?>
<ct:contentTypeSchema xmlns:ct="http://schemas.microsoft.com/office/2006/metadata/contentType" xmlns:ma="http://schemas.microsoft.com/office/2006/metadata/properties/metaAttributes" ct:_="" ma:_="" ma:contentTypeName="Dokument" ma:contentTypeID="0x0101005072154B6D7EA94FB338BE473FAC9B24" ma:contentTypeVersion="18" ma:contentTypeDescription="Ein neues Dokument erstellen." ma:contentTypeScope="" ma:versionID="2c4bebf247879251ef0e1372e2b5e8f7">
  <xsd:schema xmlns:xsd="http://www.w3.org/2001/XMLSchema" xmlns:xs="http://www.w3.org/2001/XMLSchema" xmlns:p="http://schemas.microsoft.com/office/2006/metadata/properties" xmlns:ns2="d1b8bd50-9bf3-49a7-bf17-021af0824364" xmlns:ns3="68779d9b-159b-4ebc-afe2-9a6694c4fc03" targetNamespace="http://schemas.microsoft.com/office/2006/metadata/properties" ma:root="true" ma:fieldsID="a1a8a6675094d5bc8e0375a44e9864c9" ns2:_="" ns3:_="">
    <xsd:import namespace="d1b8bd50-9bf3-49a7-bf17-021af0824364"/>
    <xsd:import namespace="68779d9b-159b-4ebc-afe2-9a6694c4fc03"/>
    <xsd:element name="properties">
      <xsd:complexType>
        <xsd:sequence>
          <xsd:element name="documentManagement">
            <xsd:complexType>
              <xsd:all>
                <xsd:element ref="ns2:MediaServiceMetadata" minOccurs="0"/>
                <xsd:element ref="ns2:MediaServiceFastMetadata" minOccurs="0"/>
                <xsd:element ref="ns2:MediaLengthInSeconds" minOccurs="0"/>
                <xsd:element ref="ns2:MediaServiceDateTaken" minOccurs="0"/>
                <xsd:element ref="ns2:MediaServiceAutoKeyPoints" minOccurs="0"/>
                <xsd:element ref="ns2:MediaServiceKeyPoints" minOccurs="0"/>
                <xsd:element ref="ns2:lcf76f155ced4ddcb4097134ff3c332f" minOccurs="0"/>
                <xsd:element ref="ns3:TaxCatchAll" minOccurs="0"/>
                <xsd:element ref="ns2:MediaServiceGenerationTime" minOccurs="0"/>
                <xsd:element ref="ns2:MediaServiceEventHashCode" minOccurs="0"/>
                <xsd:element ref="ns2:MediaServiceOCR" minOccurs="0"/>
                <xsd:element ref="ns2:MediaServiceLocation" minOccurs="0"/>
                <xsd:element ref="ns3:SharedWithUsers" minOccurs="0"/>
                <xsd:element ref="ns3:SharedWithDetails" minOccurs="0"/>
                <xsd:element ref="ns2:MediaServiceObjectDetectorVersions" minOccurs="0"/>
                <xsd:element ref="ns2:MediaServiceSearchPropertie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1b8bd50-9bf3-49a7-bf17-021af082436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LengthInSeconds" ma:index="10" nillable="true" ma:displayName="MediaLengthInSeconds" ma:hidden="true" ma:internalName="MediaLengthInSeconds" ma:readOnly="true">
      <xsd:simpleType>
        <xsd:restriction base="dms:Unknown"/>
      </xsd:simpleType>
    </xsd:element>
    <xsd:element name="MediaServiceDateTaken" ma:index="11" nillable="true" ma:displayName="MediaServiceDateTaken" ma:hidden="true" ma:internalName="MediaServiceDateTaken" ma:readOnly="true">
      <xsd:simpleType>
        <xsd:restriction base="dms:Text"/>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lcf76f155ced4ddcb4097134ff3c332f" ma:index="15" nillable="true" ma:taxonomy="true" ma:internalName="lcf76f155ced4ddcb4097134ff3c332f" ma:taxonomyFieldName="MediaServiceImageTags" ma:displayName="Bildmarkierungen" ma:readOnly="false" ma:fieldId="{5cf76f15-5ced-4ddc-b409-7134ff3c332f}" ma:taxonomyMulti="true" ma:sspId="98e90db2-d066-427b-8099-abed3aebe14a" ma:termSetId="09814cd3-568e-fe90-9814-8d621ff8fb84" ma:anchorId="fba54fb3-c3e1-fe81-a776-ca4b69148c4d" ma:open="true" ma:isKeyword="false">
      <xsd:complexType>
        <xsd:sequence>
          <xsd:element ref="pc:Terms" minOccurs="0" maxOccurs="1"/>
        </xsd:sequence>
      </xsd:complex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OCR" ma:index="19" nillable="true" ma:displayName="Extracted Text" ma:internalName="MediaServiceOCR" ma:readOnly="true">
      <xsd:simpleType>
        <xsd:restriction base="dms:Note">
          <xsd:maxLength value="255"/>
        </xsd:restriction>
      </xsd:simpleType>
    </xsd:element>
    <xsd:element name="MediaServiceLocation" ma:index="20" nillable="true" ma:displayName="Location" ma:internalName="MediaServiceLocation" ma:readOnly="true">
      <xsd:simpleType>
        <xsd:restriction base="dms:Text"/>
      </xsd:simpleType>
    </xsd:element>
    <xsd:element name="MediaServiceObjectDetectorVersions" ma:index="23"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element name="MediaServiceBillingMetadata" ma:index="25"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68779d9b-159b-4ebc-afe2-9a6694c4fc03" elementFormDefault="qualified">
    <xsd:import namespace="http://schemas.microsoft.com/office/2006/documentManagement/types"/>
    <xsd:import namespace="http://schemas.microsoft.com/office/infopath/2007/PartnerControls"/>
    <xsd:element name="TaxCatchAll" ma:index="16" nillable="true" ma:displayName="Taxonomy Catch All Column" ma:hidden="true" ma:list="{4ace8edd-ee45-4be4-b20d-5cdd10829e05}" ma:internalName="TaxCatchAll" ma:showField="CatchAllData" ma:web="68779d9b-159b-4ebc-afe2-9a6694c4fc03">
      <xsd:complexType>
        <xsd:complexContent>
          <xsd:extension base="dms:MultiChoiceLookup">
            <xsd:sequence>
              <xsd:element name="Value" type="dms:Lookup" maxOccurs="unbounded" minOccurs="0" nillable="true"/>
            </xsd:sequence>
          </xsd:extension>
        </xsd:complexContent>
      </xsd:complexType>
    </xsd:element>
    <xsd:element name="SharedWithUsers" ma:index="21" nillable="true" ma:displayName="Freigegeben f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2" nillable="true" ma:displayName="Freigegeben für -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lcf76f155ced4ddcb4097134ff3c332f xmlns="d1b8bd50-9bf3-49a7-bf17-021af0824364">
      <Terms xmlns="http://schemas.microsoft.com/office/infopath/2007/PartnerControls"/>
    </lcf76f155ced4ddcb4097134ff3c332f>
    <TaxCatchAll xmlns="68779d9b-159b-4ebc-afe2-9a6694c4fc03" xsi:nil="true"/>
  </documentManagement>
</p:properties>
</file>

<file path=customXml/itemProps1.xml><?xml version="1.0" encoding="utf-8"?>
<ds:datastoreItem xmlns:ds="http://schemas.openxmlformats.org/officeDocument/2006/customXml" ds:itemID="{52496F92-7DFE-49A3-B652-4D202E89E6EB}">
  <ds:schemaRefs>
    <ds:schemaRef ds:uri="http://schemas.microsoft.com/DataMashup"/>
  </ds:schemaRefs>
</ds:datastoreItem>
</file>

<file path=customXml/itemProps2.xml><?xml version="1.0" encoding="utf-8"?>
<ds:datastoreItem xmlns:ds="http://schemas.openxmlformats.org/officeDocument/2006/customXml" ds:itemID="{DC07CED3-9791-4882-BD04-A3D952463CCA}"/>
</file>

<file path=customXml/itemProps3.xml><?xml version="1.0" encoding="utf-8"?>
<ds:datastoreItem xmlns:ds="http://schemas.openxmlformats.org/officeDocument/2006/customXml" ds:itemID="{7CFA1805-5EA8-4882-9487-EE43D72CC96B}"/>
</file>

<file path=customXml/itemProps4.xml><?xml version="1.0" encoding="utf-8"?>
<ds:datastoreItem xmlns:ds="http://schemas.openxmlformats.org/officeDocument/2006/customXml" ds:itemID="{07C093E5-12BB-4E0C-B754-24F21BCD11A5}"/>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Feuilles de calcul</vt:lpstr>
      </vt:variant>
      <vt:variant>
        <vt:i4>5</vt:i4>
      </vt:variant>
      <vt:variant>
        <vt:lpstr>Plages nommées</vt:lpstr>
      </vt:variant>
      <vt:variant>
        <vt:i4>20</vt:i4>
      </vt:variant>
    </vt:vector>
  </HeadingPairs>
  <TitlesOfParts>
    <vt:vector size="25" baseType="lpstr">
      <vt:lpstr>Version</vt:lpstr>
      <vt:lpstr>A</vt:lpstr>
      <vt:lpstr>B</vt:lpstr>
      <vt:lpstr>Y</vt:lpstr>
      <vt:lpstr>Z</vt:lpstr>
      <vt:lpstr>Categories</vt:lpstr>
      <vt:lpstr>Clean</vt:lpstr>
      <vt:lpstr>E_alt</vt:lpstr>
      <vt:lpstr>E_neu</vt:lpstr>
      <vt:lpstr>Kat</vt:lpstr>
      <vt:lpstr>Lang</vt:lpstr>
      <vt:lpstr>Lang_measure</vt:lpstr>
      <vt:lpstr>Loc</vt:lpstr>
      <vt:lpstr>measure_id</vt:lpstr>
      <vt:lpstr>measure_version</vt:lpstr>
      <vt:lpstr>Medium</vt:lpstr>
      <vt:lpstr>Month</vt:lpstr>
      <vt:lpstr>PLZ</vt:lpstr>
      <vt:lpstr>Region</vt:lpstr>
      <vt:lpstr>Systems</vt:lpstr>
      <vt:lpstr>Trad</vt:lpstr>
      <vt:lpstr>Units</vt:lpstr>
      <vt:lpstr>Use</vt:lpstr>
      <vt:lpstr>A!Zone_d_impression</vt:lpstr>
      <vt:lpstr>Version!Zone_d_impression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Stadler Paul BFE</dc:creator>
  <cp:lastModifiedBy>Marchesi Simone BFE</cp:lastModifiedBy>
  <cp:lastPrinted>2025-11-21T10:26:20Z</cp:lastPrinted>
  <dcterms:created xsi:type="dcterms:W3CDTF">2015-06-05T18:19:34Z</dcterms:created>
  <dcterms:modified xsi:type="dcterms:W3CDTF">2025-11-27T11:00:33Z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aa112399-b73b-40c1-8af2-919b124b9d91_Enabled">
    <vt:lpwstr>true</vt:lpwstr>
  </property>
  <property fmtid="{D5CDD505-2E9C-101B-9397-08002B2CF9AE}" pid="3" name="MSIP_Label_aa112399-b73b-40c1-8af2-919b124b9d91_SetDate">
    <vt:lpwstr>2025-04-28T06:44:18Z</vt:lpwstr>
  </property>
  <property fmtid="{D5CDD505-2E9C-101B-9397-08002B2CF9AE}" pid="4" name="MSIP_Label_aa112399-b73b-40c1-8af2-919b124b9d91_Method">
    <vt:lpwstr>Privileged</vt:lpwstr>
  </property>
  <property fmtid="{D5CDD505-2E9C-101B-9397-08002B2CF9AE}" pid="5" name="MSIP_Label_aa112399-b73b-40c1-8af2-919b124b9d91_Name">
    <vt:lpwstr>L2</vt:lpwstr>
  </property>
  <property fmtid="{D5CDD505-2E9C-101B-9397-08002B2CF9AE}" pid="6" name="MSIP_Label_aa112399-b73b-40c1-8af2-919b124b9d91_SiteId">
    <vt:lpwstr>6ae27add-8276-4a38-88c1-3a9c1f973767</vt:lpwstr>
  </property>
  <property fmtid="{D5CDD505-2E9C-101B-9397-08002B2CF9AE}" pid="7" name="MSIP_Label_aa112399-b73b-40c1-8af2-919b124b9d91_ActionId">
    <vt:lpwstr>63bea3cc-e371-4462-9fa9-78dabacad393</vt:lpwstr>
  </property>
  <property fmtid="{D5CDD505-2E9C-101B-9397-08002B2CF9AE}" pid="8" name="MSIP_Label_aa112399-b73b-40c1-8af2-919b124b9d91_ContentBits">
    <vt:lpwstr>0</vt:lpwstr>
  </property>
  <property fmtid="{D5CDD505-2E9C-101B-9397-08002B2CF9AE}" pid="9" name="MSIP_Label_aa112399-b73b-40c1-8af2-919b124b9d91_Tag">
    <vt:lpwstr>10, 0, 1, 1</vt:lpwstr>
  </property>
  <property fmtid="{D5CDD505-2E9C-101B-9397-08002B2CF9AE}" pid="10" name="ContentTypeId">
    <vt:lpwstr>0x0101005072154B6D7EA94FB338BE473FAC9B24</vt:lpwstr>
  </property>
</Properties>
</file>